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omments1.xml" ContentType="application/vnd.openxmlformats-officedocument.spreadsheetml.comments+xml"/>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drawings/drawing1.xml" ContentType="application/vnd.openxmlformats-officedocument.drawing+xml"/>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omments2.xml" ContentType="application/vnd.openxmlformats-officedocument.spreadsheetml.comments+xml"/>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omments3.xml" ContentType="application/vnd.openxmlformats-officedocument.spreadsheetml.comments+xml"/>
  <Override PartName="/xl/customProperty117.bin" ContentType="application/vnd.openxmlformats-officedocument.spreadsheetml.customProperty"/>
  <Override PartName="/xl/customProperty118.bin" ContentType="application/vnd.openxmlformats-officedocument.spreadsheetml.customProperty"/>
  <Override PartName="/xl/comments4.xml" ContentType="application/vnd.openxmlformats-officedocument.spreadsheetml.comments+xml"/>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8_{398DB563-DA92-4F39-9122-D1A5D3122953}" xr6:coauthVersionLast="45" xr6:coauthVersionMax="45" xr10:uidLastSave="{00000000-0000-0000-0000-000000000000}"/>
  <bookViews>
    <workbookView xWindow="-120" yWindow="-120" windowWidth="29040" windowHeight="15840" tabRatio="760" firstSheet="18" activeTab="18" xr2:uid="{00000000-000D-0000-FFFF-FFFF00000000}"/>
  </bookViews>
  <sheets>
    <sheet name="Introduction" sheetId="1" r:id="rId1"/>
    <sheet name="Validation" sheetId="2" r:id="rId2"/>
    <sheet name="Section 1 -&gt;" sheetId="3" r:id="rId3"/>
    <sheet name="1A" sheetId="4" r:id="rId4"/>
    <sheet name="1B" sheetId="5" r:id="rId5"/>
    <sheet name="1C" sheetId="6" r:id="rId6"/>
    <sheet name="1D" sheetId="7" r:id="rId7"/>
    <sheet name="1E" sheetId="8" r:id="rId8"/>
    <sheet name="1F" sheetId="95" r:id="rId9"/>
    <sheet name="Section 2 -&gt;" sheetId="9" r:id="rId10"/>
    <sheet name="2A" sheetId="11" r:id="rId11"/>
    <sheet name="2B" sheetId="12" r:id="rId12"/>
    <sheet name="2C" sheetId="13" r:id="rId13"/>
    <sheet name="2D" sheetId="14" r:id="rId14"/>
    <sheet name="2E" sheetId="15" r:id="rId15"/>
    <sheet name="2F" sheetId="16" r:id="rId16"/>
    <sheet name="2G" sheetId="17" r:id="rId17"/>
    <sheet name="2H" sheetId="18" r:id="rId18"/>
    <sheet name="2I" sheetId="19" r:id="rId19"/>
    <sheet name="2J" sheetId="44" r:id="rId20"/>
    <sheet name="2K" sheetId="96" r:id="rId21"/>
    <sheet name="Section 3 -&gt;" sheetId="20" r:id="rId22"/>
    <sheet name="3A" sheetId="21" r:id="rId23"/>
    <sheet name="3B" sheetId="22" r:id="rId24"/>
    <sheet name="3C" sheetId="23" r:id="rId25"/>
    <sheet name="3D" sheetId="24" r:id="rId26"/>
    <sheet name="3S" sheetId="86" r:id="rId27"/>
    <sheet name="Section 4 -&gt;" sheetId="25" r:id="rId28"/>
    <sheet name="4A" sheetId="26" r:id="rId29"/>
    <sheet name="4B" sheetId="27" r:id="rId30"/>
    <sheet name="4C" sheetId="28" r:id="rId31"/>
    <sheet name="4D" sheetId="29" r:id="rId32"/>
    <sheet name="4E" sheetId="30" r:id="rId33"/>
    <sheet name="4F" sheetId="31" r:id="rId34"/>
    <sheet name="4G" sheetId="32" r:id="rId35"/>
    <sheet name="4H" sheetId="33" r:id="rId36"/>
    <sheet name="4I" sheetId="34" r:id="rId37"/>
    <sheet name="4J" sheetId="63" r:id="rId38"/>
    <sheet name="4K" sheetId="64" r:id="rId39"/>
    <sheet name="4L" sheetId="65" r:id="rId40"/>
    <sheet name="4M" sheetId="66" r:id="rId41"/>
    <sheet name="4N" sheetId="67" r:id="rId42"/>
    <sheet name="4O" sheetId="68" r:id="rId43"/>
    <sheet name="4P" sheetId="69" r:id="rId44"/>
    <sheet name="4Q" sheetId="70" r:id="rId45"/>
    <sheet name="4R" sheetId="71" r:id="rId46"/>
    <sheet name="4S" sheetId="72" r:id="rId47"/>
    <sheet name="4T" sheetId="73" r:id="rId48"/>
    <sheet name="4U" sheetId="74" r:id="rId49"/>
    <sheet name="4V" sheetId="75" r:id="rId50"/>
    <sheet name="4W" sheetId="76" r:id="rId51"/>
    <sheet name="Other -&gt;" sheetId="78" r:id="rId52"/>
    <sheet name="Bioresources" sheetId="87" r:id="rId53"/>
    <sheet name="F_Outputs" sheetId="97" r:id="rId54"/>
    <sheet name="F_Outputs (group)" sheetId="80" r:id="rId55"/>
    <sheet name="Lists" sheetId="35" state="hidden" r:id="rId56"/>
    <sheet name="PC LIST" sheetId="36" state="hidden" r:id="rId57"/>
    <sheet name="PC list edited" sheetId="37" state="hidden" r:id="rId58"/>
    <sheet name="SUB LIST" sheetId="38" state="hidden" r:id="rId59"/>
    <sheet name="SUB list edited" sheetId="39" state="hidden" r:id="rId60"/>
    <sheet name="Water" sheetId="40" state="hidden" r:id="rId61"/>
    <sheet name="Sewerage" sheetId="41" state="hidden" r:id="rId62"/>
    <sheet name="Water PR16" sheetId="89" state="hidden" r:id="rId63"/>
    <sheet name="Sewerage PR16" sheetId="90" state="hidden" r:id="rId64"/>
    <sheet name="LWTW" sheetId="84" state="hidden" r:id="rId65"/>
  </sheets>
  <externalReferences>
    <externalReference r:id="rId66"/>
    <externalReference r:id="rId67"/>
    <externalReference r:id="rId6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2" hidden="1">'3A'!$A$4:$AI$60</definedName>
    <definedName name="_xlnm._FilterDatabase" localSheetId="56">'PC LIST'!$A$2:$CB$529</definedName>
    <definedName name="_xlnm._FilterDatabase" localSheetId="57">'PC list edited'!$A$1:$B$529</definedName>
    <definedName name="_xlnm._FilterDatabase" localSheetId="61">Sewerage!$A$1:$G$30</definedName>
    <definedName name="_xlnm._FilterDatabase" localSheetId="58">'SUB LIST'!$A$2:$AT$207</definedName>
    <definedName name="_xlnm._FilterDatabase" localSheetId="60">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3">'1A'!$B$1:$M$40</definedName>
    <definedName name="_xlnm.Print_Area" localSheetId="4">'1B'!$B$1:$M$15</definedName>
    <definedName name="_xlnm.Print_Area" localSheetId="5">'1C'!$B$1:$M$56</definedName>
    <definedName name="_xlnm.Print_Area" localSheetId="6">'1D'!$B$1:$M$42</definedName>
    <definedName name="_xlnm.Print_Area" localSheetId="7">'1E'!$B$1:$M$29</definedName>
    <definedName name="_xlnm.Print_Area" localSheetId="8">'1F'!$B$1:$T$48</definedName>
    <definedName name="_xlnm.Print_Area" localSheetId="10">'2A'!$B$1:$S$26</definedName>
    <definedName name="_xlnm.Print_Area" localSheetId="11">'2B'!$B$1:$O$45</definedName>
    <definedName name="_xlnm.Print_Area" localSheetId="12">'2C'!$A$1:$K$27</definedName>
    <definedName name="_xlnm.Print_Area" localSheetId="13">'2D'!$B$1:$Q$33</definedName>
    <definedName name="_xlnm.Print_Area" localSheetId="14">'2E'!$B$1:$L$55</definedName>
    <definedName name="_xlnm.Print_Area" localSheetId="15">'2F'!$B$1:$K$17</definedName>
    <definedName name="_xlnm.Print_Area" localSheetId="16">'2G'!$B$1:$L$40</definedName>
    <definedName name="_xlnm.Print_Area" localSheetId="17">'2H'!$B$1:$L$43</definedName>
    <definedName name="_xlnm.Print_Area" localSheetId="18">'2I'!$B$1:$L$59</definedName>
    <definedName name="_xlnm.Print_Area" localSheetId="19">'2J'!$B$1:$K$22</definedName>
    <definedName name="_xlnm.Print_Area" localSheetId="20">'2K'!$B$1:$K$20</definedName>
    <definedName name="_xlnm.Print_Area" localSheetId="22">'3A'!$B$1:$S$66</definedName>
    <definedName name="_xlnm.Print_Area" localSheetId="23">'3B'!$B$1:$M$50</definedName>
    <definedName name="_xlnm.Print_Area" localSheetId="24">'3C'!$B$1:$L$36</definedName>
    <definedName name="_xlnm.Print_Area" localSheetId="25">'3D'!$B$1:$I$20</definedName>
    <definedName name="_xlnm.Print_Area" localSheetId="26">'3S'!$B$2:$LC$75</definedName>
    <definedName name="_xlnm.Print_Area" localSheetId="28">'4A'!$B$1:$J$23</definedName>
    <definedName name="_xlnm.Print_Area" localSheetId="29">'4B'!$B$1:$N$29</definedName>
    <definedName name="_xlnm.Print_Area" localSheetId="30">'4C'!$B$1:$K$17</definedName>
    <definedName name="_xlnm.Print_Area" localSheetId="31">'4D'!$B$1:$P$56</definedName>
    <definedName name="_xlnm.Print_Area" localSheetId="32">'4E'!$B$1:$R$58</definedName>
    <definedName name="_xlnm.Print_Area" localSheetId="33">'4F'!$B$1:$R$37</definedName>
    <definedName name="_xlnm.Print_Area" localSheetId="34">'4G'!$B$1:$M$24</definedName>
    <definedName name="_xlnm.Print_Area" localSheetId="35">'4H'!$B$1:$K$53</definedName>
    <definedName name="_xlnm.Print_Area" localSheetId="36">'4I'!$B$1:$R$50</definedName>
    <definedName name="_xlnm.Print_Area" localSheetId="37">'4J'!$B$1:$P$58</definedName>
    <definedName name="_xlnm.Print_Area" localSheetId="38">'4K'!$B$1:$R$58</definedName>
    <definedName name="_xlnm.Print_Area" localSheetId="39">'4L'!$B$1:$W$51</definedName>
    <definedName name="_xlnm.Print_Area" localSheetId="40">'4M'!$B$1:$AA$58</definedName>
    <definedName name="_xlnm.Print_Area" localSheetId="41">'4N'!$B$1:$J$27</definedName>
    <definedName name="_xlnm.Print_Area" localSheetId="42">'4O'!$B$1:$CI$29</definedName>
    <definedName name="_xlnm.Print_Area" localSheetId="43">'4P'!$B$1:$J$129</definedName>
    <definedName name="_xlnm.Print_Area" localSheetId="44">'4Q'!$B$1:$J$43</definedName>
    <definedName name="_xlnm.Print_Area" localSheetId="45">'4R'!$B$1:$J$61</definedName>
    <definedName name="_xlnm.Print_Area" localSheetId="46">'4S'!$B$1:$AI$44</definedName>
    <definedName name="_xlnm.Print_Area" localSheetId="47">'4T'!$B$1:$K$28</definedName>
    <definedName name="_xlnm.Print_Area" localSheetId="48">'4U'!$B$1:$J$37</definedName>
    <definedName name="_xlnm.Print_Area" localSheetId="49">'4V'!$B$1:$Q$42</definedName>
    <definedName name="_xlnm.Print_Area" localSheetId="50">'4W'!$B$1:$R$74</definedName>
    <definedName name="_xlnm.Print_Area" localSheetId="52">Bioresources!$B$1:$I$47</definedName>
    <definedName name="_xlnm.Print_Area" localSheetId="0">Introduction!$A$1:$C$35</definedName>
    <definedName name="_xlnm.Print_Area" localSheetId="1">Validation!$A$1:$E$45</definedName>
    <definedName name="_xlnm.Print_Titles" localSheetId="42">'4O'!$A:$F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3">'2D'!$AJ:$XFD</definedName>
    <definedName name="Z_0D666283_CADB_464A_974F_FFED8E45FEBD_.wvu.Cols" localSheetId="28">'4A'!$Q:$XFD</definedName>
    <definedName name="Z_0D666283_CADB_464A_974F_FFED8E45FEBD_.wvu.Cols" localSheetId="51">'Other -&gt;'!$1:$1048576</definedName>
    <definedName name="Z_0D666283_CADB_464A_974F_FFED8E45FEBD_.wvu.Cols" localSheetId="2">'Section 1 -&gt;'!$1:$1048576</definedName>
    <definedName name="Z_0D666283_CADB_464A_974F_FFED8E45FEBD_.wvu.Cols" localSheetId="9">'Section 2 -&gt;'!$1:$1048576</definedName>
    <definedName name="Z_0D666283_CADB_464A_974F_FFED8E45FEBD_.wvu.Cols" localSheetId="21">'Section 3 -&gt;'!$1:$1048576</definedName>
    <definedName name="Z_0D666283_CADB_464A_974F_FFED8E45FEBD_.wvu.Cols" localSheetId="27">'Section 4 -&gt;'!$1:$1048576</definedName>
    <definedName name="Z_0D666283_CADB_464A_974F_FFED8E45FEBD_.wvu.FilterData" localSheetId="57">'PC list edited'!$A$1:$B$529</definedName>
    <definedName name="Z_0D666283_CADB_464A_974F_FFED8E45FEBD_.wvu.FilterData" localSheetId="61">Sewerage!$A$1:$G$30</definedName>
    <definedName name="Z_0D666283_CADB_464A_974F_FFED8E45FEBD_.wvu.FilterData" localSheetId="60">Water!$A$1:$R$25</definedName>
    <definedName name="Z_0D666283_CADB_464A_974F_FFED8E45FEBD_.wvu.Rows" localSheetId="51">'Other -&gt;'!$36:$1048576,'Other -&gt;'!$1:$35</definedName>
    <definedName name="Z_0D666283_CADB_464A_974F_FFED8E45FEBD_.wvu.Rows" localSheetId="2">'Section 1 -&gt;'!$36:$1048576,'Section 1 -&gt;'!$1:$35</definedName>
    <definedName name="Z_0D666283_CADB_464A_974F_FFED8E45FEBD_.wvu.Rows" localSheetId="9">'Section 2 -&gt;'!$36:$1048576,'Section 2 -&gt;'!$1:$35</definedName>
    <definedName name="Z_0D666283_CADB_464A_974F_FFED8E45FEBD_.wvu.Rows" localSheetId="21">'Section 3 -&gt;'!$36:$1048576,'Section 3 -&gt;'!$1:$35</definedName>
    <definedName name="Z_0D666283_CADB_464A_974F_FFED8E45FEBD_.wvu.Rows" localSheetId="27">'Section 4 -&gt;'!$36:$1048576,'Section 4 -&gt;'!$1:$35</definedName>
    <definedName name="Z_3BF63FB9_9E69_4F23_B37F_22932F355A10_.wvu.Cols" localSheetId="13">'2D'!$AJ:$XFD</definedName>
    <definedName name="Z_3BF63FB9_9E69_4F23_B37F_22932F355A10_.wvu.Cols" localSheetId="28">'4A'!$Q:$XFD</definedName>
    <definedName name="Z_3BF63FB9_9E69_4F23_B37F_22932F355A10_.wvu.Cols" localSheetId="51">'Other -&gt;'!$1:$1048576</definedName>
    <definedName name="Z_3BF63FB9_9E69_4F23_B37F_22932F355A10_.wvu.Cols" localSheetId="2">'Section 1 -&gt;'!$1:$1048576</definedName>
    <definedName name="Z_3BF63FB9_9E69_4F23_B37F_22932F355A10_.wvu.Cols" localSheetId="9">'Section 2 -&gt;'!$1:$1048576</definedName>
    <definedName name="Z_3BF63FB9_9E69_4F23_B37F_22932F355A10_.wvu.Cols" localSheetId="21">'Section 3 -&gt;'!$1:$1048576</definedName>
    <definedName name="Z_3BF63FB9_9E69_4F23_B37F_22932F355A10_.wvu.Cols" localSheetId="27">'Section 4 -&gt;'!$1:$1048576</definedName>
    <definedName name="Z_3BF63FB9_9E69_4F23_B37F_22932F355A10_.wvu.FilterData" localSheetId="57">'PC list edited'!$A$1:$B$529</definedName>
    <definedName name="Z_3BF63FB9_9E69_4F23_B37F_22932F355A10_.wvu.FilterData" localSheetId="61">Sewerage!$A$1:$G$30</definedName>
    <definedName name="Z_3BF63FB9_9E69_4F23_B37F_22932F355A10_.wvu.FilterData" localSheetId="60">Water!$A$1:$R$25</definedName>
    <definedName name="Z_3BF63FB9_9E69_4F23_B37F_22932F355A10_.wvu.Rows" localSheetId="51">'Other -&gt;'!$36:$1048576,'Other -&gt;'!$1:$35</definedName>
    <definedName name="Z_3BF63FB9_9E69_4F23_B37F_22932F355A10_.wvu.Rows" localSheetId="2">'Section 1 -&gt;'!$36:$1048576,'Section 1 -&gt;'!$1:$35</definedName>
    <definedName name="Z_3BF63FB9_9E69_4F23_B37F_22932F355A10_.wvu.Rows" localSheetId="9">'Section 2 -&gt;'!$36:$1048576,'Section 2 -&gt;'!$1:$35</definedName>
    <definedName name="Z_3BF63FB9_9E69_4F23_B37F_22932F355A10_.wvu.Rows" localSheetId="21">'Section 3 -&gt;'!$36:$1048576,'Section 3 -&gt;'!$1:$35</definedName>
    <definedName name="Z_3BF63FB9_9E69_4F23_B37F_22932F355A10_.wvu.Rows" localSheetId="27">'Section 4 -&gt;'!$36:$1048576,'Section 4 -&gt;'!$1:$35</definedName>
    <definedName name="Z_A683DE68_74F1_44FC_875D_47ACE58076E1_.wvu.Cols" localSheetId="13">'2D'!$AJ:$XFD</definedName>
    <definedName name="Z_A683DE68_74F1_44FC_875D_47ACE58076E1_.wvu.Cols" localSheetId="28">'4A'!$Q:$XFD</definedName>
    <definedName name="Z_A683DE68_74F1_44FC_875D_47ACE58076E1_.wvu.Cols" localSheetId="51">'Other -&gt;'!$1:$1048576</definedName>
    <definedName name="Z_A683DE68_74F1_44FC_875D_47ACE58076E1_.wvu.Cols" localSheetId="2">'Section 1 -&gt;'!$1:$1048576</definedName>
    <definedName name="Z_A683DE68_74F1_44FC_875D_47ACE58076E1_.wvu.Cols" localSheetId="9">'Section 2 -&gt;'!$1:$1048576</definedName>
    <definedName name="Z_A683DE68_74F1_44FC_875D_47ACE58076E1_.wvu.Cols" localSheetId="21">'Section 3 -&gt;'!$1:$1048576</definedName>
    <definedName name="Z_A683DE68_74F1_44FC_875D_47ACE58076E1_.wvu.Cols" localSheetId="27">'Section 4 -&gt;'!$1:$1048576</definedName>
    <definedName name="Z_A683DE68_74F1_44FC_875D_47ACE58076E1_.wvu.FilterData" localSheetId="57">'PC list edited'!$A$1:$B$529</definedName>
    <definedName name="Z_A683DE68_74F1_44FC_875D_47ACE58076E1_.wvu.FilterData" localSheetId="61">Sewerage!$A$1:$G$30</definedName>
    <definedName name="Z_A683DE68_74F1_44FC_875D_47ACE58076E1_.wvu.FilterData" localSheetId="60">Water!$A$1:$R$25</definedName>
    <definedName name="Z_A683DE68_74F1_44FC_875D_47ACE58076E1_.wvu.Rows" localSheetId="51">'Other -&gt;'!$36:$1048576,'Other -&gt;'!$1:$35</definedName>
    <definedName name="Z_A683DE68_74F1_44FC_875D_47ACE58076E1_.wvu.Rows" localSheetId="2">'Section 1 -&gt;'!$36:$1048576,'Section 1 -&gt;'!$1:$35</definedName>
    <definedName name="Z_A683DE68_74F1_44FC_875D_47ACE58076E1_.wvu.Rows" localSheetId="9">'Section 2 -&gt;'!$36:$1048576,'Section 2 -&gt;'!$1:$35</definedName>
    <definedName name="Z_A683DE68_74F1_44FC_875D_47ACE58076E1_.wvu.Rows" localSheetId="21">'Section 3 -&gt;'!$36:$1048576,'Section 3 -&gt;'!$1:$35</definedName>
    <definedName name="Z_A683DE68_74F1_44FC_875D_47ACE58076E1_.wvu.Rows" localSheetId="27">'Section 4 -&gt;'!$36:$1048576,'Section 4 -&gt;'!$1:$35</definedName>
    <definedName name="Z_B6110306_7EDB_4112_9F29_7D9801D46B38_.wvu.Cols" localSheetId="13">'2D'!$AJ:$XFD</definedName>
    <definedName name="Z_B6110306_7EDB_4112_9F29_7D9801D46B38_.wvu.Cols" localSheetId="28">'4A'!$Q:$XFD</definedName>
    <definedName name="Z_B6110306_7EDB_4112_9F29_7D9801D46B38_.wvu.Cols" localSheetId="51">'Other -&gt;'!$1:$1048576</definedName>
    <definedName name="Z_B6110306_7EDB_4112_9F29_7D9801D46B38_.wvu.Cols" localSheetId="2">'Section 1 -&gt;'!$1:$1048576</definedName>
    <definedName name="Z_B6110306_7EDB_4112_9F29_7D9801D46B38_.wvu.Cols" localSheetId="9">'Section 2 -&gt;'!$1:$1048576</definedName>
    <definedName name="Z_B6110306_7EDB_4112_9F29_7D9801D46B38_.wvu.Cols" localSheetId="21">'Section 3 -&gt;'!$1:$1048576</definedName>
    <definedName name="Z_B6110306_7EDB_4112_9F29_7D9801D46B38_.wvu.Cols" localSheetId="27">'Section 4 -&gt;'!$1:$1048576</definedName>
    <definedName name="Z_B6110306_7EDB_4112_9F29_7D9801D46B38_.wvu.FilterData" localSheetId="57">'PC list edited'!$A$1:$B$529</definedName>
    <definedName name="Z_B6110306_7EDB_4112_9F29_7D9801D46B38_.wvu.FilterData" localSheetId="61">Sewerage!$A$1:$G$30</definedName>
    <definedName name="Z_B6110306_7EDB_4112_9F29_7D9801D46B38_.wvu.FilterData" localSheetId="60">Water!$A$1:$R$25</definedName>
    <definedName name="Z_B6110306_7EDB_4112_9F29_7D9801D46B38_.wvu.Rows" localSheetId="51">'Other -&gt;'!$2:$1048576,'Other -&gt;'!$1:$1</definedName>
    <definedName name="Z_B6110306_7EDB_4112_9F29_7D9801D46B38_.wvu.Rows" localSheetId="2">'Section 1 -&gt;'!$2:$1048576,'Section 1 -&gt;'!$1:$1</definedName>
    <definedName name="Z_B6110306_7EDB_4112_9F29_7D9801D46B38_.wvu.Rows" localSheetId="9">'Section 2 -&gt;'!$2:$1048576,'Section 2 -&gt;'!$1:$1</definedName>
    <definedName name="Z_B6110306_7EDB_4112_9F29_7D9801D46B38_.wvu.Rows" localSheetId="21">'Section 3 -&gt;'!$2:$1048576,'Section 3 -&gt;'!$1:$1</definedName>
    <definedName name="Z_B6110306_7EDB_4112_9F29_7D9801D46B38_.wvu.Rows" localSheetId="27">'Section 4 -&gt;'!$2:$1048576,'Section 4 -&gt;'!$1:$1</definedName>
    <definedName name="Z_C2AA8589_53C1_4273_B7EE_5FA5323CA1F5_.wvu.FilterData" localSheetId="57">'PC list edited'!$A$1:$B$529</definedName>
    <definedName name="Z_C2AA8589_53C1_4273_B7EE_5FA5323CA1F5_.wvu.FilterData" localSheetId="61">Sewerage!$A$1:$G$30</definedName>
    <definedName name="Z_C2AA8589_53C1_4273_B7EE_5FA5323CA1F5_.wvu.FilterData" localSheetId="60">Water!$A$1:$R$25</definedName>
    <definedName name="Z_C652482F_DA5C_42AD_B6EE_268877F72B6E_.wvu.Cols" localSheetId="13">'2D'!$AJ:$XFD</definedName>
    <definedName name="Z_C652482F_DA5C_42AD_B6EE_268877F72B6E_.wvu.Cols" localSheetId="28">'4A'!$Q:$XFD</definedName>
    <definedName name="Z_C652482F_DA5C_42AD_B6EE_268877F72B6E_.wvu.Cols" localSheetId="51">'Other -&gt;'!$1:$1048576</definedName>
    <definedName name="Z_C652482F_DA5C_42AD_B6EE_268877F72B6E_.wvu.Cols" localSheetId="2">'Section 1 -&gt;'!$1:$1048576</definedName>
    <definedName name="Z_C652482F_DA5C_42AD_B6EE_268877F72B6E_.wvu.Cols" localSheetId="9">'Section 2 -&gt;'!$1:$1048576</definedName>
    <definedName name="Z_C652482F_DA5C_42AD_B6EE_268877F72B6E_.wvu.Cols" localSheetId="21">'Section 3 -&gt;'!$1:$1048576</definedName>
    <definedName name="Z_C652482F_DA5C_42AD_B6EE_268877F72B6E_.wvu.Cols" localSheetId="27">'Section 4 -&gt;'!$1:$1048576</definedName>
    <definedName name="Z_C652482F_DA5C_42AD_B6EE_268877F72B6E_.wvu.FilterData" localSheetId="57">'PC list edited'!$A$1:$B$529</definedName>
    <definedName name="Z_C652482F_DA5C_42AD_B6EE_268877F72B6E_.wvu.FilterData" localSheetId="61">Sewerage!$A$1:$G$30</definedName>
    <definedName name="Z_C652482F_DA5C_42AD_B6EE_268877F72B6E_.wvu.FilterData" localSheetId="60">Water!$A$1:$R$25</definedName>
    <definedName name="Z_C652482F_DA5C_42AD_B6EE_268877F72B6E_.wvu.Rows" localSheetId="51">'Other -&gt;'!$36:$1048576,'Other -&gt;'!$1:$35</definedName>
    <definedName name="Z_C652482F_DA5C_42AD_B6EE_268877F72B6E_.wvu.Rows" localSheetId="2">'Section 1 -&gt;'!$36:$1048576,'Section 1 -&gt;'!$1:$35</definedName>
    <definedName name="Z_C652482F_DA5C_42AD_B6EE_268877F72B6E_.wvu.Rows" localSheetId="9">'Section 2 -&gt;'!$36:$1048576,'Section 2 -&gt;'!$1:$35</definedName>
    <definedName name="Z_C652482F_DA5C_42AD_B6EE_268877F72B6E_.wvu.Rows" localSheetId="21">'Section 3 -&gt;'!$36:$1048576,'Section 3 -&gt;'!$1:$35</definedName>
    <definedName name="Z_C652482F_DA5C_42AD_B6EE_268877F72B6E_.wvu.Rows" localSheetId="27">'Section 4 -&gt;'!$36:$1048576,'Section 4 -&gt;'!$1:$35</definedName>
    <definedName name="Z_FCCFC11C_78D7_49AB_93F6_D160FB23647D_.wvu.FilterData" localSheetId="57">'PC list edited'!$A$1:$B$529</definedName>
    <definedName name="Z_FCCFC11C_78D7_49AB_93F6_D160FB23647D_.wvu.FilterData" localSheetId="61">Sewerage!$A$1:$G$30</definedName>
    <definedName name="Z_FCCFC11C_78D7_49AB_93F6_D160FB23647D_.wvu.FilterData" localSheetId="60">Water!$A$1:$R$25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 i="70" l="1"/>
  <c r="F13" i="24" l="1"/>
  <c r="P6" i="18" l="1"/>
  <c r="Q6" i="18"/>
  <c r="O6" i="18"/>
  <c r="E33" i="2"/>
  <c r="LJ70" i="86" l="1"/>
  <c r="LJ71" i="86"/>
  <c r="LN66" i="86"/>
  <c r="LJ66" i="86"/>
  <c r="LV61" i="86"/>
  <c r="LR61" i="86"/>
  <c r="LN61" i="86"/>
  <c r="LJ61" i="86"/>
  <c r="NB56" i="86"/>
  <c r="MX56" i="86"/>
  <c r="MT56" i="86"/>
  <c r="MP56" i="86"/>
  <c r="ML56" i="86"/>
  <c r="MH56" i="86"/>
  <c r="MD56" i="86"/>
  <c r="LZ56" i="86"/>
  <c r="LV56" i="86"/>
  <c r="LR56" i="86"/>
  <c r="LN56" i="86"/>
  <c r="LJ56" i="86"/>
  <c r="NB50" i="86"/>
  <c r="MX50" i="86"/>
  <c r="MT50" i="86"/>
  <c r="MP50" i="86"/>
  <c r="ML50" i="86"/>
  <c r="MH50" i="86"/>
  <c r="MD50" i="86"/>
  <c r="LZ50" i="86"/>
  <c r="LV50" i="86"/>
  <c r="LR50" i="86"/>
  <c r="LN50" i="86"/>
  <c r="LJ50" i="86"/>
  <c r="LJ45" i="86"/>
  <c r="PB40" i="86"/>
  <c r="OX40" i="86"/>
  <c r="OT40" i="86"/>
  <c r="OP40" i="86"/>
  <c r="OL40" i="86"/>
  <c r="OH40" i="86"/>
  <c r="OD40" i="86"/>
  <c r="NZ40" i="86"/>
  <c r="NV40" i="86"/>
  <c r="NR40" i="86"/>
  <c r="NN40" i="86"/>
  <c r="NJ40" i="86"/>
  <c r="NF40" i="86"/>
  <c r="NB40" i="86"/>
  <c r="MX40" i="86"/>
  <c r="MT40" i="86"/>
  <c r="MP40" i="86"/>
  <c r="ML40" i="86"/>
  <c r="MH40" i="86"/>
  <c r="MD40" i="86"/>
  <c r="LZ40" i="86"/>
  <c r="LV40" i="86"/>
  <c r="LR40" i="86"/>
  <c r="LN40" i="86"/>
  <c r="LJ40" i="86"/>
  <c r="NF34" i="86"/>
  <c r="NB34" i="86"/>
  <c r="MX34" i="86"/>
  <c r="MT34" i="86"/>
  <c r="MP34" i="86"/>
  <c r="ML34" i="86"/>
  <c r="MH34" i="86"/>
  <c r="MD34" i="86"/>
  <c r="LZ34" i="86"/>
  <c r="LV34" i="86"/>
  <c r="LR34" i="86"/>
  <c r="LN34" i="86"/>
  <c r="LJ34" i="86"/>
  <c r="LZ29" i="86"/>
  <c r="LV29" i="86"/>
  <c r="LR29" i="86"/>
  <c r="LN29" i="86"/>
  <c r="LJ29" i="86"/>
  <c r="NJ24" i="86"/>
  <c r="NF24" i="86"/>
  <c r="NB24" i="86"/>
  <c r="MX24" i="86"/>
  <c r="MT24" i="86"/>
  <c r="MP24" i="86"/>
  <c r="ML24" i="86"/>
  <c r="MH24" i="86"/>
  <c r="MD24" i="86"/>
  <c r="LZ24" i="86"/>
  <c r="LV24" i="86"/>
  <c r="LR24" i="86"/>
  <c r="LN24" i="86"/>
  <c r="LJ24" i="86"/>
  <c r="XB16" i="86"/>
  <c r="XB17" i="86"/>
  <c r="XB18" i="86"/>
  <c r="XB19" i="86"/>
  <c r="WX16" i="86"/>
  <c r="WX17" i="86"/>
  <c r="WX18" i="86"/>
  <c r="WX19" i="86"/>
  <c r="WT16" i="86"/>
  <c r="WT17" i="86"/>
  <c r="WT18" i="86"/>
  <c r="WT19" i="86"/>
  <c r="WP16" i="86"/>
  <c r="WP17" i="86"/>
  <c r="WP18" i="86"/>
  <c r="WP19" i="86"/>
  <c r="WL16" i="86"/>
  <c r="WL17" i="86"/>
  <c r="WL18" i="86"/>
  <c r="WL19" i="86"/>
  <c r="WH16" i="86"/>
  <c r="WH17" i="86"/>
  <c r="WH18" i="86"/>
  <c r="WH19" i="86"/>
  <c r="WD16" i="86"/>
  <c r="WD17" i="86"/>
  <c r="WD18" i="86"/>
  <c r="WD19" i="86"/>
  <c r="VZ16" i="86"/>
  <c r="VZ17" i="86"/>
  <c r="VZ18" i="86"/>
  <c r="VZ19" i="86"/>
  <c r="VV16" i="86"/>
  <c r="VV17" i="86"/>
  <c r="VV18" i="86"/>
  <c r="VV19" i="86"/>
  <c r="VR16" i="86"/>
  <c r="VR17" i="86"/>
  <c r="VR18" i="86"/>
  <c r="VR19" i="86"/>
  <c r="VN16" i="86"/>
  <c r="VN17" i="86"/>
  <c r="VN18" i="86"/>
  <c r="VN19" i="86"/>
  <c r="VJ16" i="86"/>
  <c r="VJ17" i="86"/>
  <c r="VJ18" i="86"/>
  <c r="VJ19" i="86"/>
  <c r="VF16" i="86"/>
  <c r="VF17" i="86"/>
  <c r="VF18" i="86"/>
  <c r="VF19" i="86"/>
  <c r="VB16" i="86"/>
  <c r="VB17" i="86"/>
  <c r="VB18" i="86"/>
  <c r="VB19" i="86"/>
  <c r="UX16" i="86"/>
  <c r="UX17" i="86"/>
  <c r="UX18" i="86"/>
  <c r="UX19" i="86"/>
  <c r="UT16" i="86"/>
  <c r="UT17" i="86"/>
  <c r="UT18" i="86"/>
  <c r="UT19" i="86"/>
  <c r="UP16" i="86"/>
  <c r="UP17" i="86"/>
  <c r="UP18" i="86"/>
  <c r="UP19" i="86"/>
  <c r="UL16" i="86"/>
  <c r="UL17" i="86"/>
  <c r="UL18" i="86"/>
  <c r="UL19" i="86"/>
  <c r="UH16" i="86"/>
  <c r="UH17" i="86"/>
  <c r="UH18" i="86"/>
  <c r="UH19" i="86"/>
  <c r="UD16" i="86"/>
  <c r="UD17" i="86"/>
  <c r="UD18" i="86"/>
  <c r="UD19" i="86"/>
  <c r="TZ16" i="86"/>
  <c r="TZ17" i="86"/>
  <c r="TZ18" i="86"/>
  <c r="TZ19" i="86"/>
  <c r="TV16" i="86"/>
  <c r="TV17" i="86"/>
  <c r="TV18" i="86"/>
  <c r="TV19" i="86"/>
  <c r="TR16" i="86"/>
  <c r="TR17" i="86"/>
  <c r="TR18" i="86"/>
  <c r="TR19" i="86"/>
  <c r="TN16" i="86"/>
  <c r="TN17" i="86"/>
  <c r="TN18" i="86"/>
  <c r="TN19" i="86"/>
  <c r="TJ16" i="86"/>
  <c r="TJ17" i="86"/>
  <c r="TJ18" i="86"/>
  <c r="TJ19" i="86"/>
  <c r="TF16" i="86"/>
  <c r="TF17" i="86"/>
  <c r="TF18" i="86"/>
  <c r="TF19" i="86"/>
  <c r="TB16" i="86"/>
  <c r="TB17" i="86"/>
  <c r="TB18" i="86"/>
  <c r="TB19" i="86"/>
  <c r="SX16" i="86"/>
  <c r="SX17" i="86"/>
  <c r="SX18" i="86"/>
  <c r="SX19" i="86"/>
  <c r="ST16" i="86"/>
  <c r="ST17" i="86"/>
  <c r="ST18" i="86"/>
  <c r="ST19" i="86"/>
  <c r="SP16" i="86"/>
  <c r="SP17" i="86"/>
  <c r="SP18" i="86"/>
  <c r="SP19" i="86"/>
  <c r="SL16" i="86"/>
  <c r="SL17" i="86"/>
  <c r="SL18" i="86"/>
  <c r="SL19" i="86"/>
  <c r="SH16" i="86"/>
  <c r="SH17" i="86"/>
  <c r="SH18" i="86"/>
  <c r="SH19" i="86"/>
  <c r="SD16" i="86"/>
  <c r="SD17" i="86"/>
  <c r="SD18" i="86"/>
  <c r="SD19" i="86"/>
  <c r="RZ16" i="86"/>
  <c r="RZ17" i="86"/>
  <c r="RZ18" i="86"/>
  <c r="RZ19" i="86"/>
  <c r="RV16" i="86"/>
  <c r="RV17" i="86"/>
  <c r="RV18" i="86"/>
  <c r="RV19" i="86"/>
  <c r="RR16" i="86"/>
  <c r="RR17" i="86"/>
  <c r="RR18" i="86"/>
  <c r="RR19" i="86"/>
  <c r="RN16" i="86"/>
  <c r="RN17" i="86"/>
  <c r="RN18" i="86"/>
  <c r="RN19" i="86"/>
  <c r="RJ16" i="86"/>
  <c r="RJ17" i="86"/>
  <c r="RJ18" i="86"/>
  <c r="RJ19" i="86"/>
  <c r="RF16" i="86"/>
  <c r="RF17" i="86"/>
  <c r="RF18" i="86"/>
  <c r="RF19" i="86"/>
  <c r="RB16" i="86"/>
  <c r="RB17" i="86"/>
  <c r="RB18" i="86"/>
  <c r="RB19" i="86"/>
  <c r="QX16" i="86"/>
  <c r="QX17" i="86"/>
  <c r="QX18" i="86"/>
  <c r="QX19" i="86"/>
  <c r="QT16" i="86"/>
  <c r="QT17" i="86"/>
  <c r="QT18" i="86"/>
  <c r="QT19" i="86"/>
  <c r="QP16" i="86"/>
  <c r="QP17" i="86"/>
  <c r="QP18" i="86"/>
  <c r="QP19" i="86"/>
  <c r="QL16" i="86"/>
  <c r="QL17" i="86"/>
  <c r="QL18" i="86"/>
  <c r="QL19" i="86"/>
  <c r="QH16" i="86"/>
  <c r="QH17" i="86"/>
  <c r="QH18" i="86"/>
  <c r="QH19" i="86"/>
  <c r="QD16" i="86"/>
  <c r="QD17" i="86"/>
  <c r="QD18" i="86"/>
  <c r="QD19" i="86"/>
  <c r="PZ16" i="86"/>
  <c r="PZ17" i="86"/>
  <c r="PZ18" i="86"/>
  <c r="PZ19" i="86"/>
  <c r="PV16" i="86"/>
  <c r="PV17" i="86"/>
  <c r="PV18" i="86"/>
  <c r="PV19" i="86"/>
  <c r="PR16" i="86"/>
  <c r="PR17" i="86"/>
  <c r="PR18" i="86"/>
  <c r="PR19" i="86"/>
  <c r="PN16" i="86"/>
  <c r="PN17" i="86"/>
  <c r="PN18" i="86"/>
  <c r="PN19" i="86"/>
  <c r="PJ16" i="86"/>
  <c r="PJ17" i="86"/>
  <c r="PJ18" i="86"/>
  <c r="PJ19" i="86"/>
  <c r="PF16" i="86"/>
  <c r="PF17" i="86"/>
  <c r="PF18" i="86"/>
  <c r="PF19" i="86"/>
  <c r="PB16" i="86"/>
  <c r="PB17" i="86"/>
  <c r="PB18" i="86"/>
  <c r="PB19" i="86"/>
  <c r="OX16" i="86"/>
  <c r="OX17" i="86"/>
  <c r="OX18" i="86"/>
  <c r="OX19" i="86"/>
  <c r="OT16" i="86"/>
  <c r="OT17" i="86"/>
  <c r="OT18" i="86"/>
  <c r="OT19" i="86"/>
  <c r="OP16" i="86"/>
  <c r="OP17" i="86"/>
  <c r="OP18" i="86"/>
  <c r="OP19" i="86"/>
  <c r="OL16" i="86"/>
  <c r="OL17" i="86"/>
  <c r="OL18" i="86"/>
  <c r="OL19" i="86"/>
  <c r="OH16" i="86"/>
  <c r="OH17" i="86"/>
  <c r="OH18" i="86"/>
  <c r="OH19" i="86"/>
  <c r="OD16" i="86"/>
  <c r="OD17" i="86"/>
  <c r="OD18" i="86"/>
  <c r="OD19" i="86"/>
  <c r="NZ16" i="86"/>
  <c r="NZ17" i="86"/>
  <c r="NZ18" i="86"/>
  <c r="NZ19" i="86"/>
  <c r="NV16" i="86"/>
  <c r="NV17" i="86"/>
  <c r="NV18" i="86"/>
  <c r="NV19" i="86"/>
  <c r="NR16" i="86"/>
  <c r="NR17" i="86"/>
  <c r="NR18" i="86"/>
  <c r="NR19" i="86"/>
  <c r="NN16" i="86"/>
  <c r="NN17" i="86"/>
  <c r="NN18" i="86"/>
  <c r="NN19" i="86"/>
  <c r="NJ16" i="86"/>
  <c r="NJ17" i="86"/>
  <c r="NJ18" i="86"/>
  <c r="NJ19" i="86"/>
  <c r="NF16" i="86"/>
  <c r="NF17" i="86"/>
  <c r="NF18" i="86"/>
  <c r="NF19" i="86"/>
  <c r="NB16" i="86"/>
  <c r="NB17" i="86"/>
  <c r="NB18" i="86"/>
  <c r="NB19" i="86"/>
  <c r="MX16" i="86"/>
  <c r="MX17" i="86"/>
  <c r="MX18" i="86"/>
  <c r="MX19" i="86"/>
  <c r="MT16" i="86"/>
  <c r="MT17" i="86"/>
  <c r="MT18" i="86"/>
  <c r="MT19" i="86"/>
  <c r="MP16" i="86"/>
  <c r="MP17" i="86"/>
  <c r="MP18" i="86"/>
  <c r="MP19" i="86"/>
  <c r="ML16" i="86"/>
  <c r="ML17" i="86"/>
  <c r="ML18" i="86"/>
  <c r="ML19" i="86"/>
  <c r="MH16" i="86"/>
  <c r="MH17" i="86"/>
  <c r="MH18" i="86"/>
  <c r="MH19" i="86"/>
  <c r="MD16" i="86"/>
  <c r="MD17" i="86"/>
  <c r="MD18" i="86"/>
  <c r="MD19" i="86"/>
  <c r="LZ16" i="86"/>
  <c r="LZ17" i="86"/>
  <c r="LZ18" i="86"/>
  <c r="LZ19" i="86"/>
  <c r="LV16" i="86"/>
  <c r="LV17" i="86"/>
  <c r="LV18" i="86"/>
  <c r="LV19" i="86"/>
  <c r="LR16" i="86"/>
  <c r="LR17" i="86"/>
  <c r="LR18" i="86"/>
  <c r="LR19" i="86"/>
  <c r="LN16" i="86"/>
  <c r="LN17" i="86"/>
  <c r="LN18" i="86"/>
  <c r="LN19" i="86"/>
  <c r="LJ16" i="86"/>
  <c r="LJ17" i="86"/>
  <c r="LJ18" i="86"/>
  <c r="LJ19" i="86"/>
  <c r="B132" i="69"/>
  <c r="B46" i="70" s="1"/>
  <c r="B64" i="71" s="1"/>
  <c r="B47" i="72" s="1"/>
  <c r="B31" i="73" s="1"/>
  <c r="B40" i="74" s="1"/>
  <c r="B20" i="28"/>
  <c r="B59" i="29" s="1"/>
  <c r="B61" i="30" s="1"/>
  <c r="B40" i="31" s="1"/>
  <c r="B28" i="32" s="1"/>
  <c r="B56" i="33" s="1"/>
  <c r="B53" i="34" s="1"/>
  <c r="B61" i="63" s="1"/>
  <c r="B61" i="64" s="1"/>
  <c r="B54" i="65" s="1"/>
  <c r="B61" i="66" s="1"/>
  <c r="B30" i="67" s="1"/>
  <c r="B48" i="12"/>
  <c r="B30" i="13" s="1"/>
  <c r="B36" i="14" s="1"/>
  <c r="B59" i="15" s="1"/>
  <c r="B20" i="16" s="1"/>
  <c r="B43" i="17" s="1"/>
  <c r="B46" i="18" s="1"/>
  <c r="B62" i="19" s="1"/>
  <c r="B25" i="44" s="1"/>
  <c r="B24" i="96" s="1"/>
  <c r="B19" i="5"/>
  <c r="B59" i="6" s="1"/>
  <c r="B45" i="7" s="1"/>
  <c r="B32" i="8" s="1"/>
  <c r="B52" i="95" s="1"/>
  <c r="D1" i="80"/>
  <c r="B2" i="27"/>
  <c r="B2" i="28" s="1"/>
  <c r="B2" i="29" s="1"/>
  <c r="B2" i="30" s="1"/>
  <c r="B2" i="31" s="1"/>
  <c r="B2" i="32" s="1"/>
  <c r="B2" i="33" s="1"/>
  <c r="B2" i="34" s="1"/>
  <c r="B2" i="63" s="1"/>
  <c r="B2" i="64" s="1"/>
  <c r="B2" i="65" s="1"/>
  <c r="B2" i="66" s="1"/>
  <c r="B2" i="67" s="1"/>
  <c r="B2" i="68" s="1"/>
  <c r="B2" i="69" s="1"/>
  <c r="B2" i="70" s="1"/>
  <c r="B2" i="71" s="1"/>
  <c r="B2" i="72" s="1"/>
  <c r="B2" i="73" s="1"/>
  <c r="B2" i="74" s="1"/>
  <c r="B2" i="75" s="1"/>
  <c r="AK2" i="76" s="1"/>
  <c r="B2" i="5"/>
  <c r="B2" i="6" s="1"/>
  <c r="B2" i="7" s="1"/>
  <c r="B2" i="8" s="1"/>
  <c r="B2" i="95" s="1"/>
  <c r="B2" i="11" s="1"/>
  <c r="B2" i="12" s="1"/>
  <c r="B2" i="13" s="1"/>
  <c r="B2" i="14" s="1"/>
  <c r="B2" i="15" s="1"/>
  <c r="B2" i="16" s="1"/>
  <c r="B2" i="17" s="1"/>
  <c r="B2" i="18" s="1"/>
  <c r="B2" i="19" s="1"/>
  <c r="B2" i="44" s="1"/>
  <c r="B2" i="96" s="1"/>
  <c r="HZ2" i="86" l="1"/>
  <c r="GH2" i="86"/>
  <c r="EX2" i="86"/>
  <c r="DB2" i="86"/>
  <c r="JB2" i="86"/>
  <c r="KD2" i="86"/>
  <c r="DZ2" i="86"/>
  <c r="CD2" i="86"/>
  <c r="J2" i="86"/>
  <c r="LA2" i="86"/>
  <c r="CL42" i="39" l="1"/>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P12" i="39"/>
  <c r="DD12" i="39"/>
  <c r="CR12" i="39"/>
  <c r="CL12" i="39"/>
  <c r="CF12" i="39"/>
  <c r="BZ12" i="39"/>
  <c r="BT12" i="39"/>
  <c r="BN12" i="39"/>
  <c r="BH12" i="39"/>
  <c r="AP12" i="39"/>
  <c r="L12" i="39"/>
  <c r="DP11" i="39"/>
  <c r="DD11" i="39"/>
  <c r="CR11" i="39"/>
  <c r="CL11" i="39"/>
  <c r="CF11" i="39"/>
  <c r="BZ11" i="39"/>
  <c r="BT11" i="39"/>
  <c r="BN11" i="39"/>
  <c r="BH11" i="39"/>
  <c r="AP11" i="39"/>
  <c r="L11" i="39"/>
  <c r="DP10" i="39"/>
  <c r="DD10" i="39"/>
  <c r="CR10" i="39"/>
  <c r="CL10" i="39"/>
  <c r="CF10" i="39"/>
  <c r="BZ10" i="39"/>
  <c r="BT10" i="39"/>
  <c r="BN10" i="39"/>
  <c r="BH10" i="39"/>
  <c r="AP10" i="39"/>
  <c r="L10" i="39"/>
  <c r="DP9" i="39"/>
  <c r="DD9" i="39"/>
  <c r="CR9" i="39"/>
  <c r="CL9" i="39"/>
  <c r="CF9" i="39"/>
  <c r="BZ9" i="39"/>
  <c r="BT9" i="39"/>
  <c r="BN9" i="39"/>
  <c r="BH9" i="39"/>
  <c r="AP9" i="39"/>
  <c r="L9" i="39"/>
  <c r="DP8" i="39"/>
  <c r="DD8" i="39"/>
  <c r="CR8" i="39"/>
  <c r="CL8" i="39"/>
  <c r="CF8" i="39"/>
  <c r="BZ8" i="39"/>
  <c r="BT8" i="39"/>
  <c r="BN8" i="39"/>
  <c r="BH8" i="39"/>
  <c r="AP8" i="39"/>
  <c r="R8" i="39"/>
  <c r="L8" i="39"/>
  <c r="DP7" i="39"/>
  <c r="DJ7" i="39"/>
  <c r="DD7" i="39"/>
  <c r="CR7" i="39"/>
  <c r="CL7" i="39"/>
  <c r="CF7" i="39"/>
  <c r="BZ7" i="39"/>
  <c r="BT7" i="39"/>
  <c r="BN7" i="39"/>
  <c r="BH7" i="39"/>
  <c r="BB7" i="39"/>
  <c r="AP7" i="39"/>
  <c r="R7" i="39"/>
  <c r="L7" i="39"/>
  <c r="DP6" i="39"/>
  <c r="DJ6" i="39"/>
  <c r="DD6" i="39"/>
  <c r="CR6" i="39"/>
  <c r="CL6" i="39"/>
  <c r="CF6" i="39"/>
  <c r="BZ6" i="39"/>
  <c r="BT6" i="39"/>
  <c r="BN6" i="39"/>
  <c r="BH6" i="39"/>
  <c r="BB6" i="39"/>
  <c r="AP6" i="39"/>
  <c r="R6" i="39"/>
  <c r="L6" i="39"/>
  <c r="DP5" i="39"/>
  <c r="DJ5" i="39"/>
  <c r="DD5" i="39"/>
  <c r="CR5" i="39"/>
  <c r="CL5" i="39"/>
  <c r="CF5" i="39"/>
  <c r="BZ5" i="39"/>
  <c r="BT5" i="39"/>
  <c r="BN5" i="39"/>
  <c r="BH5" i="39"/>
  <c r="BB5" i="39"/>
  <c r="AP5" i="39"/>
  <c r="R5" i="39"/>
  <c r="L5" i="39"/>
  <c r="DP4" i="39"/>
  <c r="DJ4" i="39"/>
  <c r="DD4" i="39"/>
  <c r="CR4" i="39"/>
  <c r="CL4" i="39"/>
  <c r="CF4" i="39"/>
  <c r="BZ4" i="39"/>
  <c r="BT4" i="39"/>
  <c r="BN4" i="39"/>
  <c r="BH4" i="39"/>
  <c r="BB4" i="39"/>
  <c r="AP4" i="39"/>
  <c r="R4" i="39"/>
  <c r="L4" i="39"/>
  <c r="DP3" i="39"/>
  <c r="DJ3"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EJ58" i="37" l="1"/>
  <c r="EJ57" i="37"/>
  <c r="CT57" i="37"/>
  <c r="EJ56" i="37"/>
  <c r="CT56" i="37"/>
  <c r="EJ55" i="37"/>
  <c r="CT55" i="37"/>
  <c r="EJ54" i="37"/>
  <c r="CT54" i="37"/>
  <c r="EJ53" i="37"/>
  <c r="CT53" i="37"/>
  <c r="EJ52" i="37"/>
  <c r="CT52" i="37"/>
  <c r="EJ51" i="37"/>
  <c r="CT51" i="37"/>
  <c r="EJ50" i="37"/>
  <c r="CT50" i="37"/>
  <c r="EJ49" i="37"/>
  <c r="CT49" i="37"/>
  <c r="EJ48" i="37"/>
  <c r="EC48" i="37"/>
  <c r="CT48" i="37"/>
  <c r="EJ47" i="37"/>
  <c r="EC47" i="37"/>
  <c r="CT47" i="37"/>
  <c r="CF47" i="37"/>
  <c r="EJ46" i="37"/>
  <c r="EC46" i="37"/>
  <c r="CT46" i="37"/>
  <c r="CF46" i="37"/>
  <c r="AI46" i="37"/>
  <c r="EJ45" i="37"/>
  <c r="EC45" i="37"/>
  <c r="CT45" i="37"/>
  <c r="CF45" i="37"/>
  <c r="AI45" i="37"/>
  <c r="EJ44" i="37"/>
  <c r="EC44" i="37"/>
  <c r="CT44" i="37"/>
  <c r="CM44" i="37"/>
  <c r="CF44" i="37"/>
  <c r="AI44" i="37"/>
  <c r="EJ43" i="37"/>
  <c r="EC43" i="37"/>
  <c r="CT43" i="37"/>
  <c r="CM43" i="37"/>
  <c r="CF43" i="37"/>
  <c r="AI43" i="37"/>
  <c r="EJ42" i="37"/>
  <c r="EC42" i="37"/>
  <c r="CT42" i="37"/>
  <c r="CM42" i="37"/>
  <c r="CF42" i="37"/>
  <c r="AI42" i="37"/>
  <c r="EJ41" i="37"/>
  <c r="EC41" i="37"/>
  <c r="CT41" i="37"/>
  <c r="CM41" i="37"/>
  <c r="CF41" i="37"/>
  <c r="AI41" i="37"/>
  <c r="N41" i="37"/>
  <c r="EJ40" i="37"/>
  <c r="EC40" i="37"/>
  <c r="CT40" i="37"/>
  <c r="CM40" i="37"/>
  <c r="CF40" i="37"/>
  <c r="AI40" i="37"/>
  <c r="N40" i="37"/>
  <c r="EJ39" i="37"/>
  <c r="EC39" i="37"/>
  <c r="CT39" i="37"/>
  <c r="CM39" i="37"/>
  <c r="CF39" i="37"/>
  <c r="AI39" i="37"/>
  <c r="N39" i="37"/>
  <c r="EJ38" i="37"/>
  <c r="EC38" i="37"/>
  <c r="CT38" i="37"/>
  <c r="CM38" i="37"/>
  <c r="CF38" i="37"/>
  <c r="AI38" i="37"/>
  <c r="N38" i="37"/>
  <c r="EJ37" i="37"/>
  <c r="EC37" i="37"/>
  <c r="CT37" i="37"/>
  <c r="CM37" i="37"/>
  <c r="CF37" i="37"/>
  <c r="AI37" i="37"/>
  <c r="N37" i="37"/>
  <c r="EJ36" i="37"/>
  <c r="EC36" i="37"/>
  <c r="DV36" i="37"/>
  <c r="CT36" i="37"/>
  <c r="CM36" i="37"/>
  <c r="CF36" i="37"/>
  <c r="BK36" i="37"/>
  <c r="AI36" i="37"/>
  <c r="N36" i="37"/>
  <c r="EJ35" i="37"/>
  <c r="EC35" i="37"/>
  <c r="DV35" i="37"/>
  <c r="CT35" i="37"/>
  <c r="CM35" i="37"/>
  <c r="CF35" i="37"/>
  <c r="BR35" i="37"/>
  <c r="BK35" i="37"/>
  <c r="AI35" i="37"/>
  <c r="N35" i="37"/>
  <c r="EJ34" i="37"/>
  <c r="EC34" i="37"/>
  <c r="DV34" i="37"/>
  <c r="DO34" i="37"/>
  <c r="CT34" i="37"/>
  <c r="CM34" i="37"/>
  <c r="CF34" i="37"/>
  <c r="BR34" i="37"/>
  <c r="BK34" i="37"/>
  <c r="AI34" i="37"/>
  <c r="N34" i="37"/>
  <c r="EJ33" i="37"/>
  <c r="EC33" i="37"/>
  <c r="DV33" i="37"/>
  <c r="DO33" i="37"/>
  <c r="DH33" i="37"/>
  <c r="CT33" i="37"/>
  <c r="CM33" i="37"/>
  <c r="CF33" i="37"/>
  <c r="BR33" i="37"/>
  <c r="BK33" i="37"/>
  <c r="AI33" i="37"/>
  <c r="N33" i="37"/>
  <c r="EJ32" i="37"/>
  <c r="EC32" i="37"/>
  <c r="DV32" i="37"/>
  <c r="DO32" i="37"/>
  <c r="DH32" i="37"/>
  <c r="CT32" i="37"/>
  <c r="CM32" i="37"/>
  <c r="CF32" i="37"/>
  <c r="BR32" i="37"/>
  <c r="BK32" i="37"/>
  <c r="AI32" i="37"/>
  <c r="N32" i="37"/>
  <c r="EJ31" i="37"/>
  <c r="EC31" i="37"/>
  <c r="DV31" i="37"/>
  <c r="DO31" i="37"/>
  <c r="DH31" i="37"/>
  <c r="CT31" i="37"/>
  <c r="CM31" i="37"/>
  <c r="CF31" i="37"/>
  <c r="BR31" i="37"/>
  <c r="BK31" i="37"/>
  <c r="AI31" i="37"/>
  <c r="N31" i="37"/>
  <c r="EJ30" i="37"/>
  <c r="EC30" i="37"/>
  <c r="DV30" i="37"/>
  <c r="DO30" i="37"/>
  <c r="DH30" i="37"/>
  <c r="CT30" i="37"/>
  <c r="CM30" i="37"/>
  <c r="CF30" i="37"/>
  <c r="BR30" i="37"/>
  <c r="BK30" i="37"/>
  <c r="AI30" i="37"/>
  <c r="N30" i="37"/>
  <c r="EJ29" i="37"/>
  <c r="EC29" i="37"/>
  <c r="DV29" i="37"/>
  <c r="DO29" i="37"/>
  <c r="DH29" i="37"/>
  <c r="DA29" i="37"/>
  <c r="CT29" i="37"/>
  <c r="CM29" i="37"/>
  <c r="CF29" i="37"/>
  <c r="BR29" i="37"/>
  <c r="BK29" i="37"/>
  <c r="AI29" i="37"/>
  <c r="N29" i="37"/>
  <c r="EJ28" i="37"/>
  <c r="EC28" i="37"/>
  <c r="DV28" i="37"/>
  <c r="DO28" i="37"/>
  <c r="DH28" i="37"/>
  <c r="DA28" i="37"/>
  <c r="CT28" i="37"/>
  <c r="CM28" i="37"/>
  <c r="CF28" i="37"/>
  <c r="BR28" i="37"/>
  <c r="BK28" i="37"/>
  <c r="AI28" i="37"/>
  <c r="N28" i="37"/>
  <c r="EJ27" i="37"/>
  <c r="EC27" i="37"/>
  <c r="DV27" i="37"/>
  <c r="DO27" i="37"/>
  <c r="DH27" i="37"/>
  <c r="DA27" i="37"/>
  <c r="CT27" i="37"/>
  <c r="CM27" i="37"/>
  <c r="CF27" i="37"/>
  <c r="BR27" i="37"/>
  <c r="BK27" i="37"/>
  <c r="AI27" i="37"/>
  <c r="N27" i="37"/>
  <c r="EJ26" i="37"/>
  <c r="EC26" i="37"/>
  <c r="DV26" i="37"/>
  <c r="DO26" i="37"/>
  <c r="DH26" i="37"/>
  <c r="DA26" i="37"/>
  <c r="CT26" i="37"/>
  <c r="CM26" i="37"/>
  <c r="CF26" i="37"/>
  <c r="BR26" i="37"/>
  <c r="BK26" i="37"/>
  <c r="AI26" i="37"/>
  <c r="N26" i="37"/>
  <c r="EJ25" i="37"/>
  <c r="EC25" i="37"/>
  <c r="DV25" i="37"/>
  <c r="DO25" i="37"/>
  <c r="DH25" i="37"/>
  <c r="DA25" i="37"/>
  <c r="CT25" i="37"/>
  <c r="CM25" i="37"/>
  <c r="CF25" i="37"/>
  <c r="BR25" i="37"/>
  <c r="BK25" i="37"/>
  <c r="AI25" i="37"/>
  <c r="N25" i="37"/>
  <c r="EJ24" i="37"/>
  <c r="EC24" i="37"/>
  <c r="DV24" i="37"/>
  <c r="DO24" i="37"/>
  <c r="DH24" i="37"/>
  <c r="DA24" i="37"/>
  <c r="CT24" i="37"/>
  <c r="CM24" i="37"/>
  <c r="CF24" i="37"/>
  <c r="BR24" i="37"/>
  <c r="BK24" i="37"/>
  <c r="AI24" i="37"/>
  <c r="N24" i="37"/>
  <c r="EJ23" i="37"/>
  <c r="EC23" i="37"/>
  <c r="DV23" i="37"/>
  <c r="DO23" i="37"/>
  <c r="DH23" i="37"/>
  <c r="DA23" i="37"/>
  <c r="CT23" i="37"/>
  <c r="CM23" i="37"/>
  <c r="CF23" i="37"/>
  <c r="BR23" i="37"/>
  <c r="BK23" i="37"/>
  <c r="BD23" i="37"/>
  <c r="AI23" i="37"/>
  <c r="U23" i="37"/>
  <c r="N23" i="37"/>
  <c r="EJ22" i="37"/>
  <c r="EC22" i="37"/>
  <c r="DV22" i="37"/>
  <c r="DO22" i="37"/>
  <c r="DH22" i="37"/>
  <c r="DA22" i="37"/>
  <c r="CT22" i="37"/>
  <c r="CM22" i="37"/>
  <c r="CF22" i="37"/>
  <c r="BR22" i="37"/>
  <c r="BK22" i="37"/>
  <c r="BD22" i="37"/>
  <c r="AI22" i="37"/>
  <c r="U22" i="37"/>
  <c r="N22" i="37"/>
  <c r="EJ21" i="37"/>
  <c r="EC21" i="37"/>
  <c r="DV21" i="37"/>
  <c r="DO21" i="37"/>
  <c r="DH21" i="37"/>
  <c r="DA21" i="37"/>
  <c r="CT21" i="37"/>
  <c r="CM21" i="37"/>
  <c r="CF21" i="37"/>
  <c r="BR21" i="37"/>
  <c r="BK21" i="37"/>
  <c r="BD21" i="37"/>
  <c r="AI21" i="37"/>
  <c r="U21" i="37"/>
  <c r="N21" i="37"/>
  <c r="EJ20" i="37"/>
  <c r="EC20" i="37"/>
  <c r="DV20" i="37"/>
  <c r="DO20" i="37"/>
  <c r="DH20" i="37"/>
  <c r="DA20" i="37"/>
  <c r="CT20" i="37"/>
  <c r="CM20" i="37"/>
  <c r="CF20" i="37"/>
  <c r="BR20" i="37"/>
  <c r="BK20" i="37"/>
  <c r="BD20" i="37"/>
  <c r="AI20" i="37"/>
  <c r="U20" i="37"/>
  <c r="N20" i="37"/>
  <c r="EJ19" i="37"/>
  <c r="EC19" i="37"/>
  <c r="DV19" i="37"/>
  <c r="DO19" i="37"/>
  <c r="DH19" i="37"/>
  <c r="DA19" i="37"/>
  <c r="CT19" i="37"/>
  <c r="CM19" i="37"/>
  <c r="CF19" i="37"/>
  <c r="BR19" i="37"/>
  <c r="BK19" i="37"/>
  <c r="BD19" i="37"/>
  <c r="AI19" i="37"/>
  <c r="U19" i="37"/>
  <c r="N19" i="37"/>
  <c r="EJ18" i="37"/>
  <c r="EC18" i="37"/>
  <c r="DV18" i="37"/>
  <c r="DO18" i="37"/>
  <c r="DH18" i="37"/>
  <c r="DA18" i="37"/>
  <c r="CT18" i="37"/>
  <c r="CM18" i="37"/>
  <c r="CF18" i="37"/>
  <c r="BR18" i="37"/>
  <c r="BK18" i="37"/>
  <c r="BD18" i="37"/>
  <c r="AI18" i="37"/>
  <c r="U18" i="37"/>
  <c r="N18" i="37"/>
  <c r="EJ17" i="37"/>
  <c r="EC17" i="37"/>
  <c r="DV17" i="37"/>
  <c r="DO17" i="37"/>
  <c r="DH17" i="37"/>
  <c r="DA17" i="37"/>
  <c r="CT17" i="37"/>
  <c r="CM17" i="37"/>
  <c r="CF17" i="37"/>
  <c r="BY17" i="37"/>
  <c r="BR17" i="37"/>
  <c r="BK17" i="37"/>
  <c r="BD17" i="37"/>
  <c r="AW17" i="37"/>
  <c r="AI17" i="37"/>
  <c r="U17" i="37"/>
  <c r="N17" i="37"/>
  <c r="EJ16" i="37"/>
  <c r="EC16" i="37"/>
  <c r="DV16" i="37"/>
  <c r="DO16" i="37"/>
  <c r="DH16" i="37"/>
  <c r="DA16" i="37"/>
  <c r="CT16" i="37"/>
  <c r="CM16" i="37"/>
  <c r="CF16" i="37"/>
  <c r="BY16" i="37"/>
  <c r="BR16" i="37"/>
  <c r="BK16" i="37"/>
  <c r="BD16" i="37"/>
  <c r="AW16" i="37"/>
  <c r="AI16" i="37"/>
  <c r="U16" i="37"/>
  <c r="N16" i="37"/>
  <c r="EJ15" i="37"/>
  <c r="EC15" i="37"/>
  <c r="DV15" i="37"/>
  <c r="DO15" i="37"/>
  <c r="DH15" i="37"/>
  <c r="DA15" i="37"/>
  <c r="CT15" i="37"/>
  <c r="CM15" i="37"/>
  <c r="CF15" i="37"/>
  <c r="BY15" i="37"/>
  <c r="BR15" i="37"/>
  <c r="BK15" i="37"/>
  <c r="BD15" i="37"/>
  <c r="AW15" i="37"/>
  <c r="AP15" i="37"/>
  <c r="AI15" i="37"/>
  <c r="AB15" i="37"/>
  <c r="U15" i="37"/>
  <c r="N15" i="37"/>
  <c r="G15" i="37"/>
  <c r="EJ14" i="37"/>
  <c r="EC14" i="37"/>
  <c r="DV14" i="37"/>
  <c r="DO14" i="37"/>
  <c r="DH14" i="37"/>
  <c r="DA14" i="37"/>
  <c r="CT14" i="37"/>
  <c r="CM14" i="37"/>
  <c r="CF14" i="37"/>
  <c r="BY14" i="37"/>
  <c r="BR14" i="37"/>
  <c r="BK14" i="37"/>
  <c r="BD14" i="37"/>
  <c r="AW14" i="37"/>
  <c r="AP14" i="37"/>
  <c r="AI14" i="37"/>
  <c r="AB14" i="37"/>
  <c r="U14" i="37"/>
  <c r="N14" i="37"/>
  <c r="G14" i="37"/>
  <c r="EJ13" i="37"/>
  <c r="EC13" i="37"/>
  <c r="DV13" i="37"/>
  <c r="DO13" i="37"/>
  <c r="DH13" i="37"/>
  <c r="DA13" i="37"/>
  <c r="CT13" i="37"/>
  <c r="CM13" i="37"/>
  <c r="CF13" i="37"/>
  <c r="BY13" i="37"/>
  <c r="BR13" i="37"/>
  <c r="BK13" i="37"/>
  <c r="BD13" i="37"/>
  <c r="AW13" i="37"/>
  <c r="AP13" i="37"/>
  <c r="AI13" i="37"/>
  <c r="AB13" i="37"/>
  <c r="U13" i="37"/>
  <c r="N13" i="37"/>
  <c r="G13" i="37"/>
  <c r="EJ12" i="37"/>
  <c r="EC12" i="37"/>
  <c r="DV12" i="37"/>
  <c r="DO12" i="37"/>
  <c r="DH12" i="37"/>
  <c r="DA12" i="37"/>
  <c r="CT12" i="37"/>
  <c r="CM12" i="37"/>
  <c r="CF12" i="37"/>
  <c r="BY12" i="37"/>
  <c r="BR12" i="37"/>
  <c r="BK12" i="37"/>
  <c r="BD12" i="37"/>
  <c r="AW12" i="37"/>
  <c r="AP12" i="37"/>
  <c r="AI12" i="37"/>
  <c r="AB12" i="37"/>
  <c r="U12" i="37"/>
  <c r="N12" i="37"/>
  <c r="G12" i="37"/>
  <c r="EJ11" i="37"/>
  <c r="EC11" i="37"/>
  <c r="DV11" i="37"/>
  <c r="DO11" i="37"/>
  <c r="DH11" i="37"/>
  <c r="DA11" i="37"/>
  <c r="CT11" i="37"/>
  <c r="CM11" i="37"/>
  <c r="CF11" i="37"/>
  <c r="BY11" i="37"/>
  <c r="BR11" i="37"/>
  <c r="BK11" i="37"/>
  <c r="BD11" i="37"/>
  <c r="AW11" i="37"/>
  <c r="AP11" i="37"/>
  <c r="AI11" i="37"/>
  <c r="AB11" i="37"/>
  <c r="U11" i="37"/>
  <c r="N11" i="37"/>
  <c r="G11" i="37"/>
  <c r="EJ10" i="37"/>
  <c r="EC10" i="37"/>
  <c r="DV10" i="37"/>
  <c r="DO10" i="37"/>
  <c r="DH10" i="37"/>
  <c r="DA10" i="37"/>
  <c r="CT10" i="37"/>
  <c r="CM10" i="37"/>
  <c r="CF10" i="37"/>
  <c r="BY10" i="37"/>
  <c r="BR10" i="37"/>
  <c r="BK10" i="37"/>
  <c r="BD10" i="37"/>
  <c r="AW10" i="37"/>
  <c r="AP10" i="37"/>
  <c r="AI10" i="37"/>
  <c r="AB10" i="37"/>
  <c r="U10" i="37"/>
  <c r="N10" i="37"/>
  <c r="G10" i="37"/>
  <c r="EJ9" i="37"/>
  <c r="EC9" i="37"/>
  <c r="DV9" i="37"/>
  <c r="DO9" i="37"/>
  <c r="DH9" i="37"/>
  <c r="DA9" i="37"/>
  <c r="CT9" i="37"/>
  <c r="CM9" i="37"/>
  <c r="CF9" i="37"/>
  <c r="BY9" i="37"/>
  <c r="BR9" i="37"/>
  <c r="BK9" i="37"/>
  <c r="BD9" i="37"/>
  <c r="AW9" i="37"/>
  <c r="AP9" i="37"/>
  <c r="AI9" i="37"/>
  <c r="AB9" i="37"/>
  <c r="U9" i="37"/>
  <c r="N9" i="37"/>
  <c r="G9" i="37"/>
  <c r="EJ8" i="37"/>
  <c r="EC8" i="37"/>
  <c r="DV8" i="37"/>
  <c r="DO8" i="37"/>
  <c r="DH8" i="37"/>
  <c r="DA8" i="37"/>
  <c r="CT8" i="37"/>
  <c r="CM8" i="37"/>
  <c r="CF8" i="37"/>
  <c r="BY8" i="37"/>
  <c r="BR8" i="37"/>
  <c r="BK8" i="37"/>
  <c r="BD8" i="37"/>
  <c r="AW8" i="37"/>
  <c r="AP8" i="37"/>
  <c r="AI8" i="37"/>
  <c r="AB8" i="37"/>
  <c r="U8" i="37"/>
  <c r="N8" i="37"/>
  <c r="G8" i="37"/>
  <c r="EJ7" i="37"/>
  <c r="EC7" i="37"/>
  <c r="DV7" i="37"/>
  <c r="DO7" i="37"/>
  <c r="DH7" i="37"/>
  <c r="DA7" i="37"/>
  <c r="CT7" i="37"/>
  <c r="CM7" i="37"/>
  <c r="CF7" i="37"/>
  <c r="BY7" i="37"/>
  <c r="BR7" i="37"/>
  <c r="BK7" i="37"/>
  <c r="BD7" i="37"/>
  <c r="AW7" i="37"/>
  <c r="AP7" i="37"/>
  <c r="AB7" i="37"/>
  <c r="U7" i="37"/>
  <c r="N7" i="37"/>
  <c r="G7" i="37"/>
  <c r="EJ6" i="37"/>
  <c r="EC6" i="37"/>
  <c r="DV6" i="37"/>
  <c r="DO6" i="37"/>
  <c r="DH6" i="37"/>
  <c r="CT6" i="37"/>
  <c r="CM6" i="37"/>
  <c r="CF6" i="37"/>
  <c r="BY6" i="37"/>
  <c r="BR6" i="37"/>
  <c r="BK6" i="37"/>
  <c r="BD6" i="37"/>
  <c r="AW6" i="37"/>
  <c r="AP6" i="37"/>
  <c r="AI6" i="37"/>
  <c r="AB6" i="37"/>
  <c r="U6" i="37"/>
  <c r="N6" i="37"/>
  <c r="G6" i="37"/>
  <c r="EJ5" i="37"/>
  <c r="EC5" i="37"/>
  <c r="DV5" i="37"/>
  <c r="DO5" i="37"/>
  <c r="DH5" i="37"/>
  <c r="DA5" i="37"/>
  <c r="CT5" i="37"/>
  <c r="CM5" i="37"/>
  <c r="CF5" i="37"/>
  <c r="BY5" i="37"/>
  <c r="BR5" i="37"/>
  <c r="BK5" i="37"/>
  <c r="BD5" i="37"/>
  <c r="AW5" i="37"/>
  <c r="AP5" i="37"/>
  <c r="AI5" i="37"/>
  <c r="AB5" i="37"/>
  <c r="U5" i="37"/>
  <c r="N5" i="37"/>
  <c r="G5" i="37"/>
  <c r="EJ4" i="37"/>
  <c r="EC4" i="37"/>
  <c r="DV4" i="37"/>
  <c r="DO4" i="37"/>
  <c r="DH4" i="37"/>
  <c r="DA4" i="37"/>
  <c r="CT4" i="37"/>
  <c r="CM4" i="37"/>
  <c r="CF4" i="37"/>
  <c r="BY4" i="37"/>
  <c r="BR4" i="37"/>
  <c r="BK4" i="37"/>
  <c r="BD4" i="37"/>
  <c r="AW4" i="37"/>
  <c r="AP4" i="37"/>
  <c r="AI4" i="37"/>
  <c r="AB4" i="37"/>
  <c r="U4" i="37"/>
  <c r="N4" i="37"/>
  <c r="G4" i="37"/>
  <c r="EJ3" i="37"/>
  <c r="EC3" i="37"/>
  <c r="DV3" i="37"/>
  <c r="DO3" i="37"/>
  <c r="DH3" i="37"/>
  <c r="DA3" i="37"/>
  <c r="CT3" i="37"/>
  <c r="CM3" i="37"/>
  <c r="CF3" i="37"/>
  <c r="BY3" i="37"/>
  <c r="BR3" i="37"/>
  <c r="BK3" i="37"/>
  <c r="BD3" i="37"/>
  <c r="AW3" i="37"/>
  <c r="AP3" i="37"/>
  <c r="AI3" i="37"/>
  <c r="AB3" i="37"/>
  <c r="U3" i="37"/>
  <c r="N3" i="37"/>
  <c r="G3" i="37"/>
  <c r="EJ2" i="37"/>
  <c r="EC2" i="37"/>
  <c r="DV2" i="37"/>
  <c r="DO2" i="37"/>
  <c r="DH2" i="37"/>
  <c r="DA2" i="37"/>
  <c r="CT2" i="37"/>
  <c r="CM2" i="37"/>
  <c r="CF2" i="37"/>
  <c r="BY2" i="37"/>
  <c r="BR2" i="37"/>
  <c r="BK2" i="37"/>
  <c r="BD2" i="37"/>
  <c r="AW2" i="37"/>
  <c r="AP2" i="37"/>
  <c r="AI2" i="37"/>
  <c r="AB2" i="37"/>
  <c r="U2" i="37"/>
  <c r="N2" i="37"/>
  <c r="G2" i="37"/>
  <c r="AA18" i="95" l="1"/>
  <c r="AA17" i="95"/>
  <c r="AZ17" i="95" l="1"/>
  <c r="AZ18" i="95"/>
  <c r="AM6" i="11" l="1"/>
  <c r="Q14" i="95" l="1"/>
  <c r="K14" i="95"/>
  <c r="AG18" i="95"/>
  <c r="G5090" i="97" l="1"/>
  <c r="G5089" i="97"/>
  <c r="G5088" i="97"/>
  <c r="G5068" i="97"/>
  <c r="G5067" i="97"/>
  <c r="G5066" i="97"/>
  <c r="G5046" i="97"/>
  <c r="G5045" i="97"/>
  <c r="G5044" i="97"/>
  <c r="W34" i="75"/>
  <c r="W33" i="75"/>
  <c r="W32" i="75"/>
  <c r="V34" i="75"/>
  <c r="U34" i="75"/>
  <c r="V33" i="75"/>
  <c r="U33" i="75"/>
  <c r="V32" i="75"/>
  <c r="U32" i="75"/>
  <c r="AQ34" i="75"/>
  <c r="B5090" i="97" s="1"/>
  <c r="AP34" i="75"/>
  <c r="B5068" i="97" s="1"/>
  <c r="AO34" i="75"/>
  <c r="B5046" i="97" s="1"/>
  <c r="AQ33" i="75"/>
  <c r="B5089" i="97" s="1"/>
  <c r="AP33" i="75"/>
  <c r="B5067" i="97" s="1"/>
  <c r="AO33" i="75"/>
  <c r="B5045" i="97" s="1"/>
  <c r="AQ32" i="75"/>
  <c r="B5088" i="97" s="1"/>
  <c r="AP32" i="75"/>
  <c r="B5066" i="97" s="1"/>
  <c r="AO32" i="75"/>
  <c r="B5044" i="97" s="1"/>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2" i="97"/>
  <c r="G1481" i="97"/>
  <c r="G1480" i="97"/>
  <c r="G1477" i="97"/>
  <c r="G1476" i="97"/>
  <c r="G1475" i="97"/>
  <c r="G1473" i="97"/>
  <c r="G1472" i="97"/>
  <c r="G1471" i="97"/>
  <c r="G1469" i="97"/>
  <c r="G1468" i="97"/>
  <c r="G1467" i="97"/>
  <c r="G1464" i="97"/>
  <c r="G1463" i="97"/>
  <c r="G1462"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l="1"/>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O18" i="95"/>
  <c r="G605" i="97" s="1"/>
  <c r="O17" i="95"/>
  <c r="G604" i="97" s="1"/>
  <c r="O16" i="95"/>
  <c r="G603" i="97" s="1"/>
  <c r="O15" i="95"/>
  <c r="G602" i="97" s="1"/>
  <c r="O14" i="95"/>
  <c r="I41" i="95"/>
  <c r="G489" i="97" s="1"/>
  <c r="I40" i="95"/>
  <c r="G488" i="97" s="1"/>
  <c r="I26" i="95"/>
  <c r="G481" i="97" s="1"/>
  <c r="I25" i="95"/>
  <c r="G480" i="97" s="1"/>
  <c r="I24" i="95"/>
  <c r="G479" i="97" s="1"/>
  <c r="I23" i="95"/>
  <c r="I18" i="95"/>
  <c r="G476" i="97" s="1"/>
  <c r="I17" i="95"/>
  <c r="G475" i="97" s="1"/>
  <c r="I16" i="95"/>
  <c r="G474" i="97" s="1"/>
  <c r="I15" i="95"/>
  <c r="G473" i="97" s="1"/>
  <c r="I14" i="95"/>
  <c r="G478" i="97" l="1"/>
  <c r="G607" i="97"/>
  <c r="G472" i="97"/>
  <c r="H14" i="95"/>
  <c r="G601" i="97"/>
  <c r="N14" i="95"/>
  <c r="G19" i="67"/>
  <c r="G4407" i="97" s="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J36" i="34"/>
  <c r="AA35" i="34"/>
  <c r="Z35" i="34"/>
  <c r="Y35" i="34"/>
  <c r="X35" i="34"/>
  <c r="W35" i="34"/>
  <c r="V35" i="34"/>
  <c r="U35" i="34"/>
  <c r="J35" i="34"/>
  <c r="AA34" i="34"/>
  <c r="Z34" i="34"/>
  <c r="Y34" i="34"/>
  <c r="X34" i="34"/>
  <c r="W34" i="34"/>
  <c r="V34" i="34"/>
  <c r="U34" i="34"/>
  <c r="R34" i="34" s="1"/>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s="1"/>
  <c r="G37" i="33"/>
  <c r="G2280" i="97" s="1"/>
  <c r="O11" i="96"/>
  <c r="R35" i="34" l="1"/>
  <c r="R36" i="34"/>
  <c r="K36" i="33"/>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P27" i="95"/>
  <c r="G632" i="97" s="1"/>
  <c r="M27" i="95"/>
  <c r="G567" i="97" s="1"/>
  <c r="L27" i="95"/>
  <c r="J27" i="95"/>
  <c r="G503" i="97" s="1"/>
  <c r="G545" i="97" l="1"/>
  <c r="G674" i="97"/>
  <c r="Q26" i="95"/>
  <c r="Q25" i="95"/>
  <c r="Q24" i="95"/>
  <c r="Q23" i="95"/>
  <c r="P9" i="95"/>
  <c r="G620" i="97" s="1"/>
  <c r="K26" i="95"/>
  <c r="K25" i="95"/>
  <c r="K24" i="95"/>
  <c r="K23" i="95"/>
  <c r="J9" i="95"/>
  <c r="G491" i="97" s="1"/>
  <c r="G520" i="97" l="1"/>
  <c r="G521" i="97"/>
  <c r="G522" i="97"/>
  <c r="G523" i="97"/>
  <c r="G649" i="97"/>
  <c r="G650" i="97"/>
  <c r="G651" i="97"/>
  <c r="G652" i="97"/>
  <c r="O27" i="95"/>
  <c r="Q27" i="95"/>
  <c r="K27" i="95"/>
  <c r="R42" i="95"/>
  <c r="R35" i="95" s="1"/>
  <c r="G678" i="97" s="1"/>
  <c r="M42" i="95"/>
  <c r="M35" i="95" s="1"/>
  <c r="Q41" i="95"/>
  <c r="O42" i="95"/>
  <c r="O35" i="95" s="1"/>
  <c r="G615" i="97" s="1"/>
  <c r="Q40" i="95"/>
  <c r="N31" i="95"/>
  <c r="Q16" i="95"/>
  <c r="Q15" i="95"/>
  <c r="N11" i="95"/>
  <c r="M10" i="95"/>
  <c r="O9" i="95"/>
  <c r="O8" i="95"/>
  <c r="K41" i="95"/>
  <c r="K40" i="95"/>
  <c r="K16" i="95"/>
  <c r="K15" i="95"/>
  <c r="H31" i="95"/>
  <c r="G27" i="95"/>
  <c r="G438" i="97" s="1"/>
  <c r="H11" i="95"/>
  <c r="G10" i="95"/>
  <c r="G426" i="97" s="1"/>
  <c r="I9" i="95"/>
  <c r="G469" i="97" s="1"/>
  <c r="I8" i="95"/>
  <c r="G524" i="97" l="1"/>
  <c r="G653" i="97"/>
  <c r="G611" i="97"/>
  <c r="G468" i="97"/>
  <c r="L8" i="95"/>
  <c r="G532" i="97" s="1"/>
  <c r="G450" i="97"/>
  <c r="G449" i="97"/>
  <c r="H17" i="95"/>
  <c r="G453" i="97" s="1"/>
  <c r="H23" i="95"/>
  <c r="H24" i="95"/>
  <c r="G457" i="97" s="1"/>
  <c r="H25" i="95"/>
  <c r="G458" i="97" s="1"/>
  <c r="H26" i="95"/>
  <c r="G459" i="97" s="1"/>
  <c r="I31" i="95"/>
  <c r="G484" i="97" s="1"/>
  <c r="G462" i="97"/>
  <c r="G530" i="97"/>
  <c r="H40" i="95"/>
  <c r="G466" i="97" s="1"/>
  <c r="G531" i="97"/>
  <c r="H41" i="95"/>
  <c r="G467" i="97" s="1"/>
  <c r="G597" i="97"/>
  <c r="R8" i="95"/>
  <c r="G661" i="97" s="1"/>
  <c r="R9" i="95"/>
  <c r="G598" i="97"/>
  <c r="M20" i="95"/>
  <c r="G555" i="97"/>
  <c r="G579" i="97"/>
  <c r="G578" i="97"/>
  <c r="N18" i="95"/>
  <c r="G583" i="97" s="1"/>
  <c r="N17" i="95"/>
  <c r="G582" i="97" s="1"/>
  <c r="N23" i="95"/>
  <c r="N24" i="95"/>
  <c r="G586" i="97" s="1"/>
  <c r="N25" i="95"/>
  <c r="G587" i="97" s="1"/>
  <c r="N26" i="95"/>
  <c r="G588" i="97" s="1"/>
  <c r="O31" i="95"/>
  <c r="G591" i="97"/>
  <c r="P40" i="95"/>
  <c r="G571" i="97"/>
  <c r="G659" i="97"/>
  <c r="N40" i="95"/>
  <c r="G595" i="97" s="1"/>
  <c r="G660" i="97"/>
  <c r="N41" i="95"/>
  <c r="G596" i="97" s="1"/>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G456" i="97" l="1"/>
  <c r="G585" i="97"/>
  <c r="Q8" i="95"/>
  <c r="N8" i="95" s="1"/>
  <c r="G575" i="97" s="1"/>
  <c r="N42" i="95"/>
  <c r="N35" i="95" s="1"/>
  <c r="G593" i="97" s="1"/>
  <c r="G640" i="97"/>
  <c r="P20" i="95"/>
  <c r="G627" i="97" s="1"/>
  <c r="G621" i="97"/>
  <c r="P42" i="95"/>
  <c r="P35" i="95" s="1"/>
  <c r="G636" i="97" s="1"/>
  <c r="G638" i="97"/>
  <c r="R31" i="95"/>
  <c r="G676" i="97" s="1"/>
  <c r="G613" i="97"/>
  <c r="M29" i="95"/>
  <c r="G562" i="97"/>
  <c r="Q9" i="95"/>
  <c r="Q10" i="95" s="1"/>
  <c r="G662" i="97"/>
  <c r="P29" i="95"/>
  <c r="N27" i="95"/>
  <c r="H27" i="95"/>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G460" i="97" l="1"/>
  <c r="G589" i="97"/>
  <c r="Q20" i="95"/>
  <c r="Q29" i="95" s="1"/>
  <c r="G642" i="97"/>
  <c r="R20" i="95"/>
  <c r="R29" i="95" s="1"/>
  <c r="G663" i="97"/>
  <c r="P33" i="95"/>
  <c r="G633" i="97"/>
  <c r="G641" i="97"/>
  <c r="N9" i="95"/>
  <c r="G568" i="97"/>
  <c r="M33" i="95"/>
  <c r="G648" i="97" l="1"/>
  <c r="G669" i="97"/>
  <c r="M37" i="95"/>
  <c r="G572" i="97" s="1"/>
  <c r="G570" i="97"/>
  <c r="G576" i="97"/>
  <c r="N10" i="95"/>
  <c r="P37" i="95"/>
  <c r="G637" i="97" s="1"/>
  <c r="G635" i="97"/>
  <c r="R33" i="95"/>
  <c r="G675" i="97"/>
  <c r="Q33" i="95"/>
  <c r="G654" i="97"/>
  <c r="T26" i="95"/>
  <c r="N20" i="95" l="1"/>
  <c r="G577" i="97"/>
  <c r="R37" i="95"/>
  <c r="G677" i="97"/>
  <c r="Q37" i="95"/>
  <c r="G656" i="97"/>
  <c r="N12" i="33"/>
  <c r="J37" i="15"/>
  <c r="G1162" i="97" s="1"/>
  <c r="J26" i="15"/>
  <c r="G1155" i="97" s="1"/>
  <c r="J15" i="15"/>
  <c r="G1148" i="97" s="1"/>
  <c r="O37" i="15"/>
  <c r="O26" i="15"/>
  <c r="O15" i="15"/>
  <c r="LN65" i="86"/>
  <c r="LM65" i="86"/>
  <c r="LN44" i="86"/>
  <c r="LM44" i="86"/>
  <c r="G658" i="97" l="1"/>
  <c r="G679" i="97"/>
  <c r="G584" i="97"/>
  <c r="N29" i="95"/>
  <c r="B1087" i="97"/>
  <c r="B1079" i="97"/>
  <c r="B1080" i="97"/>
  <c r="B1073" i="97"/>
  <c r="N33" i="95" l="1"/>
  <c r="G590" i="97"/>
  <c r="M44" i="86"/>
  <c r="L44" i="86"/>
  <c r="M65" i="86"/>
  <c r="L65" i="86"/>
  <c r="N37" i="95" l="1"/>
  <c r="G592" i="97"/>
  <c r="LF71" i="86"/>
  <c r="LC71" i="86" s="1"/>
  <c r="LF70" i="86"/>
  <c r="LC70" i="86" s="1"/>
  <c r="AG58" i="21"/>
  <c r="AF58" i="21"/>
  <c r="AC58" i="21"/>
  <c r="AA58" i="21"/>
  <c r="Y58" i="21"/>
  <c r="G594" i="97" l="1"/>
  <c r="DK8" i="39"/>
  <c r="DL8" i="39"/>
  <c r="DK9" i="39"/>
  <c r="DL9" i="39"/>
  <c r="DK10" i="39"/>
  <c r="DL10" i="39"/>
  <c r="DK11" i="39"/>
  <c r="DL11" i="39"/>
  <c r="DK12" i="39"/>
  <c r="DL12" i="39"/>
  <c r="C118" i="86" l="1"/>
  <c r="C117" i="86"/>
  <c r="C116" i="86"/>
  <c r="G69" i="86" l="1"/>
  <c r="H69" i="86"/>
  <c r="I69" i="86"/>
  <c r="F69" i="86"/>
  <c r="G65" i="86"/>
  <c r="H65" i="86"/>
  <c r="I65" i="86"/>
  <c r="F65" i="86"/>
  <c r="DE4" i="39" l="1"/>
  <c r="DF4" i="39"/>
  <c r="DG4" i="39"/>
  <c r="DH4" i="39"/>
  <c r="DI4" i="39"/>
  <c r="DK4" i="39"/>
  <c r="DL4" i="39"/>
  <c r="DM4" i="39"/>
  <c r="DN4" i="39"/>
  <c r="DO4" i="39"/>
  <c r="DE5" i="39"/>
  <c r="DF5" i="39"/>
  <c r="DG5" i="39"/>
  <c r="DH5" i="39"/>
  <c r="DI5" i="39"/>
  <c r="DK5" i="39"/>
  <c r="DL5" i="39"/>
  <c r="DM5" i="39"/>
  <c r="DN5" i="39"/>
  <c r="DO5" i="39"/>
  <c r="DE6" i="39"/>
  <c r="DF6" i="39"/>
  <c r="DG6" i="39"/>
  <c r="DH6" i="39"/>
  <c r="DI6" i="39"/>
  <c r="DK6" i="39"/>
  <c r="DL6" i="39"/>
  <c r="DM6" i="39"/>
  <c r="DN6" i="39"/>
  <c r="DO6" i="39"/>
  <c r="DE7" i="39"/>
  <c r="DF7" i="39"/>
  <c r="DG7" i="39"/>
  <c r="DH7" i="39"/>
  <c r="DI7" i="39"/>
  <c r="DK7" i="39"/>
  <c r="DL7" i="39"/>
  <c r="DM7" i="39"/>
  <c r="DN7" i="39"/>
  <c r="DO7" i="39"/>
  <c r="DM8" i="39"/>
  <c r="DN8" i="39"/>
  <c r="DO8" i="39"/>
  <c r="DM9" i="39"/>
  <c r="DN9" i="39"/>
  <c r="DO9" i="39"/>
  <c r="DM10" i="39"/>
  <c r="DN10" i="39"/>
  <c r="DO10" i="39"/>
  <c r="DM11" i="39"/>
  <c r="DN11" i="39"/>
  <c r="DO11" i="39"/>
  <c r="DM12" i="39"/>
  <c r="DN12" i="39"/>
  <c r="DO12" i="39"/>
  <c r="DO3" i="39"/>
  <c r="DN3" i="39"/>
  <c r="DM3" i="39"/>
  <c r="DL3" i="39"/>
  <c r="DK3" i="39"/>
  <c r="DI3" i="39"/>
  <c r="DH3" i="39"/>
  <c r="DG3" i="39"/>
  <c r="DF3" i="39"/>
  <c r="DE3" i="39"/>
  <c r="DN2" i="39"/>
  <c r="DM2" i="39"/>
  <c r="DH2" i="39"/>
  <c r="DG2" i="39"/>
  <c r="ED4" i="37" l="1"/>
  <c r="EE4" i="37"/>
  <c r="EF4" i="37"/>
  <c r="EG4" i="37"/>
  <c r="EH4" i="37"/>
  <c r="EI4" i="37"/>
  <c r="ED5" i="37"/>
  <c r="EE5" i="37"/>
  <c r="EF5" i="37"/>
  <c r="EG5" i="37"/>
  <c r="EH5" i="37"/>
  <c r="EI5" i="37"/>
  <c r="ED6" i="37"/>
  <c r="EE6" i="37"/>
  <c r="EF6" i="37"/>
  <c r="EG6" i="37"/>
  <c r="EH6" i="37"/>
  <c r="EI6" i="37"/>
  <c r="ED7" i="37"/>
  <c r="EE7" i="37"/>
  <c r="EF7" i="37"/>
  <c r="EG7" i="37"/>
  <c r="EH7" i="37"/>
  <c r="EI7" i="37"/>
  <c r="ED8" i="37"/>
  <c r="EE8" i="37"/>
  <c r="EF8" i="37"/>
  <c r="EG8" i="37"/>
  <c r="EH8" i="37"/>
  <c r="EI8" i="37"/>
  <c r="ED9" i="37"/>
  <c r="EE9" i="37"/>
  <c r="EF9" i="37"/>
  <c r="EG9" i="37"/>
  <c r="EH9" i="37"/>
  <c r="EI9" i="37"/>
  <c r="ED10" i="37"/>
  <c r="EE10" i="37"/>
  <c r="EF10" i="37"/>
  <c r="EG10" i="37"/>
  <c r="EH10" i="37"/>
  <c r="EI10" i="37"/>
  <c r="ED11" i="37"/>
  <c r="EE11" i="37"/>
  <c r="EF11" i="37"/>
  <c r="EG11" i="37"/>
  <c r="EH11" i="37"/>
  <c r="EI11" i="37"/>
  <c r="ED12" i="37"/>
  <c r="EE12" i="37"/>
  <c r="EF12" i="37"/>
  <c r="EG12" i="37"/>
  <c r="EH12" i="37"/>
  <c r="EI12" i="37"/>
  <c r="ED13" i="37"/>
  <c r="EE13" i="37"/>
  <c r="EF13" i="37"/>
  <c r="EG13" i="37"/>
  <c r="EH13" i="37"/>
  <c r="EI13" i="37"/>
  <c r="ED14" i="37"/>
  <c r="EE14" i="37"/>
  <c r="EF14" i="37"/>
  <c r="EG14" i="37"/>
  <c r="EH14" i="37"/>
  <c r="EI14" i="37"/>
  <c r="ED15" i="37"/>
  <c r="EE15" i="37"/>
  <c r="EF15" i="37"/>
  <c r="EG15" i="37"/>
  <c r="EH15" i="37"/>
  <c r="EI15" i="37"/>
  <c r="ED16" i="37"/>
  <c r="EE16" i="37"/>
  <c r="EF16" i="37"/>
  <c r="EG16" i="37"/>
  <c r="EH16" i="37"/>
  <c r="EI16" i="37"/>
  <c r="ED17" i="37"/>
  <c r="EE17" i="37"/>
  <c r="EF17" i="37"/>
  <c r="EG17" i="37"/>
  <c r="EH17" i="37"/>
  <c r="EI17" i="37"/>
  <c r="ED18" i="37"/>
  <c r="EE18" i="37"/>
  <c r="EF18" i="37"/>
  <c r="EG18" i="37"/>
  <c r="EH18" i="37"/>
  <c r="EI18" i="37"/>
  <c r="ED19" i="37"/>
  <c r="EE19" i="37"/>
  <c r="EF19" i="37"/>
  <c r="EG19" i="37"/>
  <c r="EH19" i="37"/>
  <c r="EI19" i="37"/>
  <c r="ED20" i="37"/>
  <c r="EE20" i="37"/>
  <c r="EF20" i="37"/>
  <c r="EG20" i="37"/>
  <c r="EH20" i="37"/>
  <c r="EI20" i="37"/>
  <c r="ED21" i="37"/>
  <c r="EE21" i="37"/>
  <c r="EF21" i="37"/>
  <c r="EG21" i="37"/>
  <c r="EH21" i="37"/>
  <c r="EI21" i="37"/>
  <c r="ED22" i="37"/>
  <c r="EE22" i="37"/>
  <c r="EF22" i="37"/>
  <c r="EG22" i="37"/>
  <c r="EH22" i="37"/>
  <c r="EI22" i="37"/>
  <c r="ED23" i="37"/>
  <c r="EE23" i="37"/>
  <c r="EF23" i="37"/>
  <c r="EG23" i="37"/>
  <c r="EH23" i="37"/>
  <c r="EI23" i="37"/>
  <c r="ED24" i="37"/>
  <c r="EE24" i="37"/>
  <c r="EF24" i="37"/>
  <c r="EG24" i="37"/>
  <c r="EH24" i="37"/>
  <c r="EI24" i="37"/>
  <c r="ED25" i="37"/>
  <c r="EE25" i="37"/>
  <c r="EF25" i="37"/>
  <c r="EG25" i="37"/>
  <c r="EH25" i="37"/>
  <c r="EI25" i="37"/>
  <c r="ED26" i="37"/>
  <c r="EE26" i="37"/>
  <c r="EF26" i="37"/>
  <c r="EG26" i="37"/>
  <c r="EH26" i="37"/>
  <c r="EI26" i="37"/>
  <c r="ED27" i="37"/>
  <c r="EE27" i="37"/>
  <c r="EF27" i="37"/>
  <c r="EG27" i="37"/>
  <c r="EH27" i="37"/>
  <c r="EI27" i="37"/>
  <c r="ED28" i="37"/>
  <c r="EE28" i="37"/>
  <c r="EF28" i="37"/>
  <c r="EG28" i="37"/>
  <c r="EH28" i="37"/>
  <c r="EI28" i="37"/>
  <c r="ED29" i="37"/>
  <c r="EE29" i="37"/>
  <c r="EF29" i="37"/>
  <c r="EG29" i="37"/>
  <c r="EH29" i="37"/>
  <c r="EI29" i="37"/>
  <c r="ED30" i="37"/>
  <c r="EE30" i="37"/>
  <c r="EF30" i="37"/>
  <c r="EG30" i="37"/>
  <c r="EH30" i="37"/>
  <c r="EI30" i="37"/>
  <c r="ED31" i="37"/>
  <c r="EE31" i="37"/>
  <c r="EF31" i="37"/>
  <c r="EG31" i="37"/>
  <c r="EH31" i="37"/>
  <c r="EI31" i="37"/>
  <c r="ED32" i="37"/>
  <c r="EE32" i="37"/>
  <c r="EF32" i="37"/>
  <c r="EG32" i="37"/>
  <c r="EH32" i="37"/>
  <c r="EI32" i="37"/>
  <c r="ED33" i="37"/>
  <c r="EE33" i="37"/>
  <c r="EF33" i="37"/>
  <c r="EG33" i="37"/>
  <c r="EH33" i="37"/>
  <c r="EI33" i="37"/>
  <c r="ED34" i="37"/>
  <c r="EE34" i="37"/>
  <c r="EF34" i="37"/>
  <c r="EG34" i="37"/>
  <c r="EH34" i="37"/>
  <c r="EI34" i="37"/>
  <c r="ED35" i="37"/>
  <c r="EE35" i="37"/>
  <c r="EF35" i="37"/>
  <c r="EG35" i="37"/>
  <c r="EH35" i="37"/>
  <c r="EI35" i="37"/>
  <c r="ED36" i="37"/>
  <c r="EE36" i="37"/>
  <c r="EF36" i="37"/>
  <c r="EG36" i="37"/>
  <c r="EH36" i="37"/>
  <c r="EI36" i="37"/>
  <c r="ED37" i="37"/>
  <c r="EE37" i="37"/>
  <c r="EF37" i="37"/>
  <c r="EG37" i="37"/>
  <c r="EH37" i="37"/>
  <c r="EI37" i="37"/>
  <c r="ED38" i="37"/>
  <c r="EE38" i="37"/>
  <c r="EF38" i="37"/>
  <c r="EG38" i="37"/>
  <c r="EH38" i="37"/>
  <c r="EI38" i="37"/>
  <c r="ED39" i="37"/>
  <c r="EE39" i="37"/>
  <c r="EF39" i="37"/>
  <c r="EG39" i="37"/>
  <c r="EH39" i="37"/>
  <c r="EI39" i="37"/>
  <c r="ED40" i="37"/>
  <c r="EE40" i="37"/>
  <c r="EF40" i="37"/>
  <c r="EG40" i="37"/>
  <c r="EH40" i="37"/>
  <c r="EI40" i="37"/>
  <c r="ED41" i="37"/>
  <c r="EE41" i="37"/>
  <c r="EF41" i="37"/>
  <c r="EG41" i="37"/>
  <c r="EH41" i="37"/>
  <c r="EI41" i="37"/>
  <c r="ED42" i="37"/>
  <c r="EE42" i="37"/>
  <c r="EF42" i="37"/>
  <c r="EG42" i="37"/>
  <c r="EH42" i="37"/>
  <c r="EI42" i="37"/>
  <c r="ED43" i="37"/>
  <c r="EE43" i="37"/>
  <c r="EF43" i="37"/>
  <c r="EG43" i="37"/>
  <c r="EH43" i="37"/>
  <c r="EI43" i="37"/>
  <c r="ED44" i="37"/>
  <c r="EE44" i="37"/>
  <c r="EF44" i="37"/>
  <c r="EG44" i="37"/>
  <c r="EH44" i="37"/>
  <c r="EI44" i="37"/>
  <c r="ED45" i="37"/>
  <c r="EE45" i="37"/>
  <c r="EF45" i="37"/>
  <c r="EG45" i="37"/>
  <c r="EH45" i="37"/>
  <c r="EI45" i="37"/>
  <c r="ED46" i="37"/>
  <c r="EE46" i="37"/>
  <c r="EF46" i="37"/>
  <c r="EG46" i="37"/>
  <c r="EH46" i="37"/>
  <c r="EI46" i="37"/>
  <c r="ED47" i="37"/>
  <c r="EE47" i="37"/>
  <c r="EF47" i="37"/>
  <c r="EG47" i="37"/>
  <c r="EH47" i="37"/>
  <c r="EI47" i="37"/>
  <c r="ED48" i="37"/>
  <c r="EE48" i="37"/>
  <c r="EF48" i="37"/>
  <c r="EG48" i="37"/>
  <c r="EH48" i="37"/>
  <c r="EI48" i="37"/>
  <c r="ED49" i="37"/>
  <c r="EE49" i="37"/>
  <c r="EF49" i="37"/>
  <c r="EG49" i="37"/>
  <c r="EH49" i="37"/>
  <c r="EI49" i="37"/>
  <c r="ED50" i="37"/>
  <c r="EE50" i="37"/>
  <c r="EF50" i="37"/>
  <c r="EG50" i="37"/>
  <c r="EH50" i="37"/>
  <c r="EI50" i="37"/>
  <c r="ED51" i="37"/>
  <c r="EE51" i="37"/>
  <c r="EF51" i="37"/>
  <c r="EG51" i="37"/>
  <c r="EH51" i="37"/>
  <c r="EI51" i="37"/>
  <c r="ED52" i="37"/>
  <c r="EE52" i="37"/>
  <c r="EF52" i="37"/>
  <c r="EG52" i="37"/>
  <c r="EH52" i="37"/>
  <c r="EI52" i="37"/>
  <c r="ED53" i="37"/>
  <c r="EE53" i="37"/>
  <c r="EF53" i="37"/>
  <c r="EG53" i="37"/>
  <c r="EH53" i="37"/>
  <c r="EI53" i="37"/>
  <c r="ED54" i="37"/>
  <c r="EE54" i="37"/>
  <c r="EF54" i="37"/>
  <c r="EG54" i="37"/>
  <c r="EH54" i="37"/>
  <c r="EI54" i="37"/>
  <c r="ED55" i="37"/>
  <c r="EE55" i="37"/>
  <c r="EF55" i="37"/>
  <c r="EG55" i="37"/>
  <c r="EH55" i="37"/>
  <c r="EI55" i="37"/>
  <c r="ED56" i="37"/>
  <c r="EE56" i="37"/>
  <c r="EF56" i="37"/>
  <c r="EG56" i="37"/>
  <c r="EH56" i="37"/>
  <c r="EI56" i="37"/>
  <c r="ED57" i="37"/>
  <c r="EE57" i="37"/>
  <c r="EF57" i="37"/>
  <c r="EG57" i="37"/>
  <c r="EH57" i="37"/>
  <c r="EI57" i="37"/>
  <c r="ED58" i="37"/>
  <c r="EE58" i="37"/>
  <c r="EF58" i="37"/>
  <c r="EG58" i="37"/>
  <c r="EH58" i="37"/>
  <c r="EI58" i="37"/>
  <c r="EI3" i="37"/>
  <c r="EH3" i="37"/>
  <c r="EG3" i="37"/>
  <c r="EF3" i="37"/>
  <c r="EE3" i="37"/>
  <c r="ED3" i="37"/>
  <c r="DW4" i="37"/>
  <c r="DX4" i="37"/>
  <c r="DY4" i="37"/>
  <c r="DZ4" i="37"/>
  <c r="EA4" i="37"/>
  <c r="EB4" i="37"/>
  <c r="DW5" i="37"/>
  <c r="DX5" i="37"/>
  <c r="DY5" i="37"/>
  <c r="DZ5" i="37"/>
  <c r="EA5" i="37"/>
  <c r="EB5" i="37"/>
  <c r="DW6" i="37"/>
  <c r="DX6" i="37"/>
  <c r="DY6" i="37"/>
  <c r="DZ6" i="37"/>
  <c r="EA6" i="37"/>
  <c r="EB6" i="37"/>
  <c r="DW7" i="37"/>
  <c r="DX7" i="37"/>
  <c r="DY7" i="37"/>
  <c r="DZ7" i="37"/>
  <c r="EA7" i="37"/>
  <c r="EB7" i="37"/>
  <c r="DW8" i="37"/>
  <c r="DX8" i="37"/>
  <c r="DY8" i="37"/>
  <c r="DZ8" i="37"/>
  <c r="EA8" i="37"/>
  <c r="EB8" i="37"/>
  <c r="DW9" i="37"/>
  <c r="DX9" i="37"/>
  <c r="DY9" i="37"/>
  <c r="DZ9" i="37"/>
  <c r="EA9" i="37"/>
  <c r="EB9" i="37"/>
  <c r="DW10" i="37"/>
  <c r="DX10" i="37"/>
  <c r="DY10" i="37"/>
  <c r="DZ10" i="37"/>
  <c r="EA10" i="37"/>
  <c r="EB10" i="37"/>
  <c r="DW11" i="37"/>
  <c r="DX11" i="37"/>
  <c r="DY11" i="37"/>
  <c r="DZ11" i="37"/>
  <c r="EA11" i="37"/>
  <c r="EB11" i="37"/>
  <c r="DW12" i="37"/>
  <c r="DX12" i="37"/>
  <c r="DY12" i="37"/>
  <c r="DZ12" i="37"/>
  <c r="EA12" i="37"/>
  <c r="EB12" i="37"/>
  <c r="DW13" i="37"/>
  <c r="DX13" i="37"/>
  <c r="DY13" i="37"/>
  <c r="DZ13" i="37"/>
  <c r="EA13" i="37"/>
  <c r="EB13" i="37"/>
  <c r="DW14" i="37"/>
  <c r="DX14" i="37"/>
  <c r="DY14" i="37"/>
  <c r="DZ14" i="37"/>
  <c r="EA14" i="37"/>
  <c r="EB14" i="37"/>
  <c r="DW15" i="37"/>
  <c r="DX15" i="37"/>
  <c r="DY15" i="37"/>
  <c r="DZ15" i="37"/>
  <c r="EA15" i="37"/>
  <c r="EB15" i="37"/>
  <c r="DW16" i="37"/>
  <c r="DX16" i="37"/>
  <c r="DY16" i="37"/>
  <c r="DZ16" i="37"/>
  <c r="EA16" i="37"/>
  <c r="EB16" i="37"/>
  <c r="DW17" i="37"/>
  <c r="DX17" i="37"/>
  <c r="DY17" i="37"/>
  <c r="DZ17" i="37"/>
  <c r="EA17" i="37"/>
  <c r="EB17" i="37"/>
  <c r="DW18" i="37"/>
  <c r="DX18" i="37"/>
  <c r="DY18" i="37"/>
  <c r="DZ18" i="37"/>
  <c r="EA18" i="37"/>
  <c r="EB18" i="37"/>
  <c r="DW19" i="37"/>
  <c r="DX19" i="37"/>
  <c r="DY19" i="37"/>
  <c r="DZ19" i="37"/>
  <c r="EA19" i="37"/>
  <c r="EB19" i="37"/>
  <c r="DW20" i="37"/>
  <c r="DX20" i="37"/>
  <c r="DY20" i="37"/>
  <c r="DZ20" i="37"/>
  <c r="EA20" i="37"/>
  <c r="EB20" i="37"/>
  <c r="DW21" i="37"/>
  <c r="DX21" i="37"/>
  <c r="DY21" i="37"/>
  <c r="DZ21" i="37"/>
  <c r="EA21" i="37"/>
  <c r="EB21" i="37"/>
  <c r="DW22" i="37"/>
  <c r="DX22" i="37"/>
  <c r="DY22" i="37"/>
  <c r="DZ22" i="37"/>
  <c r="EA22" i="37"/>
  <c r="EB22" i="37"/>
  <c r="DW23" i="37"/>
  <c r="DX23" i="37"/>
  <c r="DY23" i="37"/>
  <c r="DZ23" i="37"/>
  <c r="EA23" i="37"/>
  <c r="EB23" i="37"/>
  <c r="DW24" i="37"/>
  <c r="DX24" i="37"/>
  <c r="DY24" i="37"/>
  <c r="DZ24" i="37"/>
  <c r="EA24" i="37"/>
  <c r="EB24" i="37"/>
  <c r="DW25" i="37"/>
  <c r="DX25" i="37"/>
  <c r="DY25" i="37"/>
  <c r="DZ25" i="37"/>
  <c r="EA25" i="37"/>
  <c r="EB25" i="37"/>
  <c r="DW26" i="37"/>
  <c r="DX26" i="37"/>
  <c r="DY26" i="37"/>
  <c r="DZ26" i="37"/>
  <c r="EA26" i="37"/>
  <c r="EB26" i="37"/>
  <c r="DW27" i="37"/>
  <c r="DX27" i="37"/>
  <c r="DY27" i="37"/>
  <c r="DZ27" i="37"/>
  <c r="EA27" i="37"/>
  <c r="EB27" i="37"/>
  <c r="DW28" i="37"/>
  <c r="DX28" i="37"/>
  <c r="DY28" i="37"/>
  <c r="DZ28" i="37"/>
  <c r="EA28" i="37"/>
  <c r="EB28" i="37"/>
  <c r="DW29" i="37"/>
  <c r="DX29" i="37"/>
  <c r="DY29" i="37"/>
  <c r="DZ29" i="37"/>
  <c r="EA29" i="37"/>
  <c r="EB29" i="37"/>
  <c r="DW30" i="37"/>
  <c r="DX30" i="37"/>
  <c r="DY30" i="37"/>
  <c r="DZ30" i="37"/>
  <c r="EA30" i="37"/>
  <c r="EB30" i="37"/>
  <c r="DW31" i="37"/>
  <c r="DX31" i="37"/>
  <c r="DY31" i="37"/>
  <c r="DZ31" i="37"/>
  <c r="EA31" i="37"/>
  <c r="EB31" i="37"/>
  <c r="DW32" i="37"/>
  <c r="DX32" i="37"/>
  <c r="DY32" i="37"/>
  <c r="DZ32" i="37"/>
  <c r="EA32" i="37"/>
  <c r="EB32" i="37"/>
  <c r="DW33" i="37"/>
  <c r="DX33" i="37"/>
  <c r="DY33" i="37"/>
  <c r="DZ33" i="37"/>
  <c r="EA33" i="37"/>
  <c r="EB33" i="37"/>
  <c r="DW34" i="37"/>
  <c r="DX34" i="37"/>
  <c r="DY34" i="37"/>
  <c r="DZ34" i="37"/>
  <c r="EA34" i="37"/>
  <c r="EB34" i="37"/>
  <c r="DW35" i="37"/>
  <c r="DX35" i="37"/>
  <c r="DY35" i="37"/>
  <c r="DZ35" i="37"/>
  <c r="EA35" i="37"/>
  <c r="EB35" i="37"/>
  <c r="DW36" i="37"/>
  <c r="DX36" i="37"/>
  <c r="DY36" i="37"/>
  <c r="DZ36" i="37"/>
  <c r="EA36" i="37"/>
  <c r="EB36" i="37"/>
  <c r="DW37" i="37"/>
  <c r="DX37" i="37"/>
  <c r="DY37" i="37"/>
  <c r="DZ37" i="37"/>
  <c r="EA37" i="37"/>
  <c r="EB37" i="37"/>
  <c r="DW38" i="37"/>
  <c r="DX38" i="37"/>
  <c r="DY38" i="37"/>
  <c r="DZ38" i="37"/>
  <c r="EA38" i="37"/>
  <c r="EB38" i="37"/>
  <c r="DW39" i="37"/>
  <c r="DX39" i="37"/>
  <c r="DY39" i="37"/>
  <c r="DZ39" i="37"/>
  <c r="EA39" i="37"/>
  <c r="EB39" i="37"/>
  <c r="DW40" i="37"/>
  <c r="DX40" i="37"/>
  <c r="DY40" i="37"/>
  <c r="DZ40" i="37"/>
  <c r="EA40" i="37"/>
  <c r="EB40" i="37"/>
  <c r="DW41" i="37"/>
  <c r="DX41" i="37"/>
  <c r="DY41" i="37"/>
  <c r="DZ41" i="37"/>
  <c r="EA41" i="37"/>
  <c r="EB41" i="37"/>
  <c r="DW42" i="37"/>
  <c r="DX42" i="37"/>
  <c r="DY42" i="37"/>
  <c r="DZ42" i="37"/>
  <c r="EA42" i="37"/>
  <c r="EB42" i="37"/>
  <c r="DW43" i="37"/>
  <c r="DX43" i="37"/>
  <c r="DY43" i="37"/>
  <c r="DZ43" i="37"/>
  <c r="EA43" i="37"/>
  <c r="EB43" i="37"/>
  <c r="DW44" i="37"/>
  <c r="DX44" i="37"/>
  <c r="DY44" i="37"/>
  <c r="DZ44" i="37"/>
  <c r="EA44" i="37"/>
  <c r="EB44" i="37"/>
  <c r="DW45" i="37"/>
  <c r="DX45" i="37"/>
  <c r="DY45" i="37"/>
  <c r="DZ45" i="37"/>
  <c r="EA45" i="37"/>
  <c r="EB45" i="37"/>
  <c r="DW46" i="37"/>
  <c r="DX46" i="37"/>
  <c r="DY46" i="37"/>
  <c r="DZ46" i="37"/>
  <c r="EA46" i="37"/>
  <c r="EB46" i="37"/>
  <c r="DW47" i="37"/>
  <c r="DX47" i="37"/>
  <c r="DY47" i="37"/>
  <c r="DZ47" i="37"/>
  <c r="EA47" i="37"/>
  <c r="EB47" i="37"/>
  <c r="DW48" i="37"/>
  <c r="DX48" i="37"/>
  <c r="DY48" i="37"/>
  <c r="DZ48" i="37"/>
  <c r="EA48" i="37"/>
  <c r="EB48" i="37"/>
  <c r="EB3" i="37"/>
  <c r="EA3" i="37"/>
  <c r="DZ3" i="37"/>
  <c r="DY3" i="37"/>
  <c r="DX3" i="37"/>
  <c r="DW3" i="37"/>
  <c r="EI2" i="37"/>
  <c r="EG2" i="37"/>
  <c r="EF2" i="37"/>
  <c r="EE2" i="37"/>
  <c r="EB2" i="37"/>
  <c r="DZ2" i="37"/>
  <c r="DY2" i="37"/>
  <c r="DX2" i="37"/>
  <c r="LG7" i="86" l="1"/>
  <c r="LF7" i="86" s="1"/>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G3974" i="97" s="1"/>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Y18" i="95"/>
  <c r="AX18" i="95"/>
  <c r="AW18" i="95"/>
  <c r="AV18" i="95"/>
  <c r="BG17" i="95"/>
  <c r="BF17" i="95"/>
  <c r="BE17" i="95"/>
  <c r="BD17" i="95"/>
  <c r="BC17" i="95"/>
  <c r="BB17" i="95"/>
  <c r="BA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M13" i="69"/>
  <c r="M12" i="69"/>
  <c r="J12" i="69" s="1"/>
  <c r="M11" i="69"/>
  <c r="J11" i="69" s="1"/>
  <c r="Q13" i="69"/>
  <c r="G14" i="34" l="1"/>
  <c r="G2302" i="97" s="1"/>
  <c r="G21" i="34"/>
  <c r="G2307" i="97" s="1"/>
  <c r="G28" i="34"/>
  <c r="G2312" i="97" s="1"/>
  <c r="G38" i="34"/>
  <c r="G2317" i="97" s="1"/>
  <c r="T37" i="33" l="1"/>
  <c r="O31" i="33"/>
  <c r="N31" i="33"/>
  <c r="K31" i="33"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G21" i="97" s="1"/>
  <c r="H29" i="4"/>
  <c r="G43" i="97" s="1"/>
  <c r="I29" i="4"/>
  <c r="G36" i="4"/>
  <c r="G25" i="97" s="1"/>
  <c r="I31" i="6" l="1"/>
  <c r="G200" i="97" s="1"/>
  <c r="G61" i="97"/>
  <c r="I20" i="4"/>
  <c r="G55" i="97" s="1"/>
  <c r="L21" i="14"/>
  <c r="G1029" i="97" s="1"/>
  <c r="H21" i="14"/>
  <c r="G965" i="97" s="1"/>
  <c r="G21" i="14"/>
  <c r="G949" i="97" s="1"/>
  <c r="H14" i="13"/>
  <c r="G920" i="97" s="1"/>
  <c r="G31" i="6"/>
  <c r="G132" i="97" s="1"/>
  <c r="H31" i="6"/>
  <c r="G166"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I45" i="6" l="1"/>
  <c r="G211" i="97" s="1"/>
  <c r="H19" i="13"/>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i="97"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i="97" l="1"/>
  <c r="J17" i="76"/>
  <c r="G5307" i="97" s="1"/>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17" i="76" l="1"/>
  <c r="G5165" i="97"/>
  <c r="J19" i="76"/>
  <c r="G5309" i="97" s="1"/>
  <c r="AF49" i="76"/>
  <c r="K35" i="76"/>
  <c r="G5357" i="97" s="1"/>
  <c r="L33" i="76"/>
  <c r="G5381" i="97" s="1"/>
  <c r="G12" i="67"/>
  <c r="G4402" i="97" s="1"/>
  <c r="M33" i="76" l="1"/>
  <c r="G5407" i="97" s="1"/>
  <c r="L35" i="76"/>
  <c r="G5383" i="97" s="1"/>
  <c r="O31" i="76"/>
  <c r="G5431" i="97" s="1"/>
  <c r="O32" i="33" l="1"/>
  <c r="N33" i="76"/>
  <c r="G5420" i="97" s="1"/>
  <c r="M35" i="76"/>
  <c r="G5409" i="97" s="1"/>
  <c r="N32" i="33"/>
  <c r="K32" i="33" s="1"/>
  <c r="N35" i="76" l="1"/>
  <c r="G5422" i="97" s="1"/>
  <c r="O33" i="76"/>
  <c r="G5433" i="97" s="1"/>
  <c r="N33" i="33"/>
  <c r="O33" i="33"/>
  <c r="LF66" i="86"/>
  <c r="LF45" i="86"/>
  <c r="LF29" i="86" l="1"/>
  <c r="LF56" i="86"/>
  <c r="AF33" i="76"/>
  <c r="LF50" i="86"/>
  <c r="LF16" i="86"/>
  <c r="LF34" i="86"/>
  <c r="LF17" i="86"/>
  <c r="LF19" i="86"/>
  <c r="LF40" i="86"/>
  <c r="LF18" i="86"/>
  <c r="LF24" i="86"/>
  <c r="LF61" i="86"/>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L31" i="95"/>
  <c r="G547" i="97" s="1"/>
  <c r="J20" i="95"/>
  <c r="G498" i="97" s="1"/>
  <c r="O35" i="33"/>
  <c r="N35" i="33"/>
  <c r="S37" i="33"/>
  <c r="Q37" i="33" s="1"/>
  <c r="C33" i="2"/>
  <c r="K7" i="96"/>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G442" i="97" s="1"/>
  <c r="AQ2" i="95"/>
  <c r="R1" i="95"/>
  <c r="G482" i="97" l="1"/>
  <c r="J29" i="95"/>
  <c r="G504" i="97" s="1"/>
  <c r="J40" i="95"/>
  <c r="G509" i="97" s="1"/>
  <c r="K9" i="95"/>
  <c r="L10" i="95"/>
  <c r="G534" i="97" s="1"/>
  <c r="K8" i="95"/>
  <c r="I42" i="95"/>
  <c r="I35" i="95" s="1"/>
  <c r="G486" i="97" s="1"/>
  <c r="I20" i="95"/>
  <c r="G477" i="97" s="1"/>
  <c r="O20" i="95"/>
  <c r="G606" i="97" s="1"/>
  <c r="G33" i="95"/>
  <c r="G441" i="97" s="1"/>
  <c r="T31" i="95"/>
  <c r="T23" i="95"/>
  <c r="T15" i="95"/>
  <c r="T18" i="95"/>
  <c r="T16" i="95"/>
  <c r="J37" i="33"/>
  <c r="K35" i="33"/>
  <c r="T41" i="95"/>
  <c r="T40" i="95"/>
  <c r="T25" i="95"/>
  <c r="T8" i="95"/>
  <c r="T24" i="95"/>
  <c r="T11" i="95"/>
  <c r="T27" i="95"/>
  <c r="T14" i="95"/>
  <c r="T17" i="95"/>
  <c r="T10" i="95"/>
  <c r="AA2" i="8"/>
  <c r="AA2" i="7"/>
  <c r="AA2" i="6"/>
  <c r="AA2" i="5"/>
  <c r="J33" i="95" l="1"/>
  <c r="G506" i="97" s="1"/>
  <c r="H8" i="95"/>
  <c r="G446" i="97" s="1"/>
  <c r="G511" i="97"/>
  <c r="G512" i="97"/>
  <c r="H9" i="95"/>
  <c r="G447" i="97" s="1"/>
  <c r="J42" i="95"/>
  <c r="J35" i="95" s="1"/>
  <c r="G507" i="97" s="1"/>
  <c r="I29" i="95"/>
  <c r="O29" i="95"/>
  <c r="L20" i="95"/>
  <c r="G540" i="97" s="1"/>
  <c r="K10" i="95"/>
  <c r="G513" i="97" s="1"/>
  <c r="G37" i="95"/>
  <c r="G443" i="97" s="1"/>
  <c r="C13" i="2"/>
  <c r="T9" i="95"/>
  <c r="I1" i="23"/>
  <c r="J37" i="95" l="1"/>
  <c r="G508" i="97" s="1"/>
  <c r="O33" i="95"/>
  <c r="G612" i="97"/>
  <c r="I33" i="95"/>
  <c r="G483" i="97"/>
  <c r="K20" i="95"/>
  <c r="G519" i="97" s="1"/>
  <c r="L29" i="95"/>
  <c r="H10" i="95"/>
  <c r="G448" i="97" s="1"/>
  <c r="G11" i="28"/>
  <c r="G1635" i="97" s="1"/>
  <c r="I11" i="28"/>
  <c r="G1647" i="97" s="1"/>
  <c r="G13" i="27"/>
  <c r="G1581" i="97" s="1"/>
  <c r="G51" i="19"/>
  <c r="G1465" i="97" s="1"/>
  <c r="J48" i="19"/>
  <c r="G1525" i="97" s="1"/>
  <c r="J43" i="15"/>
  <c r="G1163" i="97" s="1"/>
  <c r="N7" i="14"/>
  <c r="G1050" i="97" s="1"/>
  <c r="J16" i="8"/>
  <c r="G419" i="97" s="1"/>
  <c r="G546" i="97" l="1"/>
  <c r="G485" i="97"/>
  <c r="I37" i="95"/>
  <c r="O37" i="95"/>
  <c r="G614" i="97"/>
  <c r="H20" i="95"/>
  <c r="G455" i="97" s="1"/>
  <c r="L33" i="95"/>
  <c r="K29" i="95"/>
  <c r="G9" i="19"/>
  <c r="G1445" i="97" s="1"/>
  <c r="J49" i="15"/>
  <c r="G1167" i="97" s="1"/>
  <c r="G487" i="97" l="1"/>
  <c r="G525" i="97"/>
  <c r="G548" i="97"/>
  <c r="G616" i="97"/>
  <c r="L37" i="95"/>
  <c r="K33" i="95"/>
  <c r="H29" i="95"/>
  <c r="H14" i="73"/>
  <c r="G4974" i="97" s="1"/>
  <c r="G14" i="73"/>
  <c r="G4959" i="97" s="1"/>
  <c r="G461" i="97" l="1"/>
  <c r="G527" i="97"/>
  <c r="G550" i="97"/>
  <c r="K37" i="95"/>
  <c r="H33" i="95"/>
  <c r="G529" i="97" l="1"/>
  <c r="G463" i="97"/>
  <c r="H37" i="95"/>
  <c r="G465" i="97" l="1"/>
  <c r="AA45" i="19"/>
  <c r="J45" i="15"/>
  <c r="G1165" i="97" s="1"/>
  <c r="AY6" i="11" l="1"/>
  <c r="I30" i="18" l="1"/>
  <c r="G1438" i="97" s="1"/>
  <c r="G30" i="18"/>
  <c r="G1387" i="97" s="1"/>
  <c r="I29" i="18"/>
  <c r="G1437" i="97" s="1"/>
  <c r="G29" i="18"/>
  <c r="G1386" i="97" s="1"/>
  <c r="H28" i="17"/>
  <c r="G1289" i="97" s="1"/>
  <c r="F28" i="17"/>
  <c r="G1245" i="97" s="1"/>
  <c r="E28" i="17"/>
  <c r="G1223" i="97" s="1"/>
  <c r="I27" i="17"/>
  <c r="G1311" i="97" s="1"/>
  <c r="G27" i="17"/>
  <c r="G1266" i="97" s="1"/>
  <c r="Q28" i="17" l="1"/>
  <c r="P28" i="17"/>
  <c r="O28" i="17"/>
  <c r="I28" i="17"/>
  <c r="G1312" i="97" s="1"/>
  <c r="L28" i="17" l="1"/>
  <c r="AF40" i="15"/>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J27" i="14"/>
  <c r="G1001" i="97" s="1"/>
  <c r="K25" i="12"/>
  <c r="G876" i="97" s="1"/>
  <c r="K14" i="12"/>
  <c r="G868" i="97" s="1"/>
  <c r="G1156" i="97" l="1"/>
  <c r="I44" i="15"/>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O12" i="11"/>
  <c r="G749" i="97" s="1"/>
  <c r="I9" i="32" l="1"/>
  <c r="I15" i="32" s="1"/>
  <c r="G2241" i="97" s="1"/>
  <c r="I46" i="19"/>
  <c r="G1516" i="97" s="1"/>
  <c r="K39" i="12"/>
  <c r="G883" i="97" s="1"/>
  <c r="O18" i="11"/>
  <c r="G752" i="97" s="1"/>
  <c r="O7" i="64"/>
  <c r="G3018" i="97" s="1"/>
  <c r="G2236" i="97" l="1"/>
  <c r="I18" i="32"/>
  <c r="G2243" i="97" s="1"/>
  <c r="I53" i="19"/>
  <c r="G1521" i="97" s="1"/>
  <c r="I7" i="27"/>
  <c r="B61" i="2"/>
  <c r="B49" i="87"/>
  <c r="E61" i="2" s="1"/>
  <c r="F1" i="87"/>
  <c r="B33" i="2" l="1"/>
  <c r="C114" i="86" l="1"/>
  <c r="C113" i="86"/>
  <c r="C111" i="86"/>
  <c r="C110" i="86"/>
  <c r="C108" i="86"/>
  <c r="C107" i="86"/>
  <c r="C105" i="86"/>
  <c r="C104" i="86"/>
  <c r="C102" i="86"/>
  <c r="C101" i="86"/>
  <c r="C99" i="86"/>
  <c r="C98" i="86"/>
  <c r="C96" i="86"/>
  <c r="C95" i="86"/>
  <c r="C93" i="86"/>
  <c r="C92" i="86"/>
  <c r="C90" i="86"/>
  <c r="C89" i="86"/>
  <c r="C83" i="86"/>
  <c r="LC66" i="86"/>
  <c r="LJ65" i="86"/>
  <c r="LI65" i="86"/>
  <c r="LH65" i="86"/>
  <c r="LG65" i="86"/>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LC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C45" i="86"/>
  <c r="LJ44" i="86"/>
  <c r="LI44" i="86"/>
  <c r="LH44" i="86"/>
  <c r="LG44" i="86"/>
  <c r="I44" i="86"/>
  <c r="H44" i="86"/>
  <c r="G44" i="86"/>
  <c r="F44"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C29" i="86"/>
  <c r="LN28" i="86"/>
  <c r="LM28" i="86"/>
  <c r="LL28" i="86"/>
  <c r="LK28" i="86"/>
  <c r="LJ28" i="86"/>
  <c r="LI28" i="86"/>
  <c r="LH28" i="86"/>
  <c r="LG28" i="86"/>
  <c r="M28" i="86"/>
  <c r="L28" i="86"/>
  <c r="K28" i="86"/>
  <c r="J28" i="86"/>
  <c r="I28" i="86"/>
  <c r="H28" i="86"/>
  <c r="G28" i="86"/>
  <c r="F28"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LC19"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s="1"/>
  <c r="LY15" i="86"/>
  <c r="LY28" i="86" s="1"/>
  <c r="LX15" i="86"/>
  <c r="LX28" i="86" s="1"/>
  <c r="LW15" i="86"/>
  <c r="LW28" i="86" s="1"/>
  <c r="LV15" i="86"/>
  <c r="LV28" i="86" s="1"/>
  <c r="LU15" i="86"/>
  <c r="LU28" i="86" s="1"/>
  <c r="LT15" i="86"/>
  <c r="LT28" i="86" s="1"/>
  <c r="LS15" i="86"/>
  <c r="LS28" i="86" s="1"/>
  <c r="LR15" i="86"/>
  <c r="LR28" i="86" s="1"/>
  <c r="LQ15" i="86"/>
  <c r="LQ28" i="86" s="1"/>
  <c r="LP15" i="86"/>
  <c r="LP28" i="86" s="1"/>
  <c r="LO15" i="86"/>
  <c r="LO28" i="86" s="1"/>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s="1"/>
  <c r="X15" i="86"/>
  <c r="X28" i="86" s="1"/>
  <c r="W15" i="86"/>
  <c r="W28" i="86" s="1"/>
  <c r="V15" i="86"/>
  <c r="V28" i="86" s="1"/>
  <c r="U15" i="86"/>
  <c r="U28" i="86" s="1"/>
  <c r="T15" i="86"/>
  <c r="T28" i="86" s="1"/>
  <c r="S15" i="86"/>
  <c r="S28" i="86" s="1"/>
  <c r="R15" i="86"/>
  <c r="R28" i="86" s="1"/>
  <c r="Q15" i="86"/>
  <c r="Q28" i="86" s="1"/>
  <c r="P15" i="86"/>
  <c r="P28" i="86" s="1"/>
  <c r="O15" i="86"/>
  <c r="O28" i="86" s="1"/>
  <c r="N15" i="86"/>
  <c r="N28" i="86" s="1"/>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C7" i="86"/>
  <c r="LC61" i="86" l="1"/>
  <c r="LC56" i="86"/>
  <c r="LC40" i="86"/>
  <c r="LC34" i="86"/>
  <c r="LC24" i="86"/>
  <c r="LC16" i="86"/>
  <c r="LC17" i="86"/>
  <c r="LC18" i="86"/>
  <c r="AR36" i="75"/>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I31" i="63" l="1"/>
  <c r="G2570" i="97" s="1"/>
  <c r="G31" i="63"/>
  <c r="G2498" i="97" s="1"/>
  <c r="L31" i="63"/>
  <c r="G2678" i="97" s="1"/>
  <c r="H31" i="63"/>
  <c r="G2534" i="97" s="1"/>
  <c r="J31" i="63"/>
  <c r="G2606" i="97" s="1"/>
  <c r="I36" i="63"/>
  <c r="G2573" i="97" s="1"/>
  <c r="L36" i="63"/>
  <c r="G2681"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G36" i="63" l="1"/>
  <c r="G2501" i="97" s="1"/>
  <c r="J36" i="63"/>
  <c r="G2609" i="97" s="1"/>
  <c r="L52" i="63"/>
  <c r="G2693" i="97" s="1"/>
  <c r="H36" i="63"/>
  <c r="G2537" i="97" s="1"/>
  <c r="K36" i="63"/>
  <c r="G2645" i="97" s="1"/>
  <c r="I52" i="63"/>
  <c r="G2585" i="97" s="1"/>
  <c r="G52" i="63"/>
  <c r="G2513" i="97" s="1"/>
  <c r="K52" i="63" l="1"/>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l="1"/>
  <c r="L20" i="8"/>
  <c r="AA19" i="18"/>
  <c r="L23" i="8"/>
  <c r="L21" i="8"/>
  <c r="L17" i="8"/>
  <c r="L16" i="8"/>
  <c r="L6" i="8"/>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G411" i="97" s="1"/>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63" i="66"/>
  <c r="B63" i="64"/>
  <c r="B63" i="63"/>
  <c r="B58" i="2" l="1"/>
  <c r="B57" i="2"/>
  <c r="B56" i="2"/>
  <c r="B55" i="2"/>
  <c r="B54" i="2"/>
  <c r="B53" i="2"/>
  <c r="B52" i="2"/>
  <c r="B51" i="2"/>
  <c r="B50"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G4350" i="97" s="1"/>
  <c r="P52" i="66"/>
  <c r="G4035" i="97" s="1"/>
  <c r="N52" i="66"/>
  <c r="G3945" i="97" s="1"/>
  <c r="H52" i="66"/>
  <c r="G3675" i="97" s="1"/>
  <c r="G52" i="66"/>
  <c r="G3630" i="97" s="1"/>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G18" i="67"/>
  <c r="G4406" i="97" s="1"/>
  <c r="L51" i="76"/>
  <c r="G5396" i="97" s="1"/>
  <c r="AF68" i="76"/>
  <c r="AD68" i="76" s="1"/>
  <c r="N20" i="75"/>
  <c r="G5152" i="97" s="1"/>
  <c r="N18" i="75"/>
  <c r="G5150" i="97"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s="1"/>
  <c r="M6" i="65"/>
  <c r="T24" i="72"/>
  <c r="G4772" i="97" s="1"/>
  <c r="X52" i="66"/>
  <c r="G4395" i="97" s="1"/>
  <c r="J31" i="64"/>
  <c r="G2858" i="97" s="1"/>
  <c r="T45" i="65"/>
  <c r="G3585" i="97" s="1"/>
  <c r="M45" i="65"/>
  <c r="G3319" i="97" s="1"/>
  <c r="AR46" i="65"/>
  <c r="AQ46" i="65" s="1"/>
  <c r="O52" i="66"/>
  <c r="G3990" i="97" s="1"/>
  <c r="O16" i="64"/>
  <c r="G3026" i="97" s="1"/>
  <c r="G19" i="64"/>
  <c r="G2740" i="97" s="1"/>
  <c r="I29" i="64"/>
  <c r="G2820" i="97" s="1"/>
  <c r="L29" i="64"/>
  <c r="G2928" i="97" s="1"/>
  <c r="M27" i="63"/>
  <c r="G2710" i="97" s="1"/>
  <c r="M16" i="63"/>
  <c r="G2702" i="97" s="1"/>
  <c r="Q28" i="75"/>
  <c r="Q36" i="75"/>
  <c r="AF14" i="72"/>
  <c r="G4933" i="97" s="1"/>
  <c r="Z24" i="72"/>
  <c r="G4856" i="97" s="1"/>
  <c r="Q8" i="75"/>
  <c r="Q7" i="75"/>
  <c r="Q27" i="75"/>
  <c r="Q29" i="75"/>
  <c r="Q33" i="75"/>
  <c r="O49" i="64"/>
  <c r="G3052" i="97" s="1"/>
  <c r="O27" i="64"/>
  <c r="G3034" i="97" s="1"/>
  <c r="N29" i="64"/>
  <c r="G3000" i="97" s="1"/>
  <c r="N14" i="72"/>
  <c r="G4694" i="97" s="1"/>
  <c r="Q32" i="75"/>
  <c r="T14" i="72"/>
  <c r="G4765" i="97" s="1"/>
  <c r="AF24" i="72"/>
  <c r="G4940" i="97" s="1"/>
  <c r="Q25" i="75"/>
  <c r="Q26" i="75"/>
  <c r="O35" i="76"/>
  <c r="G5435" i="97" s="1"/>
  <c r="N24" i="72"/>
  <c r="G4702" i="97" s="1"/>
  <c r="O53" i="66" l="1"/>
  <c r="C47" i="2"/>
  <c r="R43" i="64"/>
  <c r="AD18" i="75"/>
  <c r="AY52" i="66"/>
  <c r="R42" i="64"/>
  <c r="R40" i="64"/>
  <c r="R39" i="64"/>
  <c r="AZ53" i="66"/>
  <c r="AY53" i="66" s="1"/>
  <c r="AW53" i="66" s="1"/>
  <c r="R41" i="64"/>
  <c r="I31" i="64"/>
  <c r="G2822" i="97" s="1"/>
  <c r="J36" i="64"/>
  <c r="G2861" i="97" s="1"/>
  <c r="N31" i="64"/>
  <c r="G3002" i="97" s="1"/>
  <c r="G31" i="64"/>
  <c r="G2750" i="97" s="1"/>
  <c r="H31" i="64"/>
  <c r="G2786" i="97" s="1"/>
  <c r="L31" i="64"/>
  <c r="G2930" i="97" s="1"/>
  <c r="M31" i="64"/>
  <c r="G2966" i="97" s="1"/>
  <c r="K31" i="64"/>
  <c r="G2894" i="97" s="1"/>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M19" i="63"/>
  <c r="G2704" i="97" s="1"/>
  <c r="AO46" i="65"/>
  <c r="O19" i="64"/>
  <c r="G3028" i="97" s="1"/>
  <c r="O29" i="64"/>
  <c r="G3036" i="97" s="1"/>
  <c r="M29" i="63"/>
  <c r="G2712" i="97" s="1"/>
  <c r="I36" i="64" l="1"/>
  <c r="G2825" i="97" s="1"/>
  <c r="G21" i="67"/>
  <c r="G4409" i="97" s="1"/>
  <c r="G4408" i="97"/>
  <c r="L36" i="64"/>
  <c r="G2933" i="97" s="1"/>
  <c r="H36" i="64"/>
  <c r="G2789" i="97" s="1"/>
  <c r="L52" i="64"/>
  <c r="G2945" i="97" s="1"/>
  <c r="M36" i="64"/>
  <c r="G2969" i="97" s="1"/>
  <c r="K36" i="64"/>
  <c r="G2897" i="97" s="1"/>
  <c r="G36" i="64"/>
  <c r="G2753" i="97" s="1"/>
  <c r="J52" i="64"/>
  <c r="G287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G3005" i="97" s="1"/>
  <c r="O31" i="64"/>
  <c r="G3038" i="97" s="1"/>
  <c r="M36" i="63"/>
  <c r="G2717" i="97" s="1"/>
  <c r="M52" i="63"/>
  <c r="G2729" i="97" s="1"/>
  <c r="I52" i="64" l="1"/>
  <c r="G2837" i="97" s="1"/>
  <c r="G52" i="64"/>
  <c r="G2765" i="97" s="1"/>
  <c r="K52" i="64"/>
  <c r="G2909" i="97" s="1"/>
  <c r="M52" i="64"/>
  <c r="G2981" i="97" s="1"/>
  <c r="H52" i="64"/>
  <c r="G2801" i="97" s="1"/>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N11" i="31"/>
  <c r="G2182" i="97" s="1"/>
  <c r="N10" i="31"/>
  <c r="O10" i="31" s="1"/>
  <c r="N9" i="31"/>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i="1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G1932" i="97" s="1"/>
  <c r="I15" i="30"/>
  <c r="G1904" i="97" s="1"/>
  <c r="H15" i="30"/>
  <c r="G1876" i="97" s="1"/>
  <c r="G15" i="30"/>
  <c r="G1848" i="97" s="1"/>
  <c r="E31" i="18"/>
  <c r="G1338" i="97" s="1"/>
  <c r="B25" i="24"/>
  <c r="AQ6" i="11" l="1"/>
  <c r="AH6" i="11" s="1"/>
  <c r="G1483" i="97"/>
  <c r="L19" i="27"/>
  <c r="G1627" i="97" s="1"/>
  <c r="K19" i="27"/>
  <c r="G1618" i="97" s="1"/>
  <c r="G23" i="19"/>
  <c r="G1454" i="97" s="1"/>
  <c r="P7" i="11"/>
  <c r="G754" i="97" s="1"/>
  <c r="AS6" i="11"/>
  <c r="P6" i="11"/>
  <c r="G753" i="97" s="1"/>
  <c r="AV6" i="11"/>
  <c r="H23" i="19"/>
  <c r="G1479" i="97" s="1"/>
  <c r="AN6" i="11"/>
  <c r="AG6" i="11" s="1"/>
  <c r="I29" i="19"/>
  <c r="G1508" i="97" s="1"/>
  <c r="I15" i="19"/>
  <c r="G1499" i="97" s="1"/>
  <c r="P25" i="29"/>
  <c r="B25" i="2"/>
  <c r="I5" i="16"/>
  <c r="G1196" i="97" s="1"/>
  <c r="AW6" i="11" l="1"/>
  <c r="AJ6" i="11" s="1"/>
  <c r="G14" i="33"/>
  <c r="G2262" i="97" s="1"/>
  <c r="H16" i="44"/>
  <c r="G1547" i="97" s="1"/>
  <c r="G16" i="44"/>
  <c r="G1538" i="97" s="1"/>
  <c r="B27" i="44"/>
  <c r="H9" i="44"/>
  <c r="G1542" i="97" s="1"/>
  <c r="G9" i="44"/>
  <c r="G1533" i="97" s="1"/>
  <c r="O8" i="44"/>
  <c r="N8" i="44"/>
  <c r="O7" i="44"/>
  <c r="N7" i="44"/>
  <c r="O6" i="44"/>
  <c r="N6" i="44"/>
  <c r="H1" i="44"/>
  <c r="K8" i="44" l="1"/>
  <c r="H13" i="96"/>
  <c r="G13" i="96"/>
  <c r="S16" i="44"/>
  <c r="Q16" i="44" s="1"/>
  <c r="J16" i="44" s="1"/>
  <c r="S9" i="44"/>
  <c r="Q9" i="44" s="1"/>
  <c r="K7" i="44"/>
  <c r="K6" i="44"/>
  <c r="D25" i="2" l="1"/>
  <c r="I13" i="96"/>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i="15"/>
  <c r="O10" i="15"/>
  <c r="J10" i="15"/>
  <c r="G1144" i="97" s="1"/>
  <c r="I21" i="13"/>
  <c r="G937" i="97" s="1"/>
  <c r="Z17" i="14"/>
  <c r="Y17" i="14"/>
  <c r="U17" i="14"/>
  <c r="T17" i="14"/>
  <c r="Z10" i="14"/>
  <c r="Y10" i="14"/>
  <c r="U10" i="14"/>
  <c r="T10" i="14"/>
  <c r="X13" i="29"/>
  <c r="W13" i="29"/>
  <c r="V13" i="29"/>
  <c r="U13" i="29"/>
  <c r="T13" i="29"/>
  <c r="S13" i="29"/>
  <c r="X12" i="29"/>
  <c r="W12" i="29"/>
  <c r="V12" i="29"/>
  <c r="U12" i="29"/>
  <c r="T12" i="29"/>
  <c r="S12" i="29"/>
  <c r="L10" i="15" l="1"/>
  <c r="P13" i="29"/>
  <c r="P12" i="29"/>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R17" i="32" l="1"/>
  <c r="R11" i="32"/>
  <c r="R12" i="32"/>
  <c r="R7" i="32"/>
  <c r="R13" i="32"/>
  <c r="U6" i="12"/>
  <c r="R14" i="32"/>
  <c r="P49" i="19"/>
  <c r="P50" i="19"/>
  <c r="P48" i="19"/>
  <c r="Q49" i="19"/>
  <c r="Q50" i="19"/>
  <c r="Q48" i="19"/>
  <c r="Q45" i="19"/>
  <c r="U36" i="12"/>
  <c r="U21" i="12"/>
  <c r="U20" i="12"/>
  <c r="U9" i="12"/>
  <c r="U13" i="12"/>
  <c r="U24" i="12"/>
  <c r="U35" i="12"/>
  <c r="U22" i="12"/>
  <c r="U16" i="12"/>
  <c r="U10" i="12"/>
  <c r="U30" i="12"/>
  <c r="U23" i="12"/>
  <c r="U7" i="12"/>
  <c r="U11" i="12"/>
  <c r="U26" i="12"/>
  <c r="U8" i="12"/>
  <c r="U12" i="12"/>
  <c r="Y30"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19" i="19"/>
  <c r="O19" i="19"/>
  <c r="P20" i="19"/>
  <c r="P18"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G1566" i="97" l="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l="1"/>
  <c r="H12" i="31"/>
  <c r="G2105" i="97" s="1"/>
  <c r="G12" i="31"/>
  <c r="G2092" i="97" s="1"/>
  <c r="G15" i="31" l="1"/>
  <c r="G2094" i="97" s="1"/>
  <c r="G34" i="7"/>
  <c r="G303" i="97" s="1"/>
  <c r="J8" i="6"/>
  <c r="G216" i="97" s="1"/>
  <c r="G21" i="31" l="1"/>
  <c r="G2099" i="97" s="1"/>
  <c r="K8" i="6"/>
  <c r="G250" i="97" s="1"/>
  <c r="H1" i="26"/>
  <c r="J1" i="15"/>
  <c r="P7" i="15"/>
  <c r="M27" i="14" l="1"/>
  <c r="G1049" i="97" s="1"/>
  <c r="L27" i="14"/>
  <c r="G1033" i="97" s="1"/>
  <c r="K27" i="14"/>
  <c r="G1017" i="97" s="1"/>
  <c r="I27" i="14"/>
  <c r="G985" i="97" s="1"/>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G2120" i="97" s="1"/>
  <c r="H15" i="31"/>
  <c r="G2107" i="97" s="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O17" i="31"/>
  <c r="G2199" i="97" s="1"/>
  <c r="X49" i="29"/>
  <c r="W49" i="29"/>
  <c r="V49" i="29"/>
  <c r="U49" i="29"/>
  <c r="T49" i="29"/>
  <c r="S49" i="29"/>
  <c r="Q10" i="27"/>
  <c r="Q16" i="27"/>
  <c r="G16" i="13" l="1"/>
  <c r="G909" i="97" s="1"/>
  <c r="P49" i="29"/>
  <c r="O50" i="19"/>
  <c r="O49" i="19"/>
  <c r="Q37" i="19"/>
  <c r="L37" i="19" s="1"/>
  <c r="H51" i="19"/>
  <c r="G1490" i="97" s="1"/>
  <c r="P15" i="15"/>
  <c r="L15" i="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H6" i="22" l="1"/>
  <c r="G6" i="22"/>
  <c r="E5" i="22"/>
  <c r="D5" i="22"/>
  <c r="E6" i="22"/>
  <c r="G5" i="22"/>
  <c r="F5" i="22"/>
  <c r="F6" i="22"/>
  <c r="B7" i="22"/>
  <c r="C7" i="22" s="1"/>
  <c r="P5" i="22"/>
  <c r="Q5" i="22"/>
  <c r="N11" i="11"/>
  <c r="G739" i="97" s="1"/>
  <c r="N10" i="11"/>
  <c r="G738" i="97" s="1"/>
  <c r="N9" i="11"/>
  <c r="G737" i="97" s="1"/>
  <c r="K11" i="11"/>
  <c r="G717" i="97" s="1"/>
  <c r="K10" i="11"/>
  <c r="G716" i="97" s="1"/>
  <c r="B8" i="22" l="1"/>
  <c r="C8" i="22" s="1"/>
  <c r="G8" i="22" s="1"/>
  <c r="G7" i="22"/>
  <c r="H7" i="22"/>
  <c r="F7" i="22"/>
  <c r="D7" i="22"/>
  <c r="E7" i="22"/>
  <c r="P10" i="11"/>
  <c r="G757" i="97" s="1"/>
  <c r="G8" i="32"/>
  <c r="P11" i="11"/>
  <c r="G758" i="97" s="1"/>
  <c r="P9" i="11"/>
  <c r="G756" i="97" s="1"/>
  <c r="G5" i="32"/>
  <c r="G2211" i="97" s="1"/>
  <c r="P6" i="22"/>
  <c r="H5" i="32"/>
  <c r="G2222" i="97" s="1"/>
  <c r="Q6" i="22"/>
  <c r="M5" i="22"/>
  <c r="B9" i="22" l="1"/>
  <c r="C9" i="22" s="1"/>
  <c r="D9" i="22" s="1"/>
  <c r="H8" i="22"/>
  <c r="E8" i="22"/>
  <c r="D8" i="22"/>
  <c r="F8" i="22"/>
  <c r="J5" i="32"/>
  <c r="G2244" i="97" s="1"/>
  <c r="AM9" i="11"/>
  <c r="M6" i="22"/>
  <c r="Q7" i="22"/>
  <c r="X29" i="19"/>
  <c r="AM7" i="11"/>
  <c r="P7" i="22"/>
  <c r="P8" i="22"/>
  <c r="Q8" i="22"/>
  <c r="B10" i="22"/>
  <c r="C10" i="22" s="1"/>
  <c r="S23" i="8"/>
  <c r="R23" i="8"/>
  <c r="Q23" i="8"/>
  <c r="P23" i="8"/>
  <c r="E9" i="22" l="1"/>
  <c r="G9" i="22"/>
  <c r="H9" i="22"/>
  <c r="F9" i="22"/>
  <c r="D10" i="22"/>
  <c r="H10" i="22"/>
  <c r="G10" i="22"/>
  <c r="E10" i="22"/>
  <c r="F10" i="22"/>
  <c r="M7" i="22"/>
  <c r="M23" i="8"/>
  <c r="M8" i="22"/>
  <c r="B11" i="22"/>
  <c r="C11" i="22" s="1"/>
  <c r="P9" i="22"/>
  <c r="Q9" i="22"/>
  <c r="R24" i="4"/>
  <c r="Q24" i="4"/>
  <c r="P24" i="4"/>
  <c r="J24" i="4"/>
  <c r="G76" i="97" s="1"/>
  <c r="J41" i="34"/>
  <c r="G2390" i="97" s="1"/>
  <c r="B31" i="2"/>
  <c r="B30" i="2"/>
  <c r="G11" i="22" l="1"/>
  <c r="H11" i="22"/>
  <c r="F11" i="22"/>
  <c r="D11" i="22"/>
  <c r="E11" i="22"/>
  <c r="K24" i="4"/>
  <c r="G94" i="97" s="1"/>
  <c r="M24" i="4"/>
  <c r="R41" i="34"/>
  <c r="M9" i="22"/>
  <c r="P10" i="22"/>
  <c r="Q10" i="22"/>
  <c r="B12" i="22"/>
  <c r="C12" i="22" s="1"/>
  <c r="G12" i="22" l="1"/>
  <c r="H12" i="22"/>
  <c r="F12" i="22"/>
  <c r="E12" i="22"/>
  <c r="D12" i="22"/>
  <c r="B13" i="22"/>
  <c r="C13" i="22" s="1"/>
  <c r="M10" i="22"/>
  <c r="Q11" i="22"/>
  <c r="P11" i="22"/>
  <c r="F30" i="17"/>
  <c r="G1246" i="97" s="1"/>
  <c r="H31" i="18"/>
  <c r="G1413" i="97" s="1"/>
  <c r="F31" i="18"/>
  <c r="G1363" i="97" s="1"/>
  <c r="F13" i="22" l="1"/>
  <c r="H13" i="22"/>
  <c r="D13" i="22"/>
  <c r="G13" i="22"/>
  <c r="E13" i="22"/>
  <c r="I34" i="17"/>
  <c r="G1314" i="97" s="1"/>
  <c r="I31" i="18"/>
  <c r="G1439" i="97" s="1"/>
  <c r="M11" i="22"/>
  <c r="P12" i="22"/>
  <c r="Q12" i="22"/>
  <c r="B14" i="22"/>
  <c r="C14" i="22" s="1"/>
  <c r="I10" i="16"/>
  <c r="G1201" i="97" s="1"/>
  <c r="I9" i="16"/>
  <c r="G1200" i="97" s="1"/>
  <c r="I8" i="16"/>
  <c r="G1199" i="97" s="1"/>
  <c r="I7" i="16"/>
  <c r="G1198" i="97" s="1"/>
  <c r="I6" i="16"/>
  <c r="G1197" i="97" s="1"/>
  <c r="D14" i="22" l="1"/>
  <c r="F14" i="22"/>
  <c r="E14" i="22"/>
  <c r="G14" i="22"/>
  <c r="H14" i="22"/>
  <c r="P13" i="22"/>
  <c r="Q13" i="22"/>
  <c r="B15" i="22"/>
  <c r="C15" i="22" s="1"/>
  <c r="M12" i="22"/>
  <c r="N16" i="33"/>
  <c r="K16" i="33" s="1"/>
  <c r="G15" i="22" l="1"/>
  <c r="H15" i="22"/>
  <c r="E15" i="22"/>
  <c r="F15" i="22"/>
  <c r="D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H16" i="22"/>
  <c r="E16" i="22"/>
  <c r="F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O8" i="28"/>
  <c r="U23" i="27"/>
  <c r="U11" i="27"/>
  <c r="P43" i="15"/>
  <c r="W17" i="14"/>
  <c r="W10" i="14"/>
  <c r="O26" i="12"/>
  <c r="O21" i="12"/>
  <c r="O12" i="12"/>
  <c r="O8" i="12"/>
  <c r="O10" i="28"/>
  <c r="O6" i="28"/>
  <c r="P49" i="15"/>
  <c r="W8" i="14"/>
  <c r="O35" i="12"/>
  <c r="O16" i="12"/>
  <c r="O10" i="12"/>
  <c r="U7" i="27"/>
  <c r="W18" i="14"/>
  <c r="W7" i="14"/>
  <c r="O30" i="12"/>
  <c r="O22" i="12"/>
  <c r="O9" i="12"/>
  <c r="O7" i="28"/>
  <c r="U20" i="27"/>
  <c r="U10" i="27"/>
  <c r="W26" i="14"/>
  <c r="W16" i="14"/>
  <c r="W9" i="14"/>
  <c r="O36" i="12"/>
  <c r="O24" i="12"/>
  <c r="O20" i="12"/>
  <c r="O11" i="12"/>
  <c r="O7" i="12"/>
  <c r="U16" i="27"/>
  <c r="W25" i="14"/>
  <c r="W15" i="14"/>
  <c r="O23" i="12"/>
  <c r="O9" i="28"/>
  <c r="U12" i="27"/>
  <c r="P45" i="15"/>
  <c r="W11" i="14"/>
  <c r="O13" i="12"/>
  <c r="L37" i="15"/>
  <c r="L19" i="19"/>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G17" i="22"/>
  <c r="D17" i="22"/>
  <c r="E17" i="22"/>
  <c r="C25" i="2"/>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G2172" i="97" s="1"/>
  <c r="L15" i="31"/>
  <c r="G2159" i="97" s="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X47" i="29"/>
  <c r="P47" i="29" s="1"/>
  <c r="W46" i="29"/>
  <c r="P46" i="29" s="1"/>
  <c r="V45" i="29"/>
  <c r="P45" i="29" s="1"/>
  <c r="U44" i="29"/>
  <c r="P44" i="29" s="1"/>
  <c r="T43" i="29"/>
  <c r="P43" i="29" s="1"/>
  <c r="S42" i="29"/>
  <c r="P42" i="29" s="1"/>
  <c r="X37" i="29"/>
  <c r="W37" i="29"/>
  <c r="V37" i="29"/>
  <c r="U37" i="29"/>
  <c r="T37" i="29"/>
  <c r="S37" i="29"/>
  <c r="M37" i="29"/>
  <c r="G1838" i="97" s="1"/>
  <c r="X36" i="29"/>
  <c r="W36" i="29"/>
  <c r="V36" i="29"/>
  <c r="U36" i="29"/>
  <c r="T36" i="29"/>
  <c r="S36" i="29"/>
  <c r="M36" i="29"/>
  <c r="G1837" i="97" s="1"/>
  <c r="X31" i="29"/>
  <c r="W31" i="29"/>
  <c r="V31" i="29"/>
  <c r="U31" i="29"/>
  <c r="T31" i="29"/>
  <c r="S31" i="29"/>
  <c r="M31" i="29"/>
  <c r="G1835" i="97" s="1"/>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G6" i="18"/>
  <c r="G1365" i="97" s="1"/>
  <c r="I1" i="18"/>
  <c r="B45" i="17"/>
  <c r="V30" i="17"/>
  <c r="U30" i="17"/>
  <c r="G26" i="17"/>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i="17"/>
  <c r="O6" i="17"/>
  <c r="G6" i="17"/>
  <c r="G1247" i="97" s="1"/>
  <c r="I1" i="17"/>
  <c r="B25" i="16"/>
  <c r="B22" i="16"/>
  <c r="H11" i="16"/>
  <c r="G1195" i="97" s="1"/>
  <c r="F11" i="16"/>
  <c r="G1181" i="97" s="1"/>
  <c r="E11" i="16"/>
  <c r="G1174" i="97" s="1"/>
  <c r="G10" i="16"/>
  <c r="G1187" i="97" s="1"/>
  <c r="G9" i="16"/>
  <c r="G1186" i="97" s="1"/>
  <c r="O8" i="16"/>
  <c r="N8" i="16"/>
  <c r="G8" i="16"/>
  <c r="G1185" i="97" s="1"/>
  <c r="G7" i="16"/>
  <c r="G1184" i="97" s="1"/>
  <c r="G6" i="16"/>
  <c r="G1183" i="97" s="1"/>
  <c r="B26" i="16"/>
  <c r="O5" i="16"/>
  <c r="N5" i="16"/>
  <c r="G5" i="16"/>
  <c r="G1182" i="97" s="1"/>
  <c r="I1" i="16"/>
  <c r="B64" i="15"/>
  <c r="B61" i="15"/>
  <c r="I24" i="15"/>
  <c r="G1130" i="97" s="1"/>
  <c r="H24" i="15"/>
  <c r="G1105" i="97" s="1"/>
  <c r="G24" i="15"/>
  <c r="G1079" i="97" s="1"/>
  <c r="J23" i="15"/>
  <c r="G1153" i="97" s="1"/>
  <c r="J22" i="15"/>
  <c r="G1152" i="97" s="1"/>
  <c r="J20" i="15"/>
  <c r="G1150" i="97" s="1"/>
  <c r="J19" i="15"/>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844" i="97" s="1"/>
  <c r="G14" i="12"/>
  <c r="G772" i="97" s="1"/>
  <c r="L1" i="12"/>
  <c r="W30" i="12" s="1"/>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C9" i="2" l="1"/>
  <c r="G1141" i="97"/>
  <c r="G45" i="19"/>
  <c r="G1149" i="97"/>
  <c r="H45" i="19"/>
  <c r="C10" i="2"/>
  <c r="D18" i="22"/>
  <c r="H18" i="22"/>
  <c r="F18" i="22"/>
  <c r="E18" i="22"/>
  <c r="G18" i="22"/>
  <c r="O9" i="31"/>
  <c r="G2194" i="97" s="1"/>
  <c r="L21" i="31"/>
  <c r="G2164" i="97" s="1"/>
  <c r="O8" i="31"/>
  <c r="G2193" i="97" s="1"/>
  <c r="M21" i="31"/>
  <c r="G2177" i="97" s="1"/>
  <c r="K21" i="31"/>
  <c r="G2151" i="97" s="1"/>
  <c r="AG49" i="76"/>
  <c r="AD49" i="76" s="1"/>
  <c r="R49" i="76" s="1"/>
  <c r="K18" i="30"/>
  <c r="G1962" i="97" s="1"/>
  <c r="L18" i="30"/>
  <c r="G1990" i="97" s="1"/>
  <c r="AG17" i="76"/>
  <c r="AD17" i="76" s="1"/>
  <c r="AG33" i="76"/>
  <c r="AD33" i="76" s="1"/>
  <c r="R33" i="76" s="1"/>
  <c r="AF31" i="30"/>
  <c r="L18" i="29"/>
  <c r="G1798" i="97" s="1"/>
  <c r="I18" i="29"/>
  <c r="G1714" i="97" s="1"/>
  <c r="AB31" i="29"/>
  <c r="C39" i="2"/>
  <c r="J18" i="29"/>
  <c r="G1742" i="97" s="1"/>
  <c r="H18" i="29"/>
  <c r="G1686" i="97" s="1"/>
  <c r="AE18" i="75"/>
  <c r="AB18" i="75" s="1"/>
  <c r="K18" i="29"/>
  <c r="G1770" i="97" s="1"/>
  <c r="U33" i="18"/>
  <c r="I37" i="18"/>
  <c r="G1441" i="97" s="1"/>
  <c r="G28" i="17"/>
  <c r="G1267" i="97" s="1"/>
  <c r="H6" i="96"/>
  <c r="G6" i="96"/>
  <c r="G8" i="96" s="1"/>
  <c r="G1549" i="97" s="1"/>
  <c r="G44" i="15"/>
  <c r="G46" i="15" s="1"/>
  <c r="G1090" i="97" s="1"/>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i="21"/>
  <c r="AI11" i="21"/>
  <c r="AI7" i="21"/>
  <c r="AI12" i="21"/>
  <c r="AI18" i="21"/>
  <c r="AI14" i="21"/>
  <c r="AI10" i="21"/>
  <c r="AI6" i="21"/>
  <c r="AI20" i="21"/>
  <c r="AI17" i="21"/>
  <c r="AI13" i="21"/>
  <c r="AI9" i="21"/>
  <c r="AI5" i="21"/>
  <c r="AI16" i="21"/>
  <c r="AI8" i="21"/>
  <c r="C17" i="21"/>
  <c r="H17" i="21" s="1"/>
  <c r="C13" i="21"/>
  <c r="H13" i="21" s="1"/>
  <c r="C9" i="21"/>
  <c r="H9" i="21" s="1"/>
  <c r="C5" i="21"/>
  <c r="H5" i="21" s="1"/>
  <c r="C19" i="21"/>
  <c r="H19" i="21" s="1"/>
  <c r="C16" i="21"/>
  <c r="H16" i="21" s="1"/>
  <c r="C8" i="21"/>
  <c r="H8" i="21" s="1"/>
  <c r="C20" i="21"/>
  <c r="H20" i="21" s="1"/>
  <c r="C14" i="21"/>
  <c r="H14" i="21" s="1"/>
  <c r="C11" i="21"/>
  <c r="H11" i="21" s="1"/>
  <c r="C6" i="21"/>
  <c r="H6" i="21" s="1"/>
  <c r="C18" i="21"/>
  <c r="H18" i="21" s="1"/>
  <c r="C15" i="21"/>
  <c r="H15" i="21" s="1"/>
  <c r="C10" i="21"/>
  <c r="H10" i="21" s="1"/>
  <c r="C7" i="21"/>
  <c r="H7" i="21" s="1"/>
  <c r="C12" i="21"/>
  <c r="H12" i="21" s="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L6" i="19"/>
  <c r="L6" i="17"/>
  <c r="L6" i="18"/>
  <c r="L44" i="34"/>
  <c r="G2439" i="97" s="1"/>
  <c r="G44" i="34"/>
  <c r="G2319" i="97" s="1"/>
  <c r="H52" i="30"/>
  <c r="G1895" i="97" s="1"/>
  <c r="H50" i="30"/>
  <c r="G1893" i="97" s="1"/>
  <c r="I52" i="30"/>
  <c r="G1923" i="97" s="1"/>
  <c r="I50" i="30"/>
  <c r="G1921" i="97" s="1"/>
  <c r="J52" i="30"/>
  <c r="G1951" i="97" s="1"/>
  <c r="J50" i="30"/>
  <c r="G1949" i="97" s="1"/>
  <c r="G52" i="30"/>
  <c r="G1867" i="97" s="1"/>
  <c r="G50" i="30"/>
  <c r="G1865" i="97" s="1"/>
  <c r="AZ52" i="66"/>
  <c r="AW52" i="66" s="1"/>
  <c r="D48" i="2" s="1"/>
  <c r="AR45" i="65"/>
  <c r="AO45" i="65" s="1"/>
  <c r="D47" i="2" s="1"/>
  <c r="AE34" i="75"/>
  <c r="AB34" i="75" s="1"/>
  <c r="M6" i="8"/>
  <c r="N18" i="30"/>
  <c r="G2046" i="97" s="1"/>
  <c r="M18" i="30"/>
  <c r="G2018" i="97" s="1"/>
  <c r="K44" i="34"/>
  <c r="G2415" i="97" s="1"/>
  <c r="J21" i="34"/>
  <c r="G2379" i="97" s="1"/>
  <c r="Z45" i="19"/>
  <c r="J38" i="34"/>
  <c r="G2389" i="97" s="1"/>
  <c r="H44" i="34"/>
  <c r="G2343" i="97" s="1"/>
  <c r="J12" i="31"/>
  <c r="G2131" i="97" s="1"/>
  <c r="O7" i="31"/>
  <c r="G2192" i="97" s="1"/>
  <c r="G33" i="30"/>
  <c r="G1860" i="97" s="1"/>
  <c r="K50" i="29"/>
  <c r="G1787" i="97" s="1"/>
  <c r="K48" i="29"/>
  <c r="G1785" i="97" s="1"/>
  <c r="L50" i="29"/>
  <c r="G1815" i="97" s="1"/>
  <c r="L48" i="29"/>
  <c r="G1813" i="97" s="1"/>
  <c r="I11" i="16"/>
  <c r="G1202" i="97" s="1"/>
  <c r="J14" i="34"/>
  <c r="G2374" i="97" s="1"/>
  <c r="M14" i="8"/>
  <c r="H8" i="11"/>
  <c r="G693" i="97" s="1"/>
  <c r="N15" i="31"/>
  <c r="G2185" i="97" s="1"/>
  <c r="K43" i="33"/>
  <c r="J17" i="12"/>
  <c r="G846" i="97" s="1"/>
  <c r="J33" i="30"/>
  <c r="G1944" i="97" s="1"/>
  <c r="I44" i="34"/>
  <c r="G2367" i="97" s="1"/>
  <c r="I33" i="30"/>
  <c r="G1916" i="97" s="1"/>
  <c r="S33" i="18"/>
  <c r="D23" i="2" s="1"/>
  <c r="P17" i="22"/>
  <c r="Q17" i="22"/>
  <c r="M16" i="22"/>
  <c r="B19" i="22"/>
  <c r="C19" i="22" s="1"/>
  <c r="B21" i="21"/>
  <c r="AI21" i="21" s="1"/>
  <c r="G31" i="18"/>
  <c r="G1388" i="97" s="1"/>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K33" i="30"/>
  <c r="G1972" i="97" s="1"/>
  <c r="R21" i="30"/>
  <c r="R27" i="30"/>
  <c r="R37" i="34"/>
  <c r="M7" i="5"/>
  <c r="M11" i="6"/>
  <c r="J20" i="6"/>
  <c r="G226" i="97" s="1"/>
  <c r="M27" i="6"/>
  <c r="M18" i="7"/>
  <c r="M25" i="7"/>
  <c r="J26" i="7"/>
  <c r="G364" i="97" s="1"/>
  <c r="M31" i="7"/>
  <c r="L23" i="15"/>
  <c r="J24" i="15"/>
  <c r="G1154" i="97" s="1"/>
  <c r="R31" i="34"/>
  <c r="M11" i="4"/>
  <c r="M26" i="6"/>
  <c r="M37" i="6"/>
  <c r="M24" i="7"/>
  <c r="K7" i="13"/>
  <c r="K11" i="13"/>
  <c r="K21" i="13"/>
  <c r="L11" i="15"/>
  <c r="L20" i="15"/>
  <c r="I9" i="19"/>
  <c r="G1495" i="97" s="1"/>
  <c r="L8" i="19"/>
  <c r="L48" i="19"/>
  <c r="R14" i="30"/>
  <c r="R37" i="30"/>
  <c r="R19" i="34"/>
  <c r="R24" i="34"/>
  <c r="R25" i="34"/>
  <c r="J28" i="34"/>
  <c r="G2384" i="97" s="1"/>
  <c r="M10" i="6"/>
  <c r="P17" i="29"/>
  <c r="R32" i="34"/>
  <c r="M7" i="6"/>
  <c r="G27" i="12"/>
  <c r="G782" i="97" s="1"/>
  <c r="J13" i="15"/>
  <c r="G1147" i="97" s="1"/>
  <c r="L19" i="15"/>
  <c r="K5" i="16"/>
  <c r="K8" i="16"/>
  <c r="H44" i="19"/>
  <c r="G1484" i="97" s="1"/>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G2072" i="97" s="1"/>
  <c r="R36" i="30"/>
  <c r="O11" i="31"/>
  <c r="G2195" i="97" s="1"/>
  <c r="R17" i="34"/>
  <c r="M28" i="6"/>
  <c r="M34" i="6"/>
  <c r="M38" i="6"/>
  <c r="J43" i="6"/>
  <c r="G244" i="97" s="1"/>
  <c r="M48" i="6"/>
  <c r="L14" i="12"/>
  <c r="G892" i="97" s="1"/>
  <c r="K9" i="13"/>
  <c r="K16" i="13"/>
  <c r="N18" i="14"/>
  <c r="G1059" i="97" s="1"/>
  <c r="L8" i="15"/>
  <c r="L12" i="15"/>
  <c r="J9" i="26"/>
  <c r="P24" i="29"/>
  <c r="H33" i="30"/>
  <c r="G1888" i="97" s="1"/>
  <c r="R17" i="30"/>
  <c r="O28" i="30"/>
  <c r="G2082" i="97" s="1"/>
  <c r="O19" i="31"/>
  <c r="G2201" i="97" s="1"/>
  <c r="R8" i="34"/>
  <c r="R27" i="34"/>
  <c r="R33" i="34"/>
  <c r="B66" i="6"/>
  <c r="H33" i="18"/>
  <c r="G1414" i="97" s="1"/>
  <c r="J15" i="7"/>
  <c r="G356" i="97" s="1"/>
  <c r="N12" i="14"/>
  <c r="G1055" i="97" s="1"/>
  <c r="H30" i="17"/>
  <c r="G1290" i="97" s="1"/>
  <c r="P13" i="19"/>
  <c r="M6" i="4"/>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L33" i="29"/>
  <c r="G1808" i="97" s="1"/>
  <c r="P21" i="29"/>
  <c r="P36" i="29"/>
  <c r="P8" i="29"/>
  <c r="G33" i="29"/>
  <c r="G1668" i="97" s="1"/>
  <c r="R7" i="30"/>
  <c r="R9" i="30"/>
  <c r="M15" i="29"/>
  <c r="G1824" i="97" s="1"/>
  <c r="O26" i="30"/>
  <c r="G2080" i="97" s="1"/>
  <c r="M26" i="29"/>
  <c r="G1832" i="97" s="1"/>
  <c r="P27" i="29"/>
  <c r="B68" i="30"/>
  <c r="R20" i="34"/>
  <c r="R22" i="30"/>
  <c r="B46" i="31"/>
  <c r="L50" i="30" l="1"/>
  <c r="G2005" i="97" s="1"/>
  <c r="L33" i="30"/>
  <c r="G2000" i="97" s="1"/>
  <c r="L52" i="30"/>
  <c r="G2007" i="97" s="1"/>
  <c r="I33" i="29"/>
  <c r="G1724" i="97" s="1"/>
  <c r="I48" i="29"/>
  <c r="G1729" i="97" s="1"/>
  <c r="I50" i="29"/>
  <c r="G1731" i="97" s="1"/>
  <c r="H48" i="29"/>
  <c r="G1701" i="97" s="1"/>
  <c r="J48" i="29"/>
  <c r="G1757" i="97" s="1"/>
  <c r="G30" i="17"/>
  <c r="G1268" i="97" s="1"/>
  <c r="G1485" i="97"/>
  <c r="Y45" i="19"/>
  <c r="T45" i="19" s="1"/>
  <c r="P45" i="19"/>
  <c r="K50" i="30"/>
  <c r="G1977" i="97" s="1"/>
  <c r="H33" i="29"/>
  <c r="G1696" i="97" s="1"/>
  <c r="K13" i="6"/>
  <c r="G255" i="97" s="1"/>
  <c r="K52" i="30"/>
  <c r="G1979" i="97" s="1"/>
  <c r="G1460" i="97"/>
  <c r="J45" i="19"/>
  <c r="G1523" i="97" s="1"/>
  <c r="O45" i="19"/>
  <c r="W45" i="19"/>
  <c r="S45" i="19" s="1"/>
  <c r="G50" i="29"/>
  <c r="G1675" i="97" s="1"/>
  <c r="H50" i="29"/>
  <c r="G1703" i="97" s="1"/>
  <c r="C36" i="2"/>
  <c r="AF44" i="34"/>
  <c r="K33" i="29"/>
  <c r="G1780" i="97" s="1"/>
  <c r="X39" i="19"/>
  <c r="G19" i="22"/>
  <c r="H19" i="22"/>
  <c r="F19" i="22"/>
  <c r="E19" i="22"/>
  <c r="D19" i="22"/>
  <c r="AN7" i="11"/>
  <c r="AG7" i="11" s="1"/>
  <c r="R7" i="11" s="1"/>
  <c r="J15" i="31"/>
  <c r="G2133" i="97" s="1"/>
  <c r="G17" i="13"/>
  <c r="G910" i="97" s="1"/>
  <c r="N21" i="31"/>
  <c r="G2190" i="97" s="1"/>
  <c r="H39" i="30"/>
  <c r="G1891" i="97" s="1"/>
  <c r="J39" i="30"/>
  <c r="G1947" i="97" s="1"/>
  <c r="G39" i="30"/>
  <c r="G1863" i="97" s="1"/>
  <c r="K39" i="30"/>
  <c r="G1975" i="97" s="1"/>
  <c r="R17" i="76"/>
  <c r="D58" i="2"/>
  <c r="L39" i="30"/>
  <c r="G2003" i="97" s="1"/>
  <c r="I39" i="30"/>
  <c r="G1919" i="97" s="1"/>
  <c r="D57" i="2"/>
  <c r="Q18" i="75"/>
  <c r="J50" i="29"/>
  <c r="G1759" i="97" s="1"/>
  <c r="G48" i="29"/>
  <c r="G1673" i="97" s="1"/>
  <c r="I39" i="29"/>
  <c r="G1727" i="97" s="1"/>
  <c r="J33" i="29"/>
  <c r="L39" i="29"/>
  <c r="G1811" i="97" s="1"/>
  <c r="G39" i="29"/>
  <c r="G1671" i="97" s="1"/>
  <c r="M18" i="29"/>
  <c r="G1826" i="97" s="1"/>
  <c r="H46" i="19"/>
  <c r="G1486" i="97" s="1"/>
  <c r="G33" i="18"/>
  <c r="G1389" i="97" s="1"/>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L12" i="32" s="1"/>
  <c r="W13" i="32"/>
  <c r="T13" i="32" s="1"/>
  <c r="L13" i="32" s="1"/>
  <c r="K9" i="4"/>
  <c r="G83" i="97" s="1"/>
  <c r="AN8" i="11"/>
  <c r="H28" i="7"/>
  <c r="G321" i="97" s="1"/>
  <c r="AN11" i="11"/>
  <c r="AG11" i="11" s="1"/>
  <c r="R11" i="11" s="1"/>
  <c r="I28" i="7"/>
  <c r="G343" i="97" s="1"/>
  <c r="G28" i="7"/>
  <c r="G299" i="97" s="1"/>
  <c r="AE44" i="34"/>
  <c r="H12" i="11"/>
  <c r="G696" i="97" s="1"/>
  <c r="I30" i="17"/>
  <c r="G1313" i="97" s="1"/>
  <c r="I33" i="18"/>
  <c r="G1440" i="97" s="1"/>
  <c r="I23" i="19"/>
  <c r="G1504" i="97" s="1"/>
  <c r="G10" i="21"/>
  <c r="AJ10" i="21"/>
  <c r="G11" i="21"/>
  <c r="AJ11" i="21"/>
  <c r="AJ16" i="21"/>
  <c r="E13" i="21"/>
  <c r="AJ13" i="21"/>
  <c r="AJ15" i="21"/>
  <c r="G14" i="21"/>
  <c r="AJ14" i="21"/>
  <c r="AJ19" i="21"/>
  <c r="G17" i="21"/>
  <c r="AJ17" i="21"/>
  <c r="E12" i="21"/>
  <c r="AJ12" i="21"/>
  <c r="G18" i="21"/>
  <c r="AJ18" i="21"/>
  <c r="AJ20" i="21"/>
  <c r="E5" i="21"/>
  <c r="AJ5" i="21"/>
  <c r="G7" i="21"/>
  <c r="AJ7" i="21"/>
  <c r="G6" i="21"/>
  <c r="AJ6" i="21"/>
  <c r="AJ8" i="21"/>
  <c r="E9" i="21"/>
  <c r="AJ9" i="21"/>
  <c r="D9"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D5" i="21"/>
  <c r="D14" i="21"/>
  <c r="E7" i="21"/>
  <c r="E15" i="21"/>
  <c r="F7" i="21"/>
  <c r="F18" i="21"/>
  <c r="D15" i="21"/>
  <c r="D11" i="21"/>
  <c r="G8" i="21"/>
  <c r="G16" i="21"/>
  <c r="C21" i="21"/>
  <c r="H21" i="21" s="1"/>
  <c r="F15" i="21"/>
  <c r="E6" i="21"/>
  <c r="G15" i="21"/>
  <c r="G20" i="21"/>
  <c r="D12" i="21"/>
  <c r="D19" i="21"/>
  <c r="F12" i="21"/>
  <c r="F14" i="21"/>
  <c r="E18" i="21"/>
  <c r="G19" i="21"/>
  <c r="E10" i="21"/>
  <c r="G12"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G2035" i="97" s="1"/>
  <c r="M50" i="30"/>
  <c r="G2033" i="97" s="1"/>
  <c r="N33" i="30"/>
  <c r="G2056" i="97" s="1"/>
  <c r="N52" i="30"/>
  <c r="G2063" i="97" s="1"/>
  <c r="N50" i="30"/>
  <c r="G2061" i="97" s="1"/>
  <c r="AA52" i="66"/>
  <c r="O18" i="30"/>
  <c r="G2074" i="97" s="1"/>
  <c r="W45" i="65"/>
  <c r="AA30" i="12"/>
  <c r="AG31" i="30"/>
  <c r="AD31" i="30" s="1"/>
  <c r="D40" i="2" s="1"/>
  <c r="Z30" i="12"/>
  <c r="AC31" i="29"/>
  <c r="Z31" i="29" s="1"/>
  <c r="D39" i="2" s="1"/>
  <c r="M33" i="30"/>
  <c r="G2028" i="97" s="1"/>
  <c r="G44" i="19"/>
  <c r="G1459" i="97" s="1"/>
  <c r="AN9" i="11"/>
  <c r="AG9" i="11" s="1"/>
  <c r="R9" i="11" s="1"/>
  <c r="B44" i="14"/>
  <c r="V5" i="21"/>
  <c r="K33" i="18"/>
  <c r="G11" i="13"/>
  <c r="I11" i="13" s="1"/>
  <c r="G930" i="97" s="1"/>
  <c r="G7" i="13"/>
  <c r="G8" i="13"/>
  <c r="B51" i="31"/>
  <c r="G6" i="13"/>
  <c r="G9" i="13"/>
  <c r="G908" i="97" s="1"/>
  <c r="B27" i="16"/>
  <c r="G32" i="12"/>
  <c r="G784" i="97" s="1"/>
  <c r="V6" i="21"/>
  <c r="I8" i="11"/>
  <c r="G700" i="97" s="1"/>
  <c r="G6" i="32"/>
  <c r="G2212" i="97" s="1"/>
  <c r="J32" i="12"/>
  <c r="G856" i="97" s="1"/>
  <c r="M8" i="11"/>
  <c r="G729" i="97" s="1"/>
  <c r="H6" i="32"/>
  <c r="G2223" i="97" s="1"/>
  <c r="O14" i="31"/>
  <c r="G2197" i="97" s="1"/>
  <c r="L34" i="17"/>
  <c r="B66" i="15"/>
  <c r="B26" i="5"/>
  <c r="J45" i="6"/>
  <c r="G245" i="97" s="1"/>
  <c r="Z5" i="21"/>
  <c r="Q18" i="22"/>
  <c r="P18" i="22"/>
  <c r="B20" i="22"/>
  <c r="C20" i="22" s="1"/>
  <c r="M17" i="22"/>
  <c r="B22" i="21"/>
  <c r="AI22" i="21" s="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K45" i="19" l="1"/>
  <c r="O15" i="31"/>
  <c r="G2198" i="97" s="1"/>
  <c r="K39" i="29"/>
  <c r="G1783" i="97" s="1"/>
  <c r="H39" i="29"/>
  <c r="G1699" i="97" s="1"/>
  <c r="L45" i="19"/>
  <c r="G20" i="22"/>
  <c r="H20" i="22"/>
  <c r="F20" i="22"/>
  <c r="E20" i="22"/>
  <c r="D20" i="22"/>
  <c r="M33" i="29"/>
  <c r="G1836" i="97" s="1"/>
  <c r="G1752" i="97"/>
  <c r="P27" i="14"/>
  <c r="AE12" i="31"/>
  <c r="J21" i="3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C22" i="21"/>
  <c r="E21" i="21"/>
  <c r="D21" i="21"/>
  <c r="F21" i="21"/>
  <c r="G21" i="21"/>
  <c r="L30" i="18"/>
  <c r="L26" i="17"/>
  <c r="L29" i="18"/>
  <c r="D17" i="2"/>
  <c r="J44" i="19"/>
  <c r="G1522" i="97" s="1"/>
  <c r="I39" i="19"/>
  <c r="G1513" i="97" s="1"/>
  <c r="L27" i="17"/>
  <c r="C23" i="2"/>
  <c r="C22" i="2"/>
  <c r="J6" i="32"/>
  <c r="G2245" i="97" s="1"/>
  <c r="L32" i="12"/>
  <c r="G904" i="97" s="1"/>
  <c r="Q31" i="30"/>
  <c r="O33" i="30"/>
  <c r="G2084" i="97" s="1"/>
  <c r="O31" i="29"/>
  <c r="B67" i="15"/>
  <c r="W29" i="19"/>
  <c r="S29" i="19" s="1"/>
  <c r="H9" i="32"/>
  <c r="G2225" i="97" s="1"/>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N8" i="11"/>
  <c r="G736" i="97" s="1"/>
  <c r="S5" i="21"/>
  <c r="L9" i="17"/>
  <c r="M18" i="22"/>
  <c r="Q19" i="22"/>
  <c r="P19" i="22"/>
  <c r="B21" i="22"/>
  <c r="C21" i="22" s="1"/>
  <c r="B23" i="21"/>
  <c r="AI23" i="21" s="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H7" i="27" l="1"/>
  <c r="G1586" i="97" s="1"/>
  <c r="AE15" i="31"/>
  <c r="O21" i="31"/>
  <c r="G2203" i="97" s="1"/>
  <c r="O39" i="30"/>
  <c r="G2087" i="97" s="1"/>
  <c r="F21" i="22"/>
  <c r="H21" i="22"/>
  <c r="E21" i="22"/>
  <c r="D21" i="22"/>
  <c r="G21" i="22"/>
  <c r="AJ22" i="21"/>
  <c r="H22" i="21"/>
  <c r="R44" i="34"/>
  <c r="I19" i="27"/>
  <c r="G1600" i="97" s="1"/>
  <c r="AH52" i="64"/>
  <c r="AE52" i="64" s="1"/>
  <c r="D46" i="2" s="1"/>
  <c r="M39" i="29"/>
  <c r="G1839" i="97" s="1"/>
  <c r="I12" i="96"/>
  <c r="I14" i="96" s="1"/>
  <c r="H14" i="96"/>
  <c r="G1553" i="97" s="1"/>
  <c r="L39" i="12"/>
  <c r="G907" i="97" s="1"/>
  <c r="J11" i="8"/>
  <c r="G416" i="97" s="1"/>
  <c r="G41" i="33"/>
  <c r="G2282" i="97" s="1"/>
  <c r="G40" i="33"/>
  <c r="G2281" i="97" s="1"/>
  <c r="G42" i="33"/>
  <c r="G2283" i="97" s="1"/>
  <c r="J36" i="7"/>
  <c r="G370" i="97" s="1"/>
  <c r="K18" i="4"/>
  <c r="G90" i="97" s="1"/>
  <c r="G18" i="33"/>
  <c r="G2266" i="97" s="1"/>
  <c r="H19" i="27"/>
  <c r="G1592" i="97" s="1"/>
  <c r="H15" i="32"/>
  <c r="G2230" i="97" s="1"/>
  <c r="K12" i="11"/>
  <c r="G718" i="97" s="1"/>
  <c r="N12" i="11"/>
  <c r="G740" i="97" s="1"/>
  <c r="G15" i="32"/>
  <c r="G2219" i="97" s="1"/>
  <c r="J46" i="19"/>
  <c r="G1524" i="97" s="1"/>
  <c r="G53" i="19"/>
  <c r="G1466" i="97" s="1"/>
  <c r="W39" i="19"/>
  <c r="S39" i="19" s="1"/>
  <c r="D24" i="2" s="1"/>
  <c r="C23" i="21"/>
  <c r="G22" i="21"/>
  <c r="F22" i="21"/>
  <c r="D22" i="21"/>
  <c r="E22" i="21"/>
  <c r="W22" i="21"/>
  <c r="N30" i="12"/>
  <c r="J9" i="32"/>
  <c r="G2248" i="97" s="1"/>
  <c r="B68" i="15"/>
  <c r="B69" i="15"/>
  <c r="G14" i="13"/>
  <c r="I12" i="13"/>
  <c r="G931" i="97" s="1"/>
  <c r="Q14" i="31"/>
  <c r="I13" i="13"/>
  <c r="G932" i="97" s="1"/>
  <c r="B53" i="31"/>
  <c r="AC12" i="31"/>
  <c r="G7" i="27"/>
  <c r="G1577" i="97" s="1"/>
  <c r="B69" i="29"/>
  <c r="B72" i="30"/>
  <c r="S8" i="11"/>
  <c r="M19" i="22"/>
  <c r="P20" i="22"/>
  <c r="Q20" i="22"/>
  <c r="B22" i="22"/>
  <c r="C22" i="22" s="1"/>
  <c r="B24" i="21"/>
  <c r="AI24" i="21" s="1"/>
  <c r="S7" i="21"/>
  <c r="Z8" i="21"/>
  <c r="AB8" i="21"/>
  <c r="AD8" i="21"/>
  <c r="K29" i="19"/>
  <c r="X8" i="21"/>
  <c r="V8" i="21"/>
  <c r="B47" i="14"/>
  <c r="B69" i="6"/>
  <c r="B54" i="7"/>
  <c r="B52" i="4"/>
  <c r="B37" i="32"/>
  <c r="B68" i="29"/>
  <c r="K28" i="7"/>
  <c r="G387" i="97" s="1"/>
  <c r="H6" i="5"/>
  <c r="J22" i="4"/>
  <c r="G75" i="97" s="1"/>
  <c r="B31" i="16"/>
  <c r="B30" i="16"/>
  <c r="B73" i="30"/>
  <c r="G6" i="5"/>
  <c r="AE21" i="31" l="1"/>
  <c r="R52" i="64"/>
  <c r="K36" i="7"/>
  <c r="G392" i="97" s="1"/>
  <c r="D22" i="22"/>
  <c r="H22" i="22"/>
  <c r="G22" i="22"/>
  <c r="F22" i="22"/>
  <c r="E22" i="22"/>
  <c r="G23" i="33"/>
  <c r="G2271" i="97" s="1"/>
  <c r="AJ23" i="21"/>
  <c r="H23" i="21"/>
  <c r="G19" i="13"/>
  <c r="AF15" i="31"/>
  <c r="AC15" i="31" s="1"/>
  <c r="AD52" i="63"/>
  <c r="AA52" i="63" s="1"/>
  <c r="G1559" i="97"/>
  <c r="J15" i="32"/>
  <c r="G2253" i="97" s="1"/>
  <c r="S42" i="33"/>
  <c r="Q42" i="33" s="1"/>
  <c r="J13" i="8"/>
  <c r="G417" i="97" s="1"/>
  <c r="G8" i="33"/>
  <c r="G2256" i="97" s="1"/>
  <c r="G7" i="33"/>
  <c r="G21" i="33" s="1"/>
  <c r="G2269" i="97" s="1"/>
  <c r="K22" i="4"/>
  <c r="G93" i="97" s="1"/>
  <c r="G19" i="27"/>
  <c r="G1583" i="97" s="1"/>
  <c r="G18" i="32"/>
  <c r="G2221" i="97" s="1"/>
  <c r="K18" i="11"/>
  <c r="G721" i="97" s="1"/>
  <c r="N18" i="11"/>
  <c r="G743" i="97" s="1"/>
  <c r="H18" i="32"/>
  <c r="G2232" i="97" s="1"/>
  <c r="J53" i="19"/>
  <c r="G1529" i="97" s="1"/>
  <c r="C24" i="21"/>
  <c r="G23" i="21"/>
  <c r="F23" i="21"/>
  <c r="D23" i="21"/>
  <c r="E23" i="21"/>
  <c r="W23" i="21"/>
  <c r="K39" i="19"/>
  <c r="B70" i="15"/>
  <c r="I14" i="13"/>
  <c r="G933" i="97" s="1"/>
  <c r="Q12" i="31"/>
  <c r="B49" i="14"/>
  <c r="B55" i="31"/>
  <c r="G8" i="11"/>
  <c r="G684" i="97" s="1"/>
  <c r="B70" i="29"/>
  <c r="Q21" i="22"/>
  <c r="P21" i="22"/>
  <c r="M20" i="22"/>
  <c r="B23" i="22"/>
  <c r="C23" i="22" s="1"/>
  <c r="B25" i="21"/>
  <c r="AI25" i="21" s="1"/>
  <c r="Z9" i="21"/>
  <c r="AB9" i="21"/>
  <c r="AD9" i="21"/>
  <c r="V9" i="21"/>
  <c r="X9" i="21"/>
  <c r="S8" i="21"/>
  <c r="B70" i="6"/>
  <c r="B48" i="14"/>
  <c r="B38" i="32"/>
  <c r="B55" i="7"/>
  <c r="B74" i="30"/>
  <c r="J6" i="5"/>
  <c r="K6" i="5" s="1"/>
  <c r="H9" i="5"/>
  <c r="G103" i="97" s="1"/>
  <c r="B53" i="4"/>
  <c r="G9" i="5"/>
  <c r="G100" i="97" s="1"/>
  <c r="B71" i="29"/>
  <c r="AF21" i="31" l="1"/>
  <c r="G13" i="33"/>
  <c r="G2261" i="97" s="1"/>
  <c r="AC21" i="31"/>
  <c r="Q21" i="31" s="1"/>
  <c r="G24" i="33"/>
  <c r="G2272" i="97" s="1"/>
  <c r="G23" i="22"/>
  <c r="H23" i="22"/>
  <c r="F23" i="22"/>
  <c r="D23" i="22"/>
  <c r="E23" i="22"/>
  <c r="D41" i="2"/>
  <c r="AJ24" i="21"/>
  <c r="H24" i="21"/>
  <c r="D45" i="2"/>
  <c r="P52" i="63"/>
  <c r="I19" i="13"/>
  <c r="G936" i="97" s="1"/>
  <c r="J18" i="32"/>
  <c r="G2255" i="97" s="1"/>
  <c r="G9" i="33"/>
  <c r="D43" i="2"/>
  <c r="J42" i="33"/>
  <c r="J9" i="5"/>
  <c r="G109" i="97" s="1"/>
  <c r="P8" i="11"/>
  <c r="G755" i="97" s="1"/>
  <c r="F24" i="21"/>
  <c r="D24" i="21"/>
  <c r="G24" i="21"/>
  <c r="E24" i="21"/>
  <c r="C25" i="21"/>
  <c r="W24" i="21"/>
  <c r="G12" i="11"/>
  <c r="G687" i="97" s="1"/>
  <c r="B71" i="15"/>
  <c r="Q15" i="31"/>
  <c r="B57" i="31"/>
  <c r="M21" i="22"/>
  <c r="Q22" i="22"/>
  <c r="P22" i="22"/>
  <c r="B24" i="22"/>
  <c r="C24" i="22" s="1"/>
  <c r="B26" i="21"/>
  <c r="AI26" i="21" s="1"/>
  <c r="AD10" i="21"/>
  <c r="Z10" i="21"/>
  <c r="AB10" i="21"/>
  <c r="V10" i="21"/>
  <c r="X10" i="21"/>
  <c r="S9" i="21"/>
  <c r="B54" i="4"/>
  <c r="B75" i="30"/>
  <c r="B71" i="6"/>
  <c r="B39" i="32"/>
  <c r="B50" i="14"/>
  <c r="B72" i="29"/>
  <c r="B56" i="7"/>
  <c r="G24" i="22" l="1"/>
  <c r="D24" i="22"/>
  <c r="E24" i="22"/>
  <c r="F24" i="22"/>
  <c r="H24" i="22"/>
  <c r="AJ25" i="21"/>
  <c r="H25" i="21"/>
  <c r="K9" i="5"/>
  <c r="G112" i="97" s="1"/>
  <c r="P12" i="11"/>
  <c r="G759" i="97" s="1"/>
  <c r="E25" i="21"/>
  <c r="F25" i="21"/>
  <c r="D25" i="21"/>
  <c r="G25" i="21"/>
  <c r="C26" i="21"/>
  <c r="W25" i="21"/>
  <c r="G18" i="11"/>
  <c r="G690" i="97" s="1"/>
  <c r="B72" i="15"/>
  <c r="G28" i="33"/>
  <c r="G2273" i="97" s="1"/>
  <c r="AM8" i="11"/>
  <c r="AG8" i="11" s="1"/>
  <c r="D16" i="2" s="1"/>
  <c r="B61" i="31"/>
  <c r="M22" i="22"/>
  <c r="P23" i="22"/>
  <c r="Q23" i="22"/>
  <c r="B25" i="22"/>
  <c r="C25" i="22" s="1"/>
  <c r="B27" i="21"/>
  <c r="AI27" i="21" s="1"/>
  <c r="AB11" i="21"/>
  <c r="AD11" i="21"/>
  <c r="Z11" i="21"/>
  <c r="S10" i="21"/>
  <c r="V11" i="21"/>
  <c r="X11" i="21"/>
  <c r="B40" i="32"/>
  <c r="B72" i="6"/>
  <c r="B55" i="4"/>
  <c r="B76" i="30"/>
  <c r="B57" i="7"/>
  <c r="B73" i="29"/>
  <c r="B51" i="14"/>
  <c r="F25" i="22" l="1"/>
  <c r="H25" i="22"/>
  <c r="G25" i="22"/>
  <c r="D25" i="22"/>
  <c r="E25" i="22"/>
  <c r="AJ26" i="21"/>
  <c r="H26" i="21"/>
  <c r="P18" i="11"/>
  <c r="G762" i="97" s="1"/>
  <c r="C27" i="21"/>
  <c r="G26" i="21"/>
  <c r="D26" i="21"/>
  <c r="F26" i="21"/>
  <c r="E26" i="21"/>
  <c r="W26" i="21"/>
  <c r="B73" i="15"/>
  <c r="R8" i="11"/>
  <c r="B62" i="31"/>
  <c r="P24" i="22"/>
  <c r="Q24" i="22"/>
  <c r="M23" i="22"/>
  <c r="B26" i="22"/>
  <c r="C26" i="22" s="1"/>
  <c r="B28" i="21"/>
  <c r="AI28" i="21" s="1"/>
  <c r="Z12" i="21"/>
  <c r="AB12" i="21"/>
  <c r="AD12" i="21"/>
  <c r="V12" i="21"/>
  <c r="X12" i="21"/>
  <c r="S11" i="21"/>
  <c r="B52" i="14"/>
  <c r="B73" i="6"/>
  <c r="B58" i="7"/>
  <c r="B74" i="29"/>
  <c r="B77" i="30"/>
  <c r="B56" i="4"/>
  <c r="B41" i="32"/>
  <c r="D26" i="22" l="1"/>
  <c r="H26" i="22"/>
  <c r="F26" i="22"/>
  <c r="G26" i="22"/>
  <c r="E26" i="22"/>
  <c r="AJ27" i="21"/>
  <c r="H27" i="21"/>
  <c r="C28" i="21"/>
  <c r="D27" i="21"/>
  <c r="F27" i="21"/>
  <c r="E27" i="21"/>
  <c r="G27" i="21"/>
  <c r="W27" i="21"/>
  <c r="B74" i="15"/>
  <c r="B63" i="31"/>
  <c r="B53" i="14"/>
  <c r="P25" i="22"/>
  <c r="Q25" i="22"/>
  <c r="B27" i="22"/>
  <c r="C27" i="22" s="1"/>
  <c r="M24" i="22"/>
  <c r="B29" i="21"/>
  <c r="AI29" i="21" s="1"/>
  <c r="Z13" i="21"/>
  <c r="AB13" i="21"/>
  <c r="AD13" i="21"/>
  <c r="X13" i="21"/>
  <c r="V13" i="21"/>
  <c r="S12" i="21"/>
  <c r="B42" i="32"/>
  <c r="B57" i="4"/>
  <c r="B75" i="29"/>
  <c r="B78" i="30"/>
  <c r="B59" i="7"/>
  <c r="B74" i="6"/>
  <c r="G27" i="22" l="1"/>
  <c r="H27" i="22"/>
  <c r="F27" i="22"/>
  <c r="D27" i="22"/>
  <c r="E27" i="22"/>
  <c r="AJ28" i="21"/>
  <c r="H28" i="21"/>
  <c r="C29" i="21"/>
  <c r="D28" i="21"/>
  <c r="E28" i="21"/>
  <c r="F28" i="21"/>
  <c r="G28" i="21"/>
  <c r="W28" i="21"/>
  <c r="B75" i="15"/>
  <c r="B64" i="31"/>
  <c r="B54" i="14"/>
  <c r="M25" i="22"/>
  <c r="P26" i="22"/>
  <c r="Q26" i="22"/>
  <c r="B28" i="22"/>
  <c r="C28" i="22" s="1"/>
  <c r="B30" i="21"/>
  <c r="AI30" i="21" s="1"/>
  <c r="AD14" i="21"/>
  <c r="Z14" i="21"/>
  <c r="AB14" i="21"/>
  <c r="S13" i="21"/>
  <c r="X14" i="21"/>
  <c r="V14" i="21"/>
  <c r="B60" i="7"/>
  <c r="B58" i="4"/>
  <c r="B76" i="29"/>
  <c r="B44" i="32"/>
  <c r="B43" i="32"/>
  <c r="B75" i="6"/>
  <c r="B79" i="30"/>
  <c r="G28" i="22" l="1"/>
  <c r="H28" i="22"/>
  <c r="E28" i="22"/>
  <c r="F28" i="22"/>
  <c r="D28" i="22"/>
  <c r="AJ29" i="21"/>
  <c r="H29" i="21"/>
  <c r="C30" i="21"/>
  <c r="G29" i="21"/>
  <c r="E29" i="21"/>
  <c r="D29" i="21"/>
  <c r="F29" i="21"/>
  <c r="W29" i="21"/>
  <c r="B76" i="15"/>
  <c r="B65" i="31"/>
  <c r="B66" i="31"/>
  <c r="B81" i="30"/>
  <c r="B56" i="14"/>
  <c r="B55" i="14"/>
  <c r="M26" i="22"/>
  <c r="B29" i="22"/>
  <c r="C29" i="22" s="1"/>
  <c r="Q27" i="22"/>
  <c r="P27" i="22"/>
  <c r="B31" i="21"/>
  <c r="AI31" i="21" s="1"/>
  <c r="AB15" i="21"/>
  <c r="AD15" i="21"/>
  <c r="Z15" i="21"/>
  <c r="V15" i="21"/>
  <c r="X15" i="21"/>
  <c r="S14" i="21"/>
  <c r="B59" i="4"/>
  <c r="B80" i="30"/>
  <c r="B77" i="29"/>
  <c r="B61" i="7"/>
  <c r="B76" i="6"/>
  <c r="F29" i="22" l="1"/>
  <c r="H29" i="22"/>
  <c r="G29" i="22"/>
  <c r="E29" i="22"/>
  <c r="D29" i="22"/>
  <c r="AJ30" i="21"/>
  <c r="H30" i="21"/>
  <c r="C31" i="21"/>
  <c r="G30" i="21"/>
  <c r="D30" i="21"/>
  <c r="E30" i="21"/>
  <c r="F30" i="21"/>
  <c r="W30" i="21"/>
  <c r="B77" i="15"/>
  <c r="B79" i="29"/>
  <c r="P28" i="22"/>
  <c r="Q28" i="22"/>
  <c r="M27" i="22"/>
  <c r="B30" i="22"/>
  <c r="C30" i="22" s="1"/>
  <c r="B32" i="21"/>
  <c r="AI32" i="21" s="1"/>
  <c r="Z16" i="21"/>
  <c r="AB16" i="21"/>
  <c r="AD16" i="21"/>
  <c r="X16" i="21"/>
  <c r="V16" i="21"/>
  <c r="S15" i="21"/>
  <c r="B77" i="6"/>
  <c r="B62" i="7"/>
  <c r="B78" i="29"/>
  <c r="B60" i="4"/>
  <c r="B82" i="30"/>
  <c r="D30" i="22" l="1"/>
  <c r="E30" i="22"/>
  <c r="F30" i="22"/>
  <c r="G30" i="22"/>
  <c r="H30" i="22"/>
  <c r="AJ31" i="21"/>
  <c r="H31" i="21"/>
  <c r="C32" i="21"/>
  <c r="G31" i="21"/>
  <c r="D31" i="21"/>
  <c r="E31" i="21"/>
  <c r="F31" i="21"/>
  <c r="W31" i="21"/>
  <c r="B78" i="15"/>
  <c r="B31" i="22"/>
  <c r="C31" i="22" s="1"/>
  <c r="M28" i="22"/>
  <c r="Q29" i="22"/>
  <c r="P29" i="22"/>
  <c r="B33" i="21"/>
  <c r="AI33" i="21" s="1"/>
  <c r="Z17" i="21"/>
  <c r="AB17" i="21"/>
  <c r="AD17" i="21"/>
  <c r="B61" i="4"/>
  <c r="S16" i="21"/>
  <c r="X17" i="21"/>
  <c r="V17" i="21"/>
  <c r="B63" i="7"/>
  <c r="B83" i="30"/>
  <c r="B80" i="29"/>
  <c r="B78" i="6"/>
  <c r="G31" i="22" l="1"/>
  <c r="H31" i="22"/>
  <c r="F31" i="22"/>
  <c r="E31" i="22"/>
  <c r="D31" i="22"/>
  <c r="AJ32" i="21"/>
  <c r="H32" i="21"/>
  <c r="F32" i="21"/>
  <c r="D32" i="21"/>
  <c r="G32" i="21"/>
  <c r="E32" i="21"/>
  <c r="C33" i="21"/>
  <c r="W32" i="21"/>
  <c r="B79" i="15"/>
  <c r="B62" i="4"/>
  <c r="M29" i="22"/>
  <c r="Q30" i="22"/>
  <c r="P30" i="22"/>
  <c r="B32" i="22"/>
  <c r="C32" i="22" s="1"/>
  <c r="B34" i="21"/>
  <c r="AI34" i="21" s="1"/>
  <c r="AD18" i="21"/>
  <c r="Z18" i="21"/>
  <c r="AB18" i="21"/>
  <c r="S17" i="21"/>
  <c r="V18" i="21"/>
  <c r="X18" i="21"/>
  <c r="B84" i="30"/>
  <c r="B79" i="6"/>
  <c r="B81" i="29"/>
  <c r="B64" i="7"/>
  <c r="G32" i="22" l="1"/>
  <c r="H32" i="22"/>
  <c r="F32" i="22"/>
  <c r="E32" i="22"/>
  <c r="D32" i="22"/>
  <c r="AJ33" i="21"/>
  <c r="H33" i="21"/>
  <c r="C34" i="21"/>
  <c r="D33" i="21"/>
  <c r="E33" i="21"/>
  <c r="F33" i="21"/>
  <c r="G33" i="21"/>
  <c r="W33" i="21"/>
  <c r="B80" i="15"/>
  <c r="B63" i="4"/>
  <c r="M30" i="22"/>
  <c r="B33" i="22"/>
  <c r="C33" i="22" s="1"/>
  <c r="P31" i="22"/>
  <c r="Q31" i="22"/>
  <c r="B35" i="21"/>
  <c r="AI35" i="21" s="1"/>
  <c r="AB19" i="21"/>
  <c r="AD19" i="21"/>
  <c r="Z19" i="21"/>
  <c r="X19" i="21"/>
  <c r="V19" i="21"/>
  <c r="S18" i="21"/>
  <c r="B82" i="29"/>
  <c r="B85" i="30"/>
  <c r="B65" i="7"/>
  <c r="B80" i="6"/>
  <c r="F33" i="22" l="1"/>
  <c r="H33" i="22"/>
  <c r="G33" i="22"/>
  <c r="E33" i="22"/>
  <c r="D33" i="22"/>
  <c r="AJ34" i="21"/>
  <c r="H34" i="21"/>
  <c r="C35" i="21"/>
  <c r="G34" i="21"/>
  <c r="F34" i="21"/>
  <c r="E34" i="21"/>
  <c r="D34" i="21"/>
  <c r="W34" i="21"/>
  <c r="B81" i="15"/>
  <c r="B64" i="4"/>
  <c r="M31" i="22"/>
  <c r="P32" i="22"/>
  <c r="Q32" i="22"/>
  <c r="B34" i="22"/>
  <c r="C34" i="22" s="1"/>
  <c r="B36" i="21"/>
  <c r="AI36" i="21" s="1"/>
  <c r="Z20" i="21"/>
  <c r="AB20" i="21"/>
  <c r="AD20" i="21"/>
  <c r="V20" i="21"/>
  <c r="X20" i="21"/>
  <c r="S19" i="21"/>
  <c r="B81" i="6"/>
  <c r="B86" i="30"/>
  <c r="B83" i="29"/>
  <c r="B66" i="7"/>
  <c r="D34" i="22" l="1"/>
  <c r="H34" i="22"/>
  <c r="G34" i="22"/>
  <c r="E34" i="22"/>
  <c r="F34" i="22"/>
  <c r="AJ35" i="21"/>
  <c r="H35" i="21"/>
  <c r="C36" i="21"/>
  <c r="E35" i="21"/>
  <c r="F35" i="21"/>
  <c r="D35" i="21"/>
  <c r="G35" i="21"/>
  <c r="W35" i="21"/>
  <c r="B83" i="15"/>
  <c r="B82" i="15"/>
  <c r="B65" i="4"/>
  <c r="M32" i="22"/>
  <c r="Q33" i="22"/>
  <c r="P33" i="22"/>
  <c r="B35" i="22"/>
  <c r="C35" i="22" s="1"/>
  <c r="B37" i="21"/>
  <c r="AI37" i="21" s="1"/>
  <c r="Z21" i="21"/>
  <c r="AB21" i="21"/>
  <c r="AD21" i="21"/>
  <c r="V21" i="21"/>
  <c r="X21" i="21"/>
  <c r="S20" i="21"/>
  <c r="B87" i="30"/>
  <c r="B84" i="29"/>
  <c r="B85" i="29"/>
  <c r="B67" i="7"/>
  <c r="B82" i="6"/>
  <c r="G35" i="22" l="1"/>
  <c r="H35" i="22"/>
  <c r="F35" i="22"/>
  <c r="D35" i="22"/>
  <c r="E35" i="22"/>
  <c r="AJ36" i="21"/>
  <c r="H36" i="21"/>
  <c r="C37" i="21"/>
  <c r="D36" i="21"/>
  <c r="F36" i="21"/>
  <c r="G36" i="21"/>
  <c r="E36" i="21"/>
  <c r="W36" i="21"/>
  <c r="B66" i="4"/>
  <c r="P34" i="22"/>
  <c r="Q34" i="22"/>
  <c r="M33" i="22"/>
  <c r="B36" i="22"/>
  <c r="C36" i="22" s="1"/>
  <c r="B38" i="21"/>
  <c r="AI38" i="21" s="1"/>
  <c r="AD22" i="21"/>
  <c r="Z22" i="21"/>
  <c r="AB22" i="21"/>
  <c r="S21" i="21"/>
  <c r="V22" i="21"/>
  <c r="X22" i="21"/>
  <c r="B83" i="6"/>
  <c r="B88" i="30"/>
  <c r="B68" i="7"/>
  <c r="G36" i="22" l="1"/>
  <c r="H36" i="22"/>
  <c r="E36" i="22"/>
  <c r="F36" i="22"/>
  <c r="D36" i="22"/>
  <c r="AJ37" i="21"/>
  <c r="H37" i="21"/>
  <c r="E37" i="21"/>
  <c r="G37" i="21"/>
  <c r="D37" i="21"/>
  <c r="F37" i="21"/>
  <c r="C38" i="21"/>
  <c r="W37" i="21"/>
  <c r="B67" i="4"/>
  <c r="B37" i="22"/>
  <c r="C37" i="22" s="1"/>
  <c r="M34" i="22"/>
  <c r="P35" i="22"/>
  <c r="Q35" i="22"/>
  <c r="B39" i="21"/>
  <c r="AI39" i="21" s="1"/>
  <c r="AB23" i="21"/>
  <c r="AD23" i="21"/>
  <c r="Z23" i="21"/>
  <c r="S22" i="21"/>
  <c r="V23" i="21"/>
  <c r="X23" i="21"/>
  <c r="B84" i="6"/>
  <c r="B69" i="7"/>
  <c r="B89" i="30"/>
  <c r="B86" i="29"/>
  <c r="F37" i="22" l="1"/>
  <c r="H37" i="22"/>
  <c r="E37" i="22"/>
  <c r="G37" i="22"/>
  <c r="D37" i="22"/>
  <c r="AJ38" i="21"/>
  <c r="H38" i="21"/>
  <c r="G38" i="21"/>
  <c r="E38" i="21"/>
  <c r="D38" i="21"/>
  <c r="F38" i="21"/>
  <c r="C39" i="21"/>
  <c r="W38" i="21"/>
  <c r="B69" i="4"/>
  <c r="B68" i="4"/>
  <c r="M35" i="22"/>
  <c r="P36" i="22"/>
  <c r="Q36" i="22"/>
  <c r="B38" i="22"/>
  <c r="C38" i="22" s="1"/>
  <c r="B40" i="21"/>
  <c r="AI40" i="21" s="1"/>
  <c r="Z24" i="21"/>
  <c r="AB24" i="21"/>
  <c r="AD24" i="21"/>
  <c r="S23" i="21"/>
  <c r="V24" i="21"/>
  <c r="X24" i="21"/>
  <c r="B70" i="7"/>
  <c r="B85" i="6"/>
  <c r="B87" i="29"/>
  <c r="G38" i="22" l="1"/>
  <c r="H38" i="22"/>
  <c r="E38" i="22"/>
  <c r="F38" i="22"/>
  <c r="D38" i="22"/>
  <c r="AJ39" i="21"/>
  <c r="H39" i="21"/>
  <c r="C40" i="21"/>
  <c r="G39" i="21"/>
  <c r="F39" i="21"/>
  <c r="E39" i="21"/>
  <c r="D39" i="21"/>
  <c r="W39" i="21"/>
  <c r="M36" i="22"/>
  <c r="B39" i="22"/>
  <c r="C39" i="22" s="1"/>
  <c r="Q37" i="22"/>
  <c r="P37" i="22"/>
  <c r="B41" i="21"/>
  <c r="AI41" i="21" s="1"/>
  <c r="Z25" i="21"/>
  <c r="AB25" i="21"/>
  <c r="AD25" i="21"/>
  <c r="S24" i="21"/>
  <c r="V25" i="21"/>
  <c r="X25" i="21"/>
  <c r="B86" i="6"/>
  <c r="B71" i="7"/>
  <c r="B72" i="7"/>
  <c r="G39" i="22" l="1"/>
  <c r="H39" i="22"/>
  <c r="F39" i="22"/>
  <c r="D39" i="22"/>
  <c r="E39" i="22"/>
  <c r="AJ40" i="21"/>
  <c r="H40" i="21"/>
  <c r="C41" i="21"/>
  <c r="G40" i="21"/>
  <c r="D40" i="21"/>
  <c r="F40" i="21"/>
  <c r="E40" i="21"/>
  <c r="W40" i="21"/>
  <c r="M37" i="22"/>
  <c r="Q38" i="22"/>
  <c r="P38" i="22"/>
  <c r="B40" i="22"/>
  <c r="C40" i="22" s="1"/>
  <c r="B42" i="21"/>
  <c r="AI42" i="21" s="1"/>
  <c r="AD26" i="21"/>
  <c r="Z26" i="21"/>
  <c r="AB26" i="21"/>
  <c r="V26" i="21"/>
  <c r="X26" i="21"/>
  <c r="S25" i="21"/>
  <c r="B87" i="6"/>
  <c r="G40" i="22" l="1"/>
  <c r="H40" i="22"/>
  <c r="F40" i="22"/>
  <c r="E40" i="22"/>
  <c r="D40" i="22"/>
  <c r="AJ41" i="21"/>
  <c r="H41" i="21"/>
  <c r="C42" i="21"/>
  <c r="D41" i="21"/>
  <c r="F41" i="21"/>
  <c r="G41" i="21"/>
  <c r="E41" i="21"/>
  <c r="W41" i="21"/>
  <c r="M38" i="22"/>
  <c r="B41" i="22"/>
  <c r="C41" i="22" s="1"/>
  <c r="Q39" i="22"/>
  <c r="P39" i="22"/>
  <c r="B43" i="21"/>
  <c r="AI43" i="21" s="1"/>
  <c r="AB27" i="21"/>
  <c r="AD27" i="21"/>
  <c r="Z27" i="21"/>
  <c r="X27" i="21"/>
  <c r="V27" i="21"/>
  <c r="S26" i="21"/>
  <c r="B88" i="6"/>
  <c r="F41" i="22" l="1"/>
  <c r="H41" i="22"/>
  <c r="D41" i="22"/>
  <c r="G41" i="22"/>
  <c r="E41" i="22"/>
  <c r="AJ42" i="21"/>
  <c r="H42" i="21"/>
  <c r="C43" i="21"/>
  <c r="G42" i="21"/>
  <c r="D42" i="21"/>
  <c r="F42" i="21"/>
  <c r="E42" i="21"/>
  <c r="W42" i="21"/>
  <c r="B90" i="6"/>
  <c r="P40" i="22"/>
  <c r="Q40" i="22"/>
  <c r="M39" i="22"/>
  <c r="B42" i="22"/>
  <c r="C42" i="22" s="1"/>
  <c r="B44" i="21"/>
  <c r="AI44" i="21" s="1"/>
  <c r="Z28" i="21"/>
  <c r="AB28" i="21"/>
  <c r="AD28" i="21"/>
  <c r="S27" i="21"/>
  <c r="X28" i="21"/>
  <c r="V28" i="21"/>
  <c r="B89" i="6"/>
  <c r="G42" i="22" l="1"/>
  <c r="E42" i="22"/>
  <c r="H42" i="22"/>
  <c r="F42" i="22"/>
  <c r="D42" i="22"/>
  <c r="AJ43" i="21"/>
  <c r="H43" i="21"/>
  <c r="C44"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AJ44" i="21"/>
  <c r="H44" i="21"/>
  <c r="C45" i="21"/>
  <c r="E44" i="21"/>
  <c r="F44" i="21"/>
  <c r="D44" i="21"/>
  <c r="G44" i="21"/>
  <c r="W44" i="21"/>
  <c r="M41" i="22"/>
  <c r="P42" i="22"/>
  <c r="Q42" i="22"/>
  <c r="B44" i="22"/>
  <c r="C44" i="22" s="1"/>
  <c r="B46" i="21"/>
  <c r="AI46" i="21" s="1"/>
  <c r="AD30" i="21"/>
  <c r="Z30" i="21"/>
  <c r="AB30" i="21"/>
  <c r="S29" i="21"/>
  <c r="V30" i="21"/>
  <c r="X30" i="21"/>
  <c r="B92" i="6"/>
  <c r="G44" i="22" l="1"/>
  <c r="H44" i="22"/>
  <c r="E44" i="22"/>
  <c r="F44" i="22"/>
  <c r="D44" i="22"/>
  <c r="AJ45" i="21"/>
  <c r="H45" i="21"/>
  <c r="C46" i="21"/>
  <c r="F45" i="21"/>
  <c r="G45" i="21"/>
  <c r="E45" i="21"/>
  <c r="D45" i="21"/>
  <c r="W45" i="21"/>
  <c r="M42" i="22"/>
  <c r="Q43" i="22"/>
  <c r="P43" i="22"/>
  <c r="B47" i="21"/>
  <c r="AI47" i="21" s="1"/>
  <c r="AB31" i="21"/>
  <c r="AD31" i="21"/>
  <c r="Z31" i="21"/>
  <c r="S30" i="21"/>
  <c r="X31" i="21"/>
  <c r="V31" i="21"/>
  <c r="B93" i="6"/>
  <c r="AJ46" i="21" l="1"/>
  <c r="H46" i="21"/>
  <c r="G46" i="21"/>
  <c r="F46" i="21"/>
  <c r="D46" i="21"/>
  <c r="E46" i="21"/>
  <c r="C47" i="21"/>
  <c r="W46" i="21"/>
  <c r="P44" i="22"/>
  <c r="Q44" i="22"/>
  <c r="M43" i="22"/>
  <c r="B48" i="21"/>
  <c r="AI48" i="21" s="1"/>
  <c r="Z32" i="21"/>
  <c r="AB32" i="21"/>
  <c r="AD32" i="21"/>
  <c r="X32" i="21"/>
  <c r="V32" i="21"/>
  <c r="S31" i="21"/>
  <c r="B94" i="6"/>
  <c r="AJ47" i="21" l="1"/>
  <c r="H47" i="21"/>
  <c r="C30" i="2"/>
  <c r="D47" i="21"/>
  <c r="E47" i="21"/>
  <c r="F47" i="21"/>
  <c r="G47" i="21"/>
  <c r="C48" i="21"/>
  <c r="W47" i="21"/>
  <c r="M44" i="22"/>
  <c r="B49" i="21"/>
  <c r="AI49" i="21" s="1"/>
  <c r="Z33" i="21"/>
  <c r="AB33" i="21"/>
  <c r="AD33" i="21"/>
  <c r="S32" i="21"/>
  <c r="V33" i="21"/>
  <c r="X33" i="21"/>
  <c r="B95" i="6"/>
  <c r="AJ48" i="21" l="1"/>
  <c r="H48" i="21"/>
  <c r="C49" i="21"/>
  <c r="E48" i="21"/>
  <c r="G48" i="21"/>
  <c r="D48" i="21"/>
  <c r="F48" i="21"/>
  <c r="W48" i="21"/>
  <c r="B50" i="21"/>
  <c r="AI50" i="21" s="1"/>
  <c r="AD34" i="21"/>
  <c r="Z34" i="21"/>
  <c r="AB34" i="21"/>
  <c r="X34" i="21"/>
  <c r="V34" i="21"/>
  <c r="S33" i="21"/>
  <c r="B96" i="6"/>
  <c r="B97" i="6"/>
  <c r="AJ49" i="21" l="1"/>
  <c r="H49" i="21"/>
  <c r="E49" i="21"/>
  <c r="F49" i="21"/>
  <c r="G49" i="21"/>
  <c r="D49" i="21"/>
  <c r="C50" i="21"/>
  <c r="W49" i="21"/>
  <c r="B51" i="21"/>
  <c r="AI51" i="21" s="1"/>
  <c r="AB35" i="21"/>
  <c r="AD35" i="21"/>
  <c r="Z35" i="21"/>
  <c r="S34" i="21"/>
  <c r="V35" i="21"/>
  <c r="X35" i="21"/>
  <c r="AJ50" i="21" l="1"/>
  <c r="H50" i="21"/>
  <c r="G50" i="21"/>
  <c r="D50" i="21"/>
  <c r="F50" i="21"/>
  <c r="E50" i="21"/>
  <c r="C51" i="21"/>
  <c r="W50" i="21"/>
  <c r="B52" i="21"/>
  <c r="AI52" i="21" s="1"/>
  <c r="Z36" i="21"/>
  <c r="AB36" i="21"/>
  <c r="AD36" i="21"/>
  <c r="S35" i="21"/>
  <c r="X36" i="21"/>
  <c r="V36" i="21"/>
  <c r="AJ51" i="21" l="1"/>
  <c r="H51" i="21"/>
  <c r="C52" i="21"/>
  <c r="E51" i="21"/>
  <c r="F51" i="21"/>
  <c r="D51" i="21"/>
  <c r="G51" i="21"/>
  <c r="W51" i="21"/>
  <c r="B53" i="21"/>
  <c r="AI53" i="21" s="1"/>
  <c r="Z37" i="21"/>
  <c r="AB37" i="21"/>
  <c r="AD37" i="21"/>
  <c r="V37" i="21"/>
  <c r="X37" i="21"/>
  <c r="S36" i="21"/>
  <c r="AJ52" i="21" l="1"/>
  <c r="H52" i="21"/>
  <c r="F52" i="21"/>
  <c r="D52" i="21"/>
  <c r="G52" i="21"/>
  <c r="E52" i="21"/>
  <c r="C53" i="21"/>
  <c r="W52" i="21"/>
  <c r="B54" i="21"/>
  <c r="AI54" i="21" s="1"/>
  <c r="AD38" i="21"/>
  <c r="Z38" i="21"/>
  <c r="AB38" i="21"/>
  <c r="V38" i="21"/>
  <c r="X38" i="21"/>
  <c r="S37" i="21"/>
  <c r="AJ53" i="21" l="1"/>
  <c r="H53" i="21"/>
  <c r="C54" i="21"/>
  <c r="F53" i="21"/>
  <c r="G53" i="21"/>
  <c r="E53" i="21"/>
  <c r="D53" i="21"/>
  <c r="W53" i="21"/>
  <c r="B55" i="21"/>
  <c r="AI55" i="21" s="1"/>
  <c r="AB39" i="21"/>
  <c r="AD39" i="21"/>
  <c r="Z39" i="21"/>
  <c r="X39" i="21"/>
  <c r="V39" i="21"/>
  <c r="S38" i="21"/>
  <c r="AJ54" i="21" l="1"/>
  <c r="H54" i="21"/>
  <c r="C55" i="21"/>
  <c r="G54" i="21"/>
  <c r="E54" i="21"/>
  <c r="D54" i="21"/>
  <c r="F54" i="21"/>
  <c r="W54" i="21"/>
  <c r="B56" i="21"/>
  <c r="AI56" i="21" s="1"/>
  <c r="Z40" i="21"/>
  <c r="AB40" i="21"/>
  <c r="AD40" i="21"/>
  <c r="S39" i="21"/>
  <c r="V40" i="21"/>
  <c r="X40" i="21"/>
  <c r="AJ55" i="21" l="1"/>
  <c r="H55" i="21"/>
  <c r="E55" i="21"/>
  <c r="G55" i="21"/>
  <c r="F55" i="21"/>
  <c r="D55" i="21"/>
  <c r="C56" i="21"/>
  <c r="W55" i="21"/>
  <c r="B57" i="21"/>
  <c r="Z41" i="21"/>
  <c r="AB41" i="21"/>
  <c r="AD41" i="21"/>
  <c r="X41" i="21"/>
  <c r="V41" i="21"/>
  <c r="S40" i="21"/>
  <c r="B58" i="21" l="1"/>
  <c r="AI57" i="21"/>
  <c r="AJ56" i="21"/>
  <c r="H56" i="21"/>
  <c r="C57" i="21"/>
  <c r="F56" i="21"/>
  <c r="G56" i="21"/>
  <c r="E56" i="21"/>
  <c r="D56" i="21"/>
  <c r="W56" i="21"/>
  <c r="AD42" i="21"/>
  <c r="Z42" i="21"/>
  <c r="AB42" i="21"/>
  <c r="X42" i="21"/>
  <c r="V42" i="21"/>
  <c r="S41" i="21"/>
  <c r="B59" i="21" l="1"/>
  <c r="C58" i="21"/>
  <c r="AJ57" i="21"/>
  <c r="H57" i="21"/>
  <c r="G57" i="21"/>
  <c r="D57" i="21"/>
  <c r="F57" i="21"/>
  <c r="E57" i="21"/>
  <c r="W57" i="21"/>
  <c r="AB43" i="21"/>
  <c r="AD43" i="21"/>
  <c r="Z43" i="21"/>
  <c r="S42" i="21"/>
  <c r="X43" i="21"/>
  <c r="V43" i="21"/>
  <c r="AJ58" i="21" l="1"/>
  <c r="H58" i="21"/>
  <c r="D58" i="21"/>
  <c r="AB58" i="21"/>
  <c r="X58" i="21"/>
  <c r="W58" i="21"/>
  <c r="AD58" i="21"/>
  <c r="Z58" i="21"/>
  <c r="V58" i="21"/>
  <c r="G58" i="21"/>
  <c r="F58" i="21"/>
  <c r="E58" i="21"/>
  <c r="B60" i="21"/>
  <c r="AI59" i="21"/>
  <c r="C59" i="21"/>
  <c r="W59" i="21" s="1"/>
  <c r="Z44" i="21"/>
  <c r="AB44" i="21"/>
  <c r="AD44" i="21"/>
  <c r="X44" i="21"/>
  <c r="V44" i="21"/>
  <c r="S43" i="21"/>
  <c r="S58" i="21" l="1"/>
  <c r="H59" i="21"/>
  <c r="F59" i="21"/>
  <c r="AJ59" i="21"/>
  <c r="D59" i="21"/>
  <c r="G59" i="21"/>
  <c r="E59" i="21"/>
  <c r="AI60" i="21"/>
  <c r="C60" i="21"/>
  <c r="W60" i="21" s="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l="1"/>
  <c r="D60" i="21"/>
  <c r="AJ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Z60" i="21"/>
  <c r="S59" i="21"/>
  <c r="V60" i="21"/>
  <c r="X60" i="21"/>
  <c r="C29" i="2" l="1"/>
  <c r="S6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1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00000000-0006-0000-3700-000001000000}">
      <text>
        <r>
          <rPr>
            <b/>
            <sz val="9"/>
            <color indexed="81"/>
            <rFont val="Tahoma"/>
            <family val="2"/>
          </rPr>
          <t>Author:</t>
        </r>
        <r>
          <rPr>
            <sz val="9"/>
            <color indexed="81"/>
            <rFont val="Tahoma"/>
            <family val="2"/>
          </rPr>
          <t xml:space="preserve">
Added 18 February 2020 as a replacement drop down for forecast columns O and P in table 3A - these columns are not applicable for the 2019-20 reporting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A6" authorId="0" shapeId="0" xr:uid="{00000000-0006-0000-3900-000001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 ref="AI7" authorId="0" shapeId="0" xr:uid="{00000000-0006-0000-3900-000002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A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<sst xmlns="http://schemas.openxmlformats.org/spreadsheetml/2006/main" count="45338" uniqueCount="13584">
  <si>
    <t>2020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</si>
  <si>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</si>
  <si>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2019-20 data from all companies. Companies should complete these tables and return them to us at the same time as they publish their annual performance report on their own websites, and no later than 15 July 2020.</t>
  </si>
  <si>
    <r>
      <rPr>
        <sz val="11"/>
        <rFont val="Arial"/>
        <family val="2"/>
      </rPr>
      <t xml:space="preserve">Further detail is included in </t>
    </r>
    <r>
      <rPr>
        <sz val="11"/>
        <color theme="10"/>
        <rFont val="Arial"/>
        <family val="2"/>
      </rPr>
      <t>IN 20/03: Expectations for monopoly company annual performance reporting 2019-20</t>
    </r>
  </si>
  <si>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</si>
  <si>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</si>
  <si>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2019-20.</t>
  </si>
  <si>
    <t>We expect companies to complete the tables with actual data for 2019-20.</t>
  </si>
  <si>
    <t>The content of four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</si>
  <si>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</si>
  <si>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</si>
  <si>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</si>
  <si>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</si>
  <si>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</si>
  <si>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2020.</t>
  </si>
  <si>
    <t xml:space="preserve">Companies should complete and upload the 2020 annual performance report tables template to our data capture portal. All queries should be sent to: </t>
  </si>
  <si>
    <t>FinanceAndGovernance@ofwat.gov.uk</t>
  </si>
  <si>
    <t>Links to additional information / guidance</t>
  </si>
  <si>
    <t>IN 19/03 Regulatory accounting guidelines 2018-19</t>
  </si>
  <si>
    <t>Data validation checks</t>
  </si>
  <si>
    <t>For the 12 months ended 31 March 2020</t>
  </si>
  <si>
    <t>Yorkshire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</si>
  <si>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</si>
  <si>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</si>
  <si>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</si>
  <si>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</si>
  <si>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</si>
  <si>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</si>
  <si>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</si>
  <si>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</si>
  <si>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</si>
  <si>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</si>
  <si>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</si>
  <si>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</si>
  <si>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</si>
  <si>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</si>
  <si>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</si>
  <si>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</si>
  <si>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</si>
  <si>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</si>
  <si>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</si>
  <si>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</si>
  <si>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</si>
  <si>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</si>
  <si>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</si>
  <si>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</si>
  <si>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</si>
  <si>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</si>
  <si>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</si>
  <si>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</si>
  <si>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</si>
  <si>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</si>
  <si>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</si>
  <si>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</si>
  <si>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</si>
  <si>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</si>
  <si>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</si>
  <si>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</si>
  <si>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</si>
  <si>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</si>
  <si>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</si>
  <si>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</si>
  <si>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</si>
  <si>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</si>
  <si>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</si>
  <si>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</si>
  <si>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</si>
  <si>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</si>
  <si>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</si>
  <si>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</si>
  <si>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</si>
  <si>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</si>
  <si>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</si>
  <si>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</si>
  <si>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</si>
  <si>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</si>
  <si>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</si>
  <si>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</si>
  <si>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</si>
  <si>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</si>
  <si>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</si>
  <si>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</si>
  <si>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</si>
  <si>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</si>
  <si>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</si>
  <si>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</si>
  <si>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</si>
  <si>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</si>
  <si>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</si>
  <si>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</si>
  <si>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</si>
  <si>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</si>
  <si>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</si>
  <si>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</si>
  <si>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</si>
  <si>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</si>
  <si>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</si>
  <si>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</si>
  <si>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</si>
  <si>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</si>
  <si>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</si>
  <si>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</si>
  <si>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</si>
  <si>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</si>
  <si>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</si>
  <si>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</si>
  <si>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</si>
  <si>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</si>
  <si>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</si>
  <si>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</si>
  <si>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</si>
  <si>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</si>
  <si>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</si>
  <si>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</si>
  <si>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</si>
  <si>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</si>
  <si>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</si>
  <si>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</si>
  <si>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</si>
  <si>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</si>
  <si>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</si>
  <si>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</si>
  <si>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</si>
  <si>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</si>
  <si>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</si>
  <si>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</si>
  <si>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</si>
  <si>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</si>
  <si>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</si>
  <si>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</si>
  <si>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</si>
  <si>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</si>
  <si>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</si>
  <si>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</si>
  <si>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</si>
  <si>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</si>
  <si>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</si>
  <si>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</si>
  <si>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</si>
  <si>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</si>
  <si>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</si>
  <si>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</si>
  <si>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</si>
  <si>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</si>
  <si>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</si>
  <si>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</si>
  <si>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</si>
  <si>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</si>
  <si>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</si>
  <si>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</si>
  <si>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</si>
  <si>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</si>
  <si>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</si>
  <si>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</si>
  <si>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</si>
  <si>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</si>
  <si>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</si>
  <si>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</si>
  <si>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</si>
  <si>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</si>
  <si>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</si>
  <si>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</si>
  <si>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</si>
  <si>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</si>
  <si>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</si>
  <si>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</si>
  <si>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</si>
  <si>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</si>
  <si>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</si>
  <si>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</si>
  <si>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</si>
  <si>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</si>
  <si>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</si>
  <si>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</si>
  <si>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</si>
  <si>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</si>
  <si>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</si>
  <si>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</si>
  <si>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</si>
  <si>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</si>
  <si>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</si>
  <si>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</si>
  <si>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</si>
  <si>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</si>
  <si>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</si>
  <si>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</si>
  <si>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</si>
  <si>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</si>
  <si>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</si>
  <si>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</si>
  <si>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</si>
  <si>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</si>
  <si>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2019-20</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</si>
  <si>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</si>
  <si>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</si>
  <si>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</si>
  <si>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</si>
  <si>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</si>
  <si>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</si>
  <si>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</si>
  <si>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</si>
  <si>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</si>
  <si>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</si>
  <si>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</si>
  <si>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</si>
  <si>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</si>
  <si>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</si>
  <si>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</si>
  <si>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</si>
  <si>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</si>
  <si>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</si>
  <si>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</si>
  <si>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</si>
  <si>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</si>
  <si>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</si>
  <si>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</si>
  <si>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</si>
  <si>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</si>
  <si>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</si>
  <si>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</si>
  <si>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</si>
  <si>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</si>
  <si>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</si>
  <si>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</si>
  <si>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</si>
  <si>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</si>
  <si>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</si>
  <si>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</si>
  <si>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</si>
  <si>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</si>
  <si>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</si>
  <si>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</si>
  <si>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</si>
  <si>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</si>
  <si>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</si>
  <si>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</si>
  <si>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</si>
  <si>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</si>
  <si>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</si>
  <si>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</si>
  <si>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</si>
  <si>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</si>
  <si>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</si>
  <si>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</si>
  <si>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</si>
  <si>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</si>
  <si>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</si>
  <si>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</si>
  <si>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</si>
  <si>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</si>
  <si>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</si>
  <si>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</si>
  <si>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</si>
  <si>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</si>
  <si>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</si>
  <si>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</si>
  <si>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</si>
  <si>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</si>
  <si>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</si>
  <si>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</si>
  <si>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</si>
  <si>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</si>
  <si>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</si>
  <si>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</si>
  <si>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</si>
  <si>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</si>
  <si>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</si>
  <si>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</si>
  <si>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</si>
  <si>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</si>
  <si>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</si>
  <si>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</si>
  <si>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</si>
  <si>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</si>
  <si>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</si>
  <si>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</si>
  <si>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</si>
  <si>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</si>
  <si>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</si>
  <si>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</si>
  <si>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</si>
  <si>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</si>
  <si>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</si>
  <si>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</si>
  <si>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</si>
  <si>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</si>
  <si>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</si>
  <si>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</si>
  <si>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</si>
  <si>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</si>
  <si>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</si>
  <si>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</si>
  <si>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</si>
  <si>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</si>
  <si>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</si>
  <si>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</si>
  <si>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</si>
  <si>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</si>
  <si>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</si>
  <si>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</si>
  <si>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</si>
  <si>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</si>
  <si>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</si>
  <si>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</si>
  <si>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</si>
  <si>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</si>
  <si>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</si>
  <si>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</si>
  <si>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</si>
  <si>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</si>
  <si>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</si>
  <si>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</si>
  <si>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</si>
  <si>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</si>
  <si>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</si>
  <si>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</si>
  <si>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</si>
  <si>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</si>
  <si>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</si>
  <si>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</si>
  <si>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</si>
  <si>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</si>
  <si>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</si>
  <si>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</si>
  <si>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</si>
  <si>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</si>
  <si>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</si>
  <si>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</si>
  <si>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</si>
  <si>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</si>
  <si>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</si>
  <si>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</si>
  <si>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</si>
  <si>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</si>
  <si>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</si>
  <si>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</si>
  <si>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</si>
  <si>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</si>
  <si>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</si>
  <si>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</si>
  <si>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</si>
  <si>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</si>
  <si>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</si>
  <si>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</si>
  <si>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</si>
  <si>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</si>
  <si>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</si>
  <si>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</si>
  <si>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</si>
  <si>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</si>
  <si>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</si>
  <si>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</si>
  <si>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</si>
  <si>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</si>
  <si>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</si>
  <si>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</si>
  <si>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</si>
  <si>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</si>
  <si>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</si>
  <si>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</si>
  <si>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</si>
  <si>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</si>
  <si>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</si>
  <si>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</si>
  <si>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</si>
  <si>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</si>
  <si>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</si>
  <si>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</si>
  <si>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</si>
  <si>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</si>
  <si>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</si>
  <si>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</si>
  <si>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</si>
  <si>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</si>
  <si>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</si>
  <si>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</si>
  <si>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</si>
  <si>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</si>
  <si>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</si>
  <si>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</si>
  <si>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</si>
  <si>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</si>
  <si>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</si>
  <si>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</si>
  <si>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</si>
  <si>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</si>
  <si>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</si>
  <si>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</si>
  <si>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</si>
  <si>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</si>
  <si>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</si>
  <si>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</si>
  <si>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</si>
  <si>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</si>
  <si>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</si>
  <si>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</si>
  <si>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</si>
  <si>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</si>
  <si>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</si>
  <si>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</si>
  <si>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</si>
  <si>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</si>
  <si>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</si>
  <si>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</si>
  <si>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</si>
  <si>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</si>
  <si>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</si>
  <si>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</si>
  <si>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</si>
  <si>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</si>
  <si>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</si>
  <si>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</si>
  <si>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</si>
  <si>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</si>
  <si>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</si>
  <si>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</si>
  <si>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</si>
  <si>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</si>
  <si>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</si>
  <si>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</si>
  <si>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</si>
  <si>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</si>
  <si>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</si>
  <si>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</si>
  <si>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</si>
  <si>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</si>
  <si>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</si>
  <si>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</si>
  <si>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</si>
  <si>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</si>
  <si>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</si>
  <si>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</si>
  <si>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</si>
  <si>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</si>
  <si>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</si>
  <si>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</si>
  <si>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</si>
  <si>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</si>
  <si>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</si>
  <si>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</si>
  <si>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</si>
  <si>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</si>
  <si>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</si>
  <si>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</si>
  <si>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</si>
  <si>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</si>
  <si>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</si>
  <si>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</si>
  <si>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</si>
  <si>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</si>
  <si>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</si>
  <si>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</si>
  <si>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</si>
  <si>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</si>
  <si>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</si>
  <si>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</si>
  <si>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</si>
  <si>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</si>
  <si>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</si>
  <si>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</si>
  <si>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</si>
  <si>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</si>
  <si>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</si>
  <si>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</si>
  <si>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</si>
  <si>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</si>
  <si>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</si>
  <si>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</si>
  <si>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</si>
  <si>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</si>
  <si>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</si>
  <si>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</si>
  <si>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</si>
  <si>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</si>
  <si>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</si>
  <si>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</si>
  <si>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</si>
  <si>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</si>
  <si>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</si>
  <si>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</si>
  <si>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</si>
  <si>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</si>
  <si>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</si>
  <si>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</si>
  <si>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</si>
  <si>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</si>
  <si>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</si>
  <si>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</si>
  <si>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</si>
  <si>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</si>
  <si>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</si>
  <si>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</si>
  <si>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</si>
  <si>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</si>
  <si>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</si>
  <si>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</si>
  <si>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</si>
  <si>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</si>
  <si>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</si>
  <si>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</si>
  <si>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</si>
  <si>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</si>
  <si>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</si>
  <si>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</si>
  <si>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</si>
  <si>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</si>
  <si>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</si>
  <si>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</si>
  <si>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</si>
  <si>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</si>
  <si>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</si>
  <si>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</si>
  <si>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</si>
  <si>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</si>
  <si>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</si>
  <si>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</si>
  <si>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</si>
  <si>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</si>
  <si>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</si>
  <si>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</si>
  <si>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</si>
  <si>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</si>
  <si>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</si>
  <si>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</si>
  <si>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</si>
  <si>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</si>
  <si>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</si>
  <si>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</si>
  <si>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</si>
  <si>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</si>
  <si>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</si>
  <si>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</si>
  <si>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</si>
  <si>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</si>
  <si>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</si>
  <si>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</si>
  <si>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</si>
  <si>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</si>
  <si>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</si>
  <si>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</si>
  <si>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</si>
  <si>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</si>
  <si>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</si>
  <si>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</si>
  <si>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</si>
  <si>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</si>
  <si>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</si>
  <si>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</si>
  <si>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</si>
  <si>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</si>
  <si>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</si>
  <si>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</si>
  <si>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</si>
  <si>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</si>
  <si>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</si>
  <si>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</si>
  <si>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</si>
  <si>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</si>
  <si>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</si>
  <si>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</si>
  <si>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</si>
  <si>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</si>
  <si>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</si>
  <si>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</si>
  <si>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</si>
  <si>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</si>
  <si>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</si>
  <si>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</si>
  <si>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</si>
  <si>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</si>
  <si>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</si>
  <si>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</si>
  <si>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</si>
  <si>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</si>
  <si>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</si>
  <si>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</si>
  <si>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</si>
  <si>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</si>
  <si>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</si>
  <si>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</si>
  <si>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</si>
  <si>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</si>
  <si>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</si>
  <si>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</si>
  <si>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</si>
  <si>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</si>
  <si>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</si>
  <si>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</si>
  <si>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</si>
  <si>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</si>
  <si>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</si>
  <si>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</si>
  <si>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</si>
  <si>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</si>
  <si>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</si>
  <si>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</si>
  <si>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</si>
  <si>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</si>
  <si>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</si>
  <si>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</si>
  <si>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</si>
  <si>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</si>
  <si>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</si>
  <si>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</si>
  <si>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</si>
  <si>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</si>
  <si>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</si>
  <si>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</si>
  <si>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</si>
  <si>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</si>
  <si>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</si>
  <si>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</si>
  <si>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</si>
  <si>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</si>
  <si>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</si>
  <si>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</si>
  <si>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</si>
  <si>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</si>
  <si>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</si>
  <si>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</si>
  <si>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</si>
  <si>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</si>
  <si>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</si>
  <si>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</si>
  <si>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</si>
  <si>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</si>
  <si>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</si>
  <si>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</si>
  <si>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</si>
  <si>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</si>
  <si>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</si>
  <si>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</si>
  <si>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</si>
  <si>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</si>
  <si>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</si>
  <si>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</si>
  <si>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</si>
  <si>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</si>
  <si>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</si>
  <si>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</si>
  <si>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</si>
  <si>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</si>
  <si>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</si>
  <si>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</si>
  <si>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</si>
  <si>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</si>
  <si>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</si>
  <si>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</si>
  <si>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</si>
  <si>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</si>
  <si>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</si>
  <si>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</si>
  <si>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</si>
  <si>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</si>
  <si>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</si>
  <si>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</si>
  <si>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</si>
  <si>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</si>
  <si>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</si>
  <si>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</si>
  <si>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</si>
  <si>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</si>
  <si>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</si>
  <si>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</si>
  <si>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</si>
  <si>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</si>
  <si>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</si>
  <si>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</si>
  <si>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</si>
  <si>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</si>
  <si>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</si>
  <si>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</si>
  <si>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</si>
  <si>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</si>
  <si>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</si>
  <si>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</si>
  <si>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</si>
  <si>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</si>
  <si>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</si>
  <si>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</si>
  <si>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</si>
  <si>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</si>
  <si>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</si>
  <si>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</si>
  <si>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</si>
  <si>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</si>
  <si>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</si>
  <si>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</si>
  <si>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</si>
  <si>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</si>
  <si>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</si>
  <si>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</si>
  <si>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</si>
  <si>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</si>
  <si>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</si>
  <si>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</si>
  <si>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</si>
  <si>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</si>
  <si>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</si>
  <si>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</si>
  <si>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</si>
  <si>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</si>
  <si>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</si>
  <si>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2020</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</si>
  <si>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</si>
  <si>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</si>
  <si>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</si>
  <si>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</si>
  <si>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</si>
  <si>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</si>
  <si>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</si>
  <si>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</si>
  <si>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</si>
  <si>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</si>
  <si>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</si>
  <si>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</si>
  <si>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</si>
  <si>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</si>
  <si>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</si>
  <si>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</si>
  <si>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</si>
  <si>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</si>
  <si>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</si>
  <si>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</si>
  <si>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</si>
  <si>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</si>
  <si>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</si>
  <si>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</si>
  <si>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</si>
  <si>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</si>
  <si>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</si>
  <si>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</si>
  <si>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</si>
  <si>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</si>
  <si>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</si>
  <si>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</si>
  <si>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</si>
  <si>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</si>
  <si>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</si>
  <si>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</si>
  <si>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</si>
  <si>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</si>
  <si>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</si>
  <si>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</si>
  <si>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</si>
  <si>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</si>
  <si>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</si>
  <si>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</si>
  <si>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</si>
  <si>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</si>
  <si>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</si>
  <si>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</si>
  <si>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</si>
  <si>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</si>
  <si>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</si>
  <si>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</si>
  <si>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</si>
  <si>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</si>
  <si>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</si>
  <si>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</si>
  <si>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</si>
  <si>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</si>
  <si>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</si>
  <si>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</si>
  <si>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</si>
  <si>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</si>
  <si>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</si>
  <si>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</si>
  <si>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</si>
  <si>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</si>
  <si>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</si>
  <si>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</si>
  <si>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</si>
  <si>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</si>
  <si>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</si>
  <si>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</si>
  <si>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</si>
  <si>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</si>
  <si>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</si>
  <si>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</si>
  <si>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</si>
  <si>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</si>
  <si>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</si>
  <si>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</si>
  <si>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</si>
  <si>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</si>
  <si>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</si>
  <si>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</si>
  <si>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</si>
  <si>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</si>
  <si>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</si>
  <si>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2020</t>
  </si>
  <si>
    <t>Average 2015-20</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</si>
  <si>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</si>
  <si>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</si>
  <si>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</si>
  <si>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</si>
  <si>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</si>
  <si>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</si>
  <si>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</si>
  <si>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</si>
  <si>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</si>
  <si>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</si>
  <si>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</si>
  <si>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</si>
  <si>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</si>
  <si>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</si>
  <si>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</si>
  <si>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</si>
  <si>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</si>
  <si>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</si>
  <si>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</si>
  <si>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</si>
  <si>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</si>
  <si>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</si>
  <si>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</si>
  <si>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</si>
  <si>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</si>
  <si>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</si>
  <si>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</si>
  <si>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</si>
  <si>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</si>
  <si>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</si>
  <si>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</si>
  <si>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</si>
  <si>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</si>
  <si>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</si>
  <si>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</si>
  <si>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</si>
  <si>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</si>
  <si>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</si>
  <si>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</si>
  <si>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</si>
  <si>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</si>
  <si>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</si>
  <si>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</si>
  <si>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</si>
  <si>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</si>
  <si>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</si>
  <si>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</si>
  <si>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</si>
  <si>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</si>
  <si>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</si>
  <si>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</si>
  <si>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</si>
  <si>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</si>
  <si>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</si>
  <si>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</si>
  <si>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</si>
  <si>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</si>
  <si>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</si>
  <si>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</si>
  <si>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</si>
  <si>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</si>
  <si>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</si>
  <si>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</si>
  <si>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</si>
  <si>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</si>
  <si>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</si>
  <si>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</si>
  <si>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</si>
  <si>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</si>
  <si>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</si>
  <si>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</si>
  <si>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</si>
  <si>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</si>
  <si>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</si>
  <si>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</si>
  <si>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</si>
  <si>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</si>
  <si>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</si>
  <si>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</si>
  <si>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</si>
  <si>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</si>
  <si>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</si>
  <si>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</si>
  <si>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</si>
  <si>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</si>
  <si>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</si>
  <si>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</si>
  <si>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</si>
  <si>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</si>
  <si>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</si>
  <si>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</si>
  <si>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</si>
  <si>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</si>
  <si>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</si>
  <si>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</si>
  <si>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</si>
  <si>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</si>
  <si>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</si>
  <si>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</si>
  <si>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</si>
  <si>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</si>
  <si>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</si>
  <si>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</si>
  <si>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1F.23.</t>
  </si>
  <si>
    <t>Line 1F.18 minus line 1F.19</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</si>
  <si>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</si>
  <si>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</si>
  <si>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</si>
  <si>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</si>
  <si>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</si>
  <si>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</si>
  <si>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</si>
  <si>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</si>
  <si>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</si>
  <si>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</si>
  <si>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</si>
  <si>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</si>
  <si>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</si>
  <si>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</si>
  <si>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</si>
  <si>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</si>
  <si>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</si>
  <si>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</si>
  <si>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</si>
  <si>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</si>
  <si>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</si>
  <si>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</si>
  <si>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</si>
  <si>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</si>
  <si>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</si>
  <si>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</si>
  <si>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</si>
  <si>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</si>
  <si>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</si>
  <si>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</si>
  <si>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</si>
  <si>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</si>
  <si>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</si>
  <si>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</si>
  <si>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</si>
  <si>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</si>
  <si>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</si>
  <si>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</si>
  <si>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</si>
  <si>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</si>
  <si>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</si>
  <si>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</si>
  <si>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</si>
  <si>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</si>
  <si>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</si>
  <si>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</si>
  <si>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</si>
  <si>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</si>
  <si>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</si>
  <si>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</si>
  <si>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</si>
  <si>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</si>
  <si>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</si>
  <si>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</si>
  <si>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</si>
  <si>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</si>
  <si>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</si>
  <si>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</si>
  <si>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</si>
  <si>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</si>
  <si>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</si>
  <si>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</si>
  <si>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</si>
  <si>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</si>
  <si>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</si>
  <si>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</si>
  <si>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</si>
  <si>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</si>
  <si>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</si>
  <si>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</si>
  <si>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</si>
  <si>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</si>
  <si>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</si>
  <si>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</si>
  <si>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</si>
  <si>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</si>
  <si>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</si>
  <si>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</si>
  <si>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</si>
  <si>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</si>
  <si>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</si>
  <si>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</si>
  <si>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</si>
  <si>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</si>
  <si>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</si>
  <si>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</si>
  <si>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</si>
  <si>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</si>
  <si>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</si>
  <si>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</si>
  <si>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</si>
  <si>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</si>
  <si>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</si>
  <si>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</si>
  <si>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</si>
  <si>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</si>
  <si>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</si>
  <si>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</si>
  <si>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</si>
  <si>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</si>
  <si>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</si>
  <si>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</si>
  <si>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</si>
  <si>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</si>
  <si>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</si>
  <si>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</si>
  <si>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</si>
  <si>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</si>
  <si>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</si>
  <si>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</si>
  <si>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</si>
  <si>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</si>
  <si>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</si>
  <si>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</si>
  <si>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</si>
  <si>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</si>
  <si>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</si>
  <si>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</si>
  <si>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</si>
  <si>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</si>
  <si>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</si>
  <si>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</si>
  <si>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</si>
  <si>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</si>
  <si>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</si>
  <si>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</si>
  <si>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</si>
  <si>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</si>
  <si>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</si>
  <si>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</si>
  <si>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</si>
  <si>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</si>
  <si>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</si>
  <si>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</si>
  <si>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</si>
  <si>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</si>
  <si>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</si>
  <si>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</si>
  <si>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</si>
  <si>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</si>
  <si>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</si>
  <si>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</si>
  <si>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</si>
  <si>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</si>
  <si>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</si>
  <si>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</si>
  <si>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</si>
  <si>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</si>
  <si>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</si>
  <si>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</si>
  <si>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</si>
  <si>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</si>
  <si>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</si>
  <si>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</si>
  <si>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</si>
  <si>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</si>
  <si>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</si>
  <si>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</si>
  <si>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</si>
  <si>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</si>
  <si>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</si>
  <si>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</si>
  <si>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</si>
  <si>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</si>
  <si>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</si>
  <si>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</si>
  <si>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</si>
  <si>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</si>
  <si>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</si>
  <si>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</si>
  <si>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</si>
  <si>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</si>
  <si>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</si>
  <si>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</si>
  <si>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</si>
  <si>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</si>
  <si>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</si>
  <si>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</si>
  <si>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</si>
  <si>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</si>
  <si>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</si>
  <si>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</si>
  <si>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</si>
  <si>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</si>
  <si>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</si>
  <si>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</si>
  <si>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</si>
  <si>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</si>
  <si>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</si>
  <si>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</si>
  <si>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</si>
  <si>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</si>
  <si>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</si>
  <si>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</si>
  <si>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</si>
  <si>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</si>
  <si>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</si>
  <si>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</si>
  <si>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</si>
  <si>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</si>
  <si>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</si>
  <si>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</si>
  <si>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</si>
  <si>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</si>
  <si>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</si>
  <si>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</si>
  <si>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</si>
  <si>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</si>
  <si>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</si>
  <si>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</si>
  <si>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</si>
  <si>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</si>
  <si>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</si>
  <si>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</si>
  <si>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</si>
  <si>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</si>
  <si>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</si>
  <si>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</si>
  <si>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</si>
  <si>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</si>
  <si>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</si>
  <si>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</si>
  <si>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</si>
  <si>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</si>
  <si>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</si>
  <si>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</si>
  <si>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</si>
  <si>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</si>
  <si>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</si>
  <si>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</si>
  <si>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</si>
  <si>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</si>
  <si>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</si>
  <si>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</si>
  <si>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</si>
  <si>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</si>
  <si>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</si>
  <si>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</si>
  <si>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</si>
  <si>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</si>
  <si>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</si>
  <si>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</si>
  <si>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</si>
  <si>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</si>
  <si>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</si>
  <si>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</si>
  <si>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</si>
  <si>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</si>
  <si>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</si>
  <si>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</si>
  <si>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</si>
  <si>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</si>
  <si>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</si>
  <si>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</si>
  <si>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</si>
  <si>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</si>
  <si>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</si>
  <si>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</si>
  <si>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</si>
  <si>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</si>
  <si>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</si>
  <si>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</si>
  <si>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</si>
  <si>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</si>
  <si>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</si>
  <si>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</si>
  <si>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</si>
  <si>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</si>
  <si>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</si>
  <si>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</si>
  <si>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</si>
  <si>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</si>
  <si>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</si>
  <si>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</si>
  <si>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</si>
  <si>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</si>
  <si>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</si>
  <si>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</si>
  <si>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</si>
  <si>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</si>
  <si>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</si>
  <si>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</si>
  <si>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</si>
  <si>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</si>
  <si>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</si>
  <si>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</si>
  <si>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</si>
  <si>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</si>
  <si>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</si>
  <si>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</si>
  <si>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</si>
  <si>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</si>
  <si>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</si>
  <si>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</si>
  <si>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</si>
  <si>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</si>
  <si>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</si>
  <si>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</si>
  <si>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</si>
  <si>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</si>
  <si>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</si>
  <si>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</si>
  <si>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</si>
  <si>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</si>
  <si>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</si>
  <si>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</si>
  <si>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</si>
  <si>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</si>
  <si>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</si>
  <si>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</si>
  <si>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</si>
  <si>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</si>
  <si>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</si>
  <si>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</si>
  <si>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</si>
  <si>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</si>
  <si>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</si>
  <si>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</si>
  <si>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</si>
  <si>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</si>
  <si>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</si>
  <si>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</si>
  <si>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</si>
  <si>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</si>
  <si>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</si>
  <si>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</si>
  <si>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</si>
  <si>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</si>
  <si>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</si>
  <si>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</si>
  <si>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</si>
  <si>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</si>
  <si>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</si>
  <si>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</si>
  <si>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</si>
  <si>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</si>
  <si>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</si>
  <si>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</si>
  <si>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</si>
  <si>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</si>
  <si>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</si>
  <si>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</si>
  <si>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</si>
  <si>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</si>
  <si>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</si>
  <si>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</si>
  <si>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</si>
  <si>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</si>
  <si>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</si>
  <si>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</si>
  <si>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</si>
  <si>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</si>
  <si>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</si>
  <si>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</si>
  <si>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</si>
  <si>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</si>
  <si>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</si>
  <si>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</si>
  <si>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</si>
  <si>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</si>
  <si>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</si>
  <si>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</si>
  <si>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</si>
  <si>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</si>
  <si>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</si>
  <si>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</si>
  <si>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</si>
  <si>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</si>
  <si>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</si>
  <si>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</si>
  <si>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</si>
  <si>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</si>
  <si>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</si>
  <si>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</si>
  <si>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</si>
  <si>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</si>
  <si>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</si>
  <si>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</si>
  <si>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</si>
  <si>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</si>
  <si>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</si>
  <si>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</si>
  <si>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</si>
  <si>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</si>
  <si>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</si>
  <si>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</si>
  <si>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</si>
  <si>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</si>
  <si>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</si>
  <si>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</si>
  <si>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</si>
  <si>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</si>
  <si>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</si>
  <si>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</si>
  <si>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</si>
  <si>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</si>
  <si>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</si>
  <si>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</si>
  <si>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</si>
  <si>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</si>
  <si>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</si>
  <si>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</si>
  <si>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</si>
  <si>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</si>
  <si>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</si>
  <si>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</si>
  <si>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</si>
  <si>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</si>
  <si>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</si>
  <si>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</si>
  <si>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</si>
  <si>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</si>
  <si>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</si>
  <si>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</si>
  <si>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</si>
  <si>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</si>
  <si>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</si>
  <si>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</si>
  <si>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</si>
  <si>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</si>
  <si>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</si>
  <si>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</si>
  <si>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</si>
  <si>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</si>
  <si>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</si>
  <si>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</si>
  <si>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</si>
  <si>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</si>
  <si>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</si>
  <si>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</si>
  <si>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</si>
  <si>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</si>
  <si>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</si>
  <si>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</si>
  <si>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</si>
  <si>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</si>
  <si>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</si>
  <si>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</si>
  <si>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</si>
  <si>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</si>
  <si>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</si>
  <si>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</si>
  <si>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</si>
  <si>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</si>
  <si>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</si>
  <si>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</si>
  <si>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</si>
  <si>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2019</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</si>
  <si>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</si>
  <si>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</si>
  <si>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</si>
  <si>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</si>
  <si>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</si>
  <si>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</si>
  <si>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</si>
  <si>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</si>
  <si>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</si>
  <si>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</si>
  <si>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</si>
  <si>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</si>
  <si>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</si>
  <si>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</si>
  <si>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</si>
  <si>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</si>
  <si>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</si>
  <si>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</si>
  <si>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</si>
  <si>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</si>
  <si>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</si>
  <si>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</si>
  <si>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</si>
  <si>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</si>
  <si>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</si>
  <si>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</si>
  <si>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</si>
  <si>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</si>
  <si>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</si>
  <si>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</si>
  <si>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</si>
  <si>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</si>
  <si>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</si>
  <si>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</si>
  <si>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</si>
  <si>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</si>
  <si>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</si>
  <si>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</si>
  <si>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</si>
  <si>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</si>
  <si>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</si>
  <si>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</si>
  <si>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</si>
  <si>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</si>
  <si>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</si>
  <si>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</si>
  <si>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</si>
  <si>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</si>
  <si>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2020</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</si>
  <si>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</si>
  <si>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</si>
  <si>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</si>
  <si>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</si>
  <si>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</si>
  <si>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</si>
  <si>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</si>
  <si>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</si>
  <si>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</si>
  <si>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</si>
  <si>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</si>
  <si>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</si>
  <si>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</si>
  <si>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</si>
  <si>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</si>
  <si>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</si>
  <si>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</si>
  <si>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</si>
  <si>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</si>
  <si>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</si>
  <si>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</si>
  <si>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</si>
  <si>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</si>
  <si>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</si>
  <si>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</si>
  <si>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</si>
  <si>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</si>
  <si>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</si>
  <si>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</si>
  <si>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</si>
  <si>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</si>
  <si>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</si>
  <si>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</si>
  <si>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</si>
  <si>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</si>
  <si>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</si>
  <si>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</si>
  <si>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</si>
  <si>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</si>
  <si>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</si>
  <si>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</si>
  <si>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</si>
  <si>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</si>
  <si>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</si>
  <si>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</si>
  <si>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</si>
  <si>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</si>
  <si>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</si>
  <si>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</si>
  <si>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</si>
  <si>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</si>
  <si>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</si>
  <si>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</si>
  <si>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</si>
  <si>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2020</t>
  </si>
  <si>
    <t>BM4048WR</t>
  </si>
  <si>
    <t>BM4048WN</t>
  </si>
  <si>
    <t>BM4048WNK</t>
  </si>
  <si>
    <t>BM4048SG</t>
  </si>
  <si>
    <t>BM4048STTT</t>
  </si>
  <si>
    <t>BM4048H</t>
  </si>
  <si>
    <t>BM4048NH</t>
  </si>
  <si>
    <t>BM4048CTOT</t>
  </si>
  <si>
    <t>2D.13</t>
  </si>
  <si>
    <t>Net book amount at 1 April 2019</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</si>
  <si>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</si>
  <si>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</si>
  <si>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</si>
  <si>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</si>
  <si>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</si>
  <si>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</si>
  <si>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</si>
  <si>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</si>
  <si>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</si>
  <si>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</si>
  <si>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</si>
  <si>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</si>
  <si>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</si>
  <si>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</si>
  <si>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</si>
  <si>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</si>
  <si>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</si>
  <si>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</si>
  <si>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</si>
  <si>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</si>
  <si>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</si>
  <si>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</si>
  <si>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</si>
  <si>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</si>
  <si>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</si>
  <si>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</si>
  <si>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</si>
  <si>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</si>
  <si>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</si>
  <si>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</si>
  <si>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</si>
  <si>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</si>
  <si>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</si>
  <si>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</si>
  <si>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</si>
  <si>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</si>
  <si>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</si>
  <si>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</si>
  <si>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</si>
  <si>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</si>
  <si>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</si>
  <si>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</si>
  <si>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</si>
  <si>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</si>
  <si>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</si>
  <si>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</si>
  <si>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</si>
  <si>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</si>
  <si>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</si>
  <si>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</si>
  <si>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</si>
  <si>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</si>
  <si>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</si>
  <si>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</si>
  <si>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</si>
  <si>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</si>
  <si>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</si>
  <si>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</si>
  <si>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</si>
  <si>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</si>
  <si>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</si>
  <si>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</si>
  <si>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</si>
  <si>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</si>
  <si>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</si>
  <si>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</si>
  <si>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</si>
  <si>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</si>
  <si>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</si>
  <si>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</si>
  <si>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</si>
  <si>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</si>
  <si>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</si>
  <si>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</si>
  <si>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</si>
  <si>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</si>
  <si>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</si>
  <si>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</si>
  <si>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</si>
  <si>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</si>
  <si>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</si>
  <si>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</si>
  <si>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</si>
  <si>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</si>
  <si>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</si>
  <si>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</si>
  <si>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</si>
  <si>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</si>
  <si>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</si>
  <si>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</si>
  <si>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</si>
  <si>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</si>
  <si>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</si>
  <si>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</si>
  <si>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</si>
  <si>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</si>
  <si>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</si>
  <si>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</si>
  <si>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</si>
  <si>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</si>
  <si>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</si>
  <si>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</si>
  <si>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</si>
  <si>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</si>
  <si>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</si>
  <si>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</si>
  <si>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</si>
  <si>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</si>
  <si>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</si>
  <si>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</si>
  <si>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</si>
  <si>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</si>
  <si>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</si>
  <si>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</si>
  <si>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</si>
  <si>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</si>
  <si>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</si>
  <si>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</si>
  <si>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</si>
  <si>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</si>
  <si>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</si>
  <si>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</si>
  <si>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</si>
  <si>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</si>
  <si>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</si>
  <si>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</si>
  <si>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</si>
  <si>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</si>
  <si>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</si>
  <si>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</si>
  <si>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</si>
  <si>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</si>
  <si>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</si>
  <si>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</si>
  <si>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</si>
  <si>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</si>
  <si>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</si>
  <si>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</si>
  <si>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</si>
  <si>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</si>
  <si>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</si>
  <si>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</si>
  <si>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</si>
  <si>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</si>
  <si>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</si>
  <si>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</si>
  <si>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</si>
  <si>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</si>
  <si>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</si>
  <si>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</si>
  <si>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</si>
  <si>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</si>
  <si>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</si>
  <si>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</si>
  <si>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</si>
  <si>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</si>
  <si>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</si>
  <si>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</si>
  <si>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</si>
  <si>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</si>
  <si>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</si>
  <si>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</si>
  <si>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</si>
  <si>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</si>
  <si>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</si>
  <si>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</si>
  <si>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</si>
  <si>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</si>
  <si>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</si>
  <si>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</si>
  <si>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</si>
  <si>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</si>
  <si>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</si>
  <si>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</si>
  <si>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</si>
  <si>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</si>
  <si>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</si>
  <si>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</si>
  <si>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</si>
  <si>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</si>
  <si>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</si>
  <si>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</si>
  <si>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</si>
  <si>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</si>
  <si>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</si>
  <si>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</si>
  <si>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</si>
  <si>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</si>
  <si>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</si>
  <si>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</si>
  <si>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</si>
  <si>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</si>
  <si>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</si>
  <si>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</si>
  <si>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</si>
  <si>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</si>
  <si>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</si>
  <si>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</si>
  <si>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</si>
  <si>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</si>
  <si>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</si>
  <si>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</si>
  <si>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</si>
  <si>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</si>
  <si>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</si>
  <si>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</si>
  <si>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</si>
  <si>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</si>
  <si>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</si>
  <si>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</si>
  <si>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</si>
  <si>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</si>
  <si>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</si>
  <si>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</si>
  <si>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</si>
  <si>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</si>
  <si>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</si>
  <si>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</si>
  <si>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</si>
  <si>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</si>
  <si>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</si>
  <si>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</si>
  <si>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</si>
  <si>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</si>
  <si>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</si>
  <si>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</si>
  <si>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</si>
  <si>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</si>
  <si>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</si>
  <si>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</si>
  <si>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</si>
  <si>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</si>
  <si>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</si>
  <si>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</si>
  <si>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</si>
  <si>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</si>
  <si>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</si>
  <si>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</si>
  <si>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</si>
  <si>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</si>
  <si>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</si>
  <si>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</si>
  <si>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</si>
  <si>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</si>
  <si>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</si>
  <si>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</si>
  <si>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</si>
  <si>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</si>
  <si>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</si>
  <si>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</si>
  <si>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</si>
  <si>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</si>
  <si>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</si>
  <si>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</si>
  <si>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</si>
  <si>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</si>
  <si>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</si>
  <si>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</si>
  <si>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</si>
  <si>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</si>
  <si>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</si>
  <si>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</si>
  <si>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</si>
  <si>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</si>
  <si>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</si>
  <si>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</si>
  <si>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</si>
  <si>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</si>
  <si>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</si>
  <si>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</si>
  <si>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</si>
  <si>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</si>
  <si>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</si>
  <si>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</si>
  <si>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</si>
  <si>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</si>
  <si>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</si>
  <si>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</si>
  <si>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</si>
  <si>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</si>
  <si>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</si>
  <si>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</si>
  <si>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</si>
  <si>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</si>
  <si>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</si>
  <si>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</si>
  <si>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</si>
  <si>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</si>
  <si>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</si>
  <si>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</si>
  <si>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</si>
  <si>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</si>
  <si>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</si>
  <si>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</si>
  <si>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</si>
  <si>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</si>
  <si>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</si>
  <si>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</si>
  <si>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</si>
  <si>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</si>
  <si>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</si>
  <si>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</si>
  <si>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</si>
  <si>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</si>
  <si>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</si>
  <si>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</si>
  <si>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</si>
  <si>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</si>
  <si>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</si>
  <si>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</si>
  <si>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</si>
  <si>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</si>
  <si>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</si>
  <si>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</si>
  <si>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</si>
  <si>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</si>
  <si>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</si>
  <si>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</si>
  <si>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</si>
  <si>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</si>
  <si>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</si>
  <si>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</si>
  <si>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</si>
  <si>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</si>
  <si>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</si>
  <si>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</si>
  <si>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</si>
  <si>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</si>
  <si>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</si>
  <si>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</si>
  <si>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</si>
  <si>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</si>
  <si>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</si>
  <si>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</si>
  <si>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</si>
  <si>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</si>
  <si>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</si>
  <si>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</si>
  <si>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</si>
  <si>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</si>
  <si>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</si>
  <si>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</si>
  <si>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</si>
  <si>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</si>
  <si>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</si>
  <si>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</si>
  <si>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</si>
  <si>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</si>
  <si>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</si>
  <si>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</si>
  <si>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</si>
  <si>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</si>
  <si>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</si>
  <si>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</si>
  <si>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</si>
  <si>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</si>
  <si>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</si>
  <si>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</si>
  <si>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</si>
  <si>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</si>
  <si>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</si>
  <si>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</si>
  <si>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</si>
  <si>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</si>
  <si>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</si>
  <si>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</si>
  <si>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</si>
  <si>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</si>
  <si>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</si>
  <si>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</si>
  <si>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</si>
  <si>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</si>
  <si>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</si>
  <si>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</si>
  <si>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</si>
  <si>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</si>
  <si>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</si>
  <si>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</si>
  <si>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</si>
  <si>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</si>
  <si>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</si>
  <si>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</si>
  <si>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</si>
  <si>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</si>
  <si>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</si>
  <si>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</si>
  <si>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</si>
  <si>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</si>
  <si>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</si>
  <si>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</si>
  <si>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</si>
  <si>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</si>
  <si>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</si>
  <si>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</si>
  <si>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</si>
  <si>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</si>
  <si>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</si>
  <si>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</si>
  <si>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</si>
  <si>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</si>
  <si>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</si>
  <si>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</si>
  <si>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</si>
  <si>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</si>
  <si>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</si>
  <si>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</si>
  <si>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</si>
  <si>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</si>
  <si>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</si>
  <si>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</si>
  <si>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</si>
  <si>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</si>
  <si>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</si>
  <si>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</si>
  <si>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</si>
  <si>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</si>
  <si>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</si>
  <si>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</si>
  <si>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</si>
  <si>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</si>
  <si>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</si>
  <si>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</si>
  <si>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</si>
  <si>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</si>
  <si>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</si>
  <si>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</si>
  <si>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</si>
  <si>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</si>
  <si>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</si>
  <si>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</si>
  <si>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</si>
  <si>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</si>
  <si>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</si>
  <si>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</si>
  <si>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</si>
  <si>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</si>
  <si>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</si>
  <si>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</si>
  <si>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</si>
  <si>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</si>
  <si>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</si>
  <si>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</si>
  <si>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</si>
  <si>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</si>
  <si>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</si>
  <si>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</si>
  <si>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</si>
  <si>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</si>
  <si>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</si>
  <si>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</si>
  <si>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</si>
  <si>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</si>
  <si>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</si>
  <si>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</si>
  <si>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</si>
  <si>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</si>
  <si>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</si>
  <si>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</si>
  <si>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</si>
  <si>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</si>
  <si>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</si>
  <si>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</si>
  <si>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</si>
  <si>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</si>
  <si>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</si>
  <si>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</si>
  <si>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</si>
  <si>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</si>
  <si>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</si>
  <si>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</si>
  <si>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</si>
  <si>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</si>
  <si>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</si>
  <si>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</si>
  <si>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</si>
  <si>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</si>
  <si>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</si>
  <si>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</si>
  <si>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</si>
  <si>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</si>
  <si>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</si>
  <si>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</si>
  <si>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</si>
  <si>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</si>
  <si>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</si>
  <si>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</si>
  <si>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</si>
  <si>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</si>
  <si>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</si>
  <si>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</si>
  <si>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</si>
  <si>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</si>
  <si>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</si>
  <si>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</si>
  <si>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</si>
  <si>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</si>
  <si>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</si>
  <si>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</si>
  <si>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</si>
  <si>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</si>
  <si>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</si>
  <si>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</si>
  <si>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</si>
  <si>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</si>
  <si>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</si>
  <si>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</si>
  <si>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</si>
  <si>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</si>
  <si>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</si>
  <si>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</si>
  <si>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</si>
  <si>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</si>
  <si>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</si>
  <si>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</si>
  <si>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</si>
  <si>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</si>
  <si>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</si>
  <si>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</si>
  <si>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</si>
  <si>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</si>
  <si>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</si>
  <si>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</si>
  <si>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</si>
  <si>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</si>
  <si>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</si>
  <si>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</si>
  <si>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</si>
  <si>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</si>
  <si>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</si>
  <si>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</si>
  <si>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</si>
  <si>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</si>
  <si>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</si>
  <si>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</si>
  <si>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</si>
  <si>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</si>
  <si>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</si>
  <si>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</si>
  <si>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</si>
  <si>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</si>
  <si>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</si>
  <si>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</si>
  <si>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</si>
  <si>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</si>
  <si>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</si>
  <si>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</si>
  <si>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</si>
  <si>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</si>
  <si>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</si>
  <si>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</si>
  <si>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</si>
  <si>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</si>
  <si>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</si>
  <si>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</si>
  <si>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</si>
  <si>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</si>
  <si>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</si>
  <si>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</si>
  <si>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</si>
  <si>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</si>
  <si>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</si>
  <si>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</si>
  <si>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</si>
  <si>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</si>
  <si>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</si>
  <si>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</si>
  <si>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</si>
  <si>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</si>
  <si>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</si>
  <si>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</si>
  <si>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</si>
  <si>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</si>
  <si>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</si>
  <si>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</si>
  <si>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</si>
  <si>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</si>
  <si>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</si>
  <si>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</si>
  <si>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</si>
  <si>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</si>
  <si>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</si>
  <si>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</si>
  <si>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</si>
  <si>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</si>
  <si>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</si>
  <si>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</si>
  <si>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</si>
  <si>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</si>
  <si>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</si>
  <si>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</si>
  <si>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</si>
  <si>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</si>
  <si>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</si>
  <si>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</si>
  <si>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</si>
  <si>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</si>
  <si>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</si>
  <si>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</si>
  <si>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</si>
  <si>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</si>
  <si>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</si>
  <si>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</si>
  <si>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</si>
  <si>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</si>
  <si>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</si>
  <si>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</si>
  <si>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</si>
  <si>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</si>
  <si>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</si>
  <si>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</si>
  <si>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</si>
  <si>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</si>
  <si>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</si>
  <si>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</si>
  <si>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</si>
  <si>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</si>
  <si>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</si>
  <si>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</si>
  <si>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</si>
  <si>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</si>
  <si>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</si>
  <si>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</si>
  <si>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</si>
  <si>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</si>
  <si>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</si>
  <si>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</si>
  <si>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</si>
  <si>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</si>
  <si>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</si>
  <si>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</si>
  <si>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</si>
  <si>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</si>
  <si>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</si>
  <si>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</si>
  <si>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</si>
  <si>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</si>
  <si>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</si>
  <si>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</si>
  <si>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</si>
  <si>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</si>
  <si>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</si>
  <si>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</si>
  <si>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</si>
  <si>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</si>
  <si>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</si>
  <si>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</si>
  <si>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</si>
  <si>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</si>
  <si>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</si>
  <si>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</si>
  <si>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</si>
  <si>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</si>
  <si>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</si>
  <si>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</si>
  <si>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</si>
  <si>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</si>
  <si>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</si>
  <si>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</si>
  <si>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</si>
  <si>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</si>
  <si>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</si>
  <si>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</si>
  <si>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</si>
  <si>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</si>
  <si>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</si>
  <si>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</si>
  <si>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</si>
  <si>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</si>
  <si>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</si>
  <si>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</si>
  <si>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</si>
  <si>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</si>
  <si>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</si>
  <si>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</si>
  <si>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</si>
  <si>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</si>
  <si>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</si>
  <si>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</si>
  <si>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</si>
  <si>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</si>
  <si>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</si>
  <si>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</si>
  <si>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</si>
  <si>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</si>
  <si>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</si>
  <si>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</si>
  <si>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</si>
  <si>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</si>
  <si>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</si>
  <si>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</si>
  <si>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</si>
  <si>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</si>
  <si>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</si>
  <si>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</si>
  <si>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</si>
  <si>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</si>
  <si>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</si>
  <si>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</si>
  <si>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</si>
  <si>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</si>
  <si>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</si>
  <si>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</si>
  <si>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</si>
  <si>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</si>
  <si>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</si>
  <si>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</si>
  <si>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</si>
  <si>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</si>
  <si>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</si>
  <si>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</si>
  <si>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</si>
  <si>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</si>
  <si>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</si>
  <si>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</si>
  <si>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</si>
  <si>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</si>
  <si>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</si>
  <si>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</si>
  <si>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</si>
  <si>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</si>
  <si>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</si>
  <si>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</si>
  <si>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</si>
  <si>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</si>
  <si>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</si>
  <si>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</si>
  <si>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</si>
  <si>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</si>
  <si>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</si>
  <si>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</si>
  <si>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</si>
  <si>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</si>
  <si>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</si>
  <si>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</si>
  <si>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</si>
  <si>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</si>
  <si>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</si>
  <si>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</si>
  <si>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</si>
  <si>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</si>
  <si>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</si>
  <si>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</si>
  <si>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</si>
  <si>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</si>
  <si>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</si>
  <si>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</si>
  <si>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</si>
  <si>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</si>
  <si>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</si>
  <si>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</si>
  <si>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</si>
  <si>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</si>
  <si>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</si>
  <si>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</si>
  <si>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</si>
  <si>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</si>
  <si>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</si>
  <si>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</si>
  <si>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</si>
  <si>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</si>
  <si>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</si>
  <si>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</si>
  <si>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</si>
  <si>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</si>
  <si>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</si>
  <si>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</si>
  <si>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</si>
  <si>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</si>
  <si>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</si>
  <si>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</si>
  <si>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</si>
  <si>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</si>
  <si>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</si>
  <si>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</si>
  <si>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</si>
  <si>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</si>
  <si>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</si>
  <si>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</si>
  <si>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</si>
  <si>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</si>
  <si>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</si>
  <si>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</si>
  <si>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</si>
  <si>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</si>
  <si>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</si>
  <si>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</si>
  <si>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</si>
  <si>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</si>
  <si>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</si>
  <si>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</si>
  <si>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</si>
  <si>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</si>
  <si>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</si>
  <si>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</si>
  <si>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</si>
  <si>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</si>
  <si>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</si>
  <si>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</si>
  <si>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</si>
  <si>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</si>
  <si>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</si>
  <si>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</si>
  <si>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</si>
  <si>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</si>
  <si>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</si>
  <si>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</si>
  <si>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</si>
  <si>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</si>
  <si>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</si>
  <si>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</si>
  <si>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</si>
  <si>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</si>
  <si>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</si>
  <si>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</si>
  <si>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</si>
  <si>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</si>
  <si>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</si>
  <si>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</si>
  <si>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</si>
  <si>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</si>
  <si>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</si>
  <si>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</si>
  <si>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</si>
  <si>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</si>
  <si>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</si>
  <si>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</si>
  <si>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</si>
  <si>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</si>
  <si>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</si>
  <si>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</si>
  <si>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</si>
  <si>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</si>
  <si>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</si>
  <si>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</si>
  <si>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</si>
  <si>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</si>
  <si>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</si>
  <si>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</si>
  <si>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</si>
  <si>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</si>
  <si>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</si>
  <si>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</si>
  <si>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</si>
  <si>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</si>
  <si>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</si>
  <si>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</si>
  <si>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</si>
  <si>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</si>
  <si>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</si>
  <si>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</si>
  <si>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</si>
  <si>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</si>
  <si>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</si>
  <si>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2018-19 performance level - actual</t>
    </r>
    <r>
      <rPr>
        <sz val="10"/>
        <color rgb="FF0078C9"/>
        <rFont val="Arial"/>
        <family val="2"/>
      </rPr>
      <t xml:space="preserve">
(for information)</t>
    </r>
  </si>
  <si>
    <t>2019-20 performance level - actual</t>
  </si>
  <si>
    <t>2019-20 PCL met?</t>
  </si>
  <si>
    <r>
      <t xml:space="preserve">2019-20
outperformance payment
or underperformance payment -
in-period ODIs 
</t>
    </r>
    <r>
      <rPr>
        <sz val="10"/>
        <color rgb="FF0078C9"/>
        <rFont val="Arial"/>
        <family val="2"/>
      </rPr>
      <t>(indicator)</t>
    </r>
  </si>
  <si>
    <r>
      <t xml:space="preserve">2019-20 outperformance payment or underperformance payment - 
in-period ODIs 
</t>
    </r>
    <r>
      <rPr>
        <sz val="10"/>
        <color rgb="FF0078C9"/>
        <rFont val="Arial"/>
        <family val="2"/>
      </rPr>
      <t>(</t>
    </r>
    <r>
      <rPr>
        <sz val="9"/>
        <color rgb="FF0078C9"/>
        <rFont val="Arial"/>
        <family val="2"/>
      </rPr>
      <t>£m, to 4 dp)</t>
    </r>
  </si>
  <si>
    <r>
      <t xml:space="preserve">2019-20
outperformance payment
or underperformance payment - 
ODIs payable at the end of AMP6 
</t>
    </r>
    <r>
      <rPr>
        <sz val="10"/>
        <color rgb="FF0078C9"/>
        <rFont val="Arial"/>
        <family val="2"/>
      </rPr>
      <t>(indicator)</t>
    </r>
  </si>
  <si>
    <r>
      <t xml:space="preserve">2019-20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</si>
  <si>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theme="0" tint="-0.34998626667073579"/>
        <rFont val="Arial"/>
        <family val="2"/>
      </rPr>
      <t xml:space="preserve">(indicator)
</t>
    </r>
    <r>
      <rPr>
        <b/>
        <sz val="10"/>
        <color theme="0" tint="-0.34998626667073579"/>
        <rFont val="Arial"/>
        <family val="2"/>
      </rPr>
      <t>NOT USED (LEAVE BLANK)</t>
    </r>
  </si>
  <si>
    <r>
      <t xml:space="preserve">31 March 2020 forecast -
total AMP6 outperformance payment or underperformance payment
</t>
    </r>
    <r>
      <rPr>
        <sz val="10"/>
        <color theme="0" tint="-0.34998626667073579"/>
        <rFont val="Arial"/>
        <family val="2"/>
      </rPr>
      <t xml:space="preserve">(£m, to </t>
    </r>
    <r>
      <rPr>
        <sz val="9"/>
        <color theme="0" tint="-0.34998626667073579"/>
        <rFont val="Arial"/>
        <family val="2"/>
      </rPr>
      <t xml:space="preserve">4 dp)
</t>
    </r>
    <r>
      <rPr>
        <b/>
        <sz val="10"/>
        <color theme="0" tint="-0.34998626667073579"/>
        <rFont val="Arial"/>
        <family val="2"/>
      </rPr>
      <t>NOT USED (LEAVE BLANK)</t>
    </r>
  </si>
  <si>
    <t>Consistency</t>
  </si>
  <si>
    <t>Outperformance payments should be entered as positive numbers</t>
  </si>
  <si>
    <t>Underperformance payments should be entered as negative numbers</t>
  </si>
  <si>
    <t>F</t>
  </si>
  <si>
    <t>G</t>
  </si>
  <si>
    <t>H</t>
  </si>
  <si>
    <t>I</t>
  </si>
  <si>
    <t>J</t>
  </si>
  <si>
    <t>K</t>
  </si>
  <si>
    <t>L</t>
  </si>
  <si>
    <t>M</t>
  </si>
  <si>
    <t>N</t>
  </si>
  <si>
    <t>No</t>
  </si>
  <si>
    <t>-</t>
  </si>
  <si>
    <t>Underperformance payment</t>
  </si>
  <si>
    <t>Yes</t>
  </si>
  <si>
    <t>Stable</t>
  </si>
  <si>
    <t>Outperformance payment</t>
  </si>
  <si>
    <t>Underperformance payment deadband</t>
  </si>
  <si>
    <t>Published</t>
  </si>
  <si>
    <t>94% Water 90% Sewerage</t>
  </si>
  <si>
    <t>79% Water 80% Sewerage</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</si>
  <si>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</si>
  <si>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</si>
  <si>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</si>
  <si>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</si>
  <si>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</si>
  <si>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</si>
  <si>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</si>
  <si>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</si>
  <si>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</si>
  <si>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</si>
  <si>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</si>
  <si>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</si>
  <si>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</si>
  <si>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</si>
  <si>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</si>
  <si>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</si>
  <si>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</si>
  <si>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</si>
  <si>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</si>
  <si>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</si>
  <si>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</si>
  <si>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</si>
  <si>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</si>
  <si>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</si>
  <si>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</si>
  <si>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2018-19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</si>
  <si>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</si>
  <si>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</si>
  <si>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</si>
  <si>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</si>
  <si>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</si>
  <si>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</si>
  <si>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</si>
  <si>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2019-20 AIM performance
[Ml]</t>
  </si>
  <si>
    <t>2019-20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</si>
  <si>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</si>
  <si>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</si>
  <si>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</si>
  <si>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</si>
  <si>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</si>
  <si>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r>
      <t xml:space="preserve">Cumulative AIM performance
2016-17 onwards
</t>
    </r>
    <r>
      <rPr>
        <sz val="9"/>
        <color rgb="FF0078C9"/>
        <rFont val="Franklin Gothic Demi"/>
        <family val="2"/>
      </rPr>
      <t>[Ml]</t>
    </r>
  </si>
  <si>
    <t>Cumulative normalised AIM performance
2016-17 onwards 
[nr]</t>
  </si>
  <si>
    <t>N/a</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</si>
  <si>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</si>
  <si>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</si>
  <si>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</si>
  <si>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</si>
  <si>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</si>
  <si>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</si>
  <si>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</si>
  <si>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</si>
  <si>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</si>
  <si>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</si>
  <si>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</si>
  <si>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</si>
  <si>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</si>
  <si>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</si>
  <si>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</si>
  <si>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</si>
  <si>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</si>
  <si>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</si>
  <si>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</si>
  <si>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</si>
  <si>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</si>
  <si>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</si>
  <si>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</si>
  <si>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</si>
  <si>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</si>
  <si>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</si>
  <si>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</si>
  <si>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</si>
  <si>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</si>
  <si>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</si>
  <si>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</si>
  <si>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</si>
  <si>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</si>
  <si>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</si>
  <si>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</si>
  <si>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</si>
  <si>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</si>
  <si>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</si>
  <si>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</si>
  <si>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</si>
  <si>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</si>
  <si>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</si>
  <si>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</si>
  <si>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</si>
  <si>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</si>
  <si>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</si>
  <si>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</si>
  <si>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</si>
  <si>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</si>
  <si>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</si>
  <si>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</si>
  <si>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</si>
  <si>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</si>
  <si>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</si>
  <si>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</si>
  <si>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</si>
  <si>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Please refer to 'RAG 4.08 - Guideline for the table definitions in the annual performance report for the reporting year 2019-20 and the information notice 'Expectations for monopoly company annual performance reporting 2019-20'</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</si>
  <si>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</si>
  <si>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</si>
  <si>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</si>
  <si>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</si>
  <si>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</si>
  <si>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</si>
  <si>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</si>
  <si>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</si>
  <si>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t>
  </si>
  <si>
    <t>3S - Shadow reporting of new definition data</t>
  </si>
  <si>
    <r>
      <t xml:space="preserve">For the 2019 price review (PR19) we required companies to have common performance commitments with consistent definitions and consistent reporting.
As in 2017, 2018 and 2019, we propose in 2020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</si>
  <si>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Company agreement to share information as described above:</t>
  </si>
  <si>
    <t>Total of input checks</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</si>
  <si>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</si>
  <si>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</si>
  <si>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</si>
  <si>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</si>
  <si>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</si>
  <si>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</si>
  <si>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</si>
  <si>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</si>
  <si>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</si>
  <si>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</si>
  <si>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</si>
  <si>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</si>
  <si>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</si>
  <si>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</si>
  <si>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</si>
  <si>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</si>
  <si>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</si>
  <si>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</si>
  <si>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</si>
  <si>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</si>
  <si>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</si>
  <si>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</si>
  <si>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</si>
  <si>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</si>
  <si>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</si>
  <si>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</si>
  <si>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</si>
  <si>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</si>
  <si>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</si>
  <si>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</si>
  <si>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</si>
  <si>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</si>
  <si>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</si>
  <si>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</si>
  <si>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</si>
  <si>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</si>
  <si>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</si>
  <si>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</si>
  <si>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</si>
  <si>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</si>
  <si>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</si>
  <si>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</si>
  <si>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</si>
  <si>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</si>
  <si>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</si>
  <si>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</si>
  <si>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</si>
  <si>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</si>
  <si>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</si>
  <si>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</si>
  <si>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</si>
  <si>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</si>
  <si>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</si>
  <si>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</si>
  <si>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</si>
  <si>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</si>
  <si>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</si>
  <si>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</si>
  <si>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</si>
  <si>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</si>
  <si>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</si>
  <si>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</si>
  <si>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</si>
  <si>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</si>
  <si>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</si>
  <si>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</si>
  <si>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</si>
  <si>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</si>
  <si>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</si>
  <si>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</si>
  <si>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</si>
  <si>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</si>
  <si>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</si>
  <si>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</si>
  <si>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</si>
  <si>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</si>
  <si>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</si>
  <si>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</si>
  <si>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</si>
  <si>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</si>
  <si>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</si>
  <si>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</si>
  <si>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</si>
  <si>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</si>
  <si>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</si>
  <si>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</si>
  <si>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</si>
  <si>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</si>
  <si>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</si>
  <si>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</si>
  <si>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</si>
  <si>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</si>
  <si>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</si>
  <si>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</si>
  <si>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</si>
  <si>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</si>
  <si>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</si>
  <si>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</si>
  <si>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</si>
  <si>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</si>
  <si>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</si>
  <si>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</si>
  <si>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</si>
  <si>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</si>
  <si>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</si>
  <si>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</si>
  <si>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</si>
  <si>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</si>
  <si>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</si>
  <si>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</si>
  <si>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</si>
  <si>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</si>
  <si>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</si>
  <si>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</si>
  <si>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</si>
  <si>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</si>
  <si>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</si>
  <si>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</si>
  <si>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</si>
  <si>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</si>
  <si>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</si>
  <si>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</si>
  <si>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</si>
  <si>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</si>
  <si>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</si>
  <si>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</si>
  <si>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</si>
  <si>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</si>
  <si>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</si>
  <si>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</si>
  <si>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</si>
  <si>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</si>
  <si>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</si>
  <si>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</si>
  <si>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</si>
  <si>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</si>
  <si>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</si>
  <si>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</si>
  <si>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</si>
  <si>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</si>
  <si>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</si>
  <si>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</si>
  <si>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</si>
  <si>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</si>
  <si>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</si>
  <si>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</si>
  <si>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</si>
  <si>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</si>
  <si>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</si>
  <si>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</si>
  <si>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</si>
  <si>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</si>
  <si>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</si>
  <si>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</si>
  <si>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</si>
  <si>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</si>
  <si>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</si>
  <si>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</si>
  <si>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</si>
  <si>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</si>
  <si>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</si>
  <si>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</si>
  <si>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</si>
  <si>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</si>
  <si>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</si>
  <si>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</si>
  <si>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</si>
  <si>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</si>
  <si>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</si>
  <si>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</si>
  <si>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</si>
  <si>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</si>
  <si>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</si>
  <si>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</si>
  <si>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</si>
  <si>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</si>
  <si>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</si>
  <si>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</si>
  <si>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</si>
  <si>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</si>
  <si>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</si>
  <si>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</si>
  <si>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</si>
  <si>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</si>
  <si>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</si>
  <si>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</si>
  <si>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</si>
  <si>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</si>
  <si>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</si>
  <si>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</si>
  <si>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</si>
  <si>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</si>
  <si>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</si>
  <si>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</si>
  <si>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</si>
  <si>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</si>
  <si>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</si>
  <si>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</si>
  <si>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</si>
  <si>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</si>
  <si>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</si>
  <si>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</si>
  <si>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</si>
  <si>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</si>
  <si>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</si>
  <si>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</si>
  <si>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</si>
  <si>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</si>
  <si>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</si>
  <si>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</si>
  <si>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</si>
  <si>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</si>
  <si>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</si>
  <si>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</si>
  <si>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</si>
  <si>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</si>
  <si>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</si>
  <si>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</si>
  <si>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</si>
  <si>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</si>
  <si>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</si>
  <si>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</si>
  <si>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</si>
  <si>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</si>
  <si>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</si>
  <si>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</si>
  <si>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</si>
  <si>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</si>
  <si>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</si>
  <si>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</si>
  <si>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</si>
  <si>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</si>
  <si>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</si>
  <si>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</si>
  <si>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</si>
  <si>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</si>
  <si>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</si>
  <si>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</si>
  <si>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</si>
  <si>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</si>
  <si>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</si>
  <si>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</si>
  <si>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</si>
  <si>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</si>
  <si>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</si>
  <si>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</si>
  <si>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</si>
  <si>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</si>
  <si>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</si>
  <si>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</si>
  <si>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</si>
  <si>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</si>
  <si>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</si>
  <si>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</si>
  <si>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</si>
  <si>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</si>
  <si>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</si>
  <si>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</si>
  <si>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</si>
  <si>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</si>
  <si>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</si>
  <si>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</si>
  <si>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</si>
  <si>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</si>
  <si>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</si>
  <si>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</si>
  <si>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</si>
  <si>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</si>
  <si>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</si>
  <si>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</si>
  <si>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</si>
  <si>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</si>
  <si>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</si>
  <si>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</si>
  <si>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</si>
  <si>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</si>
  <si>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</si>
  <si>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</si>
  <si>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</si>
  <si>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</si>
  <si>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</si>
  <si>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</si>
  <si>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</si>
  <si>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</si>
  <si>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</si>
  <si>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</si>
  <si>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</si>
  <si>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</si>
  <si>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</si>
  <si>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</si>
  <si>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</si>
  <si>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</si>
  <si>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</si>
  <si>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</si>
  <si>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</si>
  <si>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</si>
  <si>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</si>
  <si>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</si>
  <si>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</si>
  <si>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</si>
  <si>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</si>
  <si>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</si>
  <si>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</si>
  <si>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</si>
  <si>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</si>
  <si>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</si>
  <si>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</si>
  <si>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</si>
  <si>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</si>
  <si>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</si>
  <si>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</si>
  <si>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</si>
  <si>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</si>
  <si>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</si>
  <si>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</si>
  <si>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</si>
  <si>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</si>
  <si>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</si>
  <si>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</si>
  <si>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</si>
  <si>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</si>
  <si>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</si>
  <si>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</si>
  <si>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</si>
  <si>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</si>
  <si>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</si>
  <si>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</si>
  <si>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</si>
  <si>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</si>
  <si>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</si>
  <si>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</si>
  <si>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</si>
  <si>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</si>
  <si>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</si>
  <si>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</si>
  <si>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</si>
  <si>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</si>
  <si>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</si>
  <si>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</si>
  <si>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</si>
  <si>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</si>
  <si>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</si>
  <si>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</si>
  <si>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</si>
  <si>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</si>
  <si>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</si>
  <si>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</si>
  <si>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</si>
  <si>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</si>
  <si>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</si>
  <si>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</si>
  <si>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</si>
  <si>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</si>
  <si>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</si>
  <si>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</si>
  <si>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</si>
  <si>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</si>
  <si>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</si>
  <si>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</si>
  <si>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</si>
  <si>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</si>
  <si>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</si>
  <si>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</si>
  <si>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</si>
  <si>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</si>
  <si>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</si>
  <si>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</si>
  <si>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</si>
  <si>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</si>
  <si>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</si>
  <si>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</si>
  <si>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</si>
  <si>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</si>
  <si>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</si>
  <si>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</si>
  <si>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</si>
  <si>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</si>
  <si>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</si>
  <si>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</si>
  <si>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</si>
  <si>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</si>
  <si>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</si>
  <si>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</si>
  <si>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</si>
  <si>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</si>
  <si>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</si>
  <si>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</si>
  <si>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</si>
  <si>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</si>
  <si>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</si>
  <si>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</si>
  <si>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</si>
  <si>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</si>
  <si>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</si>
  <si>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</si>
  <si>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</si>
  <si>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</si>
  <si>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</si>
  <si>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</si>
  <si>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</si>
  <si>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</si>
  <si>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</si>
  <si>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</si>
  <si>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</si>
  <si>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</si>
  <si>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</si>
  <si>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</si>
  <si>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</si>
  <si>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</si>
  <si>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</si>
  <si>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</si>
  <si>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</si>
  <si>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</si>
  <si>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</si>
  <si>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</si>
  <si>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</si>
  <si>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</si>
  <si>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</si>
  <si>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</si>
  <si>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</si>
  <si>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</si>
  <si>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</si>
  <si>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</si>
  <si>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</si>
  <si>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</si>
  <si>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</si>
  <si>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</si>
  <si>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</si>
  <si>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</si>
  <si>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</si>
  <si>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</si>
  <si>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</si>
  <si>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</si>
  <si>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</si>
  <si>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</si>
  <si>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</si>
  <si>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</si>
  <si>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</si>
  <si>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</si>
  <si>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</si>
  <si>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</si>
  <si>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</si>
  <si>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</si>
  <si>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</si>
  <si>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</si>
  <si>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</si>
  <si>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</si>
  <si>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</si>
  <si>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</si>
  <si>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</si>
  <si>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</si>
  <si>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</si>
  <si>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</si>
  <si>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</si>
  <si>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</si>
  <si>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</si>
  <si>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</si>
  <si>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</si>
  <si>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</si>
  <si>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</si>
  <si>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</si>
  <si>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</si>
  <si>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</si>
  <si>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</si>
  <si>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</si>
  <si>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</si>
  <si>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</si>
  <si>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</si>
  <si>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</si>
  <si>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</si>
  <si>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</si>
  <si>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</si>
  <si>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2017-18</t>
  </si>
  <si>
    <t>2018-19</t>
  </si>
  <si>
    <t>2019-20</t>
  </si>
  <si>
    <t>Whole Region</t>
  </si>
  <si>
    <t>Ml/d</t>
  </si>
  <si>
    <t>Green</t>
  </si>
  <si>
    <t>Amber</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</si>
  <si>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</si>
  <si>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</si>
  <si>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</si>
  <si>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</si>
  <si>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</si>
  <si>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</si>
  <si>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</si>
  <si>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</si>
  <si>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</si>
  <si>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</si>
  <si>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</si>
  <si>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</si>
  <si>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</si>
  <si>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</si>
  <si>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</si>
  <si>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</si>
  <si>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</si>
  <si>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</si>
  <si>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</si>
  <si>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</si>
  <si>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</si>
  <si>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</si>
  <si>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</si>
  <si>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</si>
  <si>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</si>
  <si>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</si>
  <si>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</si>
  <si>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</si>
  <si>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</si>
  <si>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</si>
  <si>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</si>
  <si>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</si>
  <si>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</si>
  <si>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</si>
  <si>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</si>
  <si>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</si>
  <si>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</si>
  <si>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</si>
  <si>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</si>
  <si>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</si>
  <si>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</si>
  <si>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</si>
  <si>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</si>
  <si>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</si>
  <si>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</si>
  <si>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</si>
  <si>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</si>
  <si>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</si>
  <si>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</si>
  <si>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</si>
  <si>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</si>
  <si>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</si>
  <si>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</si>
  <si>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</si>
  <si>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</si>
  <si>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</si>
  <si>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</si>
  <si>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</si>
  <si>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</si>
  <si>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</si>
  <si>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</si>
  <si>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</si>
  <si>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</si>
  <si>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</si>
  <si>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</si>
  <si>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</si>
  <si>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</si>
  <si>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</si>
  <si>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</si>
  <si>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</si>
  <si>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</si>
  <si>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</si>
  <si>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</si>
  <si>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</si>
  <si>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</si>
  <si>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</si>
  <si>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</si>
  <si>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</si>
  <si>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</si>
  <si>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</si>
  <si>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</si>
  <si>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Certainty grade</t>
  </si>
  <si>
    <t>Risk of severe restrictions in a drought</t>
  </si>
  <si>
    <t>Percentage of the population the company serves that would experience severe supply restrictions (for example, standpipes or rota cuts) in a 1 in 200 year drought</t>
  </si>
  <si>
    <t>B3</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</si>
  <si>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</si>
  <si>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</si>
  <si>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</si>
  <si>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</si>
  <si>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</si>
  <si>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</si>
  <si>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</si>
  <si>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</si>
  <si>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</si>
  <si>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</si>
  <si>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</si>
  <si>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</si>
  <si>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</si>
  <si>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</si>
  <si>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</si>
  <si>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</si>
  <si>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</si>
  <si>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</si>
  <si>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</si>
  <si>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</si>
  <si>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</si>
  <si>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</si>
  <si>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</si>
  <si>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Confidence grade</t>
  </si>
  <si>
    <t>Risk of sewer flooding in a storm</t>
  </si>
  <si>
    <t>Percentage of population at risk of sewer flooding in a 1-in-50 year storm</t>
  </si>
  <si>
    <t>Vulnerability</t>
  </si>
  <si>
    <t>Percentage of households registered for priority services (as of 31 March)</t>
  </si>
  <si>
    <t>Percentage of households registered on the Priority Services Register contacted over the previous two years to ensure they are still receiving the right support (as of 31 March)</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</si>
  <si>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</si>
  <si>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</si>
  <si>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</si>
  <si>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</si>
  <si>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</si>
  <si>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</si>
  <si>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</si>
  <si>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</si>
  <si>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</si>
  <si>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</si>
  <si>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</si>
  <si>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</si>
  <si>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</si>
  <si>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</si>
  <si>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</si>
  <si>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</si>
  <si>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</si>
  <si>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the red/amber/green assessments in the columns to the right of the performance level</t>
  </si>
  <si>
    <t>7</t>
  </si>
  <si>
    <t>8</t>
  </si>
  <si>
    <t>9</t>
  </si>
  <si>
    <t>Enter the performance level for the current reporting year, and the certainty grade relating to the performance calculation.</t>
  </si>
  <si>
    <t>10</t>
  </si>
  <si>
    <t>11</t>
  </si>
  <si>
    <t>12</t>
  </si>
  <si>
    <t>13</t>
  </si>
  <si>
    <t>Enter the performance level for the current reporting year and the overall model suite confidence grade</t>
  </si>
  <si>
    <t>14</t>
  </si>
  <si>
    <t>Enter the performance level for the current reporting year</t>
  </si>
  <si>
    <t>15</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</si>
  <si>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</si>
  <si>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 xml:space="preserve">3S table guidance </t>
  </si>
  <si>
    <r>
      <t xml:space="preserve">Background to shadow reporting
</t>
    </r>
    <r>
      <rPr>
        <sz val="10"/>
        <rFont val="Arial"/>
        <family val="2"/>
      </rPr>
      <t>Companies are calculating data against this consistent reporting guidance and will report the data on 15 July 2020.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PR19 consistent reporting guidance will be reported as normal through the APR.</t>
    </r>
    <r>
      <rPr>
        <b/>
        <sz val="10"/>
        <rFont val="Arial"/>
        <family val="2"/>
      </rPr>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</si>
  <si>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For leakage, the table allows for data to be input for either the whole company or for up to four leakage regions
4.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</si>
  <si>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</si>
  <si>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2019-20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2019-20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</si>
  <si>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</si>
  <si>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</si>
  <si>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Some minor non-compliance, no material impact on leakage reporting</t>
  </si>
  <si>
    <t>Fully compliant</t>
  </si>
  <si>
    <t>Other common performance commitments</t>
  </si>
  <si>
    <t>Non-compliant</t>
  </si>
  <si>
    <t>Some minor non-compliance</t>
  </si>
  <si>
    <t>Red/amber/green assessment codes used in the drop down lists in table 3s</t>
  </si>
  <si>
    <t>Yes/No indicator used in the drop down lists in table 3s</t>
  </si>
  <si>
    <t>Red</t>
  </si>
  <si>
    <t>Please select yes/no option</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</si>
  <si>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</si>
  <si>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</si>
  <si>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</si>
  <si>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</si>
  <si>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</si>
  <si>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</si>
  <si>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</si>
  <si>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</si>
  <si>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</si>
  <si>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</si>
  <si>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</si>
  <si>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</si>
  <si>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</si>
  <si>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</si>
  <si>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</si>
  <si>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</si>
  <si>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</si>
  <si>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</si>
  <si>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</si>
  <si>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</si>
  <si>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</si>
  <si>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</si>
  <si>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</si>
  <si>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</si>
  <si>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</si>
  <si>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</si>
  <si>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</si>
  <si>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</si>
  <si>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</si>
  <si>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</si>
  <si>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</si>
  <si>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</si>
  <si>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</si>
  <si>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</si>
  <si>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</si>
  <si>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</si>
  <si>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</si>
  <si>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</si>
  <si>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</si>
  <si>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</si>
  <si>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</si>
  <si>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</si>
  <si>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</si>
  <si>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</si>
  <si>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</si>
  <si>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</si>
  <si>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</si>
  <si>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</si>
  <si>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</si>
  <si>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</si>
  <si>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</si>
  <si>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</si>
  <si>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</si>
  <si>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</si>
  <si>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</si>
  <si>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</si>
  <si>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</si>
  <si>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</si>
  <si>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</si>
  <si>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</si>
  <si>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</si>
  <si>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</si>
  <si>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</si>
  <si>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</si>
  <si>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</si>
  <si>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</si>
  <si>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</si>
  <si>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</si>
  <si>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</si>
  <si>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</si>
  <si>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</si>
  <si>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</si>
  <si>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</si>
  <si>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</si>
  <si>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</si>
  <si>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</si>
  <si>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</si>
  <si>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</si>
  <si>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</si>
  <si>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</si>
  <si>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</si>
  <si>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</si>
  <si>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</si>
  <si>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</si>
  <si>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</si>
  <si>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</si>
  <si>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</si>
  <si>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</si>
  <si>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</si>
  <si>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</si>
  <si>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</si>
  <si>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</si>
  <si>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</si>
  <si>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</si>
  <si>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</si>
  <si>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</si>
  <si>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</si>
  <si>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</si>
  <si>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</si>
  <si>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</si>
  <si>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</si>
  <si>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</si>
  <si>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</si>
  <si>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</si>
  <si>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</si>
  <si>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</si>
  <si>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</si>
  <si>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</si>
  <si>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</si>
  <si>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</si>
  <si>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</si>
  <si>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</si>
  <si>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</si>
  <si>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</si>
  <si>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</si>
  <si>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</si>
  <si>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</si>
  <si>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</si>
  <si>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</si>
  <si>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</si>
  <si>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</si>
  <si>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</si>
  <si>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</si>
  <si>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</si>
  <si>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</si>
  <si>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</si>
  <si>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</si>
  <si>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</si>
  <si>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</si>
  <si>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</si>
  <si>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</si>
  <si>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</si>
  <si>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</si>
  <si>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</si>
  <si>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</si>
  <si>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</si>
  <si>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</si>
  <si>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</si>
  <si>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</si>
  <si>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</si>
  <si>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</si>
  <si>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</si>
  <si>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</si>
  <si>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</si>
  <si>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</si>
  <si>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</si>
  <si>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</si>
  <si>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</si>
  <si>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</si>
  <si>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</si>
  <si>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</si>
  <si>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</si>
  <si>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</si>
  <si>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</si>
  <si>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</si>
  <si>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</si>
  <si>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</si>
  <si>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</si>
  <si>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</si>
  <si>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</si>
  <si>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</si>
  <si>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</si>
  <si>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</si>
  <si>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</si>
  <si>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</si>
  <si>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</si>
  <si>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</si>
  <si>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</si>
  <si>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</si>
  <si>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</si>
  <si>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</si>
  <si>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</si>
  <si>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</si>
  <si>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</si>
  <si>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</si>
  <si>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</si>
  <si>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</si>
  <si>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</si>
  <si>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</si>
  <si>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</si>
  <si>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</si>
  <si>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</si>
  <si>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</si>
  <si>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</si>
  <si>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</si>
  <si>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</si>
  <si>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</si>
  <si>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</si>
  <si>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</si>
  <si>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</si>
  <si>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</si>
  <si>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</si>
  <si>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</si>
  <si>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</si>
  <si>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</si>
  <si>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</si>
  <si>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</si>
  <si>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</si>
  <si>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</si>
  <si>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</si>
  <si>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</si>
  <si>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</si>
  <si>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</si>
  <si>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</si>
  <si>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</si>
  <si>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</si>
  <si>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</si>
  <si>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</si>
  <si>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</si>
  <si>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</si>
  <si>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</si>
  <si>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</si>
  <si>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</si>
  <si>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</si>
  <si>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</si>
  <si>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</si>
  <si>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</si>
  <si>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</si>
  <si>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</si>
  <si>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</si>
  <si>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</si>
  <si>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</si>
  <si>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</si>
  <si>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</si>
  <si>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</si>
  <si>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</si>
  <si>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</si>
  <si>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</si>
  <si>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</si>
  <si>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</si>
  <si>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</si>
  <si>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</si>
  <si>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</si>
  <si>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</si>
  <si>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</si>
  <si>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</si>
  <si>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</si>
  <si>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</si>
  <si>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</si>
  <si>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</si>
  <si>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</si>
  <si>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</si>
  <si>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</si>
  <si>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</si>
  <si>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</si>
  <si>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</si>
  <si>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</si>
  <si>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</si>
  <si>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</si>
  <si>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</si>
  <si>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</si>
  <si>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</si>
  <si>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</si>
  <si>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</si>
  <si>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</si>
  <si>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</si>
  <si>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</si>
  <si>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</si>
  <si>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</si>
  <si>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</si>
  <si>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</si>
  <si>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</si>
  <si>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</si>
  <si>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</si>
  <si>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</si>
  <si>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</si>
  <si>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</si>
  <si>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</si>
  <si>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</si>
  <si>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</si>
  <si>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</si>
  <si>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</si>
  <si>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</si>
  <si>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</si>
  <si>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</si>
  <si>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</si>
  <si>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</si>
  <si>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</si>
  <si>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</si>
  <si>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</si>
  <si>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</si>
  <si>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</si>
  <si>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</si>
  <si>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</si>
  <si>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</si>
  <si>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</si>
  <si>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</si>
  <si>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</si>
  <si>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</si>
  <si>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</si>
  <si>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</si>
  <si>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</si>
  <si>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</si>
  <si>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</si>
  <si>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</si>
  <si>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</si>
  <si>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</si>
  <si>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</si>
  <si>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</si>
  <si>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</si>
  <si>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</si>
  <si>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</si>
  <si>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</si>
  <si>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</si>
  <si>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</si>
  <si>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</si>
  <si>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</si>
  <si>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</si>
  <si>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</si>
  <si>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</si>
  <si>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</si>
  <si>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</si>
  <si>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</si>
  <si>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</si>
  <si>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</si>
  <si>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</si>
  <si>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</si>
  <si>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</si>
  <si>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</si>
  <si>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</si>
  <si>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</si>
  <si>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</si>
  <si>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</si>
  <si>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</si>
  <si>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</si>
  <si>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</si>
  <si>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</si>
  <si>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</si>
  <si>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</si>
  <si>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</si>
  <si>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</si>
  <si>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</si>
  <si>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</si>
  <si>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</si>
  <si>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</si>
  <si>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</si>
  <si>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</si>
  <si>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</si>
  <si>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</si>
  <si>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</si>
  <si>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</si>
  <si>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</si>
  <si>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</si>
  <si>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</si>
  <si>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</si>
  <si>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</si>
  <si>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</si>
  <si>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</si>
  <si>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</si>
  <si>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</si>
  <si>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</si>
  <si>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</si>
  <si>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</si>
  <si>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</si>
  <si>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</si>
  <si>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</si>
  <si>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</si>
  <si>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</si>
  <si>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</si>
  <si>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</si>
  <si>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</si>
  <si>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</si>
  <si>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</si>
  <si>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</si>
  <si>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</si>
  <si>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</si>
  <si>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</si>
  <si>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</si>
  <si>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</si>
  <si>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</si>
  <si>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</si>
  <si>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</si>
  <si>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</si>
  <si>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</si>
  <si>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</si>
  <si>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</si>
  <si>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</si>
  <si>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</si>
  <si>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</si>
  <si>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</si>
  <si>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</si>
  <si>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</si>
  <si>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</si>
  <si>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</si>
  <si>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</si>
  <si>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</si>
  <si>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</si>
  <si>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</si>
  <si>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</si>
  <si>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</si>
  <si>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</si>
  <si>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</si>
  <si>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</si>
  <si>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</si>
  <si>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</si>
  <si>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</si>
  <si>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</si>
  <si>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</si>
  <si>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</si>
  <si>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</si>
  <si>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</si>
  <si>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</si>
  <si>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</si>
  <si>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</si>
  <si>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</si>
  <si>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</si>
  <si>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</si>
  <si>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</si>
  <si>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</si>
  <si>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</si>
  <si>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</si>
  <si>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</si>
  <si>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</si>
  <si>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</si>
  <si>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</si>
  <si>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</si>
  <si>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</si>
  <si>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</si>
  <si>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</si>
  <si>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</si>
  <si>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</si>
  <si>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</si>
  <si>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</si>
  <si>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</si>
  <si>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</si>
  <si>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</si>
  <si>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</si>
  <si>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</si>
  <si>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</si>
  <si>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</si>
  <si>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</si>
  <si>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</si>
  <si>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</si>
  <si>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</si>
  <si>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</si>
  <si>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</si>
  <si>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</si>
  <si>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</si>
  <si>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</si>
  <si>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</si>
  <si>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</si>
  <si>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</si>
  <si>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</si>
  <si>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</si>
  <si>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</si>
  <si>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</si>
  <si>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</si>
  <si>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</si>
  <si>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</si>
  <si>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</si>
  <si>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</si>
  <si>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</si>
  <si>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</si>
  <si>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</si>
  <si>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</si>
  <si>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</si>
  <si>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</si>
  <si>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</si>
  <si>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</si>
  <si>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</si>
  <si>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</si>
  <si>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</si>
  <si>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</si>
  <si>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</si>
  <si>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</si>
  <si>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</si>
  <si>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</si>
  <si>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</si>
  <si>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</si>
  <si>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</si>
  <si>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</si>
  <si>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</si>
  <si>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</si>
  <si>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</si>
  <si>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</si>
  <si>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</si>
  <si>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</si>
  <si>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</si>
  <si>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</si>
  <si>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</si>
  <si>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</si>
  <si>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</si>
  <si>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</si>
  <si>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</si>
  <si>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</si>
  <si>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</si>
  <si>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</si>
  <si>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</si>
  <si>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</si>
  <si>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</si>
  <si>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</si>
  <si>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</si>
  <si>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</si>
  <si>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</si>
  <si>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</si>
  <si>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</si>
  <si>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</si>
  <si>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</si>
  <si>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</si>
  <si>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</si>
  <si>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</si>
  <si>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</si>
  <si>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</si>
  <si>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</si>
  <si>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</si>
  <si>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</si>
  <si>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</si>
  <si>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</si>
  <si>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</si>
  <si>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</si>
  <si>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</si>
  <si>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</si>
  <si>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</si>
  <si>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</si>
  <si>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</si>
  <si>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</si>
  <si>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</si>
  <si>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</si>
  <si>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</si>
  <si>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</si>
  <si>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</si>
  <si>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</si>
  <si>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</si>
  <si>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</si>
  <si>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</si>
  <si>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</si>
  <si>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</si>
  <si>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</si>
  <si>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</si>
  <si>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</si>
  <si>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</si>
  <si>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</si>
  <si>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</si>
  <si>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</si>
  <si>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</si>
  <si>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</si>
  <si>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</si>
  <si>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</si>
  <si>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</si>
  <si>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</si>
  <si>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</si>
  <si>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</si>
  <si>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</si>
  <si>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</si>
  <si>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</si>
  <si>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</si>
  <si>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</si>
  <si>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</si>
  <si>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</si>
  <si>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</si>
  <si>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</si>
  <si>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</si>
  <si>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</si>
  <si>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</si>
  <si>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</si>
  <si>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</si>
  <si>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</si>
  <si>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</si>
  <si>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</si>
  <si>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</si>
  <si>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</si>
  <si>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</si>
  <si>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</si>
  <si>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</si>
  <si>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</si>
  <si>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</si>
  <si>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</si>
  <si>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</si>
  <si>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</si>
  <si>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</si>
  <si>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</si>
  <si>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</si>
  <si>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</si>
  <si>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</si>
  <si>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</si>
  <si>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</si>
  <si>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</si>
  <si>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</si>
  <si>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</si>
  <si>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</si>
  <si>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</si>
  <si>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</si>
  <si>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</si>
  <si>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</si>
  <si>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</si>
  <si>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</si>
  <si>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</si>
  <si>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</si>
  <si>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</si>
  <si>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</si>
  <si>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</si>
  <si>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</si>
  <si>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</si>
  <si>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</si>
  <si>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</si>
  <si>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</si>
  <si>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</si>
  <si>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</si>
  <si>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</si>
  <si>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</si>
  <si>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</si>
  <si>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</si>
  <si>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</si>
  <si>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</si>
  <si>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</si>
  <si>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</si>
  <si>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</si>
  <si>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</si>
  <si>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</si>
  <si>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</si>
  <si>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</si>
  <si>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</si>
  <si>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</si>
  <si>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</si>
  <si>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</si>
  <si>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</si>
  <si>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</si>
  <si>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</si>
  <si>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</si>
  <si>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</si>
  <si>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</si>
  <si>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</si>
  <si>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</si>
  <si>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</si>
  <si>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</si>
  <si>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</si>
  <si>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</si>
  <si>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</si>
  <si>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</si>
  <si>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</si>
  <si>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</si>
  <si>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</si>
  <si>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</si>
  <si>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</si>
  <si>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</si>
  <si>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</si>
  <si>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</si>
  <si>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</si>
  <si>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</si>
  <si>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</si>
  <si>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</si>
  <si>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</si>
  <si>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</si>
  <si>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</si>
  <si>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</si>
  <si>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</si>
  <si>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</si>
  <si>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</si>
  <si>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</si>
  <si>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</si>
  <si>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</si>
  <si>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</si>
  <si>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</si>
  <si>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</si>
  <si>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</si>
  <si>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</si>
  <si>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</si>
  <si>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</si>
  <si>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</si>
  <si>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</si>
  <si>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</si>
  <si>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</si>
  <si>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</si>
  <si>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</si>
  <si>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</si>
  <si>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</si>
  <si>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</si>
  <si>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</si>
  <si>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</si>
  <si>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</si>
  <si>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</si>
  <si>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</si>
  <si>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</si>
  <si>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</si>
  <si>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</si>
  <si>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</si>
  <si>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</si>
  <si>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</si>
  <si>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</si>
  <si>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</si>
  <si>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</si>
  <si>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</si>
  <si>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</si>
  <si>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</si>
  <si>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</si>
  <si>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</si>
  <si>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</si>
  <si>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</si>
  <si>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</si>
  <si>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</si>
  <si>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</si>
  <si>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</si>
  <si>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</si>
  <si>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</si>
  <si>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</si>
  <si>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</si>
  <si>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</si>
  <si>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</si>
  <si>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</si>
  <si>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</si>
  <si>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</si>
  <si>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</si>
  <si>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</si>
  <si>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</si>
  <si>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</si>
  <si>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</si>
  <si>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</si>
  <si>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</si>
  <si>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</si>
  <si>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</si>
  <si>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</si>
  <si>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</si>
  <si>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</si>
  <si>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</si>
  <si>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</si>
  <si>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</si>
  <si>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</si>
  <si>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</si>
  <si>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</si>
  <si>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</si>
  <si>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</si>
  <si>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</si>
  <si>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</si>
  <si>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</si>
  <si>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</si>
  <si>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</si>
  <si>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</si>
  <si>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</si>
  <si>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</si>
  <si>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</si>
  <si>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</si>
  <si>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</si>
  <si>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</si>
  <si>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</si>
  <si>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</si>
  <si>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</si>
  <si>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</si>
  <si>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</si>
  <si>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</si>
  <si>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</si>
  <si>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</si>
  <si>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</si>
  <si>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</si>
  <si>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</si>
  <si>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</si>
  <si>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</si>
  <si>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</si>
  <si>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</si>
  <si>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</si>
  <si>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</si>
  <si>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</si>
  <si>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</si>
  <si>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</si>
  <si>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</si>
  <si>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</si>
  <si>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</si>
  <si>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</si>
  <si>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</si>
  <si>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</si>
  <si>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</si>
  <si>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</si>
  <si>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</si>
  <si>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</si>
  <si>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</si>
  <si>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</si>
  <si>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</si>
  <si>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</si>
  <si>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</si>
  <si>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</si>
  <si>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</si>
  <si>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</si>
  <si>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</si>
  <si>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</si>
  <si>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</si>
  <si>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</si>
  <si>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</si>
  <si>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</si>
  <si>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</si>
  <si>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</si>
  <si>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</si>
  <si>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</si>
  <si>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</si>
  <si>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</si>
  <si>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</si>
  <si>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</si>
  <si>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</si>
  <si>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</si>
  <si>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</si>
  <si>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</si>
  <si>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</si>
  <si>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</si>
  <si>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</si>
  <si>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</si>
  <si>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</si>
  <si>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</si>
  <si>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</si>
  <si>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</si>
  <si>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</si>
  <si>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</si>
  <si>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</si>
  <si>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</si>
  <si>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</si>
  <si>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</si>
  <si>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</si>
  <si>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</si>
  <si>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</si>
  <si>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</si>
  <si>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</si>
  <si>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</si>
  <si>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</si>
  <si>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</si>
  <si>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</si>
  <si>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</si>
  <si>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</si>
  <si>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</si>
  <si>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</si>
  <si>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</si>
  <si>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</si>
  <si>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</si>
  <si>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</si>
  <si>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</si>
  <si>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</si>
  <si>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</si>
  <si>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</si>
  <si>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</si>
  <si>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</si>
  <si>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</si>
  <si>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</si>
  <si>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</si>
  <si>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</si>
  <si>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</si>
  <si>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</si>
  <si>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</si>
  <si>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</si>
  <si>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</si>
  <si>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</si>
  <si>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</si>
  <si>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</si>
  <si>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</si>
  <si>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</si>
  <si>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</si>
  <si>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</si>
  <si>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</si>
  <si>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</si>
  <si>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</si>
  <si>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</si>
  <si>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</si>
  <si>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</si>
  <si>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</si>
  <si>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</si>
  <si>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</si>
  <si>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</si>
  <si>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</si>
  <si>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</si>
  <si>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</si>
  <si>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</si>
  <si>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</si>
  <si>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</si>
  <si>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</si>
  <si>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</si>
  <si>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</si>
  <si>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</si>
  <si>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</si>
  <si>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</si>
  <si>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</si>
  <si>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</si>
  <si>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</si>
  <si>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</si>
  <si>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</si>
  <si>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</si>
  <si>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</si>
  <si>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</si>
  <si>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</si>
  <si>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</si>
  <si>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</si>
  <si>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</si>
  <si>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</si>
  <si>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</si>
  <si>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</si>
  <si>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</si>
  <si>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</si>
  <si>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</si>
  <si>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</si>
  <si>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</si>
  <si>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</si>
  <si>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</si>
  <si>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</si>
  <si>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</si>
  <si>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</si>
  <si>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</si>
  <si>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</si>
  <si>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</si>
  <si>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</si>
  <si>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</si>
  <si>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</si>
  <si>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</si>
  <si>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</si>
  <si>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</si>
  <si>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</si>
  <si>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</si>
  <si>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</si>
  <si>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</si>
  <si>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</si>
  <si>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</si>
  <si>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</si>
  <si>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</si>
  <si>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</si>
  <si>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</si>
  <si>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</si>
  <si>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</si>
  <si>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</si>
  <si>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</si>
  <si>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</si>
  <si>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</si>
  <si>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</si>
  <si>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</si>
  <si>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</si>
  <si>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</si>
  <si>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</si>
  <si>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</si>
  <si>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</si>
  <si>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</si>
  <si>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</si>
  <si>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</si>
  <si>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</si>
  <si>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</si>
  <si>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</si>
  <si>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</si>
  <si>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</si>
  <si>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</si>
  <si>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</si>
  <si>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</si>
  <si>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</si>
  <si>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</si>
  <si>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</si>
  <si>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</si>
  <si>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</si>
  <si>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</si>
  <si>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</si>
  <si>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</si>
  <si>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</si>
  <si>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</si>
  <si>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</si>
  <si>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</si>
  <si>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</si>
  <si>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</si>
  <si>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</si>
  <si>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</si>
  <si>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</si>
  <si>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</si>
  <si>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</si>
  <si>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</si>
  <si>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</si>
  <si>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</si>
  <si>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</si>
  <si>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</si>
  <si>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</si>
  <si>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</si>
  <si>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</si>
  <si>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</si>
  <si>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</si>
  <si>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</si>
  <si>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</si>
  <si>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</si>
  <si>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</si>
  <si>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</si>
  <si>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</si>
  <si>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</si>
  <si>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</si>
  <si>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</si>
  <si>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</si>
  <si>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</si>
  <si>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</si>
  <si>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</si>
  <si>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</si>
  <si>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</si>
  <si>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</si>
  <si>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</si>
  <si>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</si>
  <si>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</si>
  <si>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</si>
  <si>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</si>
  <si>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</si>
  <si>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</si>
  <si>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</si>
  <si>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</si>
  <si>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</si>
  <si>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</si>
  <si>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</si>
  <si>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</si>
  <si>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</si>
  <si>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</si>
  <si>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</si>
  <si>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</si>
  <si>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</si>
  <si>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</si>
  <si>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</si>
  <si>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</si>
  <si>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</si>
  <si>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</si>
  <si>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</si>
  <si>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</si>
  <si>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</si>
  <si>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</si>
  <si>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</si>
  <si>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</si>
  <si>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</si>
  <si>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</si>
  <si>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</si>
  <si>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</si>
  <si>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</si>
  <si>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</si>
  <si>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</si>
  <si>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</si>
  <si>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</si>
  <si>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</si>
  <si>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</si>
  <si>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</si>
  <si>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</si>
  <si>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</si>
  <si>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</si>
  <si>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</si>
  <si>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</si>
  <si>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</si>
  <si>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</si>
  <si>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</si>
  <si>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</si>
  <si>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</si>
  <si>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</si>
  <si>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</si>
  <si>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</si>
  <si>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</si>
  <si>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</si>
  <si>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</si>
  <si>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</si>
  <si>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</si>
  <si>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</si>
  <si>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</si>
  <si>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</si>
  <si>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</si>
  <si>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</si>
  <si>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</si>
  <si>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</si>
  <si>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</si>
  <si>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</si>
  <si>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</si>
  <si>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</si>
  <si>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</si>
  <si>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</si>
  <si>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</si>
  <si>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</si>
  <si>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</si>
  <si>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</si>
  <si>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</si>
  <si>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Baa2 (negative)</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</si>
  <si>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</si>
  <si>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</si>
  <si>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</si>
  <si>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</si>
  <si>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</si>
  <si>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</si>
  <si>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</si>
  <si>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</si>
  <si>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</si>
  <si>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</si>
  <si>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</si>
  <si>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</si>
  <si>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</si>
  <si>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</si>
  <si>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</si>
  <si>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</si>
  <si>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</si>
  <si>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</si>
  <si>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</si>
  <si>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</si>
  <si>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</si>
  <si>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</si>
  <si>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</si>
  <si>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</si>
  <si>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</si>
  <si>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</si>
  <si>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</si>
  <si>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</si>
  <si>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</si>
  <si>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</si>
  <si>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</si>
  <si>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</si>
  <si>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</si>
  <si>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</si>
  <si>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</si>
  <si>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</si>
  <si>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</si>
  <si>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</si>
  <si>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</si>
  <si>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</si>
  <si>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</si>
  <si>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</si>
  <si>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</si>
  <si>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</si>
  <si>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</si>
  <si>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</si>
  <si>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</si>
  <si>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</si>
  <si>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</si>
  <si>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</si>
  <si>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</si>
  <si>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</si>
  <si>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</si>
  <si>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</si>
  <si>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</si>
  <si>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</si>
  <si>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</si>
  <si>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</si>
  <si>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</si>
  <si>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</si>
  <si>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</si>
  <si>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</si>
  <si>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</si>
  <si>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</si>
  <si>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</si>
  <si>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</si>
  <si>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</si>
  <si>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</si>
  <si>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</si>
  <si>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</si>
  <si>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</si>
  <si>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</si>
  <si>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</si>
  <si>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</si>
  <si>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</si>
  <si>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</si>
  <si>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</si>
  <si>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</si>
  <si>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</si>
  <si>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</si>
  <si>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</si>
  <si>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</si>
  <si>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</si>
  <si>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</si>
  <si>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</si>
  <si>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</si>
  <si>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</si>
  <si>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</si>
  <si>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</si>
  <si>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</si>
  <si>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</si>
  <si>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</si>
  <si>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</si>
  <si>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</si>
  <si>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</si>
  <si>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</si>
  <si>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</si>
  <si>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</si>
  <si>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</si>
  <si>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</si>
  <si>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</si>
  <si>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</si>
  <si>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</si>
  <si>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</si>
  <si>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</si>
  <si>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</si>
  <si>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</si>
  <si>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</si>
  <si>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</si>
  <si>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</si>
  <si>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</si>
  <si>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</si>
  <si>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</si>
  <si>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</si>
  <si>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</si>
  <si>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</si>
  <si>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</si>
  <si>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</si>
  <si>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</si>
  <si>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</si>
  <si>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</si>
  <si>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</si>
  <si>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4I - Financial derivatives</t>
  </si>
  <si>
    <t>BBn Code</t>
  </si>
  <si>
    <t>Nominal value by maturity (net)</t>
  </si>
  <si>
    <t>Total value at 31 March 2020</t>
  </si>
  <si>
    <t>Total accretion at 31 March 2020</t>
  </si>
  <si>
    <t>Interest rate
(weighted average for 12 months to 31 March 2020)</t>
  </si>
  <si>
    <t>Completion &amp; consistency</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</si>
  <si>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</si>
  <si>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</si>
  <si>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</si>
  <si>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</si>
  <si>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</si>
  <si>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</si>
  <si>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</si>
  <si>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</si>
  <si>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</si>
  <si>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</si>
  <si>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</si>
  <si>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</si>
  <si>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</si>
  <si>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</si>
  <si>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</si>
  <si>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</si>
  <si>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</si>
  <si>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</si>
  <si>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</si>
  <si>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</si>
  <si>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</si>
  <si>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</si>
  <si>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</si>
  <si>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</si>
  <si>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</si>
  <si>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</si>
  <si>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</si>
  <si>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</si>
  <si>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</si>
  <si>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</si>
  <si>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</si>
  <si>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</si>
  <si>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</si>
  <si>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</si>
  <si>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</si>
  <si>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</si>
  <si>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</si>
  <si>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</si>
  <si>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</si>
  <si>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</si>
  <si>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</si>
  <si>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</si>
  <si>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</si>
  <si>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</si>
  <si>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</si>
  <si>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</si>
  <si>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</si>
  <si>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</si>
  <si>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</si>
  <si>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</si>
  <si>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</si>
  <si>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</si>
  <si>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</si>
  <si>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</si>
  <si>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</si>
  <si>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</si>
  <si>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</si>
  <si>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</si>
  <si>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</si>
  <si>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</si>
  <si>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</si>
  <si>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</si>
  <si>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</si>
  <si>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</si>
  <si>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</si>
  <si>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</si>
  <si>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</si>
  <si>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</si>
  <si>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</si>
  <si>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</si>
  <si>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</si>
  <si>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</si>
  <si>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</si>
  <si>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</si>
  <si>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</si>
  <si>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</si>
  <si>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</si>
  <si>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</si>
  <si>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</si>
  <si>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</si>
  <si>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</si>
  <si>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</si>
  <si>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</si>
  <si>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</si>
  <si>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</si>
  <si>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</si>
  <si>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</si>
  <si>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</si>
  <si>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</si>
  <si>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</si>
  <si>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</si>
  <si>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</si>
  <si>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</si>
  <si>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</si>
  <si>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</si>
  <si>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</si>
  <si>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</si>
  <si>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</si>
  <si>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</si>
  <si>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</si>
  <si>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</si>
  <si>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</si>
  <si>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</si>
  <si>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</si>
  <si>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</si>
  <si>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</si>
  <si>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</si>
  <si>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</si>
  <si>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</si>
  <si>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</si>
  <si>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</si>
  <si>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</si>
  <si>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</si>
  <si>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</si>
  <si>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</si>
  <si>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</si>
  <si>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</si>
  <si>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</si>
  <si>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</si>
  <si>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</si>
  <si>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</si>
  <si>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</si>
  <si>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</si>
  <si>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</si>
  <si>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</si>
  <si>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</si>
  <si>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</si>
  <si>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</si>
  <si>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</si>
  <si>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</si>
  <si>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</si>
  <si>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</si>
  <si>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</si>
  <si>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</si>
  <si>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</si>
  <si>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</si>
  <si>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</si>
  <si>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</si>
  <si>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</si>
  <si>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</si>
  <si>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</si>
  <si>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</si>
  <si>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</si>
  <si>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</si>
  <si>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</si>
  <si>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</si>
  <si>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</si>
  <si>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</si>
  <si>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</si>
  <si>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</si>
  <si>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</si>
  <si>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</si>
  <si>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</si>
  <si>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</si>
  <si>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</si>
  <si>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</si>
  <si>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</si>
  <si>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</si>
  <si>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</si>
  <si>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</si>
  <si>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</si>
  <si>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</si>
  <si>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</si>
  <si>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</si>
  <si>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</si>
  <si>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</si>
  <si>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</si>
  <si>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</si>
  <si>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</si>
  <si>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</si>
  <si>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</si>
  <si>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</si>
  <si>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</si>
  <si>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</si>
  <si>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</si>
  <si>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</si>
  <si>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</si>
  <si>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</si>
  <si>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</si>
  <si>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</si>
  <si>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</si>
  <si>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</si>
  <si>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</si>
  <si>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</si>
  <si>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</si>
  <si>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</si>
  <si>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</si>
  <si>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</si>
  <si>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</si>
  <si>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</si>
  <si>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</si>
  <si>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</si>
  <si>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</si>
  <si>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</si>
  <si>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</si>
  <si>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</si>
  <si>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</si>
  <si>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</si>
  <si>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</si>
  <si>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</si>
  <si>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</si>
  <si>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</si>
  <si>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</si>
  <si>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</si>
  <si>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</si>
  <si>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</si>
  <si>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</si>
  <si>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</si>
  <si>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</si>
  <si>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</si>
  <si>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</si>
  <si>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</si>
  <si>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</si>
  <si>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</si>
  <si>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</si>
  <si>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</si>
  <si>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</si>
  <si>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</si>
  <si>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</si>
  <si>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</si>
  <si>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</si>
  <si>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</si>
  <si>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</si>
  <si>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</si>
  <si>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</si>
  <si>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</si>
  <si>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</si>
  <si>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</si>
  <si>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</si>
  <si>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</si>
  <si>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</si>
  <si>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</si>
  <si>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</si>
  <si>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</si>
  <si>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</si>
  <si>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</si>
  <si>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</si>
  <si>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</si>
  <si>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</si>
  <si>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</si>
  <si>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</si>
  <si>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</si>
  <si>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</si>
  <si>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</si>
  <si>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</si>
  <si>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</si>
  <si>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</si>
  <si>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</si>
  <si>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</si>
  <si>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</si>
  <si>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</si>
  <si>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</si>
  <si>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</si>
  <si>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</si>
  <si>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</si>
  <si>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</si>
  <si>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</si>
  <si>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</si>
  <si>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</si>
  <si>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</si>
  <si>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</si>
  <si>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</si>
  <si>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</si>
  <si>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</si>
  <si>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</si>
  <si>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</si>
  <si>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</si>
  <si>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</si>
  <si>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</si>
  <si>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</si>
  <si>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</si>
  <si>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</si>
  <si>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</si>
  <si>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</si>
  <si>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</si>
  <si>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</si>
  <si>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</si>
  <si>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</si>
  <si>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</si>
  <si>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</si>
  <si>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</si>
  <si>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</si>
  <si>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</si>
  <si>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</si>
  <si>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</si>
  <si>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</si>
  <si>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</si>
  <si>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</si>
  <si>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</si>
  <si>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</si>
  <si>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</si>
  <si>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</si>
  <si>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</si>
  <si>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</si>
  <si>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</si>
  <si>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</si>
  <si>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</si>
  <si>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</si>
  <si>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</si>
  <si>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</si>
  <si>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</si>
  <si>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</si>
  <si>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</si>
  <si>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</si>
  <si>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</si>
  <si>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</si>
  <si>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</si>
  <si>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</si>
  <si>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</si>
  <si>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</si>
  <si>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</si>
  <si>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</si>
  <si>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</si>
  <si>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</si>
  <si>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</si>
  <si>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</si>
  <si>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</si>
  <si>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</si>
  <si>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</si>
  <si>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</si>
  <si>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</si>
  <si>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</si>
  <si>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</si>
  <si>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</si>
  <si>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</si>
  <si>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</si>
  <si>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</si>
  <si>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</si>
  <si>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</si>
  <si>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</si>
  <si>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</si>
  <si>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</si>
  <si>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</si>
  <si>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</si>
  <si>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</si>
  <si>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</si>
  <si>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</si>
  <si>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</si>
  <si>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</si>
  <si>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</si>
  <si>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</si>
  <si>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</si>
  <si>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</si>
  <si>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</si>
  <si>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</si>
  <si>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</si>
  <si>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</si>
  <si>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</si>
  <si>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</si>
  <si>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</si>
  <si>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</si>
  <si>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</si>
  <si>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</si>
  <si>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</si>
  <si>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</si>
  <si>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</si>
  <si>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</si>
  <si>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</si>
  <si>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</si>
  <si>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</si>
  <si>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</si>
  <si>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</si>
  <si>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</si>
  <si>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</si>
  <si>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</si>
  <si>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</si>
  <si>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</si>
  <si>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</si>
  <si>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</si>
  <si>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</si>
  <si>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</si>
  <si>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</si>
  <si>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</si>
  <si>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</si>
  <si>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</si>
  <si>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</si>
  <si>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</si>
  <si>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</si>
  <si>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</si>
  <si>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</si>
  <si>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</si>
  <si>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</si>
  <si>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Overall investment in our long term clean water infrastructure assets in the report year (£36.8m) has reduced versus the prior year year (£46.1m).
The raw water abstraction investment (£7.8m) targets statutory as well as health and safety improvements on our reservoir safety assets. The majority of investment within the current the reporting year has been at our impounding reservoirs (IRE) at Lindley Wood (Otley) and More Hall (Sheffield) (£3.9m). At Lindley Wood we are constructing a new RC spillway to increase the capacity of the existing one and grouting the masonry joints within the stilling basin. At More Hall we are increasing drawdown capacity by replacing the existing pipework aswell as grouting between the spillway invert masonry blocks and raising the spillway. At Warley Moor in Halifax we have invested £1.3m refurbishing and increasing the drawdown of the IRE. There has also been further investment at  Redmires and Ten Acres in Sheffield (£0.9m) and Blackmoorfoot in Huddersfield (£0.6m).
Treated water distribution investment (£29.4m) comprises £11.5m relating to annual reactive block allocations to support our leakage improvement plan by replacing or increasing the number of distribution network assets like communication pipes, stoptaps, distribution pipework fittings or pressure reduction or pressure logging devices to ensure we can better manage our wider water network and grid.
There are numerous other delivery batches to continue our renewal and refurbishment of the water network. Key areas of investment within the period include £0.8m in Pontefract to divert three water mains where Wakefield Metropolitan District Council intend to locate a leisure complex. At Fixby WSS we have capitalised £0.9m of expenditure relating to the emergency repair of of a burst distribution main and replacement pipework. In UQ Saville Road £0.8m relates to the renewal of service pipes for 429 properties to reduce leakage in the DMA. We have also invested £0.6m in numerous locations to reduce the size of DMA's as part of our efforts to improve lekage performance.</t>
  </si>
  <si>
    <t>WS1012AL</t>
  </si>
  <si>
    <t>WS1012RWA</t>
  </si>
  <si>
    <t>WS1012RWT</t>
  </si>
  <si>
    <t>WS1012RWS</t>
  </si>
  <si>
    <t>WS1012WT</t>
  </si>
  <si>
    <t>WS1012TWD</t>
  </si>
  <si>
    <t>WS1012CAW</t>
  </si>
  <si>
    <t>4J.13</t>
  </si>
  <si>
    <t>Overall investment in our long term clean water non-infrastructure assets in the report year (£75.1m) has reduced marginally versus the prior year year (£78.6m).
Expenditure within the year relating to our Manamgement &amp; General programme and allocated to our water service was £24.5m. This is then apportioned across the accounting separation categories by the FTE allocation supporting each area.
M&amp;G expenditure was across numerous schemes and included continued work migrating to a new SAP platform which went live in July 2019 and is now in phase 2 (£7.4m). Our project to provide enhanced system data is ongoing (£1.6m) and £1.3m has been allocated to our water service in relation to a scheme to deliver improved IT infrastrcture at our data centres providing workplace and application services to users, telephony services and a data network to remote workers. We have also invested £1.6m this year replacing life expired Toughbooks for operational colleagues. Finally, our Land &amp; Property team have inested £1.2m in the year providing structural and refurbiashment works to buildings and structures on YW estates.
Within raw water transport (£2.2m) there has been investment within the year of £1.2m on the raw water main between Watersheddles IRE and Oldfield WTW to  replace air valves and install a 350mm gate valve.
The water treatment investment is made up of the annual block (£2.8m) that replaces all MEICA failed assets on a rolling programme. There was £8.2m of expenditure at Elvington WTW where significant works are ongoing to improve key components of the site (lime storage and dosing, poly plant, sodium hyroxide plant, aluminium plant and MSP plant). At ChelloW WTW we have invested £2.1m as part of an ongoing scheme to install a new 'run-to waste' solution which will continue in to AMP7 and £2.0m has been spent as part of our gas replacement programme to remove chlorine and sulphur dioxide gas dosing systems at WTW's. These will be replaced with liquid dosing systems.
Treated water distribution comprises annual block schemes on which we have invested £5.2m in the year replacing asset life expired and damaged (domestic and commercial) meters, DMA meters. A further £1.9m has been spent at service reservoirs addressing issues at service reservoirs which are out of service for cleaning &amp; inspection and improving and, as part of our water quality improvement plan, installing new roofing membranes. At Hoober CRE we have invested £0.7m installing an adhered sheet membrane to the roof of the North Compartment.</t>
  </si>
  <si>
    <t>WS1013AL</t>
  </si>
  <si>
    <t>WS1013RWA</t>
  </si>
  <si>
    <t>WS1013RWT</t>
  </si>
  <si>
    <t>WS1013RWS</t>
  </si>
  <si>
    <t>WS1013WT</t>
  </si>
  <si>
    <t>WS1013TWD</t>
  </si>
  <si>
    <t>WS1013CAW</t>
  </si>
  <si>
    <t>4J.14</t>
  </si>
  <si>
    <t>Information on the expenditure in lines 4J.14 can be found in the commentary for table 4L.</t>
  </si>
  <si>
    <t>WS1014AL</t>
  </si>
  <si>
    <t>WS1014RWA</t>
  </si>
  <si>
    <t>WS1014RWT</t>
  </si>
  <si>
    <t>WS1014RWS</t>
  </si>
  <si>
    <t>WS1014WT</t>
  </si>
  <si>
    <t>WS1014TWD</t>
  </si>
  <si>
    <t>WS1014CAW</t>
  </si>
  <si>
    <t>4J.15</t>
  </si>
  <si>
    <t>Information on the expenditure in lines 4J.15 can be found in the commentary for table 4L.</t>
  </si>
  <si>
    <t>WS1015AL</t>
  </si>
  <si>
    <t>WS1015RWA</t>
  </si>
  <si>
    <t>WS1015RWT</t>
  </si>
  <si>
    <t>WS1015RWS</t>
  </si>
  <si>
    <t>WS1015WT</t>
  </si>
  <si>
    <t>WS1015TWD</t>
  </si>
  <si>
    <t>WS1015CAW</t>
  </si>
  <si>
    <t>4J.16</t>
  </si>
  <si>
    <t>The majority of activity within the reporting year has taken place within Harrogate (£2.5m). Between Studley and Birkby Nab (£0.5m) we are installing a second main (2km) alongside the route of the existing one to provide the hydraulic capacity for future demand. A further £1.1m has been invested at Harrogate High level (delivering 1.7km of pipework) and £0.7m at Harrogate Low level delivering 2.6km of pipework). Activity in Knaresborough has continued where we have spent £0.4m within the year as part of a 4 phase project to deliver 1,600m of mains.</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</si>
  <si>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</si>
  <si>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</si>
  <si>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</si>
  <si>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</si>
  <si>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</si>
  <si>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</si>
  <si>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</si>
  <si>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</si>
  <si>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</si>
  <si>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</si>
  <si>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</si>
  <si>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</si>
  <si>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</si>
  <si>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</si>
  <si>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</si>
  <si>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</si>
  <si>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</si>
  <si>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</si>
  <si>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</si>
  <si>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</si>
  <si>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</si>
  <si>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</si>
  <si>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</si>
  <si>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</si>
  <si>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</si>
  <si>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</si>
  <si>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</si>
  <si>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</si>
  <si>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</si>
  <si>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</si>
  <si>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</si>
  <si>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</si>
  <si>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A further breakdown of 4J. 20 can be found in table 2E.
Overall Grants &amp; Contributions (G&amp;C's) remain inline with last year though the mix has changed as mains requisitions have increased to £4.9m. This has been offset by reduced contributions from Connection Charges (£5.2m) and Infrastructure Charge Receipts (£3.1m).</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</si>
  <si>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</si>
  <si>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</si>
  <si>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</si>
  <si>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</si>
  <si>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</si>
  <si>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</si>
  <si>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</si>
  <si>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</si>
  <si>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</si>
  <si>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</si>
  <si>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</si>
  <si>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</si>
  <si>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</si>
  <si>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</si>
  <si>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</si>
  <si>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</si>
  <si>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</si>
  <si>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</si>
  <si>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</si>
  <si>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</si>
  <si>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</si>
  <si>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</si>
  <si>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</si>
  <si>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</si>
  <si>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</si>
  <si>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</si>
  <si>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</si>
  <si>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</si>
  <si>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</si>
  <si>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</si>
  <si>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</si>
  <si>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</si>
  <si>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</si>
  <si>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</si>
  <si>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</si>
  <si>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</si>
  <si>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</si>
  <si>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</si>
  <si>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</si>
  <si>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</si>
  <si>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</si>
  <si>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</si>
  <si>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</si>
  <si>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Y1 Flooding - Capex</t>
  </si>
  <si>
    <t>Provide description in column C for data entered</t>
  </si>
  <si>
    <t>BP3357001AL</t>
  </si>
  <si>
    <t>BP3357001RWA</t>
  </si>
  <si>
    <t>BP3357001RWT</t>
  </si>
  <si>
    <t>BP3357001RWS</t>
  </si>
  <si>
    <t>BP3357001WT</t>
  </si>
  <si>
    <t>BP3357001TWD</t>
  </si>
  <si>
    <t>BP3357001CAW</t>
  </si>
  <si>
    <t>4J.26</t>
  </si>
  <si>
    <t>Y5 Flooding Nov - Capex</t>
  </si>
  <si>
    <t>BP3357002AL</t>
  </si>
  <si>
    <t>BP3357002RWA</t>
  </si>
  <si>
    <t>BP3357002RWT</t>
  </si>
  <si>
    <t>BP3357002RWS</t>
  </si>
  <si>
    <t>BP3357002WT</t>
  </si>
  <si>
    <t>BP3357002TWD</t>
  </si>
  <si>
    <t>BP3357002CAW</t>
  </si>
  <si>
    <t>4J.27</t>
  </si>
  <si>
    <t>Y5 Flooding Jan - Capex</t>
  </si>
  <si>
    <t>BP3357003AL</t>
  </si>
  <si>
    <t>BP3357003RWA</t>
  </si>
  <si>
    <t>BP3357003RWT</t>
  </si>
  <si>
    <t>BP3357003RWS</t>
  </si>
  <si>
    <t>BP3357003WT</t>
  </si>
  <si>
    <t>BP3357003TWD</t>
  </si>
  <si>
    <t>BP3357003CAW</t>
  </si>
  <si>
    <t>4J.28</t>
  </si>
  <si>
    <t>2020-25 Transition Expenditure -Capex</t>
  </si>
  <si>
    <t>As per ‘IN 20/03’, published in April 2020, we have deviated from RAG 4.08 by including expenditure related to our AMP7 transition programme within this table (£1.1m). The investment this year has allowed early design work to be undertaken by our Strategic Planning Partner on Reservoir safety improvements at Rivelin IRE (£0.2m) and on three of our DWI AMP7 quality outputs at Tophill Low, Oldfield and Sladen Valley (£0.9m).</t>
  </si>
  <si>
    <t>BP3357004AL</t>
  </si>
  <si>
    <t>BP3357004RWA</t>
  </si>
  <si>
    <t>BP3357004RWT</t>
  </si>
  <si>
    <t>BP3357004RWS</t>
  </si>
  <si>
    <t>BP3357004WT</t>
  </si>
  <si>
    <t>BP3357004TWD</t>
  </si>
  <si>
    <t>BP3357004CAW</t>
  </si>
  <si>
    <t>4J.29</t>
  </si>
  <si>
    <t>Flooding Nov 19 - Opex</t>
  </si>
  <si>
    <t>BP3357005AL</t>
  </si>
  <si>
    <t>BP3357005RWA</t>
  </si>
  <si>
    <t>BP3357005RWT</t>
  </si>
  <si>
    <t>BP3357005RWS</t>
  </si>
  <si>
    <t>BP3357005WT</t>
  </si>
  <si>
    <t>BP3357005TWD</t>
  </si>
  <si>
    <t>BP3357005CAW</t>
  </si>
  <si>
    <t>4J.30</t>
  </si>
  <si>
    <t>Flooding Feb 20 - Opex</t>
  </si>
  <si>
    <t>BP3357006AL</t>
  </si>
  <si>
    <t>BP3357006RWA</t>
  </si>
  <si>
    <t>BP3357006RWT</t>
  </si>
  <si>
    <t>BP3357006RWS</t>
  </si>
  <si>
    <t>BP3357006WT</t>
  </si>
  <si>
    <t>BP3357006TWD</t>
  </si>
  <si>
    <t>BP3357006CAW</t>
  </si>
  <si>
    <t>4J.31</t>
  </si>
  <si>
    <t>Regulation costs - Opex</t>
  </si>
  <si>
    <t>BP3357007AL</t>
  </si>
  <si>
    <t>BP3357007RWA</t>
  </si>
  <si>
    <t>BP3357007RWT</t>
  </si>
  <si>
    <t>BP3357007RWS</t>
  </si>
  <si>
    <t>BP3357007WT</t>
  </si>
  <si>
    <t>BP3357007TWD</t>
  </si>
  <si>
    <t>BP3357007CAW</t>
  </si>
  <si>
    <t>4J.32</t>
  </si>
  <si>
    <t>Reorganisational costs - Opex</t>
  </si>
  <si>
    <t>BP3357008AL</t>
  </si>
  <si>
    <t>BP3357008RWA</t>
  </si>
  <si>
    <t>BP3357008RWT</t>
  </si>
  <si>
    <t>BP3357008RWS</t>
  </si>
  <si>
    <t>BP3357008WT</t>
  </si>
  <si>
    <t>BP3357008TWD</t>
  </si>
  <si>
    <t>BP3357008CAW</t>
  </si>
  <si>
    <t>4J.33</t>
  </si>
  <si>
    <t>Transition expenditure - Opex</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</si>
  <si>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</si>
  <si>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</si>
  <si>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</si>
  <si>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</si>
  <si>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</si>
  <si>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</si>
  <si>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</si>
  <si>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</si>
  <si>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</si>
  <si>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</si>
  <si>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</si>
  <si>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</si>
  <si>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</si>
  <si>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</si>
  <si>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</si>
  <si>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</si>
  <si>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</si>
  <si>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</si>
  <si>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</si>
  <si>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</si>
  <si>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</si>
  <si>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</si>
  <si>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</si>
  <si>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</si>
  <si>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</si>
  <si>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</si>
  <si>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</si>
  <si>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</si>
  <si>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</si>
  <si>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</si>
  <si>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</si>
  <si>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</si>
  <si>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</si>
  <si>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</si>
  <si>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</si>
  <si>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</si>
  <si>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</si>
  <si>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</si>
  <si>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</si>
  <si>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</si>
  <si>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</si>
  <si>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</si>
  <si>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</si>
  <si>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</si>
  <si>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</si>
  <si>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</si>
  <si>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</si>
  <si>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</si>
  <si>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</si>
  <si>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</si>
  <si>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</si>
  <si>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</si>
  <si>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</si>
  <si>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</si>
  <si>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</si>
  <si>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</si>
  <si>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</si>
  <si>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</si>
  <si>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</si>
  <si>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</si>
  <si>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</si>
  <si>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</si>
  <si>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</si>
  <si>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</si>
  <si>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</si>
  <si>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</si>
  <si>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</si>
  <si>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</si>
  <si>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</si>
  <si>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</si>
  <si>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</si>
  <si>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</si>
  <si>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</si>
  <si>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</si>
  <si>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</si>
  <si>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</si>
  <si>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</si>
  <si>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</si>
  <si>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</si>
  <si>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</si>
  <si>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</si>
  <si>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</si>
  <si>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</si>
  <si>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</si>
  <si>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</si>
  <si>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</si>
  <si>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</si>
  <si>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</si>
  <si>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</si>
  <si>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</si>
  <si>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</si>
  <si>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</si>
  <si>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</si>
  <si>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</si>
  <si>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</si>
  <si>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</si>
  <si>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</si>
  <si>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</si>
  <si>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</si>
  <si>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</si>
  <si>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</si>
  <si>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</si>
  <si>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</si>
  <si>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</si>
  <si>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</si>
  <si>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</si>
  <si>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</si>
  <si>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</si>
  <si>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</si>
  <si>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</si>
  <si>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</si>
  <si>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</si>
  <si>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</si>
  <si>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</si>
  <si>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</si>
  <si>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</si>
  <si>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</si>
  <si>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</si>
  <si>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</si>
  <si>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</si>
  <si>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</si>
  <si>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</si>
  <si>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</si>
  <si>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</si>
  <si>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</si>
  <si>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</si>
  <si>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</si>
  <si>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</si>
  <si>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</si>
  <si>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</si>
  <si>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</si>
  <si>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</si>
  <si>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</si>
  <si>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</si>
  <si>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</si>
  <si>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</si>
  <si>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</si>
  <si>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</si>
  <si>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</si>
  <si>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</si>
  <si>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</si>
  <si>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</si>
  <si>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</si>
  <si>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</si>
  <si>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</si>
  <si>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</si>
  <si>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</si>
  <si>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</si>
  <si>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</si>
  <si>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</si>
  <si>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</si>
  <si>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</si>
  <si>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</si>
  <si>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</si>
  <si>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</si>
  <si>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</si>
  <si>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</si>
  <si>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</si>
  <si>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</si>
  <si>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</si>
  <si>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</si>
  <si>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</si>
  <si>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</si>
  <si>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</si>
  <si>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</si>
  <si>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</si>
  <si>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</si>
  <si>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</si>
  <si>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</si>
  <si>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</si>
  <si>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</si>
  <si>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</si>
  <si>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</si>
  <si>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</si>
  <si>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</si>
  <si>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</si>
  <si>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</si>
  <si>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</si>
  <si>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</si>
  <si>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Overall investment in our long term wastewater infrastructure assets in the report year (£34.2m) has reduced marginally versus the prior year year (£37.5m).
As in previous returns the total investment on our wastewater base infrastructure assets in Network+ Sewage Collection has been apportioned across the three categories by the headcount supporting each area. Investment within the year comprises. Expenditure within the report year includes a number of annual block schemes (£13.9m) to address ironworks, capital maintenance works on the sewer network and CCTV survey and repairs to reduce internal sewer flooding and pollution incidents. A further £1.7m has been spent at Hookstone Road CSO (Harrogate) where an additional 228m3 of storage with returns SPS is being installed to address repeat pollution incidents. In Brompton we have sent £1.2m in the report year to address a number of sink holes that appeared in the gardens of five customers.
Expenditure within Sewage treatment and disposal this year (£3.6m) is mainly comprised of a single scheme at Withernsea on the east coast (£2.9m). Work commenced this year and will replace the existing Long Sea Outfall (LSO). This has been impacted by coastal erosion and as part of the scheme will connect up to a new aero-fac wastewater treatment facility to be built locally.</t>
  </si>
  <si>
    <t>WWS1012FL</t>
  </si>
  <si>
    <t>WWS1012SWD</t>
  </si>
  <si>
    <t>WWS1012HD</t>
  </si>
  <si>
    <t>WWS1012STD</t>
  </si>
  <si>
    <t>WWS1012SLT</t>
  </si>
  <si>
    <t>WWS1012STP</t>
  </si>
  <si>
    <t>WWS1012SDT</t>
  </si>
  <si>
    <t>WWS1012SDD</t>
  </si>
  <si>
    <t>WWS1012CAS</t>
  </si>
  <si>
    <t>4K.13</t>
  </si>
  <si>
    <t>Overall investment in our long term wastewater non-infrastructure assets in the report year (£161.0m) has increased versus the prior year year (£146.2m).
Expenditure relating to our Manamgement &amp; General programme and allocated to our water service was £34.2m. This is then apportioned across the accounting separation categories by the FTE allocation supporting each area.
M&amp;G expenditure was across numerous schemes and included continued work migrating to a new SAP platform which went live in July 2019 and is now in phase 2 (£10.2m). Our project to provide enhanced system data is ongoing (£2.2m) and £1.7m has been allocated to our water service in relation to a scheme to deliver improved IT infrastrcture at our data centres providing workplace and application services to users, telephony services and a data network to remote workers. We have also invested £2.2m this year replacing life expired Toughbooks for operational colleagues.
Expenditure within the Network+ Sewage Collection price control includes £1.7m on our annual block rolling programme that replaces all MEICA failed assets (S/5074). As part of our Health &amp; Saftey programme our annual block scheme to ensure compliance with EaWR and DSEAR regulations has invested £3.9m.
Expenditure within Network + Sewage Treatment price control includes the annual MEICA block (£5.2m). Further investment is across numerous wastewater treatment works to ensure that we maintain our assets to ensure treatment and safe disposal of all sewerage with significant investment at Beverley WWTW (£6.4m), Hull WWTW (£8.7m), Malton (£1.1m), Eastwood (£1.0m) and Worsborough £0.8m. Three failing works in 2019 were as a result of UV consent failuers and so we have invested £1.2m on 10 UV assets within the year.
Expenditure within the Sludge price control includes the annual MEICA block (£0.7m). Further investment at our sludge facilities, to ensure that we maintain our assets to ensure treatment and safe disposal of all sludges created by our treatment processes, has seen significant investment in Huddersfield (£34.7m), Hull (£15.4m), Knostrop (£4.6m), Dewsbury (£3.8m) Blackburn Meadows (£2.0m) and Esholt (£2.0m). We have invested £1.2m on the purchase of new centrifuges at South Elmsall, Goole and Keighley Marley and spent £2.5m in the report year on numerous other minor upgrades at STF's within the region.</t>
  </si>
  <si>
    <t>WWS1013FL</t>
  </si>
  <si>
    <t>WWS1013SWD</t>
  </si>
  <si>
    <t>WWS1013HD</t>
  </si>
  <si>
    <t>WWS1013STD</t>
  </si>
  <si>
    <t>WWS1013SLT</t>
  </si>
  <si>
    <t>WWS1013STP</t>
  </si>
  <si>
    <t>WWS1013SDT</t>
  </si>
  <si>
    <t>WWS1013SDD</t>
  </si>
  <si>
    <t>WWS1013CAS</t>
  </si>
  <si>
    <t>4K.14</t>
  </si>
  <si>
    <t>Information on the expenditure in line 4K.14 can be found in the commentary for table 4M.</t>
  </si>
  <si>
    <t>WWS1014FL</t>
  </si>
  <si>
    <t>WWS1014SWD</t>
  </si>
  <si>
    <t>WWS1014HD</t>
  </si>
  <si>
    <t>WWS1014STD</t>
  </si>
  <si>
    <t>WWS1014SLT</t>
  </si>
  <si>
    <t>WWS1014STP</t>
  </si>
  <si>
    <t>WWS1014SDT</t>
  </si>
  <si>
    <t>WWS1014SDD</t>
  </si>
  <si>
    <t>WWS1014CAS</t>
  </si>
  <si>
    <t>4K.15</t>
  </si>
  <si>
    <t>Information on the expenditure in line 4K.15 can be found in the commentary for table 4M.</t>
  </si>
  <si>
    <t>WWS1015FL</t>
  </si>
  <si>
    <t>WWS1015SWD</t>
  </si>
  <si>
    <t>WWS1015HD</t>
  </si>
  <si>
    <t>WWS1015STD</t>
  </si>
  <si>
    <t>WWS1015SLT</t>
  </si>
  <si>
    <t>WWS1015STP</t>
  </si>
  <si>
    <t>WWS1015SDT</t>
  </si>
  <si>
    <t>WWS1015SDD</t>
  </si>
  <si>
    <t>WWS1015CAS</t>
  </si>
  <si>
    <t>4K.16</t>
  </si>
  <si>
    <t>Expenditure within the reporting year represents ongoing activity in Waverley (south Yorkshire) relating to the construction of two rising mains and a gravity sewer.</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</si>
  <si>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</si>
  <si>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</si>
  <si>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</si>
  <si>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</si>
  <si>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</si>
  <si>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</si>
  <si>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</si>
  <si>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</si>
  <si>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</si>
  <si>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</si>
  <si>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</si>
  <si>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</si>
  <si>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</si>
  <si>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</si>
  <si>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</si>
  <si>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</si>
  <si>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</si>
  <si>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</si>
  <si>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</si>
  <si>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</si>
  <si>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</si>
  <si>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</si>
  <si>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</si>
  <si>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</si>
  <si>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</si>
  <si>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</si>
  <si>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</si>
  <si>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</si>
  <si>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</si>
  <si>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</si>
  <si>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</si>
  <si>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</si>
  <si>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</si>
  <si>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</si>
  <si>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</si>
  <si>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</si>
  <si>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</si>
  <si>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</si>
  <si>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</si>
  <si>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</si>
  <si>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</si>
  <si>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A further breakdown of 4J. 20 can be found in table 2E.
Overall Grants &amp; Contributions (G&amp;C's) (£10.6m) are lower than last year (£12.6m).  Increased contributions from Infrastructure Charge Recipts (£5.6m) and Diversions (£2.2m) are offset by one-off contributions received last year (£5.1m) from developers wanting to utilise our existing WwTW site at Stocksbridge for new development.</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</si>
  <si>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</si>
  <si>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</si>
  <si>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</si>
  <si>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</si>
  <si>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</si>
  <si>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</si>
  <si>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</si>
  <si>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</si>
  <si>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</si>
  <si>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</si>
  <si>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</si>
  <si>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</si>
  <si>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</si>
  <si>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</si>
  <si>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</si>
  <si>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</si>
  <si>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</si>
  <si>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</si>
  <si>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</si>
  <si>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</si>
  <si>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</si>
  <si>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</si>
  <si>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</si>
  <si>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</si>
  <si>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</si>
  <si>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</si>
  <si>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</si>
  <si>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</si>
  <si>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</si>
  <si>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</si>
  <si>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</si>
  <si>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</si>
  <si>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</si>
  <si>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</si>
  <si>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</si>
  <si>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</si>
  <si>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</si>
  <si>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</si>
  <si>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</si>
  <si>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</si>
  <si>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</si>
  <si>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</si>
  <si>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</si>
  <si>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</si>
  <si>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</si>
  <si>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</si>
  <si>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</si>
  <si>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</si>
  <si>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</si>
  <si>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</si>
  <si>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</si>
  <si>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Expenditure within the year comprises many individual projects as efforts to recover from the Boxing Day floods of 2015 draw to a conclusion.
Within Network+ Sewage Collection £277k has been spent at Rodley transfer SPS work has continued replacing pumps (#3), associated pipework and valves. There has also been work to repalce electrical assets and cabling that was damaged.</t>
  </si>
  <si>
    <t>BP3357001FL</t>
  </si>
  <si>
    <t>BP3357001SWD</t>
  </si>
  <si>
    <t>BP3357001HD</t>
  </si>
  <si>
    <t>BP3357001STD</t>
  </si>
  <si>
    <t>BP3357001SLT</t>
  </si>
  <si>
    <t>BP3357001STP</t>
  </si>
  <si>
    <t>BP3357001SDT</t>
  </si>
  <si>
    <t>BP3357001SDD</t>
  </si>
  <si>
    <t>BP3357001CAS</t>
  </si>
  <si>
    <t>4K.26</t>
  </si>
  <si>
    <t>Following further floods that took place in November 2019 there has been expenditure in the report year of £1.0m which reflects ermergency works at SPS's and STW's  to recover damaged assets. We anticipate more material costs being incurred over the following 12 months in to AMP7.</t>
  </si>
  <si>
    <t>BP3357002FL</t>
  </si>
  <si>
    <t>BP3357002SWD</t>
  </si>
  <si>
    <t>BP3357002HD</t>
  </si>
  <si>
    <t>BP3357002STD</t>
  </si>
  <si>
    <t>BP3357002SLT</t>
  </si>
  <si>
    <t>BP3357002STP</t>
  </si>
  <si>
    <t>BP3357002SDT</t>
  </si>
  <si>
    <t>BP3357002SDD</t>
  </si>
  <si>
    <t>BP3357002CAS</t>
  </si>
  <si>
    <t>4K.27</t>
  </si>
  <si>
    <t>As per ‘IN 20/03’, published in April 2020, we have deviated from RAG 4.08 by including expenditure related to our AMP7 transition programme within this table (£5.0m). The investment this year has allowed us to continue the work started last year on the chemical investigation programme (£3.4m) and early design work on several sites included as part of the wastewater AMP7 WINEP programme (£1.7m).</t>
  </si>
  <si>
    <t>BP3357003FL</t>
  </si>
  <si>
    <t>BP3357003SWD</t>
  </si>
  <si>
    <t>BP3357003HD</t>
  </si>
  <si>
    <t>BP3357003STD</t>
  </si>
  <si>
    <t>BP3357003SLT</t>
  </si>
  <si>
    <t>BP3357003STP</t>
  </si>
  <si>
    <t>BP3357003SDT</t>
  </si>
  <si>
    <t>BP3357003SDD</t>
  </si>
  <si>
    <t>BP3357003CAS</t>
  </si>
  <si>
    <t>4K.28</t>
  </si>
  <si>
    <t>Flooding December 2015</t>
  </si>
  <si>
    <t>BP3357004FL</t>
  </si>
  <si>
    <t>BP3357004SWD</t>
  </si>
  <si>
    <t>BP3357004HD</t>
  </si>
  <si>
    <t>BP3357004STD</t>
  </si>
  <si>
    <t>BP3357004SLT</t>
  </si>
  <si>
    <t>BP3357004STP</t>
  </si>
  <si>
    <t>BP3357004SDT</t>
  </si>
  <si>
    <t>BP3357004SDD</t>
  </si>
  <si>
    <t>BP3357004CAS</t>
  </si>
  <si>
    <t>4K.29</t>
  </si>
  <si>
    <t>Flooding November 2019</t>
  </si>
  <si>
    <t>BP3357005FL</t>
  </si>
  <si>
    <t>BP3357005SWD</t>
  </si>
  <si>
    <t>BP3357005HD</t>
  </si>
  <si>
    <t>BP3357005STD</t>
  </si>
  <si>
    <t>BP3357005SLT</t>
  </si>
  <si>
    <t>BP3357005STP</t>
  </si>
  <si>
    <t>BP3357005SDT</t>
  </si>
  <si>
    <t>BP3357005SDD</t>
  </si>
  <si>
    <t>BP3357005CAS</t>
  </si>
  <si>
    <t>4K.30</t>
  </si>
  <si>
    <t>Flooding February 2020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</si>
  <si>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</si>
  <si>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</si>
  <si>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</si>
  <si>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</si>
  <si>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</si>
  <si>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</si>
  <si>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</si>
  <si>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</si>
  <si>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</si>
  <si>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</si>
  <si>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</si>
  <si>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</si>
  <si>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</si>
  <si>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</si>
  <si>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</si>
  <si>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</si>
  <si>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</si>
  <si>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</si>
  <si>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</si>
  <si>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</si>
  <si>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</si>
  <si>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</si>
  <si>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</si>
  <si>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</si>
  <si>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</si>
  <si>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</si>
  <si>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</si>
  <si>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</si>
  <si>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</si>
  <si>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</si>
  <si>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</si>
  <si>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</si>
  <si>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</si>
  <si>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</si>
  <si>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</si>
  <si>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</si>
  <si>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</si>
  <si>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</si>
  <si>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</si>
  <si>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</si>
  <si>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</si>
  <si>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</si>
  <si>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</si>
  <si>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</si>
  <si>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</si>
  <si>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</si>
  <si>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</si>
  <si>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</si>
  <si>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</si>
  <si>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</si>
  <si>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</si>
  <si>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</si>
  <si>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</si>
  <si>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</si>
  <si>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</si>
  <si>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</si>
  <si>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</si>
  <si>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</si>
  <si>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</si>
  <si>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</si>
  <si>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</si>
  <si>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</si>
  <si>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</si>
  <si>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</si>
  <si>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</si>
  <si>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</si>
  <si>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</si>
  <si>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</si>
  <si>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</si>
  <si>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</si>
  <si>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</si>
  <si>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</si>
  <si>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</si>
  <si>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</si>
  <si>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</si>
  <si>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</si>
  <si>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</si>
  <si>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</si>
  <si>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</si>
  <si>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</si>
  <si>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</si>
  <si>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</si>
  <si>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</si>
  <si>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</si>
  <si>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</si>
  <si>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</si>
  <si>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</si>
  <si>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</si>
  <si>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</si>
  <si>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</si>
  <si>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RAG4.08).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</si>
  <si>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</si>
  <si>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</si>
  <si>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</si>
  <si>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</si>
  <si>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</si>
  <si>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</si>
  <si>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Investment within the year of £2.9m is across several areas of activity required to meet our NEP obligations.
There have been several schemes ongoing to ensure legal compliance with the Water Framework Directive. These include fish pass schemes at Lobwood (£0.6m), Tophill Low (£0.3m) and Eastwood (£0.6m). These schemes also concluded in the report year with cumulative expenditure of £1.2m, £1.4m and £0.6m respectively.
We've also had an ongoing programme of work with Fountains Forestry to restore and enhance areas of ancient woodland which this year has spent £0.4m. The scheme concluded this year with cumulative expenditure of £1.1m.
Schemes to conclude this year are HMWB Flow Trials which spent a cumulative amount of £1.2m and AMP6 sites of scientific specific interest which had cumulative spend of £1.0m.
The AMP6 biodiversity scheme which spent a cumulative figure of £0.4m and has finished this year.</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</si>
  <si>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</si>
  <si>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</si>
  <si>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</si>
  <si>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</si>
  <si>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</si>
  <si>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</si>
  <si>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</si>
  <si>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</si>
  <si>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</si>
  <si>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</si>
  <si>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</si>
  <si>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</si>
  <si>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</si>
  <si>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</si>
  <si>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</si>
  <si>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</si>
  <si>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Within the report year work has commenced at Loftsome Bridge WTW (£652k) to install an EA approved Hydrolox, travelling fine mesh screens for fish and eels on the existing river intake. There was also similar work carried out at Ruswarp water treatment works in which £200k was spent in year.
Both of these schemes were completed this year with the Loftsome Bridge WTW scheme spending a cumulative amount of £2m and the Ruswarp WTW scheme spending the full scheme value of £200k in year.</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</si>
  <si>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</si>
  <si>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</si>
  <si>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</si>
  <si>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</si>
  <si>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</si>
  <si>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</si>
  <si>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</si>
  <si>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</si>
  <si>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</si>
  <si>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</si>
  <si>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</si>
  <si>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</si>
  <si>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</si>
  <si>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</si>
  <si>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</si>
  <si>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</si>
  <si>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</si>
  <si>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</si>
  <si>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</si>
  <si>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</si>
  <si>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</si>
  <si>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</si>
  <si>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</si>
  <si>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</si>
  <si>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</si>
  <si>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</si>
  <si>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</si>
  <si>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</si>
  <si>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</si>
  <si>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</si>
  <si>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</si>
  <si>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</si>
  <si>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</si>
  <si>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</si>
  <si>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</si>
  <si>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</si>
  <si>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</si>
  <si>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</si>
  <si>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</si>
  <si>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</si>
  <si>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</si>
  <si>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</si>
  <si>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</si>
  <si>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</si>
  <si>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</si>
  <si>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</si>
  <si>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</si>
  <si>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</si>
  <si>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</si>
  <si>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</si>
  <si>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</si>
  <si>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</si>
  <si>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</si>
  <si>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</si>
  <si>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</si>
  <si>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</si>
  <si>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</si>
  <si>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</si>
  <si>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</si>
  <si>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</si>
  <si>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</si>
  <si>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</si>
  <si>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</si>
  <si>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</si>
  <si>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</si>
  <si>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</si>
  <si>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</si>
  <si>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</si>
  <si>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</si>
  <si>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</si>
  <si>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</si>
  <si>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</si>
  <si>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</si>
  <si>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</si>
  <si>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</si>
  <si>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</si>
  <si>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</si>
  <si>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</si>
  <si>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</si>
  <si>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</si>
  <si>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</si>
  <si>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</si>
  <si>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</si>
  <si>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</si>
  <si>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</si>
  <si>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</si>
  <si>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</si>
  <si>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</si>
  <si>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</si>
  <si>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</si>
  <si>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</si>
  <si>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</si>
  <si>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</si>
  <si>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</si>
  <si>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</si>
  <si>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</si>
  <si>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</si>
  <si>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</si>
  <si>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</si>
  <si>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</si>
  <si>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</si>
  <si>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</si>
  <si>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</si>
  <si>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</si>
  <si>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</si>
  <si>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</si>
  <si>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</si>
  <si>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</si>
  <si>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</si>
  <si>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</si>
  <si>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</si>
  <si>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</si>
  <si>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</si>
  <si>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</si>
  <si>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</si>
  <si>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</si>
  <si>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</si>
  <si>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</si>
  <si>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</si>
  <si>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</si>
  <si>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</si>
  <si>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</si>
  <si>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</si>
  <si>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</si>
  <si>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</si>
  <si>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</si>
  <si>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</si>
  <si>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</si>
  <si>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</si>
  <si>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</si>
  <si>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</si>
  <si>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</si>
  <si>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</si>
  <si>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</si>
  <si>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</si>
  <si>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</si>
  <si>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</si>
  <si>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</si>
  <si>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</si>
  <si>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</si>
  <si>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</si>
  <si>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</si>
  <si>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</si>
  <si>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</si>
  <si>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 xml:space="preserve">This year has seen £8.1m invested in new developments. The main body of investment has been an annual block scheme for the the provision Stat mains (£7.9m).
The cumulative expenditure of £7.9m was driven by the provision stat main block which started and was completed within the year.
</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</si>
  <si>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</si>
  <si>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</si>
  <si>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</si>
  <si>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</si>
  <si>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</si>
  <si>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</si>
  <si>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</si>
  <si>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</si>
  <si>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</si>
  <si>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</si>
  <si>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</si>
  <si>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</si>
  <si>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</si>
  <si>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</si>
  <si>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</si>
  <si>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</si>
  <si>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 xml:space="preserve">Investment in the current report year of £7.3m is to ensure we are compliant with section 45 of the Water Industry Act which describes a water undertaker’s duty to provide water connections for new properties. This is an annual block allocation which spent £8.7m in 2019/20. There is also a negative figure of £1.4m from the corresponding 2018/19 annual block scheme included which relates to an error reported last year only identified as the scheme was presented to our Board Investment Committee as part of the completions change management process, where it was identified that the allocated overhead costs were too high . Due to the timing of the close down process this could not be rectified for 2018-19 reporting and so has been corrected in 2019-20. The 2019-20 annual block allocation allowance concluded in the report year and so cumulative expenditure of £8.7m is in the current report year. </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</si>
  <si>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</si>
  <si>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</si>
  <si>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</si>
  <si>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</si>
  <si>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</si>
  <si>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</si>
  <si>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</si>
  <si>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</si>
  <si>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</si>
  <si>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</si>
  <si>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</si>
  <si>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</si>
  <si>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</si>
  <si>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</si>
  <si>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</si>
  <si>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</si>
  <si>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 xml:space="preserve">Expenditure of £6.2m within the year is primarily within Water Treatment and the majority relates to one scheme.
Within Raw Water Abstraction there cumulative expenditure (£2.1m) is driven mainly by two schemes. In the Pennines we have invested £802k restoring 4000 ha in the Pennines and in the south Pennines and Derwent Valley we have spent £981k in catchment restoration. 
At Langsett WTW we are delivering a DWI  solution to upgrade the existing plant to address total trihalomethanes, raw water colour and disinfection by-products to secure compliance with Regulation 26(1A). This scheme has completed in 2019/20 resulting in a cumulative spend of £24.1m for the Langsett WTW scheme.
Work continued this year at Irton WTW and £664k has been spent providing facilities to improve the removal of Cryptosporidium, pesticides, disinfection by-products, to secure compliance with Regulation 26 (1A), and to carry out a programme of catchment management activities to improve raw water quality.
</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</si>
  <si>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</si>
  <si>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</si>
  <si>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</si>
  <si>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</si>
  <si>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</si>
  <si>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</si>
  <si>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</si>
  <si>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</si>
  <si>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</si>
  <si>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</si>
  <si>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</si>
  <si>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</si>
  <si>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</si>
  <si>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</si>
  <si>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</si>
  <si>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</si>
  <si>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</si>
  <si>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</si>
  <si>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</si>
  <si>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</si>
  <si>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</si>
  <si>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</si>
  <si>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</si>
  <si>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</si>
  <si>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</si>
  <si>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</si>
  <si>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</si>
  <si>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</si>
  <si>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</si>
  <si>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</si>
  <si>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</si>
  <si>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</si>
  <si>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Investment in the current year of £1.1m to deliver physical security works improvements to ensure we are compliant with our security obligations at relevant sites across all of our water assets. The scope of work includes all elements of security including fences, enclosures (buildings and kiosks), access covers, access points (doors and windows) and alarms. 
There was also £303k spent on site access keys across Yorkshire water sites.
This is a rolling programme of work that continues throughout the AMP across many hundreds of sites. Some have been completed in the current year and therefore included in the cumulative expenditure at £2.2m to reflect the assets that have been completed.</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</si>
  <si>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</si>
  <si>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</si>
  <si>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</si>
  <si>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</si>
  <si>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</si>
  <si>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</si>
  <si>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</si>
  <si>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</si>
  <si>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</si>
  <si>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</si>
  <si>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</si>
  <si>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</si>
  <si>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</si>
  <si>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</si>
  <si>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</si>
  <si>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</si>
  <si>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</si>
  <si>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</si>
  <si>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</si>
  <si>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</si>
  <si>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</si>
  <si>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</si>
  <si>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</si>
  <si>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</si>
  <si>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</si>
  <si>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</si>
  <si>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</si>
  <si>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</si>
  <si>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</si>
  <si>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</si>
  <si>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</si>
  <si>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</si>
  <si>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</si>
  <si>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</si>
  <si>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</si>
  <si>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</si>
  <si>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</si>
  <si>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</si>
  <si>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</si>
  <si>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</si>
  <si>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</si>
  <si>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</si>
  <si>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</si>
  <si>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</si>
  <si>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</si>
  <si>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</si>
  <si>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</si>
  <si>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</si>
  <si>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</si>
  <si>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</si>
  <si>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</si>
  <si>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</si>
  <si>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</si>
  <si>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</si>
  <si>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</si>
  <si>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</si>
  <si>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</si>
  <si>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</si>
  <si>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</si>
  <si>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</si>
  <si>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</si>
  <si>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</si>
  <si>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</si>
  <si>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</si>
  <si>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</si>
  <si>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</si>
  <si>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</si>
  <si>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</si>
  <si>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</si>
  <si>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</si>
  <si>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</si>
  <si>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</si>
  <si>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</si>
  <si>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</si>
  <si>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</si>
  <si>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</si>
  <si>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</si>
  <si>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</si>
  <si>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</si>
  <si>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</si>
  <si>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Investment to ensure that any customer that requests to change to a measured supply through our domestic meter optant programme have a meter fitted at no cost to them. In the current year £8.4m has delivered 33,812 meters fitted for customers.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</si>
  <si>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</si>
  <si>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</si>
  <si>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</si>
  <si>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</si>
  <si>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</si>
  <si>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</si>
  <si>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</si>
  <si>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</si>
  <si>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</si>
  <si>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</si>
  <si>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</si>
  <si>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</si>
  <si>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</si>
  <si>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</si>
  <si>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</si>
  <si>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</si>
  <si>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</si>
  <si>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</si>
  <si>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</si>
  <si>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</si>
  <si>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</si>
  <si>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</si>
  <si>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</si>
  <si>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</si>
  <si>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</si>
  <si>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</si>
  <si>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</si>
  <si>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</si>
  <si>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</si>
  <si>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</si>
  <si>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</si>
  <si>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</si>
  <si>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</si>
  <si>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</si>
  <si>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</si>
  <si>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</si>
  <si>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</si>
  <si>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</si>
  <si>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</si>
  <si>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</si>
  <si>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</si>
  <si>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</si>
  <si>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</si>
  <si>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</si>
  <si>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</si>
  <si>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</si>
  <si>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</si>
  <si>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Drought Management Plan</t>
  </si>
  <si>
    <t>This expenditure relates to Yorkshire Waters obligation under S.39B of the Water Industry Act 1991 to produce and publish a drought management plan every 5 years. The AMP6 scheme successfully finished this year with a cumulative expenditure of £1.2m.</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</si>
  <si>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</si>
  <si>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</si>
  <si>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</si>
  <si>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</si>
  <si>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</si>
  <si>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</si>
  <si>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</si>
  <si>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</si>
  <si>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</si>
  <si>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</si>
  <si>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</si>
  <si>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</si>
  <si>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</si>
  <si>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</si>
  <si>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</si>
  <si>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Exclusions</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</si>
  <si>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</si>
  <si>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</si>
  <si>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</si>
  <si>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</si>
  <si>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</si>
  <si>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</si>
  <si>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</si>
  <si>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</si>
  <si>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</si>
  <si>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</si>
  <si>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</si>
  <si>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</si>
  <si>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</si>
  <si>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</si>
  <si>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</si>
  <si>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Leakage Reduction - UQ</t>
  </si>
  <si>
    <t>This is investment to support the delivery of reduced leakage below our current service level commitments and deliver industry upper quartile performance for our customers. Investment within the current year is £46.6m and reflects many new initiatives that have commenced. Activities include further work to address communication pipe failures (£4.0m), stop tap renewals (£3.0m), distribution pipework fitting (£2.9m) and structural mains (£2.9m) Our programme of installation a network of acoustic loggers continued £8.2m and has spent £9.7m cumulatively over the last two years.
As part of our plans to increase the number of leakage inspectors we have spent £2.7m in relation to the purchase of further fleet vehicles and a further £646K relating to the required hardware (laptops, mobile phones etc) and software licences.
Within the year a number of other initiatives have concluded including £1.8m spent on UQ Leakage detection equipment and £1.8m spent on UQ Accommodation.
As the AMP6 UQ programme has now completed all live solutions have been completed and included within the cumulative expenditure for schemes completed in the report year.</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</si>
  <si>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</si>
  <si>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</si>
  <si>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</si>
  <si>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</si>
  <si>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</si>
  <si>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</si>
  <si>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</si>
  <si>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</si>
  <si>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</si>
  <si>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</si>
  <si>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</si>
  <si>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</si>
  <si>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</si>
  <si>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</si>
  <si>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</si>
  <si>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Reduction in Interruptions to Supply - UQ</t>
  </si>
  <si>
    <t>As part of our upper quartile programme, £3.8m has been invested on reducing supply interruptions. £478k was spent on the purchase of vehicles to be used for further field technicians. There was also £726k spent in year on HV Switch replacement scheme at Ricall water treatment works.</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</si>
  <si>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</si>
  <si>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</si>
  <si>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</si>
  <si>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</si>
  <si>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</si>
  <si>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</si>
  <si>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</si>
  <si>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</si>
  <si>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</si>
  <si>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</si>
  <si>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</si>
  <si>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</si>
  <si>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</si>
  <si>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</si>
  <si>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</si>
  <si>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Improving Water Quality - UQ</t>
  </si>
  <si>
    <t xml:space="preserve">As part of our plan to target upper quartile Water Quality performance, £1m was spent overall on Improving Water Quality. The majority of spend (£918k) has appeared on the annual MEICA budget. </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</si>
  <si>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</si>
  <si>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</si>
  <si>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</si>
  <si>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</si>
  <si>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</si>
  <si>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</si>
  <si>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</si>
  <si>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</si>
  <si>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</si>
  <si>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</si>
  <si>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</si>
  <si>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</si>
  <si>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</si>
  <si>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</si>
  <si>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</si>
  <si>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The majority of activity within the reporting year has taken place within Harrogate (£2.5m). Between Studley and Birkby Nab (£0.5m) we are installing a second main (2km) alongside the route of the existing one to provide the hydraulic capacity for future demand. A further £1.1m has been invested at Harrogate High level (delivering 1.7km of pipework) and £0.7m at Harrogate Low level (delivering 2.6km of pipework). Activity in Knaresborough has continued where we have spent £0.4m within the year as part of a 4 phase project to deliver 1,600m of mains.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</si>
  <si>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</si>
  <si>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</si>
  <si>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</si>
  <si>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</si>
  <si>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</si>
  <si>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</si>
  <si>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</si>
  <si>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</si>
  <si>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</si>
  <si>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</si>
  <si>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</si>
  <si>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</si>
  <si>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</si>
  <si>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</si>
  <si>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</si>
  <si>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2020-25 Transition Expenditure - Capex</t>
  </si>
  <si>
    <t>As per ‘IN 20/03’, published in April 2020, we have deviated from RAG 4.08 by including expenditure related to our AMP7 transition programme within this table. The investment this year relates to three of our DWI AMP7 quality outputs at Tophill Low, Oldfield and Sladen Valley (£0.9m).</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</si>
  <si>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</si>
  <si>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</si>
  <si>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</si>
  <si>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</si>
  <si>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</si>
  <si>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</si>
  <si>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</si>
  <si>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</si>
  <si>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</si>
  <si>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</si>
  <si>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</si>
  <si>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</si>
  <si>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</si>
  <si>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</si>
  <si>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</si>
  <si>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</si>
  <si>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</si>
  <si>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</si>
  <si>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</si>
  <si>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</si>
  <si>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</si>
  <si>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</si>
  <si>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</si>
  <si>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</si>
  <si>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</si>
  <si>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</si>
  <si>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</si>
  <si>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</si>
  <si>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</si>
  <si>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</si>
  <si>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</si>
  <si>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</si>
  <si>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</si>
  <si>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</si>
  <si>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</si>
  <si>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</si>
  <si>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</si>
  <si>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</si>
  <si>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</si>
  <si>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</si>
  <si>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</si>
  <si>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</si>
  <si>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</si>
  <si>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</si>
  <si>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</si>
  <si>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</si>
  <si>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</si>
  <si>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</si>
  <si>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</si>
  <si>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</si>
  <si>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</si>
  <si>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</si>
  <si>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</si>
  <si>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</si>
  <si>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</si>
  <si>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</si>
  <si>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</si>
  <si>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</si>
  <si>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</si>
  <si>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</si>
  <si>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</si>
  <si>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</si>
  <si>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</si>
  <si>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</si>
  <si>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</si>
  <si>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</si>
  <si>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</si>
  <si>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</si>
  <si>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</si>
  <si>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</si>
  <si>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</si>
  <si>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</si>
  <si>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</si>
  <si>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</si>
  <si>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</si>
  <si>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</si>
  <si>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</si>
  <si>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</si>
  <si>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</si>
  <si>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</si>
  <si>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</si>
  <si>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</si>
  <si>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</si>
  <si>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</si>
  <si>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</si>
  <si>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</si>
  <si>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</si>
  <si>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</si>
  <si>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</si>
  <si>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</si>
  <si>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</si>
  <si>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</si>
  <si>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</si>
  <si>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</si>
  <si>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</si>
  <si>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</si>
  <si>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</si>
  <si>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</si>
  <si>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</si>
  <si>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</si>
  <si>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</si>
  <si>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</si>
  <si>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</si>
  <si>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</si>
  <si>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</si>
  <si>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</si>
  <si>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</si>
  <si>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</si>
  <si>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</si>
  <si>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</si>
  <si>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</si>
  <si>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</si>
  <si>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</si>
  <si>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</si>
  <si>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</si>
  <si>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</si>
  <si>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</si>
  <si>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</si>
  <si>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</si>
  <si>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</si>
  <si>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</si>
  <si>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</si>
  <si>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</si>
  <si>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</si>
  <si>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</si>
  <si>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</si>
  <si>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</si>
  <si>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</si>
  <si>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</si>
  <si>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</si>
  <si>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</si>
  <si>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</si>
  <si>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</si>
  <si>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</si>
  <si>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</si>
  <si>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</si>
  <si>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</si>
  <si>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</si>
  <si>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</si>
  <si>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</si>
  <si>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</si>
  <si>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</si>
  <si>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</si>
  <si>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</si>
  <si>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</si>
  <si>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</si>
  <si>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</si>
  <si>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</si>
  <si>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</si>
  <si>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</si>
  <si>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</si>
  <si>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</si>
  <si>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</si>
  <si>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</si>
  <si>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</si>
  <si>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</si>
  <si>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</si>
  <si>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</si>
  <si>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</si>
  <si>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</si>
  <si>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</si>
  <si>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</si>
  <si>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</si>
  <si>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</si>
  <si>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</si>
  <si>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</si>
  <si>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</si>
  <si>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</si>
  <si>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</si>
  <si>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</si>
  <si>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</si>
  <si>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</si>
  <si>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</si>
  <si>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</si>
  <si>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</si>
  <si>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</si>
  <si>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</si>
  <si>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</si>
  <si>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</si>
  <si>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</si>
  <si>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</si>
  <si>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</si>
  <si>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</si>
  <si>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</si>
  <si>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</si>
  <si>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</si>
  <si>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</si>
  <si>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</si>
  <si>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</si>
  <si>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</si>
  <si>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</si>
  <si>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</si>
  <si>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</si>
  <si>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Minimal expenditure in the current year within Network + Sewage Collection price control is associated with the financial completion of a Section 101a 3rd party request for First time sewerage for a property in Quaker Lane, Liversidge. This scheme was completed in a previous year so not included in the cumulative expenditure on schemes completed in the report year.</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</si>
  <si>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</si>
  <si>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</si>
  <si>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</si>
  <si>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</si>
  <si>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</si>
  <si>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</si>
  <si>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</si>
  <si>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</si>
  <si>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</si>
  <si>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</si>
  <si>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</si>
  <si>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</si>
  <si>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</si>
  <si>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</si>
  <si>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</si>
  <si>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</si>
  <si>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</si>
  <si>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</si>
  <si>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</si>
  <si>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</si>
  <si>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 xml:space="preserve">Expenditure in the current year within Network + Sewage Treatment price control is associated with the financial completion of schemes at Neiley and Harrogate North WWTW. Both schemes were completed in previous years so not included in the cumulative expenditure on schemes completed in the report year.  </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</si>
  <si>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</si>
  <si>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</si>
  <si>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</si>
  <si>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</si>
  <si>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</si>
  <si>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</si>
  <si>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</si>
  <si>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</si>
  <si>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</si>
  <si>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</si>
  <si>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</si>
  <si>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</si>
  <si>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</si>
  <si>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</si>
  <si>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</si>
  <si>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</si>
  <si>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</si>
  <si>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</si>
  <si>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</si>
  <si>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</si>
  <si>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</si>
  <si>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</si>
  <si>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</si>
  <si>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</si>
  <si>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</si>
  <si>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</si>
  <si>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</si>
  <si>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</si>
  <si>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</si>
  <si>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</si>
  <si>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</si>
  <si>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</si>
  <si>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</si>
  <si>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</si>
  <si>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</si>
  <si>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</si>
  <si>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</si>
  <si>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</si>
  <si>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</si>
  <si>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</si>
  <si>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</si>
  <si>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</si>
  <si>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</si>
  <si>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</si>
  <si>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</si>
  <si>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</si>
  <si>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</si>
  <si>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</si>
  <si>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</si>
  <si>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</si>
  <si>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</si>
  <si>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</si>
  <si>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</si>
  <si>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</si>
  <si>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</si>
  <si>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</si>
  <si>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</si>
  <si>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</si>
  <si>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</si>
  <si>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</si>
  <si>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</si>
  <si>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</si>
  <si>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</si>
  <si>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</si>
  <si>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</si>
  <si>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</si>
  <si>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</si>
  <si>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</si>
  <si>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</si>
  <si>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</si>
  <si>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</si>
  <si>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</si>
  <si>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</si>
  <si>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</si>
  <si>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</si>
  <si>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</si>
  <si>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</si>
  <si>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</si>
  <si>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</si>
  <si>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</si>
  <si>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Expenditure in the current year (£1.6m) relates to schemes at multiple sites where we continue to deliver the agreed EDM2 regulatory outputs. The EDM2 driver has a compliance date of 31st March 2020 and provides coverage for most non-priority overflows, addressing sites classified as having high, medium or low amenity value but where the risk is of environmental or aesthetic nature or the frequency of discharge breaches a public acceptability threshold. There remains in total 36 of the 601 sites still to claim beyond their respective regulatory compliance dates but the activity required has been completed we are just awaiting agreed sign-off.  23 of these are due to delays directly attributable to Covid-19 and the remaining 13 sites being missed due to a combination of flood damage after the most recent flooding and H&amp;S restrictions.  The EA have been informed and we are working with them to agree a way forward.</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</si>
  <si>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</si>
  <si>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</si>
  <si>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</si>
  <si>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</si>
  <si>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</si>
  <si>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</si>
  <si>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</si>
  <si>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</si>
  <si>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</si>
  <si>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</si>
  <si>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</si>
  <si>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</si>
  <si>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</si>
  <si>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</si>
  <si>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</si>
  <si>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</si>
  <si>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</si>
  <si>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</si>
  <si>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</si>
  <si>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</si>
  <si>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Expenditure this year (£0.3m) is associated with the installation of flow monitoring at various sites for which beneficial completion was claimed last year.  There does remain one MCERT's site to be claimed at Carperby where although the civils element of work has been completed there still remains a small amount of work to add telemetry at the site however before the scheme can be completed.  This element was due to be completed 25 March 2020 however the contractor has suspended all site visits as a result of Covid-19.</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</si>
  <si>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</si>
  <si>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</si>
  <si>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</si>
  <si>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</si>
  <si>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</si>
  <si>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</si>
  <si>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</si>
  <si>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</si>
  <si>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</si>
  <si>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</si>
  <si>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</si>
  <si>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</si>
  <si>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</si>
  <si>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</si>
  <si>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</si>
  <si>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</si>
  <si>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</si>
  <si>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</si>
  <si>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</si>
  <si>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</si>
  <si>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</si>
  <si>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</si>
  <si>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</si>
  <si>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</si>
  <si>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</si>
  <si>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</si>
  <si>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</si>
  <si>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</si>
  <si>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</si>
  <si>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</si>
  <si>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</si>
  <si>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</si>
  <si>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</si>
  <si>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</si>
  <si>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</si>
  <si>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</si>
  <si>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</si>
  <si>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</si>
  <si>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</si>
  <si>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</si>
  <si>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</si>
  <si>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</si>
  <si>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</si>
  <si>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</si>
  <si>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</si>
  <si>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</si>
  <si>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</si>
  <si>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</si>
  <si>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</si>
  <si>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</si>
  <si>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</si>
  <si>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</si>
  <si>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</si>
  <si>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</si>
  <si>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</si>
  <si>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</si>
  <si>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</si>
  <si>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</si>
  <si>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</si>
  <si>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</si>
  <si>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</si>
  <si>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</si>
  <si>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</si>
  <si>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</si>
  <si>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</si>
  <si>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</si>
  <si>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</si>
  <si>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</si>
  <si>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</si>
  <si>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</si>
  <si>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</si>
  <si>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</si>
  <si>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</si>
  <si>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</si>
  <si>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</si>
  <si>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</si>
  <si>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</si>
  <si>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</si>
  <si>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</si>
  <si>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</si>
  <si>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 xml:space="preserve">Expenditure in year (£3.2m) and cumulative (£4.1m) for Storage schemes to reduce spill frequency at CSOs, storm tanks, etc relates to the completion for the River Don scheme at Blackburn Meadows Sewage treatment works to improve the 6x overflow.                                                                                                                                                                                            </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</si>
  <si>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</si>
  <si>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</si>
  <si>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</si>
  <si>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</si>
  <si>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</si>
  <si>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</si>
  <si>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</si>
  <si>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</si>
  <si>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</si>
  <si>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</si>
  <si>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</si>
  <si>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</si>
  <si>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</si>
  <si>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</si>
  <si>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</si>
  <si>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</si>
  <si>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</si>
  <si>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</si>
  <si>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</si>
  <si>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</si>
  <si>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Cumulative expenditure in the report year (£901k) covers a single chemical investigation study conducted over the past two years across numerous wastewater sites.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</si>
  <si>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</si>
  <si>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</si>
  <si>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</si>
  <si>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</si>
  <si>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</si>
  <si>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</si>
  <si>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</si>
  <si>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</si>
  <si>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</si>
  <si>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</si>
  <si>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</si>
  <si>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</si>
  <si>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</si>
  <si>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</si>
  <si>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</si>
  <si>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</si>
  <si>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</si>
  <si>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</si>
  <si>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</si>
  <si>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</si>
  <si>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</si>
  <si>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</si>
  <si>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</si>
  <si>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</si>
  <si>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</si>
  <si>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</si>
  <si>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</si>
  <si>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</si>
  <si>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</si>
  <si>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</si>
  <si>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</si>
  <si>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</si>
  <si>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</si>
  <si>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</si>
  <si>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</si>
  <si>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</si>
  <si>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</si>
  <si>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</si>
  <si>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</si>
  <si>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</si>
  <si>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</si>
  <si>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</si>
  <si>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</si>
  <si>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</si>
  <si>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</si>
  <si>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</si>
  <si>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</si>
  <si>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</si>
  <si>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</si>
  <si>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</si>
  <si>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</si>
  <si>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</si>
  <si>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</si>
  <si>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</si>
  <si>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</si>
  <si>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</si>
  <si>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</si>
  <si>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</si>
  <si>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</si>
  <si>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Expenditure this year (£0.3m) within Network+ Sewage Collection and Network+ Sewage Treatment &amp; Disposal is associated with expenditure for the delivery of Drainage Area Plans (DAPs) at Little Don, Dearne (Bentley to Cawthorne), Went, Adwick Le Street, Hemsworth, South Elmsall, Dearne (Lundwood to River Dove), Holmebrook, Costa Beck, Spen Beck and Wyke Beck (£0.2m) which completed in previous report years and therefore not included in the cumulative tables.  Work is also ongoing on two Water Framework studies at Ripponden Wood and the Humber Estuary (£0.04m).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</si>
  <si>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</si>
  <si>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</si>
  <si>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</si>
  <si>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</si>
  <si>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</si>
  <si>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</si>
  <si>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</si>
  <si>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</si>
  <si>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</si>
  <si>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</si>
  <si>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</si>
  <si>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</si>
  <si>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</si>
  <si>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</si>
  <si>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</si>
  <si>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</si>
  <si>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</si>
  <si>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</si>
  <si>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</si>
  <si>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</si>
  <si>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</si>
  <si>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</si>
  <si>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</si>
  <si>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</si>
  <si>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</si>
  <si>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</si>
  <si>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</si>
  <si>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</si>
  <si>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</si>
  <si>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</si>
  <si>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</si>
  <si>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</si>
  <si>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</si>
  <si>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</si>
  <si>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</si>
  <si>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</si>
  <si>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</si>
  <si>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</si>
  <si>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</si>
  <si>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</si>
  <si>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 xml:space="preserve">Within sewage treatment &amp; disposal (£2.7m) of expenditure in the report year relates to three NEP phosphorus removal schemes at Otley (£1.4m), Earby (£0.9m) and Wetherby (£0.5m). 
These schemes have all completed in year in line with their regulatory compliance dates so are also included in the cumulatve expenditure totalling £12.9m split Otley (£4.0m), Earby (£4.4m) and Wetherby (£4.4m). </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</si>
  <si>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</si>
  <si>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</si>
  <si>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</si>
  <si>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</si>
  <si>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</si>
  <si>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</si>
  <si>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</si>
  <si>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</si>
  <si>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</si>
  <si>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</si>
  <si>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</si>
  <si>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</si>
  <si>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</si>
  <si>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</si>
  <si>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</si>
  <si>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</si>
  <si>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</si>
  <si>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</si>
  <si>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</si>
  <si>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</si>
  <si>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 xml:space="preserve">Expenditure within the year (£15.4m) relates to NEP phosphorus removal schemes at: Easingwold (£0.3m), Skipton (£0.6m), Crayke (£0.4m), Leeming Bar (£0.5m), Borrowby (£0.6m), Bedale (£0.7m), Thirsk (£1.5m), Gargrave &amp; Middleton Tyas (£3.1m), Bagby (£0.9m), Thorp Arch (£1.6m), Wilberfoss (£1.9m), and Foulridge (£1.8m).
All phosphorus schemes have now been completed with the exception of Leeming Bar where the EA has provisionally accepted our position and agreed we can claim the regulatory output but we are still awaiting confirmation in writing before we claim completion which we are hoping will be back dated to align to the compliance date.
The £40.9m included in the cumulative expenditure is on schemes completed in year at Easingwold (£3.2m), Skipton (£2.9m), Crayke (£2.3m), Borrowby (£3.0m), Bedale (£2.7m), Thirsk (£4.7m), Gargrave &amp; Middleton Tyas (£6.4m), Bagby (£2.5m), Tollerton &amp; Thornton le Dale (3.6m) and the remaining £9.5m is associated with the solutions at Thorp Arch, Wilberfoss and Foulridge. </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</si>
  <si>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</si>
  <si>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</si>
  <si>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</si>
  <si>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</si>
  <si>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</si>
  <si>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</si>
  <si>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</si>
  <si>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</si>
  <si>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</si>
  <si>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</si>
  <si>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</si>
  <si>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</si>
  <si>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</si>
  <si>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</si>
  <si>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</si>
  <si>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</si>
  <si>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</si>
  <si>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</si>
  <si>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</si>
  <si>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</si>
  <si>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Expenditure related to Network+ Sewage Treatment &amp; Disposal totalling £9.6m is associated with the delivery of nine NEP schemes at: Bolton on Dearne (£1.5m), Stocksbridge (£0.5m), Tankersley (£0.1m), Dronfield (£3.7m), Lundwood (£2.3m), Leven (£0.6m), Cherry Burton (£0.3m), West Bretton (£0.4m) and Hillam (£0.7m).
Expenditure related to Sludge Treatment (£2.1m) relates to NEP enhancements at our Dronfield site.
All schemes have been completed by their agreed compliance dates of 31st March 2020.  The cumulative expenditure totalling £73.0m is on schemes completed in year at Bolton on Dearne (£12.0m),  Stocksbridge (£10.9m),  Lundwood (£17.6m) and Hillam (£4.3m), with the remaining £5.7m on the solutions at Leven, Cherry Burton and West Bretton all within the sewage treatment and disposal price control.
Dronfield is the only site allocated to both the sewage treatment and sludge treatment price controls. The scheme also concluded within the year costing £22.3m (£15.1m &amp; £7.2m).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</si>
  <si>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</si>
  <si>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</si>
  <si>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</si>
  <si>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</si>
  <si>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</si>
  <si>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</si>
  <si>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</si>
  <si>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</si>
  <si>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</si>
  <si>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</si>
  <si>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</si>
  <si>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</si>
  <si>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</si>
  <si>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</si>
  <si>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</si>
  <si>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</si>
  <si>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</si>
  <si>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</si>
  <si>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</si>
  <si>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</si>
  <si>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</si>
  <si>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</si>
  <si>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</si>
  <si>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</si>
  <si>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</si>
  <si>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</si>
  <si>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</si>
  <si>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</si>
  <si>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</si>
  <si>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</si>
  <si>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</si>
  <si>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</si>
  <si>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</si>
  <si>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</si>
  <si>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</si>
  <si>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</si>
  <si>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</si>
  <si>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</si>
  <si>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</si>
  <si>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</si>
  <si>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</si>
  <si>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</si>
  <si>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</si>
  <si>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</si>
  <si>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</si>
  <si>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</si>
  <si>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</si>
  <si>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</si>
  <si>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</si>
  <si>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</si>
  <si>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</si>
  <si>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</si>
  <si>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</si>
  <si>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</si>
  <si>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</si>
  <si>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</si>
  <si>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</si>
  <si>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</si>
  <si>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</si>
  <si>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</si>
  <si>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</si>
  <si>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</si>
  <si>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</si>
  <si>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</si>
  <si>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</si>
  <si>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</si>
  <si>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</si>
  <si>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</si>
  <si>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</si>
  <si>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</si>
  <si>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</si>
  <si>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</si>
  <si>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</si>
  <si>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</si>
  <si>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</si>
  <si>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</si>
  <si>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</si>
  <si>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</si>
  <si>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</si>
  <si>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</si>
  <si>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</si>
  <si>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</si>
  <si>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</si>
  <si>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</si>
  <si>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</si>
  <si>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</si>
  <si>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</si>
  <si>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</si>
  <si>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</si>
  <si>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</si>
  <si>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</si>
  <si>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</si>
  <si>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</si>
  <si>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</si>
  <si>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</si>
  <si>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</si>
  <si>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</si>
  <si>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</si>
  <si>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</si>
  <si>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</si>
  <si>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 xml:space="preserve">Expenditure in the year of £3.3m across Network+ Sewage Collection is to ensure we are compliant under Section 98 of the Water Industry Act 1991 to provide a public sewer to be used for the drainage (for domestic purposes) of premises in a particular locality in the area subject to certain conditions. Investment is across many schemes ongoing throughout the year.
Cumulative expenditure of £1.2m relates primarily to three schemes at Cobblers Lane, Pontefract (£1.0m), Harland Way, Cottingham (£0.2m) and Allerton Golf Club (£0.1m) completed in the report year. </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</si>
  <si>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</si>
  <si>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</si>
  <si>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</si>
  <si>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</si>
  <si>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</si>
  <si>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</si>
  <si>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</si>
  <si>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</si>
  <si>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</si>
  <si>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</si>
  <si>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</si>
  <si>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</si>
  <si>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</si>
  <si>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</si>
  <si>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</si>
  <si>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</si>
  <si>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</si>
  <si>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</si>
  <si>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</si>
  <si>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</si>
  <si>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 xml:space="preserve">Expenditure within sewage treatment and disposal is at numerous sites with three sites completing in the report year at Whitby STW (£0.5m), Richmond &amp; High Royd (&lt;£0.1m). </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</si>
  <si>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</si>
  <si>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</si>
  <si>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</si>
  <si>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</si>
  <si>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</si>
  <si>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</si>
  <si>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</si>
  <si>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</si>
  <si>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</si>
  <si>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</si>
  <si>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</si>
  <si>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</si>
  <si>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</si>
  <si>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</si>
  <si>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</si>
  <si>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</si>
  <si>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</si>
  <si>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</si>
  <si>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</si>
  <si>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</si>
  <si>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</si>
  <si>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</si>
  <si>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</si>
  <si>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</si>
  <si>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</si>
  <si>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</si>
  <si>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</si>
  <si>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</si>
  <si>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</si>
  <si>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</si>
  <si>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</si>
  <si>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</si>
  <si>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</si>
  <si>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</si>
  <si>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</si>
  <si>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</si>
  <si>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</si>
  <si>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</si>
  <si>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 xml:space="preserve">Investment in the current year of £1.7m to deliver physical security works improvements to ensure we are compliant with our security obligations at relevant sites across all of our wastewater assets. The scope of work includes all elements of security including fences, enclosures (buildings and kiosks), access covers, access points (doors and windows) and alarms.
This is a rolling programme of work that continues throughout the AMP across many hundreds of sites. All remaining sites have been completed in the current year and therefore included in the cumulative expenditure totalling £4.9m. </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</si>
  <si>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</si>
  <si>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</si>
  <si>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</si>
  <si>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</si>
  <si>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</si>
  <si>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</si>
  <si>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</si>
  <si>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</si>
  <si>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</si>
  <si>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</si>
  <si>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</si>
  <si>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</si>
  <si>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</si>
  <si>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</si>
  <si>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</si>
  <si>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</si>
  <si>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</si>
  <si>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</si>
  <si>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</si>
  <si>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</si>
  <si>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Expenditure across network+ sewage collection primarily comprises the resolution of internal flooding issues at various sites with the main expenditure in the report year associated with 6 locations at Goole Fire Station (£0.9m), Hazelwood Street CSO (£0.5m), Joseph Fletcher Drive (£0.5m), St Dunstans Way, Bradford (£0.5m), Illsley Road, Barnsley (£0.3m), and Bell Lane, Pontefract (£0.3m) as well as £0.5m associated with the annual regional block to provide low value sewer flooding mitigation solutions to customers where the long term solution is not yet known or affordable at present.
Cumulative expenditure is driven by the completion of outputs at Goole Fire Station (£4.2m), Hazelwood Street (£1.9m),  Illsley Road, Barnsley (£0.5m) and the completion of the sewer flooding mitigation block (£0.7m).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</si>
  <si>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</si>
  <si>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</si>
  <si>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</si>
  <si>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</si>
  <si>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</si>
  <si>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</si>
  <si>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</si>
  <si>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</si>
  <si>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</si>
  <si>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</si>
  <si>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</si>
  <si>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</si>
  <si>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</si>
  <si>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</si>
  <si>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</si>
  <si>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</si>
  <si>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</si>
  <si>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</si>
  <si>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</si>
  <si>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</si>
  <si>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Expenditure within sewage collection relates to the improvements required to private sewers adopted in the last AMP period to bring these assets up to our asset standard. These are block schemes totalling £6.1m in the current report year which are a collaboration of many different sites doing the same reactive work. As we are at the end of the AMP period all remaining block schemes have now completed and as so are reported within the cumulative expenditure totalling £8.8m.
Other investment in the current year is associated with improvements to transferred private pumping stations to bring these assets up to a safe and service able asset standard (£1.5m). Again as we are at the end of the AMP period all remaining block schemes have now completed and as so are reported within the cumulative expenditure totalling £6.1m.</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</si>
  <si>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</si>
  <si>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</si>
  <si>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</si>
  <si>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</si>
  <si>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</si>
  <si>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</si>
  <si>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</si>
  <si>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</si>
  <si>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</si>
  <si>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</si>
  <si>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</si>
  <si>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</si>
  <si>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</si>
  <si>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</si>
  <si>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</si>
  <si>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</si>
  <si>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</si>
  <si>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</si>
  <si>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</si>
  <si>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Bathing water ELoS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</si>
  <si>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</si>
  <si>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</si>
  <si>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</si>
  <si>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</si>
  <si>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</si>
  <si>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</si>
  <si>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</si>
  <si>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</si>
  <si>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</si>
  <si>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</si>
  <si>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</si>
  <si>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</si>
  <si>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</si>
  <si>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</si>
  <si>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</si>
  <si>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</si>
  <si>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</si>
  <si>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</si>
  <si>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</si>
  <si>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Pollution ELoS</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</si>
  <si>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</si>
  <si>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</si>
  <si>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</si>
  <si>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</si>
  <si>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</si>
  <si>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</si>
  <si>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</si>
  <si>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</si>
  <si>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</si>
  <si>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</si>
  <si>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</si>
  <si>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</si>
  <si>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</si>
  <si>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</si>
  <si>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</si>
  <si>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</si>
  <si>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</si>
  <si>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</si>
  <si>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</si>
  <si>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Connections (if applicable)</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</si>
  <si>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</si>
  <si>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</si>
  <si>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</si>
  <si>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</si>
  <si>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</si>
  <si>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</si>
  <si>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</si>
  <si>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</si>
  <si>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</si>
  <si>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</si>
  <si>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</si>
  <si>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</si>
  <si>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</si>
  <si>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</si>
  <si>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</si>
  <si>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</si>
  <si>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</si>
  <si>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</si>
  <si>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</si>
  <si>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Emergency Overflow Appeals</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</si>
  <si>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</si>
  <si>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</si>
  <si>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</si>
  <si>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</si>
  <si>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</si>
  <si>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</si>
  <si>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</si>
  <si>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</si>
  <si>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</si>
  <si>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</si>
  <si>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</si>
  <si>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</si>
  <si>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</si>
  <si>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</si>
  <si>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</si>
  <si>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</si>
  <si>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</si>
  <si>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</si>
  <si>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</si>
  <si>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</si>
  <si>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</si>
  <si>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</si>
  <si>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</si>
  <si>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</si>
  <si>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</si>
  <si>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</si>
  <si>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</si>
  <si>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</si>
  <si>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</si>
  <si>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</si>
  <si>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</si>
  <si>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</si>
  <si>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</si>
  <si>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</si>
  <si>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</si>
  <si>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</si>
  <si>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</si>
  <si>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</si>
  <si>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Pollution - UQ</t>
  </si>
  <si>
    <t>As part of our plan to target upper quartile pollution performance reported expenditure this year relates mainly to rising main investigations at high priority sites (£0.3m) as well as delivery of the rising main improvements over 10 sites including Water Lane (£0.2m) Kilnsey (£0.6m) Lebberston (£1.0m), Hutton Cranswick (£1.7m), Shipton Road (£0.8m), Foss Bank, York (£0.1m), Pollsbrook SPS (£0.4m), Sleights SPS (£0.1m), Eastrington SPS (£1.5m), Worry Goose SPS (£0.6m), the installation of telemetry e.g. pollution loggers &amp; 'Reach Out' controllers on Sewage Pumping Stations as part of our wastewater asset visibility programme (£1.1m). Purchasing of additional new vehicles to support new colleagues joining the organisation (£1.0m) , and the continuation of our PMIC programme of works totalling £0.9m to understand where our repeat pollution risks are happening and promote low cost simple solutions to address.
As the AMP6 UQ programme has now completed all remaining live solutions have been completed and included within the cumulative expenditure for schemes completed in the report year.</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</si>
  <si>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</si>
  <si>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</si>
  <si>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</si>
  <si>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</si>
  <si>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</si>
  <si>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</si>
  <si>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</si>
  <si>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</si>
  <si>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</si>
  <si>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</si>
  <si>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</si>
  <si>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</si>
  <si>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</si>
  <si>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</si>
  <si>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</si>
  <si>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</si>
  <si>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</si>
  <si>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</si>
  <si>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</si>
  <si>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Internal Flooding - UQ</t>
  </si>
  <si>
    <t>As part of our plan to target upper quartile internal flooding performance expenditure this year relates to schemes aimed at tackling internal flooding other causes in discreet problem zones in Armley, Burley, Harehills, West Halifax and Beeston (£8.0m), as well as a significant increase in proactive sewer network investigation CCTV and repair programmes of work (£6.3m) supported by the introduction of larger scale defects rectification programme (£8.2m) of more complex solutions that cannot be resolved using the reactive block schemes. We are also continuing the transformation of the Customer Field Services teams with internal resources being used for all non civils work which was started last year (£8.0m) and also requires the purchasing of additional vans, CCTV units and tankers to support new colleagues (£3.0m).
As the AMP6 UQ programme has now completed all remaining live solutions have been completed and included within the cumulative expenditure for schemes completed in the report year.</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</si>
  <si>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</si>
  <si>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</si>
  <si>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</si>
  <si>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</si>
  <si>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</si>
  <si>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</si>
  <si>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</si>
  <si>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</si>
  <si>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</si>
  <si>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</si>
  <si>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</si>
  <si>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</si>
  <si>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</si>
  <si>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</si>
  <si>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</si>
  <si>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</si>
  <si>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</si>
  <si>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</si>
  <si>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</si>
  <si>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Expenditure within the reporting year represents ongoing activity in Waverley (South Yorkshire) relating to the construction of two rising mains and a gravity sewer.</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</si>
  <si>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</si>
  <si>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</si>
  <si>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</si>
  <si>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</si>
  <si>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</si>
  <si>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</si>
  <si>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</si>
  <si>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</si>
  <si>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</si>
  <si>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</si>
  <si>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</si>
  <si>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</si>
  <si>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</si>
  <si>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</si>
  <si>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</si>
  <si>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</si>
  <si>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</si>
  <si>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</si>
  <si>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</si>
  <si>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As per ‘IN 20/03’, published in April 2020, we have deviated from RAG 4.08 by including expenditure related to our AMP7 transition programme within this table (£4.0m). The investment this year has allowed us to continue the work started last year on the chemical investigation programme (£3.4m) and early design work on several sites included as part of the wastewater AMP7 WINEP programme (£0.7m).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</si>
  <si>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</si>
  <si>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</si>
  <si>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</si>
  <si>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</si>
  <si>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</si>
  <si>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</si>
  <si>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</si>
  <si>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</si>
  <si>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</si>
  <si>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</si>
  <si>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</si>
  <si>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</si>
  <si>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</si>
  <si>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</si>
  <si>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</si>
  <si>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</si>
  <si>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</si>
  <si>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</si>
  <si>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</si>
  <si>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</si>
  <si>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</si>
  <si>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</si>
  <si>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</si>
  <si>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</si>
  <si>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</si>
  <si>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</si>
  <si>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</si>
  <si>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</si>
  <si>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</si>
  <si>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</si>
  <si>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</si>
  <si>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</si>
  <si>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</si>
  <si>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</si>
  <si>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</si>
  <si>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</si>
  <si>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</si>
  <si>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</si>
  <si>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</si>
  <si>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</si>
  <si>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</si>
  <si>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</si>
  <si>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</si>
  <si>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</si>
  <si>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</si>
  <si>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</si>
  <si>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</si>
  <si>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</si>
  <si>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</si>
  <si>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</si>
  <si>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</si>
  <si>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</si>
  <si>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</si>
  <si>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</si>
  <si>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</si>
  <si>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</si>
  <si>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</si>
  <si>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</si>
  <si>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</si>
  <si>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</si>
  <si>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</si>
  <si>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</si>
  <si>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</si>
  <si>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</si>
  <si>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</si>
  <si>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</si>
  <si>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</si>
  <si>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</si>
  <si>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</si>
  <si>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</si>
  <si>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</si>
  <si>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</si>
  <si>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</si>
  <si>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</si>
  <si>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</si>
  <si>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</si>
  <si>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</si>
  <si>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</si>
  <si>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</si>
  <si>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</si>
  <si>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</si>
  <si>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</si>
  <si>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</si>
  <si>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</si>
  <si>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</si>
  <si>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</si>
  <si>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</si>
  <si>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</si>
  <si>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</si>
  <si>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</si>
  <si>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</si>
  <si>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</si>
  <si>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</si>
  <si>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</si>
  <si>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</si>
  <si>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</si>
  <si>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</si>
  <si>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</si>
  <si>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</si>
  <si>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</si>
  <si>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</si>
  <si>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</si>
  <si>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</si>
  <si>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</si>
  <si>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</si>
  <si>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</si>
  <si>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</si>
  <si>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</si>
  <si>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</si>
  <si>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</si>
  <si>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</si>
  <si>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</si>
  <si>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</si>
  <si>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</si>
  <si>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</si>
  <si>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</si>
  <si>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</si>
  <si>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</si>
  <si>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</si>
  <si>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</si>
  <si>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</si>
  <si>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</si>
  <si>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</si>
  <si>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</si>
  <si>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</si>
  <si>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</si>
  <si>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</si>
  <si>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</si>
  <si>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</si>
  <si>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</si>
  <si>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</si>
  <si>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</si>
  <si>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</si>
  <si>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</si>
  <si>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</si>
  <si>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</si>
  <si>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</si>
  <si>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</si>
  <si>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</si>
  <si>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</si>
  <si>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</si>
  <si>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</si>
  <si>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</si>
  <si>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</si>
  <si>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</si>
  <si>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</si>
  <si>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</si>
  <si>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</si>
  <si>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</si>
  <si>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</si>
  <si>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</si>
  <si>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</si>
  <si>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</si>
  <si>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</si>
  <si>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</si>
  <si>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</si>
  <si>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</si>
  <si>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</si>
  <si>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</si>
  <si>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</si>
  <si>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</si>
  <si>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</si>
  <si>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</si>
  <si>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</si>
  <si>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</si>
  <si>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</si>
  <si>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</si>
  <si>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</si>
  <si>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</si>
  <si>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</si>
  <si>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</si>
  <si>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</si>
  <si>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</si>
  <si>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</si>
  <si>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</si>
  <si>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</si>
  <si>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</si>
  <si>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</si>
  <si>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</si>
  <si>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</si>
  <si>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</si>
  <si>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</si>
  <si>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</si>
  <si>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</si>
  <si>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</si>
  <si>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</si>
  <si>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</si>
  <si>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</si>
  <si>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</si>
  <si>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</si>
  <si>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</si>
  <si>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</si>
  <si>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</si>
  <si>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</si>
  <si>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</si>
  <si>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</si>
  <si>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</si>
  <si>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</si>
  <si>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</si>
  <si>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</si>
  <si>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</si>
  <si>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</si>
  <si>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</si>
  <si>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</si>
  <si>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</si>
  <si>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</si>
  <si>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</si>
  <si>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</si>
  <si>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</si>
  <si>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</si>
  <si>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</si>
  <si>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</si>
  <si>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</si>
  <si>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</si>
  <si>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</si>
  <si>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</si>
  <si>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</si>
  <si>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</si>
  <si>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</si>
  <si>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</si>
  <si>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</si>
  <si>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</si>
  <si>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</si>
  <si>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</si>
  <si>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</si>
  <si>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</si>
  <si>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</si>
  <si>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</si>
  <si>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</si>
  <si>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</si>
  <si>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</si>
  <si>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</si>
  <si>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</si>
  <si>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</si>
  <si>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</si>
  <si>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</si>
  <si>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</si>
  <si>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</si>
  <si>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</si>
  <si>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</si>
  <si>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</si>
  <si>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</si>
  <si>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</si>
  <si>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</si>
  <si>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</si>
  <si>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</si>
  <si>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</si>
  <si>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</si>
  <si>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</si>
  <si>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</si>
  <si>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</si>
  <si>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</si>
  <si>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</si>
  <si>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</si>
  <si>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</si>
  <si>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</si>
  <si>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</si>
  <si>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</si>
  <si>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</si>
  <si>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</si>
  <si>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</si>
  <si>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</si>
  <si>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</si>
  <si>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</si>
  <si>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</si>
  <si>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</si>
  <si>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</si>
  <si>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</si>
  <si>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</si>
  <si>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</si>
  <si>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</si>
  <si>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</si>
  <si>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</si>
  <si>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</si>
  <si>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</si>
  <si>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</si>
  <si>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</si>
  <si>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</si>
  <si>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</si>
  <si>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</si>
  <si>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</si>
  <si>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</si>
  <si>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</si>
  <si>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</si>
  <si>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</si>
  <si>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</si>
  <si>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</si>
  <si>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</si>
  <si>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</si>
  <si>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</si>
  <si>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</si>
  <si>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</si>
  <si>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</si>
  <si>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</si>
  <si>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</si>
  <si>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</si>
  <si>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</si>
  <si>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</si>
  <si>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</si>
  <si>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</si>
  <si>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</si>
  <si>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</si>
  <si>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</si>
  <si>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</si>
  <si>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</si>
  <si>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</si>
  <si>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</si>
  <si>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</si>
  <si>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</si>
  <si>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</si>
  <si>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</si>
  <si>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</si>
  <si>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</si>
  <si>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</si>
  <si>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</si>
  <si>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</si>
  <si>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</si>
  <si>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</si>
  <si>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</si>
  <si>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</si>
  <si>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</si>
  <si>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</si>
  <si>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</si>
  <si>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</si>
  <si>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</si>
  <si>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</si>
  <si>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</si>
  <si>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4O.2</t>
  </si>
  <si>
    <t>Classification of treatment works</t>
  </si>
  <si>
    <t>STWB045</t>
  </si>
  <si>
    <t>SAS</t>
  </si>
  <si>
    <t>TB1</t>
  </si>
  <si>
    <t>TA2</t>
  </si>
  <si>
    <t>SB</t>
  </si>
  <si>
    <t>TA1</t>
  </si>
  <si>
    <t>TB2</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</si>
  <si>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</si>
  <si>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</si>
  <si>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</si>
  <si>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</si>
  <si>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</si>
  <si>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</si>
  <si>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</si>
  <si>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</si>
  <si>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</si>
  <si>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</si>
  <si>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</si>
  <si>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</si>
  <si>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</si>
  <si>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</si>
  <si>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</si>
  <si>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</si>
  <si>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</si>
  <si>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</si>
  <si>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</si>
  <si>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</si>
  <si>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</si>
  <si>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</si>
  <si>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</si>
  <si>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</si>
  <si>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</si>
  <si>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</si>
  <si>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</si>
  <si>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</si>
  <si>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</si>
  <si>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</si>
  <si>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</si>
  <si>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</si>
  <si>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</si>
  <si>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</si>
  <si>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</si>
  <si>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</si>
  <si>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</si>
  <si>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</si>
  <si>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</si>
  <si>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</si>
  <si>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</si>
  <si>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</si>
  <si>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</si>
  <si>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</si>
  <si>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</si>
  <si>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</si>
  <si>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</si>
  <si>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</si>
  <si>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4.08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</si>
  <si>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</si>
  <si>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</si>
  <si>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</si>
  <si>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</si>
  <si>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</si>
  <si>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</si>
  <si>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</si>
  <si>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</si>
  <si>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</si>
  <si>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</si>
  <si>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</si>
  <si>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</si>
  <si>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</si>
  <si>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</si>
  <si>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</si>
  <si>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</si>
  <si>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</si>
  <si>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</si>
  <si>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</si>
  <si>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</si>
  <si>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</si>
  <si>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</si>
  <si>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</si>
  <si>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</si>
  <si>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</si>
  <si>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</si>
  <si>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</si>
  <si>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</si>
  <si>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</si>
  <si>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</si>
  <si>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</si>
  <si>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</si>
  <si>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</si>
  <si>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</si>
  <si>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</si>
  <si>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</si>
  <si>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</si>
  <si>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</si>
  <si>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</si>
  <si>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</si>
  <si>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</si>
  <si>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</si>
  <si>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</si>
  <si>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</si>
  <si>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</si>
  <si>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</si>
  <si>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</si>
  <si>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</si>
  <si>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</si>
  <si>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</si>
  <si>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</si>
  <si>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</si>
  <si>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</si>
  <si>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</si>
  <si>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</si>
  <si>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</si>
  <si>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</si>
  <si>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</si>
  <si>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</si>
  <si>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</si>
  <si>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</si>
  <si>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</si>
  <si>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</si>
  <si>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</si>
  <si>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</si>
  <si>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</si>
  <si>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</si>
  <si>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</si>
  <si>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</si>
  <si>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</si>
  <si>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</si>
  <si>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</si>
  <si>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</si>
  <si>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</si>
  <si>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</si>
  <si>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</si>
  <si>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</si>
  <si>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</si>
  <si>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</si>
  <si>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</si>
  <si>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</si>
  <si>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</si>
  <si>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</si>
  <si>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</si>
  <si>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</si>
  <si>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</si>
  <si>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</si>
  <si>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</si>
  <si>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</si>
  <si>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</si>
  <si>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</si>
  <si>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</si>
  <si>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</si>
  <si>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</si>
  <si>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</si>
  <si>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</si>
  <si>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</si>
  <si>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</si>
  <si>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</si>
  <si>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</si>
  <si>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</si>
  <si>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</si>
  <si>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</si>
  <si>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</si>
  <si>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</si>
  <si>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</si>
  <si>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</si>
  <si>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</si>
  <si>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</si>
  <si>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</si>
  <si>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</si>
  <si>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</si>
  <si>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</si>
  <si>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</si>
  <si>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</si>
  <si>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</si>
  <si>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</si>
  <si>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</si>
  <si>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</si>
  <si>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</si>
  <si>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</si>
  <si>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</si>
  <si>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</si>
  <si>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</si>
  <si>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</si>
  <si>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</si>
  <si>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</si>
  <si>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</si>
  <si>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</si>
  <si>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</si>
  <si>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</si>
  <si>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</si>
  <si>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</si>
  <si>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</si>
  <si>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</si>
  <si>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</si>
  <si>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</si>
  <si>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</si>
  <si>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</si>
  <si>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</si>
  <si>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</si>
  <si>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</si>
  <si>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</si>
  <si>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</si>
  <si>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</si>
  <si>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</si>
  <si>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</si>
  <si>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</si>
  <si>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</si>
  <si>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</si>
  <si>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</si>
  <si>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</si>
  <si>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</si>
  <si>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</si>
  <si>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</si>
  <si>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</si>
  <si>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</si>
  <si>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</si>
  <si>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</si>
  <si>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</si>
  <si>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</si>
  <si>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</si>
  <si>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</si>
  <si>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</si>
  <si>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</si>
  <si>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</si>
  <si>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</si>
  <si>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</si>
  <si>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</si>
  <si>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</si>
  <si>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</si>
  <si>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</si>
  <si>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</si>
  <si>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</si>
  <si>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</si>
  <si>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</si>
  <si>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</si>
  <si>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</si>
  <si>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</si>
  <si>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</si>
  <si>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</si>
  <si>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</si>
  <si>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</si>
  <si>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</si>
  <si>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</si>
  <si>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</si>
  <si>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</si>
  <si>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</si>
  <si>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</si>
  <si>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</si>
  <si>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</si>
  <si>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</si>
  <si>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</si>
  <si>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</si>
  <si>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</si>
  <si>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</si>
  <si>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</si>
  <si>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</si>
  <si>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</si>
  <si>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</si>
  <si>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</si>
  <si>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</si>
  <si>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</si>
  <si>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</si>
  <si>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</si>
  <si>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</si>
  <si>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</si>
  <si>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Langsett Water Treatment Works</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</si>
  <si>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</si>
  <si>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</si>
  <si>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</si>
  <si>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</si>
  <si>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</si>
  <si>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</si>
  <si>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</si>
  <si>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</si>
  <si>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</si>
  <si>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</si>
  <si>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</si>
  <si>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</si>
  <si>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</si>
  <si>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</si>
  <si>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</si>
  <si>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</si>
  <si>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</si>
  <si>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</si>
  <si>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</si>
  <si>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</si>
  <si>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</si>
  <si>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</si>
  <si>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</si>
  <si>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</si>
  <si>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</si>
  <si>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</si>
  <si>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</si>
  <si>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</si>
  <si>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</si>
  <si>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</si>
  <si>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</si>
  <si>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</si>
  <si>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</si>
  <si>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</si>
  <si>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</si>
  <si>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</si>
  <si>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</si>
  <si>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</si>
  <si>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</si>
  <si>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</si>
  <si>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</si>
  <si>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</si>
  <si>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</si>
  <si>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</si>
  <si>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</si>
  <si>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</si>
  <si>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</si>
  <si>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</si>
  <si>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</si>
  <si>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</si>
  <si>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</si>
  <si>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</si>
  <si>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</si>
  <si>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</si>
  <si>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</si>
  <si>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</si>
  <si>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</si>
  <si>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</si>
  <si>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</si>
  <si>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</si>
  <si>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</si>
  <si>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</si>
  <si>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</si>
  <si>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</si>
  <si>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</si>
  <si>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</si>
  <si>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</si>
  <si>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</si>
  <si>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</si>
  <si>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</si>
  <si>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</si>
  <si>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</si>
  <si>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</si>
  <si>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</si>
  <si>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</si>
  <si>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</si>
  <si>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</si>
  <si>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</si>
  <si>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</si>
  <si>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</si>
  <si>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</si>
  <si>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</si>
  <si>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</si>
  <si>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</si>
  <si>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</si>
  <si>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</si>
  <si>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</si>
  <si>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</si>
  <si>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</si>
  <si>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</si>
  <si>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</si>
  <si>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</si>
  <si>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</si>
  <si>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</si>
  <si>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</si>
  <si>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</si>
  <si>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</si>
  <si>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</si>
  <si>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</si>
  <si>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</si>
  <si>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</si>
  <si>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</si>
  <si>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</si>
  <si>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</si>
  <si>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</si>
  <si>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</si>
  <si>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</si>
  <si>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</si>
  <si>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</si>
  <si>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</si>
  <si>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</si>
  <si>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</si>
  <si>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</si>
  <si>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</si>
  <si>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</si>
  <si>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</si>
  <si>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</si>
  <si>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</si>
  <si>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</si>
  <si>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</si>
  <si>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</si>
  <si>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</si>
  <si>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</si>
  <si>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</si>
  <si>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</si>
  <si>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</si>
  <si>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</si>
  <si>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</si>
  <si>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</si>
  <si>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</si>
  <si>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</si>
  <si>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</si>
  <si>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</si>
  <si>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</si>
  <si>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</si>
  <si>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</si>
  <si>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</si>
  <si>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</si>
  <si>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</si>
  <si>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</si>
  <si>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</si>
  <si>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</si>
  <si>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</si>
  <si>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</si>
  <si>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</si>
  <si>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</si>
  <si>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</si>
  <si>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</si>
  <si>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</si>
  <si>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</si>
  <si>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</si>
  <si>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</si>
  <si>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</si>
  <si>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</si>
  <si>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</si>
  <si>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</si>
  <si>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</si>
  <si>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</si>
  <si>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</si>
  <si>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</si>
  <si>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</si>
  <si>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</si>
  <si>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</si>
  <si>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</si>
  <si>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</si>
  <si>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</si>
  <si>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</si>
  <si>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</si>
  <si>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</si>
  <si>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</si>
  <si>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</si>
  <si>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</si>
  <si>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</si>
  <si>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</si>
  <si>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</si>
  <si>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</si>
  <si>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</si>
  <si>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</si>
  <si>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</si>
  <si>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</si>
  <si>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</si>
  <si>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</si>
  <si>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</si>
  <si>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</si>
  <si>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</si>
  <si>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</si>
  <si>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</si>
  <si>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</si>
  <si>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</si>
  <si>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</si>
  <si>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</si>
  <si>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</si>
  <si>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</si>
  <si>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</si>
  <si>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</si>
  <si>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</si>
  <si>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</si>
  <si>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</si>
  <si>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</si>
  <si>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</si>
  <si>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</si>
  <si>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</si>
  <si>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</si>
  <si>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</si>
  <si>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</si>
  <si>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</si>
  <si>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</si>
  <si>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</si>
  <si>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</si>
  <si>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</si>
  <si>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</si>
  <si>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</si>
  <si>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</si>
  <si>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</si>
  <si>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</si>
  <si>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</si>
  <si>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</si>
  <si>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</si>
  <si>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</si>
  <si>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</si>
  <si>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</si>
  <si>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</si>
  <si>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</si>
  <si>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</si>
  <si>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</si>
  <si>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</si>
  <si>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</si>
  <si>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</si>
  <si>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</si>
  <si>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</si>
  <si>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</si>
  <si>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</si>
  <si>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</si>
  <si>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</si>
  <si>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</si>
  <si>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</si>
  <si>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</si>
  <si>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</si>
  <si>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</si>
  <si>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</si>
  <si>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</si>
  <si>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</si>
  <si>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</si>
  <si>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</si>
  <si>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</si>
  <si>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</si>
  <si>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</si>
  <si>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</si>
  <si>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</si>
  <si>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</si>
  <si>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</si>
  <si>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</si>
  <si>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</si>
  <si>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</si>
  <si>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</si>
  <si>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</si>
  <si>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</si>
  <si>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</si>
  <si>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</si>
  <si>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</si>
  <si>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</si>
  <si>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</si>
  <si>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</si>
  <si>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</si>
  <si>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</si>
  <si>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</si>
  <si>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</si>
  <si>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</si>
  <si>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</si>
  <si>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</si>
  <si>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</si>
  <si>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</si>
  <si>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</si>
  <si>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</si>
  <si>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</si>
  <si>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</si>
  <si>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</si>
  <si>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</si>
  <si>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</si>
  <si>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</si>
  <si>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</si>
  <si>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</si>
  <si>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</si>
  <si>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</si>
  <si>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</si>
  <si>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</si>
  <si>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</si>
  <si>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</si>
  <si>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</si>
  <si>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</si>
  <si>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</si>
  <si>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</si>
  <si>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</si>
  <si>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</si>
  <si>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</si>
  <si>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</si>
  <si>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</si>
  <si>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</si>
  <si>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</si>
  <si>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</si>
  <si>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</si>
  <si>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</si>
  <si>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</si>
  <si>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</si>
  <si>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</si>
  <si>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</si>
  <si>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</si>
  <si>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</si>
  <si>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</si>
  <si>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</si>
  <si>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</si>
  <si>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</si>
  <si>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</si>
  <si>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</si>
  <si>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</si>
  <si>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</si>
  <si>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</si>
  <si>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</si>
  <si>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</si>
  <si>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</si>
  <si>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</si>
  <si>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</si>
  <si>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</si>
  <si>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</si>
  <si>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</si>
  <si>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</si>
  <si>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</si>
  <si>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</si>
  <si>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</si>
  <si>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</si>
  <si>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</si>
  <si>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</si>
  <si>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</si>
  <si>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</si>
  <si>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</si>
  <si>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</si>
  <si>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</si>
  <si>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</si>
  <si>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</si>
  <si>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</si>
  <si>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</si>
  <si>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</si>
  <si>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</si>
  <si>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</si>
  <si>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</si>
  <si>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</si>
  <si>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</si>
  <si>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</si>
  <si>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</si>
  <si>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</si>
  <si>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</si>
  <si>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</si>
  <si>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</si>
  <si>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</si>
  <si>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</si>
  <si>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</si>
  <si>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</si>
  <si>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</si>
  <si>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</si>
  <si>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</si>
  <si>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</si>
  <si>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</si>
  <si>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</si>
  <si>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</si>
  <si>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</si>
  <si>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</si>
  <si>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</si>
  <si>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</si>
  <si>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</si>
  <si>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</si>
  <si>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</si>
  <si>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</si>
  <si>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</si>
  <si>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</si>
  <si>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</si>
  <si>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</si>
  <si>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</si>
  <si>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</si>
  <si>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</si>
  <si>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</si>
  <si>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4Q.28</t>
  </si>
  <si>
    <t>Compliance Risk Index</t>
  </si>
  <si>
    <t>QEBW0183</t>
  </si>
  <si>
    <t>DWI Figure received</t>
  </si>
  <si>
    <t>Event Risk Index</t>
  </si>
  <si>
    <t>QEBW0184</t>
  </si>
  <si>
    <t>4Q.30</t>
  </si>
  <si>
    <t>Volume of Leakage above or below the sustainable economic Level</t>
  </si>
  <si>
    <t>BN2341</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</si>
  <si>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</si>
  <si>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</si>
  <si>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</si>
  <si>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</si>
  <si>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</si>
  <si>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</si>
  <si>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</si>
  <si>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</si>
  <si>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</si>
  <si>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</si>
  <si>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</si>
  <si>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</si>
  <si>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</si>
  <si>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</si>
  <si>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</si>
  <si>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</si>
  <si>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</si>
  <si>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</si>
  <si>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</si>
  <si>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</si>
  <si>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</si>
  <si>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</si>
  <si>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</si>
  <si>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</si>
  <si>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</si>
  <si>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</si>
  <si>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</si>
  <si>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</si>
  <si>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</si>
  <si>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</si>
  <si>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</si>
  <si>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</si>
  <si>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</si>
  <si>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</si>
  <si>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</si>
  <si>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</si>
  <si>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</si>
  <si>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</si>
  <si>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</si>
  <si>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</si>
  <si>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</si>
  <si>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</si>
  <si>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</si>
  <si>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</si>
  <si>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</si>
  <si>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</si>
  <si>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</si>
  <si>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</si>
  <si>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</si>
  <si>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</si>
  <si>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</si>
  <si>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</si>
  <si>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</si>
  <si>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</si>
  <si>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</si>
  <si>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</si>
  <si>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</si>
  <si>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</si>
  <si>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</si>
  <si>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</si>
  <si>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</si>
  <si>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</si>
  <si>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</si>
  <si>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</si>
  <si>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</si>
  <si>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</si>
  <si>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</si>
  <si>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</si>
  <si>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</si>
  <si>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</si>
  <si>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</si>
  <si>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</si>
  <si>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</si>
  <si>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</si>
  <si>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</si>
  <si>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</si>
  <si>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</si>
  <si>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</si>
  <si>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</si>
  <si>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</si>
  <si>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</si>
  <si>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</si>
  <si>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</si>
  <si>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</si>
  <si>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</si>
  <si>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</si>
  <si>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</si>
  <si>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</si>
  <si>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</si>
  <si>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</si>
  <si>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</si>
  <si>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</si>
  <si>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</si>
  <si>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</si>
  <si>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</si>
  <si>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</si>
  <si>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</si>
  <si>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</si>
  <si>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</si>
  <si>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</si>
  <si>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</si>
  <si>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</si>
  <si>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Yes (of which 2622 km is mapped in the corporate mapping dataset)</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</si>
  <si>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</si>
  <si>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</si>
  <si>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</si>
  <si>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</si>
  <si>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</si>
  <si>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</si>
  <si>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</si>
  <si>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</si>
  <si>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</si>
  <si>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</si>
  <si>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</si>
  <si>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</si>
  <si>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</si>
  <si>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in line with expectation</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</si>
  <si>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</si>
  <si>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</si>
  <si>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</si>
  <si>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</si>
  <si>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</si>
  <si>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</si>
  <si>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</si>
  <si>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</si>
  <si>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</si>
  <si>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</si>
  <si>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</si>
  <si>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</si>
  <si>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</si>
  <si>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</si>
  <si>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</si>
  <si>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</si>
  <si>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</si>
  <si>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</si>
  <si>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</si>
  <si>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</si>
  <si>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</si>
  <si>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</si>
  <si>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</si>
  <si>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</si>
  <si>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</si>
  <si>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</si>
  <si>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</si>
  <si>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</si>
  <si>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</si>
  <si>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</si>
  <si>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</si>
  <si>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</si>
  <si>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</si>
  <si>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</si>
  <si>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</si>
  <si>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</si>
  <si>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</si>
  <si>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</si>
  <si>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</si>
  <si>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</si>
  <si>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</si>
  <si>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</si>
  <si>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</si>
  <si>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</si>
  <si>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</si>
  <si>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</si>
  <si>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</si>
  <si>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</si>
  <si>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</si>
  <si>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</si>
  <si>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</si>
  <si>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</si>
  <si>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</si>
  <si>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</si>
  <si>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</si>
  <si>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</si>
  <si>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</si>
  <si>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</si>
  <si>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</si>
  <si>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</si>
  <si>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</si>
  <si>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</si>
  <si>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</si>
  <si>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</si>
  <si>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</si>
  <si>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</si>
  <si>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</si>
  <si>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</si>
  <si>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</si>
  <si>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</si>
  <si>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</si>
  <si>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</si>
  <si>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</si>
  <si>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</si>
  <si>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</si>
  <si>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</si>
  <si>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</si>
  <si>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</si>
  <si>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</si>
  <si>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</si>
  <si>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</si>
  <si>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</si>
  <si>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</si>
  <si>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</si>
  <si>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</si>
  <si>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</si>
  <si>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</si>
  <si>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</si>
  <si>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</si>
  <si>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</si>
  <si>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</si>
  <si>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</si>
  <si>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</si>
  <si>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</si>
  <si>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</si>
  <si>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</si>
  <si>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</si>
  <si>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</si>
  <si>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</si>
  <si>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</si>
  <si>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</si>
  <si>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</si>
  <si>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</si>
  <si>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</si>
  <si>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</si>
  <si>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</si>
  <si>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</si>
  <si>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</si>
  <si>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</si>
  <si>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</si>
  <si>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</si>
  <si>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</si>
  <si>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</si>
  <si>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</si>
  <si>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</si>
  <si>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</si>
  <si>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</si>
  <si>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</si>
  <si>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2019-20</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</si>
  <si>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</si>
  <si>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</si>
  <si>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</si>
  <si>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</si>
  <si>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</si>
  <si>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</si>
  <si>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</si>
  <si>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</si>
  <si>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</si>
  <si>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</si>
  <si>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</si>
  <si>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</si>
  <si>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</si>
  <si>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</si>
  <si>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</si>
  <si>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</si>
  <si>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</si>
  <si>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</si>
  <si>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</si>
  <si>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</si>
  <si>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</si>
  <si>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</si>
  <si>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</si>
  <si>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</si>
  <si>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</si>
  <si>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</si>
  <si>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</si>
  <si>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</si>
  <si>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</si>
  <si>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</si>
  <si>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</si>
  <si>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</si>
  <si>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</si>
  <si>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</si>
  <si>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</si>
  <si>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</si>
  <si>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</si>
  <si>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</si>
  <si>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</si>
  <si>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</si>
  <si>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</si>
  <si>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</si>
  <si>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</si>
  <si>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</si>
  <si>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</si>
  <si>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</si>
  <si>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</si>
  <si>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</si>
  <si>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</si>
  <si>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</si>
  <si>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</si>
  <si>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</si>
  <si>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</si>
  <si>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</si>
  <si>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</si>
  <si>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</si>
  <si>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</si>
  <si>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</si>
  <si>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</si>
  <si>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</si>
  <si>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</si>
  <si>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</si>
  <si>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</si>
  <si>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</si>
  <si>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</si>
  <si>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</si>
  <si>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</si>
  <si>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</si>
  <si>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</si>
  <si>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</si>
  <si>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</si>
  <si>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</si>
  <si>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</si>
  <si>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</si>
  <si>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</si>
  <si>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</si>
  <si>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</si>
  <si>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</si>
  <si>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</si>
  <si>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</si>
  <si>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</si>
  <si>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</si>
  <si>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</si>
  <si>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</si>
  <si>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</si>
  <si>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</si>
  <si>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</si>
  <si>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</si>
  <si>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</si>
  <si>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</si>
  <si>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</si>
  <si>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</si>
  <si>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</si>
  <si>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</si>
  <si>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</si>
  <si>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</si>
  <si>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</si>
  <si>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</si>
  <si>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</si>
  <si>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</si>
  <si>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</si>
  <si>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</si>
  <si>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</si>
  <si>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</si>
  <si>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</si>
  <si>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</si>
  <si>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</si>
  <si>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</si>
  <si>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</si>
  <si>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</si>
  <si>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</si>
  <si>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</si>
  <si>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</si>
  <si>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</si>
  <si>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</si>
  <si>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</si>
  <si>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</si>
  <si>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</si>
  <si>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</si>
  <si>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</si>
  <si>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</si>
  <si>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</si>
  <si>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</si>
  <si>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</si>
  <si>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</si>
  <si>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</si>
  <si>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</si>
  <si>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</si>
  <si>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</si>
  <si>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</si>
  <si>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</si>
  <si>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</si>
  <si>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</si>
  <si>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</si>
  <si>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</si>
  <si>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</si>
  <si>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</si>
  <si>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</si>
  <si>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</si>
  <si>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</si>
  <si>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</si>
  <si>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</si>
  <si>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</si>
  <si>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</si>
  <si>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</si>
  <si>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</si>
  <si>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</si>
  <si>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</si>
  <si>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</si>
  <si>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</si>
  <si>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</si>
  <si>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</si>
  <si>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</si>
  <si>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</si>
  <si>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</si>
  <si>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</si>
  <si>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</si>
  <si>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</si>
  <si>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</si>
  <si>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</si>
  <si>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</si>
  <si>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</si>
  <si>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</si>
  <si>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</si>
  <si>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</si>
  <si>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</si>
  <si>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</si>
  <si>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</si>
  <si>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</si>
  <si>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</si>
  <si>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</si>
  <si>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</si>
  <si>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</si>
  <si>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</si>
  <si>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</si>
  <si>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</si>
  <si>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</si>
  <si>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</si>
  <si>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</si>
  <si>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</si>
  <si>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</si>
  <si>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</si>
  <si>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</si>
  <si>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</si>
  <si>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</si>
  <si>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</si>
  <si>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</si>
  <si>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</si>
  <si>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</si>
  <si>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</si>
  <si>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</si>
  <si>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</si>
  <si>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</si>
  <si>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2020</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</si>
  <si>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</si>
  <si>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</si>
  <si>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</si>
  <si>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</si>
  <si>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</si>
  <si>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</si>
  <si>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</si>
  <si>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</si>
  <si>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</si>
  <si>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</si>
  <si>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</si>
  <si>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</si>
  <si>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</si>
  <si>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</si>
  <si>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</si>
  <si>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</si>
  <si>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</si>
  <si>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</si>
  <si>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</si>
  <si>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</si>
  <si>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</si>
  <si>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</si>
  <si>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</si>
  <si>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</si>
  <si>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</si>
  <si>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</si>
  <si>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</si>
  <si>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</si>
  <si>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</si>
  <si>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</si>
  <si>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</si>
  <si>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</si>
  <si>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</si>
  <si>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</si>
  <si>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</si>
  <si>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</si>
  <si>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</si>
  <si>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</si>
  <si>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</si>
  <si>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</si>
  <si>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</si>
  <si>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</si>
  <si>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</si>
  <si>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</si>
  <si>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</si>
  <si>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</si>
  <si>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</si>
  <si>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</si>
  <si>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</si>
  <si>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</si>
  <si>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</si>
  <si>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</si>
  <si>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</si>
  <si>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</si>
  <si>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</si>
  <si>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</si>
  <si>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</si>
  <si>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</si>
  <si>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</si>
  <si>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</si>
  <si>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</si>
  <si>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</si>
  <si>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</si>
  <si>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</si>
  <si>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</si>
  <si>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</si>
  <si>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</si>
  <si>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</si>
  <si>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</si>
  <si>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</si>
  <si>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</si>
  <si>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</si>
  <si>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</si>
  <si>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</si>
  <si>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</si>
  <si>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</si>
  <si>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</si>
  <si>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</si>
  <si>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</si>
  <si>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</si>
  <si>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</si>
  <si>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</si>
  <si>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</si>
  <si>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</si>
  <si>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</si>
  <si>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</si>
  <si>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</si>
  <si>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</si>
  <si>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</si>
  <si>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</si>
  <si>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</si>
  <si>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</si>
  <si>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</si>
  <si>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</si>
  <si>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</si>
  <si>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</si>
  <si>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</si>
  <si>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</si>
  <si>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</si>
  <si>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</si>
  <si>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</si>
  <si>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</si>
  <si>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</si>
  <si>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</si>
  <si>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</si>
  <si>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</si>
  <si>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</si>
  <si>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</si>
  <si>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</si>
  <si>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</si>
  <si>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</si>
  <si>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</si>
  <si>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</si>
  <si>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</si>
  <si>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</si>
  <si>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</si>
  <si>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</si>
  <si>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</si>
  <si>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</si>
  <si>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</si>
  <si>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</si>
  <si>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</si>
  <si>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</si>
  <si>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</si>
  <si>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</si>
  <si>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</si>
  <si>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</si>
  <si>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</si>
  <si>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</si>
  <si>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</si>
  <si>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</si>
  <si>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</si>
  <si>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</si>
  <si>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</si>
  <si>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</si>
  <si>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</si>
  <si>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</si>
  <si>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</si>
  <si>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</si>
  <si>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</si>
  <si>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</si>
  <si>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</si>
  <si>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</si>
  <si>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</si>
  <si>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</si>
  <si>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</si>
  <si>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</si>
  <si>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</si>
  <si>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</si>
  <si>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</si>
  <si>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</si>
  <si>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</si>
  <si>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</si>
  <si>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</si>
  <si>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</si>
  <si>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</si>
  <si>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</si>
  <si>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</si>
  <si>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</si>
  <si>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</si>
  <si>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</si>
  <si>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</si>
  <si>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</si>
  <si>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</si>
  <si>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</si>
  <si>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</si>
  <si>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</si>
  <si>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</si>
  <si>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</si>
  <si>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</si>
  <si>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</si>
  <si>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</si>
  <si>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</si>
  <si>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</si>
  <si>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</si>
  <si>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</si>
  <si>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</si>
  <si>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</si>
  <si>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</si>
  <si>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</si>
  <si>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</si>
  <si>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</si>
  <si>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</si>
  <si>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</si>
  <si>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</si>
  <si>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</si>
  <si>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</si>
  <si>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</si>
  <si>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</si>
  <si>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</si>
  <si>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</si>
  <si>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</si>
  <si>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</si>
  <si>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</si>
  <si>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</si>
  <si>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</si>
  <si>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</si>
  <si>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</si>
  <si>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</si>
  <si>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</si>
  <si>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</si>
  <si>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</si>
  <si>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</si>
  <si>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</si>
  <si>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</si>
  <si>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</si>
  <si>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</si>
  <si>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</si>
  <si>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</si>
  <si>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</si>
  <si>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</si>
  <si>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</si>
  <si>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</si>
  <si>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</si>
  <si>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</si>
  <si>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</si>
  <si>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</si>
  <si>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</si>
  <si>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</si>
  <si>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</si>
  <si>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</si>
  <si>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</si>
  <si>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</si>
  <si>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</si>
  <si>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</si>
  <si>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</si>
  <si>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</si>
  <si>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</si>
  <si>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</si>
  <si>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</si>
  <si>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</si>
  <si>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</si>
  <si>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</si>
  <si>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</si>
  <si>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</si>
  <si>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</si>
  <si>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</si>
  <si>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</si>
  <si>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</si>
  <si>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</si>
  <si>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</si>
  <si>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</si>
  <si>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</si>
  <si>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</si>
  <si>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</si>
  <si>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</si>
  <si>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</si>
  <si>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</si>
  <si>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</si>
  <si>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</si>
  <si>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</si>
  <si>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</si>
  <si>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</si>
  <si>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</si>
  <si>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</si>
  <si>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</si>
  <si>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</si>
  <si>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</si>
  <si>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</si>
  <si>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</si>
  <si>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</si>
  <si>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</si>
  <si>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</si>
  <si>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</si>
  <si>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</si>
  <si>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</si>
  <si>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</si>
  <si>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</si>
  <si>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</si>
  <si>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</si>
  <si>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</si>
  <si>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</si>
  <si>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</si>
  <si>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</si>
  <si>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</si>
  <si>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</si>
  <si>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</si>
  <si>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</si>
  <si>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</si>
  <si>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</si>
  <si>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</si>
  <si>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</si>
  <si>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</si>
  <si>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</si>
  <si>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</si>
  <si>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</si>
  <si>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</si>
  <si>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</si>
  <si>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</si>
  <si>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</si>
  <si>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</si>
  <si>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</si>
  <si>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</si>
  <si>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</si>
  <si>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</si>
  <si>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</si>
  <si>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</si>
  <si>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</si>
  <si>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</si>
  <si>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</si>
  <si>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</si>
  <si>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</si>
  <si>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</si>
  <si>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</si>
  <si>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</si>
  <si>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</si>
  <si>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</si>
  <si>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</si>
  <si>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</si>
  <si>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</si>
  <si>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</si>
  <si>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</si>
  <si>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</si>
  <si>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</si>
  <si>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</si>
  <si>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</si>
  <si>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</si>
  <si>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</si>
  <si>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</si>
  <si>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</si>
  <si>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</si>
  <si>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</si>
  <si>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</si>
  <si>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</si>
  <si>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</si>
  <si>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</si>
  <si>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</si>
  <si>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</si>
  <si>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</si>
  <si>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</si>
  <si>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</si>
  <si>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</si>
  <si>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</si>
  <si>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</si>
  <si>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</si>
  <si>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</si>
  <si>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</si>
  <si>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</si>
  <si>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</si>
  <si>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</si>
  <si>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</si>
  <si>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</si>
  <si>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</si>
  <si>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</si>
  <si>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</si>
  <si>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</si>
  <si>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</si>
  <si>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</si>
  <si>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</si>
  <si>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</si>
  <si>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</si>
  <si>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</si>
  <si>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</si>
  <si>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</si>
  <si>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</si>
  <si>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</si>
  <si>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</si>
  <si>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</si>
  <si>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</si>
  <si>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</si>
  <si>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</si>
  <si>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</si>
  <si>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HH 112.263 &amp; NHH 19.760</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</si>
  <si>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</si>
  <si>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</si>
  <si>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</si>
  <si>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</si>
  <si>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</si>
  <si>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</si>
  <si>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</si>
  <si>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</si>
  <si>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</si>
  <si>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</si>
  <si>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</si>
  <si>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</si>
  <si>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</si>
  <si>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</si>
  <si>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</si>
  <si>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</si>
  <si>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</si>
  <si>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</si>
  <si>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</si>
  <si>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</si>
  <si>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</si>
  <si>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</si>
  <si>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</si>
  <si>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</si>
  <si>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</si>
  <si>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</si>
  <si>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</si>
  <si>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</si>
  <si>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</si>
  <si>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</si>
  <si>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</si>
  <si>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</si>
  <si>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</si>
  <si>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</si>
  <si>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</si>
  <si>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</si>
  <si>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</si>
  <si>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</si>
  <si>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</si>
  <si>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</si>
  <si>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</si>
  <si>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</si>
  <si>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</si>
  <si>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</si>
  <si>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</si>
  <si>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</si>
  <si>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</si>
  <si>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</si>
  <si>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</si>
  <si>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</si>
  <si>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</si>
  <si>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</si>
  <si>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</si>
  <si>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</si>
  <si>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</si>
  <si>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</si>
  <si>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</si>
  <si>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</si>
  <si>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</si>
  <si>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</si>
  <si>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</si>
  <si>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</si>
  <si>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</si>
  <si>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</si>
  <si>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</si>
  <si>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</si>
  <si>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</si>
  <si>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</si>
  <si>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</si>
  <si>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</si>
  <si>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</si>
  <si>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</si>
  <si>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</si>
  <si>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</si>
  <si>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</si>
  <si>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</si>
  <si>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</si>
  <si>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</si>
  <si>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</si>
  <si>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</si>
  <si>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</si>
  <si>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</si>
  <si>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</si>
  <si>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</si>
  <si>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</si>
  <si>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</si>
  <si>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</si>
  <si>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</si>
  <si>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</si>
  <si>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</si>
  <si>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</si>
  <si>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</si>
  <si>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</si>
  <si>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</si>
  <si>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</si>
  <si>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</si>
  <si>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</si>
  <si>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</si>
  <si>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</si>
  <si>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</si>
  <si>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</si>
  <si>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</si>
  <si>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</si>
  <si>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</si>
  <si>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</si>
  <si>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</si>
  <si>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</si>
  <si>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</si>
  <si>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</si>
  <si>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</si>
  <si>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</si>
  <si>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</si>
  <si>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</si>
  <si>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</si>
  <si>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</si>
  <si>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</si>
  <si>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</si>
  <si>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</si>
  <si>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</si>
  <si>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</si>
  <si>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</si>
  <si>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</si>
  <si>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</si>
  <si>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</si>
  <si>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</si>
  <si>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</si>
  <si>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</si>
  <si>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</si>
  <si>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</si>
  <si>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</si>
  <si>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</si>
  <si>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</si>
  <si>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</si>
  <si>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</si>
  <si>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</si>
  <si>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</si>
  <si>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</si>
  <si>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</si>
  <si>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</si>
  <si>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</si>
  <si>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</si>
  <si>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</si>
  <si>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</si>
  <si>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</si>
  <si>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</si>
  <si>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</si>
  <si>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</si>
  <si>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</si>
  <si>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</si>
  <si>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</si>
  <si>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</si>
  <si>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</si>
  <si>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</si>
  <si>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</si>
  <si>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</si>
  <si>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</si>
  <si>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</si>
  <si>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</si>
  <si>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</si>
  <si>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</si>
  <si>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</si>
  <si>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</si>
  <si>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</si>
  <si>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</si>
  <si>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</si>
  <si>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</si>
  <si>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</si>
  <si>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</si>
  <si>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</si>
  <si>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</si>
  <si>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</si>
  <si>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</si>
  <si>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</si>
  <si>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</si>
  <si>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</si>
  <si>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</si>
  <si>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</si>
  <si>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</si>
  <si>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</si>
  <si>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</si>
  <si>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</si>
  <si>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</si>
  <si>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</si>
  <si>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</si>
  <si>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</si>
  <si>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</si>
  <si>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</si>
  <si>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</si>
  <si>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</si>
  <si>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</si>
  <si>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</si>
  <si>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</si>
  <si>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</si>
  <si>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</si>
  <si>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</si>
  <si>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</si>
  <si>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</si>
  <si>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</si>
  <si>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</si>
  <si>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</si>
  <si>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</si>
  <si>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</si>
  <si>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</si>
  <si>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</si>
  <si>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</si>
  <si>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</si>
  <si>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</si>
  <si>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</si>
  <si>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</si>
  <si>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</si>
  <si>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</si>
  <si>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</si>
  <si>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</si>
  <si>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</si>
  <si>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</si>
  <si>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</si>
  <si>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</si>
  <si>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</si>
  <si>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</si>
  <si>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</si>
  <si>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</si>
  <si>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</si>
  <si>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</si>
  <si>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</si>
  <si>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</si>
  <si>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</si>
  <si>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</si>
  <si>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</si>
  <si>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</si>
  <si>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</si>
  <si>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</si>
  <si>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</si>
  <si>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</si>
  <si>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</si>
  <si>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</si>
  <si>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</si>
  <si>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</si>
  <si>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</si>
  <si>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</si>
  <si>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</si>
  <si>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</si>
  <si>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</si>
  <si>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</si>
  <si>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</si>
  <si>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</si>
  <si>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</si>
  <si>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</si>
  <si>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</si>
  <si>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</si>
  <si>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</si>
  <si>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</si>
  <si>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</si>
  <si>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</si>
  <si>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</si>
  <si>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</si>
  <si>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</si>
  <si>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</si>
  <si>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</si>
  <si>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</si>
  <si>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</si>
  <si>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</si>
  <si>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</si>
  <si>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</si>
  <si>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</si>
  <si>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</si>
  <si>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</si>
  <si>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</si>
  <si>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</si>
  <si>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</si>
  <si>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</si>
  <si>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</si>
  <si>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</si>
  <si>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</si>
  <si>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</si>
  <si>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</si>
  <si>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</si>
  <si>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</si>
  <si>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</si>
  <si>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</si>
  <si>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</si>
  <si>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</si>
  <si>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</si>
  <si>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</si>
  <si>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</si>
  <si>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</si>
  <si>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</si>
  <si>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</si>
  <si>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</si>
  <si>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</si>
  <si>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</si>
  <si>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</si>
  <si>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</si>
  <si>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</si>
  <si>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</si>
  <si>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</si>
  <si>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</si>
  <si>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</si>
  <si>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</si>
  <si>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</si>
  <si>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</si>
  <si>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</si>
  <si>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</si>
  <si>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</si>
  <si>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</si>
  <si>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</si>
  <si>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</si>
  <si>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</si>
  <si>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</si>
  <si>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</si>
  <si>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</si>
  <si>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</si>
  <si>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</si>
  <si>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</si>
  <si>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</si>
  <si>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</si>
  <si>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</si>
  <si>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</si>
  <si>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</si>
  <si>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</si>
  <si>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</si>
  <si>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</si>
  <si>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</si>
  <si>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</si>
  <si>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</si>
  <si>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</si>
  <si>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</si>
  <si>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</si>
  <si>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</si>
  <si>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</si>
  <si>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</si>
  <si>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</si>
  <si>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</si>
  <si>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</si>
  <si>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</si>
  <si>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</si>
  <si>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</si>
  <si>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</si>
  <si>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</si>
  <si>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</si>
  <si>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</si>
  <si>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</si>
  <si>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</si>
  <si>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</si>
  <si>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</si>
  <si>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</si>
  <si>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</si>
  <si>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</si>
  <si>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</si>
  <si>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</si>
  <si>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</si>
  <si>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</si>
  <si>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</si>
  <si>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</si>
  <si>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</si>
  <si>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</si>
  <si>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</si>
  <si>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</si>
  <si>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</si>
  <si>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</si>
  <si>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</si>
  <si>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</si>
  <si>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</si>
  <si>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</si>
  <si>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</si>
  <si>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</si>
  <si>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</si>
  <si>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</si>
  <si>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</si>
  <si>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</si>
  <si>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</si>
  <si>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</si>
  <si>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</si>
  <si>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</si>
  <si>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</si>
  <si>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</si>
  <si>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</si>
  <si>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</si>
  <si>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</si>
  <si>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</si>
  <si>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</si>
  <si>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</si>
  <si>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</si>
  <si>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</si>
  <si>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</si>
  <si>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</si>
  <si>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</si>
  <si>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</si>
  <si>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</si>
  <si>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</si>
  <si>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</si>
  <si>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</si>
  <si>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</si>
  <si>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</si>
  <si>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</si>
  <si>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</si>
  <si>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</si>
  <si>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</si>
  <si>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</si>
  <si>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</si>
  <si>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</si>
  <si>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</si>
  <si>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</si>
  <si>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</si>
  <si>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</si>
  <si>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</si>
  <si>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</si>
  <si>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</si>
  <si>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</si>
  <si>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</si>
  <si>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</si>
  <si>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</si>
  <si>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</si>
  <si>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</si>
  <si>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</si>
  <si>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</si>
  <si>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</si>
  <si>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</si>
  <si>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</si>
  <si>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</si>
  <si>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</si>
  <si>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</si>
  <si>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</si>
  <si>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</si>
  <si>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</si>
  <si>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</si>
  <si>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</si>
  <si>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</si>
  <si>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</si>
  <si>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</si>
  <si>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</si>
  <si>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</si>
  <si>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</si>
  <si>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</si>
  <si>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</si>
  <si>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</si>
  <si>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</si>
  <si>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</si>
  <si>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</si>
  <si>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</si>
  <si>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</si>
  <si>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</si>
  <si>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</si>
  <si>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</si>
  <si>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</si>
  <si>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</si>
  <si>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</si>
  <si>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</si>
  <si>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</si>
  <si>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</si>
  <si>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</si>
  <si>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</si>
  <si>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</si>
  <si>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</si>
  <si>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</si>
  <si>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</si>
  <si>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</si>
  <si>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</si>
  <si>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</si>
  <si>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</si>
  <si>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</si>
  <si>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</si>
  <si>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</si>
  <si>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</si>
  <si>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</si>
  <si>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</si>
  <si>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</si>
  <si>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</si>
  <si>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</si>
  <si>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</si>
  <si>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</si>
  <si>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</si>
  <si>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</si>
  <si>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</si>
  <si>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</si>
  <si>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</si>
  <si>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</si>
  <si>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</si>
  <si>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</si>
  <si>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</si>
  <si>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</si>
  <si>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</si>
  <si>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</si>
  <si>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</si>
  <si>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</si>
  <si>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</si>
  <si>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</si>
  <si>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</si>
  <si>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</si>
  <si>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</si>
  <si>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</si>
  <si>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</si>
  <si>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</si>
  <si>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</si>
  <si>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</si>
  <si>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</si>
  <si>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</si>
  <si>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</si>
  <si>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</si>
  <si>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</si>
  <si>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</si>
  <si>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</si>
  <si>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</si>
  <si>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</si>
  <si>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</si>
  <si>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</si>
  <si>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</si>
  <si>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</si>
  <si>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</si>
  <si>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</si>
  <si>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</si>
  <si>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</si>
  <si>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</si>
  <si>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</si>
  <si>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</si>
  <si>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</si>
  <si>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</si>
  <si>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</si>
  <si>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</si>
  <si>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</si>
  <si>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</si>
  <si>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</si>
  <si>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</si>
  <si>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</si>
  <si>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</si>
  <si>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</si>
  <si>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</si>
  <si>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APR_2019-20</t>
  </si>
  <si>
    <t>Acronym</t>
  </si>
  <si>
    <t>Reference</t>
  </si>
  <si>
    <t>Model</t>
  </si>
  <si>
    <t>Description_input</t>
  </si>
  <si>
    <t>Cyclical Foundation</t>
  </si>
  <si>
    <t>Group entry</t>
  </si>
  <si>
    <t>Abstraction sites</t>
  </si>
  <si>
    <t>AIM performance (Ml)</t>
  </si>
  <si>
    <t>Normalised AIM performance</t>
  </si>
  <si>
    <t>Cumulative AIM performance (Ml)</t>
  </si>
  <si>
    <t>Cumulative normalised AIM performance</t>
  </si>
  <si>
    <t>Contextual information relating to AIM performance</t>
  </si>
  <si>
    <t>Lists etc</t>
  </si>
  <si>
    <t>Fountain name</t>
  </si>
  <si>
    <t>Name</t>
  </si>
  <si>
    <t>WaSC or Woc</t>
  </si>
  <si>
    <t>Table 3A drop down lists</t>
  </si>
  <si>
    <t>Select company</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</si>
  <si>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</si>
  <si>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</si>
  <si>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</si>
  <si>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</si>
  <si>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</si>
  <si>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</si>
  <si>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</si>
  <si>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</si>
  <si>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</si>
  <si>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</si>
  <si>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</si>
  <si>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</si>
  <si>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</si>
  <si>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</si>
  <si>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</si>
  <si>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</si>
  <si>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</si>
  <si>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</si>
  <si>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</si>
  <si>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</si>
  <si>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</si>
  <si>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</si>
  <si>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</si>
  <si>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</si>
  <si>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Thames Water Utilities Ltd</t>
  </si>
  <si>
    <t>Thames Water</t>
  </si>
  <si>
    <t>TMS</t>
  </si>
  <si>
    <t>Outperformance payment deadband</t>
  </si>
  <si>
    <t>United Utilities Water Plc</t>
  </si>
  <si>
    <t>United Utilities</t>
  </si>
  <si>
    <t>NWT</t>
  </si>
  <si>
    <t>Wessex Water Services Ltd</t>
  </si>
  <si>
    <t>Wessex Water</t>
  </si>
  <si>
    <t>WSX</t>
  </si>
  <si>
    <t>Yorkshire Water Services Ltd</t>
  </si>
  <si>
    <t>YKY</t>
  </si>
  <si>
    <t>Affinity Water</t>
  </si>
  <si>
    <t>afw</t>
  </si>
  <si>
    <t>WoC</t>
  </si>
  <si>
    <t>Bristol Water plc</t>
  </si>
  <si>
    <t>Bristol Water</t>
  </si>
  <si>
    <t>brl</t>
  </si>
  <si>
    <t>Dee Valley Water Plc</t>
  </si>
  <si>
    <t>Dee Valley Water</t>
  </si>
  <si>
    <t>dvw</t>
  </si>
  <si>
    <t>Not applicable</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</si>
  <si>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</si>
  <si>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</si>
  <si>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</si>
  <si>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</si>
  <si>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</si>
  <si>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</si>
  <si>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</si>
  <si>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</si>
  <si>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</si>
  <si>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</si>
  <si>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</si>
  <si>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</si>
  <si>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</si>
  <si>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</si>
  <si>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</si>
  <si>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</si>
  <si>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</si>
  <si>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</si>
  <si>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</si>
  <si>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</si>
  <si>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</si>
  <si>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</si>
  <si>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</si>
  <si>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</si>
  <si>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</si>
  <si>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</si>
  <si>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</si>
  <si>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</si>
  <si>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</si>
  <si>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</si>
  <si>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</si>
  <si>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</si>
  <si>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</si>
  <si>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</si>
  <si>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</si>
  <si>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r>
      <t>2016 APR submission data</t>
    </r>
    <r>
      <rPr>
        <sz val="9"/>
        <color theme="1"/>
        <rFont val="Arial"/>
        <family val="2"/>
      </rPr>
      <t xml:space="preserve"> (monetary amounts in 2012-13 prices)</t>
    </r>
  </si>
  <si>
    <r>
      <t>2017 APR submission data</t>
    </r>
    <r>
      <rPr>
        <sz val="9"/>
        <color theme="1"/>
        <rFont val="Arial"/>
        <family val="2"/>
      </rPr>
      <t xml:space="preserve"> (monetary amounts in 2012-13 prices)</t>
    </r>
  </si>
  <si>
    <r>
      <t>2018 APR submission data</t>
    </r>
    <r>
      <rPr>
        <sz val="9"/>
        <color theme="1"/>
        <rFont val="Arial"/>
        <family val="2"/>
      </rPr>
      <t xml:space="preserve"> (monetary amounts in 2012-13 prices)</t>
    </r>
  </si>
  <si>
    <r>
      <t>2019 APR submission data</t>
    </r>
    <r>
      <rPr>
        <sz val="9"/>
        <color theme="1"/>
        <rFont val="Arial"/>
        <family val="2"/>
      </rPr>
      <t xml:space="preserve"> (monetary amounts in 2012-13 prices)</t>
    </r>
  </si>
  <si>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</si>
  <si>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</si>
  <si>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</si>
  <si>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</si>
  <si>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</si>
  <si>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</si>
  <si>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</si>
  <si>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</si>
  <si>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</si>
  <si>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</si>
  <si>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</si>
  <si>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</si>
  <si>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</si>
  <si>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</si>
  <si>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</si>
  <si>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</si>
  <si>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</si>
  <si>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</si>
  <si>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</si>
  <si>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</si>
  <si>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</si>
  <si>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</si>
  <si>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</si>
  <si>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</si>
  <si>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</si>
  <si>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</si>
  <si>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</si>
  <si>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</si>
  <si>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</si>
  <si>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</si>
  <si>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</si>
  <si>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</si>
  <si>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</si>
  <si>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</si>
  <si>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</si>
  <si>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</si>
  <si>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</si>
  <si>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</si>
  <si>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</si>
  <si>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</si>
  <si>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</si>
  <si>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</si>
  <si>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</si>
  <si>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</si>
  <si>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</si>
  <si>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</si>
  <si>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</si>
  <si>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</si>
  <si>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</si>
  <si>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</si>
  <si>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</si>
  <si>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</si>
  <si>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2018</t>
  </si>
  <si>
    <t>2017-18 notional outperformance payment or underperformance penalty accrued at 31 March 2018 (£m)</t>
  </si>
  <si>
    <t>2018-19 performance level
- actual</t>
  </si>
  <si>
    <t>2018-19
PCL met?</t>
  </si>
  <si>
    <t>2018-19
outperformance payment or underperformance penalty
in-period ODIs</t>
  </si>
  <si>
    <t>2018-19
outperformance payment or underperformance penalty
in-period ODIs (£m)</t>
  </si>
  <si>
    <t>2018-19 notional outperformance payment or underperformance penalty accrued at 31 March 2019</t>
  </si>
  <si>
    <t>2018-19 notional outperformance payment or underperformance penalty accrued at 31 March 2019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</si>
  <si>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</si>
  <si>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</si>
  <si>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</si>
  <si>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</si>
  <si>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</si>
  <si>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</si>
  <si>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</si>
  <si>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</si>
  <si>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</si>
  <si>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</si>
  <si>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</si>
  <si>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</si>
  <si>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</si>
  <si>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</si>
  <si>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</si>
  <si>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</si>
  <si>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</si>
  <si>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</si>
  <si>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</si>
  <si>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</si>
  <si>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</si>
  <si>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</si>
  <si>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</si>
  <si>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</si>
  <si>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</si>
  <si>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</si>
  <si>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</si>
  <si>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</si>
  <si>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</si>
  <si>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</si>
  <si>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</si>
  <si>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</si>
  <si>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</si>
  <si>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</si>
  <si>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</si>
  <si>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</si>
  <si>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</si>
  <si>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</si>
  <si>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</si>
  <si>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</si>
  <si>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</si>
  <si>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</si>
  <si>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</si>
  <si>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</si>
  <si>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</si>
  <si>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</si>
  <si>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</si>
  <si>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</si>
  <si>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</si>
  <si>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</si>
  <si>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</si>
  <si>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</si>
  <si>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</si>
  <si>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</si>
  <si>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</si>
  <si>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</si>
  <si>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</si>
  <si>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</si>
  <si>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</si>
  <si>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</si>
  <si>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</si>
  <si>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</si>
  <si>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</si>
  <si>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</si>
  <si>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</si>
  <si>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</si>
  <si>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</si>
  <si>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</si>
  <si>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</si>
  <si>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</si>
  <si>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</si>
  <si>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</si>
  <si>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</si>
  <si>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</si>
  <si>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</si>
  <si>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</si>
  <si>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</si>
  <si>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</si>
  <si>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</si>
  <si>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</si>
  <si>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</si>
  <si>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</si>
  <si>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</si>
  <si>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</si>
  <si>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</si>
  <si>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</si>
  <si>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</si>
  <si>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</si>
  <si>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</si>
  <si>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</si>
  <si>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</si>
  <si>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</si>
  <si>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</si>
  <si>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</si>
  <si>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</si>
  <si>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</si>
  <si>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</si>
  <si>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</si>
  <si>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</si>
  <si>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</si>
  <si>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</si>
  <si>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</si>
  <si>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</si>
  <si>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</si>
  <si>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</si>
  <si>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</si>
  <si>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</si>
  <si>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</si>
  <si>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</si>
  <si>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</si>
  <si>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</si>
  <si>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</si>
  <si>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</si>
  <si>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</si>
  <si>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</si>
  <si>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</si>
  <si>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</si>
  <si>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</si>
  <si>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</si>
  <si>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</si>
  <si>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</si>
  <si>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</si>
  <si>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</si>
  <si>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</si>
  <si>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</si>
  <si>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</si>
  <si>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</si>
  <si>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</si>
  <si>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</si>
  <si>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</si>
  <si>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</si>
  <si>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</si>
  <si>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</si>
  <si>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</si>
  <si>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</si>
  <si>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</si>
  <si>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</si>
  <si>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</si>
  <si>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</si>
  <si>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</si>
  <si>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</si>
  <si>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</si>
  <si>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</si>
  <si>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</si>
  <si>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</si>
  <si>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</si>
  <si>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</si>
  <si>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</si>
  <si>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</si>
  <si>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</si>
  <si>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</si>
  <si>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</si>
  <si>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</si>
  <si>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</si>
  <si>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</si>
  <si>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</si>
  <si>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</si>
  <si>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</si>
  <si>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</si>
  <si>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</si>
  <si>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</si>
  <si>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</si>
  <si>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</si>
  <si>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</si>
  <si>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</si>
  <si>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</si>
  <si>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</si>
  <si>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</si>
  <si>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</si>
  <si>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</si>
  <si>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</si>
  <si>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</si>
  <si>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</si>
  <si>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</si>
  <si>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</si>
  <si>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</si>
  <si>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</si>
  <si>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</si>
  <si>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</si>
  <si>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</si>
  <si>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</si>
  <si>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</si>
  <si>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</si>
  <si>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</si>
  <si>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</si>
  <si>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</si>
  <si>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</si>
  <si>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</si>
  <si>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</si>
  <si>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</si>
  <si>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</si>
  <si>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</si>
  <si>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</si>
  <si>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</si>
  <si>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</si>
  <si>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</si>
  <si>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</si>
  <si>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</si>
  <si>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</si>
  <si>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</si>
  <si>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</si>
  <si>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</si>
  <si>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</si>
  <si>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</si>
  <si>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</si>
  <si>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</si>
  <si>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</si>
  <si>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</si>
  <si>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</si>
  <si>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</si>
  <si>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</si>
  <si>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</si>
  <si>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</si>
  <si>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</si>
  <si>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</si>
  <si>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</si>
  <si>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</si>
  <si>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</si>
  <si>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</si>
  <si>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</si>
  <si>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</si>
  <si>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</si>
  <si>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</si>
  <si>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</si>
  <si>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</si>
  <si>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</si>
  <si>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</si>
  <si>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</si>
  <si>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</si>
  <si>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</si>
  <si>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</si>
  <si>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</si>
  <si>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</si>
  <si>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</si>
  <si>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</si>
  <si>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</si>
  <si>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</si>
  <si>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</si>
  <si>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</si>
  <si>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</si>
  <si>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</si>
  <si>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</si>
  <si>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</si>
  <si>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</si>
  <si>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</si>
  <si>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</si>
  <si>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</si>
  <si>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</si>
  <si>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</si>
  <si>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</si>
  <si>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</si>
  <si>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</si>
  <si>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</si>
  <si>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</si>
  <si>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</si>
  <si>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</si>
  <si>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</si>
  <si>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</si>
  <si>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</si>
  <si>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</si>
  <si>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</si>
  <si>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</si>
  <si>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</si>
  <si>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</si>
  <si>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</si>
  <si>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</si>
  <si>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</si>
  <si>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</si>
  <si>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</si>
  <si>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</si>
  <si>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</si>
  <si>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</si>
  <si>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</si>
  <si>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</si>
  <si>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</si>
  <si>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</si>
  <si>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</si>
  <si>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</si>
  <si>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</si>
  <si>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</si>
  <si>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</si>
  <si>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</si>
  <si>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</si>
  <si>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</si>
  <si>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</si>
  <si>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</si>
  <si>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</si>
  <si>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</si>
  <si>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</si>
  <si>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</si>
  <si>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</si>
  <si>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</si>
  <si>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</si>
  <si>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</si>
  <si>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</si>
  <si>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</si>
  <si>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</si>
  <si>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</si>
  <si>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</si>
  <si>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</si>
  <si>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</si>
  <si>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</si>
  <si>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</si>
  <si>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</si>
  <si>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</si>
  <si>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</si>
  <si>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</si>
  <si>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</si>
  <si>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</si>
  <si>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</si>
  <si>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</si>
  <si>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</si>
  <si>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</si>
  <si>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</si>
  <si>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</si>
  <si>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</si>
  <si>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</si>
  <si>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14/28</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</si>
  <si>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</si>
  <si>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</si>
  <si>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</si>
  <si>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</si>
  <si>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</si>
  <si>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</si>
  <si>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</si>
  <si>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</si>
  <si>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</si>
  <si>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</si>
  <si>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</si>
  <si>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</si>
  <si>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</si>
  <si>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</si>
  <si>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</si>
  <si>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</si>
  <si>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</si>
  <si>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</si>
  <si>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</si>
  <si>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</si>
  <si>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</si>
  <si>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</si>
  <si>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</si>
  <si>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</si>
  <si>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</si>
  <si>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</si>
  <si>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</si>
  <si>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</si>
  <si>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</si>
  <si>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</si>
  <si>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</si>
  <si>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</si>
  <si>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</si>
  <si>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</si>
  <si>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</si>
  <si>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</si>
  <si>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</si>
  <si>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</si>
  <si>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</si>
  <si>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</si>
  <si>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</si>
  <si>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</si>
  <si>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</si>
  <si>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</si>
  <si>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</si>
  <si>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</si>
  <si>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</si>
  <si>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</si>
  <si>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</si>
  <si>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</si>
  <si>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</si>
  <si>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</si>
  <si>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</si>
  <si>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</si>
  <si>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</si>
  <si>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</si>
  <si>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</si>
  <si>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</si>
  <si>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</si>
  <si>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</si>
  <si>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</si>
  <si>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</si>
  <si>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</si>
  <si>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</si>
  <si>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</si>
  <si>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</si>
  <si>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</si>
  <si>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</si>
  <si>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</si>
  <si>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</si>
  <si>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</si>
  <si>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</si>
  <si>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</si>
  <si>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</si>
  <si>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</si>
  <si>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</si>
  <si>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</si>
  <si>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</si>
  <si>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</si>
  <si>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</si>
  <si>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</si>
  <si>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</si>
  <si>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</si>
  <si>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</si>
  <si>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</si>
  <si>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</si>
  <si>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</si>
  <si>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</si>
  <si>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</si>
  <si>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</si>
  <si>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</si>
  <si>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</si>
  <si>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</si>
  <si>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</si>
  <si>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</si>
  <si>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</si>
  <si>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</si>
  <si>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</si>
  <si>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</si>
  <si>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</si>
  <si>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</si>
  <si>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</si>
  <si>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</si>
  <si>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</si>
  <si>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</si>
  <si>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</si>
  <si>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</si>
  <si>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</si>
  <si>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</si>
  <si>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</si>
  <si>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</si>
  <si>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</si>
  <si>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</si>
  <si>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</si>
  <si>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</si>
  <si>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</si>
  <si>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</si>
  <si>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</si>
  <si>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</si>
  <si>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</si>
  <si>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</si>
  <si>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</si>
  <si>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</si>
  <si>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</si>
  <si>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</si>
  <si>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</si>
  <si>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</si>
  <si>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</si>
  <si>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</si>
  <si>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</si>
  <si>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</si>
  <si>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</si>
  <si>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</si>
  <si>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</si>
  <si>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</si>
  <si>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</si>
  <si>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</si>
  <si>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</si>
  <si>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</si>
  <si>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</si>
  <si>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</si>
  <si>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</si>
  <si>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</si>
  <si>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</si>
  <si>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</si>
  <si>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</si>
  <si>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</si>
  <si>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</si>
  <si>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</si>
  <si>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</si>
  <si>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</si>
  <si>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</si>
  <si>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</si>
  <si>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</si>
  <si>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</si>
  <si>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</si>
  <si>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</si>
  <si>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</si>
  <si>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</si>
  <si>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</si>
  <si>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</si>
  <si>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</si>
  <si>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</si>
  <si>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</si>
  <si>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</si>
  <si>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</si>
  <si>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</si>
  <si>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</si>
  <si>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</si>
  <si>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</si>
  <si>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</si>
  <si>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</si>
  <si>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</si>
  <si>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</si>
  <si>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</si>
  <si>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</si>
  <si>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</si>
  <si>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</si>
  <si>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</si>
  <si>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</si>
  <si>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</si>
  <si>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</si>
  <si>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</si>
  <si>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</si>
  <si>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</si>
  <si>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</si>
  <si>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</si>
  <si>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</si>
  <si>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</si>
  <si>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</si>
  <si>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</si>
  <si>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</si>
  <si>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</si>
  <si>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</si>
  <si>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</si>
  <si>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</si>
  <si>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</si>
  <si>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</si>
  <si>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</si>
  <si>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</si>
  <si>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</si>
  <si>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</si>
  <si>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</si>
  <si>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</si>
  <si>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</si>
  <si>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</si>
  <si>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</si>
  <si>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</si>
  <si>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</si>
  <si>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</si>
  <si>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</si>
  <si>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</si>
  <si>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</si>
  <si>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</si>
  <si>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</si>
  <si>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</si>
  <si>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</si>
  <si>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</si>
  <si>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</si>
  <si>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</si>
  <si>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</si>
  <si>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</si>
  <si>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</si>
  <si>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</si>
  <si>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</si>
  <si>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</si>
  <si>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</si>
  <si>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</si>
  <si>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</si>
  <si>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</si>
  <si>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</si>
  <si>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</si>
  <si>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</si>
  <si>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</si>
  <si>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</si>
  <si>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</si>
  <si>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</si>
  <si>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</si>
  <si>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</si>
  <si>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</si>
  <si>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</si>
  <si>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</si>
  <si>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</si>
  <si>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</si>
  <si>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</si>
  <si>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</si>
  <si>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</si>
  <si>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</si>
  <si>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</si>
  <si>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</si>
  <si>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</si>
  <si>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</si>
  <si>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</si>
  <si>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</si>
  <si>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</si>
  <si>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</si>
  <si>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</si>
  <si>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</si>
  <si>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</si>
  <si>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</si>
  <si>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</si>
  <si>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</si>
  <si>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</si>
  <si>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</si>
  <si>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</si>
  <si>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</si>
  <si>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</si>
  <si>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</si>
  <si>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</si>
  <si>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</si>
  <si>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</si>
  <si>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</si>
  <si>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</si>
  <si>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</si>
  <si>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</si>
  <si>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</si>
  <si>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</si>
  <si>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</si>
  <si>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</si>
  <si>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</si>
  <si>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</si>
  <si>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</si>
  <si>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</si>
  <si>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</si>
  <si>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</si>
  <si>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</si>
  <si>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</si>
  <si>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</si>
  <si>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</si>
  <si>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</si>
  <si>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</si>
  <si>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</si>
  <si>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</si>
  <si>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</si>
  <si>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</si>
  <si>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</si>
  <si>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</si>
  <si>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</si>
  <si>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</si>
  <si>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</si>
  <si>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</si>
  <si>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</si>
  <si>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</si>
  <si>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</si>
  <si>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</si>
  <si>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</si>
  <si>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</si>
  <si>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</si>
  <si>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</si>
  <si>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</si>
  <si>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</si>
  <si>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</si>
  <si>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</si>
  <si>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</si>
  <si>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</si>
  <si>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</si>
  <si>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</si>
  <si>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</si>
  <si>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</si>
  <si>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</si>
  <si>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</si>
  <si>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</si>
  <si>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</si>
  <si>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</si>
  <si>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</si>
  <si>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</si>
  <si>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</si>
  <si>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</si>
  <si>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</si>
  <si>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</si>
  <si>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</si>
  <si>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</si>
  <si>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</si>
  <si>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</si>
  <si>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</si>
  <si>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</si>
  <si>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</si>
  <si>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</si>
  <si>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</si>
  <si>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</si>
  <si>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</si>
  <si>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</si>
  <si>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</si>
  <si>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</si>
  <si>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</si>
  <si>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</si>
  <si>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</si>
  <si>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</si>
  <si>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</si>
  <si>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</si>
  <si>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</si>
  <si>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</si>
  <si>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</si>
  <si>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</si>
  <si>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</si>
  <si>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</si>
  <si>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</si>
  <si>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</si>
  <si>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</si>
  <si>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</si>
  <si>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</si>
  <si>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</si>
  <si>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</si>
  <si>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</si>
  <si>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</si>
  <si>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</si>
  <si>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</si>
  <si>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</si>
  <si>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</si>
  <si>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</si>
  <si>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Our Contribution 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</si>
  <si>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</si>
  <si>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</si>
  <si>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</si>
  <si>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</si>
  <si>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</si>
  <si>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</si>
  <si>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</si>
  <si>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</si>
  <si>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</si>
  <si>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</si>
  <si>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</si>
  <si>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</si>
  <si>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</si>
  <si>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</si>
  <si>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</si>
  <si>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</si>
  <si>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</si>
  <si>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</si>
  <si>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</si>
  <si>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</si>
  <si>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</si>
  <si>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</si>
  <si>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</si>
  <si>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</si>
  <si>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</si>
  <si>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</si>
  <si>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</si>
  <si>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</si>
  <si>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</si>
  <si>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</si>
  <si>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</si>
  <si>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</si>
  <si>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</si>
  <si>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</si>
  <si>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</si>
  <si>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</si>
  <si>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</si>
  <si>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</si>
  <si>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</si>
  <si>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</si>
  <si>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</si>
  <si>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</si>
  <si>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</si>
  <si>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</si>
  <si>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</si>
  <si>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</si>
  <si>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</si>
  <si>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</si>
  <si>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</si>
  <si>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</si>
  <si>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</si>
  <si>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</si>
  <si>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</si>
  <si>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</si>
  <si>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</si>
  <si>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</si>
  <si>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</si>
  <si>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</si>
  <si>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</si>
  <si>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</si>
  <si>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</si>
  <si>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</si>
  <si>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</si>
  <si>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</si>
  <si>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</si>
  <si>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</si>
  <si>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</si>
  <si>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</si>
  <si>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</si>
  <si>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</si>
  <si>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</si>
  <si>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</si>
  <si>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</si>
  <si>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</si>
  <si>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</si>
  <si>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</si>
  <si>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</si>
  <si>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</si>
  <si>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</si>
  <si>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</si>
  <si>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</si>
  <si>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</si>
  <si>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</si>
  <si>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</si>
  <si>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</si>
  <si>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</si>
  <si>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</si>
  <si>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</si>
  <si>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</si>
  <si>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</si>
  <si>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</si>
  <si>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</si>
  <si>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</si>
  <si>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</si>
  <si>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</si>
  <si>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</si>
  <si>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</si>
  <si>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</si>
  <si>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</si>
  <si>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</si>
  <si>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</si>
  <si>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</si>
  <si>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</si>
  <si>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</si>
  <si>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</si>
  <si>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</si>
  <si>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</si>
  <si>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</si>
  <si>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</si>
  <si>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</si>
  <si>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</si>
  <si>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</si>
  <si>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</si>
  <si>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</si>
  <si>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</si>
  <si>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</si>
  <si>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</si>
  <si>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</si>
  <si>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</si>
  <si>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</si>
  <si>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</si>
  <si>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</si>
  <si>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</si>
  <si>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</si>
  <si>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</si>
  <si>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</si>
  <si>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</si>
  <si>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</si>
  <si>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</si>
  <si>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</si>
  <si>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</si>
  <si>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</si>
  <si>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</si>
  <si>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</si>
  <si>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</si>
  <si>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</si>
  <si>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</si>
  <si>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</si>
  <si>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</si>
  <si>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</si>
  <si>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</si>
  <si>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</si>
  <si>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</si>
  <si>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</si>
  <si>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</si>
  <si>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</si>
  <si>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</si>
  <si>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</si>
  <si>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</si>
  <si>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</si>
  <si>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</si>
  <si>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</si>
  <si>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</si>
  <si>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</si>
  <si>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</si>
  <si>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</si>
  <si>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</si>
  <si>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</si>
  <si>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</si>
  <si>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</si>
  <si>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</si>
  <si>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</si>
  <si>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</si>
  <si>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</si>
  <si>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</si>
  <si>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</si>
  <si>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</si>
  <si>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</si>
  <si>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</si>
  <si>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</si>
  <si>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</si>
  <si>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</si>
  <si>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</si>
  <si>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</si>
  <si>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</si>
  <si>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</si>
  <si>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</si>
  <si>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</si>
  <si>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</si>
  <si>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</si>
  <si>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</si>
  <si>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</si>
  <si>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</si>
  <si>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</si>
  <si>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</si>
  <si>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</si>
  <si>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</si>
  <si>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</si>
  <si>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</si>
  <si>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</si>
  <si>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</si>
  <si>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</si>
  <si>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</si>
  <si>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</si>
  <si>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</si>
  <si>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</si>
  <si>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</si>
  <si>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</si>
  <si>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</si>
  <si>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</si>
  <si>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</si>
  <si>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</si>
  <si>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</si>
  <si>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</si>
  <si>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</si>
  <si>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</si>
  <si>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</si>
  <si>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</si>
  <si>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</si>
  <si>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</si>
  <si>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</si>
  <si>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</si>
  <si>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</si>
  <si>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</si>
  <si>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</si>
  <si>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</si>
  <si>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3 mins 54 secs</t>
  </si>
  <si>
    <t>PRT  C1: Interruptions to supply</t>
  </si>
  <si>
    <t>PR14PRTWSW_D1</t>
  </si>
  <si>
    <t>An improved environment supporting biodiversity</t>
  </si>
  <si>
    <t>PRT-07</t>
  </si>
  <si>
    <t>D1: Biodiversity</t>
  </si>
  <si>
    <t>% (completion of agreed actions)</t>
  </si>
  <si>
    <t>10%</t>
  </si>
  <si>
    <t>PRT  D1: Biodiversity</t>
  </si>
  <si>
    <t>PR14PRTWSW_D2</t>
  </si>
  <si>
    <t>PRT-08</t>
  </si>
  <si>
    <t>D2: Water Framework Directive (WFD)</t>
  </si>
  <si>
    <t>Programme completion</t>
  </si>
  <si>
    <t>Target date</t>
  </si>
  <si>
    <t>Progress as planned</t>
  </si>
  <si>
    <t>Completed and signed off by EA</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</si>
  <si>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</si>
  <si>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</si>
  <si>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</si>
  <si>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</si>
  <si>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</si>
  <si>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</si>
  <si>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</si>
  <si>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</si>
  <si>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</si>
  <si>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</si>
  <si>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</si>
  <si>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</si>
  <si>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</si>
  <si>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</si>
  <si>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</si>
  <si>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</si>
  <si>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</si>
  <si>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</si>
  <si>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</si>
  <si>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</si>
  <si>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</si>
  <si>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</si>
  <si>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</si>
  <si>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</si>
  <si>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</si>
  <si>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</si>
  <si>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</si>
  <si>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</si>
  <si>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</si>
  <si>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</si>
  <si>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</si>
  <si>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</si>
  <si>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</si>
  <si>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</si>
  <si>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</si>
  <si>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</si>
  <si>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</si>
  <si>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</si>
  <si>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</si>
  <si>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</si>
  <si>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</si>
  <si>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</si>
  <si>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</si>
  <si>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</si>
  <si>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</si>
  <si>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</si>
  <si>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</si>
  <si>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</si>
  <si>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</si>
  <si>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</si>
  <si>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</si>
  <si>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</si>
  <si>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</si>
  <si>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</si>
  <si>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</si>
  <si>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</si>
  <si>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</si>
  <si>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</si>
  <si>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</si>
  <si>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</si>
  <si>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</si>
  <si>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</si>
  <si>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</si>
  <si>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</si>
  <si>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</si>
  <si>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</si>
  <si>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</si>
  <si>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</si>
  <si>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</si>
  <si>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</si>
  <si>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</si>
  <si>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</si>
  <si>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</si>
  <si>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</si>
  <si>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</si>
  <si>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</si>
  <si>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</si>
  <si>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</si>
  <si>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</si>
  <si>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</si>
  <si>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</si>
  <si>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</si>
  <si>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</si>
  <si>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</si>
  <si>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</si>
  <si>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</si>
  <si>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</si>
  <si>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</si>
  <si>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</si>
  <si>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</si>
  <si>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</si>
  <si>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</si>
  <si>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</si>
  <si>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</si>
  <si>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</si>
  <si>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</si>
  <si>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</si>
  <si>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</si>
  <si>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</si>
  <si>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</si>
  <si>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</si>
  <si>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</si>
  <si>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</si>
  <si>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</si>
  <si>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</si>
  <si>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</si>
  <si>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</si>
  <si>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</si>
  <si>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</si>
  <si>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</si>
  <si>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</si>
  <si>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</si>
  <si>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</si>
  <si>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</si>
  <si>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</si>
  <si>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</si>
  <si>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</si>
  <si>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</si>
  <si>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</si>
  <si>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</si>
  <si>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</si>
  <si>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</si>
  <si>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</si>
  <si>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</si>
  <si>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</si>
  <si>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</si>
  <si>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</si>
  <si>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</si>
  <si>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</si>
  <si>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</si>
  <si>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</si>
  <si>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</si>
  <si>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</si>
  <si>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</si>
  <si>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</si>
  <si>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</si>
  <si>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</si>
  <si>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</si>
  <si>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</si>
  <si>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</si>
  <si>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</si>
  <si>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</si>
  <si>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</si>
  <si>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</si>
  <si>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</si>
  <si>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</si>
  <si>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</si>
  <si>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</si>
  <si>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</si>
  <si>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</si>
  <si>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</si>
  <si>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</si>
  <si>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</si>
  <si>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</si>
  <si>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</si>
  <si>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</si>
  <si>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</si>
  <si>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</si>
  <si>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</si>
  <si>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</si>
  <si>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</si>
  <si>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</si>
  <si>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</si>
  <si>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</si>
  <si>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</si>
  <si>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</si>
  <si>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</si>
  <si>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</si>
  <si>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</si>
  <si>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</si>
  <si>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</si>
  <si>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</si>
  <si>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</si>
  <si>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</si>
  <si>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</si>
  <si>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</si>
  <si>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</si>
  <si>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</si>
  <si>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</si>
  <si>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</si>
  <si>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</si>
  <si>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</si>
  <si>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</si>
  <si>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</si>
  <si>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</si>
  <si>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</si>
  <si>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</si>
  <si>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</si>
  <si>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</si>
  <si>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</si>
  <si>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</si>
  <si>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</si>
  <si>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</si>
  <si>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</si>
  <si>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</si>
  <si>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</si>
  <si>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</si>
  <si>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</si>
  <si>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</si>
  <si>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</si>
  <si>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</si>
  <si>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</si>
  <si>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</si>
  <si>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</si>
  <si>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</si>
  <si>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</si>
  <si>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</si>
  <si>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</si>
  <si>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</si>
  <si>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</si>
  <si>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</si>
  <si>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</si>
  <si>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</si>
  <si>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</si>
  <si>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</si>
  <si>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</si>
  <si>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</si>
  <si>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</si>
  <si>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</si>
  <si>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</si>
  <si>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</si>
  <si>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</si>
  <si>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</si>
  <si>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</si>
  <si>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</si>
  <si>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</si>
  <si>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</si>
  <si>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</si>
  <si>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</si>
  <si>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</si>
  <si>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</si>
  <si>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</si>
  <si>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</si>
  <si>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</si>
  <si>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</si>
  <si>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</si>
  <si>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</si>
  <si>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</si>
  <si>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</si>
  <si>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</si>
  <si>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</si>
  <si>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</si>
  <si>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</si>
  <si>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</si>
  <si>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</si>
  <si>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</si>
  <si>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</si>
  <si>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</si>
  <si>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</si>
  <si>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</si>
  <si>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</si>
  <si>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</si>
  <si>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</si>
  <si>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</si>
  <si>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</si>
  <si>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</si>
  <si>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</si>
  <si>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</si>
  <si>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</si>
  <si>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</si>
  <si>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</si>
  <si>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</si>
  <si>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</si>
  <si>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</si>
  <si>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</si>
  <si>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</si>
  <si>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</si>
  <si>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</si>
  <si>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</si>
  <si>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</si>
  <si>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</si>
  <si>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</si>
  <si>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</si>
  <si>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</si>
  <si>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</si>
  <si>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</si>
  <si>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</si>
  <si>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</si>
  <si>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</si>
  <si>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</si>
  <si>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</si>
  <si>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</si>
  <si>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</si>
  <si>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</si>
  <si>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</si>
  <si>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</si>
  <si>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</si>
  <si>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</si>
  <si>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</si>
  <si>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</si>
  <si>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</si>
  <si>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</si>
  <si>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</si>
  <si>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</si>
  <si>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</si>
  <si>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</si>
  <si>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</si>
  <si>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</si>
  <si>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</si>
  <si>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</si>
  <si>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</si>
  <si>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</si>
  <si>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</si>
  <si>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</si>
  <si>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</si>
  <si>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</si>
  <si>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</si>
  <si>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</si>
  <si>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</si>
  <si>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</si>
  <si>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</si>
  <si>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</si>
  <si>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</si>
  <si>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</si>
  <si>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</si>
  <si>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</si>
  <si>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</si>
  <si>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</si>
  <si>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</si>
  <si>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</si>
  <si>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</si>
  <si>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</si>
  <si>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</si>
  <si>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</si>
  <si>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</si>
  <si>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</si>
  <si>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</si>
  <si>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</si>
  <si>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</si>
  <si>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</si>
  <si>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</si>
  <si>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</si>
  <si>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</si>
  <si>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</si>
  <si>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</si>
  <si>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</si>
  <si>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</si>
  <si>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</si>
  <si>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</si>
  <si>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</si>
  <si>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</si>
  <si>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</si>
  <si>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</si>
  <si>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</si>
  <si>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</si>
  <si>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</si>
  <si>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</si>
  <si>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</si>
  <si>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</si>
  <si>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</si>
  <si>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</si>
  <si>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</si>
  <si>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</si>
  <si>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</si>
  <si>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</si>
  <si>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</si>
  <si>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</si>
  <si>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</si>
  <si>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</si>
  <si>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</si>
  <si>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</si>
  <si>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</si>
  <si>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</si>
  <si>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</si>
  <si>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</si>
  <si>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</si>
  <si>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</si>
  <si>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</si>
  <si>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</si>
  <si>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</si>
  <si>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</si>
  <si>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</si>
  <si>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</si>
  <si>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</si>
  <si>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</si>
  <si>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</si>
  <si>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</si>
  <si>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</si>
  <si>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</si>
  <si>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</si>
  <si>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</si>
  <si>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</si>
  <si>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</si>
  <si>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</si>
  <si>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</si>
  <si>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</si>
  <si>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</si>
  <si>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</si>
  <si>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</si>
  <si>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</si>
  <si>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</si>
  <si>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</si>
  <si>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</si>
  <si>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</si>
  <si>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</si>
  <si>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</si>
  <si>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</si>
  <si>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</si>
  <si>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</si>
  <si>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</si>
  <si>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</si>
  <si>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</si>
  <si>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</si>
  <si>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</si>
  <si>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</si>
  <si>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</si>
  <si>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</si>
  <si>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</si>
  <si>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</si>
  <si>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</si>
  <si>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</si>
  <si>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</si>
  <si>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</si>
  <si>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</si>
  <si>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</si>
  <si>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</si>
  <si>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</si>
  <si>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</si>
  <si>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</si>
  <si>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</si>
  <si>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</si>
  <si>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</si>
  <si>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</si>
  <si>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</si>
  <si>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</si>
  <si>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</si>
  <si>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</si>
  <si>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</si>
  <si>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</si>
  <si>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</si>
  <si>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</si>
  <si>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</si>
  <si>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</si>
  <si>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</si>
  <si>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</si>
  <si>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</si>
  <si>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</si>
  <si>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</si>
  <si>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</si>
  <si>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</si>
  <si>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</si>
  <si>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</si>
  <si>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</si>
  <si>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</si>
  <si>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</si>
  <si>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</si>
  <si>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</si>
  <si>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</si>
  <si>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</si>
  <si>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</si>
  <si>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</si>
  <si>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</si>
  <si>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</si>
  <si>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</si>
  <si>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</si>
  <si>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</si>
  <si>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</si>
  <si>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</si>
  <si>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</si>
  <si>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</si>
  <si>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</si>
  <si>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</si>
  <si>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</si>
  <si>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</si>
  <si>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</si>
  <si>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</si>
  <si>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</si>
  <si>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</si>
  <si>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</si>
  <si>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</si>
  <si>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</si>
  <si>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</si>
  <si>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</si>
  <si>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</si>
  <si>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</si>
  <si>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</si>
  <si>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</si>
  <si>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</si>
  <si>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</si>
  <si>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</si>
  <si>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</si>
  <si>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</si>
  <si>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</si>
  <si>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</si>
  <si>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</si>
  <si>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</si>
  <si>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</si>
  <si>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</si>
  <si>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</si>
  <si>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</si>
  <si>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</si>
  <si>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</si>
  <si>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</si>
  <si>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</si>
  <si>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</si>
  <si>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</si>
  <si>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</si>
  <si>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</si>
  <si>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</si>
  <si>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</si>
  <si>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</si>
  <si>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</si>
  <si>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</si>
  <si>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</si>
  <si>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</si>
  <si>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</si>
  <si>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</si>
  <si>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</si>
  <si>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</si>
  <si>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</si>
  <si>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</si>
  <si>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</si>
  <si>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</si>
  <si>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</si>
  <si>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</si>
  <si>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</si>
  <si>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</si>
  <si>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</si>
  <si>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</si>
  <si>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</si>
  <si>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</si>
  <si>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</si>
  <si>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</si>
  <si>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</si>
  <si>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</si>
  <si>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</si>
  <si>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</si>
  <si>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</si>
  <si>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</si>
  <si>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</si>
  <si>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</si>
  <si>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</si>
  <si>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</si>
  <si>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</si>
  <si>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</si>
  <si>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</si>
  <si>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</si>
  <si>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</si>
  <si>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</si>
  <si>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</si>
  <si>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</si>
  <si>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</si>
  <si>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</si>
  <si>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</si>
  <si>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</si>
  <si>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</si>
  <si>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</si>
  <si>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</si>
  <si>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</si>
  <si>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</si>
  <si>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</si>
  <si>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</si>
  <si>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</si>
  <si>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</si>
  <si>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</si>
  <si>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</si>
  <si>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</si>
  <si>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</si>
  <si>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</si>
  <si>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</si>
  <si>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</si>
  <si>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</si>
  <si>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</si>
  <si>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</si>
  <si>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</si>
  <si>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</si>
  <si>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</si>
  <si>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</si>
  <si>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</si>
  <si>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</si>
  <si>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</si>
  <si>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</si>
  <si>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</si>
  <si>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</si>
  <si>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</si>
  <si>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</si>
  <si>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</si>
  <si>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</si>
  <si>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</si>
  <si>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</si>
  <si>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</si>
  <si>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</si>
  <si>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</si>
  <si>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</si>
  <si>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</si>
  <si>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</si>
  <si>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</si>
  <si>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</si>
  <si>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</si>
  <si>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</si>
  <si>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</si>
  <si>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</si>
  <si>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</si>
  <si>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</si>
  <si>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</si>
  <si>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</si>
  <si>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</si>
  <si>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</si>
  <si>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</si>
  <si>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</si>
  <si>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</si>
  <si>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</si>
  <si>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</si>
  <si>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</si>
  <si>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</si>
  <si>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</si>
  <si>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</si>
  <si>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</si>
  <si>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</si>
  <si>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</si>
  <si>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</si>
  <si>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</si>
  <si>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</si>
  <si>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</si>
  <si>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</si>
  <si>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</si>
  <si>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</si>
  <si>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</si>
  <si>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</si>
  <si>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</si>
  <si>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</si>
  <si>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</si>
  <si>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</si>
  <si>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</si>
  <si>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</si>
  <si>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</si>
  <si>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</si>
  <si>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</si>
  <si>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</si>
  <si>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</si>
  <si>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</si>
  <si>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</si>
  <si>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</si>
  <si>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</si>
  <si>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</si>
  <si>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</si>
  <si>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</si>
  <si>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</si>
  <si>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</si>
  <si>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</si>
  <si>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</si>
  <si>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</si>
  <si>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</si>
  <si>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</si>
  <si>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</si>
  <si>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</si>
  <si>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</si>
  <si>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</si>
  <si>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</si>
  <si>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</si>
  <si>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</si>
  <si>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</si>
  <si>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</si>
  <si>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</si>
  <si>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</si>
  <si>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</si>
  <si>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</si>
  <si>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</si>
  <si>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</si>
  <si>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</si>
  <si>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</si>
  <si>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</si>
  <si>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</si>
  <si>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</si>
  <si>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</si>
  <si>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</si>
  <si>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</si>
  <si>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</si>
  <si>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</si>
  <si>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</si>
  <si>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</si>
  <si>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</si>
  <si>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</si>
  <si>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</si>
  <si>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</si>
  <si>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</si>
  <si>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</si>
  <si>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</si>
  <si>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</si>
  <si>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</si>
  <si>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</si>
  <si>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</si>
  <si>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</si>
  <si>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</si>
  <si>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</si>
  <si>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</si>
  <si>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</si>
  <si>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</si>
  <si>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</si>
  <si>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</si>
  <si>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</si>
  <si>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</si>
  <si>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</si>
  <si>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</si>
  <si>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</si>
  <si>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</si>
  <si>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</si>
  <si>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</si>
  <si>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</si>
  <si>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</si>
  <si>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</si>
  <si>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</si>
  <si>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</si>
  <si>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</si>
  <si>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</si>
  <si>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</si>
  <si>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</si>
  <si>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</si>
  <si>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</si>
  <si>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</si>
  <si>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</si>
  <si>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</si>
  <si>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</si>
  <si>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</si>
  <si>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</si>
  <si>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</si>
  <si>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</si>
  <si>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</si>
  <si>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</si>
  <si>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</si>
  <si>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</si>
  <si>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</si>
  <si>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</si>
  <si>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</si>
  <si>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</si>
  <si>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</si>
  <si>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</si>
  <si>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</si>
  <si>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</si>
  <si>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</si>
  <si>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</si>
  <si>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</si>
  <si>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</si>
  <si>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</si>
  <si>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</si>
  <si>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</si>
  <si>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</si>
  <si>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</si>
  <si>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</si>
  <si>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</si>
  <si>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</si>
  <si>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</si>
  <si>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</si>
  <si>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</si>
  <si>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</si>
  <si>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</si>
  <si>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</si>
  <si>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</si>
  <si>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</si>
  <si>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</si>
  <si>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</si>
  <si>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</si>
  <si>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</si>
  <si>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</si>
  <si>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</si>
  <si>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</si>
  <si>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</si>
  <si>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</si>
  <si>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</si>
  <si>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</si>
  <si>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</si>
  <si>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</si>
  <si>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</si>
  <si>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</si>
  <si>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</si>
  <si>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</si>
  <si>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</si>
  <si>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</si>
  <si>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</si>
  <si>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</si>
  <si>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</si>
  <si>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</si>
  <si>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</si>
  <si>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</si>
  <si>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</si>
  <si>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</si>
  <si>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</si>
  <si>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</si>
  <si>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</si>
  <si>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</si>
  <si>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</si>
  <si>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</si>
  <si>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</si>
  <si>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</si>
  <si>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</si>
  <si>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</si>
  <si>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</si>
  <si>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</si>
  <si>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</si>
  <si>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</si>
  <si>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</si>
  <si>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</si>
  <si>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</si>
  <si>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</si>
  <si>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</si>
  <si>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</si>
  <si>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</si>
  <si>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</si>
  <si>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</si>
  <si>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</si>
  <si>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</si>
  <si>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</si>
  <si>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</si>
  <si>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</si>
  <si>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</si>
  <si>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</si>
  <si>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</si>
  <si>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</si>
  <si>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</si>
  <si>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</si>
  <si>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</si>
  <si>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</si>
  <si>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</si>
  <si>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</si>
  <si>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</si>
  <si>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</si>
  <si>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</si>
  <si>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</si>
  <si>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</si>
  <si>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</si>
  <si>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</si>
  <si>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</si>
  <si>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</si>
  <si>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</si>
  <si>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</si>
  <si>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</si>
  <si>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</si>
  <si>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</si>
  <si>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</si>
  <si>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</si>
  <si>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</si>
  <si>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</si>
  <si>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</si>
  <si>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</si>
  <si>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</si>
  <si>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</si>
  <si>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</si>
  <si>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</si>
  <si>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</si>
  <si>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</si>
  <si>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</si>
  <si>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</si>
  <si>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</si>
  <si>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</si>
  <si>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</si>
  <si>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</si>
  <si>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</si>
  <si>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</si>
  <si>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</si>
  <si>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</si>
  <si>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</si>
  <si>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</si>
  <si>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</si>
  <si>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</si>
  <si>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</si>
  <si>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</si>
  <si>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</si>
  <si>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</si>
  <si>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</si>
  <si>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</si>
  <si>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</si>
  <si>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</si>
  <si>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</si>
  <si>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</si>
  <si>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</si>
  <si>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</si>
  <si>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</si>
  <si>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</si>
  <si>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</si>
  <si>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</si>
  <si>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</si>
  <si>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</si>
  <si>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</si>
  <si>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</si>
  <si>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</si>
  <si>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</si>
  <si>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</si>
  <si>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</si>
  <si>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</si>
  <si>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</si>
  <si>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</si>
  <si>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</si>
  <si>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</si>
  <si>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</si>
  <si>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</si>
  <si>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</si>
  <si>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</si>
  <si>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</si>
  <si>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</si>
  <si>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</si>
  <si>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</si>
  <si>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</si>
  <si>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</si>
  <si>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</si>
  <si>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</si>
  <si>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</si>
  <si>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</si>
  <si>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</si>
  <si>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</si>
  <si>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</si>
  <si>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</si>
  <si>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</si>
  <si>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</si>
  <si>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</si>
  <si>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</si>
  <si>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</si>
  <si>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</si>
  <si>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</si>
  <si>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</si>
  <si>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</si>
  <si>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</si>
  <si>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</si>
  <si>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</si>
  <si>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</si>
  <si>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</si>
  <si>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</si>
  <si>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</si>
  <si>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</si>
  <si>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</si>
  <si>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</si>
  <si>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</si>
  <si>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</si>
  <si>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</si>
  <si>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</si>
  <si>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</si>
  <si>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</si>
  <si>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</si>
  <si>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</si>
  <si>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</si>
  <si>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</si>
  <si>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</si>
  <si>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</si>
  <si>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</si>
  <si>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</si>
  <si>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</si>
  <si>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</si>
  <si>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</si>
  <si>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</si>
  <si>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</si>
  <si>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</si>
  <si>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</si>
  <si>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</si>
  <si>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</si>
  <si>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</si>
  <si>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</si>
  <si>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</si>
  <si>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</si>
  <si>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</si>
  <si>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</si>
  <si>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</si>
  <si>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</si>
  <si>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</si>
  <si>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</si>
  <si>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</si>
  <si>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</si>
  <si>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</si>
  <si>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</si>
  <si>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</si>
  <si>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</si>
  <si>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</si>
  <si>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</si>
  <si>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</si>
  <si>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</si>
  <si>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</si>
  <si>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</si>
  <si>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</si>
  <si>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</si>
  <si>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</si>
  <si>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</si>
  <si>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</si>
  <si>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</si>
  <si>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</si>
  <si>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</si>
  <si>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</si>
  <si>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</si>
  <si>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</si>
  <si>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</si>
  <si>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</si>
  <si>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</si>
  <si>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</si>
  <si>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</si>
  <si>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</si>
  <si>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</si>
  <si>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</si>
  <si>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</si>
  <si>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</si>
  <si>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</si>
  <si>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</si>
  <si>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</si>
  <si>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</si>
  <si>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</si>
  <si>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</si>
  <si>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</si>
  <si>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</si>
  <si>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</si>
  <si>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</si>
  <si>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</si>
  <si>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</si>
  <si>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</si>
  <si>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</si>
  <si>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</si>
  <si>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</si>
  <si>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</si>
  <si>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</si>
  <si>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</si>
  <si>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</si>
  <si>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</si>
  <si>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</si>
  <si>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</si>
  <si>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</si>
  <si>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</si>
  <si>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</si>
  <si>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</si>
  <si>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</si>
  <si>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</si>
  <si>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</si>
  <si>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</si>
  <si>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</si>
  <si>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</si>
  <si>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</si>
  <si>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</si>
  <si>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</si>
  <si>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</si>
  <si>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</si>
  <si>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</si>
  <si>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</si>
  <si>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</si>
  <si>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</si>
  <si>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</si>
  <si>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</si>
  <si>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</si>
  <si>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</si>
  <si>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</si>
  <si>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</si>
  <si>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</si>
  <si>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</si>
  <si>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</si>
  <si>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</si>
  <si>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</si>
  <si>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</si>
  <si>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</si>
  <si>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</si>
  <si>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</si>
  <si>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</si>
  <si>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</si>
  <si>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</si>
  <si>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</si>
  <si>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</si>
  <si>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</si>
  <si>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</si>
  <si>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</si>
  <si>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</si>
  <si>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</si>
  <si>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</si>
  <si>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</si>
  <si>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</si>
  <si>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</si>
  <si>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</si>
  <si>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</si>
  <si>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</si>
  <si>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</si>
  <si>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</si>
  <si>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</si>
  <si>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</si>
  <si>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</si>
  <si>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</si>
  <si>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</si>
  <si>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</si>
  <si>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</si>
  <si>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</si>
  <si>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</si>
  <si>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</si>
  <si>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</si>
  <si>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</si>
  <si>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</si>
  <si>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</si>
  <si>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</si>
  <si>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</si>
  <si>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</si>
  <si>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</si>
  <si>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</si>
  <si>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</si>
  <si>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</si>
  <si>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</si>
  <si>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</si>
  <si>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</si>
  <si>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</si>
  <si>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</si>
  <si>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</si>
  <si>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</si>
  <si>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</si>
  <si>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</si>
  <si>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</si>
  <si>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</si>
  <si>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</si>
  <si>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</si>
  <si>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</si>
  <si>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</si>
  <si>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</si>
  <si>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</si>
  <si>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</si>
  <si>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</si>
  <si>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</si>
  <si>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</si>
  <si>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</si>
  <si>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</si>
  <si>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</si>
  <si>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</si>
  <si>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</si>
  <si>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</si>
  <si>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</si>
  <si>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</si>
  <si>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</si>
  <si>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</si>
  <si>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</si>
  <si>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</si>
  <si>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</si>
  <si>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</si>
  <si>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</si>
  <si>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</si>
  <si>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</si>
  <si>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</si>
  <si>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</si>
  <si>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</si>
  <si>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</si>
  <si>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</si>
  <si>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</si>
  <si>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</si>
  <si>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</si>
  <si>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</si>
  <si>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</si>
  <si>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</si>
  <si>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</si>
  <si>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</si>
  <si>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</si>
  <si>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</si>
  <si>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</si>
  <si>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</si>
  <si>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</si>
  <si>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</si>
  <si>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</si>
  <si>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</si>
  <si>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</si>
  <si>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</si>
  <si>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</si>
  <si>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</si>
  <si>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</si>
  <si>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</si>
  <si>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</si>
  <si>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</si>
  <si>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</si>
  <si>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</si>
  <si>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</si>
  <si>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</si>
  <si>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</si>
  <si>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</si>
  <si>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</si>
  <si>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</si>
  <si>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</si>
  <si>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</si>
  <si>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</si>
  <si>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</si>
  <si>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</si>
  <si>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</si>
  <si>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</si>
  <si>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</si>
  <si>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</si>
  <si>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</si>
  <si>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</si>
  <si>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</si>
  <si>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</si>
  <si>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</si>
  <si>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</si>
  <si>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</si>
  <si>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</si>
  <si>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</si>
  <si>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</si>
  <si>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</si>
  <si>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</si>
  <si>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</si>
  <si>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</si>
  <si>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</si>
  <si>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</si>
  <si>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</si>
  <si>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</si>
  <si>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</si>
  <si>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</si>
  <si>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</si>
  <si>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</si>
  <si>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</si>
  <si>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</si>
  <si>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</si>
  <si>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</si>
  <si>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</si>
  <si>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</si>
  <si>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</si>
  <si>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</si>
  <si>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</si>
  <si>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</si>
  <si>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</si>
  <si>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</si>
  <si>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</si>
  <si>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</si>
  <si>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</si>
  <si>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</si>
  <si>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</si>
  <si>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</si>
  <si>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</si>
  <si>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</si>
  <si>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</si>
  <si>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</si>
  <si>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</si>
  <si>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</si>
  <si>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</si>
  <si>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</si>
  <si>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</si>
  <si>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</si>
  <si>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</si>
  <si>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</si>
  <si>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</si>
  <si>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</si>
  <si>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</si>
  <si>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</si>
  <si>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</si>
  <si>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</si>
  <si>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</si>
  <si>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</si>
  <si>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</si>
  <si>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</si>
  <si>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</si>
  <si>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</si>
  <si>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</si>
  <si>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</si>
  <si>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</si>
  <si>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</si>
  <si>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</si>
  <si>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</si>
  <si>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</si>
  <si>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</si>
  <si>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</si>
  <si>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</si>
  <si>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</si>
  <si>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</si>
  <si>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</si>
  <si>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</si>
  <si>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</si>
  <si>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</si>
  <si>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</si>
  <si>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</si>
  <si>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</si>
  <si>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</si>
  <si>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</si>
  <si>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</si>
  <si>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</si>
  <si>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</si>
  <si>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</si>
  <si>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</si>
  <si>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</si>
  <si>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</si>
  <si>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</si>
  <si>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</si>
  <si>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</si>
  <si>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</si>
  <si>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</si>
  <si>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</si>
  <si>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</si>
  <si>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</si>
  <si>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</si>
  <si>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</si>
  <si>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</si>
  <si>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</si>
  <si>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</si>
  <si>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</si>
  <si>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</si>
  <si>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</si>
  <si>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</si>
  <si>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</si>
  <si>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</si>
  <si>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</si>
  <si>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</si>
  <si>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</si>
  <si>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</si>
  <si>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</si>
  <si>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</si>
  <si>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</si>
  <si>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</si>
  <si>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</si>
  <si>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</si>
  <si>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</si>
  <si>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</si>
  <si>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</si>
  <si>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</si>
  <si>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</si>
  <si>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</si>
  <si>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</si>
  <si>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</si>
  <si>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</si>
  <si>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</si>
  <si>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</si>
  <si>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</si>
  <si>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</si>
  <si>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</si>
  <si>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</si>
  <si>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</si>
  <si>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</si>
  <si>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</si>
  <si>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</si>
  <si>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</si>
  <si>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</si>
  <si>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</si>
  <si>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</si>
  <si>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</si>
  <si>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</si>
  <si>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</si>
  <si>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</si>
  <si>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</si>
  <si>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</si>
  <si>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</si>
  <si>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</si>
  <si>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</si>
  <si>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</si>
  <si>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</si>
  <si>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</si>
  <si>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</si>
  <si>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</si>
  <si>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</si>
  <si>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</si>
  <si>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</si>
  <si>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</si>
  <si>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</si>
  <si>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</si>
  <si>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</si>
  <si>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</si>
  <si>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</si>
  <si>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</si>
  <si>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</si>
  <si>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</si>
  <si>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</si>
  <si>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</si>
  <si>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</si>
  <si>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</si>
  <si>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</si>
  <si>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</si>
  <si>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</si>
  <si>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</si>
  <si>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</si>
  <si>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</si>
  <si>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</si>
  <si>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</si>
  <si>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</si>
  <si>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</si>
  <si>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</si>
  <si>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</si>
  <si>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</si>
  <si>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</si>
  <si>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</si>
  <si>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</si>
  <si>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</si>
  <si>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</si>
  <si>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</si>
  <si>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</si>
  <si>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</si>
  <si>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</si>
  <si>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</si>
  <si>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</si>
  <si>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</si>
  <si>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</si>
  <si>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</si>
  <si>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</si>
  <si>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</si>
  <si>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</si>
  <si>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</si>
  <si>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</si>
  <si>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</si>
  <si>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</si>
  <si>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</si>
  <si>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</si>
  <si>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</si>
  <si>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</si>
  <si>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</si>
  <si>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</si>
  <si>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</si>
  <si>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</si>
  <si>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</si>
  <si>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</si>
  <si>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</si>
  <si>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</si>
  <si>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</si>
  <si>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</si>
  <si>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</si>
  <si>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</si>
  <si>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</si>
  <si>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</si>
  <si>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</si>
  <si>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</si>
  <si>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Online self serve channel</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</si>
  <si>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</si>
  <si>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</si>
  <si>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</si>
  <si>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</si>
  <si>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</si>
  <si>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</si>
  <si>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</si>
  <si>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</si>
  <si>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</si>
  <si>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</si>
  <si>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</si>
  <si>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</si>
  <si>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</si>
  <si>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</si>
  <si>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</si>
  <si>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</si>
  <si>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</si>
  <si>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</si>
  <si>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</si>
  <si>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</si>
  <si>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</si>
  <si>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</si>
  <si>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</si>
  <si>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</si>
  <si>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</si>
  <si>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</si>
  <si>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</si>
  <si>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</si>
  <si>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</si>
  <si>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</si>
  <si>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</si>
  <si>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</si>
  <si>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</si>
  <si>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</si>
  <si>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</si>
  <si>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</si>
  <si>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</si>
  <si>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</si>
  <si>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</si>
  <si>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</si>
  <si>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</si>
  <si>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</si>
  <si>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</si>
  <si>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</si>
  <si>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</si>
  <si>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</si>
  <si>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</si>
  <si>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</si>
  <si>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</si>
  <si>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</si>
  <si>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</si>
  <si>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</si>
  <si>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</si>
  <si>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</si>
  <si>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</si>
  <si>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</si>
  <si>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</si>
  <si>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</si>
  <si>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</si>
  <si>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</si>
  <si>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</si>
  <si>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</si>
  <si>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</si>
  <si>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</si>
  <si>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</si>
  <si>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</si>
  <si>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</si>
  <si>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</si>
  <si>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</si>
  <si>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</si>
  <si>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</si>
  <si>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</si>
  <si>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</si>
  <si>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</si>
  <si>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</si>
  <si>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</si>
  <si>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</si>
  <si>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</si>
  <si>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</si>
  <si>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</si>
  <si>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</si>
  <si>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</si>
  <si>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</si>
  <si>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</si>
  <si>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</si>
  <si>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</si>
  <si>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</si>
  <si>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</si>
  <si>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</si>
  <si>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</si>
  <si>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</si>
  <si>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</si>
  <si>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</si>
  <si>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</si>
  <si>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</si>
  <si>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</si>
  <si>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</si>
  <si>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</si>
  <si>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</si>
  <si>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</si>
  <si>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</si>
  <si>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</si>
  <si>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</si>
  <si>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</si>
  <si>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</si>
  <si>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</si>
  <si>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</si>
  <si>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</si>
  <si>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</si>
  <si>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</si>
  <si>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</si>
  <si>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</si>
  <si>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</si>
  <si>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</si>
  <si>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</si>
  <si>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</si>
  <si>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</si>
  <si>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</si>
  <si>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</si>
  <si>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</si>
  <si>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</si>
  <si>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</si>
  <si>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</si>
  <si>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</si>
  <si>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</si>
  <si>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</si>
  <si>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</si>
  <si>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</si>
  <si>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</si>
  <si>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</si>
  <si>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</si>
  <si>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</si>
  <si>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</si>
  <si>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</si>
  <si>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</si>
  <si>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</si>
  <si>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</si>
  <si>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</si>
  <si>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</si>
  <si>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</si>
  <si>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</si>
  <si>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</si>
  <si>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</si>
  <si>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</si>
  <si>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</si>
  <si>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</si>
  <si>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</si>
  <si>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</si>
  <si>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</si>
  <si>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</si>
  <si>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</si>
  <si>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</si>
  <si>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</si>
  <si>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</si>
  <si>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</si>
  <si>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</si>
  <si>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</si>
  <si>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</si>
  <si>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</si>
  <si>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</si>
  <si>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</si>
  <si>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</si>
  <si>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</si>
  <si>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</si>
  <si>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</si>
  <si>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</si>
  <si>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</si>
  <si>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</si>
  <si>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</si>
  <si>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</si>
  <si>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</si>
  <si>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</si>
  <si>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</si>
  <si>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</si>
  <si>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</si>
  <si>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</si>
  <si>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</si>
  <si>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</si>
  <si>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</si>
  <si>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</si>
  <si>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</si>
  <si>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</si>
  <si>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</si>
  <si>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</si>
  <si>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</si>
  <si>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</si>
  <si>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</si>
  <si>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</si>
  <si>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</si>
  <si>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</si>
  <si>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</si>
  <si>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</si>
  <si>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</si>
  <si>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</si>
  <si>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</si>
  <si>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</si>
  <si>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</si>
  <si>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</si>
  <si>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</si>
  <si>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</si>
  <si>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</si>
  <si>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</si>
  <si>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</si>
  <si>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</si>
  <si>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</si>
  <si>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</si>
  <si>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</si>
  <si>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</si>
  <si>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</si>
  <si>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</si>
  <si>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</si>
  <si>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</si>
  <si>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</si>
  <si>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</si>
  <si>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</si>
  <si>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</si>
  <si>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</si>
  <si>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</si>
  <si>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</si>
  <si>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</si>
  <si>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</si>
  <si>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</si>
  <si>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</si>
  <si>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</si>
  <si>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</si>
  <si>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</si>
  <si>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</si>
  <si>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</si>
  <si>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</si>
  <si>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</si>
  <si>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</si>
  <si>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</si>
  <si>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</si>
  <si>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</si>
  <si>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</si>
  <si>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</si>
  <si>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</si>
  <si>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</si>
  <si>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</si>
  <si>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</si>
  <si>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</si>
  <si>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</si>
  <si>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</si>
  <si>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</si>
  <si>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</si>
  <si>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</si>
  <si>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</si>
  <si>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</si>
  <si>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</si>
  <si>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</si>
  <si>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</si>
  <si>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</si>
  <si>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</si>
  <si>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</si>
  <si>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</si>
  <si>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</si>
  <si>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</si>
  <si>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</si>
  <si>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</si>
  <si>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</si>
  <si>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</si>
  <si>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</si>
  <si>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</si>
  <si>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</si>
  <si>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</si>
  <si>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</si>
  <si>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</si>
  <si>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</si>
  <si>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</si>
  <si>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</si>
  <si>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</si>
  <si>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</si>
  <si>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</si>
  <si>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</si>
  <si>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</si>
  <si>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</si>
  <si>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</si>
  <si>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</si>
  <si>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</si>
  <si>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</si>
  <si>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</si>
  <si>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</si>
  <si>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</si>
  <si>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</si>
  <si>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</si>
  <si>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</si>
  <si>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</si>
  <si>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</si>
  <si>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</si>
  <si>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</si>
  <si>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</si>
  <si>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</si>
  <si>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</si>
  <si>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</si>
  <si>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</si>
  <si>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</si>
  <si>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</si>
  <si>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</si>
  <si>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</si>
  <si>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</si>
  <si>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</si>
  <si>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</si>
  <si>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</si>
  <si>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</si>
  <si>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</si>
  <si>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</si>
  <si>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</si>
  <si>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</si>
  <si>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</si>
  <si>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</si>
  <si>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</si>
  <si>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</si>
  <si>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</si>
  <si>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</si>
  <si>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</si>
  <si>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</si>
  <si>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</si>
  <si>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</si>
  <si>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</si>
  <si>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</si>
  <si>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</si>
  <si>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</si>
  <si>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</si>
  <si>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</si>
  <si>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</si>
  <si>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</si>
  <si>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</si>
  <si>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</si>
  <si>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</si>
  <si>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</si>
  <si>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</si>
  <si>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</si>
  <si>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</si>
  <si>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</si>
  <si>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</si>
  <si>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</si>
  <si>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</si>
  <si>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</si>
  <si>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</si>
  <si>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</si>
  <si>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</si>
  <si>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</si>
  <si>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</si>
  <si>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</si>
  <si>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</si>
  <si>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</si>
  <si>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</si>
  <si>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</si>
  <si>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</si>
  <si>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</si>
  <si>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</si>
  <si>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</si>
  <si>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</si>
  <si>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</si>
  <si>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</si>
  <si>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</si>
  <si>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</si>
  <si>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</si>
  <si>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</si>
  <si>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</si>
  <si>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</si>
  <si>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</si>
  <si>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Good</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</si>
  <si>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</si>
  <si>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</si>
  <si>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</si>
  <si>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</si>
  <si>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</si>
  <si>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</si>
  <si>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</si>
  <si>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</si>
  <si>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</si>
  <si>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</si>
  <si>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</si>
  <si>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</si>
  <si>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</si>
  <si>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</si>
  <si>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</si>
  <si>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</si>
  <si>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</si>
  <si>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</si>
  <si>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</si>
  <si>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</si>
  <si>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</si>
  <si>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</si>
  <si>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</si>
  <si>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</si>
  <si>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</si>
  <si>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</si>
  <si>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</si>
  <si>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</si>
  <si>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</si>
  <si>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</si>
  <si>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</si>
  <si>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</si>
  <si>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</si>
  <si>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</si>
  <si>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</si>
  <si>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</si>
  <si>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</si>
  <si>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</si>
  <si>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</si>
  <si>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</si>
  <si>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</si>
  <si>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</si>
  <si>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</si>
  <si>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</si>
  <si>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</si>
  <si>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</si>
  <si>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</si>
  <si>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</si>
  <si>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</si>
  <si>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</si>
  <si>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</si>
  <si>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</si>
  <si>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</si>
  <si>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</si>
  <si>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</si>
  <si>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</si>
  <si>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</si>
  <si>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</si>
  <si>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</si>
  <si>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</si>
  <si>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</si>
  <si>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</si>
  <si>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</si>
  <si>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</si>
  <si>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</si>
  <si>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</si>
  <si>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</si>
  <si>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</si>
  <si>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</si>
  <si>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</si>
  <si>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</si>
  <si>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</si>
  <si>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</si>
  <si>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</si>
  <si>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</si>
  <si>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</si>
  <si>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</si>
  <si>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</si>
  <si>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</si>
  <si>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Achieved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</si>
  <si>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</si>
  <si>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</si>
  <si>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</si>
  <si>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</si>
  <si>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</si>
  <si>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</si>
  <si>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</si>
  <si>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</si>
  <si>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</si>
  <si>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</si>
  <si>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</si>
  <si>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</si>
  <si>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</si>
  <si>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</si>
  <si>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</si>
  <si>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</si>
  <si>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</si>
  <si>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</si>
  <si>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</si>
  <si>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</si>
  <si>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</si>
  <si>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</si>
  <si>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</si>
  <si>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</si>
  <si>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</si>
  <si>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</si>
  <si>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</si>
  <si>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</si>
  <si>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</si>
  <si>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</si>
  <si>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</si>
  <si>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</si>
  <si>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</si>
  <si>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</si>
  <si>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</si>
  <si>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</si>
  <si>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</si>
  <si>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</si>
  <si>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</si>
  <si>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yes</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</si>
  <si>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</si>
  <si>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</si>
  <si>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</si>
  <si>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</si>
  <si>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</si>
  <si>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</si>
  <si>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</si>
  <si>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</si>
  <si>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</si>
  <si>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</si>
  <si>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</si>
  <si>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</si>
  <si>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</si>
  <si>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</si>
  <si>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</si>
  <si>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</si>
  <si>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</si>
  <si>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</si>
  <si>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</si>
  <si>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</si>
  <si>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</si>
  <si>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</si>
  <si>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</si>
  <si>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</si>
  <si>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</si>
  <si>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</si>
  <si>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</si>
  <si>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</si>
  <si>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</si>
  <si>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</si>
  <si>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</si>
  <si>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</si>
  <si>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</si>
  <si>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</si>
  <si>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</si>
  <si>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</si>
  <si>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</si>
  <si>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</si>
  <si>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</si>
  <si>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</si>
  <si>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</si>
  <si>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</si>
  <si>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</si>
  <si>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</si>
  <si>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</si>
  <si>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</si>
  <si>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</si>
  <si>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</si>
  <si>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</si>
  <si>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</si>
  <si>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</si>
  <si>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</si>
  <si>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</si>
  <si>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</si>
  <si>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</si>
  <si>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</si>
  <si>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</si>
  <si>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</si>
  <si>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</si>
  <si>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</si>
  <si>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</si>
  <si>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</si>
  <si>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</si>
  <si>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</si>
  <si>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</si>
  <si>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</si>
  <si>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</si>
  <si>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</si>
  <si>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</si>
  <si>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</si>
  <si>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</si>
  <si>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</si>
  <si>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</si>
  <si>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</si>
  <si>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</si>
  <si>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</si>
  <si>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</si>
  <si>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</si>
  <si>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</si>
  <si>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</si>
  <si>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</si>
  <si>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</si>
  <si>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</si>
  <si>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</si>
  <si>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</si>
  <si>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</si>
  <si>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</si>
  <si>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</si>
  <si>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</si>
  <si>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</si>
  <si>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</si>
  <si>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</si>
  <si>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</si>
  <si>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</si>
  <si>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</si>
  <si>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</si>
  <si>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</si>
  <si>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</si>
  <si>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</si>
  <si>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</si>
  <si>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</si>
  <si>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</si>
  <si>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</si>
  <si>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</si>
  <si>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</si>
  <si>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</si>
  <si>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</si>
  <si>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</si>
  <si>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</si>
  <si>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</si>
  <si>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</si>
  <si>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</si>
  <si>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</si>
  <si>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</si>
  <si>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</si>
  <si>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</si>
  <si>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</si>
  <si>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</si>
  <si>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</si>
  <si>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</si>
  <si>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</si>
  <si>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</si>
  <si>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</si>
  <si>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</si>
  <si>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</si>
  <si>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</si>
  <si>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</si>
  <si>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</si>
  <si>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</si>
  <si>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</si>
  <si>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</si>
  <si>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</si>
  <si>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95% (water), 88%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</si>
  <si>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</si>
  <si>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</si>
  <si>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</si>
  <si>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</si>
  <si>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</si>
  <si>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</si>
  <si>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</si>
  <si>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</si>
  <si>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</si>
  <si>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</si>
  <si>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</si>
  <si>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</si>
  <si>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</si>
  <si>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</si>
  <si>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</si>
  <si>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</si>
  <si>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</si>
  <si>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</si>
  <si>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</si>
  <si>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</si>
  <si>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</si>
  <si>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</si>
  <si>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</si>
  <si>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</si>
  <si>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</si>
  <si>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77%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</si>
  <si>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</si>
  <si>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</si>
  <si>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</si>
  <si>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</si>
  <si>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</si>
  <si>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</si>
  <si>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</si>
  <si>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</si>
  <si>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</si>
  <si>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</si>
  <si>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</si>
  <si>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</si>
  <si>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</si>
  <si>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</si>
  <si>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</si>
  <si>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</si>
  <si>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</si>
  <si>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</si>
  <si>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</si>
  <si>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</si>
  <si>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</si>
  <si>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</si>
  <si>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</si>
  <si>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</si>
  <si>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</si>
  <si>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</si>
  <si>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</si>
  <si>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</si>
  <si>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</si>
  <si>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</si>
  <si>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</si>
  <si>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</si>
  <si>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</si>
  <si>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</si>
  <si>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</si>
  <si>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</si>
  <si>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</si>
  <si>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</si>
  <si>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</si>
  <si>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</si>
  <si>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</si>
  <si>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</si>
  <si>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</si>
  <si>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</si>
  <si>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</si>
  <si>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</si>
  <si>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</si>
  <si>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</si>
  <si>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</si>
  <si>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</si>
  <si>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</si>
  <si>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</si>
  <si>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</si>
  <si>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</si>
  <si>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</si>
  <si>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</si>
  <si>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</si>
  <si>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</si>
  <si>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</si>
  <si>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</si>
  <si>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</si>
  <si>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</si>
  <si>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</si>
  <si>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</si>
  <si>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</si>
  <si>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</si>
  <si>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</si>
  <si>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</si>
  <si>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</si>
  <si>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</si>
  <si>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</si>
  <si>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</si>
  <si>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</si>
  <si>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</si>
  <si>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</si>
  <si>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</si>
  <si>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</si>
  <si>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</si>
  <si>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</si>
  <si>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</si>
  <si>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</si>
  <si>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</si>
  <si>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</si>
  <si>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</si>
  <si>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</si>
  <si>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</si>
  <si>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</si>
  <si>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</si>
  <si>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</si>
  <si>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</si>
  <si>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</si>
  <si>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</si>
  <si>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</si>
  <si>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</si>
  <si>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Upper Quartile</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</si>
  <si>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</si>
  <si>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</si>
  <si>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</si>
  <si>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</si>
  <si>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</si>
  <si>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</si>
  <si>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</si>
  <si>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</si>
  <si>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</si>
  <si>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</si>
  <si>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</si>
  <si>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</si>
  <si>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</si>
  <si>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</si>
  <si>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</si>
  <si>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</si>
  <si>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</si>
  <si>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</si>
  <si>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</si>
  <si>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</si>
  <si>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</si>
  <si>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</si>
  <si>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</si>
  <si>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</si>
  <si>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</si>
  <si>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</si>
  <si>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</si>
  <si>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</si>
  <si>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</si>
  <si>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</si>
  <si>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</si>
  <si>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</si>
  <si>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</si>
  <si>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</si>
  <si>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</si>
  <si>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</si>
  <si>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</si>
  <si>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</si>
  <si>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</si>
  <si>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</si>
  <si>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</si>
  <si>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</si>
  <si>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</si>
  <si>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</si>
  <si>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</si>
  <si>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</si>
  <si>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</si>
  <si>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</si>
  <si>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</si>
  <si>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</si>
  <si>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</si>
  <si>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</si>
  <si>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</si>
  <si>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</si>
  <si>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</si>
  <si>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</si>
  <si>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</si>
  <si>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</si>
  <si>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</si>
  <si>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</si>
  <si>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</si>
  <si>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</si>
  <si>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</si>
  <si>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</si>
  <si>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</si>
  <si>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</si>
  <si>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</si>
  <si>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</si>
  <si>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</si>
  <si>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</si>
  <si>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</si>
  <si>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</si>
  <si>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</si>
  <si>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</si>
  <si>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</si>
  <si>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</si>
  <si>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</si>
  <si>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</si>
  <si>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</si>
  <si>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</si>
  <si>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</si>
  <si>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</si>
  <si>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</si>
  <si>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</si>
  <si>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</si>
  <si>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</si>
  <si>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</si>
  <si>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</si>
  <si>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</si>
  <si>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</si>
  <si>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</si>
  <si>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</si>
  <si>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</si>
  <si>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</si>
  <si>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</si>
  <si>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</si>
  <si>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</si>
  <si>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</si>
  <si>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</si>
  <si>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</si>
  <si>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</si>
  <si>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</si>
  <si>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</si>
  <si>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</si>
  <si>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</si>
  <si>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</si>
  <si>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</si>
  <si>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</si>
  <si>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</si>
  <si>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</si>
  <si>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</si>
  <si>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</si>
  <si>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</si>
  <si>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</si>
  <si>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</si>
  <si>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</si>
  <si>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</si>
  <si>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</si>
  <si>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</si>
  <si>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</si>
  <si>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</si>
  <si>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</si>
  <si>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</si>
  <si>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</si>
  <si>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</si>
  <si>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</si>
  <si>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</si>
  <si>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</si>
  <si>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</si>
  <si>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</si>
  <si>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</si>
  <si>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</si>
  <si>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</si>
  <si>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</si>
  <si>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</si>
  <si>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</si>
  <si>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</si>
  <si>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</si>
  <si>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</si>
  <si>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09:10</t>
  </si>
  <si>
    <t>09:12</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</si>
  <si>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</si>
  <si>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</si>
  <si>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</si>
  <si>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</si>
  <si>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</si>
  <si>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</si>
  <si>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</si>
  <si>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2018-19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</si>
  <si>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</si>
  <si>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</si>
  <si>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</si>
  <si>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</si>
  <si>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</si>
  <si>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</si>
  <si>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</si>
  <si>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</si>
  <si>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</si>
  <si>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</si>
  <si>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</si>
  <si>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</si>
  <si>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</si>
  <si>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</si>
  <si>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</si>
  <si>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</si>
  <si>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</si>
  <si>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</si>
  <si>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</si>
  <si>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</si>
  <si>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2018-19
performance level
- actual</t>
  </si>
  <si>
    <t>2018-19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</si>
  <si>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</si>
  <si>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</si>
  <si>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</si>
  <si>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</si>
  <si>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</si>
  <si>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</si>
  <si>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</si>
  <si>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</si>
  <si>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</si>
  <si>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</si>
  <si>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</si>
  <si>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</si>
  <si>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</si>
  <si>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</si>
  <si>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</si>
  <si>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</si>
  <si>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</si>
  <si>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</si>
  <si>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</si>
  <si>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</si>
  <si>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</si>
  <si>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</si>
  <si>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</si>
  <si>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</si>
  <si>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</si>
  <si>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</si>
  <si>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</si>
  <si>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</si>
  <si>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</si>
  <si>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</si>
  <si>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</si>
  <si>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</si>
  <si>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</si>
  <si>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</si>
  <si>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</si>
  <si>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</si>
  <si>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</si>
  <si>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</si>
  <si>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</si>
  <si>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</si>
  <si>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</si>
  <si>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</si>
  <si>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</si>
  <si>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</si>
  <si>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</si>
  <si>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</si>
  <si>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</si>
  <si>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</si>
  <si>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</si>
  <si>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</si>
  <si>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</si>
  <si>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</si>
  <si>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</si>
  <si>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</si>
  <si>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</si>
  <si>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</si>
  <si>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</si>
  <si>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</si>
  <si>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</si>
  <si>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</si>
  <si>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</si>
  <si>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</si>
  <si>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</si>
  <si>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</si>
  <si>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</si>
  <si>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</si>
  <si>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</si>
  <si>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</si>
  <si>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</si>
  <si>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</si>
  <si>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</si>
  <si>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</si>
  <si>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</si>
  <si>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</si>
  <si>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</si>
  <si>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</si>
  <si>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</si>
  <si>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</si>
  <si>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</si>
  <si>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</si>
  <si>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</si>
  <si>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</si>
  <si>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</si>
  <si>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</si>
  <si>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</si>
  <si>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</si>
  <si>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</si>
  <si>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</si>
  <si>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</si>
  <si>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</si>
  <si>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</si>
  <si>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</si>
  <si>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</si>
  <si>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</si>
  <si>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</si>
  <si>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</si>
  <si>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</si>
  <si>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</si>
  <si>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</si>
  <si>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</si>
  <si>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</si>
  <si>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</si>
  <si>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</si>
  <si>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</si>
  <si>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</si>
  <si>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</si>
  <si>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</si>
  <si>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</si>
  <si>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</si>
  <si>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</si>
  <si>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</si>
  <si>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</si>
  <si>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</si>
  <si>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</si>
  <si>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</si>
  <si>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</si>
  <si>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</si>
  <si>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</si>
  <si>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</si>
  <si>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</si>
  <si>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</si>
  <si>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</si>
  <si>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</si>
  <si>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</si>
  <si>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</si>
  <si>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</si>
  <si>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</si>
  <si>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</si>
  <si>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</si>
  <si>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</si>
  <si>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</si>
  <si>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</si>
  <si>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</si>
  <si>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</si>
  <si>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</si>
  <si>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</si>
  <si>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</si>
  <si>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</si>
  <si>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</si>
  <si>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</si>
  <si>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</si>
  <si>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</si>
  <si>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</si>
  <si>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</si>
  <si>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</si>
  <si>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</si>
  <si>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</si>
  <si>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</si>
  <si>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</si>
  <si>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</si>
  <si>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</si>
  <si>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</si>
  <si>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</si>
  <si>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</si>
  <si>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</si>
  <si>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</si>
  <si>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</si>
  <si>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</si>
  <si>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</si>
  <si>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</si>
  <si>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</si>
  <si>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</si>
  <si>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</si>
  <si>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</si>
  <si>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</si>
  <si>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</si>
  <si>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</si>
  <si>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</si>
  <si>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</si>
  <si>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</si>
  <si>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</si>
  <si>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</si>
  <si>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</si>
  <si>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</si>
  <si>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</si>
  <si>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</si>
  <si>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</si>
  <si>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</si>
  <si>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</si>
  <si>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</si>
  <si>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</si>
  <si>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</si>
  <si>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</si>
  <si>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</si>
  <si>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</si>
  <si>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</si>
  <si>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</si>
  <si>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</si>
  <si>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</si>
  <si>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</si>
  <si>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</si>
  <si>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</si>
  <si>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</si>
  <si>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</si>
  <si>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</si>
  <si>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</si>
  <si>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</si>
  <si>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</si>
  <si>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</si>
  <si>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</si>
  <si>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</si>
  <si>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</si>
  <si>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</si>
  <si>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</si>
  <si>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</si>
  <si>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</si>
  <si>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</si>
  <si>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</si>
  <si>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</si>
  <si>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</si>
  <si>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</si>
  <si>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</si>
  <si>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</si>
  <si>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</si>
  <si>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</si>
  <si>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</si>
  <si>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</si>
  <si>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</si>
  <si>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</si>
  <si>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</si>
  <si>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</si>
  <si>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</si>
  <si>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</si>
  <si>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</si>
  <si>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</si>
  <si>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</si>
  <si>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</si>
  <si>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</si>
  <si>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</si>
  <si>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</si>
  <si>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</si>
  <si>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</si>
  <si>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</si>
  <si>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</si>
  <si>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</si>
  <si>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</si>
  <si>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</si>
  <si>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</si>
  <si>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</si>
  <si>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</si>
  <si>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</si>
  <si>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</si>
  <si>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</si>
  <si>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</si>
  <si>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</si>
  <si>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</si>
  <si>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</si>
  <si>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</si>
  <si>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</si>
  <si>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</si>
  <si>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</si>
  <si>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</si>
  <si>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</si>
  <si>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</si>
  <si>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</si>
  <si>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</si>
  <si>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</si>
  <si>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</si>
  <si>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</si>
  <si>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</si>
  <si>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</si>
  <si>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</si>
  <si>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</si>
  <si>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</si>
  <si>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</si>
  <si>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</si>
  <si>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</si>
  <si>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</si>
  <si>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</si>
  <si>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</si>
  <si>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</si>
  <si>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</si>
  <si>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</si>
  <si>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</si>
  <si>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</si>
  <si>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</si>
  <si>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</si>
  <si>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</si>
  <si>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</si>
  <si>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</si>
  <si>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</si>
  <si>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</si>
  <si>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</si>
  <si>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</si>
  <si>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</si>
  <si>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</si>
  <si>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</si>
  <si>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</si>
  <si>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</si>
  <si>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</si>
  <si>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</si>
  <si>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</si>
  <si>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</si>
  <si>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</si>
  <si>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</si>
  <si>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</si>
  <si>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</si>
  <si>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</si>
  <si>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</si>
  <si>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</si>
  <si>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</si>
  <si>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</si>
  <si>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</si>
  <si>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</si>
  <si>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</si>
  <si>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</si>
  <si>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</si>
  <si>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</si>
  <si>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</si>
  <si>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</si>
  <si>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</si>
  <si>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</si>
  <si>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</si>
  <si>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</si>
  <si>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</si>
  <si>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</si>
  <si>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</si>
  <si>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</si>
  <si>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</si>
  <si>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</si>
  <si>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</si>
  <si>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</si>
  <si>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</si>
  <si>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</si>
  <si>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</si>
  <si>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</si>
  <si>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</si>
  <si>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</si>
  <si>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</si>
  <si>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</si>
  <si>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</si>
  <si>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</si>
  <si>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</si>
  <si>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</si>
  <si>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</si>
  <si>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</si>
  <si>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</si>
  <si>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</si>
  <si>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</si>
  <si>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</si>
  <si>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</si>
  <si>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</si>
  <si>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</si>
  <si>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</si>
  <si>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</si>
  <si>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</si>
  <si>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</si>
  <si>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</si>
  <si>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</si>
  <si>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</si>
  <si>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</si>
  <si>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</si>
  <si>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</si>
  <si>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</si>
  <si>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</si>
  <si>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</si>
  <si>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</si>
  <si>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</si>
  <si>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</si>
  <si>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</si>
  <si>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</si>
  <si>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</si>
  <si>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</si>
  <si>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</si>
  <si>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</si>
  <si>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</si>
  <si>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</si>
  <si>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</si>
  <si>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</si>
  <si>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</si>
  <si>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</si>
  <si>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</si>
  <si>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</si>
  <si>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</si>
  <si>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</si>
  <si>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</si>
  <si>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</si>
  <si>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</si>
  <si>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</si>
  <si>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</si>
  <si>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</si>
  <si>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</si>
  <si>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</si>
  <si>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</si>
  <si>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</si>
  <si>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</si>
  <si>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</si>
  <si>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</si>
  <si>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</si>
  <si>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</si>
  <si>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</si>
  <si>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</si>
  <si>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</si>
  <si>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</si>
  <si>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</si>
  <si>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</si>
  <si>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HDD % of sewage treatment works passing their numeric consents</t>
  </si>
  <si>
    <t>HDD % of actions raised from EA regulatory site audits (actions raised as a % of total site visits)</t>
  </si>
  <si>
    <t>HDD % of sites that do not exceed their 90%ile flow on sewage treatment works or maximum daily flow on water treatment works</t>
  </si>
  <si>
    <t>HDD % of sites compliant with their abstraction permits</t>
  </si>
  <si>
    <t>SVE % of sewage treatment works passing their numeric consents</t>
  </si>
  <si>
    <t>SVE % of actions raised from EA regulatory site audits (actions raised as a % of total site visits)</t>
  </si>
  <si>
    <t>SVE % of sites that do not exceed their 90%ile flow on sewage treatment works or maximum daily flow on water treatment works</t>
  </si>
  <si>
    <t>SVE % of sites compliant with their abstraction permits</t>
  </si>
  <si>
    <t>Passed</t>
  </si>
  <si>
    <t>SVE Improvements in river water quality against WFD criteria</t>
  </si>
  <si>
    <t>SVE Asset stewardship - environmental compliance</t>
  </si>
  <si>
    <t>SVE Total number of category 1, 2, and 3 pollution incidents</t>
  </si>
  <si>
    <t>SVE Biodiversity improvements</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</si>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</sst>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 numFmtId="174" formatCode="#,##0.0\ \ \ ;\(#,##0.0\)\ \ ;\-??"/>
  </numFmts>
  <fonts count="152">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sz val="10"/>
      <color theme="0" tint="-0.34998626667073579"/>
      <name val="Franklin Gothic Demi"/>
      <family val="2"/>
    </font>
    <font>
      <sz val="10"/>
      <color theme="0" tint="-0.34998626667073579"/>
      <name val="Arial"/>
      <family val="2"/>
    </font>
    <font>
      <b/>
      <sz val="10"/>
      <color theme="0" tint="-0.34998626667073579"/>
      <name val="Arial"/>
      <family val="2"/>
    </font>
    <font>
      <sz val="9"/>
      <color theme="0" tint="-0.34998626667073579"/>
      <name val="Arial"/>
      <family val="2"/>
    </font>
    <font>
      <i/>
      <sz val="9"/>
      <color indexed="81"/>
      <name val="Tahoma"/>
      <family val="2"/>
    </font>
    <font>
      <sz val="11"/>
      <color theme="10"/>
      <name val="Arial"/>
      <family val="2"/>
    </font>
    <font>
      <b/>
      <sz val="15"/>
      <color theme="3"/>
      <name val="Arial"/>
      <family val="2"/>
    </font>
    <font>
      <b/>
      <sz val="13"/>
      <color theme="3"/>
      <name val="Arial"/>
      <family val="2"/>
    </font>
  </fonts>
  <fills count="40">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5F7"/>
        <bgColor indexed="64"/>
      </patternFill>
    </fill>
    <fill>
      <patternFill patternType="solid">
        <fgColor rgb="FFD9D9D9"/>
        <bgColor indexed="64"/>
      </patternFill>
    </fill>
    <fill>
      <patternFill patternType="solid">
        <fgColor theme="7" tint="0.59999389629810485"/>
        <bgColor indexed="64"/>
      </patternFill>
    </fill>
    <fill>
      <patternFill patternType="solid">
        <fgColor rgb="FFFFC000"/>
        <bgColor indexed="64"/>
      </patternFill>
    </fill>
  </fills>
  <borders count="364">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
      <left/>
      <right/>
      <top/>
      <bottom style="thick">
        <color theme="4"/>
      </bottom>
      <diagonal/>
    </border>
    <border>
      <left/>
      <right/>
      <top/>
      <bottom style="thick">
        <color theme="4" tint="0.499984740745262"/>
      </bottom>
      <diagonal/>
    </border>
  </borders>
  <cellStyleXfs count="33190">
    <xf numFmtId="0" fontId="0" fillId="0" borderId="0"/>
    <xf numFmtId="43" fontId="4" fillId="0" borderId="0" applyFont="0" applyFill="0" applyBorder="0" applyAlignment="0" applyProtection="0"/>
    <xf numFmtId="9" fontId="4" fillId="0" borderId="0" applyFont="0" applyFill="0" applyBorder="0" applyAlignment="0" applyProtection="0"/>
    <xf numFmtId="164" fontId="7" fillId="2" borderId="0" applyNumberFormat="0">
      <alignment horizontal="left"/>
    </xf>
    <xf numFmtId="0" fontId="10" fillId="3" borderId="0" applyNumberFormat="0"/>
    <xf numFmtId="0" fontId="13" fillId="0" borderId="0" applyNumberFormat="0" applyFill="0" applyBorder="0" applyAlignment="0" applyProtection="0"/>
    <xf numFmtId="0" fontId="4" fillId="0" borderId="0"/>
    <xf numFmtId="0" fontId="23" fillId="8" borderId="0" applyBorder="0"/>
    <xf numFmtId="0" fontId="4" fillId="0" borderId="0"/>
    <xf numFmtId="0" fontId="19" fillId="0" borderId="0"/>
    <xf numFmtId="43" fontId="19" fillId="0" borderId="0" applyFont="0" applyFill="0" applyBorder="0" applyAlignment="0" applyProtection="0"/>
    <xf numFmtId="0" fontId="19" fillId="0" borderId="0"/>
    <xf numFmtId="43" fontId="4" fillId="0" borderId="0" applyFont="0" applyFill="0" applyBorder="0" applyAlignment="0" applyProtection="0"/>
    <xf numFmtId="43" fontId="19" fillId="0" borderId="0" applyFont="0" applyFill="0" applyBorder="0" applyAlignment="0" applyProtection="0"/>
    <xf numFmtId="0" fontId="4" fillId="0" borderId="0"/>
    <xf numFmtId="0" fontId="19" fillId="0" borderId="0"/>
    <xf numFmtId="0" fontId="4" fillId="0" borderId="0"/>
    <xf numFmtId="0" fontId="49" fillId="0" borderId="0"/>
    <xf numFmtId="0" fontId="4" fillId="0" borderId="0"/>
    <xf numFmtId="9" fontId="49" fillId="0" borderId="0" applyFont="0" applyFill="0" applyBorder="0" applyAlignment="0" applyProtection="0"/>
    <xf numFmtId="0" fontId="4" fillId="0" borderId="0"/>
    <xf numFmtId="0" fontId="50" fillId="0" borderId="0"/>
    <xf numFmtId="0" fontId="49" fillId="0" borderId="0"/>
    <xf numFmtId="43" fontId="49" fillId="0" borderId="0" applyFont="0" applyFill="0" applyBorder="0" applyAlignment="0" applyProtection="0"/>
    <xf numFmtId="0" fontId="120"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28" fillId="30" borderId="0"/>
    <xf numFmtId="0" fontId="14" fillId="0" borderId="0" applyNumberFormat="0" applyFill="0" applyBorder="0" applyAlignment="0" applyProtection="0"/>
    <xf numFmtId="0" fontId="13" fillId="0" borderId="0" applyNumberFormat="0" applyFill="0" applyBorder="0" applyAlignment="0" applyProtection="0"/>
    <xf numFmtId="0" fontId="123" fillId="0" borderId="0"/>
    <xf numFmtId="0" fontId="130" fillId="0" borderId="0"/>
    <xf numFmtId="0" fontId="129" fillId="0" borderId="0"/>
    <xf numFmtId="0" fontId="129" fillId="0" borderId="0"/>
    <xf numFmtId="0" fontId="131" fillId="0" borderId="0"/>
    <xf numFmtId="0" fontId="4" fillId="0" borderId="0"/>
    <xf numFmtId="0" fontId="49" fillId="0" borderId="0"/>
    <xf numFmtId="0" fontId="4" fillId="0" borderId="0"/>
    <xf numFmtId="0" fontId="49" fillId="0" borderId="0"/>
    <xf numFmtId="0" fontId="4" fillId="0" borderId="0"/>
    <xf numFmtId="40" fontId="124" fillId="9" borderId="0">
      <alignment horizontal="right"/>
    </xf>
    <xf numFmtId="0" fontId="125" fillId="9" borderId="0">
      <alignment horizontal="right"/>
    </xf>
    <xf numFmtId="0" fontId="126" fillId="9" borderId="339"/>
    <xf numFmtId="0" fontId="126" fillId="0" borderId="0" applyBorder="0">
      <alignment horizontal="centerContinuous"/>
    </xf>
    <xf numFmtId="0" fontId="127" fillId="0" borderId="0" applyBorder="0">
      <alignment horizontal="centerContinuous"/>
    </xf>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 fillId="0" borderId="0" applyFont="0" applyFill="0" applyBorder="0" applyAlignment="0" applyProtection="0"/>
    <xf numFmtId="9" fontId="121"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49"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49" fillId="0" borderId="0" applyFont="0" applyFill="0" applyBorder="0" applyAlignment="0" applyProtection="0"/>
    <xf numFmtId="9" fontId="121" fillId="0" borderId="0" applyFont="0" applyFill="0" applyBorder="0" applyAlignment="0" applyProtection="0"/>
    <xf numFmtId="9" fontId="4" fillId="0" borderId="0" applyFont="0" applyFill="0" applyBorder="0" applyAlignment="0" applyProtection="0"/>
    <xf numFmtId="9" fontId="12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9" fillId="0" borderId="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0" fontId="3" fillId="0" borderId="0"/>
    <xf numFmtId="43" fontId="3" fillId="0" borderId="0" applyFont="0" applyFill="0" applyBorder="0" applyAlignment="0" applyProtection="0"/>
    <xf numFmtId="0" fontId="150" fillId="0" borderId="362" applyNumberFormat="0" applyFill="0" applyAlignment="0" applyProtection="0"/>
    <xf numFmtId="0" fontId="3" fillId="0" borderId="0"/>
    <xf numFmtId="0" fontId="151" fillId="0" borderId="363" applyNumberFormat="0" applyFill="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9" fillId="0" borderId="0"/>
    <xf numFmtId="174" fontId="19" fillId="0" borderId="0" applyFill="0" applyBorder="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cellStyleXfs>
  <cellXfs count="3701">
    <xf numFmtId="0" fontId="0" fillId="0" borderId="0" xfId="0"/>
    <xf numFmtId="0" fontId="7" fillId="2" borderId="0" xfId="3" applyNumberFormat="1" applyAlignment="1"/>
    <xf numFmtId="0" fontId="8" fillId="0" borderId="0" xfId="0" applyFont="1" applyFill="1" applyProtection="1"/>
    <xf numFmtId="0" fontId="9" fillId="0" borderId="0" xfId="0" applyFont="1" applyFill="1" applyProtection="1"/>
    <xf numFmtId="0" fontId="11" fillId="0" borderId="0" xfId="0" applyFont="1" applyFill="1" applyProtection="1"/>
    <xf numFmtId="0" fontId="17" fillId="0" borderId="0" xfId="0" applyFont="1" applyFill="1" applyProtection="1"/>
    <xf numFmtId="0" fontId="7" fillId="2" borderId="0" xfId="3" applyNumberFormat="1" applyAlignment="1" applyProtection="1"/>
    <xf numFmtId="0" fontId="7" fillId="2" borderId="0" xfId="0" applyFont="1" applyFill="1" applyBorder="1" applyAlignment="1" applyProtection="1">
      <alignment horizontal="right" vertical="center"/>
    </xf>
    <xf numFmtId="0" fontId="0" fillId="0" borderId="0" xfId="0" applyProtection="1"/>
    <xf numFmtId="0" fontId="20" fillId="0" borderId="0" xfId="0" applyFont="1" applyAlignment="1" applyProtection="1">
      <alignment horizontal="left" vertical="center"/>
    </xf>
    <xf numFmtId="0" fontId="0" fillId="0" borderId="0" xfId="0" applyAlignment="1" applyProtection="1">
      <alignment vertical="center"/>
    </xf>
    <xf numFmtId="0" fontId="21" fillId="3" borderId="2" xfId="4" applyFont="1" applyBorder="1" applyAlignment="1" applyProtection="1">
      <alignment vertical="center"/>
    </xf>
    <xf numFmtId="0" fontId="10" fillId="3" borderId="3" xfId="4" applyFont="1" applyBorder="1" applyAlignment="1" applyProtection="1">
      <alignment horizontal="center" wrapText="1"/>
    </xf>
    <xf numFmtId="0" fontId="10" fillId="3" borderId="3" xfId="4" applyFont="1" applyBorder="1" applyAlignment="1" applyProtection="1">
      <alignment horizontal="center" vertical="center" wrapText="1"/>
    </xf>
    <xf numFmtId="0" fontId="10" fillId="3" borderId="4" xfId="4" applyFont="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23" fillId="0" borderId="0" xfId="0" applyFont="1" applyAlignment="1" applyProtection="1">
      <alignment vertical="center"/>
    </xf>
    <xf numFmtId="0" fontId="22" fillId="5" borderId="9" xfId="0" applyFont="1" applyFill="1" applyBorder="1" applyAlignment="1" applyProtection="1">
      <alignment horizontal="center" vertical="center" wrapText="1"/>
    </xf>
    <xf numFmtId="0" fontId="22" fillId="5" borderId="12" xfId="0" applyFont="1" applyFill="1" applyBorder="1" applyAlignment="1" applyProtection="1">
      <alignment horizontal="center" vertical="center" wrapText="1"/>
    </xf>
    <xf numFmtId="0" fontId="23" fillId="0" borderId="0" xfId="0" applyFont="1" applyBorder="1" applyAlignment="1" applyProtection="1">
      <alignment vertical="center" wrapText="1"/>
    </xf>
    <xf numFmtId="0" fontId="23" fillId="0" borderId="0" xfId="0" applyFont="1" applyBorder="1" applyAlignment="1" applyProtection="1">
      <alignment vertical="center"/>
    </xf>
    <xf numFmtId="0" fontId="0" fillId="0" borderId="0" xfId="0" applyAlignment="1" applyProtection="1">
      <alignment vertical="center" wrapText="1"/>
    </xf>
    <xf numFmtId="0" fontId="21" fillId="3" borderId="2" xfId="4" applyFont="1" applyBorder="1" applyAlignment="1" applyProtection="1">
      <alignment vertical="center" wrapText="1"/>
    </xf>
    <xf numFmtId="0" fontId="23" fillId="0" borderId="0" xfId="0" applyFont="1" applyProtection="1"/>
    <xf numFmtId="0" fontId="25" fillId="8" borderId="25" xfId="7" applyFont="1" applyBorder="1" applyAlignment="1" applyProtection="1">
      <alignment horizontal="center" vertical="center"/>
    </xf>
    <xf numFmtId="0" fontId="26" fillId="4" borderId="9" xfId="9" applyFont="1" applyFill="1" applyBorder="1" applyProtection="1">
      <protection locked="0"/>
    </xf>
    <xf numFmtId="0" fontId="0" fillId="0" borderId="0" xfId="0" applyAlignment="1">
      <alignment vertical="center"/>
    </xf>
    <xf numFmtId="0" fontId="10" fillId="3" borderId="4" xfId="9" applyFont="1" applyFill="1" applyBorder="1" applyAlignment="1" applyProtection="1">
      <alignment vertical="center"/>
    </xf>
    <xf numFmtId="0" fontId="19" fillId="0" borderId="3" xfId="9" applyFont="1" applyFill="1" applyBorder="1" applyAlignment="1" applyProtection="1">
      <alignment vertical="center"/>
    </xf>
    <xf numFmtId="0" fontId="19" fillId="0" borderId="6" xfId="9" applyFont="1" applyFill="1" applyBorder="1" applyAlignment="1" applyProtection="1">
      <alignment vertical="center"/>
    </xf>
    <xf numFmtId="0" fontId="19" fillId="0" borderId="9" xfId="9" applyFont="1" applyFill="1" applyBorder="1" applyAlignment="1" applyProtection="1">
      <alignment vertical="center"/>
    </xf>
    <xf numFmtId="0" fontId="19" fillId="0" borderId="12" xfId="9" applyFont="1" applyFill="1" applyBorder="1" applyAlignment="1" applyProtection="1">
      <alignment vertical="center"/>
    </xf>
    <xf numFmtId="0" fontId="19" fillId="0" borderId="7" xfId="9" applyFont="1" applyFill="1" applyBorder="1" applyAlignment="1" applyProtection="1">
      <alignment vertical="center"/>
    </xf>
    <xf numFmtId="0" fontId="19" fillId="0" borderId="10" xfId="9" applyFont="1" applyFill="1" applyBorder="1" applyAlignment="1" applyProtection="1">
      <alignment vertical="center"/>
    </xf>
    <xf numFmtId="0" fontId="27"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6" fillId="4" borderId="5" xfId="9" applyNumberFormat="1" applyFont="1" applyFill="1" applyBorder="1" applyProtection="1">
      <protection locked="0"/>
    </xf>
    <xf numFmtId="165" fontId="26" fillId="4" borderId="6" xfId="9" applyNumberFormat="1" applyFont="1" applyFill="1" applyBorder="1" applyProtection="1">
      <protection locked="0"/>
    </xf>
    <xf numFmtId="165" fontId="26" fillId="4" borderId="7" xfId="9" applyNumberFormat="1" applyFont="1" applyFill="1" applyBorder="1" applyProtection="1">
      <protection locked="0"/>
    </xf>
    <xf numFmtId="165" fontId="26" fillId="4" borderId="54" xfId="9" applyNumberFormat="1" applyFont="1" applyFill="1" applyBorder="1" applyProtection="1">
      <protection locked="0"/>
    </xf>
    <xf numFmtId="165" fontId="26" fillId="4" borderId="8" xfId="9" applyNumberFormat="1" applyFont="1" applyFill="1" applyBorder="1" applyProtection="1">
      <protection locked="0"/>
    </xf>
    <xf numFmtId="165" fontId="26" fillId="4" borderId="9" xfId="9" applyNumberFormat="1" applyFont="1" applyFill="1" applyBorder="1" applyProtection="1">
      <protection locked="0"/>
    </xf>
    <xf numFmtId="165" fontId="26" fillId="4" borderId="10" xfId="9" applyNumberFormat="1" applyFont="1" applyFill="1" applyBorder="1" applyProtection="1">
      <protection locked="0"/>
    </xf>
    <xf numFmtId="165" fontId="26" fillId="4" borderId="56" xfId="9" applyNumberFormat="1" applyFont="1" applyFill="1" applyBorder="1" applyProtection="1">
      <protection locked="0"/>
    </xf>
    <xf numFmtId="165" fontId="26" fillId="4" borderId="31" xfId="9" applyNumberFormat="1" applyFont="1" applyFill="1" applyBorder="1" applyProtection="1">
      <protection locked="0"/>
    </xf>
    <xf numFmtId="165" fontId="26" fillId="4" borderId="32" xfId="9" applyNumberFormat="1" applyFont="1" applyFill="1" applyBorder="1" applyProtection="1">
      <protection locked="0"/>
    </xf>
    <xf numFmtId="165" fontId="26" fillId="4" borderId="28" xfId="9" applyNumberFormat="1" applyFont="1" applyFill="1" applyBorder="1" applyProtection="1">
      <protection locked="0"/>
    </xf>
    <xf numFmtId="165" fontId="26" fillId="4" borderId="29" xfId="9" applyNumberFormat="1" applyFont="1" applyFill="1" applyBorder="1" applyProtection="1">
      <protection locked="0"/>
    </xf>
    <xf numFmtId="165" fontId="26" fillId="4" borderId="110" xfId="9" applyNumberFormat="1" applyFont="1" applyFill="1" applyBorder="1" applyProtection="1">
      <protection locked="0"/>
    </xf>
    <xf numFmtId="0" fontId="12" fillId="0" borderId="0" xfId="0" applyFont="1"/>
    <xf numFmtId="0" fontId="10" fillId="3" borderId="0" xfId="4" applyAlignment="1">
      <alignment vertical="center" wrapText="1"/>
    </xf>
    <xf numFmtId="0" fontId="10" fillId="3" borderId="0" xfId="4" applyAlignment="1">
      <alignment vertical="center"/>
    </xf>
    <xf numFmtId="0" fontId="42" fillId="11" borderId="0" xfId="0" applyNumberFormat="1" applyFont="1" applyFill="1" applyBorder="1" applyAlignment="1">
      <alignment horizontal="left" vertical="top" wrapText="1"/>
    </xf>
    <xf numFmtId="0" fontId="42" fillId="11" borderId="0" xfId="0" applyFont="1" applyFill="1" applyBorder="1" applyAlignment="1">
      <alignment horizontal="left" vertical="top" wrapText="1"/>
    </xf>
    <xf numFmtId="0" fontId="12" fillId="0" borderId="0" xfId="0" applyFont="1" applyBorder="1"/>
    <xf numFmtId="0" fontId="42" fillId="0" borderId="0" xfId="0" applyFont="1" applyBorder="1"/>
    <xf numFmtId="0" fontId="12" fillId="0" borderId="0" xfId="0" applyNumberFormat="1" applyFont="1" applyBorder="1" applyAlignment="1">
      <alignment horizontal="left" vertical="top" wrapText="1"/>
    </xf>
    <xf numFmtId="0" fontId="12" fillId="0" borderId="0" xfId="0" applyFont="1" applyBorder="1" applyAlignment="1">
      <alignment horizontal="left" vertical="top" wrapText="1"/>
    </xf>
    <xf numFmtId="0" fontId="12" fillId="0" borderId="0" xfId="0" quotePrefix="1" applyFont="1" applyBorder="1" applyAlignment="1">
      <alignment horizontal="left" vertical="top" wrapText="1"/>
    </xf>
    <xf numFmtId="0" fontId="19" fillId="0" borderId="0" xfId="0" applyFont="1" applyBorder="1" applyAlignment="1">
      <alignment horizontal="left" vertical="top" wrapText="1"/>
    </xf>
    <xf numFmtId="0" fontId="6" fillId="0" borderId="0" xfId="0" applyFont="1"/>
    <xf numFmtId="0" fontId="43" fillId="12" borderId="111" xfId="0" applyFont="1" applyFill="1" applyBorder="1" applyAlignment="1">
      <alignment vertical="center" wrapText="1"/>
    </xf>
    <xf numFmtId="0" fontId="44" fillId="13" borderId="112" xfId="0" applyFont="1" applyFill="1" applyBorder="1" applyAlignment="1">
      <alignment vertical="center" wrapText="1"/>
    </xf>
    <xf numFmtId="0" fontId="45" fillId="0" borderId="0" xfId="0" applyFont="1" applyAlignment="1">
      <alignment vertical="center"/>
    </xf>
    <xf numFmtId="0" fontId="44" fillId="0" borderId="0" xfId="0" applyFont="1" applyFill="1" applyBorder="1" applyAlignment="1">
      <alignment vertical="center"/>
    </xf>
    <xf numFmtId="0" fontId="46" fillId="0" borderId="0" xfId="0" applyFont="1" applyAlignment="1">
      <alignment vertical="center"/>
    </xf>
    <xf numFmtId="0" fontId="7" fillId="2" borderId="0" xfId="6" applyFont="1" applyFill="1" applyBorder="1" applyAlignment="1" applyProtection="1">
      <alignment vertical="center"/>
    </xf>
    <xf numFmtId="0" fontId="7" fillId="2" borderId="0" xfId="6" applyFont="1" applyFill="1" applyBorder="1" applyAlignment="1" applyProtection="1">
      <alignment horizontal="left" vertical="center"/>
    </xf>
    <xf numFmtId="0" fontId="7" fillId="2" borderId="0" xfId="6" applyFont="1" applyFill="1" applyBorder="1" applyAlignment="1" applyProtection="1">
      <alignment horizontal="right" vertical="center"/>
    </xf>
    <xf numFmtId="0" fontId="24" fillId="2" borderId="0" xfId="6" applyFont="1" applyFill="1" applyBorder="1" applyAlignment="1" applyProtection="1">
      <alignment horizontal="left" vertical="center"/>
    </xf>
    <xf numFmtId="0" fontId="4" fillId="0" borderId="0" xfId="6" applyAlignment="1" applyProtection="1">
      <alignment vertical="center"/>
    </xf>
    <xf numFmtId="0" fontId="4" fillId="3" borderId="0" xfId="6" applyFill="1" applyAlignment="1" applyProtection="1">
      <alignment vertical="center"/>
    </xf>
    <xf numFmtId="0" fontId="19" fillId="0" borderId="0" xfId="0" applyFont="1" applyAlignment="1" applyProtection="1">
      <alignment vertical="center"/>
    </xf>
    <xf numFmtId="0" fontId="12" fillId="0" borderId="0" xfId="6" applyFont="1" applyAlignment="1" applyProtection="1">
      <alignment vertical="center"/>
    </xf>
    <xf numFmtId="0" fontId="19" fillId="0" borderId="0" xfId="9" applyFont="1" applyFill="1" applyAlignment="1" applyProtection="1">
      <alignment vertical="center"/>
    </xf>
    <xf numFmtId="0" fontId="19" fillId="9" borderId="0" xfId="9" applyFill="1" applyAlignment="1" applyProtection="1">
      <alignment vertical="center"/>
    </xf>
    <xf numFmtId="0" fontId="23" fillId="6" borderId="0" xfId="6" applyFont="1" applyFill="1" applyAlignment="1" applyProtection="1">
      <alignment horizontal="left" vertical="center"/>
    </xf>
    <xf numFmtId="0" fontId="4" fillId="6" borderId="0" xfId="6" applyFill="1" applyAlignment="1" applyProtection="1">
      <alignment vertical="center"/>
    </xf>
    <xf numFmtId="0" fontId="10" fillId="3" borderId="12" xfId="6" applyFont="1" applyFill="1" applyBorder="1" applyAlignment="1" applyProtection="1">
      <alignment horizontal="center" vertical="center" wrapText="1"/>
    </xf>
    <xf numFmtId="0" fontId="23" fillId="0" borderId="0" xfId="6" applyFont="1" applyAlignment="1" applyProtection="1">
      <alignment vertical="center"/>
    </xf>
    <xf numFmtId="0" fontId="10"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10" fillId="3" borderId="4" xfId="6" applyFont="1" applyFill="1" applyBorder="1" applyAlignment="1" applyProtection="1">
      <alignment vertical="center"/>
    </xf>
    <xf numFmtId="0" fontId="6" fillId="0" borderId="0" xfId="0" applyFont="1" applyFill="1" applyProtection="1"/>
    <xf numFmtId="0" fontId="25" fillId="0" borderId="0" xfId="6" applyFont="1" applyAlignment="1" applyProtection="1">
      <alignment vertical="center"/>
    </xf>
    <xf numFmtId="0" fontId="23" fillId="0" borderId="5" xfId="6" applyFont="1" applyBorder="1" applyAlignment="1" applyProtection="1">
      <alignment horizontal="center" vertical="center"/>
    </xf>
    <xf numFmtId="0" fontId="12" fillId="0" borderId="9" xfId="6" applyFont="1" applyBorder="1" applyAlignment="1" applyProtection="1">
      <alignment vertical="center"/>
    </xf>
    <xf numFmtId="0" fontId="25" fillId="0" borderId="6" xfId="6" applyFont="1" applyBorder="1" applyAlignment="1" applyProtection="1">
      <alignment horizontal="center" vertical="center"/>
    </xf>
    <xf numFmtId="0" fontId="25" fillId="0" borderId="7" xfId="6" applyFont="1" applyBorder="1" applyAlignment="1" applyProtection="1">
      <alignment horizontal="center" vertical="center"/>
    </xf>
    <xf numFmtId="165" fontId="26" fillId="7" borderId="5" xfId="9" applyNumberFormat="1" applyFont="1" applyFill="1" applyBorder="1" applyProtection="1"/>
    <xf numFmtId="0" fontId="25" fillId="0" borderId="5" xfId="6" applyFont="1" applyBorder="1" applyAlignment="1" applyProtection="1">
      <alignment horizontal="center" vertical="center"/>
    </xf>
    <xf numFmtId="1" fontId="19" fillId="0" borderId="0" xfId="9" applyNumberFormat="1" applyFont="1" applyFill="1" applyBorder="1" applyProtection="1"/>
    <xf numFmtId="0" fontId="23" fillId="6" borderId="0" xfId="6" applyFont="1" applyFill="1" applyAlignment="1" applyProtection="1">
      <alignment horizontal="center" vertical="center"/>
    </xf>
    <xf numFmtId="0" fontId="23" fillId="0" borderId="8" xfId="6" applyFont="1" applyBorder="1" applyAlignment="1" applyProtection="1">
      <alignment horizontal="center" vertical="center"/>
    </xf>
    <xf numFmtId="0" fontId="25" fillId="0" borderId="9" xfId="6" applyFont="1" applyBorder="1" applyAlignment="1" applyProtection="1">
      <alignment horizontal="center" vertical="center"/>
    </xf>
    <xf numFmtId="0" fontId="25" fillId="0" borderId="10" xfId="6" applyFont="1" applyBorder="1" applyAlignment="1" applyProtection="1">
      <alignment horizontal="center" vertical="center"/>
    </xf>
    <xf numFmtId="165" fontId="26" fillId="7" borderId="8" xfId="9" applyNumberFormat="1" applyFont="1" applyFill="1" applyBorder="1" applyProtection="1"/>
    <xf numFmtId="0" fontId="25" fillId="0" borderId="8" xfId="6" applyFont="1" applyBorder="1" applyAlignment="1" applyProtection="1">
      <alignment horizontal="center" vertical="center"/>
    </xf>
    <xf numFmtId="0" fontId="25" fillId="0" borderId="11" xfId="6" applyFont="1" applyBorder="1" applyAlignment="1" applyProtection="1">
      <alignment horizontal="center" vertical="center"/>
    </xf>
    <xf numFmtId="0" fontId="25" fillId="0" borderId="13" xfId="6" applyFont="1" applyBorder="1" applyAlignment="1" applyProtection="1">
      <alignment horizontal="center" vertical="center"/>
    </xf>
    <xf numFmtId="0" fontId="23" fillId="0" borderId="11" xfId="6" applyFont="1" applyBorder="1" applyAlignment="1" applyProtection="1">
      <alignment horizontal="center" vertical="center"/>
    </xf>
    <xf numFmtId="0" fontId="12" fillId="0" borderId="12" xfId="6" applyFont="1" applyBorder="1" applyAlignment="1" applyProtection="1">
      <alignment vertical="center"/>
    </xf>
    <xf numFmtId="0" fontId="25" fillId="0" borderId="12" xfId="6" applyFont="1" applyBorder="1" applyAlignment="1" applyProtection="1">
      <alignment horizontal="center" vertical="center"/>
    </xf>
    <xf numFmtId="165" fontId="26" fillId="7" borderId="11" xfId="9" applyNumberFormat="1" applyFont="1" applyFill="1" applyBorder="1" applyProtection="1"/>
    <xf numFmtId="165" fontId="26" fillId="7" borderId="12" xfId="9" applyNumberFormat="1" applyFont="1" applyFill="1" applyBorder="1" applyProtection="1"/>
    <xf numFmtId="165" fontId="26" fillId="7" borderId="13" xfId="9" applyNumberFormat="1" applyFont="1" applyFill="1" applyBorder="1" applyProtection="1"/>
    <xf numFmtId="165" fontId="26" fillId="7" borderId="30" xfId="9" applyNumberFormat="1" applyFont="1" applyFill="1" applyBorder="1" applyProtection="1"/>
    <xf numFmtId="2" fontId="0" fillId="0" borderId="0" xfId="0" applyNumberFormat="1" applyProtection="1"/>
    <xf numFmtId="0" fontId="4" fillId="0" borderId="25" xfId="8" applyBorder="1" applyAlignment="1" applyProtection="1">
      <alignment horizontal="center" vertical="center"/>
    </xf>
    <xf numFmtId="0" fontId="4" fillId="0" borderId="0" xfId="8" applyAlignment="1" applyProtection="1">
      <alignment vertical="center"/>
    </xf>
    <xf numFmtId="165" fontId="4" fillId="0" borderId="0" xfId="8" applyNumberFormat="1" applyAlignment="1" applyProtection="1">
      <alignment vertical="center"/>
    </xf>
    <xf numFmtId="165" fontId="0" fillId="0" borderId="0" xfId="0" applyNumberFormat="1" applyProtection="1"/>
    <xf numFmtId="0" fontId="10" fillId="3" borderId="55" xfId="6" applyFont="1" applyFill="1" applyBorder="1" applyAlignment="1" applyProtection="1">
      <alignment horizontal="center" vertical="center"/>
    </xf>
    <xf numFmtId="0" fontId="10" fillId="3" borderId="16" xfId="6" applyFont="1" applyFill="1" applyBorder="1" applyAlignment="1" applyProtection="1">
      <alignment vertical="center"/>
    </xf>
    <xf numFmtId="0" fontId="25" fillId="0" borderId="0" xfId="6" applyFont="1" applyBorder="1" applyAlignment="1" applyProtection="1">
      <alignment horizontal="center" vertical="center"/>
    </xf>
    <xf numFmtId="165" fontId="0" fillId="0" borderId="0" xfId="0" applyNumberFormat="1" applyBorder="1" applyProtection="1"/>
    <xf numFmtId="0" fontId="12" fillId="0" borderId="6" xfId="6" applyFont="1" applyBorder="1" applyAlignment="1" applyProtection="1">
      <alignment vertical="center"/>
    </xf>
    <xf numFmtId="0" fontId="25" fillId="0" borderId="0" xfId="8" applyFont="1" applyAlignment="1" applyProtection="1">
      <alignment horizontal="center" vertical="center"/>
    </xf>
    <xf numFmtId="0" fontId="23" fillId="3" borderId="0" xfId="8" applyFont="1" applyFill="1" applyAlignment="1" applyProtection="1">
      <alignment horizontal="center" vertical="center"/>
    </xf>
    <xf numFmtId="0" fontId="4" fillId="0" borderId="0" xfId="8" applyAlignment="1" applyProtection="1">
      <alignment horizontal="center" vertical="center"/>
    </xf>
    <xf numFmtId="0" fontId="23" fillId="0" borderId="0" xfId="6" applyFont="1" applyBorder="1" applyAlignment="1" applyProtection="1">
      <alignment horizontal="center" vertical="center"/>
    </xf>
    <xf numFmtId="0" fontId="12" fillId="0" borderId="0" xfId="6" applyFont="1" applyBorder="1" applyAlignment="1" applyProtection="1">
      <alignment vertical="center"/>
    </xf>
    <xf numFmtId="2" fontId="0" fillId="0" borderId="0" xfId="0" applyNumberFormat="1" applyBorder="1" applyProtection="1"/>
    <xf numFmtId="0" fontId="25" fillId="3" borderId="0" xfId="8" applyFont="1" applyFill="1" applyAlignment="1" applyProtection="1">
      <alignment horizontal="center" vertical="center"/>
    </xf>
    <xf numFmtId="165" fontId="26" fillId="7" borderId="35" xfId="9" applyNumberFormat="1" applyFont="1" applyFill="1" applyBorder="1" applyProtection="1"/>
    <xf numFmtId="0" fontId="23" fillId="0" borderId="0" xfId="8" applyFont="1" applyAlignment="1" applyProtection="1">
      <alignment horizontal="center" vertical="center"/>
    </xf>
    <xf numFmtId="0" fontId="23" fillId="0" borderId="0" xfId="6" applyFont="1" applyFill="1" applyAlignment="1" applyProtection="1">
      <alignment horizontal="center" vertical="center"/>
    </xf>
    <xf numFmtId="165" fontId="26" fillId="7" borderId="27" xfId="9" applyNumberFormat="1" applyFont="1" applyFill="1" applyBorder="1" applyProtection="1"/>
    <xf numFmtId="165" fontId="0" fillId="0" borderId="0" xfId="0" applyNumberFormat="1" applyFont="1" applyFill="1" applyBorder="1" applyProtection="1"/>
    <xf numFmtId="0" fontId="12" fillId="0" borderId="0" xfId="8" applyFont="1" applyAlignment="1" applyProtection="1">
      <alignment horizontal="center" vertical="center"/>
    </xf>
    <xf numFmtId="0" fontId="23" fillId="0" borderId="2" xfId="6" applyFont="1" applyBorder="1" applyAlignment="1" applyProtection="1">
      <alignment horizontal="center" vertical="center"/>
    </xf>
    <xf numFmtId="0" fontId="12" fillId="0" borderId="3" xfId="6" applyFont="1" applyBorder="1" applyAlignment="1" applyProtection="1">
      <alignment vertical="center"/>
    </xf>
    <xf numFmtId="0" fontId="25" fillId="0" borderId="3" xfId="6" applyFont="1" applyBorder="1" applyAlignment="1" applyProtection="1">
      <alignment horizontal="center" vertical="center"/>
    </xf>
    <xf numFmtId="0" fontId="25" fillId="0" borderId="4" xfId="6" applyFont="1" applyBorder="1" applyAlignment="1" applyProtection="1">
      <alignment horizontal="center" vertical="center"/>
    </xf>
    <xf numFmtId="165" fontId="26" fillId="7" borderId="2" xfId="9" applyNumberFormat="1" applyFont="1" applyFill="1" applyBorder="1" applyProtection="1"/>
    <xf numFmtId="165" fontId="26" fillId="7" borderId="3" xfId="9" applyNumberFormat="1" applyFont="1" applyFill="1" applyBorder="1" applyProtection="1"/>
    <xf numFmtId="165" fontId="26" fillId="7" borderId="4" xfId="9" applyNumberFormat="1" applyFont="1" applyFill="1" applyBorder="1" applyProtection="1"/>
    <xf numFmtId="165" fontId="26" fillId="7" borderId="1" xfId="9" applyNumberFormat="1" applyFont="1" applyFill="1" applyBorder="1" applyProtection="1"/>
    <xf numFmtId="0" fontId="23" fillId="0" borderId="0" xfId="0" applyFont="1" applyFill="1" applyBorder="1" applyProtection="1"/>
    <xf numFmtId="0" fontId="0" fillId="0" borderId="0" xfId="0" applyBorder="1" applyProtection="1"/>
    <xf numFmtId="0" fontId="26" fillId="0" borderId="0" xfId="9" applyFont="1" applyFill="1" applyAlignment="1" applyProtection="1">
      <alignment vertical="center"/>
    </xf>
    <xf numFmtId="0" fontId="26" fillId="0" borderId="0" xfId="9" applyFont="1" applyFill="1" applyAlignment="1" applyProtection="1">
      <alignment horizontal="left" vertical="center"/>
    </xf>
    <xf numFmtId="0" fontId="26" fillId="0" borderId="0" xfId="9" applyFont="1" applyFill="1" applyAlignment="1" applyProtection="1">
      <alignment horizontal="left"/>
    </xf>
    <xf numFmtId="0" fontId="26" fillId="7" borderId="9" xfId="9" applyFont="1" applyFill="1" applyBorder="1" applyProtection="1"/>
    <xf numFmtId="0" fontId="26" fillId="0" borderId="0" xfId="9" applyFont="1" applyFill="1" applyBorder="1" applyProtection="1"/>
    <xf numFmtId="0" fontId="27" fillId="3" borderId="33" xfId="9" applyFont="1" applyFill="1" applyBorder="1" applyAlignment="1" applyProtection="1">
      <alignment vertical="center"/>
    </xf>
    <xf numFmtId="0" fontId="28" fillId="3" borderId="34" xfId="9" applyFont="1" applyFill="1" applyBorder="1" applyAlignment="1" applyProtection="1">
      <alignment horizontal="left" vertical="center"/>
    </xf>
    <xf numFmtId="0" fontId="28" fillId="3" borderId="34" xfId="9" applyFont="1" applyFill="1" applyBorder="1" applyAlignment="1" applyProtection="1">
      <alignment vertical="center"/>
    </xf>
    <xf numFmtId="0" fontId="29" fillId="3" borderId="35" xfId="9" applyFont="1" applyFill="1" applyBorder="1" applyAlignment="1" applyProtection="1">
      <alignment vertical="center"/>
    </xf>
    <xf numFmtId="0" fontId="19" fillId="0" borderId="0" xfId="9" applyFont="1" applyFill="1" applyBorder="1" applyProtection="1"/>
    <xf numFmtId="0" fontId="19" fillId="0" borderId="0" xfId="9" applyFont="1" applyFill="1" applyAlignment="1" applyProtection="1">
      <alignment horizontal="left"/>
    </xf>
    <xf numFmtId="0" fontId="4" fillId="0" borderId="0" xfId="8" applyAlignment="1" applyProtection="1">
      <alignment horizontal="left" vertical="center"/>
    </xf>
    <xf numFmtId="0" fontId="41" fillId="0" borderId="0" xfId="8" applyFont="1" applyAlignment="1" applyProtection="1">
      <alignment vertical="center"/>
    </xf>
    <xf numFmtId="0" fontId="29" fillId="3" borderId="35" xfId="9" applyFont="1" applyFill="1" applyBorder="1" applyAlignment="1" applyProtection="1">
      <alignment horizontal="right" vertical="center"/>
    </xf>
    <xf numFmtId="0" fontId="19" fillId="0" borderId="0" xfId="9" applyFont="1" applyFill="1" applyAlignment="1" applyProtection="1">
      <alignment horizontal="left" vertical="center"/>
    </xf>
    <xf numFmtId="0" fontId="15" fillId="0" borderId="2" xfId="9" applyFont="1" applyFill="1" applyBorder="1" applyAlignment="1" applyProtection="1">
      <alignment horizontal="center" vertical="top"/>
    </xf>
    <xf numFmtId="0" fontId="25" fillId="0" borderId="35" xfId="8" applyFont="1" applyBorder="1" applyAlignment="1" applyProtection="1">
      <alignment horizontal="center" vertical="center"/>
    </xf>
    <xf numFmtId="0" fontId="31" fillId="0" borderId="0" xfId="6" applyFont="1" applyAlignment="1" applyProtection="1">
      <alignment horizontal="center" vertical="center"/>
    </xf>
    <xf numFmtId="0" fontId="26" fillId="0" borderId="8" xfId="9" applyFont="1" applyFill="1" applyBorder="1" applyAlignment="1" applyProtection="1">
      <alignment horizontal="center" vertical="top"/>
    </xf>
    <xf numFmtId="0" fontId="26" fillId="0" borderId="11" xfId="0" applyFont="1" applyBorder="1" applyAlignment="1" applyProtection="1">
      <alignment horizontal="center" vertical="top"/>
    </xf>
    <xf numFmtId="0" fontId="31" fillId="0" borderId="0" xfId="6" applyFont="1" applyAlignment="1" applyProtection="1">
      <alignment horizontal="center" vertical="center" wrapText="1"/>
    </xf>
    <xf numFmtId="0" fontId="19" fillId="0" borderId="0" xfId="9" applyFill="1" applyAlignment="1" applyProtection="1">
      <alignment vertical="center"/>
    </xf>
    <xf numFmtId="0" fontId="23" fillId="0" borderId="0" xfId="8" applyFont="1" applyAlignment="1" applyProtection="1">
      <alignment vertical="center"/>
    </xf>
    <xf numFmtId="0" fontId="25" fillId="0" borderId="0" xfId="6" applyFont="1" applyFill="1" applyAlignment="1" applyProtection="1">
      <alignment vertical="center"/>
    </xf>
    <xf numFmtId="165" fontId="23" fillId="0" borderId="0" xfId="6" applyNumberFormat="1" applyFont="1" applyAlignment="1" applyProtection="1">
      <alignment vertical="center"/>
    </xf>
    <xf numFmtId="0" fontId="19" fillId="0" borderId="0" xfId="9" applyFont="1" applyFill="1" applyAlignment="1" applyProtection="1">
      <alignment vertical="center" wrapText="1"/>
    </xf>
    <xf numFmtId="0" fontId="25" fillId="0" borderId="47" xfId="6" applyFont="1" applyBorder="1" applyAlignment="1" applyProtection="1">
      <alignment horizontal="center" vertical="center"/>
    </xf>
    <xf numFmtId="0" fontId="25" fillId="0" borderId="50" xfId="6" applyFont="1" applyBorder="1" applyAlignment="1" applyProtection="1">
      <alignment horizontal="center" vertical="center"/>
    </xf>
    <xf numFmtId="0" fontId="0" fillId="0" borderId="0" xfId="6" applyFont="1" applyAlignment="1" applyProtection="1">
      <alignment vertical="center"/>
    </xf>
    <xf numFmtId="0" fontId="23" fillId="0" borderId="46" xfId="6" applyFont="1" applyBorder="1" applyAlignment="1" applyProtection="1">
      <alignment horizontal="center" vertical="center"/>
    </xf>
    <xf numFmtId="0" fontId="12" fillId="0" borderId="47" xfId="6" applyFont="1" applyBorder="1" applyAlignment="1" applyProtection="1">
      <alignment vertical="center"/>
    </xf>
    <xf numFmtId="0" fontId="12" fillId="0" borderId="47" xfId="6" applyFont="1" applyBorder="1" applyAlignment="1" applyProtection="1">
      <alignment vertical="center" wrapText="1"/>
    </xf>
    <xf numFmtId="0" fontId="12" fillId="0" borderId="9" xfId="6" applyFont="1" applyBorder="1" applyAlignment="1" applyProtection="1">
      <alignment vertical="center" wrapText="1"/>
    </xf>
    <xf numFmtId="0" fontId="23" fillId="0" borderId="19" xfId="6" applyFont="1" applyBorder="1" applyAlignment="1" applyProtection="1">
      <alignment horizontal="center" vertical="center"/>
    </xf>
    <xf numFmtId="0" fontId="25" fillId="0" borderId="20" xfId="6" applyFont="1" applyBorder="1" applyAlignment="1" applyProtection="1">
      <alignment horizontal="center" vertical="center"/>
    </xf>
    <xf numFmtId="0" fontId="25" fillId="0" borderId="21" xfId="6" applyFont="1" applyBorder="1" applyAlignment="1" applyProtection="1">
      <alignment horizontal="center" vertical="center"/>
    </xf>
    <xf numFmtId="0" fontId="19" fillId="0" borderId="0" xfId="9" applyFont="1" applyFill="1" applyProtection="1"/>
    <xf numFmtId="0" fontId="12" fillId="0" borderId="0" xfId="8" applyFont="1" applyAlignment="1" applyProtection="1">
      <alignment vertical="center"/>
    </xf>
    <xf numFmtId="0" fontId="12" fillId="0" borderId="0" xfId="8" applyFont="1" applyAlignment="1" applyProtection="1">
      <alignment horizontal="left" vertical="center"/>
    </xf>
    <xf numFmtId="0" fontId="31" fillId="0" borderId="0" xfId="6" applyFont="1" applyAlignment="1" applyProtection="1">
      <alignment horizontal="center" vertical="top"/>
    </xf>
    <xf numFmtId="0" fontId="26" fillId="0" borderId="5" xfId="9" applyFont="1" applyFill="1" applyBorder="1" applyAlignment="1" applyProtection="1">
      <alignment horizontal="center" vertical="top"/>
    </xf>
    <xf numFmtId="0" fontId="31" fillId="0" borderId="0" xfId="6" applyFont="1" applyAlignment="1" applyProtection="1">
      <alignment horizontal="center" vertical="top" wrapText="1"/>
    </xf>
    <xf numFmtId="0" fontId="26" fillId="0" borderId="11" xfId="9" applyFont="1" applyFill="1" applyBorder="1" applyAlignment="1" applyProtection="1">
      <alignment horizontal="center" vertical="top"/>
    </xf>
    <xf numFmtId="0" fontId="10" fillId="3" borderId="3" xfId="6" applyFont="1" applyFill="1" applyBorder="1" applyAlignment="1" applyProtection="1">
      <alignment horizontal="center" vertical="center"/>
    </xf>
    <xf numFmtId="0" fontId="10" fillId="3" borderId="4" xfId="6" applyFont="1" applyFill="1" applyBorder="1" applyAlignment="1" applyProtection="1">
      <alignment horizontal="center" vertical="center"/>
    </xf>
    <xf numFmtId="0" fontId="10" fillId="3" borderId="2" xfId="6" applyFont="1" applyFill="1" applyBorder="1" applyAlignment="1" applyProtection="1">
      <alignment horizontal="center" vertical="center" wrapText="1"/>
    </xf>
    <xf numFmtId="0" fontId="10" fillId="3" borderId="4" xfId="6" applyFont="1" applyFill="1" applyBorder="1" applyAlignment="1" applyProtection="1">
      <alignment horizontal="center" vertical="center" wrapText="1"/>
    </xf>
    <xf numFmtId="165" fontId="23" fillId="7" borderId="5" xfId="6"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65" fontId="23" fillId="7" borderId="7"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0" fontId="4" fillId="0" borderId="0" xfId="6" applyFill="1" applyAlignment="1" applyProtection="1">
      <alignment vertical="center"/>
    </xf>
    <xf numFmtId="165" fontId="23" fillId="7" borderId="11"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1"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0" fontId="23" fillId="0" borderId="25" xfId="8" applyFont="1" applyBorder="1" applyAlignment="1" applyProtection="1">
      <alignment horizontal="center" vertical="center"/>
    </xf>
    <xf numFmtId="0" fontId="31" fillId="0" borderId="0" xfId="6" applyFont="1" applyBorder="1" applyAlignment="1" applyProtection="1">
      <alignment horizontal="center" vertical="center" wrapText="1"/>
    </xf>
    <xf numFmtId="0" fontId="23" fillId="0" borderId="0" xfId="8" applyFont="1" applyProtection="1"/>
    <xf numFmtId="0" fontId="26" fillId="0" borderId="0" xfId="9" applyFont="1" applyFill="1" applyBorder="1" applyAlignment="1" applyProtection="1">
      <alignment horizontal="center" vertical="top"/>
    </xf>
    <xf numFmtId="0" fontId="26" fillId="0" borderId="0" xfId="9" applyFont="1" applyFill="1" applyBorder="1" applyAlignment="1" applyProtection="1">
      <alignment vertical="center" wrapText="1"/>
    </xf>
    <xf numFmtId="0" fontId="31" fillId="0" borderId="0" xfId="8" applyFont="1" applyAlignment="1" applyProtection="1">
      <alignment horizontal="center"/>
    </xf>
    <xf numFmtId="0" fontId="31" fillId="0" borderId="0" xfId="8" applyFont="1" applyAlignment="1" applyProtection="1">
      <alignment horizontal="center" wrapText="1"/>
    </xf>
    <xf numFmtId="0" fontId="4" fillId="0" borderId="89" xfId="6" applyBorder="1" applyAlignment="1" applyProtection="1">
      <alignment vertical="center"/>
    </xf>
    <xf numFmtId="0" fontId="4" fillId="0" borderId="90" xfId="6" applyBorder="1" applyAlignment="1" applyProtection="1">
      <alignment vertical="center"/>
    </xf>
    <xf numFmtId="0" fontId="4" fillId="0" borderId="91" xfId="6" applyBorder="1" applyAlignment="1" applyProtection="1">
      <alignment vertical="center"/>
    </xf>
    <xf numFmtId="0" fontId="10" fillId="3" borderId="70" xfId="6" applyFont="1" applyFill="1" applyBorder="1" applyAlignment="1" applyProtection="1">
      <alignment horizontal="center" vertical="center" wrapText="1"/>
    </xf>
    <xf numFmtId="0" fontId="10" fillId="3" borderId="71" xfId="6" applyFont="1" applyFill="1" applyBorder="1" applyAlignment="1" applyProtection="1">
      <alignment horizontal="center" vertical="center" wrapText="1"/>
    </xf>
    <xf numFmtId="0" fontId="10" fillId="3" borderId="73" xfId="6" applyFont="1" applyFill="1" applyBorder="1" applyAlignment="1" applyProtection="1">
      <alignment horizontal="center" vertical="center" wrapText="1"/>
    </xf>
    <xf numFmtId="0" fontId="10" fillId="3" borderId="72" xfId="6" applyFont="1" applyFill="1" applyBorder="1" applyAlignment="1" applyProtection="1">
      <alignment horizontal="center" vertical="center" wrapText="1"/>
    </xf>
    <xf numFmtId="0" fontId="25" fillId="0" borderId="36" xfId="6" applyFont="1" applyBorder="1" applyAlignment="1" applyProtection="1">
      <alignment horizontal="center" vertical="center"/>
    </xf>
    <xf numFmtId="165" fontId="23" fillId="7" borderId="69" xfId="6" applyNumberFormat="1" applyFont="1" applyFill="1" applyBorder="1" applyAlignment="1" applyProtection="1">
      <alignment vertical="center"/>
    </xf>
    <xf numFmtId="0" fontId="25" fillId="0" borderId="38" xfId="6" applyFont="1" applyBorder="1" applyAlignment="1" applyProtection="1">
      <alignment horizontal="center" vertical="center"/>
    </xf>
    <xf numFmtId="165" fontId="23" fillId="7" borderId="95" xfId="6" applyNumberFormat="1" applyFont="1" applyFill="1" applyBorder="1" applyAlignment="1" applyProtection="1">
      <alignment vertical="center"/>
    </xf>
    <xf numFmtId="0" fontId="12" fillId="0" borderId="44" xfId="6" applyFont="1" applyBorder="1" applyAlignment="1" applyProtection="1">
      <alignment vertical="center"/>
    </xf>
    <xf numFmtId="165" fontId="23" fillId="10" borderId="96" xfId="6" applyNumberFormat="1" applyFont="1" applyFill="1" applyBorder="1" applyAlignment="1" applyProtection="1">
      <alignment vertical="center"/>
    </xf>
    <xf numFmtId="165" fontId="23" fillId="10" borderId="0" xfId="6" applyNumberFormat="1" applyFont="1" applyFill="1" applyBorder="1" applyAlignment="1" applyProtection="1">
      <alignment vertical="center"/>
    </xf>
    <xf numFmtId="165" fontId="23" fillId="7" borderId="97" xfId="6" applyNumberFormat="1" applyFont="1" applyFill="1" applyBorder="1" applyAlignment="1" applyProtection="1">
      <alignment vertical="center"/>
    </xf>
    <xf numFmtId="165" fontId="23" fillId="0" borderId="0" xfId="6" applyNumberFormat="1" applyFont="1" applyFill="1" applyAlignment="1" applyProtection="1">
      <alignment vertical="center"/>
    </xf>
    <xf numFmtId="0" fontId="4" fillId="0" borderId="25" xfId="6" applyBorder="1" applyAlignment="1" applyProtection="1">
      <alignment vertical="center"/>
    </xf>
    <xf numFmtId="0" fontId="25" fillId="0" borderId="40" xfId="6" applyFont="1" applyBorder="1" applyAlignment="1" applyProtection="1">
      <alignment horizontal="center" vertical="center"/>
    </xf>
    <xf numFmtId="165" fontId="23" fillId="7" borderId="75" xfId="6" applyNumberFormat="1" applyFont="1" applyFill="1" applyBorder="1" applyAlignment="1" applyProtection="1">
      <alignment vertical="center"/>
    </xf>
    <xf numFmtId="0" fontId="23" fillId="0" borderId="101" xfId="6" applyFont="1" applyBorder="1" applyAlignment="1" applyProtection="1">
      <alignment horizontal="center" vertical="center"/>
    </xf>
    <xf numFmtId="0" fontId="12" fillId="0" borderId="102" xfId="6" applyFont="1" applyBorder="1" applyAlignment="1" applyProtection="1">
      <alignment vertical="center"/>
    </xf>
    <xf numFmtId="0" fontId="25" fillId="0" borderId="102" xfId="6" applyFont="1" applyBorder="1" applyAlignment="1" applyProtection="1">
      <alignment horizontal="center" vertical="center"/>
    </xf>
    <xf numFmtId="0" fontId="25" fillId="0" borderId="103" xfId="6" applyFont="1" applyBorder="1" applyAlignment="1" applyProtection="1">
      <alignment horizontal="center" vertical="center"/>
    </xf>
    <xf numFmtId="0" fontId="23" fillId="0" borderId="0" xfId="6" applyFont="1" applyFill="1" applyBorder="1" applyAlignment="1" applyProtection="1">
      <alignment vertical="center"/>
    </xf>
    <xf numFmtId="0" fontId="23" fillId="0" borderId="104" xfId="6" applyFont="1" applyBorder="1" applyAlignment="1" applyProtection="1">
      <alignment horizontal="center" vertical="center"/>
    </xf>
    <xf numFmtId="0" fontId="25" fillId="0" borderId="105" xfId="6" applyFont="1" applyBorder="1" applyAlignment="1" applyProtection="1">
      <alignment horizontal="center" vertical="center"/>
    </xf>
    <xf numFmtId="0" fontId="23" fillId="0" borderId="106" xfId="6" applyFont="1" applyBorder="1" applyAlignment="1" applyProtection="1">
      <alignment horizontal="center" vertical="center"/>
    </xf>
    <xf numFmtId="0" fontId="12" fillId="0" borderId="107" xfId="6" applyFont="1" applyBorder="1" applyAlignment="1" applyProtection="1">
      <alignment vertical="center"/>
    </xf>
    <xf numFmtId="0" fontId="25" fillId="0" borderId="107" xfId="6" applyFont="1" applyBorder="1" applyAlignment="1" applyProtection="1">
      <alignment horizontal="center" vertical="center"/>
    </xf>
    <xf numFmtId="0" fontId="25" fillId="0" borderId="108" xfId="6" applyFont="1" applyBorder="1" applyAlignment="1" applyProtection="1">
      <alignment horizontal="center" vertical="center"/>
    </xf>
    <xf numFmtId="165" fontId="23" fillId="0" borderId="0" xfId="6" applyNumberFormat="1" applyFont="1" applyFill="1" applyBorder="1" applyAlignment="1" applyProtection="1">
      <alignment vertical="center"/>
    </xf>
    <xf numFmtId="0" fontId="23" fillId="0" borderId="0" xfId="8" applyFont="1" applyFill="1" applyAlignment="1" applyProtection="1">
      <alignment horizontal="center" vertical="center"/>
    </xf>
    <xf numFmtId="0" fontId="0" fillId="0" borderId="0" xfId="0" applyFill="1" applyBorder="1" applyProtection="1"/>
    <xf numFmtId="165" fontId="23" fillId="7" borderId="32"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0" fontId="23" fillId="0" borderId="0" xfId="6" applyFont="1" applyBorder="1" applyAlignment="1" applyProtection="1">
      <alignment horizontal="center" vertical="center" wrapText="1"/>
    </xf>
    <xf numFmtId="165" fontId="23" fillId="7" borderId="4" xfId="6" applyNumberFormat="1" applyFont="1" applyFill="1" applyBorder="1" applyAlignment="1" applyProtection="1">
      <alignment vertical="center"/>
    </xf>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21" xfId="6" applyNumberFormat="1" applyFont="1" applyFill="1" applyBorder="1" applyAlignment="1" applyProtection="1">
      <alignment vertical="center"/>
    </xf>
    <xf numFmtId="0" fontId="28" fillId="3" borderId="35" xfId="9" applyFont="1" applyFill="1" applyBorder="1" applyAlignment="1" applyProtection="1">
      <alignment vertical="center"/>
    </xf>
    <xf numFmtId="0" fontId="15" fillId="0" borderId="68" xfId="9" applyFont="1" applyFill="1" applyBorder="1" applyAlignment="1" applyProtection="1">
      <alignment horizontal="center" vertical="top"/>
    </xf>
    <xf numFmtId="0" fontId="31" fillId="0" borderId="0" xfId="8" applyFont="1" applyAlignment="1" applyProtection="1">
      <alignment horizontal="center" vertical="center"/>
    </xf>
    <xf numFmtId="0" fontId="23" fillId="0" borderId="0" xfId="6" applyFont="1" applyAlignment="1" applyProtection="1">
      <alignment horizontal="center" vertical="center"/>
    </xf>
    <xf numFmtId="0" fontId="4" fillId="0" borderId="63" xfId="6" applyBorder="1" applyAlignment="1" applyProtection="1">
      <alignment vertical="center"/>
    </xf>
    <xf numFmtId="0" fontId="31" fillId="0" borderId="0" xfId="8" applyFont="1" applyProtection="1"/>
    <xf numFmtId="0" fontId="16" fillId="0" borderId="0" xfId="9" applyFont="1" applyFill="1" applyBorder="1" applyAlignment="1" applyProtection="1">
      <alignment vertical="center"/>
    </xf>
    <xf numFmtId="0" fontId="19" fillId="0" borderId="0" xfId="11" applyFont="1" applyFill="1" applyBorder="1" applyProtection="1"/>
    <xf numFmtId="0" fontId="10" fillId="3" borderId="11" xfId="9" applyFont="1" applyFill="1" applyBorder="1" applyAlignment="1" applyProtection="1">
      <alignment horizontal="center" vertical="center" wrapText="1"/>
    </xf>
    <xf numFmtId="0" fontId="10" fillId="3" borderId="13" xfId="9" applyFont="1" applyFill="1" applyBorder="1" applyAlignment="1" applyProtection="1">
      <alignment horizontal="center" vertical="center" wrapText="1"/>
    </xf>
    <xf numFmtId="0" fontId="10" fillId="3" borderId="2" xfId="9" applyFont="1" applyFill="1" applyBorder="1" applyAlignment="1" applyProtection="1">
      <alignment horizontal="center" vertical="center"/>
    </xf>
    <xf numFmtId="0" fontId="19" fillId="0" borderId="0" xfId="9" applyFont="1" applyFill="1" applyBorder="1" applyAlignment="1" applyProtection="1">
      <alignment vertical="center"/>
    </xf>
    <xf numFmtId="0" fontId="19" fillId="0" borderId="2" xfId="9" applyFont="1" applyFill="1" applyBorder="1" applyAlignment="1" applyProtection="1">
      <alignment horizontal="center" vertical="center"/>
    </xf>
    <xf numFmtId="0" fontId="19" fillId="0" borderId="3" xfId="9" applyFont="1" applyFill="1" applyBorder="1" applyAlignment="1" applyProtection="1">
      <alignment horizontal="left" vertical="center"/>
    </xf>
    <xf numFmtId="0" fontId="17" fillId="0" borderId="3" xfId="9" quotePrefix="1" applyFont="1" applyFill="1" applyBorder="1" applyAlignment="1" applyProtection="1">
      <alignment horizontal="center" vertical="center"/>
    </xf>
    <xf numFmtId="0" fontId="17" fillId="0" borderId="4" xfId="9" applyFont="1" applyFill="1" applyBorder="1" applyAlignment="1" applyProtection="1">
      <alignment horizontal="center" vertical="center"/>
    </xf>
    <xf numFmtId="0" fontId="19" fillId="0" borderId="0" xfId="9" applyFont="1" applyFill="1" applyBorder="1" applyAlignment="1" applyProtection="1">
      <alignment horizontal="left" vertical="center"/>
    </xf>
    <xf numFmtId="0" fontId="17" fillId="0" borderId="0" xfId="9" quotePrefix="1" applyFont="1" applyFill="1" applyBorder="1" applyAlignment="1" applyProtection="1">
      <alignment horizontal="center" vertical="center"/>
    </xf>
    <xf numFmtId="0" fontId="17" fillId="0" borderId="0" xfId="9" applyFont="1" applyFill="1" applyBorder="1" applyAlignment="1" applyProtection="1">
      <alignment horizontal="center" vertical="center"/>
    </xf>
    <xf numFmtId="0" fontId="26" fillId="0" borderId="0" xfId="9" applyFont="1" applyFill="1" applyBorder="1" applyAlignment="1" applyProtection="1">
      <alignment horizontal="center" vertical="center"/>
    </xf>
    <xf numFmtId="0" fontId="17" fillId="0" borderId="0" xfId="9" applyFont="1" applyFill="1" applyAlignment="1" applyProtection="1">
      <alignment vertical="center"/>
    </xf>
    <xf numFmtId="0" fontId="19" fillId="0" borderId="5" xfId="9" applyFont="1" applyFill="1" applyBorder="1" applyAlignment="1" applyProtection="1">
      <alignment horizontal="center" vertical="center"/>
    </xf>
    <xf numFmtId="0" fontId="19" fillId="0" borderId="6" xfId="9" applyFont="1" applyFill="1" applyBorder="1" applyAlignment="1" applyProtection="1">
      <alignment horizontal="left" vertical="center"/>
    </xf>
    <xf numFmtId="0" fontId="17" fillId="0" borderId="6" xfId="9" quotePrefix="1" applyFont="1" applyFill="1" applyBorder="1" applyAlignment="1" applyProtection="1">
      <alignment horizontal="center" vertical="center"/>
    </xf>
    <xf numFmtId="0" fontId="17" fillId="0" borderId="7" xfId="9" applyFont="1" applyFill="1" applyBorder="1" applyAlignment="1" applyProtection="1">
      <alignment horizontal="center" vertical="center"/>
    </xf>
    <xf numFmtId="0" fontId="19" fillId="0" borderId="8" xfId="9" applyFont="1" applyFill="1" applyBorder="1" applyAlignment="1" applyProtection="1">
      <alignment horizontal="center" vertical="center"/>
    </xf>
    <xf numFmtId="0" fontId="19" fillId="0" borderId="9" xfId="9" applyFont="1" applyFill="1" applyBorder="1" applyAlignment="1" applyProtection="1">
      <alignment horizontal="left" vertical="center"/>
    </xf>
    <xf numFmtId="0" fontId="17" fillId="0" borderId="9" xfId="9" quotePrefix="1" applyFont="1" applyFill="1" applyBorder="1" applyAlignment="1" applyProtection="1">
      <alignment horizontal="center" vertical="center"/>
    </xf>
    <xf numFmtId="0" fontId="17" fillId="0" borderId="10" xfId="9" applyFont="1" applyFill="1" applyBorder="1" applyAlignment="1" applyProtection="1">
      <alignment horizontal="center" vertical="center"/>
    </xf>
    <xf numFmtId="0" fontId="4" fillId="0" borderId="0" xfId="8" applyProtection="1"/>
    <xf numFmtId="0" fontId="19" fillId="0" borderId="11" xfId="9" applyFont="1" applyFill="1" applyBorder="1" applyAlignment="1" applyProtection="1">
      <alignment horizontal="center" vertical="center"/>
    </xf>
    <xf numFmtId="0" fontId="19" fillId="0" borderId="12" xfId="9" applyFont="1" applyFill="1" applyBorder="1" applyAlignment="1" applyProtection="1">
      <alignment horizontal="left" vertical="center"/>
    </xf>
    <xf numFmtId="0" fontId="17" fillId="0" borderId="12" xfId="9" applyFont="1" applyFill="1" applyBorder="1" applyAlignment="1" applyProtection="1">
      <alignment horizontal="center" vertical="center"/>
    </xf>
    <xf numFmtId="0" fontId="17" fillId="0" borderId="13" xfId="9" applyFont="1" applyFill="1" applyBorder="1" applyAlignment="1" applyProtection="1">
      <alignment horizontal="center" vertical="center"/>
    </xf>
    <xf numFmtId="0" fontId="4" fillId="0" borderId="0" xfId="8" applyFill="1" applyProtection="1"/>
    <xf numFmtId="0" fontId="4" fillId="0" borderId="0" xfId="8" applyFill="1" applyAlignment="1" applyProtection="1">
      <alignment vertical="center"/>
    </xf>
    <xf numFmtId="0" fontId="15" fillId="0" borderId="33" xfId="9" applyFont="1" applyFill="1" applyBorder="1" applyAlignment="1" applyProtection="1">
      <alignment horizontal="center" vertical="top"/>
    </xf>
    <xf numFmtId="0" fontId="26" fillId="0" borderId="5" xfId="9" applyFont="1" applyFill="1" applyBorder="1" applyAlignment="1" applyProtection="1">
      <alignment horizontal="center" vertical="center"/>
    </xf>
    <xf numFmtId="0" fontId="26" fillId="0" borderId="8" xfId="9" applyFont="1" applyFill="1" applyBorder="1" applyAlignment="1" applyProtection="1">
      <alignment horizontal="center" vertical="center"/>
    </xf>
    <xf numFmtId="0" fontId="26" fillId="0" borderId="11" xfId="9" applyFont="1" applyFill="1" applyBorder="1" applyAlignment="1" applyProtection="1">
      <alignment horizontal="center" vertical="center"/>
    </xf>
    <xf numFmtId="0" fontId="31" fillId="0" borderId="0" xfId="8" applyFont="1" applyAlignment="1" applyProtection="1">
      <alignment vertical="center"/>
    </xf>
    <xf numFmtId="0" fontId="10" fillId="3" borderId="54" xfId="9" applyFont="1" applyFill="1" applyBorder="1" applyAlignment="1" applyProtection="1">
      <alignment horizontal="left" vertical="center"/>
    </xf>
    <xf numFmtId="0" fontId="10" fillId="3" borderId="24" xfId="9" applyFont="1" applyFill="1" applyBorder="1" applyAlignment="1" applyProtection="1">
      <alignment vertical="center"/>
    </xf>
    <xf numFmtId="0" fontId="33" fillId="0" borderId="0" xfId="9" applyFont="1" applyFill="1" applyBorder="1" applyAlignment="1" applyProtection="1">
      <alignment horizontal="center" vertical="center"/>
    </xf>
    <xf numFmtId="0" fontId="19" fillId="0" borderId="0" xfId="9" applyFont="1" applyFill="1" applyBorder="1" applyAlignment="1" applyProtection="1">
      <alignment horizontal="center" vertical="center"/>
    </xf>
    <xf numFmtId="0" fontId="10" fillId="3" borderId="2" xfId="9" applyFont="1" applyFill="1" applyBorder="1" applyAlignment="1" applyProtection="1">
      <alignment horizontal="center" vertical="center" wrapText="1"/>
    </xf>
    <xf numFmtId="0" fontId="10" fillId="3" borderId="4" xfId="9" applyFont="1" applyFill="1" applyBorder="1" applyAlignment="1" applyProtection="1">
      <alignment horizontal="center" vertical="center" wrapText="1"/>
    </xf>
    <xf numFmtId="0" fontId="10" fillId="3" borderId="16" xfId="9" applyFont="1" applyFill="1" applyBorder="1" applyAlignment="1" applyProtection="1">
      <alignment vertical="center"/>
    </xf>
    <xf numFmtId="0" fontId="17" fillId="0" borderId="0" xfId="9" applyFont="1" applyFill="1" applyBorder="1" applyAlignment="1" applyProtection="1">
      <alignment vertical="center"/>
    </xf>
    <xf numFmtId="0" fontId="17" fillId="0" borderId="6" xfId="9" applyFont="1" applyFill="1" applyBorder="1" applyAlignment="1" applyProtection="1">
      <alignment horizontal="center" vertical="center"/>
    </xf>
    <xf numFmtId="0" fontId="17" fillId="0" borderId="9" xfId="9" applyFont="1" applyFill="1" applyBorder="1" applyAlignment="1" applyProtection="1">
      <alignment horizontal="center" vertical="center"/>
    </xf>
    <xf numFmtId="0" fontId="12" fillId="0" borderId="0" xfId="8" applyFont="1" applyProtection="1"/>
    <xf numFmtId="0" fontId="5" fillId="0" borderId="0" xfId="6" applyFont="1" applyAlignment="1" applyProtection="1">
      <alignment vertical="center"/>
    </xf>
    <xf numFmtId="0" fontId="32" fillId="0" borderId="0" xfId="9" applyFont="1" applyFill="1" applyAlignment="1" applyProtection="1">
      <alignment vertical="center"/>
    </xf>
    <xf numFmtId="0" fontId="10" fillId="3" borderId="61" xfId="9" applyFont="1" applyFill="1" applyBorder="1" applyAlignment="1" applyProtection="1">
      <alignment horizontal="left" vertical="center" wrapText="1"/>
    </xf>
    <xf numFmtId="0" fontId="10" fillId="3" borderId="61" xfId="9" applyFont="1" applyFill="1" applyBorder="1" applyAlignment="1" applyProtection="1">
      <alignment horizontal="center" vertical="center" wrapText="1"/>
    </xf>
    <xf numFmtId="0" fontId="10" fillId="3" borderId="3" xfId="9" applyFont="1" applyFill="1" applyBorder="1" applyAlignment="1" applyProtection="1">
      <alignment horizontal="center" vertical="center" wrapText="1"/>
    </xf>
    <xf numFmtId="0" fontId="19" fillId="9" borderId="0" xfId="9" applyFont="1" applyFill="1" applyAlignment="1" applyProtection="1">
      <alignment vertical="center"/>
    </xf>
    <xf numFmtId="0" fontId="39" fillId="9" borderId="0" xfId="9" applyFont="1" applyFill="1" applyAlignment="1" applyProtection="1">
      <alignment horizontal="center" vertical="center"/>
    </xf>
    <xf numFmtId="0" fontId="40" fillId="0" borderId="0" xfId="6" applyFont="1" applyFill="1" applyAlignment="1" applyProtection="1">
      <alignment horizontal="center" vertical="center"/>
    </xf>
    <xf numFmtId="0" fontId="26" fillId="0" borderId="6" xfId="9" applyFont="1" applyFill="1" applyBorder="1" applyAlignment="1" applyProtection="1">
      <alignment vertical="center"/>
    </xf>
    <xf numFmtId="0" fontId="26" fillId="0" borderId="6" xfId="9" applyFont="1" applyFill="1" applyBorder="1" applyAlignment="1" applyProtection="1">
      <alignment vertical="center" wrapText="1"/>
    </xf>
    <xf numFmtId="0" fontId="26" fillId="0" borderId="6" xfId="9" applyFont="1" applyFill="1" applyBorder="1" applyAlignment="1" applyProtection="1">
      <alignment horizontal="center" vertical="center" wrapText="1"/>
    </xf>
    <xf numFmtId="0" fontId="26" fillId="0" borderId="9" xfId="9" applyFont="1" applyFill="1" applyBorder="1" applyAlignment="1" applyProtection="1">
      <alignment horizontal="center" vertical="center" wrapText="1"/>
    </xf>
    <xf numFmtId="0" fontId="19" fillId="9" borderId="0" xfId="9" applyFont="1" applyFill="1" applyBorder="1" applyAlignment="1" applyProtection="1">
      <alignment vertical="center"/>
    </xf>
    <xf numFmtId="0" fontId="26" fillId="0" borderId="12" xfId="9" applyFont="1" applyFill="1" applyBorder="1" applyAlignment="1" applyProtection="1">
      <alignment horizontal="center" vertical="center" wrapText="1"/>
    </xf>
    <xf numFmtId="0" fontId="19" fillId="0" borderId="0" xfId="9" applyFill="1" applyBorder="1" applyAlignment="1" applyProtection="1">
      <alignment vertical="center"/>
    </xf>
    <xf numFmtId="0" fontId="23" fillId="0" borderId="0" xfId="8" applyFont="1" applyFill="1" applyAlignment="1" applyProtection="1">
      <alignment vertical="center"/>
    </xf>
    <xf numFmtId="0" fontId="15" fillId="0" borderId="0" xfId="9" applyFont="1" applyFill="1" applyAlignment="1" applyProtection="1">
      <alignment vertical="center"/>
    </xf>
    <xf numFmtId="0" fontId="30" fillId="0" borderId="0" xfId="6" applyFont="1" applyAlignment="1" applyProtection="1">
      <alignment vertical="center" wrapText="1"/>
    </xf>
    <xf numFmtId="0" fontId="30" fillId="0" borderId="0" xfId="6" applyFont="1" applyAlignment="1" applyProtection="1">
      <alignment vertical="center"/>
    </xf>
    <xf numFmtId="0" fontId="0" fillId="0" borderId="34" xfId="0" applyBorder="1" applyProtection="1"/>
    <xf numFmtId="0" fontId="4" fillId="0" borderId="34" xfId="8" applyBorder="1" applyAlignment="1" applyProtection="1">
      <alignment vertical="center"/>
    </xf>
    <xf numFmtId="0" fontId="19" fillId="0" borderId="34" xfId="9" applyFont="1" applyFill="1" applyBorder="1" applyAlignment="1" applyProtection="1">
      <alignment vertical="center"/>
    </xf>
    <xf numFmtId="0" fontId="4" fillId="0" borderId="34" xfId="6" applyBorder="1" applyAlignment="1" applyProtection="1">
      <alignment vertical="center"/>
    </xf>
    <xf numFmtId="0" fontId="12" fillId="0" borderId="34" xfId="8" applyFont="1" applyBorder="1" applyAlignment="1" applyProtection="1">
      <alignment vertical="center"/>
    </xf>
    <xf numFmtId="0" fontId="12" fillId="0" borderId="35" xfId="8" applyFont="1" applyBorder="1" applyAlignment="1" applyProtection="1">
      <alignment vertical="center"/>
    </xf>
    <xf numFmtId="0" fontId="36" fillId="3" borderId="2" xfId="9" applyFont="1" applyFill="1" applyBorder="1" applyAlignment="1" applyProtection="1">
      <alignment horizontal="center" vertical="center" wrapText="1"/>
    </xf>
    <xf numFmtId="0" fontId="36" fillId="3" borderId="3" xfId="9" applyFont="1" applyFill="1" applyBorder="1" applyAlignment="1" applyProtection="1">
      <alignment horizontal="center" vertical="center" wrapText="1"/>
    </xf>
    <xf numFmtId="0" fontId="33" fillId="0" borderId="0" xfId="9" applyFont="1" applyFill="1" applyProtection="1"/>
    <xf numFmtId="165" fontId="26" fillId="7" borderId="7" xfId="9" applyNumberFormat="1" applyFont="1" applyFill="1" applyBorder="1" applyAlignment="1" applyProtection="1">
      <alignment vertical="center"/>
    </xf>
    <xf numFmtId="165" fontId="26" fillId="7" borderId="10" xfId="9" applyNumberFormat="1" applyFont="1" applyFill="1" applyBorder="1" applyAlignment="1" applyProtection="1">
      <alignment vertical="center"/>
    </xf>
    <xf numFmtId="165" fontId="26" fillId="7" borderId="11" xfId="9" applyNumberFormat="1" applyFont="1" applyFill="1" applyBorder="1" applyAlignment="1" applyProtection="1">
      <alignment vertical="center"/>
    </xf>
    <xf numFmtId="165" fontId="26" fillId="7" borderId="12" xfId="9" applyNumberFormat="1" applyFont="1" applyFill="1" applyBorder="1" applyAlignment="1" applyProtection="1">
      <alignment vertical="center"/>
    </xf>
    <xf numFmtId="165" fontId="26" fillId="7" borderId="13" xfId="9" applyNumberFormat="1" applyFont="1" applyFill="1" applyBorder="1" applyAlignment="1" applyProtection="1">
      <alignment vertical="center"/>
    </xf>
    <xf numFmtId="0" fontId="37" fillId="0" borderId="0" xfId="9" applyFont="1" applyFill="1" applyBorder="1" applyAlignment="1" applyProtection="1">
      <alignment horizontal="center" vertical="center"/>
    </xf>
    <xf numFmtId="0" fontId="26" fillId="0" borderId="0" xfId="11" applyFont="1" applyFill="1" applyBorder="1" applyAlignment="1" applyProtection="1">
      <alignment vertical="center"/>
    </xf>
    <xf numFmtId="0" fontId="26" fillId="0" borderId="2" xfId="9" applyFont="1" applyFill="1" applyBorder="1" applyAlignment="1" applyProtection="1">
      <alignment horizontal="center" vertical="center"/>
    </xf>
    <xf numFmtId="0" fontId="17" fillId="0" borderId="3" xfId="9" applyFont="1" applyFill="1" applyBorder="1" applyAlignment="1" applyProtection="1">
      <alignment horizontal="center" vertical="center"/>
    </xf>
    <xf numFmtId="165" fontId="26" fillId="7" borderId="2" xfId="9" applyNumberFormat="1" applyFont="1" applyFill="1" applyBorder="1" applyAlignment="1" applyProtection="1">
      <alignment vertical="center"/>
    </xf>
    <xf numFmtId="165" fontId="26" fillId="7" borderId="3" xfId="9" applyNumberFormat="1" applyFont="1" applyFill="1" applyBorder="1" applyAlignment="1" applyProtection="1">
      <alignment vertical="center"/>
    </xf>
    <xf numFmtId="165" fontId="26" fillId="7" borderId="4" xfId="9" applyNumberFormat="1" applyFont="1" applyFill="1" applyBorder="1" applyAlignment="1" applyProtection="1">
      <alignment vertical="center"/>
    </xf>
    <xf numFmtId="0" fontId="26" fillId="0" borderId="0" xfId="9" applyFont="1" applyFill="1" applyBorder="1" applyAlignment="1" applyProtection="1">
      <alignment vertical="center"/>
    </xf>
    <xf numFmtId="165" fontId="26" fillId="7" borderId="30" xfId="9" applyNumberFormat="1" applyFont="1" applyFill="1" applyBorder="1" applyAlignment="1" applyProtection="1">
      <alignment vertical="center"/>
    </xf>
    <xf numFmtId="0" fontId="36" fillId="3" borderId="4" xfId="9" applyFont="1" applyFill="1" applyBorder="1" applyAlignment="1" applyProtection="1">
      <alignment horizontal="center" vertical="center" wrapText="1"/>
    </xf>
    <xf numFmtId="0" fontId="22" fillId="0" borderId="0" xfId="8" applyFont="1" applyAlignment="1" applyProtection="1">
      <alignment horizontal="center" vertical="center"/>
    </xf>
    <xf numFmtId="165" fontId="26" fillId="7" borderId="8" xfId="9" applyNumberFormat="1" applyFont="1" applyFill="1" applyBorder="1" applyAlignment="1" applyProtection="1">
      <alignment vertical="center"/>
    </xf>
    <xf numFmtId="0" fontId="30" fillId="0" borderId="0" xfId="8" applyFont="1" applyAlignment="1" applyProtection="1">
      <alignment horizontal="center" vertical="center" wrapText="1"/>
    </xf>
    <xf numFmtId="0" fontId="30" fillId="0" borderId="0" xfId="8" applyFont="1" applyAlignment="1" applyProtection="1">
      <alignment horizontal="center" vertical="center"/>
    </xf>
    <xf numFmtId="0" fontId="10" fillId="3" borderId="1" xfId="9" applyFont="1" applyFill="1" applyBorder="1" applyAlignment="1" applyProtection="1">
      <alignment horizontal="center" vertical="center" wrapText="1"/>
    </xf>
    <xf numFmtId="0" fontId="20" fillId="0" borderId="0" xfId="6" applyFont="1" applyAlignment="1" applyProtection="1">
      <alignment vertical="center"/>
    </xf>
    <xf numFmtId="0" fontId="34" fillId="0" borderId="0" xfId="9" applyFont="1" applyFill="1" applyProtection="1"/>
    <xf numFmtId="0" fontId="26" fillId="9" borderId="2" xfId="9" applyFont="1" applyFill="1" applyBorder="1" applyAlignment="1" applyProtection="1">
      <alignment horizontal="center" vertical="center"/>
    </xf>
    <xf numFmtId="0" fontId="26" fillId="9" borderId="5" xfId="9" applyFont="1" applyFill="1" applyBorder="1" applyAlignment="1" applyProtection="1">
      <alignment horizontal="center" vertical="center"/>
    </xf>
    <xf numFmtId="0" fontId="26" fillId="9" borderId="8" xfId="9" applyFont="1" applyFill="1" applyBorder="1" applyAlignment="1" applyProtection="1">
      <alignment horizontal="center" vertical="center"/>
    </xf>
    <xf numFmtId="0" fontId="26" fillId="9" borderId="11" xfId="9" applyFont="1" applyFill="1" applyBorder="1" applyAlignment="1" applyProtection="1">
      <alignment horizontal="center" vertical="center"/>
    </xf>
    <xf numFmtId="0" fontId="12" fillId="0" borderId="0" xfId="8" applyFont="1" applyFill="1" applyAlignment="1" applyProtection="1">
      <alignment vertical="center"/>
    </xf>
    <xf numFmtId="0" fontId="35" fillId="0" borderId="0" xfId="9" applyFont="1" applyFill="1" applyAlignment="1" applyProtection="1">
      <alignment horizontal="left" vertical="center"/>
    </xf>
    <xf numFmtId="0" fontId="15" fillId="0" borderId="5" xfId="9" applyFont="1" applyFill="1" applyBorder="1" applyAlignment="1" applyProtection="1">
      <alignment horizontal="center" vertical="top"/>
    </xf>
    <xf numFmtId="0" fontId="34" fillId="0" borderId="0" xfId="9" applyFont="1" applyFill="1" applyAlignment="1" applyProtection="1">
      <alignment vertical="center"/>
    </xf>
    <xf numFmtId="0" fontId="10" fillId="3" borderId="3" xfId="6" applyFont="1" applyFill="1" applyBorder="1" applyAlignment="1" applyProtection="1">
      <alignment horizontal="center" vertical="center" wrapText="1"/>
    </xf>
    <xf numFmtId="0" fontId="12" fillId="0" borderId="7" xfId="6" applyFont="1" applyBorder="1" applyAlignment="1" applyProtection="1">
      <alignment vertical="center"/>
    </xf>
    <xf numFmtId="0" fontId="12" fillId="0" borderId="10" xfId="6" applyFont="1" applyBorder="1" applyAlignment="1" applyProtection="1">
      <alignment vertical="center"/>
    </xf>
    <xf numFmtId="0" fontId="12" fillId="0" borderId="13" xfId="6" applyFont="1" applyBorder="1" applyAlignment="1" applyProtection="1">
      <alignment vertical="center"/>
    </xf>
    <xf numFmtId="165" fontId="23" fillId="7" borderId="40" xfId="6" applyNumberFormat="1" applyFont="1" applyFill="1" applyBorder="1" applyAlignment="1" applyProtection="1">
      <alignment vertical="center"/>
    </xf>
    <xf numFmtId="0" fontId="23" fillId="0" borderId="43" xfId="6" applyFont="1" applyBorder="1" applyAlignment="1" applyProtection="1">
      <alignment horizontal="center" vertical="center"/>
    </xf>
    <xf numFmtId="0" fontId="15" fillId="0" borderId="14" xfId="9" applyFont="1" applyFill="1" applyBorder="1" applyAlignment="1" applyProtection="1">
      <alignment horizontal="center" vertical="top"/>
    </xf>
    <xf numFmtId="0" fontId="15" fillId="0" borderId="52" xfId="9" applyFont="1" applyFill="1" applyBorder="1" applyAlignment="1" applyProtection="1">
      <alignment vertical="top"/>
    </xf>
    <xf numFmtId="0" fontId="15" fillId="0" borderId="53" xfId="9" applyFont="1" applyFill="1" applyBorder="1" applyAlignment="1" applyProtection="1">
      <alignment vertical="top"/>
    </xf>
    <xf numFmtId="0" fontId="25" fillId="0" borderId="17" xfId="8" applyFont="1" applyBorder="1" applyAlignment="1" applyProtection="1">
      <alignment horizontal="center" vertical="center"/>
    </xf>
    <xf numFmtId="0" fontId="27" fillId="0" borderId="0" xfId="6" applyFont="1" applyAlignment="1" applyProtection="1">
      <alignment vertical="center"/>
    </xf>
    <xf numFmtId="0" fontId="10" fillId="3" borderId="21" xfId="6" applyFont="1" applyFill="1" applyBorder="1" applyAlignment="1" applyProtection="1">
      <alignment horizontal="center" vertical="center" wrapText="1"/>
    </xf>
    <xf numFmtId="0" fontId="10" fillId="3" borderId="41" xfId="6" applyFont="1" applyFill="1" applyBorder="1" applyAlignment="1" applyProtection="1">
      <alignment horizontal="center" vertical="center" wrapText="1"/>
    </xf>
    <xf numFmtId="0" fontId="31" fillId="0" borderId="0" xfId="8" applyFont="1" applyAlignment="1" applyProtection="1">
      <alignment horizontal="center" vertical="center" wrapText="1"/>
    </xf>
    <xf numFmtId="0" fontId="31" fillId="0" borderId="0" xfId="6" applyFont="1" applyAlignment="1" applyProtection="1">
      <alignment vertical="center"/>
    </xf>
    <xf numFmtId="0" fontId="10" fillId="3" borderId="3" xfId="9" applyFont="1" applyFill="1" applyBorder="1" applyAlignment="1" applyProtection="1">
      <alignment horizontal="center" vertical="center"/>
    </xf>
    <xf numFmtId="0" fontId="10" fillId="3" borderId="4" xfId="9" applyFont="1" applyFill="1" applyBorder="1" applyAlignment="1" applyProtection="1">
      <alignment horizontal="center" vertical="center"/>
    </xf>
    <xf numFmtId="0" fontId="10" fillId="3" borderId="1" xfId="9" applyFont="1" applyFill="1" applyBorder="1" applyAlignment="1" applyProtection="1">
      <alignment horizontal="center" vertical="center"/>
    </xf>
    <xf numFmtId="165" fontId="26" fillId="7" borderId="31" xfId="9" applyNumberFormat="1" applyFont="1" applyFill="1" applyBorder="1" applyAlignment="1" applyProtection="1">
      <alignment vertical="center"/>
    </xf>
    <xf numFmtId="165" fontId="26" fillId="7" borderId="32" xfId="9" applyNumberFormat="1" applyFont="1" applyFill="1" applyBorder="1" applyAlignment="1" applyProtection="1">
      <alignment vertical="center"/>
    </xf>
    <xf numFmtId="0" fontId="19" fillId="0" borderId="5" xfId="9" applyFont="1" applyFill="1" applyBorder="1" applyAlignment="1" applyProtection="1">
      <alignment horizontal="center" vertical="top"/>
    </xf>
    <xf numFmtId="0" fontId="19" fillId="0" borderId="11" xfId="9" applyFont="1" applyFill="1" applyBorder="1" applyAlignment="1" applyProtection="1">
      <alignment horizontal="center" vertical="top"/>
    </xf>
    <xf numFmtId="0" fontId="32" fillId="0" borderId="0" xfId="9" applyFont="1" applyFill="1" applyBorder="1" applyAlignment="1" applyProtection="1">
      <alignment vertical="center"/>
    </xf>
    <xf numFmtId="0" fontId="19" fillId="0" borderId="9" xfId="9" applyFont="1" applyFill="1" applyBorder="1" applyAlignment="1" applyProtection="1">
      <alignment horizontal="left" vertical="center" wrapText="1"/>
    </xf>
    <xf numFmtId="0" fontId="26" fillId="0" borderId="0" xfId="0" applyFont="1" applyFill="1" applyProtection="1"/>
    <xf numFmtId="165" fontId="26" fillId="0" borderId="0" xfId="1" applyNumberFormat="1" applyFont="1" applyFill="1" applyBorder="1" applyAlignment="1" applyProtection="1">
      <alignment vertical="center"/>
    </xf>
    <xf numFmtId="0" fontId="15" fillId="0" borderId="17" xfId="9" applyFont="1" applyFill="1" applyBorder="1" applyAlignment="1" applyProtection="1">
      <alignment vertical="top"/>
    </xf>
    <xf numFmtId="165" fontId="26" fillId="7" borderId="39" xfId="9" applyNumberFormat="1" applyFont="1" applyFill="1" applyBorder="1" applyAlignment="1" applyProtection="1">
      <alignment vertical="center"/>
    </xf>
    <xf numFmtId="165" fontId="26" fillId="7" borderId="41" xfId="9" applyNumberFormat="1" applyFont="1" applyFill="1" applyBorder="1" applyAlignment="1" applyProtection="1">
      <alignment vertical="center"/>
    </xf>
    <xf numFmtId="165" fontId="26" fillId="0" borderId="0" xfId="9" applyNumberFormat="1" applyFont="1" applyFill="1" applyBorder="1" applyAlignment="1" applyProtection="1">
      <alignment vertical="center"/>
    </xf>
    <xf numFmtId="0" fontId="12" fillId="0" borderId="20" xfId="6" applyFont="1" applyBorder="1" applyAlignment="1" applyProtection="1">
      <alignment vertical="center"/>
    </xf>
    <xf numFmtId="0" fontId="25" fillId="0" borderId="51" xfId="6" applyFont="1" applyBorder="1" applyAlignment="1" applyProtection="1">
      <alignment horizontal="center" vertical="center"/>
    </xf>
    <xf numFmtId="165" fontId="23" fillId="7" borderId="45" xfId="6"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0" xfId="6" applyNumberFormat="1" applyFont="1" applyFill="1" applyBorder="1" applyAlignment="1" applyProtection="1">
      <alignment vertical="center"/>
    </xf>
    <xf numFmtId="0" fontId="25" fillId="0" borderId="48" xfId="6" applyFont="1" applyBorder="1" applyAlignment="1" applyProtection="1">
      <alignment horizontal="center"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26" fillId="0" borderId="8" xfId="0" applyFont="1" applyBorder="1" applyAlignment="1" applyProtection="1">
      <alignment horizontal="center" vertical="top"/>
    </xf>
    <xf numFmtId="0" fontId="23" fillId="6" borderId="0" xfId="6" applyNumberFormat="1" applyFont="1" applyFill="1" applyAlignment="1" applyProtection="1">
      <alignment horizontal="center" vertical="center"/>
    </xf>
    <xf numFmtId="0" fontId="4" fillId="0" borderId="0" xfId="6" applyAlignment="1" applyProtection="1">
      <alignment vertical="top"/>
    </xf>
    <xf numFmtId="0" fontId="31" fillId="3" borderId="0" xfId="8" applyFont="1" applyFill="1" applyAlignment="1" applyProtection="1">
      <alignment horizontal="center" vertical="center"/>
    </xf>
    <xf numFmtId="0" fontId="31" fillId="3" borderId="0" xfId="6" applyFont="1" applyFill="1" applyAlignment="1" applyProtection="1">
      <alignment vertical="center"/>
    </xf>
    <xf numFmtId="0" fontId="14" fillId="0" borderId="5" xfId="5" applyFont="1" applyBorder="1" applyAlignment="1" applyProtection="1">
      <alignment vertical="center"/>
    </xf>
    <xf numFmtId="0" fontId="14" fillId="0" borderId="8" xfId="5" applyFont="1" applyBorder="1" applyAlignment="1" applyProtection="1">
      <alignment vertical="center"/>
    </xf>
    <xf numFmtId="0" fontId="14" fillId="0" borderId="11" xfId="5" applyFont="1" applyBorder="1" applyAlignment="1" applyProtection="1">
      <alignment vertical="center"/>
    </xf>
    <xf numFmtId="0" fontId="10" fillId="3" borderId="0" xfId="4" applyNumberFormat="1" applyAlignment="1" applyProtection="1"/>
    <xf numFmtId="0" fontId="12" fillId="0" borderId="0" xfId="0" applyFont="1" applyAlignment="1" applyProtection="1">
      <alignment vertical="top" wrapText="1"/>
    </xf>
    <xf numFmtId="2" fontId="23" fillId="4" borderId="32" xfId="6" applyNumberFormat="1" applyFont="1" applyFill="1" applyBorder="1" applyAlignment="1" applyProtection="1">
      <alignment vertical="center"/>
      <protection locked="0"/>
    </xf>
    <xf numFmtId="165" fontId="23" fillId="4" borderId="8" xfId="6" applyNumberFormat="1" applyFont="1" applyFill="1" applyBorder="1" applyAlignment="1" applyProtection="1">
      <alignment vertical="center"/>
      <protection locked="0"/>
    </xf>
    <xf numFmtId="165" fontId="23" fillId="4" borderId="9" xfId="6" applyNumberFormat="1" applyFont="1" applyFill="1" applyBorder="1" applyAlignment="1" applyProtection="1">
      <alignment vertical="center"/>
      <protection locked="0"/>
    </xf>
    <xf numFmtId="165" fontId="23" fillId="4" borderId="5" xfId="6" applyNumberFormat="1" applyFont="1" applyFill="1" applyBorder="1" applyAlignment="1" applyProtection="1">
      <alignment vertical="center"/>
      <protection locked="0"/>
    </xf>
    <xf numFmtId="165" fontId="23" fillId="4" borderId="7" xfId="6" applyNumberFormat="1" applyFont="1" applyFill="1" applyBorder="1" applyAlignment="1" applyProtection="1">
      <alignment vertical="center"/>
      <protection locked="0"/>
    </xf>
    <xf numFmtId="165" fontId="23" fillId="4" borderId="10" xfId="6" applyNumberFormat="1" applyFont="1" applyFill="1" applyBorder="1" applyAlignment="1" applyProtection="1">
      <alignment vertical="center"/>
      <protection locked="0"/>
    </xf>
    <xf numFmtId="165" fontId="23" fillId="4" borderId="65" xfId="6" applyNumberFormat="1" applyFont="1" applyFill="1" applyBorder="1" applyAlignment="1" applyProtection="1">
      <alignment vertical="center"/>
      <protection locked="0"/>
    </xf>
    <xf numFmtId="165" fontId="23" fillId="4" borderId="67" xfId="6" applyNumberFormat="1" applyFont="1" applyFill="1" applyBorder="1" applyAlignment="1" applyProtection="1">
      <alignment vertical="center"/>
      <protection locked="0"/>
    </xf>
    <xf numFmtId="165" fontId="23" fillId="4" borderId="93" xfId="6" applyNumberFormat="1" applyFont="1" applyFill="1" applyBorder="1" applyAlignment="1" applyProtection="1">
      <alignment vertical="center"/>
      <protection locked="0"/>
    </xf>
    <xf numFmtId="165" fontId="23" fillId="4" borderId="94" xfId="6" applyNumberFormat="1" applyFont="1" applyFill="1" applyBorder="1" applyAlignment="1" applyProtection="1">
      <alignment vertical="center"/>
      <protection locked="0"/>
    </xf>
    <xf numFmtId="165" fontId="23" fillId="4" borderId="71" xfId="6" applyNumberFormat="1" applyFont="1" applyFill="1" applyBorder="1" applyAlignment="1" applyProtection="1">
      <alignment vertical="center"/>
      <protection locked="0"/>
    </xf>
    <xf numFmtId="165" fontId="23" fillId="4" borderId="99" xfId="6" applyNumberFormat="1" applyFont="1" applyFill="1" applyBorder="1" applyAlignment="1" applyProtection="1">
      <alignment vertical="center"/>
      <protection locked="0"/>
    </xf>
    <xf numFmtId="165" fontId="23" fillId="4" borderId="100" xfId="6" applyNumberFormat="1" applyFont="1" applyFill="1" applyBorder="1" applyAlignment="1" applyProtection="1">
      <alignment vertical="center"/>
      <protection locked="0"/>
    </xf>
    <xf numFmtId="165" fontId="23" fillId="4" borderId="37" xfId="6" applyNumberFormat="1" applyFont="1" applyFill="1" applyBorder="1" applyAlignment="1" applyProtection="1">
      <alignment vertical="center"/>
      <protection locked="0"/>
    </xf>
    <xf numFmtId="165" fontId="23" fillId="4" borderId="6" xfId="6" applyNumberFormat="1" applyFont="1" applyFill="1" applyBorder="1" applyAlignment="1" applyProtection="1">
      <alignment vertical="center"/>
      <protection locked="0"/>
    </xf>
    <xf numFmtId="165" fontId="23" fillId="4" borderId="39" xfId="6" applyNumberFormat="1" applyFont="1" applyFill="1" applyBorder="1" applyAlignment="1" applyProtection="1">
      <alignment vertical="center"/>
      <protection locked="0"/>
    </xf>
    <xf numFmtId="165" fontId="23" fillId="4" borderId="1" xfId="6" applyNumberFormat="1" applyFont="1" applyFill="1" applyBorder="1" applyAlignment="1" applyProtection="1">
      <alignment vertical="center"/>
      <protection locked="0"/>
    </xf>
    <xf numFmtId="165" fontId="23" fillId="4" borderId="31" xfId="6" applyNumberFormat="1" applyFont="1" applyFill="1" applyBorder="1" applyAlignment="1" applyProtection="1">
      <alignment vertical="center"/>
      <protection locked="0"/>
    </xf>
    <xf numFmtId="165" fontId="19" fillId="4" borderId="5" xfId="9" applyNumberFormat="1" applyFont="1" applyFill="1" applyBorder="1" applyProtection="1">
      <protection locked="0"/>
    </xf>
    <xf numFmtId="165" fontId="19" fillId="4" borderId="7" xfId="9" applyNumberFormat="1" applyFont="1" applyFill="1" applyBorder="1" applyProtection="1">
      <protection locked="0"/>
    </xf>
    <xf numFmtId="167" fontId="19" fillId="4" borderId="5" xfId="9" applyNumberFormat="1" applyFont="1" applyFill="1" applyBorder="1" applyProtection="1">
      <protection locked="0"/>
    </xf>
    <xf numFmtId="167" fontId="19" fillId="4" borderId="7" xfId="9" applyNumberFormat="1" applyFont="1" applyFill="1" applyBorder="1" applyProtection="1">
      <protection locked="0"/>
    </xf>
    <xf numFmtId="167" fontId="19" fillId="4" borderId="43" xfId="9" applyNumberFormat="1" applyFont="1" applyFill="1" applyBorder="1" applyProtection="1">
      <protection locked="0"/>
    </xf>
    <xf numFmtId="167" fontId="19" fillId="4" borderId="13" xfId="9" applyNumberFormat="1" applyFont="1" applyFill="1" applyBorder="1" applyProtection="1">
      <protection locked="0"/>
    </xf>
    <xf numFmtId="165" fontId="26" fillId="4" borderId="6" xfId="11" applyNumberFormat="1" applyFont="1" applyFill="1" applyBorder="1" applyAlignment="1" applyProtection="1">
      <alignment vertical="center"/>
      <protection locked="0"/>
    </xf>
    <xf numFmtId="165" fontId="26" fillId="4" borderId="9" xfId="11" applyNumberFormat="1" applyFont="1" applyFill="1" applyBorder="1" applyAlignment="1" applyProtection="1">
      <alignment vertical="center"/>
      <protection locked="0"/>
    </xf>
    <xf numFmtId="165" fontId="26" fillId="4" borderId="5" xfId="9" applyNumberFormat="1" applyFont="1" applyFill="1" applyBorder="1" applyAlignment="1" applyProtection="1">
      <alignment vertical="center"/>
      <protection locked="0"/>
    </xf>
    <xf numFmtId="165" fontId="26" fillId="4" borderId="6" xfId="9" applyNumberFormat="1" applyFont="1" applyFill="1" applyBorder="1" applyAlignment="1" applyProtection="1">
      <alignment vertical="center"/>
      <protection locked="0"/>
    </xf>
    <xf numFmtId="165" fontId="26" fillId="4" borderId="8" xfId="9" applyNumberFormat="1" applyFont="1" applyFill="1" applyBorder="1" applyAlignment="1" applyProtection="1">
      <alignment vertical="center"/>
      <protection locked="0"/>
    </xf>
    <xf numFmtId="165" fontId="26" fillId="4" borderId="9" xfId="9" applyNumberFormat="1" applyFont="1" applyFill="1" applyBorder="1" applyAlignment="1" applyProtection="1">
      <alignment vertical="center"/>
      <protection locked="0"/>
    </xf>
    <xf numFmtId="165" fontId="26" fillId="4" borderId="31" xfId="9" applyNumberFormat="1" applyFont="1" applyFill="1" applyBorder="1" applyAlignment="1" applyProtection="1">
      <alignment vertical="center"/>
      <protection locked="0"/>
    </xf>
    <xf numFmtId="165" fontId="26" fillId="4" borderId="32" xfId="9" applyNumberFormat="1" applyFont="1" applyFill="1" applyBorder="1" applyAlignment="1" applyProtection="1">
      <alignment vertical="center"/>
      <protection locked="0"/>
    </xf>
    <xf numFmtId="165" fontId="26" fillId="4" borderId="2" xfId="11" applyNumberFormat="1" applyFont="1" applyFill="1" applyBorder="1" applyAlignment="1" applyProtection="1">
      <alignment vertical="center"/>
      <protection locked="0"/>
    </xf>
    <xf numFmtId="165" fontId="26" fillId="4" borderId="3" xfId="11" applyNumberFormat="1" applyFont="1" applyFill="1" applyBorder="1" applyAlignment="1" applyProtection="1">
      <alignment vertical="center"/>
      <protection locked="0"/>
    </xf>
    <xf numFmtId="165" fontId="26" fillId="4" borderId="5" xfId="11" applyNumberFormat="1" applyFont="1" applyFill="1" applyBorder="1" applyAlignment="1" applyProtection="1">
      <alignment vertical="center"/>
      <protection locked="0"/>
    </xf>
    <xf numFmtId="165" fontId="26" fillId="4" borderId="8" xfId="11" applyNumberFormat="1" applyFont="1" applyFill="1" applyBorder="1" applyAlignment="1" applyProtection="1">
      <alignment vertical="center"/>
      <protection locked="0"/>
    </xf>
    <xf numFmtId="165" fontId="26" fillId="4" borderId="43" xfId="11" applyNumberFormat="1" applyFont="1" applyFill="1" applyBorder="1" applyAlignment="1" applyProtection="1">
      <alignment vertical="center"/>
      <protection locked="0"/>
    </xf>
    <xf numFmtId="165" fontId="26" fillId="4" borderId="44" xfId="11" applyNumberFormat="1" applyFont="1" applyFill="1" applyBorder="1" applyAlignment="1" applyProtection="1">
      <alignment vertical="center"/>
      <protection locked="0"/>
    </xf>
    <xf numFmtId="165" fontId="23" fillId="4" borderId="36" xfId="6" applyNumberFormat="1" applyFont="1" applyFill="1" applyBorder="1" applyAlignment="1" applyProtection="1">
      <alignment vertical="center"/>
      <protection locked="0"/>
    </xf>
    <xf numFmtId="165" fontId="23" fillId="4" borderId="38" xfId="6" applyNumberFormat="1" applyFont="1" applyFill="1" applyBorder="1" applyAlignment="1" applyProtection="1">
      <alignment vertical="center"/>
      <protection locked="0"/>
    </xf>
    <xf numFmtId="165" fontId="23" fillId="4" borderId="2" xfId="6" applyNumberFormat="1" applyFont="1" applyFill="1" applyBorder="1" applyAlignment="1" applyProtection="1">
      <alignment vertical="center"/>
      <protection locked="0"/>
    </xf>
    <xf numFmtId="165" fontId="23" fillId="4" borderId="34" xfId="6" applyNumberFormat="1" applyFont="1" applyFill="1" applyBorder="1" applyAlignment="1" applyProtection="1">
      <alignment vertical="center"/>
      <protection locked="0"/>
    </xf>
    <xf numFmtId="165" fontId="26" fillId="4" borderId="7" xfId="10" applyNumberFormat="1" applyFont="1" applyFill="1" applyBorder="1" applyAlignment="1" applyProtection="1">
      <alignment vertical="center"/>
      <protection locked="0"/>
    </xf>
    <xf numFmtId="165" fontId="26" fillId="4" borderId="10" xfId="10" applyNumberFormat="1" applyFont="1" applyFill="1" applyBorder="1" applyAlignment="1" applyProtection="1">
      <alignment vertical="center"/>
      <protection locked="0"/>
    </xf>
    <xf numFmtId="165" fontId="26" fillId="4" borderId="13" xfId="10" applyNumberFormat="1" applyFont="1" applyFill="1" applyBorder="1" applyAlignment="1" applyProtection="1">
      <alignment vertical="center"/>
      <protection locked="0"/>
    </xf>
    <xf numFmtId="165" fontId="26" fillId="4" borderId="5" xfId="2" applyNumberFormat="1" applyFont="1" applyFill="1" applyBorder="1" applyAlignment="1" applyProtection="1">
      <alignment vertical="center"/>
      <protection locked="0"/>
    </xf>
    <xf numFmtId="165" fontId="26" fillId="4" borderId="37" xfId="10" applyNumberFormat="1" applyFont="1" applyFill="1" applyBorder="1" applyAlignment="1" applyProtection="1">
      <alignment vertical="center"/>
      <protection locked="0"/>
    </xf>
    <xf numFmtId="165" fontId="26" fillId="4" borderId="39" xfId="10" applyNumberFormat="1" applyFont="1" applyFill="1" applyBorder="1" applyAlignment="1" applyProtection="1">
      <alignment vertical="center"/>
      <protection locked="0"/>
    </xf>
    <xf numFmtId="165" fontId="23" fillId="4" borderId="3" xfId="6" applyNumberFormat="1" applyFont="1" applyFill="1" applyBorder="1" applyAlignment="1" applyProtection="1">
      <alignment vertical="center"/>
      <protection locked="0"/>
    </xf>
    <xf numFmtId="165" fontId="23" fillId="4" borderId="11" xfId="6" applyNumberFormat="1" applyFont="1" applyFill="1" applyBorder="1" applyAlignment="1" applyProtection="1">
      <alignment vertical="center"/>
      <protection locked="0"/>
    </xf>
    <xf numFmtId="165" fontId="23" fillId="4" borderId="12" xfId="6" applyNumberFormat="1" applyFont="1" applyFill="1" applyBorder="1" applyAlignment="1" applyProtection="1">
      <alignment vertical="center"/>
      <protection locked="0"/>
    </xf>
    <xf numFmtId="165" fontId="23" fillId="4" borderId="29" xfId="6" applyNumberFormat="1" applyFont="1" applyFill="1" applyBorder="1" applyAlignment="1" applyProtection="1">
      <alignment vertical="center"/>
      <protection locked="0"/>
    </xf>
    <xf numFmtId="165" fontId="23" fillId="4" borderId="42" xfId="6" applyNumberFormat="1" applyFont="1" applyFill="1" applyBorder="1" applyAlignment="1" applyProtection="1">
      <alignment vertical="center"/>
      <protection locked="0"/>
    </xf>
    <xf numFmtId="165" fontId="23" fillId="4" borderId="43" xfId="6" applyNumberFormat="1" applyFont="1" applyFill="1" applyBorder="1" applyAlignment="1" applyProtection="1">
      <alignment vertical="center"/>
      <protection locked="0"/>
    </xf>
    <xf numFmtId="165" fontId="23" fillId="4" borderId="44" xfId="6" applyNumberFormat="1" applyFont="1" applyFill="1" applyBorder="1" applyAlignment="1" applyProtection="1">
      <alignment vertical="center"/>
      <protection locked="0"/>
    </xf>
    <xf numFmtId="165" fontId="23" fillId="4" borderId="28" xfId="6" applyNumberFormat="1" applyFont="1" applyFill="1" applyBorder="1" applyAlignment="1" applyProtection="1">
      <alignment vertical="center"/>
      <protection locked="0"/>
    </xf>
    <xf numFmtId="165" fontId="23" fillId="4" borderId="49" xfId="6" applyNumberFormat="1" applyFont="1" applyFill="1" applyBorder="1" applyAlignment="1" applyProtection="1">
      <alignment vertical="center"/>
      <protection locked="0"/>
    </xf>
    <xf numFmtId="165" fontId="23" fillId="4" borderId="46" xfId="6" applyNumberFormat="1" applyFont="1" applyFill="1" applyBorder="1" applyAlignment="1" applyProtection="1">
      <alignment vertical="center"/>
      <protection locked="0"/>
    </xf>
    <xf numFmtId="165" fontId="23" fillId="4" borderId="47" xfId="6" applyNumberFormat="1" applyFont="1" applyFill="1" applyBorder="1" applyAlignment="1" applyProtection="1">
      <alignment vertical="center"/>
      <protection locked="0"/>
    </xf>
    <xf numFmtId="165" fontId="23" fillId="4" borderId="24" xfId="6" applyNumberFormat="1" applyFont="1" applyFill="1" applyBorder="1" applyAlignment="1" applyProtection="1">
      <alignment vertical="center"/>
      <protection locked="0"/>
    </xf>
    <xf numFmtId="165" fontId="23"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6" fillId="7" borderId="30" xfId="9" applyNumberFormat="1" applyFont="1" applyFill="1" applyBorder="1" applyAlignment="1" applyProtection="1">
      <alignment vertical="center"/>
    </xf>
    <xf numFmtId="165" fontId="23" fillId="4" borderId="72" xfId="6" applyNumberFormat="1" applyFont="1" applyFill="1" applyBorder="1" applyAlignment="1" applyProtection="1">
      <alignment vertical="center"/>
      <protection locked="0"/>
    </xf>
    <xf numFmtId="165" fontId="23" fillId="4" borderId="66" xfId="6" applyNumberFormat="1" applyFont="1" applyFill="1" applyBorder="1" applyAlignment="1" applyProtection="1">
      <alignment vertical="center"/>
      <protection locked="0"/>
    </xf>
    <xf numFmtId="165" fontId="23" fillId="4" borderId="98" xfId="6" applyNumberFormat="1" applyFont="1" applyFill="1" applyBorder="1" applyAlignment="1" applyProtection="1">
      <alignment vertical="center"/>
      <protection locked="0"/>
    </xf>
    <xf numFmtId="165" fontId="23" fillId="4" borderId="92" xfId="6" applyNumberFormat="1" applyFont="1" applyFill="1" applyBorder="1" applyAlignment="1" applyProtection="1">
      <alignment vertical="center"/>
      <protection locked="0"/>
    </xf>
    <xf numFmtId="165" fontId="23" fillId="4" borderId="69" xfId="6" applyNumberFormat="1" applyFont="1" applyFill="1" applyBorder="1" applyAlignment="1" applyProtection="1">
      <alignment vertical="center"/>
      <protection locked="0"/>
    </xf>
    <xf numFmtId="165" fontId="23" fillId="4" borderId="95" xfId="6" applyNumberFormat="1" applyFont="1" applyFill="1" applyBorder="1" applyAlignment="1" applyProtection="1">
      <alignment vertical="center"/>
      <protection locked="0"/>
    </xf>
    <xf numFmtId="0" fontId="0" fillId="0" borderId="0" xfId="0" applyProtection="1"/>
    <xf numFmtId="0" fontId="4" fillId="0" borderId="0" xfId="8" applyBorder="1" applyAlignment="1" applyProtection="1">
      <alignment horizontal="center" vertical="center"/>
    </xf>
    <xf numFmtId="165" fontId="26" fillId="4" borderId="2" xfId="9" applyNumberFormat="1" applyFont="1" applyFill="1" applyBorder="1" applyProtection="1">
      <protection locked="0"/>
    </xf>
    <xf numFmtId="165" fontId="26" fillId="4" borderId="3" xfId="9" applyNumberFormat="1" applyFont="1" applyFill="1" applyBorder="1" applyProtection="1">
      <protection locked="0"/>
    </xf>
    <xf numFmtId="165" fontId="26" fillId="4" borderId="4" xfId="9" applyNumberFormat="1" applyFont="1" applyFill="1" applyBorder="1" applyProtection="1">
      <protection locked="0"/>
    </xf>
    <xf numFmtId="165" fontId="26" fillId="4" borderId="34" xfId="9" applyNumberFormat="1" applyFont="1" applyFill="1" applyBorder="1" applyProtection="1">
      <protection locked="0"/>
    </xf>
    <xf numFmtId="0" fontId="25" fillId="0" borderId="2" xfId="6" applyFont="1" applyBorder="1" applyAlignment="1" applyProtection="1">
      <alignment horizontal="center" vertical="center"/>
    </xf>
    <xf numFmtId="165" fontId="23" fillId="7" borderId="1" xfId="6" applyNumberFormat="1" applyFont="1" applyFill="1" applyBorder="1" applyAlignment="1" applyProtection="1">
      <alignment vertical="center"/>
    </xf>
    <xf numFmtId="165" fontId="23" fillId="7" borderId="16" xfId="6" applyNumberFormat="1" applyFont="1" applyFill="1" applyBorder="1" applyAlignment="1" applyProtection="1">
      <alignment vertical="center"/>
    </xf>
    <xf numFmtId="2" fontId="23" fillId="4" borderId="2" xfId="6" applyNumberFormat="1" applyFont="1" applyFill="1" applyBorder="1" applyAlignment="1" applyProtection="1">
      <alignment vertical="center"/>
      <protection locked="0"/>
    </xf>
    <xf numFmtId="2" fontId="23" fillId="4" borderId="3" xfId="6" applyNumberFormat="1" applyFont="1" applyFill="1" applyBorder="1" applyAlignment="1" applyProtection="1">
      <alignment vertical="center"/>
      <protection locked="0"/>
    </xf>
    <xf numFmtId="2" fontId="23" fillId="4" borderId="4" xfId="6" applyNumberFormat="1" applyFont="1" applyFill="1" applyBorder="1" applyAlignment="1" applyProtection="1">
      <alignment vertical="center"/>
      <protection locked="0"/>
    </xf>
    <xf numFmtId="0" fontId="10" fillId="3" borderId="57" xfId="9" applyFont="1" applyFill="1" applyBorder="1" applyAlignment="1" applyProtection="1">
      <alignment horizontal="center" vertical="center" wrapText="1"/>
    </xf>
    <xf numFmtId="0" fontId="10" fillId="3" borderId="12" xfId="9" applyFont="1" applyFill="1" applyBorder="1" applyAlignment="1" applyProtection="1">
      <alignment horizontal="center" vertical="center" wrapText="1"/>
    </xf>
    <xf numFmtId="165" fontId="26" fillId="4" borderId="38" xfId="10" applyNumberFormat="1" applyFont="1" applyFill="1" applyBorder="1" applyAlignment="1" applyProtection="1">
      <alignment vertical="center"/>
      <protection locked="0"/>
    </xf>
    <xf numFmtId="165" fontId="26" fillId="4" borderId="32" xfId="10" applyNumberFormat="1" applyFont="1" applyFill="1" applyBorder="1" applyAlignment="1" applyProtection="1">
      <alignment vertical="center"/>
      <protection locked="0"/>
    </xf>
    <xf numFmtId="0" fontId="26" fillId="0" borderId="9" xfId="9" applyFont="1" applyFill="1" applyBorder="1" applyAlignment="1" applyProtection="1">
      <alignment vertical="center" wrapText="1"/>
    </xf>
    <xf numFmtId="0" fontId="26" fillId="0" borderId="9" xfId="9" applyFont="1" applyFill="1" applyBorder="1" applyAlignment="1" applyProtection="1">
      <alignment vertical="center"/>
    </xf>
    <xf numFmtId="166" fontId="26" fillId="4" borderId="6" xfId="11" applyNumberFormat="1" applyFont="1" applyFill="1" applyBorder="1" applyAlignment="1" applyProtection="1">
      <alignment horizontal="right" vertical="center"/>
      <protection locked="0"/>
    </xf>
    <xf numFmtId="168" fontId="26" fillId="4" borderId="6" xfId="11" applyNumberFormat="1" applyFont="1" applyFill="1" applyBorder="1" applyAlignment="1" applyProtection="1">
      <alignment horizontal="right" vertical="center"/>
      <protection locked="0"/>
    </xf>
    <xf numFmtId="166" fontId="26" fillId="4" borderId="9" xfId="11" applyNumberFormat="1" applyFont="1" applyFill="1" applyBorder="1" applyAlignment="1" applyProtection="1">
      <alignment horizontal="right" vertical="center"/>
      <protection locked="0"/>
    </xf>
    <xf numFmtId="168" fontId="26" fillId="4" borderId="9" xfId="11" applyNumberFormat="1" applyFont="1" applyFill="1" applyBorder="1" applyAlignment="1" applyProtection="1">
      <alignment horizontal="right" vertical="center"/>
      <protection locked="0"/>
    </xf>
    <xf numFmtId="166" fontId="26" fillId="4" borderId="12" xfId="11" applyNumberFormat="1" applyFont="1" applyFill="1" applyBorder="1" applyAlignment="1" applyProtection="1">
      <alignment horizontal="right" vertical="center"/>
      <protection locked="0"/>
    </xf>
    <xf numFmtId="168" fontId="26" fillId="4" borderId="12" xfId="11" applyNumberFormat="1" applyFont="1" applyFill="1" applyBorder="1" applyAlignment="1" applyProtection="1">
      <alignment horizontal="right" vertical="center"/>
      <protection locked="0"/>
    </xf>
    <xf numFmtId="0" fontId="23" fillId="8" borderId="63" xfId="7" applyBorder="1" applyAlignment="1">
      <alignment horizontal="center" vertical="center" wrapText="1"/>
    </xf>
    <xf numFmtId="0" fontId="19" fillId="6" borderId="0" xfId="9" applyFill="1" applyAlignment="1" applyProtection="1">
      <alignment vertical="center"/>
    </xf>
    <xf numFmtId="0" fontId="19" fillId="6" borderId="0" xfId="9" applyFont="1" applyFill="1" applyAlignment="1" applyProtection="1">
      <alignment horizontal="center" vertical="center"/>
    </xf>
    <xf numFmtId="0" fontId="19" fillId="14" borderId="0" xfId="9" applyFill="1" applyAlignment="1" applyProtection="1">
      <alignment vertical="center"/>
    </xf>
    <xf numFmtId="0" fontId="19" fillId="14" borderId="0" xfId="9" applyFont="1" applyFill="1" applyAlignment="1" applyProtection="1">
      <alignment vertical="center"/>
    </xf>
    <xf numFmtId="0" fontId="19" fillId="14" borderId="0" xfId="9" applyFont="1" applyFill="1" applyBorder="1" applyAlignment="1" applyProtection="1">
      <alignment vertical="center"/>
    </xf>
    <xf numFmtId="0" fontId="23" fillId="14" borderId="0" xfId="8" applyFont="1" applyFill="1" applyAlignment="1" applyProtection="1">
      <alignment vertical="center"/>
    </xf>
    <xf numFmtId="0" fontId="12" fillId="14" borderId="0" xfId="8" applyFont="1" applyFill="1" applyAlignment="1" applyProtection="1">
      <alignment vertical="center"/>
    </xf>
    <xf numFmtId="0" fontId="0" fillId="14" borderId="0" xfId="0" applyFill="1" applyProtection="1"/>
    <xf numFmtId="0" fontId="4" fillId="14" borderId="0" xfId="8" applyFill="1" applyAlignment="1" applyProtection="1">
      <alignment vertical="center"/>
    </xf>
    <xf numFmtId="0" fontId="17" fillId="9" borderId="0" xfId="9" applyFont="1" applyFill="1" applyAlignment="1" applyProtection="1">
      <alignment vertical="center" wrapText="1"/>
    </xf>
    <xf numFmtId="0" fontId="26" fillId="0" borderId="6" xfId="9" applyNumberFormat="1" applyFont="1" applyFill="1" applyBorder="1" applyAlignment="1" applyProtection="1">
      <alignment horizontal="center" vertical="center" wrapText="1"/>
    </xf>
    <xf numFmtId="0" fontId="26" fillId="0" borderId="9" xfId="9" applyNumberFormat="1" applyFont="1" applyFill="1" applyBorder="1" applyAlignment="1" applyProtection="1">
      <alignment horizontal="center" vertical="center" wrapText="1"/>
    </xf>
    <xf numFmtId="0" fontId="0" fillId="0" borderId="0" xfId="0" applyNumberFormat="1"/>
    <xf numFmtId="0" fontId="19"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5" fillId="0" borderId="0" xfId="0" applyFont="1" applyAlignment="1">
      <alignment horizontal="left" vertical="center"/>
    </xf>
    <xf numFmtId="0" fontId="12" fillId="0" borderId="0" xfId="6" applyFont="1" applyAlignment="1" applyProtection="1">
      <alignment horizontal="left" vertical="center"/>
    </xf>
    <xf numFmtId="0" fontId="32" fillId="0" borderId="0" xfId="9" applyFont="1" applyFill="1" applyAlignment="1" applyProtection="1">
      <alignment horizontal="left" vertical="center"/>
    </xf>
    <xf numFmtId="0" fontId="4" fillId="0" borderId="0" xfId="6" applyAlignment="1" applyProtection="1">
      <alignment horizontal="left" vertical="center"/>
    </xf>
    <xf numFmtId="0" fontId="25" fillId="6" borderId="0" xfId="0" applyFont="1" applyFill="1" applyAlignment="1">
      <alignment horizontal="left" vertical="center"/>
    </xf>
    <xf numFmtId="0" fontId="25" fillId="0" borderId="0" xfId="6" applyFont="1" applyFill="1" applyAlignment="1" applyProtection="1">
      <alignment horizontal="left" vertical="center"/>
    </xf>
    <xf numFmtId="0" fontId="26" fillId="0" borderId="5" xfId="9" applyFont="1" applyFill="1" applyBorder="1" applyAlignment="1" applyProtection="1">
      <alignment horizontal="left" vertical="center"/>
    </xf>
    <xf numFmtId="0" fontId="26" fillId="0" borderId="6" xfId="9" applyFont="1" applyFill="1" applyBorder="1" applyAlignment="1" applyProtection="1">
      <alignment horizontal="left" vertical="center"/>
    </xf>
    <xf numFmtId="0" fontId="23" fillId="8" borderId="25" xfId="7" applyBorder="1" applyAlignment="1">
      <alignment horizontal="left" vertical="center"/>
    </xf>
    <xf numFmtId="0" fontId="26" fillId="0" borderId="8" xfId="9" applyFont="1" applyFill="1" applyBorder="1" applyAlignment="1" applyProtection="1">
      <alignment horizontal="left" vertical="center"/>
    </xf>
    <xf numFmtId="0" fontId="26" fillId="0" borderId="9" xfId="9" applyFont="1" applyFill="1" applyBorder="1" applyAlignment="1" applyProtection="1">
      <alignment horizontal="left" vertical="center"/>
    </xf>
    <xf numFmtId="0" fontId="26" fillId="0" borderId="11" xfId="9" applyFont="1" applyFill="1" applyBorder="1" applyAlignment="1" applyProtection="1">
      <alignment horizontal="left" vertical="center"/>
    </xf>
    <xf numFmtId="0" fontId="26" fillId="0" borderId="12" xfId="9" applyFont="1" applyFill="1" applyBorder="1" applyAlignment="1" applyProtection="1">
      <alignment horizontal="left" vertical="center"/>
    </xf>
    <xf numFmtId="0" fontId="7" fillId="2" borderId="0" xfId="6" applyFont="1" applyFill="1" applyBorder="1" applyAlignment="1" applyProtection="1">
      <alignment horizontal="center" vertical="center"/>
    </xf>
    <xf numFmtId="0" fontId="19" fillId="0" borderId="0" xfId="9" applyFont="1" applyFill="1" applyAlignment="1" applyProtection="1">
      <alignment horizontal="center" vertical="center"/>
    </xf>
    <xf numFmtId="0" fontId="26" fillId="0" borderId="6" xfId="9" applyFont="1" applyFill="1" applyBorder="1" applyAlignment="1" applyProtection="1">
      <alignment horizontal="center" vertical="center"/>
    </xf>
    <xf numFmtId="0" fontId="26" fillId="0" borderId="9" xfId="9" applyFont="1" applyFill="1" applyBorder="1" applyAlignment="1" applyProtection="1">
      <alignment horizontal="center" vertical="center"/>
    </xf>
    <xf numFmtId="0" fontId="26" fillId="0" borderId="12" xfId="9" applyFont="1" applyFill="1" applyBorder="1" applyAlignment="1" applyProtection="1">
      <alignment horizontal="center" vertical="center"/>
    </xf>
    <xf numFmtId="0" fontId="0" fillId="0" borderId="0" xfId="0" applyAlignment="1">
      <alignment horizontal="center" vertical="center"/>
    </xf>
    <xf numFmtId="0" fontId="7" fillId="2" borderId="0" xfId="6" applyFont="1" applyFill="1" applyBorder="1" applyAlignment="1" applyProtection="1">
      <alignment horizontal="right" vertical="center" wrapText="1"/>
    </xf>
    <xf numFmtId="0" fontId="19" fillId="0" borderId="0" xfId="9" applyFill="1" applyAlignment="1" applyProtection="1">
      <alignment horizontal="right" vertical="center" wrapText="1"/>
    </xf>
    <xf numFmtId="0" fontId="10" fillId="3" borderId="61" xfId="9" applyFont="1" applyFill="1" applyBorder="1" applyAlignment="1" applyProtection="1">
      <alignment horizontal="right" vertical="center" wrapText="1"/>
    </xf>
    <xf numFmtId="0" fontId="19" fillId="0" borderId="0" xfId="9" applyFont="1" applyFill="1" applyAlignment="1" applyProtection="1">
      <alignment horizontal="right" vertical="center" wrapText="1"/>
    </xf>
    <xf numFmtId="0" fontId="0" fillId="0" borderId="0" xfId="0" applyAlignment="1">
      <alignment horizontal="right" vertical="center" wrapText="1"/>
    </xf>
    <xf numFmtId="0" fontId="19" fillId="0" borderId="0" xfId="9" applyFill="1" applyAlignment="1" applyProtection="1">
      <alignment horizontal="center" vertical="center" wrapText="1"/>
    </xf>
    <xf numFmtId="0" fontId="19" fillId="0" borderId="0" xfId="9" applyFont="1" applyFill="1" applyAlignment="1" applyProtection="1">
      <alignment horizontal="center" vertical="center" wrapText="1"/>
    </xf>
    <xf numFmtId="0" fontId="0" fillId="0" borderId="0" xfId="0" applyAlignment="1">
      <alignment horizontal="center" vertical="center" wrapText="1"/>
    </xf>
    <xf numFmtId="0" fontId="32" fillId="0" borderId="0" xfId="9" applyFont="1" applyFill="1" applyAlignment="1" applyProtection="1">
      <alignment horizontal="center" vertical="center"/>
    </xf>
    <xf numFmtId="0" fontId="26" fillId="4" borderId="6" xfId="11" applyNumberFormat="1" applyFont="1" applyFill="1" applyBorder="1" applyAlignment="1" applyProtection="1">
      <alignment horizontal="right" vertical="center" wrapText="1"/>
      <protection locked="0"/>
    </xf>
    <xf numFmtId="0" fontId="26" fillId="4" borderId="7" xfId="11" applyNumberFormat="1" applyFont="1" applyFill="1" applyBorder="1" applyAlignment="1" applyProtection="1">
      <alignment horizontal="center" vertical="center" wrapText="1"/>
      <protection locked="0"/>
    </xf>
    <xf numFmtId="0" fontId="26" fillId="4" borderId="9" xfId="11" applyNumberFormat="1" applyFont="1" applyFill="1" applyBorder="1" applyAlignment="1" applyProtection="1">
      <alignment horizontal="right" vertical="center" wrapText="1"/>
      <protection locked="0"/>
    </xf>
    <xf numFmtId="0" fontId="26" fillId="4" borderId="10" xfId="11" applyNumberFormat="1" applyFont="1" applyFill="1" applyBorder="1" applyAlignment="1" applyProtection="1">
      <alignment horizontal="center" vertical="center" wrapText="1"/>
      <protection locked="0"/>
    </xf>
    <xf numFmtId="0" fontId="26" fillId="4" borderId="12" xfId="11" applyNumberFormat="1" applyFont="1" applyFill="1" applyBorder="1" applyAlignment="1" applyProtection="1">
      <alignment horizontal="right" vertical="center" wrapText="1"/>
      <protection locked="0"/>
    </xf>
    <xf numFmtId="0" fontId="26" fillId="4" borderId="13" xfId="11" applyNumberFormat="1" applyFont="1" applyFill="1" applyBorder="1" applyAlignment="1" applyProtection="1">
      <alignment horizontal="center" vertical="center" wrapText="1"/>
      <protection locked="0"/>
    </xf>
    <xf numFmtId="0" fontId="25" fillId="14" borderId="0" xfId="0" applyFont="1" applyFill="1" applyAlignment="1">
      <alignment horizontal="left" vertical="center"/>
    </xf>
    <xf numFmtId="0" fontId="4" fillId="0" borderId="35" xfId="8" applyBorder="1" applyAlignment="1" applyProtection="1">
      <alignment vertical="center"/>
    </xf>
    <xf numFmtId="0" fontId="0" fillId="14" borderId="0" xfId="0" applyFill="1" applyAlignment="1">
      <alignment horizontal="left" vertical="center" wrapText="1"/>
    </xf>
    <xf numFmtId="0" fontId="10" fillId="3" borderId="16" xfId="9" applyFont="1" applyFill="1" applyBorder="1" applyAlignment="1" applyProtection="1">
      <alignment horizontal="left" vertical="center" wrapText="1"/>
    </xf>
    <xf numFmtId="0" fontId="26" fillId="0" borderId="54" xfId="9" applyFont="1" applyFill="1" applyBorder="1" applyAlignment="1" applyProtection="1">
      <alignment horizontal="center" vertical="center"/>
    </xf>
    <xf numFmtId="0" fontId="26" fillId="0" borderId="57" xfId="9" applyFont="1" applyFill="1" applyBorder="1" applyAlignment="1" applyProtection="1">
      <alignment horizontal="center" vertical="center"/>
    </xf>
    <xf numFmtId="0" fontId="0" fillId="0" borderId="35" xfId="0" applyBorder="1" applyProtection="1"/>
    <xf numFmtId="0" fontId="26" fillId="0" borderId="8" xfId="9" applyFont="1" applyFill="1" applyBorder="1" applyAlignment="1" applyProtection="1">
      <alignment horizontal="center" vertical="top" wrapText="1"/>
    </xf>
    <xf numFmtId="0" fontId="26" fillId="0" borderId="11" xfId="9" applyFont="1" applyFill="1" applyBorder="1" applyAlignment="1" applyProtection="1">
      <alignment horizontal="center" vertical="top" wrapText="1"/>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5" fillId="6" borderId="0" xfId="6" applyFont="1" applyFill="1" applyAlignment="1" applyProtection="1">
      <alignment horizontal="left" vertical="center"/>
    </xf>
    <xf numFmtId="0" fontId="25" fillId="14" borderId="0" xfId="6" applyFont="1" applyFill="1" applyAlignment="1" applyProtection="1">
      <alignment horizontal="center" vertical="center" wrapText="1"/>
    </xf>
    <xf numFmtId="0" fontId="25" fillId="6" borderId="0" xfId="0" applyFont="1" applyFill="1"/>
    <xf numFmtId="0" fontId="25" fillId="0" borderId="0" xfId="0" applyFont="1"/>
    <xf numFmtId="0" fontId="17" fillId="9" borderId="0" xfId="9" applyFont="1" applyFill="1" applyAlignment="1" applyProtection="1">
      <alignment horizontal="center" vertical="center"/>
    </xf>
    <xf numFmtId="0" fontId="25" fillId="14" borderId="0" xfId="6" applyFont="1" applyFill="1" applyAlignment="1" applyProtection="1">
      <alignment horizontal="center" vertical="center"/>
    </xf>
    <xf numFmtId="0" fontId="25" fillId="0" borderId="0" xfId="0" applyFont="1" applyAlignment="1"/>
    <xf numFmtId="0" fontId="25" fillId="14" borderId="0" xfId="0" applyFont="1" applyFill="1"/>
    <xf numFmtId="0" fontId="25" fillId="0" borderId="0" xfId="0" applyFont="1" applyAlignment="1">
      <alignment horizontal="center"/>
    </xf>
    <xf numFmtId="0" fontId="25" fillId="0" borderId="0" xfId="0" applyFont="1" applyAlignment="1">
      <alignment horizontal="center" vertical="center"/>
    </xf>
    <xf numFmtId="0" fontId="25" fillId="6" borderId="0" xfId="0" applyFont="1" applyFill="1" applyAlignment="1">
      <alignment horizontal="center"/>
    </xf>
    <xf numFmtId="0" fontId="25" fillId="6" borderId="0" xfId="0" applyFont="1" applyFill="1" applyAlignment="1">
      <alignment horizontal="center" vertical="center"/>
    </xf>
    <xf numFmtId="0" fontId="0" fillId="14" borderId="0" xfId="0" applyFill="1" applyAlignment="1">
      <alignment wrapText="1"/>
    </xf>
    <xf numFmtId="0" fontId="10" fillId="3" borderId="14" xfId="9" applyFont="1" applyFill="1" applyBorder="1" applyAlignment="1" applyProtection="1">
      <alignment horizontal="center" vertical="center" wrapText="1"/>
    </xf>
    <xf numFmtId="2" fontId="26" fillId="7" borderId="13" xfId="9" applyNumberFormat="1" applyFont="1" applyFill="1" applyBorder="1" applyAlignment="1" applyProtection="1">
      <alignment horizontal="right"/>
    </xf>
    <xf numFmtId="0" fontId="23" fillId="6" borderId="0" xfId="0" applyFont="1" applyFill="1"/>
    <xf numFmtId="0" fontId="23" fillId="0" borderId="0" xfId="0" applyFont="1"/>
    <xf numFmtId="0" fontId="23" fillId="0" borderId="0" xfId="6" applyFont="1" applyFill="1" applyAlignment="1" applyProtection="1">
      <alignment vertical="center"/>
    </xf>
    <xf numFmtId="0" fontId="23" fillId="0" borderId="0" xfId="0" applyFont="1" applyAlignment="1">
      <alignment horizontal="center" vertical="center"/>
    </xf>
    <xf numFmtId="0" fontId="23" fillId="6" borderId="0" xfId="0" applyFont="1" applyFill="1" applyAlignment="1">
      <alignment horizontal="center" vertical="center"/>
    </xf>
    <xf numFmtId="0" fontId="26" fillId="0" borderId="113" xfId="9" applyFont="1" applyFill="1" applyBorder="1" applyAlignment="1" applyProtection="1">
      <alignment horizontal="center" vertical="top" wrapText="1"/>
    </xf>
    <xf numFmtId="0" fontId="26" fillId="0" borderId="56" xfId="9" applyFont="1" applyFill="1" applyBorder="1" applyAlignment="1" applyProtection="1">
      <alignment horizontal="center" vertical="top" wrapText="1"/>
    </xf>
    <xf numFmtId="0" fontId="26" fillId="0" borderId="57" xfId="9" applyFont="1" applyFill="1" applyBorder="1" applyAlignment="1" applyProtection="1">
      <alignment horizontal="center" vertical="top" wrapText="1"/>
    </xf>
    <xf numFmtId="0" fontId="23" fillId="0" borderId="2" xfId="0" applyFont="1" applyBorder="1" applyAlignment="1">
      <alignment horizontal="center"/>
    </xf>
    <xf numFmtId="0" fontId="23" fillId="0" borderId="3" xfId="0" applyFont="1" applyBorder="1" applyAlignment="1">
      <alignment horizontal="left"/>
    </xf>
    <xf numFmtId="0" fontId="23" fillId="0" borderId="3" xfId="0" applyFont="1" applyBorder="1" applyAlignment="1">
      <alignment horizontal="center"/>
    </xf>
    <xf numFmtId="0" fontId="26" fillId="0" borderId="2" xfId="6" applyFont="1" applyBorder="1" applyAlignment="1" applyProtection="1">
      <alignment horizontal="center" vertical="center"/>
    </xf>
    <xf numFmtId="0" fontId="19" fillId="0" borderId="3" xfId="6" applyFont="1" applyBorder="1" applyAlignment="1" applyProtection="1">
      <alignment vertical="center"/>
    </xf>
    <xf numFmtId="165" fontId="26" fillId="4" borderId="31" xfId="10" applyNumberFormat="1" applyFont="1" applyFill="1" applyBorder="1" applyAlignment="1" applyProtection="1">
      <alignment vertical="center"/>
      <protection locked="0"/>
    </xf>
    <xf numFmtId="165" fontId="26" fillId="4" borderId="57" xfId="10" applyNumberFormat="1" applyFont="1" applyFill="1" applyBorder="1" applyAlignment="1" applyProtection="1">
      <alignment vertical="center"/>
      <protection locked="0"/>
    </xf>
    <xf numFmtId="165" fontId="26" fillId="4" borderId="54" xfId="10" applyNumberFormat="1" applyFont="1" applyFill="1" applyBorder="1" applyAlignment="1" applyProtection="1">
      <alignment vertical="center"/>
      <protection locked="0"/>
    </xf>
    <xf numFmtId="0" fontId="10" fillId="3" borderId="34" xfId="9" applyFont="1" applyFill="1" applyBorder="1" applyAlignment="1" applyProtection="1">
      <alignment horizontal="center" vertical="center" wrapText="1"/>
    </xf>
    <xf numFmtId="0" fontId="15" fillId="9" borderId="0" xfId="9" applyFont="1" applyFill="1" applyAlignment="1" applyProtection="1">
      <alignment vertical="center" wrapText="1"/>
    </xf>
    <xf numFmtId="0" fontId="4" fillId="0" borderId="0" xfId="6" applyAlignment="1" applyProtection="1">
      <alignment vertical="center" wrapText="1"/>
    </xf>
    <xf numFmtId="0" fontId="4" fillId="3" borderId="0" xfId="6" applyFill="1" applyAlignment="1" applyProtection="1">
      <alignment vertical="center" wrapText="1"/>
    </xf>
    <xf numFmtId="0" fontId="0" fillId="10" borderId="0" xfId="0" applyFill="1" applyAlignment="1" applyProtection="1">
      <alignment wrapText="1"/>
    </xf>
    <xf numFmtId="165" fontId="23" fillId="7" borderId="11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protection locked="0"/>
    </xf>
    <xf numFmtId="165" fontId="23" fillId="4" borderId="118" xfId="6" applyNumberFormat="1" applyFont="1" applyFill="1" applyBorder="1" applyAlignment="1" applyProtection="1">
      <alignment vertical="center"/>
      <protection locked="0"/>
    </xf>
    <xf numFmtId="0" fontId="10" fillId="0" borderId="0" xfId="9" applyFont="1" applyFill="1" applyBorder="1" applyAlignment="1" applyProtection="1">
      <alignment horizontal="center" vertical="center" wrapText="1"/>
    </xf>
    <xf numFmtId="1" fontId="26" fillId="7" borderId="1" xfId="9" applyNumberFormat="1" applyFont="1" applyFill="1" applyBorder="1" applyAlignment="1" applyProtection="1">
      <alignment vertical="center"/>
    </xf>
    <xf numFmtId="1" fontId="26" fillId="0" borderId="0" xfId="9" applyNumberFormat="1" applyFont="1" applyFill="1" applyAlignment="1" applyProtection="1">
      <alignment vertical="center"/>
    </xf>
    <xf numFmtId="1" fontId="26" fillId="7" borderId="31" xfId="9" applyNumberFormat="1" applyFont="1" applyFill="1" applyBorder="1" applyAlignment="1" applyProtection="1">
      <alignment vertical="center"/>
    </xf>
    <xf numFmtId="1" fontId="26" fillId="7" borderId="32" xfId="9" applyNumberFormat="1" applyFont="1" applyFill="1" applyBorder="1" applyAlignment="1" applyProtection="1">
      <alignment vertical="center"/>
    </xf>
    <xf numFmtId="1" fontId="23" fillId="0" borderId="0" xfId="6" applyNumberFormat="1" applyFont="1" applyAlignment="1" applyProtection="1">
      <alignment vertical="center"/>
    </xf>
    <xf numFmtId="165" fontId="26" fillId="4" borderId="1" xfId="11" applyNumberFormat="1" applyFont="1" applyFill="1" applyBorder="1" applyAlignment="1" applyProtection="1">
      <alignment vertical="center"/>
      <protection locked="0"/>
    </xf>
    <xf numFmtId="165" fontId="26" fillId="0" borderId="0" xfId="9" applyNumberFormat="1" applyFont="1" applyFill="1" applyAlignment="1" applyProtection="1">
      <alignment vertical="center"/>
    </xf>
    <xf numFmtId="165" fontId="26" fillId="4" borderId="31" xfId="11" applyNumberFormat="1" applyFont="1" applyFill="1" applyBorder="1" applyAlignment="1" applyProtection="1">
      <alignment vertical="center"/>
      <protection locked="0"/>
    </xf>
    <xf numFmtId="165" fontId="26" fillId="4" borderId="32" xfId="11" applyNumberFormat="1" applyFont="1" applyFill="1" applyBorder="1" applyAlignment="1" applyProtection="1">
      <alignment vertical="center"/>
      <protection locked="0"/>
    </xf>
    <xf numFmtId="165" fontId="23" fillId="0" borderId="0" xfId="8" applyNumberFormat="1" applyFont="1" applyAlignment="1" applyProtection="1">
      <alignment horizontal="center" vertical="center"/>
    </xf>
    <xf numFmtId="165" fontId="26" fillId="7" borderId="1" xfId="9" applyNumberFormat="1" applyFont="1" applyFill="1" applyBorder="1" applyAlignment="1" applyProtection="1">
      <alignment vertical="center"/>
    </xf>
    <xf numFmtId="0" fontId="26" fillId="9" borderId="33" xfId="9" applyFont="1" applyFill="1" applyBorder="1" applyAlignment="1" applyProtection="1">
      <alignment horizontal="center" vertical="center"/>
    </xf>
    <xf numFmtId="0" fontId="19" fillId="0" borderId="1" xfId="9" applyFont="1" applyFill="1" applyBorder="1" applyAlignment="1" applyProtection="1">
      <alignment vertical="center"/>
    </xf>
    <xf numFmtId="0" fontId="26" fillId="9" borderId="0" xfId="9" applyFont="1" applyFill="1" applyBorder="1" applyAlignment="1" applyProtection="1">
      <alignment horizontal="center" vertical="center"/>
    </xf>
    <xf numFmtId="0" fontId="12" fillId="0" borderId="0" xfId="8" applyFont="1" applyFill="1" applyAlignment="1" applyProtection="1">
      <alignment horizontal="center" vertical="center"/>
    </xf>
    <xf numFmtId="0" fontId="31" fillId="0" borderId="0" xfId="6" applyFont="1" applyFill="1" applyBorder="1" applyAlignment="1" applyProtection="1">
      <alignment horizontal="center" vertical="center" wrapText="1"/>
    </xf>
    <xf numFmtId="1" fontId="26"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6" fillId="0" borderId="43" xfId="9" applyFont="1" applyFill="1" applyBorder="1" applyAlignment="1" applyProtection="1">
      <alignment horizontal="center" vertical="center"/>
    </xf>
    <xf numFmtId="0" fontId="19" fillId="0" borderId="44" xfId="9" applyFont="1" applyFill="1" applyBorder="1" applyAlignment="1" applyProtection="1">
      <alignment horizontal="left" vertical="center"/>
    </xf>
    <xf numFmtId="165" fontId="26" fillId="4" borderId="30" xfId="9" applyNumberFormat="1" applyFont="1" applyFill="1" applyBorder="1" applyAlignment="1" applyProtection="1">
      <alignment vertical="center"/>
      <protection locked="0"/>
    </xf>
    <xf numFmtId="0" fontId="4" fillId="0" borderId="0" xfId="8" applyFill="1" applyAlignment="1" applyProtection="1">
      <alignment horizontal="center" vertical="center"/>
    </xf>
    <xf numFmtId="0" fontId="17" fillId="0" borderId="12" xfId="9" quotePrefix="1" applyFont="1" applyFill="1" applyBorder="1" applyAlignment="1" applyProtection="1">
      <alignment horizontal="center" vertical="center"/>
    </xf>
    <xf numFmtId="0" fontId="17" fillId="0" borderId="36" xfId="9" applyFont="1" applyFill="1" applyBorder="1" applyAlignment="1" applyProtection="1">
      <alignment horizontal="center" vertical="center"/>
    </xf>
    <xf numFmtId="0" fontId="17" fillId="0" borderId="40" xfId="9" applyFont="1" applyFill="1" applyBorder="1" applyAlignment="1" applyProtection="1">
      <alignment horizontal="center" vertical="center"/>
    </xf>
    <xf numFmtId="165" fontId="23" fillId="7" borderId="37" xfId="6" applyNumberFormat="1" applyFont="1" applyFill="1" applyBorder="1" applyAlignment="1" applyProtection="1">
      <alignment vertical="center"/>
    </xf>
    <xf numFmtId="0" fontId="23" fillId="0" borderId="0" xfId="6" applyFont="1" applyFill="1" applyAlignment="1" applyProtection="1">
      <alignment horizontal="left" vertical="center"/>
    </xf>
    <xf numFmtId="0" fontId="26" fillId="0" borderId="12" xfId="9" applyFont="1" applyFill="1" applyBorder="1" applyAlignment="1" applyProtection="1">
      <alignment vertical="center" wrapText="1"/>
    </xf>
    <xf numFmtId="165" fontId="26" fillId="4" borderId="46" xfId="9" applyNumberFormat="1" applyFont="1" applyFill="1" applyBorder="1" applyProtection="1">
      <protection locked="0"/>
    </xf>
    <xf numFmtId="165" fontId="26" fillId="4" borderId="47" xfId="9" applyNumberFormat="1" applyFont="1" applyFill="1" applyBorder="1" applyProtection="1">
      <protection locked="0"/>
    </xf>
    <xf numFmtId="165" fontId="26" fillId="4" borderId="50" xfId="9" applyNumberFormat="1" applyFont="1" applyFill="1" applyBorder="1" applyProtection="1">
      <protection locked="0"/>
    </xf>
    <xf numFmtId="165" fontId="26" fillId="4" borderId="113" xfId="9" applyNumberFormat="1" applyFont="1" applyFill="1" applyBorder="1" applyProtection="1">
      <protection locked="0"/>
    </xf>
    <xf numFmtId="165" fontId="26" fillId="4" borderId="43" xfId="9" applyNumberFormat="1" applyFont="1" applyFill="1" applyBorder="1" applyProtection="1">
      <protection locked="0"/>
    </xf>
    <xf numFmtId="165" fontId="26" fillId="4" borderId="44" xfId="9" applyNumberFormat="1" applyFont="1" applyFill="1" applyBorder="1" applyProtection="1">
      <protection locked="0"/>
    </xf>
    <xf numFmtId="165" fontId="26" fillId="4" borderId="62" xfId="9" applyNumberFormat="1" applyFont="1" applyFill="1" applyBorder="1" applyProtection="1">
      <protection locked="0"/>
    </xf>
    <xf numFmtId="165" fontId="26"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6" fillId="0" borderId="12" xfId="9" applyFont="1" applyFill="1" applyBorder="1" applyAlignment="1" applyProtection="1">
      <alignment vertical="center"/>
    </xf>
    <xf numFmtId="0" fontId="26" fillId="0" borderId="12" xfId="9" applyNumberFormat="1" applyFont="1" applyFill="1" applyBorder="1" applyAlignment="1" applyProtection="1">
      <alignment horizontal="center" vertical="center" wrapText="1"/>
    </xf>
    <xf numFmtId="165" fontId="26" fillId="4" borderId="29" xfId="10" applyNumberFormat="1" applyFont="1" applyFill="1" applyBorder="1" applyAlignment="1" applyProtection="1">
      <alignment vertical="center"/>
      <protection locked="0"/>
    </xf>
    <xf numFmtId="165" fontId="26" fillId="4" borderId="45" xfId="10" applyNumberFormat="1" applyFont="1" applyFill="1" applyBorder="1" applyAlignment="1" applyProtection="1">
      <alignment vertical="center"/>
      <protection locked="0"/>
    </xf>
    <xf numFmtId="165" fontId="23" fillId="4" borderId="123" xfId="6" applyNumberFormat="1" applyFont="1" applyFill="1" applyBorder="1" applyAlignment="1" applyProtection="1">
      <alignment vertical="center"/>
      <protection locked="0"/>
    </xf>
    <xf numFmtId="165" fontId="23" fillId="7" borderId="124" xfId="6" applyNumberFormat="1" applyFont="1" applyFill="1" applyBorder="1" applyAlignment="1" applyProtection="1">
      <alignment vertical="center"/>
    </xf>
    <xf numFmtId="165" fontId="23" fillId="0" borderId="80" xfId="6" applyNumberFormat="1" applyFont="1" applyFill="1" applyBorder="1" applyAlignment="1" applyProtection="1">
      <alignment vertical="center"/>
    </xf>
    <xf numFmtId="165" fontId="23" fillId="0" borderId="81" xfId="6" applyNumberFormat="1" applyFont="1" applyFill="1" applyBorder="1" applyAlignment="1" applyProtection="1">
      <alignment vertical="center"/>
    </xf>
    <xf numFmtId="10" fontId="23" fillId="4" borderId="30" xfId="6" applyNumberFormat="1" applyFont="1" applyFill="1" applyBorder="1" applyAlignment="1" applyProtection="1">
      <alignment vertical="center"/>
      <protection locked="0"/>
    </xf>
    <xf numFmtId="10" fontId="23" fillId="4" borderId="32" xfId="6" applyNumberFormat="1" applyFont="1" applyFill="1" applyBorder="1" applyAlignment="1" applyProtection="1">
      <alignment vertical="center"/>
      <protection locked="0"/>
    </xf>
    <xf numFmtId="0" fontId="12" fillId="0" borderId="60" xfId="6" applyFont="1" applyBorder="1" applyAlignment="1" applyProtection="1">
      <alignment vertical="center"/>
    </xf>
    <xf numFmtId="0" fontId="25" fillId="0" borderId="35" xfId="6" applyFont="1" applyBorder="1" applyAlignment="1" applyProtection="1">
      <alignment horizontal="center" vertical="center"/>
    </xf>
    <xf numFmtId="0" fontId="25" fillId="0" borderId="1" xfId="6" applyFont="1" applyBorder="1" applyAlignment="1" applyProtection="1">
      <alignment horizontal="center" vertical="center"/>
    </xf>
    <xf numFmtId="165" fontId="26" fillId="4" borderId="26" xfId="10" applyNumberFormat="1" applyFont="1" applyFill="1" applyBorder="1" applyAlignment="1" applyProtection="1">
      <alignment vertical="center"/>
      <protection locked="0"/>
    </xf>
    <xf numFmtId="165" fontId="26" fillId="4" borderId="6" xfId="11" applyNumberFormat="1" applyFont="1" applyFill="1" applyBorder="1" applyAlignment="1" applyProtection="1">
      <alignment horizontal="center" vertical="center"/>
      <protection locked="0"/>
    </xf>
    <xf numFmtId="165" fontId="26" fillId="4" borderId="9" xfId="11" applyNumberFormat="1" applyFont="1" applyFill="1" applyBorder="1" applyAlignment="1" applyProtection="1">
      <alignment horizontal="center" vertical="center"/>
      <protection locked="0"/>
    </xf>
    <xf numFmtId="165" fontId="26" fillId="4" borderId="12" xfId="11" applyNumberFormat="1" applyFont="1" applyFill="1" applyBorder="1" applyAlignment="1" applyProtection="1">
      <alignment horizontal="center" vertical="center"/>
      <protection locked="0"/>
    </xf>
    <xf numFmtId="0" fontId="26" fillId="0" borderId="0" xfId="9" applyNumberFormat="1" applyFont="1" applyFill="1" applyBorder="1" applyAlignment="1" applyProtection="1">
      <alignment horizontal="center" vertical="center" wrapText="1"/>
    </xf>
    <xf numFmtId="165" fontId="26" fillId="4" borderId="125" xfId="2" applyNumberFormat="1" applyFont="1" applyFill="1" applyBorder="1" applyAlignment="1" applyProtection="1">
      <alignment vertical="center"/>
      <protection locked="0"/>
    </xf>
    <xf numFmtId="165" fontId="26" fillId="4" borderId="114" xfId="2" applyNumberFormat="1" applyFont="1" applyFill="1" applyBorder="1" applyAlignment="1" applyProtection="1">
      <alignment vertical="center"/>
      <protection locked="0"/>
    </xf>
    <xf numFmtId="165" fontId="23" fillId="4" borderId="126" xfId="6" applyNumberFormat="1" applyFont="1" applyFill="1" applyBorder="1" applyAlignment="1" applyProtection="1">
      <alignment vertical="center"/>
      <protection locked="0"/>
    </xf>
    <xf numFmtId="165" fontId="26" fillId="4" borderId="18" xfId="2" applyNumberFormat="1" applyFont="1" applyFill="1" applyBorder="1" applyAlignment="1" applyProtection="1">
      <alignment vertical="center"/>
      <protection locked="0"/>
    </xf>
    <xf numFmtId="165" fontId="26" fillId="4" borderId="32" xfId="2" applyNumberFormat="1" applyFont="1" applyFill="1" applyBorder="1" applyAlignment="1" applyProtection="1">
      <alignment vertical="center"/>
      <protection locked="0"/>
    </xf>
    <xf numFmtId="165" fontId="26" fillId="4" borderId="24" xfId="2" applyNumberFormat="1" applyFont="1" applyFill="1" applyBorder="1" applyAlignment="1" applyProtection="1">
      <alignment vertical="center"/>
      <protection locked="0"/>
    </xf>
    <xf numFmtId="165" fontId="26" fillId="4" borderId="47" xfId="9" applyNumberFormat="1" applyFont="1" applyFill="1" applyBorder="1" applyAlignment="1" applyProtection="1">
      <alignment vertical="center"/>
      <protection locked="0"/>
    </xf>
    <xf numFmtId="165" fontId="26" fillId="7" borderId="20" xfId="9" applyNumberFormat="1" applyFont="1" applyFill="1" applyBorder="1" applyAlignment="1" applyProtection="1">
      <alignment vertical="center"/>
    </xf>
    <xf numFmtId="165" fontId="26" fillId="7" borderId="6" xfId="9" applyNumberFormat="1" applyFont="1" applyFill="1" applyBorder="1" applyAlignment="1" applyProtection="1">
      <alignment vertical="center"/>
    </xf>
    <xf numFmtId="165" fontId="26" fillId="4" borderId="11" xfId="2" applyNumberFormat="1" applyFont="1" applyFill="1" applyBorder="1" applyAlignment="1" applyProtection="1">
      <alignment vertical="center"/>
      <protection locked="0"/>
    </xf>
    <xf numFmtId="165" fontId="26" fillId="4" borderId="27" xfId="2" applyNumberFormat="1" applyFont="1" applyFill="1" applyBorder="1" applyAlignment="1" applyProtection="1">
      <alignment vertical="center"/>
      <protection locked="0"/>
    </xf>
    <xf numFmtId="0" fontId="0" fillId="6" borderId="0" xfId="0" applyFill="1"/>
    <xf numFmtId="0" fontId="19" fillId="0" borderId="0" xfId="0" applyFont="1" applyFill="1" applyAlignment="1" applyProtection="1">
      <alignment vertical="top" wrapText="1"/>
    </xf>
    <xf numFmtId="165" fontId="26" fillId="7" borderId="113" xfId="2" applyNumberFormat="1" applyFont="1" applyFill="1" applyBorder="1" applyAlignment="1" applyProtection="1">
      <alignment vertical="center"/>
    </xf>
    <xf numFmtId="165" fontId="26" fillId="7" borderId="7" xfId="2" applyNumberFormat="1" applyFont="1" applyFill="1" applyBorder="1" applyAlignment="1" applyProtection="1">
      <alignment vertical="center"/>
    </xf>
    <xf numFmtId="165" fontId="26" fillId="7" borderId="18" xfId="2" applyNumberFormat="1" applyFont="1" applyFill="1" applyBorder="1" applyAlignment="1" applyProtection="1">
      <alignment vertical="center"/>
    </xf>
    <xf numFmtId="165" fontId="26" fillId="7" borderId="32" xfId="2" applyNumberFormat="1" applyFont="1" applyFill="1" applyBorder="1" applyAlignment="1" applyProtection="1">
      <alignment vertical="center"/>
    </xf>
    <xf numFmtId="165" fontId="26" fillId="7" borderId="49" xfId="2" applyNumberFormat="1" applyFont="1" applyFill="1" applyBorder="1" applyAlignment="1" applyProtection="1">
      <alignment vertical="center"/>
    </xf>
    <xf numFmtId="165" fontId="26" fillId="7" borderId="30" xfId="2" applyNumberFormat="1" applyFont="1" applyFill="1" applyBorder="1" applyAlignment="1" applyProtection="1">
      <alignment vertical="center"/>
    </xf>
    <xf numFmtId="169" fontId="19" fillId="0" borderId="0" xfId="0" applyNumberFormat="1" applyFont="1" applyFill="1" applyBorder="1" applyAlignment="1">
      <alignment horizontal="right" vertical="top" wrapText="1"/>
    </xf>
    <xf numFmtId="49" fontId="19" fillId="0" borderId="0" xfId="0" applyNumberFormat="1" applyFont="1" applyFill="1" applyBorder="1" applyAlignment="1">
      <alignment horizontal="right" vertical="top" wrapText="1"/>
    </xf>
    <xf numFmtId="0" fontId="19" fillId="0" borderId="0" xfId="0" applyFont="1" applyFill="1" applyBorder="1" applyAlignment="1">
      <alignment horizontal="right" vertical="top" wrapText="1"/>
    </xf>
    <xf numFmtId="3" fontId="19" fillId="0" borderId="0" xfId="0" applyNumberFormat="1" applyFont="1" applyFill="1" applyBorder="1" applyAlignment="1">
      <alignment horizontal="right" vertical="top" wrapText="1"/>
    </xf>
    <xf numFmtId="4" fontId="19" fillId="0" borderId="0" xfId="0" applyNumberFormat="1" applyFont="1" applyFill="1" applyBorder="1" applyAlignment="1">
      <alignment horizontal="right" vertical="top" wrapText="1"/>
    </xf>
    <xf numFmtId="3" fontId="12" fillId="0" borderId="0" xfId="0" applyNumberFormat="1" applyFont="1" applyFill="1" applyBorder="1" applyAlignment="1">
      <alignment horizontal="right" vertical="top" wrapText="1"/>
    </xf>
    <xf numFmtId="4" fontId="12" fillId="0" borderId="0" xfId="0" applyNumberFormat="1" applyFont="1" applyFill="1" applyBorder="1" applyAlignment="1">
      <alignment horizontal="right" vertical="top" wrapText="1"/>
    </xf>
    <xf numFmtId="0" fontId="12" fillId="0" borderId="0" xfId="0" applyFont="1" applyFill="1" applyBorder="1" applyAlignment="1">
      <alignment horizontal="right" vertical="top" wrapText="1"/>
    </xf>
    <xf numFmtId="0" fontId="12" fillId="0" borderId="0" xfId="0" applyNumberFormat="1" applyFont="1" applyFill="1" applyBorder="1" applyAlignment="1">
      <alignment horizontal="right" vertical="top" wrapText="1"/>
    </xf>
    <xf numFmtId="0" fontId="47" fillId="0" borderId="0" xfId="0" applyFont="1" applyFill="1" applyBorder="1" applyAlignment="1">
      <alignment horizontal="right" vertical="top" wrapText="1"/>
    </xf>
    <xf numFmtId="49" fontId="12" fillId="0" borderId="0" xfId="0" applyNumberFormat="1" applyFont="1" applyFill="1" applyBorder="1" applyAlignment="1">
      <alignment horizontal="right" vertical="top" wrapText="1"/>
    </xf>
    <xf numFmtId="169" fontId="12"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20" fontId="19" fillId="0" borderId="0" xfId="0" applyNumberFormat="1" applyFont="1" applyFill="1" applyBorder="1" applyAlignment="1">
      <alignment horizontal="right" vertical="top" wrapText="1"/>
    </xf>
    <xf numFmtId="167" fontId="19" fillId="0" borderId="0" xfId="0" applyNumberFormat="1" applyFont="1" applyFill="1" applyBorder="1" applyAlignment="1">
      <alignment horizontal="right" vertical="top" wrapText="1"/>
    </xf>
    <xf numFmtId="0" fontId="48" fillId="0" borderId="0" xfId="0" applyFont="1" applyFill="1" applyBorder="1" applyAlignment="1">
      <alignment horizontal="right" vertical="top" wrapText="1"/>
    </xf>
    <xf numFmtId="0" fontId="26" fillId="0" borderId="0" xfId="0" applyFont="1" applyFill="1" applyBorder="1" applyAlignment="1">
      <alignment horizontal="right" vertical="top" wrapText="1"/>
    </xf>
    <xf numFmtId="0" fontId="17" fillId="0" borderId="0" xfId="0" applyFont="1" applyFill="1" applyBorder="1" applyAlignment="1">
      <alignment horizontal="right" vertical="top" wrapText="1"/>
    </xf>
    <xf numFmtId="0" fontId="19" fillId="0" borderId="0" xfId="0" applyNumberFormat="1" applyFont="1" applyFill="1" applyBorder="1" applyAlignment="1">
      <alignment horizontal="right" vertical="top" wrapText="1"/>
    </xf>
    <xf numFmtId="3" fontId="17" fillId="0" borderId="0" xfId="0" applyNumberFormat="1" applyFont="1" applyFill="1" applyBorder="1" applyAlignment="1">
      <alignment horizontal="right" vertical="top" wrapText="1"/>
    </xf>
    <xf numFmtId="3" fontId="26" fillId="0" borderId="0" xfId="0" applyNumberFormat="1" applyFont="1" applyFill="1" applyBorder="1" applyAlignment="1">
      <alignment horizontal="right" vertical="top" wrapText="1"/>
    </xf>
    <xf numFmtId="4" fontId="12" fillId="0" borderId="0" xfId="0" applyNumberFormat="1" applyFont="1" applyBorder="1" applyAlignment="1">
      <alignment horizontal="left" vertical="top" wrapText="1"/>
    </xf>
    <xf numFmtId="3" fontId="12" fillId="0" borderId="0" xfId="0" applyNumberFormat="1" applyFont="1" applyBorder="1" applyAlignment="1">
      <alignment horizontal="left" vertical="top" wrapText="1"/>
    </xf>
    <xf numFmtId="0" fontId="42" fillId="0" borderId="0" xfId="0" applyNumberFormat="1" applyFont="1" applyBorder="1"/>
    <xf numFmtId="0" fontId="12" fillId="0" borderId="0" xfId="0" applyNumberFormat="1" applyFont="1" applyBorder="1"/>
    <xf numFmtId="0" fontId="7" fillId="2" borderId="0" xfId="6" applyFont="1" applyFill="1" applyBorder="1" applyAlignment="1" applyProtection="1">
      <alignment vertical="center" wrapText="1"/>
    </xf>
    <xf numFmtId="0" fontId="19" fillId="0" borderId="0" xfId="9" applyFill="1" applyAlignment="1" applyProtection="1">
      <alignment vertical="center" wrapText="1"/>
    </xf>
    <xf numFmtId="0" fontId="19" fillId="0" borderId="0" xfId="9" applyFill="1" applyBorder="1" applyAlignment="1" applyProtection="1">
      <alignment vertical="center" wrapText="1"/>
    </xf>
    <xf numFmtId="0" fontId="23" fillId="0" borderId="0" xfId="8" applyFont="1" applyAlignment="1" applyProtection="1">
      <alignment vertical="center" wrapText="1"/>
    </xf>
    <xf numFmtId="0" fontId="0" fillId="0" borderId="0" xfId="0" applyAlignment="1" applyProtection="1">
      <alignment wrapText="1"/>
    </xf>
    <xf numFmtId="0" fontId="28" fillId="3" borderId="34" xfId="9" applyFont="1" applyFill="1" applyBorder="1" applyAlignment="1" applyProtection="1">
      <alignment vertical="center" wrapText="1"/>
    </xf>
    <xf numFmtId="0" fontId="0" fillId="0" borderId="34" xfId="0" applyBorder="1" applyAlignment="1" applyProtection="1">
      <alignment wrapText="1"/>
    </xf>
    <xf numFmtId="0" fontId="19" fillId="0" borderId="8" xfId="9" applyFont="1" applyFill="1" applyBorder="1" applyAlignment="1" applyProtection="1">
      <alignment horizontal="left" vertical="top" wrapText="1"/>
    </xf>
    <xf numFmtId="0" fontId="19" fillId="0" borderId="11" xfId="9" applyFont="1" applyFill="1" applyBorder="1" applyAlignment="1" applyProtection="1">
      <alignment horizontal="left" vertical="top" wrapText="1"/>
    </xf>
    <xf numFmtId="10" fontId="23" fillId="7" borderId="31"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protection locked="0"/>
    </xf>
    <xf numFmtId="10" fontId="23" fillId="4" borderId="6"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4" borderId="11" xfId="6" applyNumberFormat="1" applyFont="1" applyFill="1" applyBorder="1" applyAlignment="1" applyProtection="1">
      <alignment vertical="center"/>
      <protection locked="0"/>
    </xf>
    <xf numFmtId="10" fontId="23" fillId="4" borderId="12" xfId="6" applyNumberFormat="1" applyFont="1" applyFill="1" applyBorder="1" applyAlignment="1" applyProtection="1">
      <alignment vertical="center"/>
      <protection locked="0"/>
    </xf>
    <xf numFmtId="10" fontId="23" fillId="4" borderId="13" xfId="6" applyNumberFormat="1" applyFont="1" applyFill="1" applyBorder="1" applyAlignment="1" applyProtection="1">
      <alignment vertical="center"/>
      <protection locked="0"/>
    </xf>
    <xf numFmtId="0" fontId="25" fillId="0" borderId="0" xfId="0" applyFont="1" applyFill="1" applyAlignment="1">
      <alignment horizontal="center" vertical="center"/>
    </xf>
    <xf numFmtId="165" fontId="26" fillId="7" borderId="5" xfId="2" applyNumberFormat="1" applyFont="1" applyFill="1" applyBorder="1" applyAlignment="1" applyProtection="1">
      <alignment vertical="center"/>
    </xf>
    <xf numFmtId="165" fontId="26" fillId="7" borderId="24" xfId="2" applyNumberFormat="1" applyFont="1" applyFill="1" applyBorder="1" applyAlignment="1" applyProtection="1">
      <alignment vertical="center"/>
    </xf>
    <xf numFmtId="165" fontId="26" fillId="7" borderId="8" xfId="2" applyNumberFormat="1" applyFont="1" applyFill="1" applyBorder="1" applyAlignment="1" applyProtection="1">
      <alignment vertical="center"/>
    </xf>
    <xf numFmtId="165" fontId="26" fillId="7" borderId="26" xfId="2" applyNumberFormat="1" applyFont="1" applyFill="1" applyBorder="1" applyAlignment="1" applyProtection="1">
      <alignment vertical="center"/>
    </xf>
    <xf numFmtId="165" fontId="26" fillId="7" borderId="10" xfId="2" applyNumberFormat="1" applyFont="1" applyFill="1" applyBorder="1" applyAlignment="1" applyProtection="1">
      <alignment vertical="center"/>
    </xf>
    <xf numFmtId="165" fontId="26" fillId="7" borderId="37" xfId="1" applyNumberFormat="1" applyFont="1" applyFill="1" applyBorder="1" applyAlignment="1" applyProtection="1">
      <alignment vertical="center"/>
    </xf>
    <xf numFmtId="165" fontId="26" fillId="7" borderId="7" xfId="1" applyNumberFormat="1" applyFont="1" applyFill="1" applyBorder="1" applyAlignment="1" applyProtection="1">
      <alignment vertical="center"/>
    </xf>
    <xf numFmtId="165" fontId="26" fillId="7" borderId="41" xfId="1" applyNumberFormat="1" applyFont="1" applyFill="1" applyBorder="1" applyAlignment="1" applyProtection="1">
      <alignment vertical="center"/>
    </xf>
    <xf numFmtId="165" fontId="26" fillId="7" borderId="13" xfId="1" applyNumberFormat="1" applyFont="1" applyFill="1" applyBorder="1" applyAlignment="1" applyProtection="1">
      <alignment vertical="center"/>
    </xf>
    <xf numFmtId="165" fontId="26" fillId="0" borderId="1" xfId="10" applyNumberFormat="1" applyFont="1" applyFill="1" applyBorder="1" applyAlignment="1" applyProtection="1">
      <alignment vertical="center"/>
    </xf>
    <xf numFmtId="165" fontId="23" fillId="7" borderId="35" xfId="6"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65" fontId="23" fillId="7" borderId="3" xfId="6" applyNumberFormat="1" applyFont="1" applyFill="1" applyBorder="1" applyAlignment="1" applyProtection="1">
      <alignment vertical="center"/>
    </xf>
    <xf numFmtId="165" fontId="26" fillId="7" borderId="37" xfId="9" applyNumberFormat="1" applyFont="1" applyFill="1" applyBorder="1" applyAlignment="1" applyProtection="1">
      <alignment vertical="center"/>
    </xf>
    <xf numFmtId="165" fontId="26" fillId="7" borderId="5" xfId="9" applyNumberFormat="1" applyFont="1" applyFill="1" applyBorder="1" applyAlignment="1" applyProtection="1">
      <alignment vertical="center"/>
    </xf>
    <xf numFmtId="0" fontId="31" fillId="0" borderId="0" xfId="6" applyFont="1" applyBorder="1" applyAlignment="1" applyProtection="1">
      <alignment horizontal="center" vertical="top" wrapText="1"/>
    </xf>
    <xf numFmtId="0" fontId="23" fillId="0" borderId="0" xfId="8" applyFont="1" applyAlignment="1" applyProtection="1">
      <alignment horizontal="center" vertical="top" wrapText="1"/>
    </xf>
    <xf numFmtId="0" fontId="23" fillId="3" borderId="0" xfId="8" applyFont="1" applyFill="1" applyAlignment="1" applyProtection="1">
      <alignment horizontal="center" vertical="top" wrapText="1"/>
    </xf>
    <xf numFmtId="0" fontId="0" fillId="0" borderId="0" xfId="0" applyAlignment="1" applyProtection="1">
      <alignment vertical="top" wrapText="1"/>
    </xf>
    <xf numFmtId="165" fontId="26" fillId="7" borderId="39" xfId="10" applyNumberFormat="1" applyFont="1" applyFill="1" applyBorder="1" applyAlignment="1" applyProtection="1">
      <alignment vertical="center"/>
    </xf>
    <xf numFmtId="165" fontId="26" fillId="7" borderId="10" xfId="10" applyNumberFormat="1" applyFont="1" applyFill="1" applyBorder="1" applyAlignment="1" applyProtection="1">
      <alignment vertical="center"/>
    </xf>
    <xf numFmtId="165" fontId="26" fillId="7" borderId="29" xfId="10" applyNumberFormat="1" applyFont="1" applyFill="1" applyBorder="1" applyAlignment="1" applyProtection="1">
      <alignment vertical="center"/>
    </xf>
    <xf numFmtId="165" fontId="26" fillId="7" borderId="38" xfId="10" applyNumberFormat="1" applyFont="1" applyFill="1" applyBorder="1" applyAlignment="1" applyProtection="1">
      <alignment vertical="center"/>
    </xf>
    <xf numFmtId="165" fontId="26" fillId="7" borderId="56" xfId="2" applyNumberFormat="1" applyFont="1" applyFill="1" applyBorder="1" applyAlignment="1" applyProtection="1">
      <alignment vertical="center"/>
    </xf>
    <xf numFmtId="165" fontId="26" fillId="7" borderId="31" xfId="2" applyNumberFormat="1" applyFont="1" applyFill="1" applyBorder="1" applyAlignment="1" applyProtection="1">
      <alignment vertical="center"/>
    </xf>
    <xf numFmtId="165" fontId="26" fillId="4" borderId="1" xfId="10" applyNumberFormat="1" applyFont="1" applyFill="1" applyBorder="1" applyAlignment="1" applyProtection="1">
      <alignment vertical="center"/>
      <protection locked="0"/>
    </xf>
    <xf numFmtId="165" fontId="26" fillId="7" borderId="1" xfId="2" applyNumberFormat="1" applyFont="1" applyFill="1" applyBorder="1" applyAlignment="1" applyProtection="1">
      <alignment vertical="center"/>
    </xf>
    <xf numFmtId="165" fontId="26" fillId="4" borderId="41" xfId="10" applyNumberFormat="1" applyFont="1" applyFill="1" applyBorder="1" applyAlignment="1" applyProtection="1">
      <alignment vertical="center"/>
      <protection locked="0"/>
    </xf>
    <xf numFmtId="165" fontId="26" fillId="7" borderId="41" xfId="2" applyNumberFormat="1" applyFont="1" applyFill="1" applyBorder="1" applyAlignment="1" applyProtection="1">
      <alignment vertical="center"/>
    </xf>
    <xf numFmtId="165" fontId="26" fillId="7" borderId="13" xfId="2" applyNumberFormat="1" applyFont="1" applyFill="1" applyBorder="1" applyAlignment="1" applyProtection="1">
      <alignment vertical="center"/>
    </xf>
    <xf numFmtId="165" fontId="26" fillId="7" borderId="2" xfId="2" applyNumberFormat="1" applyFont="1" applyFill="1" applyBorder="1" applyAlignment="1" applyProtection="1">
      <alignment vertical="center"/>
    </xf>
    <xf numFmtId="165" fontId="26" fillId="7" borderId="35" xfId="2" applyNumberFormat="1" applyFont="1" applyFill="1" applyBorder="1" applyAlignment="1" applyProtection="1">
      <alignment vertical="center"/>
    </xf>
    <xf numFmtId="165" fontId="26" fillId="0" borderId="0" xfId="0" applyNumberFormat="1" applyFont="1" applyFill="1" applyAlignment="1" applyProtection="1">
      <alignment vertical="center"/>
    </xf>
    <xf numFmtId="165" fontId="26" fillId="7" borderId="61" xfId="9" applyNumberFormat="1" applyFont="1" applyFill="1" applyBorder="1" applyAlignment="1" applyProtection="1">
      <alignment vertical="center"/>
    </xf>
    <xf numFmtId="165" fontId="23" fillId="4" borderId="13" xfId="6" applyNumberFormat="1" applyFont="1" applyFill="1" applyBorder="1" applyAlignment="1" applyProtection="1">
      <alignment vertical="center"/>
      <protection locked="0"/>
    </xf>
    <xf numFmtId="165" fontId="23" fillId="4" borderId="41" xfId="6" applyNumberFormat="1" applyFont="1" applyFill="1" applyBorder="1" applyAlignment="1" applyProtection="1">
      <alignment vertical="center"/>
      <protection locked="0"/>
    </xf>
    <xf numFmtId="165" fontId="23" fillId="7" borderId="127" xfId="6" applyNumberFormat="1" applyFont="1" applyFill="1" applyBorder="1" applyAlignment="1" applyProtection="1">
      <alignment vertical="center"/>
    </xf>
    <xf numFmtId="0" fontId="25" fillId="0" borderId="60" xfId="6" applyFont="1" applyBorder="1" applyAlignment="1" applyProtection="1">
      <alignment horizontal="center" vertical="center"/>
    </xf>
    <xf numFmtId="165" fontId="23" fillId="4" borderId="4" xfId="6" applyNumberFormat="1" applyFont="1" applyFill="1" applyBorder="1" applyAlignment="1" applyProtection="1">
      <alignment vertical="center"/>
      <protection locked="0"/>
    </xf>
    <xf numFmtId="165" fontId="23" fillId="4" borderId="61" xfId="6" applyNumberFormat="1" applyFont="1" applyFill="1" applyBorder="1" applyAlignment="1" applyProtection="1">
      <alignment vertical="center"/>
      <protection locked="0"/>
    </xf>
    <xf numFmtId="165" fontId="23" fillId="7" borderId="128" xfId="6" applyNumberFormat="1" applyFont="1" applyFill="1" applyBorder="1" applyAlignment="1" applyProtection="1">
      <alignment vertical="center"/>
    </xf>
    <xf numFmtId="165" fontId="23" fillId="7" borderId="61" xfId="6" applyNumberFormat="1" applyFont="1" applyFill="1" applyBorder="1" applyAlignment="1" applyProtection="1">
      <alignment vertical="center"/>
    </xf>
    <xf numFmtId="165" fontId="23" fillId="7" borderId="129" xfId="6" applyNumberFormat="1" applyFont="1" applyFill="1" applyBorder="1" applyAlignment="1" applyProtection="1">
      <alignment vertical="center"/>
    </xf>
    <xf numFmtId="165" fontId="23" fillId="4" borderId="130" xfId="6" applyNumberFormat="1" applyFont="1" applyFill="1" applyBorder="1" applyAlignment="1" applyProtection="1">
      <alignment vertical="center"/>
      <protection locked="0"/>
    </xf>
    <xf numFmtId="165" fontId="23" fillId="4" borderId="20" xfId="6" applyNumberFormat="1" applyFont="1" applyFill="1" applyBorder="1" applyAlignment="1" applyProtection="1">
      <alignment vertical="center"/>
      <protection locked="0"/>
    </xf>
    <xf numFmtId="165" fontId="23" fillId="4" borderId="21" xfId="6" applyNumberFormat="1" applyFont="1" applyFill="1" applyBorder="1" applyAlignment="1" applyProtection="1">
      <alignment vertical="center"/>
      <protection locked="0"/>
    </xf>
    <xf numFmtId="165" fontId="23" fillId="4" borderId="19" xfId="6" applyNumberFormat="1" applyFont="1" applyFill="1" applyBorder="1" applyAlignment="1" applyProtection="1">
      <alignment vertical="center"/>
      <protection locked="0"/>
    </xf>
    <xf numFmtId="0" fontId="4" fillId="0" borderId="110" xfId="6" applyBorder="1" applyAlignment="1" applyProtection="1">
      <alignment vertical="center"/>
    </xf>
    <xf numFmtId="0" fontId="26" fillId="0" borderId="66" xfId="9" applyFont="1" applyFill="1" applyBorder="1" applyAlignment="1" applyProtection="1">
      <alignment horizontal="center" vertical="top"/>
    </xf>
    <xf numFmtId="0" fontId="26" fillId="0" borderId="84" xfId="9" applyFont="1" applyFill="1" applyBorder="1" applyAlignment="1" applyProtection="1">
      <alignment horizontal="center" vertical="top"/>
    </xf>
    <xf numFmtId="0" fontId="26" fillId="0" borderId="74" xfId="9" applyFont="1" applyFill="1" applyBorder="1" applyAlignment="1" applyProtection="1">
      <alignment horizontal="center" vertical="top"/>
    </xf>
    <xf numFmtId="0" fontId="26" fillId="0" borderId="43" xfId="9" applyFont="1" applyFill="1" applyBorder="1" applyAlignment="1" applyProtection="1">
      <alignment horizontal="center" vertical="top"/>
    </xf>
    <xf numFmtId="165" fontId="26" fillId="4" borderId="2" xfId="10" applyNumberFormat="1" applyFont="1" applyFill="1" applyBorder="1" applyAlignment="1" applyProtection="1">
      <alignment vertical="center"/>
      <protection locked="0"/>
    </xf>
    <xf numFmtId="165" fontId="26" fillId="4" borderId="4" xfId="10" applyNumberFormat="1" applyFont="1" applyFill="1" applyBorder="1" applyAlignment="1" applyProtection="1">
      <alignment vertical="center"/>
      <protection locked="0"/>
    </xf>
    <xf numFmtId="165" fontId="26" fillId="7" borderId="5" xfId="10" applyNumberFormat="1" applyFont="1" applyFill="1" applyBorder="1" applyAlignment="1" applyProtection="1">
      <alignment vertical="center"/>
    </xf>
    <xf numFmtId="165" fontId="26" fillId="7" borderId="8" xfId="10" applyNumberFormat="1" applyFont="1" applyFill="1" applyBorder="1" applyAlignment="1" applyProtection="1">
      <alignment vertical="center"/>
    </xf>
    <xf numFmtId="165" fontId="26" fillId="7" borderId="11" xfId="10" applyNumberFormat="1" applyFont="1" applyFill="1" applyBorder="1" applyAlignment="1" applyProtection="1">
      <alignment vertical="center"/>
    </xf>
    <xf numFmtId="0" fontId="26" fillId="0" borderId="6" xfId="9" applyFont="1" applyFill="1" applyBorder="1" applyAlignment="1" applyProtection="1">
      <alignment vertical="top" wrapText="1"/>
    </xf>
    <xf numFmtId="0" fontId="26" fillId="0" borderId="54" xfId="9" applyFont="1" applyFill="1" applyBorder="1" applyAlignment="1" applyProtection="1">
      <alignment horizontal="center" vertical="top"/>
    </xf>
    <xf numFmtId="0" fontId="26" fillId="0" borderId="56" xfId="9" applyFont="1" applyFill="1" applyBorder="1" applyAlignment="1" applyProtection="1">
      <alignment horizontal="center" vertical="top"/>
    </xf>
    <xf numFmtId="0" fontId="26" fillId="0" borderId="57" xfId="9" applyFont="1" applyFill="1" applyBorder="1" applyAlignment="1" applyProtection="1">
      <alignment horizontal="center" vertical="top"/>
    </xf>
    <xf numFmtId="165" fontId="26"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6" fillId="4" borderId="9" xfId="9" applyNumberFormat="1" applyFont="1" applyFill="1" applyBorder="1" applyAlignment="1" applyProtection="1">
      <alignment horizontal="center" vertical="center" wrapText="1"/>
    </xf>
    <xf numFmtId="0" fontId="23" fillId="0" borderId="0" xfId="6" applyFont="1" applyFill="1" applyBorder="1" applyAlignment="1" applyProtection="1">
      <alignment horizontal="center" vertical="center"/>
    </xf>
    <xf numFmtId="0" fontId="12" fillId="0" borderId="0" xfId="6" applyFont="1" applyFill="1" applyBorder="1" applyAlignment="1" applyProtection="1">
      <alignment vertical="center"/>
    </xf>
    <xf numFmtId="0" fontId="25" fillId="0" borderId="0" xfId="6" applyFont="1" applyFill="1" applyBorder="1" applyAlignment="1" applyProtection="1">
      <alignment horizontal="center" vertical="center"/>
    </xf>
    <xf numFmtId="0" fontId="23" fillId="0" borderId="0" xfId="8" applyFont="1" applyFill="1" applyProtection="1"/>
    <xf numFmtId="0" fontId="12" fillId="0" borderId="15" xfId="6" applyFont="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protection locked="0"/>
    </xf>
    <xf numFmtId="165" fontId="23" fillId="4" borderId="135" xfId="6" applyNumberFormat="1" applyFont="1" applyFill="1" applyBorder="1" applyAlignment="1" applyProtection="1">
      <alignment vertical="center"/>
      <protection locked="0"/>
    </xf>
    <xf numFmtId="165" fontId="23" fillId="4" borderId="136" xfId="6" applyNumberFormat="1" applyFont="1" applyFill="1" applyBorder="1" applyAlignment="1" applyProtection="1">
      <alignment vertical="center"/>
      <protection locked="0"/>
    </xf>
    <xf numFmtId="165" fontId="23" fillId="7" borderId="137"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protection locked="0"/>
    </xf>
    <xf numFmtId="165" fontId="23" fillId="4" borderId="140" xfId="6" applyNumberFormat="1" applyFont="1" applyFill="1" applyBorder="1" applyAlignment="1" applyProtection="1">
      <alignment vertical="center"/>
      <protection locked="0"/>
    </xf>
    <xf numFmtId="0" fontId="25" fillId="0" borderId="0" xfId="7" applyFont="1" applyFill="1" applyBorder="1" applyAlignment="1" applyProtection="1">
      <alignment horizontal="center" vertical="center" wrapText="1"/>
    </xf>
    <xf numFmtId="165" fontId="23" fillId="4" borderId="141" xfId="6" applyNumberFormat="1" applyFont="1" applyFill="1" applyBorder="1" applyAlignment="1" applyProtection="1">
      <alignment vertical="center"/>
      <protection locked="0"/>
    </xf>
    <xf numFmtId="165" fontId="23" fillId="4" borderId="142" xfId="6" applyNumberFormat="1" applyFont="1" applyFill="1" applyBorder="1" applyAlignment="1" applyProtection="1">
      <alignment vertical="center"/>
      <protection locked="0"/>
    </xf>
    <xf numFmtId="165" fontId="23" fillId="4" borderId="143" xfId="6" applyNumberFormat="1" applyFont="1" applyFill="1" applyBorder="1" applyAlignment="1" applyProtection="1">
      <alignment vertical="center"/>
      <protection locked="0"/>
    </xf>
    <xf numFmtId="165" fontId="23" fillId="7" borderId="144" xfId="6" applyNumberFormat="1" applyFont="1" applyFill="1" applyBorder="1" applyAlignment="1" applyProtection="1">
      <alignment vertical="center"/>
    </xf>
    <xf numFmtId="0" fontId="31" fillId="0" borderId="0" xfId="8" applyFont="1" applyFill="1" applyAlignment="1" applyProtection="1">
      <alignment horizontal="center"/>
    </xf>
    <xf numFmtId="0" fontId="26" fillId="0" borderId="46" xfId="9" applyFont="1" applyFill="1" applyBorder="1" applyAlignment="1" applyProtection="1">
      <alignment horizontal="center" vertical="top"/>
    </xf>
    <xf numFmtId="0" fontId="26" fillId="0" borderId="11" xfId="0" applyFont="1" applyFill="1" applyBorder="1" applyAlignment="1" applyProtection="1">
      <alignment horizontal="center" vertical="top"/>
    </xf>
    <xf numFmtId="0" fontId="51" fillId="0" borderId="0" xfId="14" applyFont="1"/>
    <xf numFmtId="0" fontId="54" fillId="0" borderId="0" xfId="14" applyFont="1" applyFill="1" applyBorder="1" applyAlignment="1" applyProtection="1">
      <alignment horizontal="center" vertical="center" wrapText="1"/>
    </xf>
    <xf numFmtId="0" fontId="33" fillId="0" borderId="0" xfId="14" applyFont="1" applyBorder="1" applyAlignment="1" applyProtection="1">
      <alignment horizontal="center" vertical="top" wrapText="1"/>
    </xf>
    <xf numFmtId="0" fontId="55" fillId="0" borderId="0" xfId="14" applyFont="1" applyBorder="1" applyAlignment="1" applyProtection="1">
      <alignment horizontal="center" vertical="top" wrapText="1"/>
    </xf>
    <xf numFmtId="0" fontId="10" fillId="3" borderId="6" xfId="9" applyFont="1" applyFill="1" applyBorder="1" applyAlignment="1" applyProtection="1">
      <alignment horizontal="center" vertical="center" wrapText="1"/>
    </xf>
    <xf numFmtId="0" fontId="10" fillId="3" borderId="36" xfId="9" applyFont="1" applyFill="1" applyBorder="1" applyAlignment="1" applyProtection="1">
      <alignment horizontal="center" vertical="center" wrapText="1"/>
    </xf>
    <xf numFmtId="0" fontId="10" fillId="3" borderId="7" xfId="9" applyFont="1" applyFill="1" applyBorder="1" applyAlignment="1" applyProtection="1">
      <alignment horizontal="center" vertical="center" wrapText="1"/>
    </xf>
    <xf numFmtId="0" fontId="19" fillId="0" borderId="12" xfId="14" applyFont="1" applyFill="1" applyBorder="1" applyAlignment="1" applyProtection="1">
      <alignment horizontal="center" vertical="center" wrapText="1"/>
    </xf>
    <xf numFmtId="0" fontId="19" fillId="0" borderId="39" xfId="14" applyFont="1" applyFill="1" applyBorder="1" applyAlignment="1" applyProtection="1">
      <alignment horizontal="center" vertical="center" wrapText="1"/>
    </xf>
    <xf numFmtId="0" fontId="19" fillId="0" borderId="41" xfId="14" applyFont="1" applyFill="1" applyBorder="1" applyAlignment="1" applyProtection="1">
      <alignment horizontal="center" vertical="center" wrapText="1"/>
    </xf>
    <xf numFmtId="0" fontId="19" fillId="0" borderId="38" xfId="14" applyFont="1" applyFill="1" applyBorder="1" applyAlignment="1" applyProtection="1">
      <alignment horizontal="center" vertical="center" wrapText="1"/>
    </xf>
    <xf numFmtId="0" fontId="19" fillId="0" borderId="40" xfId="14" applyFont="1" applyFill="1" applyBorder="1" applyAlignment="1" applyProtection="1">
      <alignment horizontal="center" vertical="center" wrapText="1"/>
    </xf>
    <xf numFmtId="0" fontId="10" fillId="3" borderId="15" xfId="9" applyFont="1" applyFill="1" applyBorder="1" applyAlignment="1" applyProtection="1">
      <alignment horizontal="center" vertical="center" wrapText="1"/>
    </xf>
    <xf numFmtId="0" fontId="10" fillId="3" borderId="52" xfId="9" applyFont="1" applyFill="1" applyBorder="1" applyAlignment="1" applyProtection="1">
      <alignment horizontal="center" vertical="center" wrapText="1"/>
    </xf>
    <xf numFmtId="0" fontId="10" fillId="3" borderId="16" xfId="9" applyFont="1" applyFill="1" applyBorder="1" applyAlignment="1" applyProtection="1">
      <alignment horizontal="center" vertical="center" wrapText="1"/>
    </xf>
    <xf numFmtId="0" fontId="15" fillId="0" borderId="0" xfId="14" applyFont="1" applyProtection="1"/>
    <xf numFmtId="0" fontId="55" fillId="0" borderId="0" xfId="14" applyFont="1" applyBorder="1" applyAlignment="1" applyProtection="1">
      <alignment horizontal="left" vertical="center" wrapText="1"/>
    </xf>
    <xf numFmtId="0" fontId="10" fillId="3" borderId="5" xfId="14" applyFont="1" applyFill="1" applyBorder="1" applyAlignment="1" applyProtection="1">
      <alignment horizontal="center" vertical="center" wrapText="1"/>
    </xf>
    <xf numFmtId="0" fontId="10" fillId="3" borderId="6" xfId="14" applyFont="1" applyFill="1" applyBorder="1" applyAlignment="1" applyProtection="1">
      <alignment horizontal="left" vertical="center"/>
    </xf>
    <xf numFmtId="0" fontId="26" fillId="0" borderId="11" xfId="14" applyFont="1" applyFill="1" applyBorder="1" applyAlignment="1" applyProtection="1">
      <alignment horizontal="center" vertical="center" wrapText="1"/>
    </xf>
    <xf numFmtId="0" fontId="19" fillId="0" borderId="12" xfId="14" applyFont="1" applyFill="1" applyBorder="1" applyAlignment="1" applyProtection="1">
      <alignment horizontal="left" vertical="center" wrapText="1"/>
    </xf>
    <xf numFmtId="49" fontId="19" fillId="0" borderId="12" xfId="14" applyNumberFormat="1" applyFont="1" applyFill="1" applyBorder="1" applyAlignment="1" applyProtection="1">
      <alignment horizontal="center" vertical="center" wrapText="1"/>
    </xf>
    <xf numFmtId="0" fontId="15" fillId="0" borderId="0" xfId="14" applyFont="1" applyFill="1" applyBorder="1" applyAlignment="1" applyProtection="1">
      <alignment horizontal="center" vertical="top" wrapText="1"/>
    </xf>
    <xf numFmtId="0" fontId="15" fillId="0" borderId="0" xfId="14" applyFont="1" applyFill="1" applyBorder="1" applyAlignment="1" applyProtection="1">
      <alignment horizontal="left" vertical="top" wrapText="1"/>
    </xf>
    <xf numFmtId="0" fontId="26" fillId="0" borderId="8" xfId="14" applyFont="1" applyFill="1" applyBorder="1" applyAlignment="1" applyProtection="1">
      <alignment horizontal="center" vertical="center" wrapText="1"/>
    </xf>
    <xf numFmtId="0" fontId="10" fillId="3" borderId="54" xfId="14" applyFont="1" applyFill="1" applyBorder="1" applyAlignment="1" applyProtection="1">
      <alignment horizontal="center" vertical="center" wrapText="1"/>
    </xf>
    <xf numFmtId="0" fontId="26" fillId="0" borderId="57" xfId="14" applyFont="1" applyFill="1" applyBorder="1" applyAlignment="1" applyProtection="1">
      <alignment horizontal="center" vertical="center" wrapText="1"/>
    </xf>
    <xf numFmtId="0" fontId="10" fillId="3" borderId="2" xfId="6" applyFont="1" applyFill="1" applyBorder="1" applyAlignment="1" applyProtection="1">
      <alignment vertical="top"/>
    </xf>
    <xf numFmtId="0" fontId="10" fillId="3" borderId="3" xfId="6" applyFont="1" applyFill="1" applyBorder="1" applyAlignment="1" applyProtection="1">
      <alignment vertical="top"/>
    </xf>
    <xf numFmtId="0" fontId="10" fillId="3" borderId="5" xfId="6" applyFont="1" applyFill="1" applyBorder="1" applyAlignment="1" applyProtection="1">
      <alignment horizontal="center" vertical="top"/>
    </xf>
    <xf numFmtId="0" fontId="10" fillId="3" borderId="7" xfId="6" applyFont="1" applyFill="1" applyBorder="1" applyAlignment="1" applyProtection="1">
      <alignment vertical="top"/>
    </xf>
    <xf numFmtId="0" fontId="33" fillId="0" borderId="0" xfId="14" applyFont="1" applyFill="1" applyBorder="1" applyAlignment="1" applyProtection="1">
      <alignment horizontal="center" vertical="center" wrapText="1"/>
    </xf>
    <xf numFmtId="0" fontId="0" fillId="0" borderId="0" xfId="0" applyBorder="1"/>
    <xf numFmtId="0" fontId="23" fillId="0" borderId="0" xfId="6" applyFont="1" applyFill="1" applyAlignment="1" applyProtection="1">
      <alignment horizontal="center"/>
    </xf>
    <xf numFmtId="0" fontId="58" fillId="0" borderId="0" xfId="14" applyFont="1" applyAlignment="1">
      <alignment horizontal="center"/>
    </xf>
    <xf numFmtId="165" fontId="26" fillId="4" borderId="7" xfId="9" applyNumberFormat="1" applyFont="1" applyFill="1" applyBorder="1" applyAlignment="1" applyProtection="1">
      <alignment vertical="center"/>
      <protection locked="0"/>
    </xf>
    <xf numFmtId="165" fontId="26" fillId="4" borderId="10" xfId="9" applyNumberFormat="1" applyFont="1" applyFill="1" applyBorder="1" applyAlignment="1" applyProtection="1">
      <alignment vertical="center"/>
      <protection locked="0"/>
    </xf>
    <xf numFmtId="165" fontId="26" fillId="4" borderId="43" xfId="9" applyNumberFormat="1" applyFont="1" applyFill="1" applyBorder="1" applyAlignment="1" applyProtection="1">
      <alignment vertical="center"/>
      <protection locked="0"/>
    </xf>
    <xf numFmtId="165" fontId="26" fillId="4" borderId="62" xfId="9" applyNumberFormat="1" applyFont="1" applyFill="1" applyBorder="1" applyAlignment="1" applyProtection="1">
      <alignment vertical="center"/>
      <protection locked="0"/>
    </xf>
    <xf numFmtId="0" fontId="25" fillId="0" borderId="17" xfId="8" applyFont="1" applyBorder="1" applyAlignment="1" applyProtection="1">
      <alignment horizontal="center" vertical="top"/>
    </xf>
    <xf numFmtId="17" fontId="26" fillId="0" borderId="8" xfId="9" applyNumberFormat="1" applyFont="1" applyFill="1" applyBorder="1" applyAlignment="1" applyProtection="1">
      <alignment horizontal="center" vertical="top"/>
    </xf>
    <xf numFmtId="0" fontId="14" fillId="0" borderId="11" xfId="5" applyFont="1" applyFill="1" applyBorder="1" applyAlignment="1" applyProtection="1">
      <alignment vertical="center"/>
    </xf>
    <xf numFmtId="0" fontId="22" fillId="5" borderId="20" xfId="0" applyFont="1" applyFill="1" applyBorder="1" applyAlignment="1" applyProtection="1">
      <alignment horizontal="center" vertical="center" wrapText="1"/>
    </xf>
    <xf numFmtId="0" fontId="26" fillId="0" borderId="4" xfId="9" applyFont="1" applyFill="1" applyBorder="1" applyProtection="1"/>
    <xf numFmtId="0" fontId="23" fillId="0" borderId="0" xfId="0" applyFont="1" applyAlignment="1">
      <alignment vertical="center"/>
    </xf>
    <xf numFmtId="2" fontId="26" fillId="7" borderId="4" xfId="9" applyNumberFormat="1" applyFont="1" applyFill="1" applyBorder="1" applyAlignment="1" applyProtection="1">
      <alignment horizontal="right"/>
    </xf>
    <xf numFmtId="165" fontId="59" fillId="0" borderId="0" xfId="6" applyNumberFormat="1" applyFont="1" applyAlignment="1" applyProtection="1">
      <alignment vertical="center"/>
    </xf>
    <xf numFmtId="10" fontId="26" fillId="7" borderId="31" xfId="9" applyNumberFormat="1" applyFont="1" applyFill="1" applyBorder="1" applyAlignment="1" applyProtection="1">
      <alignment vertical="center"/>
    </xf>
    <xf numFmtId="165" fontId="26" fillId="7" borderId="18" xfId="9" applyNumberFormat="1" applyFont="1" applyFill="1" applyBorder="1" applyAlignment="1" applyProtection="1">
      <alignment vertical="center"/>
    </xf>
    <xf numFmtId="10" fontId="26" fillId="7" borderId="32" xfId="9" applyNumberFormat="1" applyFont="1" applyFill="1" applyBorder="1" applyAlignment="1" applyProtection="1">
      <alignment vertical="center"/>
    </xf>
    <xf numFmtId="2" fontId="26" fillId="7" borderId="32" xfId="9" applyNumberFormat="1" applyFont="1" applyFill="1" applyBorder="1" applyAlignment="1" applyProtection="1">
      <alignment vertical="center"/>
    </xf>
    <xf numFmtId="2" fontId="26" fillId="7" borderId="30" xfId="9" applyNumberFormat="1" applyFont="1" applyFill="1" applyBorder="1" applyAlignment="1" applyProtection="1">
      <alignment vertical="center"/>
    </xf>
    <xf numFmtId="10" fontId="26" fillId="4" borderId="5" xfId="2" applyNumberFormat="1" applyFont="1" applyFill="1" applyBorder="1" applyProtection="1">
      <protection locked="0"/>
    </xf>
    <xf numFmtId="10" fontId="26" fillId="4" borderId="7" xfId="2" applyNumberFormat="1" applyFont="1" applyFill="1" applyBorder="1" applyProtection="1">
      <protection locked="0"/>
    </xf>
    <xf numFmtId="10" fontId="26" fillId="4" borderId="46" xfId="2" applyNumberFormat="1" applyFont="1" applyFill="1" applyBorder="1" applyProtection="1">
      <protection locked="0"/>
    </xf>
    <xf numFmtId="10" fontId="26" fillId="4" borderId="50" xfId="2" applyNumberFormat="1" applyFont="1" applyFill="1" applyBorder="1" applyProtection="1">
      <protection locked="0"/>
    </xf>
    <xf numFmtId="10" fontId="26" fillId="4" borderId="8" xfId="2" applyNumberFormat="1" applyFont="1" applyFill="1" applyBorder="1" applyProtection="1">
      <protection locked="0"/>
    </xf>
    <xf numFmtId="10" fontId="26" fillId="4" borderId="10" xfId="2" applyNumberFormat="1" applyFont="1" applyFill="1" applyBorder="1" applyProtection="1">
      <protection locked="0"/>
    </xf>
    <xf numFmtId="10" fontId="26" fillId="4" borderId="43" xfId="2" applyNumberFormat="1" applyFont="1" applyFill="1" applyBorder="1" applyProtection="1">
      <protection locked="0"/>
    </xf>
    <xf numFmtId="10" fontId="26" fillId="4" borderId="62" xfId="2" applyNumberFormat="1" applyFont="1" applyFill="1" applyBorder="1" applyProtection="1">
      <protection locked="0"/>
    </xf>
    <xf numFmtId="10" fontId="26" fillId="4" borderId="11" xfId="2" applyNumberFormat="1" applyFont="1" applyFill="1" applyBorder="1" applyProtection="1">
      <protection locked="0"/>
    </xf>
    <xf numFmtId="10" fontId="26" fillId="4" borderId="13" xfId="2" applyNumberFormat="1" applyFont="1" applyFill="1" applyBorder="1" applyProtection="1">
      <protection locked="0"/>
    </xf>
    <xf numFmtId="10" fontId="26" fillId="4" borderId="2" xfId="2" applyNumberFormat="1" applyFont="1" applyFill="1" applyBorder="1" applyProtection="1">
      <protection locked="0"/>
    </xf>
    <xf numFmtId="10" fontId="26" fillId="4" borderId="4" xfId="2" applyNumberFormat="1" applyFont="1" applyFill="1" applyBorder="1" applyProtection="1">
      <protection locked="0"/>
    </xf>
    <xf numFmtId="0" fontId="19" fillId="0" borderId="0" xfId="11" applyFont="1" applyFill="1" applyAlignment="1" applyProtection="1">
      <alignment vertical="center"/>
    </xf>
    <xf numFmtId="0" fontId="10" fillId="0" borderId="0" xfId="6" applyFont="1" applyFill="1" applyBorder="1" applyAlignment="1" applyProtection="1">
      <alignment horizontal="center" vertical="center"/>
    </xf>
    <xf numFmtId="0" fontId="10" fillId="3" borderId="51" xfId="6" applyFont="1" applyFill="1" applyBorder="1" applyAlignment="1" applyProtection="1">
      <alignment horizontal="center" vertical="center" wrapText="1"/>
    </xf>
    <xf numFmtId="0" fontId="10" fillId="0" borderId="0" xfId="6" applyFont="1" applyFill="1" applyBorder="1" applyAlignment="1" applyProtection="1">
      <alignment horizontal="left" vertical="center"/>
    </xf>
    <xf numFmtId="0" fontId="10" fillId="0" borderId="0" xfId="6" applyFont="1" applyFill="1" applyBorder="1" applyAlignment="1" applyProtection="1">
      <alignment horizontal="center" vertical="center" wrapText="1"/>
    </xf>
    <xf numFmtId="0" fontId="60" fillId="0" borderId="0" xfId="18" applyFont="1" applyFill="1" applyBorder="1"/>
    <xf numFmtId="0" fontId="10" fillId="15" borderId="55" xfId="6" applyFont="1" applyFill="1" applyBorder="1" applyAlignment="1" applyProtection="1">
      <alignment horizontal="center" vertical="center"/>
    </xf>
    <xf numFmtId="0" fontId="10" fillId="15" borderId="16" xfId="6" applyFont="1" applyFill="1" applyBorder="1" applyAlignment="1" applyProtection="1">
      <alignment vertical="center"/>
    </xf>
    <xf numFmtId="0" fontId="60" fillId="0" borderId="0" xfId="18" applyFont="1" applyFill="1" applyBorder="1" applyAlignment="1" applyProtection="1">
      <alignment vertical="center"/>
    </xf>
    <xf numFmtId="0" fontId="61" fillId="0" borderId="5" xfId="6" applyFont="1" applyFill="1" applyBorder="1" applyAlignment="1" applyProtection="1">
      <alignment horizontal="center" vertical="center"/>
    </xf>
    <xf numFmtId="0" fontId="62" fillId="0" borderId="6" xfId="6" applyFont="1" applyFill="1" applyBorder="1" applyAlignment="1" applyProtection="1">
      <alignment vertical="center"/>
    </xf>
    <xf numFmtId="0" fontId="63" fillId="0" borderId="6" xfId="6" applyFont="1" applyFill="1" applyBorder="1" applyAlignment="1" applyProtection="1">
      <alignment horizontal="center" vertical="center"/>
    </xf>
    <xf numFmtId="0" fontId="63" fillId="0" borderId="7" xfId="6" applyFont="1" applyFill="1" applyBorder="1" applyAlignment="1" applyProtection="1">
      <alignment horizontal="center" vertical="center"/>
    </xf>
    <xf numFmtId="165" fontId="61" fillId="16" borderId="5" xfId="6" applyNumberFormat="1" applyFont="1" applyFill="1" applyBorder="1" applyAlignment="1" applyProtection="1">
      <alignment vertical="center"/>
      <protection locked="0"/>
    </xf>
    <xf numFmtId="165" fontId="61" fillId="16" borderId="6" xfId="6" applyNumberFormat="1" applyFont="1" applyFill="1" applyBorder="1" applyAlignment="1" applyProtection="1">
      <alignment vertical="center"/>
      <protection locked="0"/>
    </xf>
    <xf numFmtId="165" fontId="61" fillId="17" borderId="31" xfId="6" applyNumberFormat="1" applyFont="1" applyFill="1" applyBorder="1" applyAlignment="1" applyProtection="1">
      <alignment vertical="center"/>
    </xf>
    <xf numFmtId="0" fontId="19" fillId="16" borderId="31" xfId="19" applyNumberFormat="1" applyFont="1" applyFill="1" applyBorder="1" applyAlignment="1" applyProtection="1">
      <alignment vertical="center" wrapText="1"/>
      <protection locked="0"/>
    </xf>
    <xf numFmtId="0" fontId="17" fillId="0" borderId="0" xfId="0" applyFont="1" applyAlignment="1">
      <alignment horizontal="center" vertical="center"/>
    </xf>
    <xf numFmtId="0" fontId="4" fillId="0" borderId="0" xfId="6" applyBorder="1" applyAlignment="1" applyProtection="1">
      <alignment vertical="center"/>
    </xf>
    <xf numFmtId="0" fontId="61" fillId="0" borderId="8" xfId="6" applyFont="1" applyFill="1" applyBorder="1" applyAlignment="1" applyProtection="1">
      <alignment horizontal="center" vertical="center"/>
    </xf>
    <xf numFmtId="0" fontId="62" fillId="0" borderId="9" xfId="6" applyFont="1" applyFill="1" applyBorder="1" applyAlignment="1" applyProtection="1">
      <alignment vertical="center"/>
    </xf>
    <xf numFmtId="0" fontId="63" fillId="0" borderId="9" xfId="6" applyFont="1" applyFill="1" applyBorder="1" applyAlignment="1" applyProtection="1">
      <alignment horizontal="center" vertical="center"/>
    </xf>
    <xf numFmtId="0" fontId="63" fillId="0" borderId="10" xfId="6" applyFont="1" applyFill="1" applyBorder="1" applyAlignment="1" applyProtection="1">
      <alignment horizontal="center" vertical="center"/>
    </xf>
    <xf numFmtId="165" fontId="61" fillId="16" borderId="8" xfId="6" applyNumberFormat="1" applyFont="1" applyFill="1" applyBorder="1" applyAlignment="1" applyProtection="1">
      <alignment vertical="center"/>
      <protection locked="0"/>
    </xf>
    <xf numFmtId="165" fontId="61" fillId="16" borderId="9" xfId="6" applyNumberFormat="1" applyFont="1" applyFill="1" applyBorder="1" applyAlignment="1" applyProtection="1">
      <alignment vertical="center"/>
      <protection locked="0"/>
    </xf>
    <xf numFmtId="165" fontId="61" fillId="17" borderId="32" xfId="6" applyNumberFormat="1" applyFont="1" applyFill="1" applyBorder="1" applyAlignment="1" applyProtection="1">
      <alignment vertical="center"/>
    </xf>
    <xf numFmtId="0" fontId="19" fillId="16" borderId="32" xfId="19" applyNumberFormat="1" applyFont="1" applyFill="1" applyBorder="1" applyAlignment="1" applyProtection="1">
      <alignment vertical="center" wrapText="1"/>
      <protection locked="0"/>
    </xf>
    <xf numFmtId="0" fontId="64" fillId="0" borderId="9" xfId="6" applyFont="1" applyFill="1" applyBorder="1" applyAlignment="1" applyProtection="1">
      <alignment vertical="center"/>
    </xf>
    <xf numFmtId="0" fontId="64" fillId="0" borderId="38" xfId="6" applyFont="1" applyFill="1" applyBorder="1" applyAlignment="1" applyProtection="1">
      <alignment vertical="center"/>
    </xf>
    <xf numFmtId="0" fontId="17" fillId="0" borderId="38" xfId="6" applyFont="1" applyFill="1" applyBorder="1" applyAlignment="1" applyProtection="1">
      <alignment horizontal="center" vertical="center"/>
    </xf>
    <xf numFmtId="0" fontId="17" fillId="0" borderId="29" xfId="6" applyFont="1" applyFill="1" applyBorder="1" applyAlignment="1" applyProtection="1">
      <alignment horizontal="center" vertical="center"/>
    </xf>
    <xf numFmtId="165" fontId="61" fillId="0" borderId="29" xfId="6" applyNumberFormat="1" applyFont="1" applyFill="1" applyBorder="1" applyAlignment="1" applyProtection="1">
      <alignment vertical="center"/>
    </xf>
    <xf numFmtId="0" fontId="26" fillId="0" borderId="8" xfId="6" applyFont="1" applyFill="1" applyBorder="1" applyAlignment="1" applyProtection="1">
      <alignment horizontal="center" vertical="center"/>
    </xf>
    <xf numFmtId="0" fontId="19" fillId="0" borderId="9" xfId="6" applyFont="1" applyFill="1" applyBorder="1" applyAlignment="1" applyProtection="1">
      <alignment vertical="center"/>
    </xf>
    <xf numFmtId="0" fontId="17" fillId="0" borderId="10" xfId="6" applyFont="1" applyFill="1" applyBorder="1" applyAlignment="1" applyProtection="1">
      <alignment horizontal="center" vertical="center"/>
    </xf>
    <xf numFmtId="0" fontId="61" fillId="0" borderId="11" xfId="6" applyFont="1" applyFill="1" applyBorder="1" applyAlignment="1" applyProtection="1">
      <alignment horizontal="center" vertical="center"/>
    </xf>
    <xf numFmtId="0" fontId="62" fillId="0" borderId="12" xfId="6" applyFont="1" applyFill="1" applyBorder="1" applyAlignment="1" applyProtection="1">
      <alignment vertical="center"/>
    </xf>
    <xf numFmtId="0" fontId="63" fillId="0" borderId="12" xfId="6" applyFont="1" applyFill="1" applyBorder="1" applyAlignment="1" applyProtection="1">
      <alignment horizontal="center" vertical="center"/>
    </xf>
    <xf numFmtId="0" fontId="63" fillId="0" borderId="13" xfId="6" applyFont="1" applyFill="1" applyBorder="1" applyAlignment="1" applyProtection="1">
      <alignment horizontal="center" vertical="center"/>
    </xf>
    <xf numFmtId="165" fontId="26" fillId="17" borderId="11" xfId="11" applyNumberFormat="1" applyFont="1" applyFill="1" applyBorder="1" applyProtection="1"/>
    <xf numFmtId="165" fontId="26" fillId="17" borderId="12" xfId="11" applyNumberFormat="1" applyFont="1" applyFill="1" applyBorder="1" applyProtection="1"/>
    <xf numFmtId="165" fontId="61" fillId="17" borderId="30" xfId="6" applyNumberFormat="1" applyFont="1" applyFill="1" applyBorder="1" applyAlignment="1" applyProtection="1">
      <alignment vertical="center"/>
    </xf>
    <xf numFmtId="0" fontId="19" fillId="16" borderId="30" xfId="19" applyNumberFormat="1" applyFont="1" applyFill="1" applyBorder="1" applyAlignment="1" applyProtection="1">
      <alignment vertical="center" wrapText="1"/>
      <protection locked="0"/>
    </xf>
    <xf numFmtId="0" fontId="60" fillId="0" borderId="0" xfId="18" applyFont="1" applyFill="1" applyBorder="1" applyProtection="1"/>
    <xf numFmtId="165" fontId="61" fillId="16" borderId="5" xfId="20" applyNumberFormat="1" applyFont="1" applyFill="1" applyBorder="1" applyAlignment="1" applyProtection="1">
      <alignment vertical="center"/>
      <protection locked="0"/>
    </xf>
    <xf numFmtId="165" fontId="61" fillId="16" borderId="6" xfId="20" applyNumberFormat="1" applyFont="1" applyFill="1" applyBorder="1" applyAlignment="1" applyProtection="1">
      <alignment vertical="center"/>
      <protection locked="0"/>
    </xf>
    <xf numFmtId="165" fontId="61" fillId="16" borderId="8" xfId="20" applyNumberFormat="1" applyFont="1" applyFill="1" applyBorder="1" applyAlignment="1" applyProtection="1">
      <alignment vertical="center"/>
      <protection locked="0"/>
    </xf>
    <xf numFmtId="165" fontId="61" fillId="16" borderId="9" xfId="20" applyNumberFormat="1" applyFont="1" applyFill="1" applyBorder="1" applyAlignment="1" applyProtection="1">
      <alignment vertical="center"/>
      <protection locked="0"/>
    </xf>
    <xf numFmtId="165" fontId="61" fillId="17" borderId="8" xfId="6" applyNumberFormat="1" applyFont="1" applyFill="1" applyBorder="1" applyAlignment="1" applyProtection="1">
      <alignment vertical="center"/>
    </xf>
    <xf numFmtId="0" fontId="63" fillId="0" borderId="38" xfId="6" applyFont="1" applyFill="1" applyBorder="1" applyAlignment="1" applyProtection="1">
      <alignment horizontal="center" vertical="center"/>
    </xf>
    <xf numFmtId="165" fontId="61" fillId="17" borderId="11" xfId="6" applyNumberFormat="1" applyFont="1" applyFill="1" applyBorder="1" applyAlignment="1" applyProtection="1">
      <alignment vertical="center"/>
    </xf>
    <xf numFmtId="0" fontId="65" fillId="0" borderId="0" xfId="6" applyFont="1" applyFill="1" applyBorder="1" applyAlignment="1" applyProtection="1">
      <alignment vertical="center"/>
    </xf>
    <xf numFmtId="0" fontId="63" fillId="0" borderId="36" xfId="6" applyFont="1" applyFill="1" applyBorder="1" applyAlignment="1" applyProtection="1">
      <alignment horizontal="center" vertical="center"/>
    </xf>
    <xf numFmtId="165" fontId="61" fillId="16" borderId="36" xfId="6" applyNumberFormat="1" applyFont="1" applyFill="1" applyBorder="1" applyAlignment="1" applyProtection="1">
      <alignment vertical="center"/>
      <protection locked="0"/>
    </xf>
    <xf numFmtId="0" fontId="19" fillId="16" borderId="171" xfId="19" applyNumberFormat="1" applyFont="1" applyFill="1" applyBorder="1" applyAlignment="1" applyProtection="1">
      <alignment vertical="center" wrapText="1"/>
      <protection locked="0"/>
    </xf>
    <xf numFmtId="165" fontId="61" fillId="16" borderId="38" xfId="6" applyNumberFormat="1" applyFont="1" applyFill="1" applyBorder="1" applyAlignment="1" applyProtection="1">
      <alignment vertical="center"/>
      <protection locked="0"/>
    </xf>
    <xf numFmtId="0" fontId="19" fillId="16" borderId="49" xfId="19" applyNumberFormat="1" applyFont="1" applyFill="1" applyBorder="1" applyAlignment="1" applyProtection="1">
      <alignment vertical="center" wrapText="1"/>
      <protection locked="0"/>
    </xf>
    <xf numFmtId="0" fontId="63" fillId="0" borderId="40" xfId="6" applyFont="1" applyFill="1" applyBorder="1" applyAlignment="1" applyProtection="1">
      <alignment horizontal="center" vertical="center"/>
    </xf>
    <xf numFmtId="165" fontId="61" fillId="17" borderId="12" xfId="6" applyNumberFormat="1" applyFont="1" applyFill="1" applyBorder="1" applyAlignment="1" applyProtection="1">
      <alignment vertical="center"/>
    </xf>
    <xf numFmtId="165" fontId="61" fillId="17" borderId="40" xfId="6" applyNumberFormat="1" applyFont="1" applyFill="1" applyBorder="1" applyAlignment="1" applyProtection="1">
      <alignment vertical="center"/>
    </xf>
    <xf numFmtId="0" fontId="62" fillId="0" borderId="52" xfId="6" applyFont="1" applyFill="1" applyBorder="1" applyAlignment="1" applyProtection="1">
      <alignment vertical="center"/>
    </xf>
    <xf numFmtId="0" fontId="62" fillId="0" borderId="0" xfId="6" applyFont="1" applyFill="1" applyBorder="1" applyAlignment="1" applyProtection="1">
      <alignment vertical="center"/>
    </xf>
    <xf numFmtId="0" fontId="63" fillId="0" borderId="0" xfId="6" applyFont="1" applyFill="1" applyBorder="1" applyAlignment="1" applyProtection="1">
      <alignment horizontal="center" vertical="center"/>
    </xf>
    <xf numFmtId="165" fontId="61" fillId="0" borderId="0" xfId="6" applyNumberFormat="1" applyFont="1" applyFill="1" applyBorder="1" applyAlignment="1" applyProtection="1">
      <alignment vertical="center"/>
    </xf>
    <xf numFmtId="0" fontId="60" fillId="0" borderId="0" xfId="18" applyNumberFormat="1" applyFont="1" applyFill="1" applyBorder="1"/>
    <xf numFmtId="165" fontId="61" fillId="16" borderId="47" xfId="6" applyNumberFormat="1" applyFont="1" applyFill="1" applyBorder="1" applyAlignment="1" applyProtection="1">
      <alignment vertical="center"/>
      <protection locked="0"/>
    </xf>
    <xf numFmtId="0" fontId="19" fillId="16" borderId="172" xfId="19" applyNumberFormat="1" applyFont="1" applyFill="1" applyBorder="1" applyAlignment="1" applyProtection="1">
      <alignment vertical="center" wrapText="1"/>
      <protection locked="0"/>
    </xf>
    <xf numFmtId="0" fontId="61" fillId="0" borderId="46" xfId="6" applyFont="1" applyFill="1" applyBorder="1" applyAlignment="1" applyProtection="1">
      <alignment horizontal="center" vertical="center"/>
    </xf>
    <xf numFmtId="0" fontId="19" fillId="16" borderId="173" xfId="19" applyNumberFormat="1" applyFont="1" applyFill="1" applyBorder="1" applyAlignment="1" applyProtection="1">
      <alignment vertical="center" wrapText="1"/>
      <protection locked="0"/>
    </xf>
    <xf numFmtId="0" fontId="61" fillId="0" borderId="0" xfId="6" applyFont="1" applyFill="1" applyBorder="1" applyAlignment="1" applyProtection="1">
      <alignment horizontal="center" vertical="center"/>
    </xf>
    <xf numFmtId="0" fontId="66" fillId="15" borderId="1" xfId="6" applyFont="1" applyFill="1" applyBorder="1" applyAlignment="1" applyProtection="1">
      <alignment vertical="center"/>
    </xf>
    <xf numFmtId="0" fontId="61" fillId="0" borderId="2" xfId="6" applyFont="1" applyFill="1" applyBorder="1" applyAlignment="1" applyProtection="1">
      <alignment horizontal="center" vertical="center"/>
    </xf>
    <xf numFmtId="0" fontId="62" fillId="0" borderId="3" xfId="6" applyFont="1" applyFill="1" applyBorder="1" applyAlignment="1" applyProtection="1">
      <alignment vertical="center"/>
    </xf>
    <xf numFmtId="0" fontId="62" fillId="0" borderId="15" xfId="6" applyFont="1" applyFill="1" applyBorder="1" applyAlignment="1" applyProtection="1">
      <alignment vertical="center"/>
    </xf>
    <xf numFmtId="0" fontId="63" fillId="0" borderId="3" xfId="6" applyFont="1" applyFill="1" applyBorder="1" applyAlignment="1" applyProtection="1">
      <alignment horizontal="center" vertical="center"/>
    </xf>
    <xf numFmtId="0" fontId="63" fillId="0" borderId="4" xfId="6" applyFont="1" applyFill="1" applyBorder="1" applyAlignment="1" applyProtection="1">
      <alignment horizontal="center" vertical="center"/>
    </xf>
    <xf numFmtId="0" fontId="26" fillId="0" borderId="0" xfId="11" applyFont="1" applyFill="1" applyAlignment="1" applyProtection="1">
      <alignment vertical="center"/>
    </xf>
    <xf numFmtId="0" fontId="26" fillId="0" borderId="0" xfId="11" applyFont="1" applyFill="1" applyAlignment="1" applyProtection="1">
      <alignment horizontal="left" vertical="center"/>
    </xf>
    <xf numFmtId="0" fontId="26" fillId="4" borderId="9" xfId="11" applyFont="1" applyFill="1" applyBorder="1" applyProtection="1">
      <protection locked="0"/>
    </xf>
    <xf numFmtId="0" fontId="26" fillId="0" borderId="0" xfId="11" applyFont="1" applyFill="1" applyAlignment="1" applyProtection="1">
      <alignment horizontal="left"/>
    </xf>
    <xf numFmtId="0" fontId="26" fillId="7" borderId="9" xfId="11" applyFont="1" applyFill="1" applyBorder="1" applyProtection="1"/>
    <xf numFmtId="0" fontId="28" fillId="3" borderId="34" xfId="11" applyFont="1" applyFill="1" applyBorder="1" applyAlignment="1" applyProtection="1">
      <alignment horizontal="left" vertical="center"/>
    </xf>
    <xf numFmtId="0" fontId="28" fillId="3" borderId="34" xfId="11" applyFont="1" applyFill="1" applyBorder="1" applyAlignment="1" applyProtection="1">
      <alignment vertical="center"/>
    </xf>
    <xf numFmtId="0" fontId="28" fillId="3" borderId="35" xfId="11" applyFont="1" applyFill="1" applyBorder="1" applyAlignment="1" applyProtection="1">
      <alignment vertical="center"/>
    </xf>
    <xf numFmtId="0" fontId="28" fillId="0" borderId="0" xfId="11" applyFont="1" applyFill="1" applyBorder="1" applyAlignment="1" applyProtection="1">
      <alignment vertical="center"/>
    </xf>
    <xf numFmtId="0" fontId="27" fillId="0" borderId="0" xfId="0" applyNumberFormat="1" applyFont="1" applyFill="1" applyBorder="1" applyAlignment="1" applyProtection="1">
      <alignment vertical="center"/>
    </xf>
    <xf numFmtId="0" fontId="28" fillId="0" borderId="0" xfId="11" applyFont="1" applyFill="1" applyBorder="1" applyAlignment="1" applyProtection="1">
      <alignment horizontal="left" vertical="center"/>
    </xf>
    <xf numFmtId="0" fontId="15" fillId="0" borderId="68" xfId="11" applyFont="1" applyFill="1" applyBorder="1" applyAlignment="1" applyProtection="1">
      <alignment horizontal="center" vertical="top"/>
    </xf>
    <xf numFmtId="0" fontId="15" fillId="0" borderId="0" xfId="11" applyFont="1" applyFill="1" applyBorder="1" applyAlignment="1" applyProtection="1">
      <alignment horizontal="left" vertical="top"/>
    </xf>
    <xf numFmtId="0" fontId="26" fillId="0" borderId="66" xfId="11" applyFont="1" applyFill="1" applyBorder="1" applyAlignment="1" applyProtection="1">
      <alignment horizontal="left" vertical="top"/>
    </xf>
    <xf numFmtId="0" fontId="26" fillId="0" borderId="0" xfId="11" applyFont="1" applyFill="1" applyBorder="1" applyAlignment="1" applyProtection="1">
      <alignment horizontal="left" vertical="top" wrapText="1"/>
    </xf>
    <xf numFmtId="0" fontId="26" fillId="0" borderId="84" xfId="11" applyFont="1" applyFill="1" applyBorder="1" applyAlignment="1" applyProtection="1">
      <alignment horizontal="left" vertical="top"/>
    </xf>
    <xf numFmtId="0" fontId="26" fillId="0" borderId="92" xfId="11" applyNumberFormat="1" applyFont="1" applyFill="1" applyBorder="1" applyAlignment="1" applyProtection="1">
      <alignment horizontal="left" vertical="top"/>
    </xf>
    <xf numFmtId="0" fontId="26" fillId="0" borderId="0" xfId="11" applyFont="1" applyFill="1" applyBorder="1" applyAlignment="1" applyProtection="1">
      <alignment horizontal="left" vertical="top"/>
    </xf>
    <xf numFmtId="0" fontId="67" fillId="19" borderId="0" xfId="11" applyFont="1" applyFill="1" applyBorder="1" applyAlignment="1">
      <alignment vertical="center"/>
    </xf>
    <xf numFmtId="0" fontId="68" fillId="0" borderId="0" xfId="17" applyFont="1" applyFill="1" applyBorder="1" applyProtection="1"/>
    <xf numFmtId="0" fontId="69" fillId="20" borderId="0" xfId="6" applyFont="1" applyFill="1" applyBorder="1" applyAlignment="1" applyProtection="1">
      <alignment vertical="center"/>
    </xf>
    <xf numFmtId="0" fontId="69" fillId="20" borderId="0" xfId="6" applyFont="1" applyFill="1" applyBorder="1" applyAlignment="1" applyProtection="1">
      <alignment horizontal="right" vertical="center"/>
    </xf>
    <xf numFmtId="0" fontId="71" fillId="0" borderId="0" xfId="18" applyFont="1" applyFill="1" applyBorder="1" applyAlignment="1" applyProtection="1">
      <alignment vertical="center"/>
    </xf>
    <xf numFmtId="0" fontId="72" fillId="0" borderId="0" xfId="18" applyFont="1" applyFill="1" applyBorder="1"/>
    <xf numFmtId="0" fontId="10" fillId="3" borderId="179" xfId="6" applyFont="1" applyFill="1" applyBorder="1" applyAlignment="1" applyProtection="1">
      <alignment horizontal="center" vertical="center" wrapText="1"/>
    </xf>
    <xf numFmtId="0" fontId="73" fillId="0" borderId="0" xfId="18" applyFont="1" applyFill="1" applyBorder="1" applyAlignment="1" applyProtection="1">
      <alignment horizontal="center" vertical="center"/>
    </xf>
    <xf numFmtId="0" fontId="73" fillId="0" borderId="0" xfId="18" applyFont="1" applyFill="1" applyBorder="1" applyAlignment="1">
      <alignment horizontal="center" vertical="center" wrapText="1"/>
    </xf>
    <xf numFmtId="165" fontId="61" fillId="0" borderId="9" xfId="6" applyNumberFormat="1" applyFont="1" applyFill="1" applyBorder="1" applyAlignment="1" applyProtection="1">
      <alignment vertical="center"/>
      <protection locked="0"/>
    </xf>
    <xf numFmtId="0" fontId="26" fillId="0" borderId="0" xfId="11" applyFont="1" applyFill="1" applyBorder="1" applyAlignment="1" applyProtection="1">
      <alignment horizontal="left" vertical="center"/>
    </xf>
    <xf numFmtId="0" fontId="26" fillId="16" borderId="9" xfId="11" applyFont="1" applyFill="1" applyBorder="1" applyProtection="1">
      <protection locked="0"/>
    </xf>
    <xf numFmtId="0" fontId="26" fillId="0" borderId="0" xfId="11" applyFont="1" applyFill="1" applyBorder="1" applyAlignment="1" applyProtection="1">
      <alignment horizontal="left"/>
    </xf>
    <xf numFmtId="0" fontId="26" fillId="17" borderId="9" xfId="11" applyFont="1" applyFill="1" applyBorder="1" applyProtection="1"/>
    <xf numFmtId="0" fontId="62" fillId="0" borderId="0" xfId="15" applyFont="1" applyFill="1" applyBorder="1" applyAlignment="1" applyProtection="1">
      <alignment vertical="center"/>
    </xf>
    <xf numFmtId="0" fontId="62" fillId="0" borderId="0" xfId="15" applyFont="1" applyFill="1" applyBorder="1" applyAlignment="1" applyProtection="1">
      <alignment horizontal="left" vertical="center"/>
    </xf>
    <xf numFmtId="0" fontId="74" fillId="19" borderId="0" xfId="11" applyFont="1" applyFill="1" applyBorder="1" applyAlignment="1">
      <alignment vertical="center"/>
    </xf>
    <xf numFmtId="0" fontId="70" fillId="19" borderId="0" xfId="11" applyFont="1" applyFill="1" applyBorder="1" applyAlignment="1">
      <alignment vertical="center"/>
    </xf>
    <xf numFmtId="0" fontId="70" fillId="19" borderId="0" xfId="15" applyFont="1" applyFill="1" applyBorder="1" applyAlignment="1">
      <alignment vertical="center"/>
    </xf>
    <xf numFmtId="0" fontId="70" fillId="0" borderId="0" xfId="21" applyFont="1" applyFill="1" applyBorder="1"/>
    <xf numFmtId="0" fontId="16" fillId="0" borderId="0" xfId="11" applyFont="1" applyFill="1" applyBorder="1" applyAlignment="1" applyProtection="1">
      <alignment vertical="center"/>
    </xf>
    <xf numFmtId="0" fontId="75" fillId="0" borderId="0" xfId="18" applyFont="1"/>
    <xf numFmtId="0" fontId="10" fillId="3" borderId="2" xfId="11" applyFont="1" applyFill="1" applyBorder="1" applyAlignment="1" applyProtection="1">
      <alignment horizontal="left" vertical="center"/>
    </xf>
    <xf numFmtId="0" fontId="10" fillId="3" borderId="3" xfId="11" applyFont="1" applyFill="1" applyBorder="1" applyAlignment="1" applyProtection="1">
      <alignment horizontal="left" vertical="center"/>
    </xf>
    <xf numFmtId="0" fontId="10" fillId="3" borderId="3" xfId="11" applyFont="1" applyFill="1" applyBorder="1" applyAlignment="1" applyProtection="1">
      <alignment horizontal="center" vertical="center"/>
    </xf>
    <xf numFmtId="0" fontId="10" fillId="3" borderId="4" xfId="0" applyFont="1" applyFill="1" applyBorder="1"/>
    <xf numFmtId="0" fontId="26" fillId="0" borderId="5" xfId="11" applyFont="1" applyFill="1" applyBorder="1" applyAlignment="1" applyProtection="1">
      <alignment horizontal="center" vertical="center"/>
    </xf>
    <xf numFmtId="0" fontId="62" fillId="0" borderId="47" xfId="0" applyFont="1" applyBorder="1" applyAlignment="1">
      <alignment vertical="center" wrapText="1"/>
    </xf>
    <xf numFmtId="0" fontId="17" fillId="0" borderId="6" xfId="11" applyFont="1" applyFill="1" applyBorder="1" applyAlignment="1" applyProtection="1">
      <alignment horizontal="center" vertical="center"/>
    </xf>
    <xf numFmtId="0" fontId="17" fillId="0" borderId="7" xfId="11" applyFont="1" applyFill="1" applyBorder="1" applyAlignment="1" applyProtection="1">
      <alignment horizontal="center" vertical="center"/>
    </xf>
    <xf numFmtId="165" fontId="19" fillId="4" borderId="5" xfId="2" applyNumberFormat="1" applyFont="1" applyFill="1" applyBorder="1" applyAlignment="1" applyProtection="1">
      <alignment vertical="center"/>
      <protection locked="0"/>
    </xf>
    <xf numFmtId="165" fontId="19" fillId="4" borderId="54" xfId="2" applyNumberFormat="1" applyFont="1" applyFill="1" applyBorder="1" applyAlignment="1" applyProtection="1">
      <alignment vertical="center"/>
      <protection locked="0"/>
    </xf>
    <xf numFmtId="0" fontId="26" fillId="0" borderId="46" xfId="11" applyFont="1" applyFill="1" applyBorder="1" applyAlignment="1" applyProtection="1">
      <alignment horizontal="center" vertical="center"/>
    </xf>
    <xf numFmtId="0" fontId="17" fillId="0" borderId="10" xfId="11" applyFont="1" applyFill="1" applyBorder="1" applyAlignment="1" applyProtection="1">
      <alignment horizontal="center" vertical="center"/>
    </xf>
    <xf numFmtId="165" fontId="19" fillId="4" borderId="113" xfId="2" applyNumberFormat="1" applyFont="1" applyFill="1" applyBorder="1" applyAlignment="1" applyProtection="1">
      <alignment vertical="center"/>
      <protection locked="0"/>
    </xf>
    <xf numFmtId="0" fontId="26" fillId="0" borderId="8" xfId="11" applyFont="1" applyFill="1" applyBorder="1" applyAlignment="1" applyProtection="1">
      <alignment horizontal="center" vertical="center"/>
    </xf>
    <xf numFmtId="0" fontId="62" fillId="0" borderId="9" xfId="11" applyFont="1" applyFill="1" applyBorder="1" applyAlignment="1">
      <alignment vertical="center" wrapText="1"/>
    </xf>
    <xf numFmtId="165" fontId="19" fillId="4" borderId="8" xfId="2" applyNumberFormat="1" applyFont="1" applyFill="1" applyBorder="1" applyAlignment="1" applyProtection="1">
      <alignment vertical="center"/>
      <protection locked="0"/>
    </xf>
    <xf numFmtId="165" fontId="19" fillId="4" borderId="56" xfId="2" applyNumberFormat="1" applyFont="1" applyFill="1" applyBorder="1" applyAlignment="1" applyProtection="1">
      <alignment vertical="center"/>
      <protection locked="0"/>
    </xf>
    <xf numFmtId="0" fontId="62" fillId="4" borderId="9" xfId="11" applyFont="1" applyFill="1" applyBorder="1" applyAlignment="1" applyProtection="1">
      <alignment vertical="center" wrapText="1"/>
      <protection locked="0"/>
    </xf>
    <xf numFmtId="0" fontId="26" fillId="0" borderId="11" xfId="11" applyFont="1" applyFill="1" applyBorder="1" applyAlignment="1" applyProtection="1">
      <alignment horizontal="center" vertical="center"/>
    </xf>
    <xf numFmtId="0" fontId="62" fillId="4" borderId="12" xfId="11" applyFont="1" applyFill="1" applyBorder="1" applyAlignment="1" applyProtection="1">
      <alignment vertical="center" wrapText="1"/>
      <protection locked="0"/>
    </xf>
    <xf numFmtId="0" fontId="17" fillId="0" borderId="12" xfId="11" applyFont="1" applyFill="1" applyBorder="1" applyAlignment="1" applyProtection="1">
      <alignment horizontal="center" vertical="center"/>
    </xf>
    <xf numFmtId="0" fontId="17" fillId="0" borderId="13" xfId="11" applyFont="1" applyFill="1" applyBorder="1" applyAlignment="1" applyProtection="1">
      <alignment horizontal="center" vertical="center"/>
    </xf>
    <xf numFmtId="165" fontId="19" fillId="4" borderId="11" xfId="2" applyNumberFormat="1" applyFont="1" applyFill="1" applyBorder="1" applyAlignment="1" applyProtection="1">
      <alignment vertical="center"/>
      <protection locked="0"/>
    </xf>
    <xf numFmtId="0" fontId="26" fillId="0" borderId="2" xfId="11" applyFont="1" applyFill="1" applyBorder="1" applyAlignment="1" applyProtection="1">
      <alignment horizontal="center" vertical="center"/>
    </xf>
    <xf numFmtId="0" fontId="62" fillId="0" borderId="3" xfId="11" applyFont="1" applyFill="1" applyBorder="1" applyAlignment="1">
      <alignment vertical="center" wrapText="1"/>
    </xf>
    <xf numFmtId="0" fontId="62" fillId="0" borderId="34" xfId="11" applyFont="1" applyFill="1" applyBorder="1" applyAlignment="1">
      <alignment vertical="center" wrapText="1"/>
    </xf>
    <xf numFmtId="165" fontId="19" fillId="21" borderId="2" xfId="11" applyNumberFormat="1" applyFont="1" applyFill="1" applyBorder="1" applyAlignment="1" applyProtection="1">
      <alignment vertical="center"/>
      <protection locked="0"/>
    </xf>
    <xf numFmtId="165" fontId="19" fillId="21" borderId="61" xfId="11" applyNumberFormat="1" applyFont="1" applyFill="1" applyBorder="1" applyAlignment="1" applyProtection="1">
      <alignment vertical="center"/>
      <protection locked="0"/>
    </xf>
    <xf numFmtId="0" fontId="26" fillId="0" borderId="0" xfId="11" applyFont="1" applyFill="1" applyBorder="1" applyAlignment="1" applyProtection="1">
      <alignment horizontal="center" vertical="center"/>
    </xf>
    <xf numFmtId="0" fontId="62" fillId="0" borderId="0" xfId="11" applyFont="1" applyFill="1" applyBorder="1" applyAlignment="1">
      <alignment vertical="center" wrapText="1"/>
    </xf>
    <xf numFmtId="0" fontId="19" fillId="0" borderId="0" xfId="11" applyFont="1" applyFill="1" applyBorder="1" applyAlignment="1" applyProtection="1">
      <alignment horizontal="center" vertical="center"/>
    </xf>
    <xf numFmtId="0" fontId="17" fillId="0" borderId="0" xfId="11" applyFont="1" applyFill="1" applyBorder="1" applyAlignment="1" applyProtection="1">
      <alignment horizontal="center" vertical="center"/>
    </xf>
    <xf numFmtId="1" fontId="19" fillId="0" borderId="0" xfId="11" applyNumberFormat="1" applyFont="1" applyFill="1" applyBorder="1" applyAlignment="1" applyProtection="1">
      <alignment vertical="center"/>
      <protection locked="0"/>
    </xf>
    <xf numFmtId="165" fontId="19" fillId="0" borderId="0" xfId="11" applyNumberFormat="1" applyFont="1" applyFill="1" applyBorder="1" applyAlignment="1" applyProtection="1">
      <alignment vertical="center"/>
      <protection locked="0"/>
    </xf>
    <xf numFmtId="0" fontId="19" fillId="0" borderId="0" xfId="11" applyFont="1" applyFill="1" applyBorder="1" applyAlignment="1" applyProtection="1">
      <alignment vertical="center"/>
    </xf>
    <xf numFmtId="0" fontId="12" fillId="0" borderId="0" xfId="11" applyFont="1" applyFill="1" applyBorder="1" applyAlignment="1">
      <alignment vertical="top"/>
    </xf>
    <xf numFmtId="171" fontId="19" fillId="0" borderId="0" xfId="2" applyNumberFormat="1" applyFont="1" applyFill="1" applyBorder="1" applyAlignment="1" applyProtection="1">
      <alignment vertical="center"/>
      <protection locked="0"/>
    </xf>
    <xf numFmtId="0" fontId="4" fillId="0" borderId="0" xfId="6" applyFill="1" applyBorder="1" applyAlignment="1" applyProtection="1">
      <alignment vertical="center"/>
    </xf>
    <xf numFmtId="0" fontId="19" fillId="0" borderId="0" xfId="11" applyFont="1" applyFill="1" applyAlignment="1" applyProtection="1">
      <alignment horizontal="left" vertical="center"/>
    </xf>
    <xf numFmtId="0" fontId="15" fillId="0" borderId="54" xfId="11" applyFont="1" applyFill="1" applyBorder="1" applyAlignment="1" applyProtection="1">
      <alignment horizontal="center" vertical="center"/>
    </xf>
    <xf numFmtId="0" fontId="77" fillId="0" borderId="0" xfId="0" applyFont="1" applyBorder="1" applyAlignment="1">
      <alignment horizontal="left" vertical="center" wrapText="1"/>
    </xf>
    <xf numFmtId="0" fontId="26" fillId="0" borderId="54" xfId="11" applyFont="1" applyFill="1" applyBorder="1" applyAlignment="1" applyProtection="1">
      <alignment horizontal="left" vertical="top"/>
    </xf>
    <xf numFmtId="0" fontId="0" fillId="0" borderId="0" xfId="0" applyBorder="1" applyAlignment="1">
      <alignment horizontal="left" vertical="top" wrapText="1"/>
    </xf>
    <xf numFmtId="9" fontId="62" fillId="0" borderId="0" xfId="11" applyNumberFormat="1" applyFont="1" applyFill="1" applyBorder="1" applyAlignment="1">
      <alignment horizontal="left" vertical="center" wrapText="1"/>
    </xf>
    <xf numFmtId="0" fontId="26" fillId="0" borderId="113" xfId="11" applyFont="1" applyFill="1" applyBorder="1" applyAlignment="1" applyProtection="1">
      <alignment horizontal="left" vertical="top"/>
    </xf>
    <xf numFmtId="0" fontId="26"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6" fillId="0" borderId="57" xfId="11" applyFont="1" applyFill="1" applyBorder="1" applyAlignment="1" applyProtection="1">
      <alignment horizontal="left" vertical="top"/>
    </xf>
    <xf numFmtId="0" fontId="78" fillId="0" borderId="0" xfId="18" applyFont="1"/>
    <xf numFmtId="0" fontId="7" fillId="2" borderId="203" xfId="6" applyFont="1" applyFill="1" applyBorder="1" applyAlignment="1" applyProtection="1">
      <alignment vertical="center"/>
    </xf>
    <xf numFmtId="0" fontId="7" fillId="2" borderId="204" xfId="18" applyFont="1" applyFill="1" applyBorder="1" applyAlignment="1" applyProtection="1">
      <alignment vertical="center"/>
    </xf>
    <xf numFmtId="0" fontId="7" fillId="2" borderId="0" xfId="18" applyFont="1" applyFill="1" applyBorder="1" applyAlignment="1" applyProtection="1">
      <alignment vertical="center"/>
    </xf>
    <xf numFmtId="0" fontId="70" fillId="0" borderId="0" xfId="11" applyFont="1" applyFill="1" applyBorder="1" applyAlignment="1" applyProtection="1">
      <alignment vertical="center"/>
    </xf>
    <xf numFmtId="0" fontId="79" fillId="0" borderId="0" xfId="18" applyFont="1"/>
    <xf numFmtId="0" fontId="10" fillId="3" borderId="2" xfId="11" applyFont="1" applyFill="1" applyBorder="1" applyAlignment="1" applyProtection="1">
      <alignment horizontal="center" vertical="center"/>
    </xf>
    <xf numFmtId="0" fontId="10" fillId="3" borderId="4" xfId="11" applyFont="1" applyFill="1" applyBorder="1" applyAlignment="1" applyProtection="1">
      <alignment horizontal="center" vertical="center"/>
    </xf>
    <xf numFmtId="0" fontId="79" fillId="0" borderId="0" xfId="18" applyFont="1" applyFill="1"/>
    <xf numFmtId="0" fontId="10" fillId="0" borderId="53" xfId="11" applyFont="1" applyFill="1" applyBorder="1" applyAlignment="1" applyProtection="1">
      <alignment horizontal="left" vertical="center"/>
    </xf>
    <xf numFmtId="0" fontId="10" fillId="0" borderId="0" xfId="11" applyFont="1" applyFill="1" applyBorder="1" applyAlignment="1" applyProtection="1">
      <alignment horizontal="left" vertical="center"/>
    </xf>
    <xf numFmtId="0" fontId="10" fillId="0" borderId="0" xfId="11" applyFont="1" applyFill="1" applyBorder="1" applyAlignment="1" applyProtection="1">
      <alignment horizontal="center" vertical="center"/>
    </xf>
    <xf numFmtId="0" fontId="79" fillId="0" borderId="0" xfId="18" applyFont="1" applyFill="1" applyBorder="1"/>
    <xf numFmtId="0" fontId="80" fillId="0" borderId="206" xfId="11" applyFont="1" applyFill="1" applyBorder="1" applyAlignment="1" applyProtection="1">
      <alignment horizontal="center" vertical="center"/>
    </xf>
    <xf numFmtId="0" fontId="80" fillId="0" borderId="0" xfId="18" applyFont="1" applyFill="1" applyBorder="1"/>
    <xf numFmtId="0" fontId="10" fillId="3" borderId="45" xfId="6" applyFont="1" applyFill="1" applyBorder="1" applyAlignment="1" applyProtection="1">
      <alignment horizontal="center" vertical="center" wrapText="1"/>
    </xf>
    <xf numFmtId="0" fontId="10" fillId="3" borderId="4" xfId="22" applyFont="1" applyFill="1" applyBorder="1"/>
    <xf numFmtId="165" fontId="19" fillId="4" borderId="5" xfId="19" applyNumberFormat="1" applyFont="1" applyFill="1" applyBorder="1" applyAlignment="1" applyProtection="1">
      <alignment vertical="center"/>
      <protection locked="0"/>
    </xf>
    <xf numFmtId="165" fontId="23" fillId="7" borderId="18" xfId="6" applyNumberFormat="1" applyFont="1" applyFill="1" applyBorder="1" applyAlignment="1" applyProtection="1">
      <alignment vertical="center"/>
    </xf>
    <xf numFmtId="165" fontId="19" fillId="4" borderId="8" xfId="19" applyNumberFormat="1" applyFont="1" applyFill="1" applyBorder="1" applyAlignment="1" applyProtection="1">
      <alignment vertical="center"/>
      <protection locked="0"/>
    </xf>
    <xf numFmtId="165" fontId="12" fillId="4" borderId="9" xfId="6" applyNumberFormat="1" applyFont="1" applyFill="1" applyBorder="1" applyAlignment="1" applyProtection="1">
      <alignment vertical="center" wrapText="1"/>
      <protection locked="0"/>
    </xf>
    <xf numFmtId="0" fontId="26" fillId="0" borderId="43" xfId="11" applyFont="1" applyFill="1" applyBorder="1" applyAlignment="1" applyProtection="1">
      <alignment horizontal="center" vertical="center"/>
    </xf>
    <xf numFmtId="165" fontId="19" fillId="4" borderId="12" xfId="23" applyNumberFormat="1" applyFont="1" applyFill="1" applyBorder="1" applyAlignment="1" applyProtection="1">
      <alignment vertical="center" wrapText="1"/>
      <protection locked="0"/>
    </xf>
    <xf numFmtId="165" fontId="19" fillId="4" borderId="11" xfId="19" applyNumberFormat="1" applyFont="1" applyFill="1" applyBorder="1" applyAlignment="1" applyProtection="1">
      <alignment vertical="center"/>
      <protection locked="0"/>
    </xf>
    <xf numFmtId="165" fontId="23" fillId="7" borderId="109" xfId="6" applyNumberFormat="1" applyFont="1" applyFill="1" applyBorder="1" applyAlignment="1" applyProtection="1">
      <alignment vertical="center"/>
    </xf>
    <xf numFmtId="0" fontId="37" fillId="0" borderId="0" xfId="11" applyFont="1" applyFill="1" applyAlignment="1" applyProtection="1">
      <alignment horizontal="left" vertical="center"/>
    </xf>
    <xf numFmtId="0" fontId="19" fillId="9" borderId="0" xfId="15" applyFill="1" applyAlignment="1">
      <alignment vertical="center"/>
    </xf>
    <xf numFmtId="0" fontId="19" fillId="9" borderId="0" xfId="11" applyFill="1" applyAlignment="1">
      <alignment vertical="center"/>
    </xf>
    <xf numFmtId="0" fontId="15" fillId="0" borderId="5" xfId="11" applyFont="1" applyFill="1" applyBorder="1" applyAlignment="1" applyProtection="1">
      <alignment horizontal="center" vertical="center"/>
    </xf>
    <xf numFmtId="0" fontId="26" fillId="0" borderId="5" xfId="11" applyFont="1" applyFill="1" applyBorder="1" applyAlignment="1" applyProtection="1">
      <alignment horizontal="center" vertical="top"/>
    </xf>
    <xf numFmtId="0" fontId="26" fillId="0" borderId="8" xfId="11" applyFont="1" applyFill="1" applyBorder="1" applyAlignment="1" applyProtection="1">
      <alignment horizontal="center" vertical="top"/>
    </xf>
    <xf numFmtId="0" fontId="26" fillId="0" borderId="11" xfId="11" applyFont="1" applyFill="1" applyBorder="1" applyAlignment="1" applyProtection="1">
      <alignment horizontal="center" vertical="top"/>
    </xf>
    <xf numFmtId="0" fontId="79" fillId="0" borderId="0" xfId="22" applyFont="1" applyAlignment="1">
      <alignment horizontal="center" vertical="top"/>
    </xf>
    <xf numFmtId="0" fontId="75" fillId="0" borderId="0" xfId="18" applyFont="1" applyFill="1" applyBorder="1"/>
    <xf numFmtId="0" fontId="81" fillId="0" borderId="0" xfId="11" applyFont="1" applyFill="1" applyBorder="1" applyAlignment="1" applyProtection="1">
      <alignment horizontal="center" vertical="center"/>
    </xf>
    <xf numFmtId="0" fontId="81" fillId="0" borderId="0" xfId="18" applyFont="1" applyFill="1" applyBorder="1"/>
    <xf numFmtId="0" fontId="75" fillId="23" borderId="0" xfId="18" applyFont="1" applyFill="1"/>
    <xf numFmtId="0" fontId="23" fillId="23" borderId="5" xfId="6" applyFont="1" applyFill="1" applyBorder="1" applyAlignment="1" applyProtection="1">
      <alignment horizontal="center" vertical="center"/>
    </xf>
    <xf numFmtId="0" fontId="12" fillId="23" borderId="6" xfId="6" applyFont="1" applyFill="1" applyBorder="1" applyAlignment="1" applyProtection="1">
      <alignment vertical="center"/>
    </xf>
    <xf numFmtId="0" fontId="25" fillId="23" borderId="6" xfId="6" applyFont="1" applyFill="1" applyBorder="1" applyAlignment="1" applyProtection="1">
      <alignment horizontal="center" vertical="center"/>
    </xf>
    <xf numFmtId="0" fontId="25" fillId="23" borderId="7" xfId="6" applyFont="1" applyFill="1" applyBorder="1" applyAlignment="1" applyProtection="1">
      <alignment horizontal="center" vertical="center"/>
    </xf>
    <xf numFmtId="165" fontId="19" fillId="4" borderId="54" xfId="19" applyNumberFormat="1" applyFont="1" applyFill="1" applyBorder="1" applyAlignment="1" applyProtection="1">
      <alignment vertical="center"/>
      <protection locked="0"/>
    </xf>
    <xf numFmtId="0" fontId="26" fillId="23" borderId="8" xfId="11" applyFont="1" applyFill="1" applyBorder="1" applyAlignment="1" applyProtection="1">
      <alignment horizontal="center" vertical="center"/>
    </xf>
    <xf numFmtId="0" fontId="62" fillId="23" borderId="9" xfId="11" applyFont="1" applyFill="1" applyBorder="1" applyAlignment="1">
      <alignment vertical="center" wrapText="1"/>
    </xf>
    <xf numFmtId="0" fontId="17" fillId="23" borderId="9" xfId="11" applyFont="1" applyFill="1" applyBorder="1" applyAlignment="1" applyProtection="1">
      <alignment horizontal="center" vertical="center"/>
    </xf>
    <xf numFmtId="0" fontId="17" fillId="23" borderId="10" xfId="11" applyFont="1" applyFill="1" applyBorder="1" applyAlignment="1" applyProtection="1">
      <alignment horizontal="center" vertical="center"/>
    </xf>
    <xf numFmtId="165" fontId="19" fillId="4" borderId="56" xfId="19" applyNumberFormat="1" applyFont="1" applyFill="1" applyBorder="1" applyAlignment="1" applyProtection="1">
      <alignment vertical="center"/>
      <protection locked="0"/>
    </xf>
    <xf numFmtId="1" fontId="19" fillId="4" borderId="32" xfId="19" applyNumberFormat="1" applyFont="1" applyFill="1" applyBorder="1" applyAlignment="1" applyProtection="1">
      <alignment vertical="center"/>
      <protection locked="0"/>
    </xf>
    <xf numFmtId="0" fontId="6" fillId="0" borderId="0" xfId="6" applyFont="1" applyAlignment="1" applyProtection="1">
      <alignment horizontal="center" vertical="center"/>
    </xf>
    <xf numFmtId="165" fontId="75" fillId="0" borderId="0" xfId="18" applyNumberFormat="1" applyFont="1"/>
    <xf numFmtId="0" fontId="12" fillId="0" borderId="0" xfId="14" applyFont="1"/>
    <xf numFmtId="0" fontId="4" fillId="0" borderId="0" xfId="14"/>
    <xf numFmtId="0" fontId="12" fillId="0" borderId="0" xfId="18" applyFont="1"/>
    <xf numFmtId="0" fontId="70" fillId="0" borderId="0" xfId="21" applyFont="1"/>
    <xf numFmtId="0" fontId="82" fillId="2" borderId="0" xfId="18" applyFont="1" applyFill="1" applyBorder="1" applyAlignment="1" applyProtection="1">
      <alignment vertical="center"/>
    </xf>
    <xf numFmtId="0" fontId="70" fillId="0" borderId="0" xfId="21" applyFont="1" applyBorder="1"/>
    <xf numFmtId="0" fontId="70" fillId="9" borderId="0" xfId="15" applyFont="1" applyFill="1" applyAlignment="1">
      <alignment vertical="center"/>
    </xf>
    <xf numFmtId="0" fontId="74" fillId="0" borderId="0" xfId="21" applyFont="1" applyBorder="1" applyAlignment="1">
      <alignment vertical="center"/>
    </xf>
    <xf numFmtId="0" fontId="74" fillId="0" borderId="0" xfId="21" applyFont="1" applyAlignment="1">
      <alignment vertical="center"/>
    </xf>
    <xf numFmtId="0" fontId="6" fillId="0" borderId="0" xfId="14" applyFont="1" applyAlignment="1">
      <alignment vertical="center"/>
    </xf>
    <xf numFmtId="0" fontId="70" fillId="9" borderId="207" xfId="15" applyFont="1" applyFill="1" applyBorder="1" applyAlignment="1">
      <alignment vertical="center"/>
    </xf>
    <xf numFmtId="0" fontId="62" fillId="0" borderId="6" xfId="22" applyFont="1" applyBorder="1" applyAlignment="1">
      <alignment vertical="center" wrapText="1"/>
    </xf>
    <xf numFmtId="49" fontId="19" fillId="4" borderId="31" xfId="19" applyNumberFormat="1" applyFont="1" applyFill="1" applyBorder="1" applyAlignment="1" applyProtection="1">
      <alignment vertical="center" wrapText="1"/>
      <protection locked="0"/>
    </xf>
    <xf numFmtId="49" fontId="19" fillId="4" borderId="32" xfId="19" applyNumberFormat="1" applyFont="1" applyFill="1" applyBorder="1" applyAlignment="1" applyProtection="1">
      <alignment vertical="center"/>
      <protection locked="0"/>
    </xf>
    <xf numFmtId="49" fontId="19" fillId="4" borderId="32" xfId="19" applyNumberFormat="1" applyFont="1" applyFill="1" applyBorder="1" applyAlignment="1" applyProtection="1">
      <alignment vertical="center" wrapText="1"/>
      <protection locked="0"/>
    </xf>
    <xf numFmtId="2" fontId="26" fillId="4" borderId="32" xfId="11" applyNumberFormat="1" applyFont="1" applyFill="1" applyBorder="1" applyProtection="1">
      <protection locked="0"/>
    </xf>
    <xf numFmtId="0" fontId="19" fillId="4" borderId="109" xfId="19" applyNumberFormat="1" applyFont="1" applyFill="1" applyBorder="1" applyAlignment="1" applyProtection="1">
      <alignment vertical="center" wrapText="1"/>
      <protection locked="0"/>
    </xf>
    <xf numFmtId="0" fontId="26" fillId="4" borderId="32" xfId="11" applyFont="1" applyFill="1" applyBorder="1" applyProtection="1">
      <protection locked="0"/>
    </xf>
    <xf numFmtId="1" fontId="26" fillId="4" borderId="32" xfId="11" applyNumberFormat="1" applyFont="1" applyFill="1" applyBorder="1" applyProtection="1">
      <protection locked="0"/>
    </xf>
    <xf numFmtId="170" fontId="26" fillId="4" borderId="32" xfId="11" applyNumberFormat="1" applyFont="1" applyFill="1" applyBorder="1" applyProtection="1">
      <protection locked="0"/>
    </xf>
    <xf numFmtId="1" fontId="26" fillId="7" borderId="32" xfId="11" applyNumberFormat="1" applyFont="1" applyFill="1" applyBorder="1" applyProtection="1"/>
    <xf numFmtId="0" fontId="62" fillId="0" borderId="12" xfId="11" applyFont="1" applyFill="1" applyBorder="1" applyAlignment="1">
      <alignment vertical="center" wrapText="1"/>
    </xf>
    <xf numFmtId="3" fontId="26" fillId="4" borderId="30" xfId="11" applyNumberFormat="1" applyFont="1" applyFill="1" applyBorder="1" applyProtection="1">
      <protection locked="0"/>
    </xf>
    <xf numFmtId="1" fontId="26" fillId="4" borderId="30" xfId="11" applyNumberFormat="1" applyFont="1" applyFill="1" applyBorder="1" applyProtection="1">
      <protection locked="0"/>
    </xf>
    <xf numFmtId="0" fontId="19" fillId="4" borderId="30" xfId="19" applyNumberFormat="1" applyFont="1" applyFill="1" applyBorder="1" applyAlignment="1" applyProtection="1">
      <alignment vertical="center" wrapText="1"/>
      <protection locked="0"/>
    </xf>
    <xf numFmtId="0" fontId="74" fillId="9" borderId="0" xfId="15" applyFont="1" applyFill="1" applyBorder="1" applyAlignment="1">
      <alignment horizontal="center" vertical="center"/>
    </xf>
    <xf numFmtId="0" fontId="70" fillId="9" borderId="0" xfId="15" applyFont="1" applyFill="1" applyBorder="1" applyAlignment="1">
      <alignment vertical="center"/>
    </xf>
    <xf numFmtId="0" fontId="70" fillId="9" borderId="0" xfId="15" applyFont="1" applyFill="1" applyBorder="1" applyAlignment="1">
      <alignment horizontal="center" vertical="center"/>
    </xf>
    <xf numFmtId="0" fontId="62" fillId="0" borderId="47" xfId="22" applyFont="1" applyBorder="1" applyAlignment="1">
      <alignment vertical="center" wrapText="1"/>
    </xf>
    <xf numFmtId="0" fontId="19" fillId="4" borderId="31" xfId="19" applyNumberFormat="1" applyFont="1" applyFill="1" applyBorder="1" applyAlignment="1" applyProtection="1">
      <alignment vertical="center" wrapText="1"/>
      <protection locked="0"/>
    </xf>
    <xf numFmtId="0" fontId="19" fillId="4" borderId="32" xfId="19" applyNumberFormat="1" applyFont="1" applyFill="1" applyBorder="1" applyAlignment="1" applyProtection="1">
      <alignment vertical="center" wrapText="1"/>
      <protection locked="0"/>
    </xf>
    <xf numFmtId="0" fontId="84" fillId="0" borderId="0" xfId="11" applyFont="1" applyBorder="1" applyAlignment="1">
      <alignment horizontal="left" vertical="top" wrapText="1"/>
    </xf>
    <xf numFmtId="0" fontId="70" fillId="9" borderId="0" xfId="11" applyFont="1" applyFill="1" applyAlignment="1">
      <alignment vertical="center"/>
    </xf>
    <xf numFmtId="0" fontId="26" fillId="0" borderId="66" xfId="11" applyFont="1" applyFill="1" applyBorder="1" applyAlignment="1" applyProtection="1">
      <alignment horizontal="center" vertical="top"/>
    </xf>
    <xf numFmtId="0" fontId="67" fillId="0" borderId="0" xfId="21" applyFont="1"/>
    <xf numFmtId="0" fontId="70" fillId="0" borderId="0" xfId="21" applyFont="1" applyFill="1"/>
    <xf numFmtId="0" fontId="70" fillId="0" borderId="0" xfId="15" applyFont="1" applyFill="1" applyAlignment="1">
      <alignment vertical="center"/>
    </xf>
    <xf numFmtId="0" fontId="4" fillId="0" borderId="0" xfId="14" applyFill="1"/>
    <xf numFmtId="0" fontId="62" fillId="0" borderId="6" xfId="11" applyFont="1" applyFill="1" applyBorder="1" applyAlignment="1">
      <alignment vertical="center" wrapText="1"/>
    </xf>
    <xf numFmtId="1" fontId="19" fillId="4" borderId="56" xfId="2" applyNumberFormat="1" applyFont="1" applyFill="1" applyBorder="1" applyAlignment="1" applyProtection="1">
      <alignment vertical="center"/>
      <protection locked="0"/>
    </xf>
    <xf numFmtId="2" fontId="19" fillId="4" borderId="56" xfId="2" applyNumberFormat="1" applyFont="1" applyFill="1" applyBorder="1" applyAlignment="1" applyProtection="1">
      <alignment vertical="center"/>
      <protection locked="0"/>
    </xf>
    <xf numFmtId="0" fontId="62" fillId="0" borderId="44" xfId="11" applyFont="1" applyFill="1" applyBorder="1" applyAlignment="1">
      <alignment vertical="center" wrapText="1"/>
    </xf>
    <xf numFmtId="0" fontId="17" fillId="0" borderId="44" xfId="11" applyFont="1" applyFill="1" applyBorder="1" applyAlignment="1" applyProtection="1">
      <alignment horizontal="center" vertical="center"/>
    </xf>
    <xf numFmtId="0" fontId="17" fillId="0" borderId="62" xfId="11" applyFont="1" applyFill="1" applyBorder="1" applyAlignment="1" applyProtection="1">
      <alignment horizontal="center" vertical="center"/>
    </xf>
    <xf numFmtId="2" fontId="19" fillId="4" borderId="122" xfId="2" applyNumberFormat="1" applyFont="1" applyFill="1" applyBorder="1" applyAlignment="1" applyProtection="1">
      <alignment vertical="center"/>
      <protection locked="0"/>
    </xf>
    <xf numFmtId="2" fontId="19" fillId="4" borderId="57" xfId="2" applyNumberFormat="1" applyFont="1" applyFill="1" applyBorder="1" applyAlignment="1" applyProtection="1">
      <alignment vertical="center"/>
      <protection locked="0"/>
    </xf>
    <xf numFmtId="0" fontId="89" fillId="0" borderId="6" xfId="11" applyFont="1" applyFill="1" applyBorder="1" applyAlignment="1">
      <alignment vertical="center" wrapText="1"/>
    </xf>
    <xf numFmtId="9" fontId="90" fillId="0" borderId="6" xfId="11" applyNumberFormat="1" applyFont="1" applyFill="1" applyBorder="1" applyAlignment="1">
      <alignment horizontal="center" vertical="center"/>
    </xf>
    <xf numFmtId="2" fontId="19" fillId="4" borderId="54" xfId="2" applyNumberFormat="1" applyFont="1" applyFill="1" applyBorder="1" applyAlignment="1" applyProtection="1">
      <alignment vertical="center"/>
      <protection locked="0"/>
    </xf>
    <xf numFmtId="0" fontId="89" fillId="0" borderId="9" xfId="11" applyFont="1" applyFill="1" applyBorder="1" applyAlignment="1">
      <alignment vertical="center" wrapText="1"/>
    </xf>
    <xf numFmtId="9" fontId="90" fillId="0" borderId="9" xfId="11" applyNumberFormat="1" applyFont="1" applyFill="1" applyBorder="1" applyAlignment="1">
      <alignment horizontal="center" vertical="center"/>
    </xf>
    <xf numFmtId="0" fontId="89" fillId="0" borderId="12" xfId="11" applyFont="1" applyFill="1" applyBorder="1" applyAlignment="1">
      <alignment vertical="center" wrapText="1"/>
    </xf>
    <xf numFmtId="9" fontId="90" fillId="0" borderId="12" xfId="11" applyNumberFormat="1" applyFont="1" applyFill="1" applyBorder="1" applyAlignment="1">
      <alignment horizontal="center" vertical="center"/>
    </xf>
    <xf numFmtId="9" fontId="90" fillId="0" borderId="6" xfId="11" applyNumberFormat="1" applyFont="1" applyFill="1" applyBorder="1" applyAlignment="1">
      <alignment horizontal="center" vertical="center" wrapText="1"/>
    </xf>
    <xf numFmtId="170" fontId="19" fillId="4" borderId="5" xfId="2" applyNumberFormat="1" applyFont="1" applyFill="1" applyBorder="1" applyAlignment="1" applyProtection="1">
      <alignment vertical="center"/>
      <protection locked="0"/>
    </xf>
    <xf numFmtId="9" fontId="90" fillId="0" borderId="9" xfId="11" applyNumberFormat="1" applyFont="1" applyFill="1" applyBorder="1" applyAlignment="1">
      <alignment horizontal="center" vertical="center" wrapText="1"/>
    </xf>
    <xf numFmtId="170" fontId="19" fillId="4" borderId="8" xfId="2" applyNumberFormat="1" applyFont="1" applyFill="1" applyBorder="1" applyAlignment="1" applyProtection="1">
      <alignment vertical="center"/>
      <protection locked="0"/>
    </xf>
    <xf numFmtId="1" fontId="19" fillId="4" borderId="8" xfId="2" applyNumberFormat="1" applyFont="1" applyFill="1" applyBorder="1" applyAlignment="1" applyProtection="1">
      <alignment vertical="center"/>
      <protection locked="0"/>
    </xf>
    <xf numFmtId="2" fontId="19" fillId="4" borderId="8" xfId="2" applyNumberFormat="1" applyFont="1" applyFill="1" applyBorder="1" applyAlignment="1" applyProtection="1">
      <alignment vertical="center"/>
      <protection locked="0"/>
    </xf>
    <xf numFmtId="9" fontId="90" fillId="0" borderId="12" xfId="11" applyNumberFormat="1" applyFont="1" applyFill="1" applyBorder="1" applyAlignment="1">
      <alignment horizontal="center" vertical="center" wrapText="1"/>
    </xf>
    <xf numFmtId="2" fontId="19" fillId="4" borderId="11" xfId="2" applyNumberFormat="1" applyFont="1" applyFill="1" applyBorder="1" applyAlignment="1" applyProtection="1">
      <alignment vertical="center"/>
      <protection locked="0"/>
    </xf>
    <xf numFmtId="0" fontId="25" fillId="0" borderId="24" xfId="6" applyFont="1" applyBorder="1" applyAlignment="1" applyProtection="1">
      <alignment horizontal="center" vertical="center"/>
    </xf>
    <xf numFmtId="1" fontId="19" fillId="4" borderId="5" xfId="2" applyNumberFormat="1" applyFont="1" applyFill="1" applyBorder="1" applyAlignment="1" applyProtection="1">
      <alignment vertical="center"/>
      <protection locked="0"/>
    </xf>
    <xf numFmtId="0" fontId="17" fillId="0" borderId="26" xfId="11" applyFont="1" applyFill="1" applyBorder="1" applyAlignment="1" applyProtection="1">
      <alignment horizontal="center" vertical="center"/>
    </xf>
    <xf numFmtId="0" fontId="25" fillId="0" borderId="26" xfId="6" applyFont="1" applyBorder="1" applyAlignment="1" applyProtection="1">
      <alignment horizontal="center" vertical="center"/>
    </xf>
    <xf numFmtId="0" fontId="17" fillId="0" borderId="27" xfId="11" applyFont="1" applyFill="1" applyBorder="1" applyAlignment="1" applyProtection="1">
      <alignment horizontal="center" vertical="center"/>
    </xf>
    <xf numFmtId="1" fontId="19" fillId="4" borderId="11" xfId="2" applyNumberFormat="1" applyFont="1" applyFill="1" applyBorder="1" applyAlignment="1" applyProtection="1">
      <alignment vertical="center"/>
      <protection locked="0"/>
    </xf>
    <xf numFmtId="0" fontId="12" fillId="0" borderId="5" xfId="6" applyFont="1" applyBorder="1" applyAlignment="1" applyProtection="1">
      <alignment vertical="center"/>
    </xf>
    <xf numFmtId="172" fontId="19" fillId="4" borderId="5" xfId="2" applyNumberFormat="1" applyFont="1" applyFill="1" applyBorder="1" applyAlignment="1" applyProtection="1">
      <alignment vertical="center"/>
      <protection locked="0"/>
    </xf>
    <xf numFmtId="0" fontId="12" fillId="0" borderId="8" xfId="6" applyFont="1" applyBorder="1" applyAlignment="1" applyProtection="1">
      <alignment vertical="center"/>
    </xf>
    <xf numFmtId="172" fontId="19" fillId="4" borderId="8" xfId="2" applyNumberFormat="1" applyFont="1" applyFill="1" applyBorder="1" applyAlignment="1" applyProtection="1">
      <alignment vertical="center"/>
      <protection locked="0"/>
    </xf>
    <xf numFmtId="0" fontId="12" fillId="0" borderId="11" xfId="6" applyFont="1" applyBorder="1" applyAlignment="1" applyProtection="1">
      <alignment vertical="center"/>
    </xf>
    <xf numFmtId="172" fontId="19"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12" fillId="0" borderId="168" xfId="0" applyFont="1" applyFill="1" applyBorder="1" applyAlignment="1">
      <alignment vertical="center"/>
    </xf>
    <xf numFmtId="0" fontId="12" fillId="0" borderId="0" xfId="0" applyFont="1" applyFill="1" applyBorder="1" applyAlignment="1">
      <alignment vertical="center"/>
    </xf>
    <xf numFmtId="0" fontId="12" fillId="0" borderId="0" xfId="0" applyFont="1" applyAlignment="1">
      <alignment vertical="center"/>
    </xf>
    <xf numFmtId="0" fontId="19" fillId="0" borderId="168" xfId="11" applyFont="1" applyFill="1" applyBorder="1" applyAlignment="1" applyProtection="1">
      <alignment vertical="center"/>
    </xf>
    <xf numFmtId="0" fontId="0" fillId="0" borderId="0" xfId="0" applyAlignment="1">
      <alignment vertical="center" wrapText="1"/>
    </xf>
    <xf numFmtId="0" fontId="12" fillId="0" borderId="131" xfId="0" applyFont="1" applyFill="1" applyBorder="1" applyAlignment="1">
      <alignment vertical="center"/>
    </xf>
    <xf numFmtId="0" fontId="19" fillId="0" borderId="110" xfId="11" applyFont="1" applyFill="1" applyBorder="1" applyAlignment="1" applyProtection="1">
      <alignment vertical="center"/>
    </xf>
    <xf numFmtId="0" fontId="15" fillId="0" borderId="2" xfId="11" applyFont="1" applyFill="1" applyBorder="1" applyAlignment="1" applyProtection="1">
      <alignment horizontal="center" vertical="center"/>
    </xf>
    <xf numFmtId="9" fontId="89" fillId="0" borderId="0" xfId="11" applyNumberFormat="1" applyFont="1" applyFill="1" applyBorder="1" applyAlignment="1">
      <alignment horizontal="left" vertical="center" wrapText="1"/>
    </xf>
    <xf numFmtId="9" fontId="89" fillId="0" borderId="0" xfId="11" applyNumberFormat="1" applyFont="1" applyFill="1" applyBorder="1" applyAlignment="1">
      <alignment horizontal="left" vertical="top" wrapText="1"/>
    </xf>
    <xf numFmtId="0" fontId="62" fillId="0" borderId="0" xfId="0" applyFont="1" applyFill="1" applyBorder="1" applyAlignment="1">
      <alignment horizontal="left" vertical="top"/>
    </xf>
    <xf numFmtId="0" fontId="37" fillId="0" borderId="0" xfId="11" applyFont="1" applyFill="1" applyBorder="1" applyAlignment="1" applyProtection="1">
      <alignment vertical="center"/>
    </xf>
    <xf numFmtId="9" fontId="17" fillId="0" borderId="0" xfId="11" applyNumberFormat="1" applyFont="1" applyFill="1" applyBorder="1" applyAlignment="1" applyProtection="1">
      <alignment horizontal="center" vertical="center"/>
    </xf>
    <xf numFmtId="10" fontId="19" fillId="4" borderId="8" xfId="2" applyNumberFormat="1" applyFont="1" applyFill="1" applyBorder="1" applyAlignment="1" applyProtection="1">
      <alignment vertical="center"/>
      <protection locked="0"/>
    </xf>
    <xf numFmtId="0" fontId="10" fillId="3" borderId="16" xfId="22" applyFont="1" applyFill="1" applyBorder="1"/>
    <xf numFmtId="0" fontId="26" fillId="0" borderId="218" xfId="11" applyFont="1" applyFill="1" applyBorder="1" applyAlignment="1" applyProtection="1">
      <alignment horizontal="center" vertical="top"/>
    </xf>
    <xf numFmtId="0" fontId="26" fillId="0" borderId="222" xfId="11" applyFont="1" applyFill="1" applyBorder="1" applyAlignment="1" applyProtection="1">
      <alignment horizontal="center" vertical="top"/>
    </xf>
    <xf numFmtId="0" fontId="26" fillId="0" borderId="224" xfId="11" applyFont="1" applyFill="1" applyBorder="1" applyAlignment="1" applyProtection="1">
      <alignment horizontal="center" vertical="top"/>
    </xf>
    <xf numFmtId="0" fontId="7" fillId="0" borderId="0" xfId="22" applyFont="1" applyFill="1" applyAlignment="1">
      <alignment horizontal="left" vertical="top"/>
    </xf>
    <xf numFmtId="0" fontId="7" fillId="24" borderId="0" xfId="22" applyFont="1" applyFill="1" applyAlignment="1">
      <alignment horizontal="left" vertical="top"/>
    </xf>
    <xf numFmtId="0" fontId="7" fillId="24" borderId="0" xfId="22" applyFont="1" applyFill="1" applyAlignment="1">
      <alignment horizontal="center" vertical="top" wrapText="1"/>
    </xf>
    <xf numFmtId="0" fontId="7" fillId="2" borderId="0" xfId="22" applyFont="1" applyFill="1" applyAlignment="1">
      <alignment horizontal="left" vertical="top"/>
    </xf>
    <xf numFmtId="0" fontId="75" fillId="0" borderId="0" xfId="22" applyFont="1" applyAlignment="1">
      <alignment horizontal="left" vertical="top"/>
    </xf>
    <xf numFmtId="0" fontId="75" fillId="0" borderId="0" xfId="22" applyFont="1" applyAlignment="1">
      <alignment horizontal="center" vertical="top" wrapText="1"/>
    </xf>
    <xf numFmtId="0" fontId="75" fillId="23" borderId="0" xfId="22" applyFont="1" applyFill="1" applyAlignment="1">
      <alignment horizontal="left" vertical="top"/>
    </xf>
    <xf numFmtId="0" fontId="10" fillId="3" borderId="2" xfId="6" applyFont="1" applyFill="1" applyBorder="1" applyAlignment="1" applyProtection="1">
      <alignment horizontal="center" vertical="center"/>
    </xf>
    <xf numFmtId="0" fontId="10" fillId="3" borderId="3" xfId="6" applyFont="1" applyFill="1" applyBorder="1" applyAlignment="1" applyProtection="1">
      <alignment vertical="center"/>
    </xf>
    <xf numFmtId="0" fontId="75" fillId="0" borderId="0" xfId="22" applyFont="1" applyFill="1" applyBorder="1" applyAlignment="1">
      <alignment horizontal="left" vertical="top"/>
    </xf>
    <xf numFmtId="0" fontId="81" fillId="0" borderId="198" xfId="6" applyFont="1" applyFill="1" applyBorder="1" applyAlignment="1">
      <alignment horizontal="left" vertical="top"/>
    </xf>
    <xf numFmtId="0" fontId="75" fillId="0" borderId="0" xfId="22" applyFont="1" applyAlignment="1">
      <alignment horizontal="left" vertical="top" wrapText="1"/>
    </xf>
    <xf numFmtId="0" fontId="17" fillId="0" borderId="15" xfId="11" applyFont="1" applyFill="1" applyBorder="1" applyAlignment="1" applyProtection="1">
      <alignment horizontal="center" vertical="center"/>
    </xf>
    <xf numFmtId="0" fontId="17" fillId="0" borderId="16" xfId="11" applyFont="1" applyFill="1" applyBorder="1" applyAlignment="1" applyProtection="1">
      <alignment horizontal="center" vertical="center"/>
    </xf>
    <xf numFmtId="1" fontId="19" fillId="4" borderId="54" xfId="19" applyNumberFormat="1" applyFont="1" applyFill="1" applyBorder="1" applyAlignment="1" applyProtection="1">
      <alignment vertical="center"/>
      <protection locked="0"/>
    </xf>
    <xf numFmtId="0" fontId="17" fillId="0" borderId="47" xfId="11" applyFont="1" applyFill="1" applyBorder="1" applyAlignment="1" applyProtection="1">
      <alignment horizontal="center" vertical="center"/>
    </xf>
    <xf numFmtId="1" fontId="19" fillId="4" borderId="113" xfId="19" applyNumberFormat="1" applyFont="1" applyFill="1" applyBorder="1" applyAlignment="1" applyProtection="1">
      <alignment vertical="center"/>
      <protection locked="0"/>
    </xf>
    <xf numFmtId="0" fontId="19" fillId="4" borderId="49" xfId="19" applyNumberFormat="1" applyFont="1" applyFill="1" applyBorder="1" applyAlignment="1" applyProtection="1">
      <alignment vertical="center" wrapText="1"/>
      <protection locked="0"/>
    </xf>
    <xf numFmtId="1" fontId="19" fillId="4" borderId="56" xfId="19" applyNumberFormat="1" applyFont="1" applyFill="1" applyBorder="1" applyAlignment="1" applyProtection="1">
      <alignment vertical="center"/>
      <protection locked="0"/>
    </xf>
    <xf numFmtId="0" fontId="75" fillId="0" borderId="0" xfId="22" applyFont="1" applyFill="1" applyAlignment="1">
      <alignment horizontal="left" vertical="top"/>
    </xf>
    <xf numFmtId="0" fontId="75" fillId="0" borderId="0" xfId="22" applyFont="1" applyFill="1" applyBorder="1" applyAlignment="1">
      <alignment horizontal="left" vertical="top" wrapText="1"/>
    </xf>
    <xf numFmtId="1" fontId="19" fillId="4" borderId="122" xfId="19" applyNumberFormat="1" applyFont="1" applyFill="1" applyBorder="1" applyAlignment="1" applyProtection="1">
      <alignment vertical="center"/>
      <protection locked="0"/>
    </xf>
    <xf numFmtId="2" fontId="19" fillId="4" borderId="122" xfId="19" applyNumberFormat="1" applyFont="1" applyFill="1" applyBorder="1" applyAlignment="1" applyProtection="1">
      <alignment vertical="center"/>
      <protection locked="0"/>
    </xf>
    <xf numFmtId="1" fontId="19" fillId="4" borderId="57" xfId="19" applyNumberFormat="1" applyFont="1" applyFill="1" applyBorder="1" applyAlignment="1" applyProtection="1">
      <alignment vertical="center"/>
      <protection locked="0"/>
    </xf>
    <xf numFmtId="0" fontId="70" fillId="0" borderId="0" xfId="22" applyFont="1" applyFill="1" applyBorder="1" applyAlignment="1">
      <alignment horizontal="left" vertical="top"/>
    </xf>
    <xf numFmtId="0" fontId="70" fillId="0" borderId="0" xfId="11" applyFont="1" applyFill="1" applyBorder="1" applyAlignment="1">
      <alignment horizontal="left" vertical="top" wrapText="1"/>
    </xf>
    <xf numFmtId="0" fontId="70" fillId="0" borderId="0" xfId="11" applyFont="1" applyFill="1" applyBorder="1" applyAlignment="1">
      <alignment horizontal="center" vertical="top" wrapText="1"/>
    </xf>
    <xf numFmtId="0" fontId="75" fillId="0" borderId="0" xfId="22" applyFont="1" applyFill="1" applyBorder="1" applyAlignment="1">
      <alignment horizontal="center" vertical="top"/>
    </xf>
    <xf numFmtId="170" fontId="26" fillId="4" borderId="54" xfId="19" applyNumberFormat="1" applyFont="1" applyFill="1" applyBorder="1" applyAlignment="1" applyProtection="1">
      <alignment vertical="center"/>
      <protection locked="0"/>
    </xf>
    <xf numFmtId="170" fontId="26" fillId="4" borderId="56" xfId="19" applyNumberFormat="1" applyFont="1" applyFill="1" applyBorder="1" applyAlignment="1" applyProtection="1">
      <alignment vertical="center"/>
      <protection locked="0"/>
    </xf>
    <xf numFmtId="0" fontId="23" fillId="0" borderId="0" xfId="15" applyFont="1" applyAlignment="1" applyProtection="1">
      <alignment vertical="center"/>
    </xf>
    <xf numFmtId="0" fontId="49" fillId="0" borderId="0" xfId="22" applyAlignment="1">
      <alignment horizontal="center"/>
    </xf>
    <xf numFmtId="0" fontId="49" fillId="0" borderId="0" xfId="22"/>
    <xf numFmtId="0" fontId="75" fillId="0" borderId="0" xfId="22" applyFont="1" applyFill="1" applyAlignment="1">
      <alignment horizontal="left" vertical="top" wrapText="1"/>
    </xf>
    <xf numFmtId="0" fontId="97" fillId="0" borderId="0" xfId="22" applyFont="1" applyFill="1" applyAlignment="1">
      <alignment horizontal="left" vertical="center"/>
    </xf>
    <xf numFmtId="0" fontId="49" fillId="0" borderId="0" xfId="22" applyNumberFormat="1"/>
    <xf numFmtId="0" fontId="17" fillId="0" borderId="3" xfId="11" applyFont="1" applyFill="1" applyBorder="1" applyAlignment="1" applyProtection="1">
      <alignment horizontal="center" vertical="center"/>
    </xf>
    <xf numFmtId="0" fontId="17" fillId="0" borderId="4" xfId="11" applyFont="1" applyFill="1" applyBorder="1" applyAlignment="1" applyProtection="1">
      <alignment horizontal="center" vertical="center"/>
    </xf>
    <xf numFmtId="0" fontId="75" fillId="0" borderId="0" xfId="22" applyFont="1" applyFill="1" applyAlignment="1">
      <alignment horizontal="center" vertical="top" wrapText="1"/>
    </xf>
    <xf numFmtId="0" fontId="97" fillId="0" borderId="0" xfId="22" applyFont="1" applyFill="1" applyAlignment="1">
      <alignment horizontal="left" vertical="center" wrapText="1"/>
    </xf>
    <xf numFmtId="0" fontId="75" fillId="0" borderId="0" xfId="22" applyNumberFormat="1" applyFont="1" applyFill="1" applyAlignment="1">
      <alignment horizontal="left" vertical="top" wrapText="1"/>
    </xf>
    <xf numFmtId="0" fontId="75" fillId="0" borderId="0" xfId="22" applyFont="1" applyFill="1" applyBorder="1" applyAlignment="1">
      <alignment horizontal="center" vertical="top" wrapText="1"/>
    </xf>
    <xf numFmtId="0" fontId="97" fillId="23" borderId="0" xfId="22" applyFont="1" applyFill="1" applyAlignment="1">
      <alignment horizontal="left" vertical="center" wrapText="1"/>
    </xf>
    <xf numFmtId="0" fontId="75" fillId="23" borderId="0" xfId="22" applyNumberFormat="1" applyFont="1" applyFill="1" applyAlignment="1">
      <alignment horizontal="left" vertical="top" wrapText="1"/>
    </xf>
    <xf numFmtId="1" fontId="26" fillId="4" borderId="5" xfId="19" applyNumberFormat="1" applyFont="1" applyFill="1" applyBorder="1" applyAlignment="1" applyProtection="1">
      <alignment vertical="center"/>
      <protection locked="0"/>
    </xf>
    <xf numFmtId="1" fontId="26" fillId="4" borderId="8" xfId="19" applyNumberFormat="1" applyFont="1" applyFill="1" applyBorder="1" applyAlignment="1" applyProtection="1">
      <alignment vertical="center"/>
      <protection locked="0"/>
    </xf>
    <xf numFmtId="1" fontId="26" fillId="4" borderId="43" xfId="19" applyNumberFormat="1" applyFont="1" applyFill="1" applyBorder="1" applyAlignment="1" applyProtection="1">
      <alignment vertical="center"/>
      <protection locked="0"/>
    </xf>
    <xf numFmtId="1" fontId="26" fillId="23" borderId="0" xfId="11" applyNumberFormat="1" applyFont="1" applyFill="1" applyBorder="1" applyAlignment="1" applyProtection="1">
      <alignment vertical="center"/>
      <protection locked="0"/>
    </xf>
    <xf numFmtId="171" fontId="19" fillId="23" borderId="0" xfId="19" applyNumberFormat="1" applyFont="1" applyFill="1" applyBorder="1" applyAlignment="1" applyProtection="1">
      <alignment vertical="center"/>
      <protection locked="0"/>
    </xf>
    <xf numFmtId="1" fontId="26" fillId="4" borderId="33" xfId="19" applyNumberFormat="1" applyFont="1" applyFill="1" applyBorder="1" applyAlignment="1" applyProtection="1">
      <alignment vertical="center"/>
      <protection locked="0"/>
    </xf>
    <xf numFmtId="0" fontId="49" fillId="0" borderId="0" xfId="22" applyFill="1" applyAlignment="1">
      <alignment horizontal="center"/>
    </xf>
    <xf numFmtId="0" fontId="49" fillId="0" borderId="0" xfId="22" applyFill="1"/>
    <xf numFmtId="0" fontId="98" fillId="23" borderId="0" xfId="22" applyFont="1" applyFill="1" applyAlignment="1">
      <alignment vertical="center"/>
    </xf>
    <xf numFmtId="0" fontId="49" fillId="23" borderId="0" xfId="22" applyNumberFormat="1" applyFill="1"/>
    <xf numFmtId="0" fontId="23" fillId="0" borderId="14" xfId="6" applyFont="1" applyBorder="1" applyAlignment="1" applyProtection="1">
      <alignment horizontal="center" vertical="center"/>
    </xf>
    <xf numFmtId="0" fontId="25" fillId="0" borderId="15" xfId="6" applyFont="1" applyBorder="1" applyAlignment="1" applyProtection="1">
      <alignment horizontal="center" vertical="center"/>
    </xf>
    <xf numFmtId="0" fontId="25" fillId="0" borderId="16" xfId="6" applyFont="1" applyBorder="1" applyAlignment="1" applyProtection="1">
      <alignment horizontal="center" vertical="center"/>
    </xf>
    <xf numFmtId="1" fontId="26" fillId="4" borderId="14" xfId="19" applyNumberFormat="1" applyFont="1" applyFill="1" applyBorder="1" applyAlignment="1" applyProtection="1">
      <alignment vertical="center"/>
      <protection locked="0"/>
    </xf>
    <xf numFmtId="1" fontId="26" fillId="4" borderId="32" xfId="19" applyNumberFormat="1" applyFont="1" applyFill="1" applyBorder="1" applyAlignment="1" applyProtection="1">
      <alignment vertical="center"/>
      <protection locked="0"/>
    </xf>
    <xf numFmtId="0" fontId="23" fillId="0" borderId="228" xfId="6" applyFont="1" applyBorder="1" applyAlignment="1" applyProtection="1">
      <alignment horizontal="center" vertical="center"/>
    </xf>
    <xf numFmtId="0" fontId="75" fillId="23" borderId="0" xfId="22" applyFont="1" applyFill="1" applyAlignment="1">
      <alignment horizontal="left" vertical="top" wrapText="1"/>
    </xf>
    <xf numFmtId="0" fontId="26" fillId="4" borderId="179" xfId="11" applyFont="1" applyFill="1" applyBorder="1" applyProtection="1">
      <protection locked="0"/>
    </xf>
    <xf numFmtId="0" fontId="26" fillId="0" borderId="0" xfId="11" applyFont="1" applyFill="1" applyBorder="1" applyProtection="1">
      <protection locked="0"/>
    </xf>
    <xf numFmtId="0" fontId="70" fillId="9" borderId="0" xfId="11" applyFont="1" applyFill="1"/>
    <xf numFmtId="0" fontId="26" fillId="0" borderId="92" xfId="11" applyFont="1" applyFill="1" applyBorder="1" applyAlignment="1" applyProtection="1">
      <alignment horizontal="center" vertical="top"/>
    </xf>
    <xf numFmtId="0" fontId="26" fillId="0" borderId="72" xfId="11" applyFont="1" applyFill="1" applyBorder="1" applyAlignment="1" applyProtection="1">
      <alignment horizontal="center" vertical="top"/>
    </xf>
    <xf numFmtId="0" fontId="84" fillId="0" borderId="0" xfId="11" applyNumberFormat="1" applyFont="1" applyFill="1" applyBorder="1" applyAlignment="1">
      <alignment horizontal="left" vertical="top" wrapText="1"/>
    </xf>
    <xf numFmtId="0" fontId="7" fillId="0" borderId="0" xfId="22" applyFont="1" applyFill="1" applyBorder="1" applyAlignment="1">
      <alignment horizontal="left" vertical="top"/>
    </xf>
    <xf numFmtId="0" fontId="7" fillId="24" borderId="0" xfId="22" applyFont="1" applyFill="1" applyAlignment="1">
      <alignment horizontal="left" vertical="top" wrapText="1"/>
    </xf>
    <xf numFmtId="0" fontId="75" fillId="0" borderId="0" xfId="22" applyFont="1" applyBorder="1" applyAlignment="1">
      <alignment horizontal="left" vertical="top"/>
    </xf>
    <xf numFmtId="0" fontId="79" fillId="0" borderId="0" xfId="22" applyFont="1" applyBorder="1" applyAlignment="1">
      <alignment horizontal="left" vertical="top"/>
    </xf>
    <xf numFmtId="0" fontId="79" fillId="0" borderId="0" xfId="22" applyFont="1" applyAlignment="1">
      <alignment horizontal="left" vertical="top"/>
    </xf>
    <xf numFmtId="0" fontId="10" fillId="3" borderId="40" xfId="6" applyFont="1" applyFill="1" applyBorder="1" applyAlignment="1" applyProtection="1">
      <alignment horizontal="center" vertical="center" wrapText="1"/>
    </xf>
    <xf numFmtId="0" fontId="84" fillId="0" borderId="0" xfId="11" applyFont="1" applyBorder="1" applyAlignment="1">
      <alignment horizontal="center" vertical="top" wrapText="1"/>
    </xf>
    <xf numFmtId="0" fontId="75" fillId="0" borderId="0" xfId="22" applyFont="1" applyAlignment="1">
      <alignment horizontal="center" vertical="top"/>
    </xf>
    <xf numFmtId="0" fontId="75" fillId="0" borderId="0" xfId="22" applyFont="1" applyBorder="1" applyAlignment="1">
      <alignment horizontal="center" vertical="top"/>
    </xf>
    <xf numFmtId="1" fontId="23" fillId="4" borderId="5" xfId="20" applyNumberFormat="1" applyFont="1" applyFill="1" applyBorder="1" applyAlignment="1" applyProtection="1">
      <alignment vertical="center"/>
      <protection locked="0"/>
    </xf>
    <xf numFmtId="1" fontId="23" fillId="4" borderId="6" xfId="20" applyNumberFormat="1" applyFont="1" applyFill="1" applyBorder="1" applyAlignment="1" applyProtection="1">
      <alignment vertical="center"/>
      <protection locked="0"/>
    </xf>
    <xf numFmtId="1" fontId="23" fillId="7" borderId="24" xfId="6" applyNumberFormat="1" applyFont="1" applyFill="1" applyBorder="1" applyAlignment="1" applyProtection="1">
      <alignment vertical="center"/>
    </xf>
    <xf numFmtId="1" fontId="23" fillId="4" borderId="8" xfId="20" applyNumberFormat="1" applyFont="1" applyFill="1" applyBorder="1" applyAlignment="1" applyProtection="1">
      <alignment vertical="center"/>
      <protection locked="0"/>
    </xf>
    <xf numFmtId="1" fontId="23" fillId="4" borderId="9" xfId="20" applyNumberFormat="1" applyFont="1" applyFill="1" applyBorder="1" applyAlignment="1" applyProtection="1">
      <alignment vertical="center"/>
      <protection locked="0"/>
    </xf>
    <xf numFmtId="1" fontId="23" fillId="7" borderId="26" xfId="6" applyNumberFormat="1" applyFont="1" applyFill="1" applyBorder="1" applyAlignment="1" applyProtection="1">
      <alignment vertical="center"/>
    </xf>
    <xf numFmtId="0" fontId="17" fillId="0" borderId="9" xfId="6" applyFont="1" applyBorder="1" applyAlignment="1" applyProtection="1">
      <alignment horizontal="center" vertical="center"/>
    </xf>
    <xf numFmtId="0" fontId="17" fillId="0" borderId="10" xfId="6" applyFont="1" applyBorder="1" applyAlignment="1" applyProtection="1">
      <alignment horizontal="center" vertical="center"/>
    </xf>
    <xf numFmtId="1" fontId="26" fillId="7" borderId="11" xfId="11" applyNumberFormat="1" applyFont="1" applyFill="1" applyBorder="1" applyAlignment="1" applyProtection="1">
      <alignment vertical="center"/>
    </xf>
    <xf numFmtId="1" fontId="26" fillId="7" borderId="12" xfId="11" applyNumberFormat="1" applyFont="1" applyFill="1" applyBorder="1" applyAlignment="1" applyProtection="1">
      <alignment vertical="center"/>
    </xf>
    <xf numFmtId="1" fontId="26" fillId="7" borderId="27" xfId="11" applyNumberFormat="1" applyFont="1" applyFill="1" applyBorder="1" applyAlignment="1" applyProtection="1">
      <alignment vertical="center"/>
    </xf>
    <xf numFmtId="1" fontId="75" fillId="0" borderId="0" xfId="22" applyNumberFormat="1" applyFont="1" applyAlignment="1">
      <alignment horizontal="left" vertical="top"/>
    </xf>
    <xf numFmtId="1" fontId="23" fillId="4" borderId="30" xfId="20" applyNumberFormat="1" applyFont="1" applyFill="1" applyBorder="1" applyAlignment="1" applyProtection="1">
      <alignment vertical="center"/>
      <protection locked="0"/>
    </xf>
    <xf numFmtId="1" fontId="23" fillId="7" borderId="27" xfId="6" applyNumberFormat="1" applyFont="1" applyFill="1" applyBorder="1" applyAlignment="1" applyProtection="1">
      <alignment vertical="center"/>
    </xf>
    <xf numFmtId="0" fontId="10" fillId="26" borderId="0" xfId="11" applyFont="1" applyFill="1" applyBorder="1" applyAlignment="1" applyProtection="1">
      <alignment horizontal="center" vertical="center" wrapText="1"/>
    </xf>
    <xf numFmtId="165" fontId="23" fillId="4" borderId="7" xfId="20" applyNumberFormat="1" applyFont="1" applyFill="1" applyBorder="1" applyAlignment="1" applyProtection="1">
      <alignment vertical="center"/>
      <protection locked="0"/>
    </xf>
    <xf numFmtId="165" fontId="23" fillId="4" borderId="10" xfId="20" applyNumberFormat="1" applyFont="1" applyFill="1" applyBorder="1" applyAlignment="1" applyProtection="1">
      <alignment vertical="center"/>
      <protection locked="0"/>
    </xf>
    <xf numFmtId="165" fontId="23" fillId="4" borderId="13" xfId="20" applyNumberFormat="1" applyFont="1" applyFill="1" applyBorder="1" applyAlignment="1" applyProtection="1">
      <alignment vertical="center"/>
      <protection locked="0"/>
    </xf>
    <xf numFmtId="0" fontId="74" fillId="0" borderId="0" xfId="11" applyFont="1" applyFill="1" applyAlignment="1" applyProtection="1">
      <alignment horizontal="left" vertical="center"/>
    </xf>
    <xf numFmtId="0" fontId="70" fillId="0" borderId="0" xfId="11" applyFont="1" applyFill="1" applyAlignment="1" applyProtection="1">
      <alignment horizontal="left"/>
    </xf>
    <xf numFmtId="172" fontId="19" fillId="27" borderId="5" xfId="19" applyNumberFormat="1" applyFont="1" applyFill="1" applyBorder="1" applyAlignment="1" applyProtection="1">
      <alignment vertical="center"/>
      <protection locked="0"/>
    </xf>
    <xf numFmtId="172" fontId="19" fillId="27" borderId="8" xfId="19" applyNumberFormat="1" applyFont="1" applyFill="1" applyBorder="1" applyAlignment="1" applyProtection="1">
      <alignment vertical="center"/>
      <protection locked="0"/>
    </xf>
    <xf numFmtId="172" fontId="19" fillId="27" borderId="46" xfId="19" applyNumberFormat="1" applyFont="1" applyFill="1" applyBorder="1" applyAlignment="1" applyProtection="1">
      <alignment vertical="center"/>
      <protection locked="0"/>
    </xf>
    <xf numFmtId="172" fontId="19" fillId="28" borderId="11" xfId="19" applyNumberFormat="1" applyFont="1" applyFill="1" applyBorder="1" applyAlignment="1" applyProtection="1">
      <alignment vertical="center"/>
    </xf>
    <xf numFmtId="172" fontId="19" fillId="28" borderId="12" xfId="19" applyNumberFormat="1" applyFont="1" applyFill="1" applyBorder="1" applyAlignment="1" applyProtection="1">
      <alignment vertical="center"/>
    </xf>
    <xf numFmtId="0" fontId="19" fillId="0" borderId="0" xfId="15" applyAlignment="1" applyProtection="1">
      <alignment vertical="center"/>
    </xf>
    <xf numFmtId="0" fontId="15" fillId="0" borderId="14" xfId="11" applyFont="1" applyFill="1" applyBorder="1" applyAlignment="1" applyProtection="1">
      <alignment horizontal="center" vertical="top"/>
    </xf>
    <xf numFmtId="0" fontId="70" fillId="0" borderId="5" xfId="11" applyFont="1" applyFill="1" applyBorder="1" applyAlignment="1" applyProtection="1">
      <alignment horizontal="center" vertical="top"/>
    </xf>
    <xf numFmtId="0" fontId="70" fillId="0" borderId="8" xfId="11" applyFont="1" applyFill="1" applyBorder="1" applyAlignment="1" applyProtection="1">
      <alignment horizontal="center" vertical="top"/>
    </xf>
    <xf numFmtId="0" fontId="70" fillId="0" borderId="11" xfId="11" applyFont="1" applyFill="1" applyBorder="1" applyAlignment="1" applyProtection="1">
      <alignment horizontal="center" vertical="top"/>
    </xf>
    <xf numFmtId="0" fontId="10" fillId="3" borderId="1" xfId="6" applyFont="1" applyFill="1" applyBorder="1" applyAlignment="1" applyProtection="1">
      <alignment horizontal="center" vertical="center"/>
    </xf>
    <xf numFmtId="0" fontId="26" fillId="23" borderId="5" xfId="11" applyFont="1" applyFill="1" applyBorder="1" applyAlignment="1" applyProtection="1">
      <alignment horizontal="center" vertical="center"/>
    </xf>
    <xf numFmtId="0" fontId="89" fillId="23" borderId="6" xfId="11" applyFont="1" applyFill="1" applyBorder="1" applyAlignment="1">
      <alignment vertical="center" wrapText="1"/>
    </xf>
    <xf numFmtId="9" fontId="90" fillId="23" borderId="6" xfId="11" applyNumberFormat="1" applyFont="1" applyFill="1" applyBorder="1" applyAlignment="1">
      <alignment horizontal="center" vertical="center" wrapText="1"/>
    </xf>
    <xf numFmtId="0" fontId="17" fillId="23" borderId="7" xfId="11" applyFont="1" applyFill="1" applyBorder="1" applyAlignment="1" applyProtection="1">
      <alignment horizontal="center" vertical="center"/>
    </xf>
    <xf numFmtId="165" fontId="19" fillId="27" borderId="5" xfId="19" applyNumberFormat="1" applyFont="1" applyFill="1" applyBorder="1" applyAlignment="1" applyProtection="1">
      <alignment vertical="center"/>
      <protection locked="0"/>
    </xf>
    <xf numFmtId="0" fontId="89" fillId="23" borderId="9" xfId="11" applyFont="1" applyFill="1" applyBorder="1" applyAlignment="1">
      <alignment vertical="center" wrapText="1"/>
    </xf>
    <xf numFmtId="9" fontId="90" fillId="23" borderId="9" xfId="11" applyNumberFormat="1" applyFont="1" applyFill="1" applyBorder="1" applyAlignment="1">
      <alignment horizontal="center" vertical="center" wrapText="1"/>
    </xf>
    <xf numFmtId="165" fontId="19" fillId="27" borderId="8" xfId="19" applyNumberFormat="1" applyFont="1" applyFill="1" applyBorder="1" applyAlignment="1" applyProtection="1">
      <alignment vertical="center"/>
      <protection locked="0"/>
    </xf>
    <xf numFmtId="0" fontId="26" fillId="23" borderId="11" xfId="11" applyFont="1" applyFill="1" applyBorder="1" applyAlignment="1" applyProtection="1">
      <alignment horizontal="center" vertical="center"/>
    </xf>
    <xf numFmtId="0" fontId="89" fillId="23" borderId="12" xfId="11" applyFont="1" applyFill="1" applyBorder="1" applyAlignment="1">
      <alignment vertical="center" wrapText="1"/>
    </xf>
    <xf numFmtId="9" fontId="90" fillId="23" borderId="12" xfId="11" applyNumberFormat="1" applyFont="1" applyFill="1" applyBorder="1" applyAlignment="1">
      <alignment horizontal="center" vertical="center" wrapText="1"/>
    </xf>
    <xf numFmtId="0" fontId="17" fillId="23" borderId="13" xfId="11" applyFont="1" applyFill="1" applyBorder="1" applyAlignment="1" applyProtection="1">
      <alignment horizontal="center" vertical="center"/>
    </xf>
    <xf numFmtId="0" fontId="75" fillId="23" borderId="0" xfId="22" applyFont="1" applyFill="1" applyAlignment="1">
      <alignment horizontal="center" vertical="top"/>
    </xf>
    <xf numFmtId="165" fontId="19" fillId="27" borderId="11" xfId="19" applyNumberFormat="1" applyFont="1" applyFill="1" applyBorder="1" applyAlignment="1" applyProtection="1">
      <alignment vertical="center"/>
      <protection locked="0"/>
    </xf>
    <xf numFmtId="0" fontId="74" fillId="23" borderId="0" xfId="11" applyFont="1" applyFill="1" applyAlignment="1" applyProtection="1">
      <alignment vertical="center"/>
    </xf>
    <xf numFmtId="0" fontId="23" fillId="0" borderId="0" xfId="15" applyFont="1" applyAlignment="1" applyProtection="1">
      <alignment horizontal="center" vertical="center"/>
    </xf>
    <xf numFmtId="0" fontId="15" fillId="0" borderId="231" xfId="11" applyFont="1" applyFill="1" applyBorder="1" applyAlignment="1" applyProtection="1">
      <alignment horizontal="center" vertical="top"/>
    </xf>
    <xf numFmtId="0" fontId="15" fillId="0" borderId="232" xfId="11" applyFont="1" applyFill="1" applyBorder="1" applyAlignment="1" applyProtection="1">
      <alignment horizontal="left" vertical="top"/>
    </xf>
    <xf numFmtId="0" fontId="26" fillId="0" borderId="67" xfId="11" applyFont="1" applyFill="1" applyBorder="1" applyAlignment="1" applyProtection="1">
      <alignment horizontal="left" vertical="top" wrapText="1"/>
    </xf>
    <xf numFmtId="0" fontId="26" fillId="0" borderId="94" xfId="11" applyFont="1" applyFill="1" applyBorder="1" applyAlignment="1" applyProtection="1">
      <alignment horizontal="left" vertical="top" wrapText="1"/>
    </xf>
    <xf numFmtId="0" fontId="26" fillId="0" borderId="73" xfId="11" applyFont="1" applyFill="1" applyBorder="1" applyAlignment="1" applyProtection="1">
      <alignment horizontal="left" vertical="top" wrapText="1"/>
    </xf>
    <xf numFmtId="9" fontId="76" fillId="0" borderId="16" xfId="11" applyNumberFormat="1" applyFont="1" applyFill="1" applyBorder="1" applyAlignment="1">
      <alignment horizontal="left" vertical="top" wrapText="1"/>
    </xf>
    <xf numFmtId="9" fontId="89" fillId="0" borderId="7" xfId="11" applyNumberFormat="1" applyFont="1" applyFill="1" applyBorder="1" applyAlignment="1">
      <alignment horizontal="left" vertical="top" wrapText="1"/>
    </xf>
    <xf numFmtId="0" fontId="26" fillId="0" borderId="46" xfId="11" applyFont="1" applyFill="1" applyBorder="1" applyAlignment="1" applyProtection="1">
      <alignment horizontal="center" vertical="top"/>
    </xf>
    <xf numFmtId="9" fontId="89" fillId="0" borderId="10" xfId="11" applyNumberFormat="1" applyFont="1" applyFill="1" applyBorder="1" applyAlignment="1">
      <alignment horizontal="left" vertical="top" wrapText="1"/>
    </xf>
    <xf numFmtId="9" fontId="89" fillId="0" borderId="10" xfId="11" applyNumberFormat="1" applyFont="1" applyFill="1" applyBorder="1" applyAlignment="1">
      <alignment vertical="top" wrapText="1"/>
    </xf>
    <xf numFmtId="0" fontId="26" fillId="0" borderId="43" xfId="11" applyFont="1" applyFill="1" applyBorder="1" applyAlignment="1" applyProtection="1">
      <alignment horizontal="center" vertical="top"/>
    </xf>
    <xf numFmtId="9" fontId="19" fillId="0" borderId="13" xfId="11" applyNumberFormat="1" applyFont="1" applyFill="1" applyBorder="1" applyAlignment="1">
      <alignment vertical="top" wrapText="1"/>
    </xf>
    <xf numFmtId="0" fontId="10"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9" fillId="0" borderId="0" xfId="11" applyFont="1" applyFill="1" applyAlignment="1" applyProtection="1">
      <alignment vertical="center" wrapText="1"/>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9" fillId="4" borderId="237" xfId="19" applyNumberFormat="1" applyFont="1" applyFill="1" applyBorder="1" applyAlignment="1" applyProtection="1">
      <alignment vertical="center"/>
      <protection locked="0"/>
    </xf>
    <xf numFmtId="165" fontId="19" fillId="4" borderId="238" xfId="19" applyNumberFormat="1" applyFont="1" applyFill="1" applyBorder="1" applyAlignment="1" applyProtection="1">
      <alignment vertical="center"/>
      <protection locked="0"/>
    </xf>
    <xf numFmtId="165" fontId="19" fillId="4" borderId="239" xfId="19" applyNumberFormat="1" applyFont="1" applyFill="1" applyBorder="1" applyAlignment="1" applyProtection="1">
      <alignment vertical="center"/>
      <protection locked="0"/>
    </xf>
    <xf numFmtId="165" fontId="19"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Fill="1"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9" fillId="4" borderId="246" xfId="19" applyNumberFormat="1" applyFont="1" applyFill="1" applyBorder="1" applyAlignment="1" applyProtection="1">
      <alignment vertical="center"/>
      <protection locked="0"/>
    </xf>
    <xf numFmtId="165" fontId="19" fillId="4" borderId="247" xfId="19" applyNumberFormat="1" applyFont="1" applyFill="1" applyBorder="1" applyAlignment="1" applyProtection="1">
      <alignment vertical="center"/>
      <protection locked="0"/>
    </xf>
    <xf numFmtId="165" fontId="19" fillId="4" borderId="248" xfId="19" applyNumberFormat="1" applyFont="1" applyFill="1" applyBorder="1" applyAlignment="1" applyProtection="1">
      <alignment vertical="center"/>
      <protection locked="0"/>
    </xf>
    <xf numFmtId="165" fontId="19" fillId="7" borderId="249" xfId="19" applyNumberFormat="1" applyFont="1" applyFill="1" applyBorder="1" applyAlignment="1" applyProtection="1">
      <alignment vertical="center"/>
    </xf>
    <xf numFmtId="0" fontId="8" fillId="0" borderId="243" xfId="0" applyFont="1" applyFill="1" applyBorder="1" applyAlignment="1">
      <alignment vertical="center"/>
    </xf>
    <xf numFmtId="6" fontId="0" fillId="0" borderId="243" xfId="0" quotePrefix="1" applyNumberFormat="1" applyBorder="1" applyAlignment="1">
      <alignment horizontal="center"/>
    </xf>
    <xf numFmtId="165" fontId="19" fillId="4" borderId="251" xfId="19" applyNumberFormat="1" applyFont="1" applyFill="1" applyBorder="1" applyAlignment="1" applyProtection="1">
      <alignment vertical="center"/>
      <protection locked="0"/>
    </xf>
    <xf numFmtId="165" fontId="19"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Fill="1"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9" fillId="7" borderId="259" xfId="19" applyNumberFormat="1" applyFont="1" applyFill="1" applyBorder="1" applyAlignment="1" applyProtection="1">
      <alignment vertical="center"/>
    </xf>
    <xf numFmtId="1" fontId="19" fillId="4" borderId="246" xfId="19" applyNumberFormat="1" applyFont="1" applyFill="1" applyBorder="1" applyAlignment="1" applyProtection="1">
      <alignment vertical="center"/>
      <protection locked="0"/>
    </xf>
    <xf numFmtId="1" fontId="19" fillId="4" borderId="247" xfId="19" applyNumberFormat="1" applyFont="1" applyFill="1" applyBorder="1" applyAlignment="1" applyProtection="1">
      <alignment vertical="center"/>
      <protection locked="0"/>
    </xf>
    <xf numFmtId="165" fontId="19" fillId="4" borderId="261" xfId="19" applyNumberFormat="1" applyFont="1" applyFill="1" applyBorder="1" applyAlignment="1" applyProtection="1">
      <alignment vertical="center"/>
      <protection locked="0"/>
    </xf>
    <xf numFmtId="165" fontId="19" fillId="4" borderId="262"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3" fillId="0" borderId="0" xfId="15" applyFont="1" applyFill="1" applyAlignment="1" applyProtection="1">
      <alignment horizontal="center" vertical="center"/>
    </xf>
    <xf numFmtId="0" fontId="19" fillId="0" borderId="19" xfId="11" applyFont="1" applyFill="1" applyBorder="1" applyAlignment="1" applyProtection="1">
      <alignment horizontal="center" vertical="top"/>
    </xf>
    <xf numFmtId="0" fontId="19" fillId="0" borderId="14" xfId="11" applyFont="1" applyFill="1" applyBorder="1" applyAlignment="1" applyProtection="1">
      <alignment horizontal="center" vertical="top"/>
    </xf>
    <xf numFmtId="165" fontId="19" fillId="4" borderId="263" xfId="19" applyNumberFormat="1" applyFont="1" applyFill="1" applyBorder="1" applyAlignment="1" applyProtection="1">
      <alignment vertical="center"/>
      <protection locked="0"/>
    </xf>
    <xf numFmtId="165" fontId="19" fillId="4" borderId="265" xfId="19" applyNumberFormat="1" applyFont="1" applyFill="1" applyBorder="1" applyAlignment="1" applyProtection="1">
      <alignment vertical="center"/>
      <protection locked="0"/>
    </xf>
    <xf numFmtId="1" fontId="19" fillId="4" borderId="251" xfId="19" applyNumberFormat="1" applyFont="1" applyFill="1" applyBorder="1" applyAlignment="1" applyProtection="1">
      <alignment vertical="center"/>
      <protection locked="0"/>
    </xf>
    <xf numFmtId="1" fontId="19" fillId="4" borderId="252" xfId="19" applyNumberFormat="1" applyFont="1" applyFill="1" applyBorder="1" applyAlignment="1" applyProtection="1">
      <alignment vertical="center"/>
      <protection locked="0"/>
    </xf>
    <xf numFmtId="1" fontId="19" fillId="4" borderId="261" xfId="19" applyNumberFormat="1" applyFont="1" applyFill="1" applyBorder="1" applyAlignment="1" applyProtection="1">
      <alignment vertical="center"/>
      <protection locked="0"/>
    </xf>
    <xf numFmtId="1" fontId="19" fillId="4" borderId="262" xfId="19" applyNumberFormat="1" applyFont="1" applyFill="1" applyBorder="1" applyAlignment="1" applyProtection="1">
      <alignment vertical="center"/>
      <protection locked="0"/>
    </xf>
    <xf numFmtId="2" fontId="26" fillId="4" borderId="12" xfId="9" applyNumberFormat="1" applyFont="1" applyFill="1" applyBorder="1" applyAlignment="1" applyProtection="1">
      <alignment horizontal="right" vertical="center"/>
      <protection locked="0"/>
    </xf>
    <xf numFmtId="2" fontId="26" fillId="4" borderId="9" xfId="9" applyNumberFormat="1" applyFont="1" applyFill="1" applyBorder="1" applyAlignment="1" applyProtection="1">
      <alignment horizontal="right" vertical="center"/>
      <protection locked="0"/>
    </xf>
    <xf numFmtId="0" fontId="25" fillId="8" borderId="25" xfId="7" applyFont="1" applyBorder="1" applyAlignment="1" applyProtection="1">
      <alignment horizontal="center" vertical="center" wrapText="1"/>
    </xf>
    <xf numFmtId="0" fontId="17" fillId="0" borderId="0" xfId="9" applyFont="1" applyFill="1" applyBorder="1" applyAlignment="1" applyProtection="1">
      <alignment horizontal="left" vertical="top" wrapText="1"/>
    </xf>
    <xf numFmtId="0" fontId="23" fillId="0" borderId="0" xfId="8" applyFont="1" applyAlignment="1" applyProtection="1">
      <alignment wrapText="1"/>
    </xf>
    <xf numFmtId="0" fontId="103" fillId="3" borderId="33" xfId="0" applyNumberFormat="1" applyFont="1" applyFill="1" applyBorder="1" applyAlignment="1" applyProtection="1">
      <alignment vertical="center"/>
    </xf>
    <xf numFmtId="0" fontId="61" fillId="0" borderId="43" xfId="6" applyFont="1" applyFill="1" applyBorder="1" applyAlignment="1" applyProtection="1">
      <alignment horizontal="center" vertical="center"/>
    </xf>
    <xf numFmtId="165" fontId="61" fillId="16" borderId="44" xfId="6" applyNumberFormat="1" applyFont="1" applyFill="1" applyBorder="1" applyAlignment="1" applyProtection="1">
      <alignment vertical="center"/>
      <protection locked="0"/>
    </xf>
    <xf numFmtId="165" fontId="61" fillId="16" borderId="43" xfId="6" applyNumberFormat="1" applyFont="1" applyFill="1" applyBorder="1" applyAlignment="1" applyProtection="1">
      <alignment vertical="center"/>
      <protection locked="0"/>
    </xf>
    <xf numFmtId="165" fontId="61" fillId="16" borderId="118" xfId="6" applyNumberFormat="1" applyFont="1" applyFill="1" applyBorder="1" applyAlignment="1" applyProtection="1">
      <alignment vertical="center"/>
      <protection locked="0"/>
    </xf>
    <xf numFmtId="0" fontId="25" fillId="0" borderId="0" xfId="6" applyFont="1" applyFill="1" applyBorder="1" applyAlignment="1" applyProtection="1">
      <alignment vertical="center"/>
    </xf>
    <xf numFmtId="0" fontId="23" fillId="0" borderId="0" xfId="6" applyFont="1" applyFill="1" applyBorder="1" applyAlignment="1" applyProtection="1">
      <alignment horizontal="center" vertical="center" wrapText="1"/>
    </xf>
    <xf numFmtId="20" fontId="26" fillId="4" borderId="9" xfId="11" applyNumberFormat="1" applyFont="1" applyFill="1" applyBorder="1" applyAlignment="1" applyProtection="1">
      <alignment horizontal="right" vertical="center" wrapText="1"/>
      <protection locked="0"/>
    </xf>
    <xf numFmtId="0" fontId="15" fillId="0" borderId="2" xfId="9" applyFont="1" applyFill="1" applyBorder="1" applyAlignment="1" applyProtection="1">
      <alignment horizontal="center" vertical="center"/>
    </xf>
    <xf numFmtId="0" fontId="15" fillId="0" borderId="60" xfId="9" applyFont="1" applyFill="1" applyBorder="1" applyAlignment="1" applyProtection="1">
      <alignment vertical="center"/>
    </xf>
    <xf numFmtId="1" fontId="26" fillId="0" borderId="6" xfId="9" applyNumberFormat="1" applyFont="1" applyFill="1" applyBorder="1" applyAlignment="1" applyProtection="1">
      <alignment horizontal="center" vertical="center"/>
    </xf>
    <xf numFmtId="1" fontId="26" fillId="0" borderId="9" xfId="9" applyNumberFormat="1" applyFont="1" applyFill="1" applyBorder="1" applyAlignment="1" applyProtection="1">
      <alignment horizontal="center" vertical="center"/>
    </xf>
    <xf numFmtId="1" fontId="26" fillId="0" borderId="12" xfId="9" applyNumberFormat="1" applyFont="1" applyFill="1" applyBorder="1" applyAlignment="1" applyProtection="1">
      <alignment horizontal="center" vertical="center"/>
    </xf>
    <xf numFmtId="0" fontId="10" fillId="3" borderId="19" xfId="6" applyFont="1" applyFill="1" applyBorder="1" applyAlignment="1" applyProtection="1">
      <alignment horizontal="center" vertical="center" wrapText="1"/>
    </xf>
    <xf numFmtId="0" fontId="7" fillId="2" borderId="0" xfId="6" applyFont="1" applyFill="1" applyBorder="1" applyAlignment="1">
      <alignment vertical="center"/>
    </xf>
    <xf numFmtId="0" fontId="10" fillId="3" borderId="2" xfId="6" applyFont="1" applyFill="1" applyBorder="1" applyAlignment="1">
      <alignment vertical="center"/>
    </xf>
    <xf numFmtId="0" fontId="10" fillId="3" borderId="3" xfId="6" applyFont="1" applyFill="1" applyBorder="1" applyAlignment="1">
      <alignment horizontal="center" vertical="center" wrapText="1"/>
    </xf>
    <xf numFmtId="0" fontId="6" fillId="0" borderId="0" xfId="0" applyFont="1" applyAlignment="1">
      <alignment horizontal="center" vertical="center"/>
    </xf>
    <xf numFmtId="0" fontId="10" fillId="3" borderId="2" xfId="6" applyFont="1" applyFill="1" applyBorder="1" applyAlignment="1">
      <alignment horizontal="center" vertical="center"/>
    </xf>
    <xf numFmtId="0" fontId="10" fillId="3" borderId="4" xfId="6" applyFont="1" applyFill="1" applyBorder="1" applyAlignment="1">
      <alignment vertical="center"/>
    </xf>
    <xf numFmtId="0" fontId="23" fillId="0" borderId="5" xfId="6" applyFont="1" applyBorder="1" applyAlignment="1">
      <alignment horizontal="center" vertical="center"/>
    </xf>
    <xf numFmtId="0" fontId="12" fillId="0" borderId="6" xfId="6" applyFont="1" applyBorder="1" applyAlignment="1">
      <alignment vertical="center"/>
    </xf>
    <xf numFmtId="0" fontId="25" fillId="0" borderId="6" xfId="6" applyFont="1" applyBorder="1" applyAlignment="1">
      <alignment horizontal="center" vertical="center"/>
    </xf>
    <xf numFmtId="0" fontId="25" fillId="0" borderId="7" xfId="6" applyFont="1" applyBorder="1" applyAlignment="1">
      <alignment horizontal="center" vertical="center"/>
    </xf>
    <xf numFmtId="0" fontId="23" fillId="0" borderId="8" xfId="6" applyFont="1" applyBorder="1" applyAlignment="1">
      <alignment horizontal="center" vertical="center"/>
    </xf>
    <xf numFmtId="0" fontId="12" fillId="0" borderId="9" xfId="6" applyFont="1" applyBorder="1" applyAlignment="1">
      <alignment vertical="center"/>
    </xf>
    <xf numFmtId="0" fontId="25" fillId="0" borderId="9" xfId="6" applyFont="1" applyBorder="1" applyAlignment="1">
      <alignment horizontal="center" vertical="center"/>
    </xf>
    <xf numFmtId="0" fontId="25" fillId="0" borderId="10" xfId="6" applyFont="1" applyBorder="1" applyAlignment="1">
      <alignment horizontal="center" vertical="center"/>
    </xf>
    <xf numFmtId="0" fontId="23" fillId="0" borderId="11" xfId="6" applyFont="1" applyBorder="1" applyAlignment="1">
      <alignment horizontal="center" vertical="center"/>
    </xf>
    <xf numFmtId="0" fontId="12" fillId="0" borderId="12" xfId="6" applyFont="1" applyBorder="1" applyAlignment="1">
      <alignment vertical="center"/>
    </xf>
    <xf numFmtId="0" fontId="25" fillId="0" borderId="12" xfId="6" applyFont="1" applyBorder="1" applyAlignment="1">
      <alignment horizontal="center" vertical="center"/>
    </xf>
    <xf numFmtId="0" fontId="25" fillId="0" borderId="13" xfId="6" applyFont="1" applyBorder="1" applyAlignment="1">
      <alignment horizontal="center" vertical="center"/>
    </xf>
    <xf numFmtId="0" fontId="12" fillId="0" borderId="6" xfId="6" applyFont="1" applyBorder="1" applyAlignment="1">
      <alignment vertical="center" wrapText="1"/>
    </xf>
    <xf numFmtId="0" fontId="12" fillId="0" borderId="44" xfId="6" applyFont="1" applyBorder="1" applyAlignment="1">
      <alignment vertical="center"/>
    </xf>
    <xf numFmtId="0" fontId="25" fillId="0" borderId="62" xfId="6" applyFont="1" applyBorder="1" applyAlignment="1">
      <alignment horizontal="center" vertical="center"/>
    </xf>
    <xf numFmtId="0" fontId="10" fillId="3" borderId="1" xfId="6" applyFont="1" applyFill="1" applyBorder="1" applyAlignment="1" applyProtection="1">
      <alignment vertical="center" wrapText="1"/>
    </xf>
    <xf numFmtId="165" fontId="61" fillId="16" borderId="37" xfId="6" applyNumberFormat="1" applyFont="1" applyFill="1" applyBorder="1" applyAlignment="1" applyProtection="1">
      <alignment vertical="center"/>
      <protection locked="0"/>
    </xf>
    <xf numFmtId="165" fontId="61" fillId="16" borderId="39" xfId="6" applyNumberFormat="1" applyFont="1" applyFill="1" applyBorder="1" applyAlignment="1" applyProtection="1">
      <alignment vertical="center"/>
      <protection locked="0"/>
    </xf>
    <xf numFmtId="165" fontId="26" fillId="17" borderId="41" xfId="11" applyNumberFormat="1" applyFont="1" applyFill="1" applyBorder="1" applyProtection="1"/>
    <xf numFmtId="165" fontId="61" fillId="16" borderId="37" xfId="20" applyNumberFormat="1" applyFont="1" applyFill="1" applyBorder="1" applyAlignment="1" applyProtection="1">
      <alignment vertical="center"/>
      <protection locked="0"/>
    </xf>
    <xf numFmtId="165" fontId="61" fillId="16" borderId="39" xfId="20" applyNumberFormat="1" applyFont="1" applyFill="1" applyBorder="1" applyAlignment="1" applyProtection="1">
      <alignment vertical="center"/>
      <protection locked="0"/>
    </xf>
    <xf numFmtId="165" fontId="61" fillId="17" borderId="39" xfId="6" applyNumberFormat="1" applyFont="1" applyFill="1" applyBorder="1" applyAlignment="1" applyProtection="1">
      <alignment vertical="center"/>
    </xf>
    <xf numFmtId="165" fontId="61" fillId="17" borderId="41" xfId="6" applyNumberFormat="1" applyFont="1" applyFill="1" applyBorder="1" applyAlignment="1" applyProtection="1">
      <alignment vertical="center"/>
    </xf>
    <xf numFmtId="165" fontId="61" fillId="16" borderId="117" xfId="6" applyNumberFormat="1" applyFont="1" applyFill="1" applyBorder="1" applyAlignment="1" applyProtection="1">
      <alignment vertical="center"/>
      <protection locked="0"/>
    </xf>
    <xf numFmtId="165" fontId="61" fillId="16" borderId="24" xfId="6" applyNumberFormat="1" applyFont="1" applyFill="1" applyBorder="1" applyAlignment="1" applyProtection="1">
      <alignment vertical="center"/>
      <protection locked="0"/>
    </xf>
    <xf numFmtId="165" fontId="61" fillId="16" borderId="26" xfId="6" applyNumberFormat="1" applyFont="1" applyFill="1" applyBorder="1" applyAlignment="1" applyProtection="1">
      <alignment vertical="center"/>
      <protection locked="0"/>
    </xf>
    <xf numFmtId="165" fontId="26" fillId="17" borderId="27" xfId="11" applyNumberFormat="1" applyFont="1" applyFill="1" applyBorder="1" applyProtection="1"/>
    <xf numFmtId="165" fontId="61" fillId="16" borderId="24" xfId="20" applyNumberFormat="1" applyFont="1" applyFill="1" applyBorder="1" applyAlignment="1" applyProtection="1">
      <alignment vertical="center"/>
      <protection locked="0"/>
    </xf>
    <xf numFmtId="165" fontId="61" fillId="16" borderId="26" xfId="20" applyNumberFormat="1" applyFont="1" applyFill="1" applyBorder="1" applyAlignment="1" applyProtection="1">
      <alignment vertical="center"/>
      <protection locked="0"/>
    </xf>
    <xf numFmtId="165" fontId="61" fillId="17" borderId="26" xfId="6" applyNumberFormat="1" applyFont="1" applyFill="1" applyBorder="1" applyAlignment="1" applyProtection="1">
      <alignment vertical="center"/>
    </xf>
    <xf numFmtId="165" fontId="61" fillId="17" borderId="27" xfId="6" applyNumberFormat="1" applyFont="1" applyFill="1" applyBorder="1" applyAlignment="1" applyProtection="1">
      <alignment vertical="center"/>
    </xf>
    <xf numFmtId="165" fontId="61" fillId="16" borderId="126" xfId="6" applyNumberFormat="1" applyFont="1" applyFill="1" applyBorder="1" applyAlignment="1" applyProtection="1">
      <alignment vertical="center"/>
      <protection locked="0"/>
    </xf>
    <xf numFmtId="0" fontId="0" fillId="0" borderId="0" xfId="0" applyFont="1" applyProtection="1"/>
    <xf numFmtId="0" fontId="24" fillId="0" borderId="0" xfId="6" applyFont="1" applyFill="1" applyBorder="1" applyAlignment="1" applyProtection="1">
      <alignment vertical="center"/>
    </xf>
    <xf numFmtId="0" fontId="24" fillId="0" borderId="0" xfId="6" applyFont="1" applyFill="1" applyBorder="1" applyAlignment="1" applyProtection="1">
      <alignment horizontal="right" vertical="center"/>
    </xf>
    <xf numFmtId="0" fontId="8" fillId="0" borderId="0" xfId="11" applyFont="1" applyFill="1" applyAlignment="1" applyProtection="1">
      <alignment vertical="center"/>
    </xf>
    <xf numFmtId="0" fontId="0" fillId="0" borderId="0" xfId="6" applyFont="1" applyFill="1" applyAlignment="1" applyProtection="1">
      <alignment vertical="center"/>
    </xf>
    <xf numFmtId="0" fontId="4" fillId="0" borderId="0" xfId="6" applyFont="1" applyAlignment="1" applyProtection="1">
      <alignment vertical="center"/>
    </xf>
    <xf numFmtId="165" fontId="26" fillId="17" borderId="40" xfId="11" applyNumberFormat="1" applyFont="1" applyFill="1" applyBorder="1" applyProtection="1"/>
    <xf numFmtId="165" fontId="61" fillId="17" borderId="267" xfId="6" applyNumberFormat="1" applyFont="1" applyFill="1" applyBorder="1" applyAlignment="1" applyProtection="1">
      <alignment vertical="center"/>
    </xf>
    <xf numFmtId="165" fontId="61" fillId="17" borderId="268" xfId="6" applyNumberFormat="1" applyFont="1" applyFill="1" applyBorder="1" applyAlignment="1" applyProtection="1">
      <alignment vertical="center"/>
    </xf>
    <xf numFmtId="165" fontId="61" fillId="17" borderId="269" xfId="6" applyNumberFormat="1" applyFont="1" applyFill="1" applyBorder="1" applyAlignment="1" applyProtection="1">
      <alignment vertical="center"/>
    </xf>
    <xf numFmtId="165" fontId="61" fillId="17" borderId="270" xfId="6" applyNumberFormat="1" applyFont="1" applyFill="1" applyBorder="1" applyAlignment="1" applyProtection="1">
      <alignment vertical="center"/>
    </xf>
    <xf numFmtId="165" fontId="61" fillId="17" borderId="271" xfId="6" applyNumberFormat="1" applyFont="1" applyFill="1" applyBorder="1" applyAlignment="1" applyProtection="1">
      <alignment vertical="center"/>
    </xf>
    <xf numFmtId="165" fontId="61" fillId="18" borderId="272" xfId="6" applyNumberFormat="1" applyFont="1" applyFill="1" applyBorder="1" applyAlignment="1" applyProtection="1">
      <alignment vertical="center"/>
    </xf>
    <xf numFmtId="0" fontId="18" fillId="0" borderId="0" xfId="11" applyFont="1" applyFill="1" applyBorder="1" applyAlignment="1" applyProtection="1">
      <alignment vertical="center"/>
    </xf>
    <xf numFmtId="0" fontId="110" fillId="0" borderId="0" xfId="18" applyFont="1"/>
    <xf numFmtId="0" fontId="4" fillId="3" borderId="0" xfId="6" applyFont="1" applyFill="1" applyAlignment="1" applyProtection="1">
      <alignment vertical="center"/>
    </xf>
    <xf numFmtId="165" fontId="19" fillId="4" borderId="28" xfId="2" applyNumberFormat="1" applyFont="1" applyFill="1" applyBorder="1" applyAlignment="1" applyProtection="1">
      <alignment vertical="center"/>
      <protection locked="0"/>
    </xf>
    <xf numFmtId="165" fontId="19" fillId="4" borderId="114" xfId="2" applyNumberFormat="1" applyFont="1" applyFill="1" applyBorder="1" applyAlignment="1" applyProtection="1">
      <alignment vertical="center"/>
      <protection locked="0"/>
    </xf>
    <xf numFmtId="165" fontId="19" fillId="4" borderId="42" xfId="2" applyNumberFormat="1" applyFont="1" applyFill="1" applyBorder="1" applyAlignment="1" applyProtection="1">
      <alignment vertical="center"/>
      <protection locked="0"/>
    </xf>
    <xf numFmtId="165" fontId="19" fillId="4" borderId="57" xfId="2" applyNumberFormat="1" applyFont="1" applyFill="1" applyBorder="1" applyAlignment="1" applyProtection="1">
      <alignment vertical="center"/>
      <protection locked="0"/>
    </xf>
    <xf numFmtId="165" fontId="19" fillId="21" borderId="33" xfId="11" applyNumberFormat="1" applyFont="1" applyFill="1" applyBorder="1" applyAlignment="1" applyProtection="1">
      <alignment vertical="center"/>
      <protection locked="0"/>
    </xf>
    <xf numFmtId="165" fontId="19" fillId="4" borderId="6" xfId="2" applyNumberFormat="1" applyFont="1" applyFill="1" applyBorder="1" applyAlignment="1" applyProtection="1">
      <alignment vertical="center"/>
      <protection locked="0"/>
    </xf>
    <xf numFmtId="165" fontId="19" fillId="4" borderId="47" xfId="2" applyNumberFormat="1" applyFont="1" applyFill="1" applyBorder="1" applyAlignment="1" applyProtection="1">
      <alignment vertical="center"/>
      <protection locked="0"/>
    </xf>
    <xf numFmtId="165" fontId="19" fillId="4" borderId="12" xfId="2" applyNumberFormat="1" applyFont="1" applyFill="1" applyBorder="1" applyAlignment="1" applyProtection="1">
      <alignment vertical="center"/>
      <protection locked="0"/>
    </xf>
    <xf numFmtId="165" fontId="19" fillId="21" borderId="3" xfId="11" applyNumberFormat="1" applyFont="1" applyFill="1" applyBorder="1" applyAlignment="1" applyProtection="1">
      <alignment vertical="center"/>
      <protection locked="0"/>
    </xf>
    <xf numFmtId="165" fontId="19" fillId="21" borderId="60" xfId="11" applyNumberFormat="1" applyFont="1" applyFill="1" applyBorder="1" applyAlignment="1" applyProtection="1">
      <alignment vertical="center"/>
      <protection locked="0"/>
    </xf>
    <xf numFmtId="165" fontId="19" fillId="4" borderId="45" xfId="2" applyNumberFormat="1" applyFont="1" applyFill="1" applyBorder="1" applyAlignment="1" applyProtection="1">
      <alignment vertical="center"/>
      <protection locked="0"/>
    </xf>
    <xf numFmtId="165" fontId="19" fillId="4" borderId="37" xfId="2" applyNumberFormat="1" applyFont="1" applyFill="1" applyBorder="1" applyAlignment="1" applyProtection="1">
      <alignment vertical="center"/>
      <protection locked="0"/>
    </xf>
    <xf numFmtId="165" fontId="19" fillId="4" borderId="125" xfId="2" applyNumberFormat="1" applyFont="1" applyFill="1" applyBorder="1" applyAlignment="1" applyProtection="1">
      <alignment vertical="center"/>
      <protection locked="0"/>
    </xf>
    <xf numFmtId="165" fontId="19" fillId="4" borderId="41" xfId="2" applyNumberFormat="1" applyFont="1" applyFill="1" applyBorder="1" applyAlignment="1" applyProtection="1">
      <alignment vertical="center"/>
      <protection locked="0"/>
    </xf>
    <xf numFmtId="165" fontId="19" fillId="4" borderId="57" xfId="19" applyNumberFormat="1" applyFont="1" applyFill="1" applyBorder="1" applyAlignment="1" applyProtection="1">
      <alignment vertical="center"/>
      <protection locked="0"/>
    </xf>
    <xf numFmtId="165" fontId="19" fillId="4" borderId="6" xfId="19" applyNumberFormat="1" applyFont="1" applyFill="1" applyBorder="1" applyAlignment="1" applyProtection="1">
      <alignment vertical="center"/>
      <protection locked="0"/>
    </xf>
    <xf numFmtId="165" fontId="19" fillId="4" borderId="9" xfId="19" applyNumberFormat="1" applyFont="1" applyFill="1" applyBorder="1" applyAlignment="1" applyProtection="1">
      <alignment vertical="center"/>
      <protection locked="0"/>
    </xf>
    <xf numFmtId="165" fontId="19" fillId="4" borderId="12" xfId="19" applyNumberFormat="1" applyFont="1" applyFill="1" applyBorder="1" applyAlignment="1" applyProtection="1">
      <alignment vertical="center"/>
      <protection locked="0"/>
    </xf>
    <xf numFmtId="165" fontId="19" fillId="4" borderId="36" xfId="19" applyNumberFormat="1" applyFont="1" applyFill="1" applyBorder="1" applyAlignment="1" applyProtection="1">
      <alignment vertical="center"/>
      <protection locked="0"/>
    </xf>
    <xf numFmtId="165" fontId="19" fillId="4" borderId="38" xfId="19" applyNumberFormat="1" applyFont="1" applyFill="1" applyBorder="1" applyAlignment="1" applyProtection="1">
      <alignment vertical="center"/>
      <protection locked="0"/>
    </xf>
    <xf numFmtId="165" fontId="19" fillId="4" borderId="40" xfId="19" applyNumberFormat="1" applyFont="1" applyFill="1" applyBorder="1" applyAlignment="1" applyProtection="1">
      <alignment vertical="center"/>
      <protection locked="0"/>
    </xf>
    <xf numFmtId="165" fontId="19" fillId="4" borderId="7" xfId="19" applyNumberFormat="1" applyFont="1" applyFill="1" applyBorder="1" applyAlignment="1" applyProtection="1">
      <alignment vertical="center"/>
      <protection locked="0"/>
    </xf>
    <xf numFmtId="165" fontId="19" fillId="4" borderId="10" xfId="19" applyNumberFormat="1" applyFont="1" applyFill="1" applyBorder="1" applyAlignment="1" applyProtection="1">
      <alignment vertical="center"/>
      <protection locked="0"/>
    </xf>
    <xf numFmtId="165" fontId="19" fillId="4" borderId="13" xfId="19" applyNumberFormat="1" applyFont="1" applyFill="1" applyBorder="1" applyAlignment="1" applyProtection="1">
      <alignment vertical="center"/>
      <protection locked="0"/>
    </xf>
    <xf numFmtId="165" fontId="19" fillId="21" borderId="4" xfId="11" applyNumberFormat="1" applyFont="1" applyFill="1" applyBorder="1" applyAlignment="1" applyProtection="1">
      <alignment vertical="center"/>
      <protection locked="0"/>
    </xf>
    <xf numFmtId="0" fontId="26" fillId="23" borderId="43" xfId="11" applyFont="1" applyFill="1" applyBorder="1" applyAlignment="1" applyProtection="1">
      <alignment horizontal="center" vertical="center"/>
    </xf>
    <xf numFmtId="0" fontId="17" fillId="23" borderId="44" xfId="11" applyFont="1" applyFill="1" applyBorder="1" applyAlignment="1" applyProtection="1">
      <alignment horizontal="center" vertical="center"/>
    </xf>
    <xf numFmtId="0" fontId="17" fillId="23" borderId="62" xfId="11" applyFont="1" applyFill="1" applyBorder="1" applyAlignment="1" applyProtection="1">
      <alignment horizontal="center" vertical="center"/>
    </xf>
    <xf numFmtId="0" fontId="26" fillId="23" borderId="2" xfId="11" applyFont="1" applyFill="1" applyBorder="1" applyAlignment="1" applyProtection="1">
      <alignment horizontal="center" vertical="center"/>
    </xf>
    <xf numFmtId="0" fontId="17" fillId="23" borderId="3" xfId="11" applyFont="1" applyFill="1" applyBorder="1" applyAlignment="1" applyProtection="1">
      <alignment horizontal="center" vertical="center"/>
    </xf>
    <xf numFmtId="0" fontId="17" fillId="23" borderId="4" xfId="11" applyFont="1" applyFill="1" applyBorder="1" applyAlignment="1" applyProtection="1">
      <alignment horizontal="center" vertical="center"/>
    </xf>
    <xf numFmtId="0" fontId="61" fillId="0" borderId="14" xfId="6" applyFont="1" applyFill="1" applyBorder="1" applyAlignment="1" applyProtection="1">
      <alignment horizontal="center" vertical="center"/>
    </xf>
    <xf numFmtId="0" fontId="61" fillId="0" borderId="61" xfId="6" applyFont="1" applyFill="1" applyBorder="1" applyAlignment="1" applyProtection="1">
      <alignment horizontal="center" vertical="center"/>
    </xf>
    <xf numFmtId="165" fontId="12" fillId="4" borderId="44" xfId="6" applyNumberFormat="1" applyFont="1" applyFill="1" applyBorder="1" applyAlignment="1" applyProtection="1">
      <alignment vertical="center" wrapText="1"/>
      <protection locked="0"/>
    </xf>
    <xf numFmtId="0" fontId="26" fillId="0" borderId="228" xfId="11" applyFont="1" applyFill="1" applyBorder="1" applyAlignment="1" applyProtection="1">
      <alignment horizontal="center" vertical="center"/>
    </xf>
    <xf numFmtId="0" fontId="25" fillId="0" borderId="216" xfId="6" applyFont="1" applyBorder="1" applyAlignment="1" applyProtection="1">
      <alignment horizontal="center" vertical="center"/>
    </xf>
    <xf numFmtId="0" fontId="25" fillId="0" borderId="275" xfId="6" applyFont="1" applyBorder="1" applyAlignment="1" applyProtection="1">
      <alignment horizontal="center" vertical="center"/>
    </xf>
    <xf numFmtId="0" fontId="12" fillId="0" borderId="46" xfId="6" applyFont="1" applyBorder="1" applyAlignment="1" applyProtection="1">
      <alignment vertical="center"/>
    </xf>
    <xf numFmtId="0" fontId="25" fillId="0" borderId="46" xfId="6" applyFont="1" applyBorder="1" applyAlignment="1" applyProtection="1">
      <alignment horizontal="center" vertical="center"/>
    </xf>
    <xf numFmtId="0" fontId="10" fillId="25" borderId="1" xfId="11" applyFont="1" applyFill="1" applyBorder="1" applyAlignment="1" applyProtection="1">
      <alignment horizontal="center" vertical="center" wrapText="1"/>
    </xf>
    <xf numFmtId="0" fontId="10" fillId="3" borderId="2" xfId="6" applyFont="1" applyFill="1" applyBorder="1" applyAlignment="1" applyProtection="1">
      <alignment vertical="center" wrapText="1"/>
    </xf>
    <xf numFmtId="0" fontId="10" fillId="3" borderId="61" xfId="6" applyFont="1" applyFill="1" applyBorder="1" applyAlignment="1" applyProtection="1">
      <alignment horizontal="left" vertical="center" wrapText="1"/>
    </xf>
    <xf numFmtId="0" fontId="10" fillId="3" borderId="3" xfId="6" applyFont="1" applyFill="1" applyBorder="1" applyAlignment="1" applyProtection="1">
      <alignment vertical="center" wrapText="1"/>
    </xf>
    <xf numFmtId="0" fontId="10" fillId="3" borderId="60" xfId="6" applyFont="1" applyFill="1" applyBorder="1" applyAlignment="1" applyProtection="1">
      <alignment vertical="center" wrapText="1"/>
    </xf>
    <xf numFmtId="0" fontId="10" fillId="25" borderId="2" xfId="6" applyFont="1" applyFill="1" applyBorder="1" applyAlignment="1" applyProtection="1">
      <alignment horizontal="center" vertical="center" wrapText="1"/>
    </xf>
    <xf numFmtId="0" fontId="10" fillId="25" borderId="3" xfId="6" applyFont="1" applyFill="1" applyBorder="1" applyAlignment="1" applyProtection="1">
      <alignment horizontal="center" vertical="center" wrapText="1"/>
    </xf>
    <xf numFmtId="0" fontId="10" fillId="3" borderId="60" xfId="6" applyFont="1" applyFill="1" applyBorder="1" applyAlignment="1" applyProtection="1">
      <alignment horizontal="center" vertical="center" wrapText="1"/>
    </xf>
    <xf numFmtId="0" fontId="0" fillId="0" borderId="256" xfId="0" applyBorder="1" applyAlignment="1">
      <alignment horizontal="center"/>
    </xf>
    <xf numFmtId="0" fontId="8" fillId="0" borderId="256" xfId="0" applyFont="1" applyFill="1" applyBorder="1" applyAlignment="1">
      <alignment vertical="center"/>
    </xf>
    <xf numFmtId="165" fontId="19" fillId="4" borderId="276" xfId="19" applyNumberFormat="1" applyFont="1" applyFill="1" applyBorder="1" applyAlignment="1" applyProtection="1">
      <alignment vertical="center"/>
      <protection locked="0"/>
    </xf>
    <xf numFmtId="165" fontId="19" fillId="4" borderId="277" xfId="19" applyNumberFormat="1" applyFont="1" applyFill="1" applyBorder="1" applyAlignment="1" applyProtection="1">
      <alignment vertical="center"/>
      <protection locked="0"/>
    </xf>
    <xf numFmtId="165" fontId="19" fillId="4" borderId="278" xfId="19" applyNumberFormat="1" applyFont="1" applyFill="1" applyBorder="1" applyAlignment="1" applyProtection="1">
      <alignment vertical="center"/>
      <protection locked="0"/>
    </xf>
    <xf numFmtId="165" fontId="19"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9" fillId="4" borderId="276" xfId="19" applyNumberFormat="1" applyFont="1" applyFill="1" applyBorder="1" applyAlignment="1" applyProtection="1">
      <alignment vertical="center"/>
      <protection locked="0"/>
    </xf>
    <xf numFmtId="1" fontId="19" fillId="4" borderId="238" xfId="19" applyNumberFormat="1" applyFont="1" applyFill="1" applyBorder="1" applyAlignment="1" applyProtection="1">
      <alignment vertical="center"/>
      <protection locked="0"/>
    </xf>
    <xf numFmtId="1" fontId="19" fillId="4" borderId="277" xfId="19" applyNumberFormat="1" applyFont="1" applyFill="1" applyBorder="1" applyAlignment="1" applyProtection="1">
      <alignment vertical="center"/>
      <protection locked="0"/>
    </xf>
    <xf numFmtId="165" fontId="19" fillId="7" borderId="282" xfId="19" applyNumberFormat="1" applyFont="1" applyFill="1" applyBorder="1" applyAlignment="1" applyProtection="1">
      <alignment vertical="center"/>
    </xf>
    <xf numFmtId="165" fontId="19" fillId="7" borderId="32" xfId="19" applyNumberFormat="1" applyFont="1" applyFill="1" applyBorder="1" applyAlignment="1" applyProtection="1">
      <alignment vertical="center"/>
    </xf>
    <xf numFmtId="165" fontId="19" fillId="7" borderId="283" xfId="19" applyNumberFormat="1" applyFont="1" applyFill="1" applyBorder="1" applyAlignment="1" applyProtection="1">
      <alignment vertical="center"/>
    </xf>
    <xf numFmtId="165" fontId="19" fillId="7" borderId="30" xfId="19" applyNumberFormat="1" applyFont="1" applyFill="1" applyBorder="1" applyAlignment="1" applyProtection="1">
      <alignment vertical="center"/>
    </xf>
    <xf numFmtId="0" fontId="25" fillId="0" borderId="44" xfId="6" applyFont="1" applyBorder="1" applyAlignment="1">
      <alignment horizontal="center" vertical="center"/>
    </xf>
    <xf numFmtId="0" fontId="10" fillId="3" borderId="0" xfId="6" applyFont="1" applyFill="1" applyBorder="1" applyAlignment="1" applyProtection="1">
      <alignment vertical="center"/>
    </xf>
    <xf numFmtId="0" fontId="19" fillId="0" borderId="20" xfId="9" applyFont="1" applyFill="1" applyBorder="1" applyAlignment="1" applyProtection="1">
      <alignment horizontal="left" vertical="center"/>
    </xf>
    <xf numFmtId="0" fontId="10" fillId="3" borderId="34" xfId="9" applyFont="1" applyFill="1" applyBorder="1" applyAlignment="1" applyProtection="1">
      <alignment horizontal="left" vertical="center"/>
    </xf>
    <xf numFmtId="0" fontId="10" fillId="3" borderId="0" xfId="9" applyFont="1" applyFill="1" applyBorder="1" applyAlignment="1" applyProtection="1">
      <alignment vertical="center"/>
    </xf>
    <xf numFmtId="0" fontId="19" fillId="0" borderId="61" xfId="9" applyFont="1" applyFill="1" applyBorder="1" applyAlignment="1" applyProtection="1">
      <alignment vertical="center"/>
    </xf>
    <xf numFmtId="0" fontId="19" fillId="0" borderId="28" xfId="9" applyFont="1" applyFill="1" applyBorder="1" applyAlignment="1" applyProtection="1">
      <alignment vertical="center"/>
    </xf>
    <xf numFmtId="0" fontId="19" fillId="0" borderId="29" xfId="9" applyFont="1" applyFill="1" applyBorder="1" applyAlignment="1" applyProtection="1">
      <alignment vertical="center"/>
    </xf>
    <xf numFmtId="0" fontId="19" fillId="0" borderId="42" xfId="9" applyFont="1" applyFill="1" applyBorder="1" applyAlignment="1" applyProtection="1">
      <alignment vertical="center"/>
    </xf>
    <xf numFmtId="0" fontId="19" fillId="0" borderId="41" xfId="9" applyFont="1" applyFill="1" applyBorder="1" applyAlignment="1" applyProtection="1">
      <alignment vertical="center"/>
    </xf>
    <xf numFmtId="0" fontId="10" fillId="3" borderId="61" xfId="9" applyFont="1" applyFill="1" applyBorder="1" applyAlignment="1" applyProtection="1">
      <alignment horizontal="left" vertical="center"/>
    </xf>
    <xf numFmtId="0" fontId="19" fillId="0" borderId="37" xfId="9" applyFont="1" applyFill="1" applyBorder="1" applyAlignment="1" applyProtection="1">
      <alignment vertical="center"/>
    </xf>
    <xf numFmtId="0" fontId="19" fillId="0" borderId="39" xfId="9" applyFont="1" applyFill="1" applyBorder="1" applyAlignment="1" applyProtection="1">
      <alignment vertical="center"/>
    </xf>
    <xf numFmtId="0" fontId="19" fillId="0" borderId="39" xfId="9" quotePrefix="1" applyFont="1" applyFill="1" applyBorder="1" applyAlignment="1" applyProtection="1">
      <alignment vertical="center"/>
    </xf>
    <xf numFmtId="0" fontId="19" fillId="0" borderId="117" xfId="9" applyFont="1" applyFill="1" applyBorder="1" applyAlignment="1" applyProtection="1">
      <alignment vertical="center"/>
    </xf>
    <xf numFmtId="0" fontId="10" fillId="3" borderId="34" xfId="6" applyFont="1" applyFill="1" applyBorder="1" applyAlignment="1" applyProtection="1">
      <alignment horizontal="left" vertical="center"/>
    </xf>
    <xf numFmtId="0" fontId="12" fillId="0" borderId="28" xfId="6" applyFont="1" applyBorder="1" applyAlignment="1" applyProtection="1">
      <alignment vertical="center"/>
    </xf>
    <xf numFmtId="0" fontId="12" fillId="0" borderId="29" xfId="6" applyFont="1" applyBorder="1" applyAlignment="1" applyProtection="1">
      <alignment vertical="center"/>
    </xf>
    <xf numFmtId="0" fontId="12" fillId="0" borderId="45" xfId="6" applyFont="1" applyBorder="1" applyAlignment="1" applyProtection="1">
      <alignment vertical="center"/>
    </xf>
    <xf numFmtId="0" fontId="10" fillId="3" borderId="0" xfId="9" applyFont="1" applyFill="1" applyBorder="1" applyAlignment="1" applyProtection="1">
      <alignment horizontal="left" vertical="center"/>
    </xf>
    <xf numFmtId="0" fontId="19" fillId="0" borderId="47" xfId="9" applyFont="1" applyFill="1" applyBorder="1" applyAlignment="1" applyProtection="1">
      <alignment vertical="center"/>
    </xf>
    <xf numFmtId="0" fontId="12" fillId="0" borderId="34" xfId="6" applyFont="1" applyBorder="1" applyAlignment="1" applyProtection="1">
      <alignment vertical="center"/>
    </xf>
    <xf numFmtId="0" fontId="0" fillId="3" borderId="0" xfId="0" applyFill="1" applyBorder="1" applyProtection="1"/>
    <xf numFmtId="0" fontId="10" fillId="3" borderId="110" xfId="6" applyFont="1" applyFill="1" applyBorder="1" applyAlignment="1" applyProtection="1">
      <alignment vertical="center"/>
    </xf>
    <xf numFmtId="6" fontId="25" fillId="0" borderId="3" xfId="6" quotePrefix="1" applyNumberFormat="1" applyFont="1" applyBorder="1" applyAlignment="1" applyProtection="1">
      <alignment horizontal="center" vertical="center"/>
    </xf>
    <xf numFmtId="0" fontId="25" fillId="0" borderId="9" xfId="6" quotePrefix="1" applyFont="1" applyBorder="1" applyAlignment="1">
      <alignment horizontal="center" vertical="center"/>
    </xf>
    <xf numFmtId="0" fontId="14" fillId="0" borderId="2" xfId="5" applyFont="1" applyBorder="1" applyAlignment="1" applyProtection="1">
      <alignment vertical="center"/>
    </xf>
    <xf numFmtId="0" fontId="22" fillId="5" borderId="3" xfId="0" applyFont="1" applyFill="1" applyBorder="1" applyAlignment="1" applyProtection="1">
      <alignment horizontal="center" vertical="center" wrapText="1"/>
    </xf>
    <xf numFmtId="0" fontId="22" fillId="3" borderId="3" xfId="0" applyFont="1" applyFill="1" applyBorder="1" applyAlignment="1" applyProtection="1">
      <alignment horizontal="center" vertical="center" wrapText="1"/>
    </xf>
    <xf numFmtId="0" fontId="22" fillId="3" borderId="36" xfId="0"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22" fillId="5" borderId="36" xfId="0" applyFont="1" applyFill="1" applyBorder="1" applyAlignment="1" applyProtection="1">
      <alignment horizontal="center" vertical="center" wrapText="1"/>
    </xf>
    <xf numFmtId="0" fontId="22" fillId="5" borderId="38" xfId="0" applyFont="1" applyFill="1" applyBorder="1" applyAlignment="1" applyProtection="1">
      <alignment horizontal="center" vertical="center" wrapText="1"/>
    </xf>
    <xf numFmtId="0" fontId="22"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22" fillId="6" borderId="38" xfId="0" applyFont="1" applyFill="1" applyBorder="1" applyAlignment="1" applyProtection="1">
      <alignment horizontal="center" vertical="center" wrapText="1"/>
    </xf>
    <xf numFmtId="0" fontId="0" fillId="0" borderId="30" xfId="0" applyBorder="1"/>
    <xf numFmtId="1" fontId="26" fillId="4" borderId="31" xfId="11" applyNumberFormat="1" applyFont="1" applyFill="1" applyBorder="1" applyAlignment="1" applyProtection="1">
      <alignment vertical="center"/>
      <protection locked="0"/>
    </xf>
    <xf numFmtId="1" fontId="26" fillId="4" borderId="32" xfId="11" applyNumberFormat="1" applyFont="1" applyFill="1" applyBorder="1" applyAlignment="1" applyProtection="1">
      <alignment vertical="center"/>
      <protection locked="0"/>
    </xf>
    <xf numFmtId="1" fontId="26" fillId="4" borderId="109" xfId="11" applyNumberFormat="1" applyFont="1" applyFill="1" applyBorder="1" applyAlignment="1" applyProtection="1">
      <alignment vertical="center"/>
      <protection locked="0"/>
    </xf>
    <xf numFmtId="1" fontId="26" fillId="4" borderId="30" xfId="11" applyNumberFormat="1" applyFont="1" applyFill="1" applyBorder="1" applyAlignment="1" applyProtection="1">
      <alignment vertical="center"/>
      <protection locked="0"/>
    </xf>
    <xf numFmtId="2" fontId="26" fillId="4" borderId="31" xfId="11" applyNumberFormat="1" applyFont="1" applyFill="1" applyBorder="1" applyAlignment="1" applyProtection="1">
      <alignment vertical="center"/>
      <protection locked="0"/>
    </xf>
    <xf numFmtId="2" fontId="26" fillId="4" borderId="32" xfId="11" applyNumberFormat="1" applyFont="1" applyFill="1" applyBorder="1" applyAlignment="1" applyProtection="1">
      <alignment vertical="center"/>
      <protection locked="0"/>
    </xf>
    <xf numFmtId="0" fontId="23" fillId="0" borderId="5" xfId="6" applyFont="1" applyBorder="1" applyAlignment="1">
      <alignment horizontal="left" vertical="top"/>
    </xf>
    <xf numFmtId="0" fontId="23" fillId="0" borderId="8" xfId="6" applyFont="1" applyBorder="1" applyAlignment="1">
      <alignment horizontal="left" vertical="top"/>
    </xf>
    <xf numFmtId="0" fontId="23" fillId="0" borderId="11" xfId="6" applyFont="1" applyBorder="1" applyAlignment="1">
      <alignment horizontal="left" vertical="top"/>
    </xf>
    <xf numFmtId="0" fontId="10" fillId="3" borderId="4" xfId="6" applyFont="1" applyFill="1" applyBorder="1" applyAlignment="1">
      <alignment horizontal="center" vertical="center"/>
    </xf>
    <xf numFmtId="0" fontId="111" fillId="0" borderId="0" xfId="0" applyFont="1" applyAlignment="1">
      <alignment vertical="center"/>
    </xf>
    <xf numFmtId="165" fontId="61" fillId="0" borderId="44" xfId="6" applyNumberFormat="1" applyFont="1" applyFill="1" applyBorder="1" applyAlignment="1" applyProtection="1">
      <alignment vertical="center"/>
      <protection locked="0"/>
    </xf>
    <xf numFmtId="165" fontId="61" fillId="17" borderId="284" xfId="6" applyNumberFormat="1" applyFont="1" applyFill="1" applyBorder="1" applyAlignment="1" applyProtection="1">
      <alignment vertical="center"/>
    </xf>
    <xf numFmtId="0" fontId="17" fillId="0" borderId="0" xfId="0" applyFont="1" applyAlignment="1">
      <alignment horizontal="center" vertical="center" wrapText="1"/>
    </xf>
    <xf numFmtId="0" fontId="0" fillId="6" borderId="0" xfId="0" applyFill="1" applyProtection="1"/>
    <xf numFmtId="0" fontId="23" fillId="6" borderId="0" xfId="6" applyFont="1" applyFill="1" applyAlignment="1" applyProtection="1">
      <alignment vertical="center"/>
    </xf>
    <xf numFmtId="0" fontId="4" fillId="29" borderId="0" xfId="8" applyFill="1" applyAlignment="1" applyProtection="1">
      <alignment vertical="center"/>
    </xf>
    <xf numFmtId="0" fontId="12" fillId="29" borderId="0" xfId="8" applyFont="1" applyFill="1" applyAlignment="1" applyProtection="1">
      <alignment vertical="center"/>
    </xf>
    <xf numFmtId="0" fontId="4" fillId="29" borderId="0" xfId="8" applyFill="1" applyAlignment="1" applyProtection="1">
      <alignment horizontal="center" vertical="center"/>
    </xf>
    <xf numFmtId="0" fontId="4" fillId="29" borderId="0" xfId="6" applyFill="1" applyAlignment="1" applyProtection="1">
      <alignment vertical="center"/>
    </xf>
    <xf numFmtId="0" fontId="19" fillId="29" borderId="0" xfId="9" applyFont="1" applyFill="1" applyAlignment="1" applyProtection="1">
      <alignment vertical="center"/>
    </xf>
    <xf numFmtId="0" fontId="8" fillId="29" borderId="0" xfId="0" applyFont="1" applyFill="1" applyProtection="1"/>
    <xf numFmtId="0" fontId="0" fillId="29" borderId="0" xfId="0" applyFill="1" applyProtection="1"/>
    <xf numFmtId="0" fontId="15" fillId="29" borderId="0" xfId="9" applyFont="1" applyFill="1" applyAlignment="1" applyProtection="1">
      <alignment vertical="center"/>
    </xf>
    <xf numFmtId="0" fontId="23" fillId="29" borderId="0" xfId="8" applyFont="1" applyFill="1" applyAlignment="1" applyProtection="1">
      <alignment vertical="center"/>
    </xf>
    <xf numFmtId="0" fontId="19"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165" fontId="61" fillId="17" borderId="285" xfId="6" applyNumberFormat="1" applyFont="1" applyFill="1" applyBorder="1" applyAlignment="1" applyProtection="1">
      <alignment vertical="center"/>
    </xf>
    <xf numFmtId="0" fontId="22" fillId="0" borderId="0" xfId="11" applyFont="1" applyFill="1" applyBorder="1" applyAlignment="1" applyProtection="1">
      <alignment horizontal="center" vertical="center"/>
    </xf>
    <xf numFmtId="165" fontId="19" fillId="4" borderId="7" xfId="2" applyNumberFormat="1" applyFont="1" applyFill="1" applyBorder="1" applyAlignment="1" applyProtection="1">
      <alignment vertical="center"/>
      <protection locked="0"/>
    </xf>
    <xf numFmtId="165" fontId="19" fillId="4" borderId="50" xfId="2" applyNumberFormat="1" applyFont="1" applyFill="1" applyBorder="1" applyAlignment="1" applyProtection="1">
      <alignment vertical="center"/>
      <protection locked="0"/>
    </xf>
    <xf numFmtId="165" fontId="19" fillId="4" borderId="13" xfId="2" applyNumberFormat="1" applyFont="1" applyFill="1" applyBorder="1" applyAlignment="1" applyProtection="1">
      <alignment vertical="center"/>
      <protection locked="0"/>
    </xf>
    <xf numFmtId="165" fontId="19" fillId="4" borderId="37" xfId="19" applyNumberFormat="1" applyFont="1" applyFill="1" applyBorder="1" applyAlignment="1" applyProtection="1">
      <alignment vertical="center"/>
      <protection locked="0"/>
    </xf>
    <xf numFmtId="165" fontId="19" fillId="4" borderId="39" xfId="19" applyNumberFormat="1" applyFont="1" applyFill="1" applyBorder="1" applyAlignment="1" applyProtection="1">
      <alignment vertical="center"/>
      <protection locked="0"/>
    </xf>
    <xf numFmtId="165" fontId="19" fillId="4" borderId="41" xfId="19" applyNumberFormat="1" applyFont="1" applyFill="1" applyBorder="1" applyAlignment="1" applyProtection="1">
      <alignment vertical="center"/>
      <protection locked="0"/>
    </xf>
    <xf numFmtId="0" fontId="10" fillId="3" borderId="289" xfId="6" applyFont="1" applyFill="1" applyBorder="1" applyAlignment="1" applyProtection="1">
      <alignment horizontal="center" vertical="center" wrapText="1"/>
    </xf>
    <xf numFmtId="0" fontId="10" fillId="3" borderId="290" xfId="6" applyFont="1" applyFill="1" applyBorder="1" applyAlignment="1" applyProtection="1">
      <alignment horizontal="center" vertical="center" wrapText="1"/>
    </xf>
    <xf numFmtId="0" fontId="10" fillId="3" borderId="291" xfId="6" applyFont="1" applyFill="1" applyBorder="1" applyAlignment="1" applyProtection="1">
      <alignment horizontal="center" vertical="center" wrapText="1"/>
    </xf>
    <xf numFmtId="0" fontId="10" fillId="3" borderId="292" xfId="6" applyFont="1" applyFill="1" applyBorder="1" applyAlignment="1" applyProtection="1">
      <alignment horizontal="center" vertical="center" wrapText="1"/>
    </xf>
    <xf numFmtId="165" fontId="19" fillId="4" borderId="32" xfId="19" applyNumberFormat="1" applyFont="1" applyFill="1" applyBorder="1" applyAlignment="1" applyProtection="1">
      <alignment vertical="center"/>
      <protection locked="0"/>
    </xf>
    <xf numFmtId="0" fontId="82" fillId="0" borderId="0" xfId="18" applyFont="1"/>
    <xf numFmtId="172" fontId="19" fillId="27" borderId="7" xfId="19" applyNumberFormat="1" applyFont="1" applyFill="1" applyBorder="1" applyAlignment="1" applyProtection="1">
      <alignment vertical="center"/>
      <protection locked="0"/>
    </xf>
    <xf numFmtId="172" fontId="19" fillId="27" borderId="10" xfId="19" applyNumberFormat="1" applyFont="1" applyFill="1" applyBorder="1" applyAlignment="1" applyProtection="1">
      <alignment vertical="center"/>
      <protection locked="0"/>
    </xf>
    <xf numFmtId="172" fontId="19" fillId="27" borderId="50" xfId="19" applyNumberFormat="1" applyFont="1" applyFill="1" applyBorder="1" applyAlignment="1" applyProtection="1">
      <alignment vertical="center"/>
      <protection locked="0"/>
    </xf>
    <xf numFmtId="0" fontId="22" fillId="5" borderId="13" xfId="0" applyFont="1" applyFill="1" applyBorder="1" applyAlignment="1" applyProtection="1">
      <alignment horizontal="center" vertical="center" wrapText="1"/>
    </xf>
    <xf numFmtId="0" fontId="12" fillId="0" borderId="6" xfId="0" applyFont="1" applyBorder="1"/>
    <xf numFmtId="0" fontId="12" fillId="0" borderId="9" xfId="0" applyFont="1" applyBorder="1"/>
    <xf numFmtId="0" fontId="25" fillId="0" borderId="6" xfId="0" applyFont="1" applyBorder="1" applyAlignment="1">
      <alignment horizontal="center"/>
    </xf>
    <xf numFmtId="0" fontId="25" fillId="0" borderId="9" xfId="0" applyFont="1" applyBorder="1" applyAlignment="1">
      <alignment horizontal="center"/>
    </xf>
    <xf numFmtId="0" fontId="25" fillId="8" borderId="25" xfId="7" applyFont="1" applyBorder="1" applyAlignment="1">
      <alignment horizontal="center" vertical="center"/>
    </xf>
    <xf numFmtId="165" fontId="26" fillId="4" borderId="2" xfId="9" applyNumberFormat="1" applyFont="1" applyFill="1" applyBorder="1" applyAlignment="1" applyProtection="1">
      <alignment vertical="center"/>
      <protection locked="0"/>
    </xf>
    <xf numFmtId="165" fontId="26" fillId="4" borderId="4" xfId="9" applyNumberFormat="1" applyFont="1" applyFill="1" applyBorder="1" applyAlignment="1" applyProtection="1">
      <alignment vertical="center"/>
      <protection locked="0"/>
    </xf>
    <xf numFmtId="167" fontId="26" fillId="4" borderId="11" xfId="9" applyNumberFormat="1" applyFont="1" applyFill="1" applyBorder="1" applyAlignment="1" applyProtection="1">
      <alignment vertical="center"/>
      <protection locked="0"/>
    </xf>
    <xf numFmtId="167" fontId="26" fillId="4" borderId="13" xfId="9" applyNumberFormat="1" applyFont="1" applyFill="1" applyBorder="1" applyAlignment="1" applyProtection="1">
      <alignment vertical="center"/>
      <protection locked="0"/>
    </xf>
    <xf numFmtId="165" fontId="26" fillId="4" borderId="16" xfId="9" applyNumberFormat="1" applyFont="1" applyFill="1" applyBorder="1" applyAlignment="1" applyProtection="1">
      <alignment vertical="center"/>
      <protection locked="0"/>
    </xf>
    <xf numFmtId="169" fontId="26" fillId="4" borderId="9" xfId="11" applyNumberFormat="1" applyFont="1" applyFill="1" applyBorder="1" applyAlignment="1" applyProtection="1">
      <alignment horizontal="right" vertical="center"/>
      <protection locked="0"/>
    </xf>
    <xf numFmtId="169" fontId="26"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5" fillId="6" borderId="0" xfId="6" applyFont="1" applyFill="1" applyAlignment="1" applyProtection="1">
      <alignment vertical="center"/>
    </xf>
    <xf numFmtId="0" fontId="10" fillId="3" borderId="130" xfId="6" applyFont="1" applyFill="1" applyBorder="1" applyAlignment="1" applyProtection="1">
      <alignment horizontal="center" vertical="center" wrapText="1"/>
    </xf>
    <xf numFmtId="165" fontId="23" fillId="7" borderId="57" xfId="6" applyNumberFormat="1" applyFont="1" applyFill="1" applyBorder="1" applyAlignment="1" applyProtection="1">
      <alignment vertical="center"/>
    </xf>
    <xf numFmtId="0" fontId="35" fillId="0" borderId="12" xfId="6" applyFont="1" applyFill="1" applyBorder="1" applyAlignment="1" applyProtection="1">
      <alignment vertical="center"/>
    </xf>
    <xf numFmtId="0" fontId="35" fillId="0" borderId="3" xfId="6" applyFont="1" applyFill="1" applyBorder="1" applyAlignment="1" applyProtection="1">
      <alignment vertical="center"/>
    </xf>
    <xf numFmtId="0" fontId="35" fillId="0" borderId="47" xfId="11" applyFont="1" applyFill="1" applyBorder="1" applyAlignment="1">
      <alignment vertical="center" wrapText="1"/>
    </xf>
    <xf numFmtId="0" fontId="35" fillId="0" borderId="9" xfId="11" applyFont="1" applyFill="1" applyBorder="1" applyAlignment="1">
      <alignment vertical="center" wrapText="1"/>
    </xf>
    <xf numFmtId="0" fontId="89" fillId="23" borderId="6" xfId="11" applyFont="1" applyFill="1" applyBorder="1" applyAlignment="1">
      <alignment horizontal="center" vertical="center" wrapText="1"/>
    </xf>
    <xf numFmtId="0" fontId="89" fillId="23" borderId="9" xfId="11" applyFont="1" applyFill="1" applyBorder="1" applyAlignment="1">
      <alignment horizontal="center" vertical="center" wrapText="1"/>
    </xf>
    <xf numFmtId="0" fontId="89" fillId="23" borderId="12" xfId="11" applyFont="1" applyFill="1" applyBorder="1" applyAlignment="1">
      <alignment horizontal="center" vertical="center" wrapText="1"/>
    </xf>
    <xf numFmtId="0" fontId="89" fillId="0" borderId="6" xfId="11" applyFont="1" applyFill="1" applyBorder="1" applyAlignment="1">
      <alignment horizontal="center" vertical="center" wrapText="1"/>
    </xf>
    <xf numFmtId="0" fontId="89" fillId="0" borderId="9" xfId="11" applyFont="1" applyFill="1" applyBorder="1" applyAlignment="1">
      <alignment horizontal="center" vertical="center" wrapText="1"/>
    </xf>
    <xf numFmtId="0" fontId="89" fillId="0" borderId="12" xfId="11" applyFont="1" applyFill="1" applyBorder="1" applyAlignment="1">
      <alignment horizontal="center" vertical="center" wrapText="1"/>
    </xf>
    <xf numFmtId="0" fontId="62" fillId="0" borderId="0" xfId="11" applyFont="1" applyFill="1" applyBorder="1" applyAlignment="1">
      <alignment horizontal="center" vertical="center" wrapText="1"/>
    </xf>
    <xf numFmtId="0" fontId="62" fillId="0" borderId="6" xfId="11" applyFont="1" applyFill="1" applyBorder="1" applyAlignment="1">
      <alignment horizontal="center" vertical="center"/>
    </xf>
    <xf numFmtId="0" fontId="62" fillId="0" borderId="9" xfId="11" applyFont="1" applyFill="1" applyBorder="1" applyAlignment="1">
      <alignment horizontal="center" vertical="center"/>
    </xf>
    <xf numFmtId="0" fontId="62" fillId="0" borderId="44" xfId="11" applyFont="1" applyFill="1" applyBorder="1" applyAlignment="1">
      <alignment horizontal="center" vertical="center"/>
    </xf>
    <xf numFmtId="0" fontId="0" fillId="0" borderId="0" xfId="0" applyFill="1" applyAlignment="1">
      <alignment horizontal="center"/>
    </xf>
    <xf numFmtId="0" fontId="19" fillId="0" borderId="0" xfId="11" applyFont="1" applyFill="1" applyAlignment="1" applyProtection="1">
      <alignment horizontal="center" vertical="center"/>
    </xf>
    <xf numFmtId="0" fontId="89" fillId="0" borderId="6" xfId="11" applyFont="1" applyFill="1" applyBorder="1" applyAlignment="1">
      <alignment horizontal="center" vertical="center"/>
    </xf>
    <xf numFmtId="0" fontId="89" fillId="0" borderId="9" xfId="11" applyFont="1" applyFill="1" applyBorder="1" applyAlignment="1">
      <alignment horizontal="center" vertical="center"/>
    </xf>
    <xf numFmtId="0" fontId="89" fillId="0" borderId="12" xfId="11" applyFont="1" applyFill="1" applyBorder="1" applyAlignment="1">
      <alignment horizontal="center" vertical="center"/>
    </xf>
    <xf numFmtId="0" fontId="62" fillId="0" borderId="0" xfId="11" applyFont="1" applyFill="1" applyBorder="1" applyAlignment="1">
      <alignment horizontal="center" vertical="center"/>
    </xf>
    <xf numFmtId="0" fontId="12" fillId="0" borderId="7" xfId="6" applyFont="1" applyFill="1" applyBorder="1" applyAlignment="1" applyProtection="1">
      <alignment horizontal="center" vertical="center"/>
    </xf>
    <xf numFmtId="0" fontId="62" fillId="0" borderId="48" xfId="11" applyFont="1" applyFill="1" applyBorder="1" applyAlignment="1">
      <alignment horizontal="center" vertical="center"/>
    </xf>
    <xf numFmtId="0" fontId="62" fillId="0" borderId="38" xfId="11" applyFont="1" applyFill="1" applyBorder="1" applyAlignment="1">
      <alignment horizontal="center" vertical="center"/>
    </xf>
    <xf numFmtId="0" fontId="62" fillId="0" borderId="7" xfId="11" applyFont="1" applyFill="1" applyBorder="1" applyAlignment="1">
      <alignment horizontal="center" vertical="center"/>
    </xf>
    <xf numFmtId="0" fontId="62" fillId="0" borderId="10" xfId="11" applyFont="1" applyFill="1" applyBorder="1" applyAlignment="1">
      <alignment horizontal="center" vertical="center"/>
    </xf>
    <xf numFmtId="0" fontId="62" fillId="0" borderId="13" xfId="11" applyFont="1" applyFill="1" applyBorder="1" applyAlignment="1">
      <alignment horizontal="center" vertical="center"/>
    </xf>
    <xf numFmtId="0" fontId="12" fillId="23" borderId="6" xfId="6" applyFont="1" applyFill="1" applyBorder="1" applyAlignment="1" applyProtection="1">
      <alignment horizontal="center" vertical="center"/>
    </xf>
    <xf numFmtId="0" fontId="62" fillId="23" borderId="9" xfId="11" applyFont="1" applyFill="1" applyBorder="1" applyAlignment="1">
      <alignment horizontal="center" vertical="center"/>
    </xf>
    <xf numFmtId="0" fontId="62" fillId="23" borderId="9" xfId="11" applyFont="1" applyFill="1" applyBorder="1" applyAlignment="1">
      <alignment horizontal="center" vertical="center" wrapText="1"/>
    </xf>
    <xf numFmtId="0" fontId="12" fillId="0" borderId="6" xfId="6" applyFont="1" applyBorder="1" applyAlignment="1" applyProtection="1">
      <alignment horizontal="center" vertical="center"/>
    </xf>
    <xf numFmtId="0" fontId="62" fillId="0" borderId="9" xfId="11" applyFont="1" applyFill="1" applyBorder="1" applyAlignment="1">
      <alignment horizontal="center" vertical="center" wrapText="1"/>
    </xf>
    <xf numFmtId="0" fontId="62" fillId="0" borderId="12" xfId="11" applyFont="1" applyFill="1" applyBorder="1" applyAlignment="1">
      <alignment horizontal="center" vertical="center" wrapText="1"/>
    </xf>
    <xf numFmtId="165" fontId="19" fillId="7" borderId="295" xfId="19" applyNumberFormat="1" applyFont="1" applyFill="1" applyBorder="1" applyAlignment="1" applyProtection="1">
      <alignment vertical="center"/>
      <protection locked="0"/>
    </xf>
    <xf numFmtId="165" fontId="19" fillId="7" borderId="296" xfId="19" applyNumberFormat="1" applyFont="1" applyFill="1" applyBorder="1" applyAlignment="1" applyProtection="1">
      <alignment vertical="center"/>
      <protection locked="0"/>
    </xf>
    <xf numFmtId="165" fontId="19" fillId="7" borderId="297" xfId="19" applyNumberFormat="1" applyFont="1" applyFill="1" applyBorder="1" applyAlignment="1" applyProtection="1">
      <alignment vertical="center"/>
      <protection locked="0"/>
    </xf>
    <xf numFmtId="49" fontId="0" fillId="0" borderId="0" xfId="0" applyNumberFormat="1"/>
    <xf numFmtId="165" fontId="112" fillId="0" borderId="1" xfId="10" applyNumberFormat="1" applyFont="1" applyFill="1" applyBorder="1" applyAlignment="1" applyProtection="1">
      <alignment vertical="center"/>
    </xf>
    <xf numFmtId="0" fontId="5" fillId="0" borderId="0" xfId="8" applyFont="1" applyAlignment="1" applyProtection="1">
      <alignment vertical="center"/>
    </xf>
    <xf numFmtId="4" fontId="26" fillId="4" borderId="9" xfId="11" applyNumberFormat="1" applyFont="1" applyFill="1" applyBorder="1" applyAlignment="1" applyProtection="1">
      <alignment horizontal="right" vertical="center"/>
      <protection locked="0"/>
    </xf>
    <xf numFmtId="4" fontId="26" fillId="7" borderId="3" xfId="9" applyNumberFormat="1" applyFont="1" applyFill="1" applyBorder="1" applyProtection="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26" fillId="0" borderId="0" xfId="9" applyFont="1" applyFill="1" applyBorder="1" applyAlignment="1" applyProtection="1">
      <alignment horizontal="left" vertical="center"/>
    </xf>
    <xf numFmtId="0" fontId="0" fillId="6" borderId="210" xfId="0" applyFill="1" applyBorder="1"/>
    <xf numFmtId="0" fontId="0" fillId="6" borderId="215" xfId="0" applyFill="1" applyBorder="1"/>
    <xf numFmtId="0" fontId="0" fillId="6" borderId="212" xfId="0" applyFill="1" applyBorder="1"/>
    <xf numFmtId="0" fontId="8" fillId="0" borderId="0" xfId="0" applyFont="1" applyFill="1" applyBorder="1"/>
    <xf numFmtId="0" fontId="8" fillId="0" borderId="0" xfId="0" applyFont="1" applyBorder="1"/>
    <xf numFmtId="0" fontId="8" fillId="0" borderId="0" xfId="0" applyFont="1"/>
    <xf numFmtId="0" fontId="8" fillId="0" borderId="214" xfId="0" applyFont="1" applyFill="1" applyBorder="1"/>
    <xf numFmtId="0" fontId="8" fillId="0" borderId="214" xfId="0" applyFont="1" applyBorder="1"/>
    <xf numFmtId="0" fontId="17" fillId="0" borderId="13" xfId="6" applyFont="1" applyFill="1" applyBorder="1" applyAlignment="1" applyProtection="1">
      <alignment horizontal="center" vertical="center"/>
    </xf>
    <xf numFmtId="10" fontId="26" fillId="4" borderId="33" xfId="19" applyNumberFormat="1" applyFont="1" applyFill="1" applyBorder="1" applyAlignment="1" applyProtection="1">
      <alignment vertical="center"/>
      <protection locked="0"/>
    </xf>
    <xf numFmtId="10" fontId="26"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3" fillId="3" borderId="0" xfId="15" applyFont="1" applyFill="1" applyAlignment="1" applyProtection="1">
      <alignment horizontal="center" vertical="center"/>
    </xf>
    <xf numFmtId="0" fontId="75" fillId="3" borderId="0" xfId="22" applyFont="1" applyFill="1" applyAlignment="1">
      <alignment horizontal="left" vertical="top"/>
    </xf>
    <xf numFmtId="0" fontId="49" fillId="3" borderId="0" xfId="22" applyFill="1"/>
    <xf numFmtId="165" fontId="19" fillId="7" borderId="31" xfId="19" applyNumberFormat="1" applyFont="1" applyFill="1" applyBorder="1" applyAlignment="1" applyProtection="1">
      <alignment vertical="center"/>
    </xf>
    <xf numFmtId="165" fontId="19" fillId="7" borderId="1" xfId="19" applyNumberFormat="1" applyFont="1" applyFill="1" applyBorder="1" applyAlignment="1" applyProtection="1">
      <alignment vertical="center"/>
    </xf>
    <xf numFmtId="0" fontId="23" fillId="3" borderId="0" xfId="15" applyFont="1" applyFill="1" applyAlignment="1" applyProtection="1">
      <alignment vertical="center"/>
    </xf>
    <xf numFmtId="0" fontId="19" fillId="3" borderId="0" xfId="11" applyFont="1" applyFill="1" applyAlignment="1" applyProtection="1">
      <alignment vertical="center"/>
    </xf>
    <xf numFmtId="0" fontId="4" fillId="3" borderId="0" xfId="6" applyFill="1" applyBorder="1" applyAlignment="1" applyProtection="1">
      <alignment vertical="center"/>
    </xf>
    <xf numFmtId="0" fontId="23" fillId="3" borderId="0" xfId="8" applyFont="1" applyFill="1" applyAlignment="1" applyProtection="1">
      <alignment vertical="center"/>
    </xf>
    <xf numFmtId="0" fontId="4" fillId="3" borderId="0" xfId="8" applyFill="1" applyAlignment="1" applyProtection="1">
      <alignment vertical="center"/>
    </xf>
    <xf numFmtId="0" fontId="12" fillId="3" borderId="0" xfId="8" applyFont="1" applyFill="1" applyAlignment="1" applyProtection="1">
      <alignment vertical="center"/>
    </xf>
    <xf numFmtId="0" fontId="77" fillId="3" borderId="0" xfId="0" applyFont="1" applyFill="1" applyBorder="1" applyAlignment="1">
      <alignment horizontal="left" vertical="center" wrapText="1"/>
    </xf>
    <xf numFmtId="9" fontId="89" fillId="3" borderId="0" xfId="11" applyNumberFormat="1" applyFont="1" applyFill="1" applyBorder="1" applyAlignment="1">
      <alignment horizontal="left" vertical="center" wrapText="1"/>
    </xf>
    <xf numFmtId="9" fontId="89" fillId="3" borderId="0" xfId="11" applyNumberFormat="1" applyFont="1" applyFill="1" applyBorder="1" applyAlignment="1">
      <alignment horizontal="left" vertical="top" wrapText="1"/>
    </xf>
    <xf numFmtId="0" fontId="62" fillId="3" borderId="0" xfId="0" applyFont="1" applyFill="1" applyBorder="1" applyAlignment="1">
      <alignment horizontal="left" vertical="top"/>
    </xf>
    <xf numFmtId="0" fontId="0" fillId="3" borderId="0" xfId="0" applyFill="1" applyBorder="1" applyAlignment="1">
      <alignment horizontal="left" vertical="center" wrapText="1"/>
    </xf>
    <xf numFmtId="1" fontId="19" fillId="3" borderId="0" xfId="11" applyNumberFormat="1" applyFont="1" applyFill="1" applyBorder="1" applyAlignment="1" applyProtection="1">
      <alignment vertical="center"/>
      <protection locked="0"/>
    </xf>
    <xf numFmtId="171" fontId="19"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8" fillId="3" borderId="0" xfId="11" applyFont="1" applyFill="1" applyAlignment="1" applyProtection="1">
      <alignment vertical="center"/>
    </xf>
    <xf numFmtId="0" fontId="12" fillId="3" borderId="0" xfId="8" applyFont="1" applyFill="1" applyAlignment="1" applyProtection="1">
      <alignment horizontal="center" vertical="center"/>
    </xf>
    <xf numFmtId="0" fontId="60" fillId="3" borderId="0" xfId="18" applyFont="1" applyFill="1" applyBorder="1"/>
    <xf numFmtId="0" fontId="70" fillId="3" borderId="0" xfId="21" applyFont="1" applyFill="1" applyBorder="1"/>
    <xf numFmtId="0" fontId="80" fillId="0" borderId="0" xfId="11" applyFont="1" applyFill="1" applyBorder="1" applyAlignment="1" applyProtection="1">
      <alignment horizontal="center" vertical="center"/>
    </xf>
    <xf numFmtId="0" fontId="10" fillId="15" borderId="4" xfId="6" applyFont="1" applyFill="1" applyBorder="1" applyAlignment="1" applyProtection="1">
      <alignment vertical="center"/>
    </xf>
    <xf numFmtId="0" fontId="19" fillId="29" borderId="0" xfId="11" applyFont="1" applyFill="1" applyAlignment="1" applyProtection="1">
      <alignment vertical="center"/>
    </xf>
    <xf numFmtId="0" fontId="75" fillId="29" borderId="0" xfId="18" applyFont="1" applyFill="1"/>
    <xf numFmtId="0" fontId="75" fillId="29" borderId="0" xfId="22" applyFont="1" applyFill="1" applyBorder="1" applyAlignment="1">
      <alignment horizontal="left" vertical="top"/>
    </xf>
    <xf numFmtId="0" fontId="115" fillId="0" borderId="0" xfId="9" applyFont="1" applyFill="1" applyAlignment="1" applyProtection="1">
      <alignment vertical="center"/>
    </xf>
    <xf numFmtId="0" fontId="115" fillId="0" borderId="0" xfId="9" applyFont="1" applyFill="1" applyBorder="1" applyAlignment="1" applyProtection="1">
      <alignment vertical="center"/>
    </xf>
    <xf numFmtId="0" fontId="10" fillId="0" borderId="20" xfId="6" applyFont="1" applyFill="1" applyBorder="1" applyAlignment="1" applyProtection="1">
      <alignment horizontal="center" vertical="center"/>
    </xf>
    <xf numFmtId="0" fontId="10" fillId="3" borderId="27" xfId="6" applyFont="1" applyFill="1" applyBorder="1" applyAlignment="1" applyProtection="1">
      <alignment horizontal="center" vertical="center" wrapText="1"/>
    </xf>
    <xf numFmtId="0" fontId="4" fillId="0" borderId="0" xfId="6" applyFont="1" applyFill="1" applyAlignment="1" applyProtection="1">
      <alignment vertical="center"/>
    </xf>
    <xf numFmtId="0" fontId="26" fillId="0" borderId="31" xfId="11" applyFont="1" applyFill="1" applyBorder="1" applyAlignment="1" applyProtection="1">
      <alignment horizontal="center" vertical="center"/>
    </xf>
    <xf numFmtId="0" fontId="26" fillId="0" borderId="32" xfId="11" applyFont="1" applyFill="1" applyBorder="1" applyAlignment="1" applyProtection="1">
      <alignment horizontal="center" vertical="center"/>
    </xf>
    <xf numFmtId="0" fontId="26" fillId="0" borderId="30" xfId="11" applyFont="1" applyFill="1" applyBorder="1" applyAlignment="1" applyProtection="1">
      <alignment horizontal="center" vertical="center"/>
    </xf>
    <xf numFmtId="0" fontId="75" fillId="26" borderId="0" xfId="22" applyFont="1" applyFill="1" applyAlignment="1">
      <alignment horizontal="left" vertical="center"/>
    </xf>
    <xf numFmtId="0" fontId="10" fillId="3" borderId="311" xfId="11" applyFont="1" applyFill="1" applyBorder="1" applyAlignment="1" applyProtection="1">
      <alignment horizontal="center" vertical="center"/>
    </xf>
    <xf numFmtId="0" fontId="10" fillId="3" borderId="312" xfId="22" applyFont="1" applyFill="1" applyBorder="1"/>
    <xf numFmtId="0" fontId="0" fillId="0" borderId="279" xfId="0" applyBorder="1" applyAlignment="1">
      <alignment horizontal="center"/>
    </xf>
    <xf numFmtId="165" fontId="19" fillId="7" borderId="246" xfId="19" applyNumberFormat="1" applyFont="1" applyFill="1" applyBorder="1" applyAlignment="1" applyProtection="1">
      <alignment vertical="center"/>
    </xf>
    <xf numFmtId="165" fontId="19" fillId="4" borderId="317" xfId="19" applyNumberFormat="1" applyFont="1" applyFill="1" applyBorder="1" applyAlignment="1" applyProtection="1">
      <alignment vertical="center"/>
      <protection locked="0"/>
    </xf>
    <xf numFmtId="165" fontId="19" fillId="7" borderId="318" xfId="19" applyNumberFormat="1" applyFont="1" applyFill="1" applyBorder="1" applyAlignment="1" applyProtection="1">
      <alignment vertical="center"/>
    </xf>
    <xf numFmtId="0" fontId="0" fillId="6" borderId="0" xfId="0" applyFill="1" applyAlignment="1">
      <alignment wrapText="1"/>
    </xf>
    <xf numFmtId="0" fontId="23" fillId="0" borderId="303" xfId="0" applyFont="1" applyBorder="1" applyAlignment="1">
      <alignment horizontal="center" vertical="center"/>
    </xf>
    <xf numFmtId="0" fontId="23" fillId="0" borderId="305" xfId="0" applyFont="1" applyBorder="1" applyAlignment="1">
      <alignment horizontal="center" vertical="center"/>
    </xf>
    <xf numFmtId="0" fontId="23" fillId="0" borderId="308" xfId="0" applyFont="1" applyBorder="1" applyAlignment="1">
      <alignment horizontal="center" vertical="center"/>
    </xf>
    <xf numFmtId="0" fontId="12" fillId="0" borderId="313" xfId="0" applyFont="1" applyFill="1" applyBorder="1" applyAlignment="1">
      <alignment vertical="center"/>
    </xf>
    <xf numFmtId="0" fontId="12" fillId="0" borderId="314" xfId="0" applyFont="1" applyFill="1" applyBorder="1" applyAlignment="1">
      <alignment vertical="center"/>
    </xf>
    <xf numFmtId="0" fontId="19" fillId="0" borderId="314" xfId="0" applyFont="1" applyFill="1" applyBorder="1" applyAlignment="1">
      <alignment vertical="center"/>
    </xf>
    <xf numFmtId="0" fontId="12" fillId="0" borderId="315" xfId="0" applyFont="1" applyFill="1" applyBorder="1" applyAlignment="1">
      <alignment vertical="center"/>
    </xf>
    <xf numFmtId="0" fontId="12" fillId="0" borderId="316" xfId="0" applyFont="1" applyFill="1" applyBorder="1" applyAlignment="1">
      <alignment vertical="center"/>
    </xf>
    <xf numFmtId="0" fontId="25" fillId="0" borderId="313" xfId="0" applyFont="1" applyBorder="1" applyAlignment="1">
      <alignment horizontal="center" vertical="center"/>
    </xf>
    <xf numFmtId="0" fontId="25" fillId="0" borderId="304" xfId="0" applyFont="1" applyBorder="1" applyAlignment="1">
      <alignment horizontal="center" vertical="center"/>
    </xf>
    <xf numFmtId="0" fontId="25" fillId="0" borderId="314" xfId="0" applyFont="1" applyBorder="1" applyAlignment="1">
      <alignment horizontal="center" vertical="center"/>
    </xf>
    <xf numFmtId="0" fontId="25" fillId="0" borderId="306" xfId="0" applyFont="1" applyBorder="1" applyAlignment="1">
      <alignment horizontal="center" vertical="center"/>
    </xf>
    <xf numFmtId="6" fontId="25" fillId="0" borderId="314" xfId="0" quotePrefix="1" applyNumberFormat="1" applyFont="1" applyBorder="1" applyAlignment="1">
      <alignment horizontal="center" vertical="center"/>
    </xf>
    <xf numFmtId="0" fontId="25" fillId="0" borderId="315" xfId="0" quotePrefix="1" applyFont="1" applyBorder="1" applyAlignment="1">
      <alignment horizontal="center" vertical="center"/>
    </xf>
    <xf numFmtId="0" fontId="25" fillId="0" borderId="307" xfId="0" applyFont="1" applyBorder="1" applyAlignment="1">
      <alignment horizontal="center" vertical="center"/>
    </xf>
    <xf numFmtId="6" fontId="25" fillId="0" borderId="316" xfId="0" quotePrefix="1" applyNumberFormat="1" applyFont="1" applyBorder="1" applyAlignment="1">
      <alignment horizontal="center" vertical="center"/>
    </xf>
    <xf numFmtId="0" fontId="25" fillId="0" borderId="309" xfId="0" applyFont="1" applyBorder="1" applyAlignment="1">
      <alignment horizontal="center" vertical="center"/>
    </xf>
    <xf numFmtId="0" fontId="19" fillId="0" borderId="316" xfId="0" applyFont="1" applyFill="1" applyBorder="1" applyAlignment="1">
      <alignment vertical="center"/>
    </xf>
    <xf numFmtId="6" fontId="25" fillId="0" borderId="313" xfId="0" quotePrefix="1" applyNumberFormat="1" applyFont="1" applyBorder="1" applyAlignment="1">
      <alignment horizontal="center" vertical="center"/>
    </xf>
    <xf numFmtId="6" fontId="25" fillId="0" borderId="279" xfId="0" quotePrefix="1" applyNumberFormat="1" applyFont="1" applyBorder="1" applyAlignment="1">
      <alignment horizontal="center" vertical="center"/>
    </xf>
    <xf numFmtId="0" fontId="25" fillId="0" borderId="310" xfId="0" applyFont="1" applyBorder="1" applyAlignment="1">
      <alignment horizontal="center" vertical="center"/>
    </xf>
    <xf numFmtId="165" fontId="61" fillId="16" borderId="7" xfId="20" applyNumberFormat="1" applyFont="1" applyFill="1" applyBorder="1" applyAlignment="1" applyProtection="1">
      <alignment vertical="center"/>
      <protection locked="0"/>
    </xf>
    <xf numFmtId="165" fontId="61" fillId="16" borderId="10" xfId="20" applyNumberFormat="1" applyFont="1" applyFill="1" applyBorder="1" applyAlignment="1" applyProtection="1">
      <alignment vertical="center"/>
      <protection locked="0"/>
    </xf>
    <xf numFmtId="165" fontId="61" fillId="17" borderId="9" xfId="6" applyNumberFormat="1" applyFont="1" applyFill="1" applyBorder="1" applyAlignment="1" applyProtection="1">
      <alignment vertical="center"/>
    </xf>
    <xf numFmtId="165" fontId="61" fillId="17" borderId="10" xfId="6" applyNumberFormat="1" applyFont="1" applyFill="1" applyBorder="1" applyAlignment="1" applyProtection="1">
      <alignment vertical="center"/>
    </xf>
    <xf numFmtId="165" fontId="61" fillId="17" borderId="13" xfId="6" applyNumberFormat="1" applyFont="1" applyFill="1" applyBorder="1" applyAlignment="1" applyProtection="1">
      <alignment vertical="center"/>
    </xf>
    <xf numFmtId="165" fontId="26" fillId="17" borderId="13" xfId="11" applyNumberFormat="1" applyFont="1" applyFill="1" applyBorder="1" applyProtection="1"/>
    <xf numFmtId="172" fontId="19" fillId="28" borderId="13" xfId="19" applyNumberFormat="1" applyFont="1" applyFill="1" applyBorder="1" applyAlignment="1" applyProtection="1">
      <alignment vertical="center"/>
    </xf>
    <xf numFmtId="1" fontId="0" fillId="0" borderId="0" xfId="0" applyNumberFormat="1" applyBorder="1"/>
    <xf numFmtId="165" fontId="19" fillId="27" borderId="31" xfId="19" applyNumberFormat="1" applyFont="1" applyFill="1" applyBorder="1" applyAlignment="1" applyProtection="1">
      <alignment vertical="center"/>
      <protection locked="0"/>
    </xf>
    <xf numFmtId="165" fontId="19" fillId="27" borderId="32" xfId="19" applyNumberFormat="1" applyFont="1" applyFill="1" applyBorder="1" applyAlignment="1" applyProtection="1">
      <alignment vertical="center"/>
      <protection locked="0"/>
    </xf>
    <xf numFmtId="1" fontId="19" fillId="27" borderId="32" xfId="19" applyNumberFormat="1" applyFont="1" applyFill="1" applyBorder="1" applyAlignment="1" applyProtection="1">
      <alignment vertical="center"/>
      <protection locked="0"/>
    </xf>
    <xf numFmtId="1" fontId="19" fillId="4" borderId="30" xfId="19" applyNumberFormat="1" applyFont="1" applyFill="1" applyBorder="1" applyAlignment="1" applyProtection="1">
      <alignment vertical="center"/>
      <protection locked="0"/>
    </xf>
    <xf numFmtId="0" fontId="10" fillId="3" borderId="14" xfId="9" applyNumberFormat="1" applyFont="1" applyFill="1" applyBorder="1" applyAlignment="1" applyProtection="1">
      <alignment horizontal="center" vertical="center" wrapText="1"/>
    </xf>
    <xf numFmtId="0" fontId="10" fillId="3" borderId="15" xfId="9" applyNumberFormat="1" applyFont="1" applyFill="1" applyBorder="1" applyAlignment="1" applyProtection="1">
      <alignment horizontal="center" vertical="center" wrapText="1"/>
    </xf>
    <xf numFmtId="0" fontId="10" fillId="3" borderId="16" xfId="9" applyNumberFormat="1" applyFont="1" applyFill="1" applyBorder="1" applyAlignment="1" applyProtection="1">
      <alignment horizontal="center" vertical="center" wrapText="1"/>
    </xf>
    <xf numFmtId="0" fontId="10" fillId="3" borderId="5" xfId="9" applyNumberFormat="1" applyFont="1" applyFill="1" applyBorder="1" applyAlignment="1" applyProtection="1">
      <alignment horizontal="center" vertical="center" wrapText="1"/>
    </xf>
    <xf numFmtId="0" fontId="10" fillId="3" borderId="6" xfId="9" applyNumberFormat="1" applyFont="1" applyFill="1" applyBorder="1" applyAlignment="1" applyProtection="1">
      <alignment horizontal="center" vertical="center" wrapText="1"/>
    </xf>
    <xf numFmtId="0" fontId="10" fillId="3" borderId="7" xfId="9" applyNumberFormat="1" applyFont="1" applyFill="1" applyBorder="1" applyAlignment="1" applyProtection="1">
      <alignment horizontal="center" vertical="center" wrapText="1"/>
    </xf>
    <xf numFmtId="0" fontId="28" fillId="0" borderId="0" xfId="9" applyFont="1" applyFill="1" applyBorder="1" applyAlignment="1" applyProtection="1">
      <alignment vertical="center"/>
    </xf>
    <xf numFmtId="0" fontId="25" fillId="0" borderId="36" xfId="0" applyFont="1" applyBorder="1" applyAlignment="1">
      <alignment horizontal="center" vertical="center"/>
    </xf>
    <xf numFmtId="0" fontId="25" fillId="0" borderId="38" xfId="0" applyFont="1" applyBorder="1" applyAlignment="1">
      <alignment horizontal="center" vertical="center"/>
    </xf>
    <xf numFmtId="2" fontId="26" fillId="4" borderId="31" xfId="9" applyNumberFormat="1" applyFont="1" applyFill="1" applyBorder="1" applyAlignment="1" applyProtection="1">
      <alignment horizontal="right"/>
      <protection locked="0"/>
    </xf>
    <xf numFmtId="2" fontId="26" fillId="4" borderId="32" xfId="9" applyNumberFormat="1" applyFont="1" applyFill="1" applyBorder="1" applyAlignment="1" applyProtection="1">
      <alignment horizontal="right"/>
      <protection locked="0"/>
    </xf>
    <xf numFmtId="0" fontId="62" fillId="0" borderId="6" xfId="0" applyFont="1" applyBorder="1" applyAlignment="1">
      <alignment vertical="center" wrapText="1"/>
    </xf>
    <xf numFmtId="0" fontId="77" fillId="0" borderId="0" xfId="0" applyFont="1" applyFill="1" applyBorder="1" applyAlignment="1">
      <alignment horizontal="left" vertical="center" wrapText="1"/>
    </xf>
    <xf numFmtId="0" fontId="5" fillId="0" borderId="0" xfId="14" applyFont="1"/>
    <xf numFmtId="1" fontId="23" fillId="6" borderId="0" xfId="6" applyNumberFormat="1" applyFont="1" applyFill="1" applyAlignment="1" applyProtection="1">
      <alignment horizontal="center" vertical="center"/>
    </xf>
    <xf numFmtId="0" fontId="0" fillId="0" borderId="0" xfId="0" applyFill="1" applyBorder="1"/>
    <xf numFmtId="0" fontId="26" fillId="4" borderId="10" xfId="11" applyNumberFormat="1" applyFont="1" applyFill="1" applyBorder="1" applyAlignment="1" applyProtection="1">
      <alignment horizontal="left" vertical="center" wrapText="1"/>
      <protection locked="0"/>
    </xf>
    <xf numFmtId="171" fontId="19" fillId="4" borderId="31" xfId="2" applyNumberFormat="1" applyFont="1" applyFill="1" applyBorder="1" applyAlignment="1" applyProtection="1">
      <alignment vertical="center" wrapText="1"/>
      <protection locked="0"/>
    </xf>
    <xf numFmtId="171" fontId="19" fillId="4" borderId="49" xfId="2" applyNumberFormat="1" applyFont="1" applyFill="1" applyBorder="1" applyAlignment="1" applyProtection="1">
      <alignment vertical="center" wrapText="1"/>
      <protection locked="0"/>
    </xf>
    <xf numFmtId="171" fontId="19" fillId="4" borderId="32" xfId="2" applyNumberFormat="1" applyFont="1" applyFill="1" applyBorder="1" applyAlignment="1" applyProtection="1">
      <alignment vertical="center" wrapText="1"/>
      <protection locked="0"/>
    </xf>
    <xf numFmtId="171" fontId="19" fillId="4" borderId="30" xfId="2" applyNumberFormat="1" applyFont="1" applyFill="1" applyBorder="1" applyAlignment="1" applyProtection="1">
      <alignment vertical="center" wrapText="1"/>
      <protection locked="0"/>
    </xf>
    <xf numFmtId="165" fontId="19" fillId="4" borderId="31" xfId="19" applyNumberFormat="1" applyFont="1" applyFill="1" applyBorder="1" applyAlignment="1" applyProtection="1">
      <alignment vertical="center" wrapText="1"/>
      <protection locked="0"/>
    </xf>
    <xf numFmtId="165" fontId="19" fillId="4" borderId="32" xfId="19" applyNumberFormat="1" applyFont="1" applyFill="1" applyBorder="1" applyAlignment="1" applyProtection="1">
      <alignment vertical="center" wrapText="1"/>
      <protection locked="0"/>
    </xf>
    <xf numFmtId="165" fontId="19" fillId="4" borderId="109" xfId="19" applyNumberFormat="1" applyFont="1" applyFill="1" applyBorder="1" applyAlignment="1" applyProtection="1">
      <alignment vertical="center" wrapText="1"/>
      <protection locked="0"/>
    </xf>
    <xf numFmtId="165" fontId="19" fillId="4" borderId="30" xfId="19" applyNumberFormat="1" applyFont="1" applyFill="1" applyBorder="1" applyAlignment="1" applyProtection="1">
      <alignment vertical="center" wrapText="1"/>
      <protection locked="0"/>
    </xf>
    <xf numFmtId="1" fontId="19" fillId="4" borderId="31" xfId="19" applyNumberFormat="1" applyFont="1" applyFill="1" applyBorder="1" applyAlignment="1" applyProtection="1">
      <alignment vertical="center" wrapText="1"/>
      <protection locked="0"/>
    </xf>
    <xf numFmtId="1" fontId="19" fillId="4" borderId="32" xfId="19" applyNumberFormat="1" applyFont="1" applyFill="1" applyBorder="1" applyAlignment="1" applyProtection="1">
      <alignment vertical="center" wrapText="1"/>
      <protection locked="0"/>
    </xf>
    <xf numFmtId="171" fontId="19" fillId="4" borderId="1" xfId="19" applyNumberFormat="1" applyFont="1" applyFill="1" applyBorder="1" applyAlignment="1" applyProtection="1">
      <alignment vertical="center" wrapText="1"/>
      <protection locked="0"/>
    </xf>
    <xf numFmtId="171" fontId="19" fillId="4" borderId="31" xfId="19" applyNumberFormat="1" applyFont="1" applyFill="1" applyBorder="1" applyAlignment="1" applyProtection="1">
      <alignment vertical="center" wrapText="1"/>
      <protection locked="0"/>
    </xf>
    <xf numFmtId="171" fontId="19" fillId="4" borderId="32" xfId="19" applyNumberFormat="1" applyFont="1" applyFill="1" applyBorder="1" applyAlignment="1" applyProtection="1">
      <alignment vertical="center" wrapText="1"/>
      <protection locked="0"/>
    </xf>
    <xf numFmtId="171" fontId="19" fillId="4" borderId="30" xfId="19" applyNumberFormat="1" applyFont="1" applyFill="1" applyBorder="1" applyAlignment="1" applyProtection="1">
      <alignment vertical="center" wrapText="1"/>
      <protection locked="0"/>
    </xf>
    <xf numFmtId="171" fontId="19" fillId="4" borderId="18" xfId="19" applyNumberFormat="1" applyFont="1" applyFill="1" applyBorder="1" applyAlignment="1" applyProtection="1">
      <alignment vertical="center" wrapText="1"/>
      <protection locked="0"/>
    </xf>
    <xf numFmtId="171" fontId="19" fillId="4" borderId="49" xfId="19" applyNumberFormat="1" applyFont="1" applyFill="1" applyBorder="1" applyAlignment="1" applyProtection="1">
      <alignment vertical="center" wrapText="1"/>
      <protection locked="0"/>
    </xf>
    <xf numFmtId="172" fontId="19" fillId="27" borderId="24" xfId="19" applyNumberFormat="1" applyFont="1" applyFill="1" applyBorder="1" applyAlignment="1" applyProtection="1">
      <alignment vertical="center" wrapText="1"/>
      <protection locked="0"/>
    </xf>
    <xf numFmtId="172" fontId="19" fillId="27" borderId="26" xfId="19" applyNumberFormat="1" applyFont="1" applyFill="1" applyBorder="1" applyAlignment="1" applyProtection="1">
      <alignment vertical="center" wrapText="1"/>
      <protection locked="0"/>
    </xf>
    <xf numFmtId="172" fontId="19" fillId="27" borderId="115" xfId="19" applyNumberFormat="1" applyFont="1" applyFill="1" applyBorder="1" applyAlignment="1" applyProtection="1">
      <alignment vertical="center" wrapText="1"/>
      <protection locked="0"/>
    </xf>
    <xf numFmtId="172" fontId="19" fillId="27" borderId="27" xfId="19" applyNumberFormat="1" applyFont="1" applyFill="1" applyBorder="1" applyAlignment="1" applyProtection="1">
      <alignment vertical="center" wrapText="1"/>
      <protection locked="0"/>
    </xf>
    <xf numFmtId="171" fontId="19" fillId="4" borderId="18" xfId="2" applyNumberFormat="1" applyFont="1" applyFill="1" applyBorder="1" applyAlignment="1" applyProtection="1">
      <alignment vertical="center" wrapText="1"/>
      <protection locked="0"/>
    </xf>
    <xf numFmtId="171" fontId="19" fillId="4" borderId="24" xfId="2" applyNumberFormat="1" applyFont="1" applyFill="1" applyBorder="1" applyAlignment="1" applyProtection="1">
      <alignment vertical="center" wrapText="1"/>
      <protection locked="0"/>
    </xf>
    <xf numFmtId="171" fontId="19" fillId="4" borderId="26" xfId="2" applyNumberFormat="1" applyFont="1" applyFill="1" applyBorder="1" applyAlignment="1" applyProtection="1">
      <alignment vertical="center" wrapText="1"/>
      <protection locked="0"/>
    </xf>
    <xf numFmtId="171" fontId="19" fillId="4" borderId="27" xfId="2" applyNumberFormat="1" applyFont="1" applyFill="1" applyBorder="1" applyAlignment="1" applyProtection="1">
      <alignment vertical="center" wrapText="1"/>
      <protection locked="0"/>
    </xf>
    <xf numFmtId="1" fontId="19" fillId="4" borderId="241" xfId="19" applyNumberFormat="1" applyFont="1" applyFill="1" applyBorder="1" applyAlignment="1" applyProtection="1">
      <alignment vertical="center" wrapText="1"/>
      <protection locked="0"/>
    </xf>
    <xf numFmtId="1" fontId="19" fillId="4" borderId="250" xfId="19" applyNumberFormat="1" applyFont="1" applyFill="1" applyBorder="1" applyAlignment="1" applyProtection="1">
      <alignment vertical="center" wrapText="1"/>
      <protection locked="0"/>
    </xf>
    <xf numFmtId="1" fontId="19" fillId="4" borderId="253" xfId="19" applyNumberFormat="1" applyFont="1" applyFill="1" applyBorder="1" applyAlignment="1" applyProtection="1">
      <alignment vertical="center" wrapText="1"/>
      <protection locked="0"/>
    </xf>
    <xf numFmtId="1" fontId="19" fillId="4" borderId="260" xfId="19" applyNumberFormat="1" applyFont="1" applyFill="1" applyBorder="1" applyAlignment="1" applyProtection="1">
      <alignment vertical="center" wrapText="1"/>
      <protection locked="0"/>
    </xf>
    <xf numFmtId="1" fontId="19" fillId="4" borderId="264" xfId="19" applyNumberFormat="1" applyFont="1" applyFill="1" applyBorder="1" applyAlignment="1" applyProtection="1">
      <alignment vertical="center" wrapText="1"/>
      <protection locked="0"/>
    </xf>
    <xf numFmtId="1" fontId="19" fillId="4" borderId="243" xfId="19" applyNumberFormat="1" applyFont="1" applyFill="1" applyBorder="1" applyAlignment="1" applyProtection="1">
      <alignment vertical="center" wrapText="1"/>
      <protection locked="0"/>
    </xf>
    <xf numFmtId="1" fontId="19" fillId="4" borderId="254" xfId="19" applyNumberFormat="1" applyFont="1" applyFill="1" applyBorder="1" applyAlignment="1" applyProtection="1">
      <alignment vertical="center" wrapText="1"/>
      <protection locked="0"/>
    </xf>
    <xf numFmtId="1" fontId="19" fillId="4" borderId="256" xfId="19" applyNumberFormat="1" applyFont="1" applyFill="1" applyBorder="1" applyAlignment="1" applyProtection="1">
      <alignment vertical="center" wrapText="1"/>
      <protection locked="0"/>
    </xf>
    <xf numFmtId="1" fontId="19" fillId="4" borderId="234" xfId="19" applyNumberFormat="1" applyFont="1" applyFill="1" applyBorder="1" applyAlignment="1" applyProtection="1">
      <alignment vertical="center" wrapText="1"/>
      <protection locked="0"/>
    </xf>
    <xf numFmtId="0" fontId="15" fillId="0" borderId="180" xfId="11" applyFont="1" applyFill="1" applyBorder="1" applyAlignment="1" applyProtection="1">
      <alignment vertical="top"/>
    </xf>
    <xf numFmtId="0" fontId="26" fillId="0" borderId="183" xfId="11" applyFont="1" applyFill="1" applyBorder="1" applyAlignment="1" applyProtection="1">
      <alignment vertical="top"/>
    </xf>
    <xf numFmtId="0" fontId="26" fillId="0" borderId="186" xfId="11" applyFont="1" applyFill="1" applyBorder="1" applyAlignment="1" applyProtection="1">
      <alignment vertical="top"/>
    </xf>
    <xf numFmtId="0" fontId="26" fillId="0" borderId="186" xfId="11" applyNumberFormat="1" applyFont="1" applyFill="1" applyBorder="1" applyAlignment="1" applyProtection="1">
      <alignment vertical="top"/>
    </xf>
    <xf numFmtId="0" fontId="26" fillId="0" borderId="189" xfId="11" applyNumberFormat="1" applyFont="1" applyFill="1" applyBorder="1" applyAlignment="1" applyProtection="1">
      <alignment vertical="top"/>
    </xf>
    <xf numFmtId="0" fontId="26" fillId="0" borderId="190" xfId="11" applyNumberFormat="1" applyFont="1" applyFill="1" applyBorder="1" applyAlignment="1" applyProtection="1">
      <alignment vertical="top"/>
    </xf>
    <xf numFmtId="0" fontId="26" fillId="0" borderId="189" xfId="11" applyNumberFormat="1" applyFont="1" applyFill="1" applyBorder="1" applyAlignment="1" applyProtection="1">
      <alignment horizontal="right" vertical="top"/>
    </xf>
    <xf numFmtId="0" fontId="0" fillId="0" borderId="0" xfId="0" applyAlignment="1" applyProtection="1">
      <alignment horizontal="center" vertical="center" wrapText="1"/>
    </xf>
    <xf numFmtId="0" fontId="51" fillId="0" borderId="0" xfId="14" applyFont="1" applyBorder="1" applyAlignment="1" applyProtection="1">
      <alignment vertical="center"/>
    </xf>
    <xf numFmtId="0" fontId="7" fillId="2" borderId="0" xfId="14" applyFont="1" applyFill="1" applyBorder="1" applyAlignment="1" applyProtection="1">
      <alignment horizontal="left" vertical="center"/>
    </xf>
    <xf numFmtId="0" fontId="7" fillId="2" borderId="0" xfId="14" applyFont="1" applyFill="1" applyBorder="1" applyAlignment="1" applyProtection="1">
      <alignment vertical="center" wrapText="1"/>
    </xf>
    <xf numFmtId="0" fontId="52" fillId="2" borderId="0" xfId="14" applyFont="1" applyFill="1" applyBorder="1" applyAlignment="1" applyProtection="1">
      <alignment horizontal="left" vertical="center"/>
    </xf>
    <xf numFmtId="0" fontId="53" fillId="2" borderId="0" xfId="14" applyFont="1" applyFill="1" applyBorder="1" applyAlignment="1" applyProtection="1">
      <alignment horizontal="left" vertical="center"/>
    </xf>
    <xf numFmtId="0" fontId="51" fillId="2" borderId="0" xfId="14" applyFont="1" applyFill="1" applyBorder="1" applyAlignment="1" applyProtection="1">
      <alignment vertical="center"/>
    </xf>
    <xf numFmtId="0" fontId="51" fillId="2" borderId="0" xfId="14" applyFont="1" applyFill="1" applyAlignment="1" applyProtection="1">
      <alignment vertical="center"/>
    </xf>
    <xf numFmtId="0" fontId="51" fillId="0" borderId="0" xfId="14" applyFont="1" applyProtection="1"/>
    <xf numFmtId="49" fontId="27" fillId="3" borderId="145" xfId="14" applyNumberFormat="1" applyFont="1" applyFill="1" applyBorder="1" applyAlignment="1" applyProtection="1">
      <alignment horizontal="centerContinuous" vertical="center"/>
    </xf>
    <xf numFmtId="0" fontId="0" fillId="3" borderId="146" xfId="0" applyFill="1" applyBorder="1" applyAlignment="1" applyProtection="1">
      <alignment horizontal="centerContinuous" vertical="center"/>
    </xf>
    <xf numFmtId="49" fontId="8" fillId="4" borderId="147" xfId="14" applyNumberFormat="1" applyFont="1" applyFill="1" applyBorder="1" applyAlignment="1" applyProtection="1">
      <alignment horizontal="center" vertical="center"/>
    </xf>
    <xf numFmtId="0" fontId="4" fillId="4" borderId="148" xfId="0" applyFont="1" applyFill="1" applyBorder="1" applyAlignment="1" applyProtection="1">
      <alignment horizontal="center" vertical="center"/>
      <protection locked="0"/>
    </xf>
    <xf numFmtId="0" fontId="15" fillId="0" borderId="0" xfId="14" applyFont="1" applyAlignment="1" applyProtection="1">
      <alignment vertical="center"/>
    </xf>
    <xf numFmtId="0" fontId="10" fillId="3" borderId="60" xfId="14" applyFont="1" applyFill="1" applyBorder="1" applyAlignment="1" applyProtection="1">
      <alignment horizontal="centerContinuous" vertical="center"/>
    </xf>
    <xf numFmtId="0" fontId="10" fillId="3" borderId="34" xfId="14" applyFont="1" applyFill="1" applyBorder="1" applyAlignment="1" applyProtection="1">
      <alignment horizontal="centerContinuous" vertical="center"/>
    </xf>
    <xf numFmtId="0" fontId="10" fillId="3" borderId="35" xfId="14" applyFont="1" applyFill="1" applyBorder="1" applyAlignment="1" applyProtection="1">
      <alignment horizontal="centerContinuous" vertical="center"/>
    </xf>
    <xf numFmtId="0" fontId="10" fillId="3" borderId="2" xfId="14" applyNumberFormat="1" applyFont="1" applyFill="1" applyBorder="1" applyAlignment="1" applyProtection="1">
      <alignment horizontal="centerContinuous" vertical="center"/>
    </xf>
    <xf numFmtId="0" fontId="10" fillId="3" borderId="3" xfId="14" applyNumberFormat="1" applyFont="1" applyFill="1" applyBorder="1" applyAlignment="1" applyProtection="1">
      <alignment horizontal="centerContinuous" vertical="center"/>
    </xf>
    <xf numFmtId="0" fontId="10" fillId="3" borderId="4" xfId="14" applyNumberFormat="1" applyFont="1" applyFill="1" applyBorder="1" applyAlignment="1" applyProtection="1">
      <alignment horizontal="centerContinuous" vertical="center"/>
    </xf>
    <xf numFmtId="0" fontId="33" fillId="0" borderId="0" xfId="14" applyFont="1" applyBorder="1" applyAlignment="1" applyProtection="1">
      <alignment horizontal="left" vertical="center" wrapText="1"/>
    </xf>
    <xf numFmtId="0" fontId="33" fillId="0" borderId="0" xfId="14" applyNumberFormat="1" applyFont="1" applyBorder="1" applyAlignment="1" applyProtection="1">
      <alignment horizontal="center" vertical="top" wrapText="1"/>
    </xf>
    <xf numFmtId="0" fontId="51" fillId="0" borderId="0" xfId="14" applyNumberFormat="1" applyFont="1" applyAlignment="1" applyProtection="1">
      <alignment horizontal="center" vertical="top" wrapText="1"/>
    </xf>
    <xf numFmtId="0" fontId="10" fillId="3" borderId="14" xfId="14" applyNumberFormat="1" applyFont="1" applyFill="1" applyBorder="1" applyAlignment="1" applyProtection="1">
      <alignment horizontal="centerContinuous" vertical="center"/>
    </xf>
    <xf numFmtId="0" fontId="10" fillId="3" borderId="15" xfId="14" applyNumberFormat="1" applyFont="1" applyFill="1" applyBorder="1" applyAlignment="1" applyProtection="1">
      <alignment horizontal="centerContinuous" vertical="center"/>
    </xf>
    <xf numFmtId="0" fontId="10" fillId="3" borderId="16" xfId="14" applyNumberFormat="1" applyFont="1" applyFill="1" applyBorder="1" applyAlignment="1" applyProtection="1">
      <alignment horizontal="centerContinuous" vertical="center"/>
    </xf>
    <xf numFmtId="0" fontId="10" fillId="3" borderId="5" xfId="14" applyNumberFormat="1" applyFont="1" applyFill="1" applyBorder="1" applyAlignment="1" applyProtection="1">
      <alignment horizontal="centerContinuous" vertical="center"/>
    </xf>
    <xf numFmtId="0" fontId="10" fillId="3" borderId="6" xfId="14" applyNumberFormat="1" applyFont="1" applyFill="1" applyBorder="1" applyAlignment="1" applyProtection="1">
      <alignment horizontal="centerContinuous" vertical="center"/>
    </xf>
    <xf numFmtId="0" fontId="10" fillId="3" borderId="7" xfId="14" applyNumberFormat="1" applyFont="1" applyFill="1" applyBorder="1" applyAlignment="1" applyProtection="1">
      <alignment horizontal="centerContinuous" vertical="center"/>
    </xf>
    <xf numFmtId="0" fontId="10" fillId="3" borderId="54" xfId="14" applyNumberFormat="1" applyFont="1" applyFill="1" applyBorder="1" applyAlignment="1" applyProtection="1">
      <alignment horizontal="centerContinuous" vertical="center"/>
    </xf>
    <xf numFmtId="0" fontId="10" fillId="3" borderId="5" xfId="14" applyNumberFormat="1" applyFont="1" applyFill="1" applyBorder="1" applyAlignment="1" applyProtection="1">
      <alignment horizontal="centerContinuous" vertical="center" wrapText="1"/>
    </xf>
    <xf numFmtId="0" fontId="15" fillId="0" borderId="0" xfId="14" applyFont="1" applyAlignment="1" applyProtection="1">
      <alignment horizontal="center" vertical="center" wrapText="1"/>
    </xf>
    <xf numFmtId="0" fontId="55" fillId="0" borderId="0" xfId="14" applyFont="1" applyBorder="1" applyAlignment="1" applyProtection="1">
      <alignment horizontal="center" vertical="center" wrapText="1"/>
    </xf>
    <xf numFmtId="0" fontId="38" fillId="3" borderId="131" xfId="14" applyNumberFormat="1" applyFont="1" applyFill="1" applyBorder="1" applyAlignment="1" applyProtection="1">
      <alignment horizontal="centerContinuous" vertical="center" wrapText="1"/>
    </xf>
    <xf numFmtId="0" fontId="10" fillId="3" borderId="110" xfId="14" applyNumberFormat="1" applyFont="1" applyFill="1" applyBorder="1" applyAlignment="1" applyProtection="1">
      <alignment horizontal="centerContinuous" vertical="center" wrapText="1"/>
    </xf>
    <xf numFmtId="0" fontId="10" fillId="3" borderId="22" xfId="14" applyNumberFormat="1" applyFont="1" applyFill="1" applyBorder="1" applyAlignment="1" applyProtection="1">
      <alignment horizontal="centerContinuous" vertical="center" wrapText="1"/>
    </xf>
    <xf numFmtId="0" fontId="10" fillId="3" borderId="15" xfId="14" applyFont="1" applyFill="1" applyBorder="1" applyAlignment="1" applyProtection="1">
      <alignment horizontal="left" vertical="center"/>
    </xf>
    <xf numFmtId="170" fontId="26" fillId="0" borderId="9" xfId="9" applyNumberFormat="1" applyFont="1" applyFill="1" applyBorder="1" applyAlignment="1" applyProtection="1">
      <alignment horizontal="center" vertical="center"/>
      <protection locked="0"/>
    </xf>
    <xf numFmtId="0" fontId="26" fillId="0" borderId="8" xfId="9" applyNumberFormat="1" applyFont="1" applyFill="1" applyBorder="1" applyAlignment="1" applyProtection="1">
      <alignment horizontal="center" vertical="center"/>
      <protection locked="0"/>
    </xf>
    <xf numFmtId="170" fontId="26" fillId="0" borderId="12" xfId="9" applyNumberFormat="1" applyFont="1" applyFill="1" applyBorder="1" applyAlignment="1" applyProtection="1">
      <alignment horizontal="center" vertical="center"/>
      <protection locked="0"/>
    </xf>
    <xf numFmtId="0" fontId="26" fillId="0" borderId="11" xfId="9" applyNumberFormat="1" applyFont="1" applyFill="1" applyBorder="1" applyAlignment="1" applyProtection="1">
      <alignment horizontal="center" vertical="center"/>
      <protection locked="0"/>
    </xf>
    <xf numFmtId="0" fontId="0" fillId="0" borderId="0" xfId="0" applyNumberFormat="1" applyProtection="1"/>
    <xf numFmtId="0" fontId="15" fillId="0" borderId="0" xfId="14" applyFont="1" applyAlignment="1" applyProtection="1">
      <alignment horizontal="center" vertical="top" wrapText="1"/>
    </xf>
    <xf numFmtId="0" fontId="10" fillId="3" borderId="11" xfId="14" applyNumberFormat="1" applyFont="1" applyFill="1" applyBorder="1" applyAlignment="1" applyProtection="1">
      <alignment horizontal="centerContinuous" vertical="center"/>
    </xf>
    <xf numFmtId="0" fontId="10" fillId="3" borderId="12" xfId="14" applyNumberFormat="1" applyFont="1" applyFill="1" applyBorder="1" applyAlignment="1" applyProtection="1">
      <alignment horizontal="centerContinuous" vertical="center"/>
    </xf>
    <xf numFmtId="0" fontId="10" fillId="3" borderId="13" xfId="14" applyNumberFormat="1" applyFont="1" applyFill="1" applyBorder="1" applyAlignment="1" applyProtection="1">
      <alignment horizontal="centerContinuous" vertical="center"/>
    </xf>
    <xf numFmtId="173" fontId="26" fillId="0" borderId="12" xfId="9" applyNumberFormat="1" applyFont="1" applyFill="1" applyBorder="1" applyAlignment="1" applyProtection="1">
      <alignment horizontal="center" vertical="center"/>
      <protection locked="0"/>
    </xf>
    <xf numFmtId="169" fontId="26" fillId="0" borderId="12" xfId="9" applyNumberFormat="1" applyFont="1" applyFill="1" applyBorder="1" applyAlignment="1" applyProtection="1">
      <alignment horizontal="center" vertical="center"/>
      <protection locked="0"/>
    </xf>
    <xf numFmtId="10" fontId="26" fillId="0" borderId="12" xfId="9" applyNumberFormat="1" applyFont="1" applyFill="1" applyBorder="1" applyAlignment="1" applyProtection="1">
      <alignment horizontal="center" vertical="center"/>
      <protection locked="0"/>
    </xf>
    <xf numFmtId="3" fontId="26" fillId="0" borderId="12" xfId="9" applyNumberFormat="1" applyFont="1" applyFill="1" applyBorder="1" applyAlignment="1" applyProtection="1">
      <alignment horizontal="center" vertical="center"/>
      <protection locked="0"/>
    </xf>
    <xf numFmtId="169" fontId="15" fillId="0" borderId="0" xfId="14" applyNumberFormat="1" applyFont="1" applyFill="1" applyBorder="1" applyAlignment="1" applyProtection="1">
      <alignment horizontal="center" vertical="top" wrapText="1"/>
    </xf>
    <xf numFmtId="0" fontId="10" fillId="3" borderId="11" xfId="14" applyNumberFormat="1" applyFont="1" applyFill="1" applyBorder="1" applyAlignment="1" applyProtection="1">
      <alignment horizontal="centerContinuous" vertical="center" wrapText="1"/>
    </xf>
    <xf numFmtId="0" fontId="26" fillId="4" borderId="9" xfId="9" applyFont="1" applyFill="1" applyBorder="1" applyProtection="1"/>
    <xf numFmtId="49" fontId="4" fillId="0" borderId="0" xfId="16" applyNumberFormat="1" applyBorder="1" applyAlignment="1" applyProtection="1">
      <alignment horizontal="center" vertical="top" wrapText="1"/>
    </xf>
    <xf numFmtId="49" fontId="4" fillId="0" borderId="0" xfId="16" applyNumberFormat="1" applyBorder="1" applyAlignment="1" applyProtection="1">
      <alignment horizontal="left" vertical="top" wrapText="1"/>
    </xf>
    <xf numFmtId="0" fontId="27" fillId="3" borderId="33" xfId="9" applyFont="1" applyFill="1" applyBorder="1" applyAlignment="1" applyProtection="1">
      <alignment horizontal="left" vertical="center"/>
    </xf>
    <xf numFmtId="49" fontId="12" fillId="0" borderId="0" xfId="16" applyNumberFormat="1" applyFont="1" applyBorder="1" applyAlignment="1" applyProtection="1">
      <alignment horizontal="center" vertical="top" wrapText="1"/>
    </xf>
    <xf numFmtId="49" fontId="12" fillId="0" borderId="0" xfId="16" applyNumberFormat="1" applyFont="1" applyBorder="1" applyAlignment="1" applyProtection="1">
      <alignment horizontal="left" vertical="top" wrapText="1"/>
    </xf>
    <xf numFmtId="49" fontId="12" fillId="0" borderId="149" xfId="16" applyNumberFormat="1" applyFont="1" applyBorder="1" applyAlignment="1" applyProtection="1">
      <alignment horizontal="center" vertical="top" wrapText="1"/>
    </xf>
    <xf numFmtId="49" fontId="12" fillId="0" borderId="150" xfId="16" applyNumberFormat="1" applyFont="1" applyBorder="1" applyAlignment="1" applyProtection="1">
      <alignment horizontal="left" vertical="top" wrapText="1"/>
    </xf>
    <xf numFmtId="49" fontId="12" fillId="0" borderId="151" xfId="16" applyNumberFormat="1" applyFont="1" applyBorder="1" applyAlignment="1" applyProtection="1">
      <alignment horizontal="center" vertical="top" wrapText="1"/>
    </xf>
    <xf numFmtId="49" fontId="12" fillId="0" borderId="152" xfId="16" applyNumberFormat="1" applyFont="1" applyBorder="1" applyAlignment="1" applyProtection="1">
      <alignment horizontal="left" vertical="top" wrapText="1"/>
    </xf>
    <xf numFmtId="49" fontId="12" fillId="0" borderId="153" xfId="16" applyNumberFormat="1" applyFont="1" applyBorder="1" applyAlignment="1" applyProtection="1">
      <alignment horizontal="center" vertical="top" wrapText="1"/>
    </xf>
    <xf numFmtId="0" fontId="12" fillId="0" borderId="154" xfId="16" applyNumberFormat="1" applyFont="1" applyBorder="1" applyAlignment="1" applyProtection="1">
      <alignment horizontal="left" vertical="top" wrapText="1"/>
    </xf>
    <xf numFmtId="0" fontId="0" fillId="0" borderId="0" xfId="0" applyBorder="1" applyAlignment="1" applyProtection="1"/>
    <xf numFmtId="49" fontId="12" fillId="0" borderId="0" xfId="16" applyNumberFormat="1" applyFont="1" applyBorder="1" applyAlignment="1" applyProtection="1">
      <alignment horizontal="left" vertical="center" wrapText="1"/>
    </xf>
    <xf numFmtId="0" fontId="4" fillId="0" borderId="0" xfId="16" applyBorder="1" applyAlignment="1" applyProtection="1">
      <alignment horizontal="left" vertical="top" wrapText="1"/>
    </xf>
    <xf numFmtId="0" fontId="33" fillId="0" borderId="131" xfId="5" applyFont="1" applyFill="1" applyBorder="1" applyAlignment="1" applyProtection="1">
      <alignment horizontal="left" vertical="center" wrapText="1"/>
    </xf>
    <xf numFmtId="0" fontId="14" fillId="0" borderId="110" xfId="5" applyFont="1" applyBorder="1" applyAlignment="1" applyProtection="1">
      <alignment horizontal="left" vertical="center" wrapText="1"/>
    </xf>
    <xf numFmtId="0" fontId="0" fillId="0" borderId="110" xfId="0" applyBorder="1" applyAlignment="1" applyProtection="1">
      <alignment horizontal="left" vertical="center" wrapText="1"/>
    </xf>
    <xf numFmtId="0" fontId="0" fillId="0" borderId="22" xfId="0" applyBorder="1" applyAlignment="1" applyProtection="1">
      <alignment horizontal="left" vertical="center" wrapText="1"/>
    </xf>
    <xf numFmtId="49" fontId="4" fillId="0" borderId="0" xfId="16" applyNumberFormat="1" applyBorder="1" applyAlignment="1" applyProtection="1">
      <alignment horizontal="left" vertical="center" wrapText="1"/>
    </xf>
    <xf numFmtId="49" fontId="4" fillId="0" borderId="168" xfId="16" applyNumberFormat="1" applyBorder="1" applyAlignment="1" applyProtection="1">
      <alignment horizontal="left" vertical="center" wrapText="1"/>
    </xf>
    <xf numFmtId="0" fontId="0" fillId="0" borderId="169" xfId="0" applyBorder="1" applyProtection="1"/>
    <xf numFmtId="49" fontId="57" fillId="0" borderId="0" xfId="16" applyNumberFormat="1" applyFont="1" applyBorder="1" applyAlignment="1" applyProtection="1">
      <alignment horizontal="left" vertical="center"/>
    </xf>
    <xf numFmtId="49" fontId="4" fillId="0" borderId="0" xfId="16" applyNumberFormat="1" applyBorder="1" applyAlignment="1" applyProtection="1">
      <alignment horizontal="left" vertical="center"/>
    </xf>
    <xf numFmtId="49" fontId="4" fillId="0" borderId="131" xfId="16" applyNumberFormat="1" applyBorder="1" applyAlignment="1" applyProtection="1">
      <alignment horizontal="left" vertical="center" wrapText="1"/>
    </xf>
    <xf numFmtId="49" fontId="19" fillId="0" borderId="110" xfId="16" applyNumberFormat="1" applyFont="1" applyBorder="1" applyAlignment="1" applyProtection="1">
      <alignment horizontal="left" vertical="top" wrapText="1"/>
    </xf>
    <xf numFmtId="0" fontId="4" fillId="0" borderId="110" xfId="16" applyBorder="1" applyAlignment="1" applyProtection="1">
      <alignment horizontal="left" vertical="top" wrapText="1"/>
    </xf>
    <xf numFmtId="0" fontId="0" fillId="0" borderId="110" xfId="0" applyBorder="1" applyProtection="1"/>
    <xf numFmtId="0" fontId="0" fillId="0" borderId="22" xfId="0" applyBorder="1" applyProtection="1"/>
    <xf numFmtId="49" fontId="19" fillId="0" borderId="0" xfId="16" applyNumberFormat="1" applyFont="1" applyBorder="1" applyAlignment="1" applyProtection="1">
      <alignment horizontal="left" vertical="top" wrapText="1"/>
    </xf>
    <xf numFmtId="49" fontId="107" fillId="0" borderId="0" xfId="16" applyNumberFormat="1" applyFont="1" applyBorder="1" applyAlignment="1" applyProtection="1">
      <alignment horizontal="left" vertical="center" wrapText="1"/>
    </xf>
    <xf numFmtId="49" fontId="108"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3" fillId="3" borderId="44" xfId="16" applyNumberFormat="1" applyFont="1" applyFill="1" applyBorder="1" applyAlignment="1" applyProtection="1">
      <alignment horizontal="left" vertical="center" wrapText="1"/>
    </xf>
    <xf numFmtId="49" fontId="0" fillId="3" borderId="155" xfId="16" applyNumberFormat="1" applyFont="1" applyFill="1" applyBorder="1" applyAlignment="1" applyProtection="1">
      <alignment horizontal="left" vertical="center" wrapText="1"/>
    </xf>
    <xf numFmtId="49" fontId="23" fillId="3" borderId="155" xfId="16" applyNumberFormat="1" applyFont="1" applyFill="1" applyBorder="1" applyAlignment="1" applyProtection="1">
      <alignment horizontal="left" vertical="center" wrapText="1"/>
    </xf>
    <xf numFmtId="49" fontId="4" fillId="3" borderId="47" xfId="16" applyNumberFormat="1" applyFill="1" applyBorder="1" applyAlignment="1" applyProtection="1">
      <alignment horizontal="center" vertical="top" wrapText="1"/>
    </xf>
    <xf numFmtId="0" fontId="33" fillId="0" borderId="1" xfId="0" applyFont="1" applyBorder="1" applyAlignment="1">
      <alignment vertical="top" wrapText="1"/>
    </xf>
    <xf numFmtId="0" fontId="12" fillId="0" borderId="31" xfId="0" applyFont="1" applyBorder="1" applyAlignment="1">
      <alignment vertical="top" wrapText="1"/>
    </xf>
    <xf numFmtId="0" fontId="12" fillId="0" borderId="32" xfId="0" applyFont="1" applyBorder="1" applyAlignment="1">
      <alignment vertical="top" wrapText="1"/>
    </xf>
    <xf numFmtId="0" fontId="12" fillId="0" borderId="30" xfId="0" applyFont="1" applyBorder="1" applyAlignment="1">
      <alignment vertical="top" wrapText="1"/>
    </xf>
    <xf numFmtId="0" fontId="12" fillId="0" borderId="1" xfId="0" applyFont="1" applyBorder="1" applyAlignment="1">
      <alignment horizontal="left" vertical="top" wrapText="1"/>
    </xf>
    <xf numFmtId="0" fontId="19" fillId="0" borderId="235" xfId="11" applyFont="1" applyFill="1" applyBorder="1" applyAlignment="1" applyProtection="1">
      <alignment vertical="center"/>
    </xf>
    <xf numFmtId="0" fontId="19" fillId="0" borderId="328" xfId="11" applyFont="1" applyFill="1" applyBorder="1" applyAlignment="1" applyProtection="1">
      <alignment vertical="center"/>
    </xf>
    <xf numFmtId="0" fontId="19" fillId="0" borderId="335" xfId="11" applyFont="1" applyFill="1" applyBorder="1" applyAlignment="1" applyProtection="1">
      <alignment vertical="center"/>
    </xf>
    <xf numFmtId="0" fontId="103" fillId="0" borderId="33" xfId="0" applyNumberFormat="1" applyFont="1" applyFill="1" applyBorder="1" applyAlignment="1" applyProtection="1">
      <alignment vertical="center"/>
    </xf>
    <xf numFmtId="0" fontId="70" fillId="0" borderId="34" xfId="11" applyFont="1" applyFill="1" applyBorder="1" applyAlignment="1">
      <alignment vertical="center"/>
    </xf>
    <xf numFmtId="0" fontId="70" fillId="0" borderId="34" xfId="15" applyFont="1" applyFill="1" applyBorder="1" applyAlignment="1">
      <alignment vertical="center"/>
    </xf>
    <xf numFmtId="0" fontId="70" fillId="0" borderId="35" xfId="21" applyFont="1" applyFill="1" applyBorder="1"/>
    <xf numFmtId="0" fontId="103" fillId="3" borderId="54" xfId="9" applyFont="1" applyFill="1" applyBorder="1" applyAlignment="1" applyProtection="1">
      <alignment vertical="center"/>
    </xf>
    <xf numFmtId="0" fontId="28" fillId="3" borderId="24" xfId="9" applyFont="1" applyFill="1" applyBorder="1" applyAlignment="1" applyProtection="1">
      <alignment horizontal="left" vertical="center"/>
    </xf>
    <xf numFmtId="1" fontId="19" fillId="7" borderId="8" xfId="2" applyNumberFormat="1" applyFont="1" applyFill="1" applyBorder="1" applyAlignment="1" applyProtection="1">
      <alignment vertical="center"/>
    </xf>
    <xf numFmtId="0" fontId="19" fillId="4" borderId="31" xfId="2" applyNumberFormat="1" applyFont="1" applyFill="1" applyBorder="1" applyAlignment="1" applyProtection="1">
      <alignment vertical="center" wrapText="1"/>
      <protection locked="0"/>
    </xf>
    <xf numFmtId="0" fontId="19" fillId="4" borderId="32" xfId="2" applyNumberFormat="1" applyFont="1" applyFill="1" applyBorder="1" applyAlignment="1" applyProtection="1">
      <alignment vertical="center" wrapText="1"/>
      <protection locked="0"/>
    </xf>
    <xf numFmtId="0" fontId="19" fillId="4" borderId="109" xfId="2" applyNumberFormat="1" applyFont="1" applyFill="1" applyBorder="1" applyAlignment="1" applyProtection="1">
      <alignment vertical="center" wrapText="1"/>
      <protection locked="0"/>
    </xf>
    <xf numFmtId="0" fontId="19" fillId="4" borderId="30" xfId="2" applyNumberFormat="1" applyFont="1" applyFill="1" applyBorder="1" applyAlignment="1" applyProtection="1">
      <alignment vertical="center" wrapText="1"/>
      <protection locked="0"/>
    </xf>
    <xf numFmtId="2" fontId="19" fillId="0" borderId="0" xfId="2" applyNumberFormat="1" applyFont="1" applyFill="1" applyBorder="1" applyAlignment="1" applyProtection="1">
      <alignment vertical="center"/>
    </xf>
    <xf numFmtId="171" fontId="19" fillId="0" borderId="0" xfId="2" applyNumberFormat="1" applyFont="1" applyFill="1" applyBorder="1" applyAlignment="1" applyProtection="1">
      <alignment vertical="center"/>
    </xf>
    <xf numFmtId="1" fontId="19" fillId="0" borderId="0" xfId="11" applyNumberFormat="1" applyFont="1" applyFill="1" applyBorder="1" applyAlignment="1" applyProtection="1">
      <alignment vertical="center"/>
    </xf>
    <xf numFmtId="165" fontId="19" fillId="0" borderId="0" xfId="11" applyNumberFormat="1" applyFont="1" applyFill="1" applyBorder="1" applyAlignment="1" applyProtection="1">
      <alignment vertical="center"/>
    </xf>
    <xf numFmtId="165" fontId="19" fillId="21" borderId="33" xfId="11" applyNumberFormat="1" applyFont="1" applyFill="1" applyBorder="1" applyAlignment="1" applyProtection="1">
      <alignment vertical="center"/>
    </xf>
    <xf numFmtId="165" fontId="19" fillId="21" borderId="4" xfId="11" applyNumberFormat="1" applyFont="1" applyFill="1" applyBorder="1" applyAlignment="1" applyProtection="1">
      <alignment vertical="center"/>
    </xf>
    <xf numFmtId="165" fontId="19" fillId="21" borderId="61" xfId="11" applyNumberFormat="1" applyFont="1" applyFill="1" applyBorder="1" applyAlignment="1" applyProtection="1">
      <alignment vertical="center"/>
    </xf>
    <xf numFmtId="165" fontId="19" fillId="21" borderId="34" xfId="11" applyNumberFormat="1" applyFont="1" applyFill="1" applyBorder="1" applyAlignment="1" applyProtection="1">
      <alignment vertical="center"/>
    </xf>
    <xf numFmtId="165" fontId="19" fillId="21" borderId="3" xfId="11" applyNumberFormat="1" applyFont="1" applyFill="1" applyBorder="1" applyAlignment="1" applyProtection="1">
      <alignment vertical="center"/>
    </xf>
    <xf numFmtId="165" fontId="19" fillId="22" borderId="4" xfId="11" applyNumberFormat="1" applyFont="1" applyFill="1" applyBorder="1" applyAlignment="1" applyProtection="1">
      <alignment vertical="center"/>
    </xf>
    <xf numFmtId="165" fontId="26" fillId="0" borderId="0" xfId="11" applyNumberFormat="1" applyFont="1" applyFill="1" applyBorder="1" applyAlignment="1" applyProtection="1">
      <alignment vertical="center"/>
    </xf>
    <xf numFmtId="0" fontId="26" fillId="4" borderId="9" xfId="9" applyNumberFormat="1" applyFont="1" applyFill="1" applyBorder="1" applyAlignment="1" applyProtection="1">
      <alignment horizontal="center" vertical="center" wrapText="1"/>
      <protection locked="0"/>
    </xf>
    <xf numFmtId="165" fontId="61" fillId="0" borderId="26" xfId="6" applyNumberFormat="1" applyFont="1" applyFill="1" applyBorder="1" applyAlignment="1" applyProtection="1">
      <alignment vertical="center"/>
    </xf>
    <xf numFmtId="0" fontId="25" fillId="0" borderId="0" xfId="0" applyFont="1" applyBorder="1" applyAlignment="1" applyProtection="1">
      <alignment horizontal="center" vertical="center"/>
    </xf>
    <xf numFmtId="165" fontId="61" fillId="18" borderId="11" xfId="6" applyNumberFormat="1" applyFont="1" applyFill="1" applyBorder="1" applyAlignment="1" applyProtection="1">
      <alignment vertical="center"/>
    </xf>
    <xf numFmtId="165" fontId="61" fillId="18" borderId="27" xfId="6" applyNumberFormat="1" applyFont="1" applyFill="1" applyBorder="1" applyAlignment="1" applyProtection="1">
      <alignment vertical="center"/>
    </xf>
    <xf numFmtId="165" fontId="61" fillId="18" borderId="41" xfId="6" applyNumberFormat="1" applyFont="1" applyFill="1" applyBorder="1" applyAlignment="1" applyProtection="1">
      <alignment vertical="center"/>
    </xf>
    <xf numFmtId="165" fontId="61" fillId="18" borderId="12" xfId="6" applyNumberFormat="1" applyFont="1" applyFill="1" applyBorder="1" applyAlignment="1" applyProtection="1">
      <alignment vertical="center"/>
    </xf>
    <xf numFmtId="165" fontId="61" fillId="18" borderId="40" xfId="6" applyNumberFormat="1" applyFont="1" applyFill="1" applyBorder="1" applyAlignment="1" applyProtection="1">
      <alignment vertical="center"/>
    </xf>
    <xf numFmtId="165" fontId="61" fillId="18" borderId="2" xfId="6" applyNumberFormat="1" applyFont="1" applyFill="1" applyBorder="1" applyAlignment="1" applyProtection="1">
      <alignment vertical="center"/>
    </xf>
    <xf numFmtId="165" fontId="61" fillId="18" borderId="35" xfId="6" applyNumberFormat="1" applyFont="1" applyFill="1" applyBorder="1" applyAlignment="1" applyProtection="1">
      <alignment vertical="center"/>
    </xf>
    <xf numFmtId="165" fontId="61" fillId="18" borderId="61" xfId="6" applyNumberFormat="1" applyFont="1" applyFill="1" applyBorder="1" applyAlignment="1" applyProtection="1">
      <alignment vertical="center"/>
    </xf>
    <xf numFmtId="165" fontId="61" fillId="18" borderId="3" xfId="6" applyNumberFormat="1" applyFont="1" applyFill="1" applyBorder="1" applyAlignment="1" applyProtection="1">
      <alignment vertical="center"/>
    </xf>
    <xf numFmtId="165" fontId="61" fillId="18" borderId="4" xfId="6" applyNumberFormat="1" applyFont="1" applyFill="1" applyBorder="1" applyAlignment="1" applyProtection="1">
      <alignment vertical="center"/>
    </xf>
    <xf numFmtId="165" fontId="61" fillId="18" borderId="266" xfId="6" applyNumberFormat="1" applyFont="1" applyFill="1" applyBorder="1" applyAlignment="1" applyProtection="1">
      <alignment vertical="center"/>
    </xf>
    <xf numFmtId="0" fontId="0" fillId="0" borderId="8" xfId="0" applyBorder="1" applyProtection="1"/>
    <xf numFmtId="0" fontId="19" fillId="0" borderId="26" xfId="19" applyNumberFormat="1" applyFont="1" applyFill="1" applyBorder="1" applyAlignment="1" applyProtection="1">
      <alignment vertical="center" wrapText="1"/>
    </xf>
    <xf numFmtId="165" fontId="61" fillId="18" borderId="60" xfId="6" applyNumberFormat="1" applyFont="1" applyFill="1" applyBorder="1" applyAlignment="1" applyProtection="1">
      <alignment vertical="center"/>
    </xf>
    <xf numFmtId="165" fontId="19" fillId="7" borderId="295" xfId="19" applyNumberFormat="1" applyFont="1" applyFill="1" applyBorder="1" applyAlignment="1" applyProtection="1">
      <alignment vertical="center"/>
    </xf>
    <xf numFmtId="165" fontId="19" fillId="7" borderId="296" xfId="19" applyNumberFormat="1" applyFont="1" applyFill="1" applyBorder="1" applyAlignment="1" applyProtection="1">
      <alignment vertical="center"/>
    </xf>
    <xf numFmtId="165" fontId="19" fillId="7" borderId="297" xfId="19" applyNumberFormat="1" applyFont="1" applyFill="1" applyBorder="1" applyAlignment="1" applyProtection="1">
      <alignment vertical="center"/>
    </xf>
    <xf numFmtId="165" fontId="26" fillId="4" borderId="18" xfId="2" applyNumberFormat="1" applyFont="1" applyFill="1" applyBorder="1" applyAlignment="1" applyProtection="1">
      <alignment vertical="center"/>
    </xf>
    <xf numFmtId="165" fontId="26" fillId="4" borderId="32" xfId="2" applyNumberFormat="1" applyFont="1" applyFill="1" applyBorder="1" applyAlignment="1" applyProtection="1">
      <alignment vertical="center"/>
    </xf>
    <xf numFmtId="165" fontId="26" fillId="4" borderId="49" xfId="2" applyNumberFormat="1" applyFont="1" applyFill="1" applyBorder="1" applyAlignment="1" applyProtection="1">
      <alignment vertical="center"/>
    </xf>
    <xf numFmtId="165" fontId="26" fillId="4" borderId="31" xfId="2" applyNumberFormat="1" applyFont="1" applyFill="1" applyBorder="1" applyAlignment="1" applyProtection="1">
      <alignment vertical="center"/>
    </xf>
    <xf numFmtId="165" fontId="26" fillId="4" borderId="30" xfId="2" applyNumberFormat="1" applyFont="1" applyFill="1" applyBorder="1" applyAlignment="1" applyProtection="1">
      <alignment vertical="center"/>
    </xf>
    <xf numFmtId="0" fontId="10" fillId="3" borderId="35" xfId="9" applyFont="1" applyFill="1" applyBorder="1" applyAlignment="1" applyProtection="1">
      <alignment horizontal="center" vertical="center" wrapText="1"/>
    </xf>
    <xf numFmtId="165" fontId="26" fillId="7" borderId="27" xfId="9" applyNumberFormat="1" applyFont="1" applyFill="1" applyBorder="1" applyAlignment="1" applyProtection="1">
      <alignment vertical="center"/>
    </xf>
    <xf numFmtId="165" fontId="26" fillId="7" borderId="26" xfId="9" applyNumberFormat="1" applyFont="1" applyFill="1" applyBorder="1" applyAlignment="1" applyProtection="1">
      <alignment vertical="center"/>
    </xf>
    <xf numFmtId="165" fontId="26" fillId="7" borderId="27" xfId="2" applyNumberFormat="1" applyFont="1" applyFill="1" applyBorder="1" applyAlignment="1" applyProtection="1">
      <alignment vertical="center"/>
    </xf>
    <xf numFmtId="165" fontId="26" fillId="4" borderId="24" xfId="2" applyNumberFormat="1" applyFont="1" applyFill="1" applyBorder="1" applyAlignment="1" applyProtection="1">
      <alignment vertical="center"/>
    </xf>
    <xf numFmtId="165" fontId="26" fillId="4" borderId="26" xfId="2" applyNumberFormat="1" applyFont="1" applyFill="1" applyBorder="1" applyAlignment="1" applyProtection="1">
      <alignment vertical="center"/>
    </xf>
    <xf numFmtId="165" fontId="26" fillId="4" borderId="35" xfId="2" applyNumberFormat="1" applyFont="1" applyFill="1" applyBorder="1" applyAlignment="1" applyProtection="1">
      <alignment vertical="center"/>
    </xf>
    <xf numFmtId="165" fontId="26" fillId="4" borderId="24" xfId="1" applyNumberFormat="1" applyFont="1" applyFill="1" applyBorder="1" applyAlignment="1" applyProtection="1">
      <alignment vertical="center"/>
    </xf>
    <xf numFmtId="165" fontId="26" fillId="4" borderId="27" xfId="1" applyNumberFormat="1" applyFont="1" applyFill="1" applyBorder="1" applyAlignment="1" applyProtection="1">
      <alignment vertical="center"/>
    </xf>
    <xf numFmtId="165" fontId="26" fillId="4" borderId="28" xfId="9" applyNumberFormat="1" applyFont="1" applyFill="1" applyBorder="1" applyAlignment="1" applyProtection="1">
      <alignment vertical="center"/>
      <protection locked="0"/>
    </xf>
    <xf numFmtId="165" fontId="26" fillId="4" borderId="29" xfId="9" applyNumberFormat="1" applyFont="1" applyFill="1" applyBorder="1" applyAlignment="1" applyProtection="1">
      <alignment vertical="center"/>
      <protection locked="0"/>
    </xf>
    <xf numFmtId="165" fontId="26" fillId="7" borderId="45" xfId="9" applyNumberFormat="1" applyFont="1" applyFill="1" applyBorder="1" applyAlignment="1" applyProtection="1">
      <alignment vertical="center"/>
    </xf>
    <xf numFmtId="165" fontId="26" fillId="4" borderId="34" xfId="9" applyNumberFormat="1" applyFont="1" applyFill="1" applyBorder="1" applyAlignment="1" applyProtection="1">
      <alignment vertical="center"/>
      <protection locked="0"/>
    </xf>
    <xf numFmtId="165" fontId="26" fillId="7" borderId="28" xfId="9" applyNumberFormat="1" applyFont="1" applyFill="1" applyBorder="1" applyAlignment="1" applyProtection="1">
      <alignment vertical="center"/>
    </xf>
    <xf numFmtId="167" fontId="26" fillId="4" borderId="45" xfId="9" applyNumberFormat="1" applyFont="1" applyFill="1" applyBorder="1" applyAlignment="1" applyProtection="1">
      <alignment vertical="center"/>
      <protection locked="0"/>
    </xf>
    <xf numFmtId="0" fontId="10" fillId="3" borderId="40" xfId="9" applyFont="1" applyFill="1" applyBorder="1" applyAlignment="1" applyProtection="1">
      <alignment horizontal="center" vertical="center" wrapText="1"/>
    </xf>
    <xf numFmtId="165" fontId="26" fillId="4" borderId="3" xfId="9" applyNumberFormat="1" applyFont="1" applyFill="1" applyBorder="1" applyAlignment="1" applyProtection="1">
      <alignment vertical="center"/>
      <protection locked="0"/>
    </xf>
    <xf numFmtId="167" fontId="26" fillId="4" borderId="12" xfId="9" applyNumberFormat="1" applyFont="1" applyFill="1" applyBorder="1" applyAlignment="1" applyProtection="1">
      <alignment vertical="center"/>
      <protection locked="0"/>
    </xf>
    <xf numFmtId="165" fontId="26" fillId="4" borderId="2" xfId="9" applyNumberFormat="1" applyFont="1" applyFill="1" applyBorder="1" applyAlignment="1" applyProtection="1">
      <alignment vertical="center"/>
    </xf>
    <xf numFmtId="165" fontId="23" fillId="7" borderId="36" xfId="6" applyNumberFormat="1" applyFont="1" applyFill="1" applyBorder="1" applyAlignment="1" applyProtection="1">
      <alignment vertical="center"/>
    </xf>
    <xf numFmtId="165" fontId="23" fillId="7" borderId="38" xfId="6" applyNumberFormat="1" applyFont="1" applyFill="1" applyBorder="1" applyAlignment="1" applyProtection="1">
      <alignment vertical="center"/>
    </xf>
    <xf numFmtId="165" fontId="26" fillId="7" borderId="35" xfId="9" applyNumberFormat="1" applyFont="1" applyFill="1" applyBorder="1" applyAlignment="1" applyProtection="1">
      <alignment vertical="center"/>
    </xf>
    <xf numFmtId="0" fontId="6" fillId="0" borderId="0" xfId="0" applyFont="1" applyAlignment="1">
      <alignment wrapText="1"/>
    </xf>
    <xf numFmtId="0" fontId="6" fillId="0" borderId="0" xfId="0" applyFont="1" applyFill="1"/>
    <xf numFmtId="0" fontId="10" fillId="3" borderId="60" xfId="9" applyFont="1" applyFill="1" applyBorder="1" applyAlignment="1" applyProtection="1">
      <alignment horizontal="center" vertical="center" wrapText="1"/>
    </xf>
    <xf numFmtId="165" fontId="26" fillId="7" borderId="28" xfId="2" applyNumberFormat="1" applyFont="1" applyFill="1" applyBorder="1" applyAlignment="1" applyProtection="1">
      <alignment vertical="center"/>
    </xf>
    <xf numFmtId="165" fontId="26" fillId="7" borderId="29" xfId="2" applyNumberFormat="1" applyFont="1" applyFill="1" applyBorder="1" applyAlignment="1" applyProtection="1">
      <alignment vertical="center"/>
    </xf>
    <xf numFmtId="165" fontId="26" fillId="7" borderId="40" xfId="9" applyNumberFormat="1" applyFont="1" applyFill="1" applyBorder="1" applyAlignment="1" applyProtection="1">
      <alignment vertical="center"/>
    </xf>
    <xf numFmtId="165" fontId="26" fillId="7" borderId="38" xfId="9" applyNumberFormat="1" applyFont="1" applyFill="1" applyBorder="1" applyAlignment="1" applyProtection="1">
      <alignment vertical="center"/>
    </xf>
    <xf numFmtId="165" fontId="26" fillId="7" borderId="40" xfId="2" applyNumberFormat="1" applyFont="1" applyFill="1" applyBorder="1" applyAlignment="1" applyProtection="1">
      <alignment vertical="center"/>
    </xf>
    <xf numFmtId="165" fontId="26" fillId="7" borderId="34" xfId="2" applyNumberFormat="1" applyFont="1" applyFill="1" applyBorder="1" applyAlignment="1" applyProtection="1">
      <alignment vertical="center"/>
    </xf>
    <xf numFmtId="165" fontId="26" fillId="7" borderId="60" xfId="9" applyNumberFormat="1" applyFont="1" applyFill="1" applyBorder="1" applyAlignment="1" applyProtection="1">
      <alignment vertical="center"/>
    </xf>
    <xf numFmtId="165" fontId="26" fillId="7" borderId="36" xfId="1" applyNumberFormat="1" applyFont="1" applyFill="1" applyBorder="1" applyAlignment="1" applyProtection="1">
      <alignment vertical="center"/>
    </xf>
    <xf numFmtId="165" fontId="26" fillId="7" borderId="40" xfId="1" applyNumberFormat="1" applyFont="1" applyFill="1" applyBorder="1" applyAlignment="1" applyProtection="1">
      <alignment vertical="center"/>
    </xf>
    <xf numFmtId="165" fontId="26" fillId="7" borderId="62" xfId="9" applyNumberFormat="1" applyFont="1" applyFill="1" applyBorder="1" applyAlignment="1" applyProtection="1">
      <alignment vertical="center"/>
    </xf>
    <xf numFmtId="165" fontId="26" fillId="4" borderId="109" xfId="11" applyNumberFormat="1" applyFont="1" applyFill="1" applyBorder="1" applyAlignment="1" applyProtection="1">
      <alignment vertical="center"/>
      <protection locked="0"/>
    </xf>
    <xf numFmtId="1" fontId="26" fillId="7" borderId="109" xfId="9" applyNumberFormat="1" applyFont="1" applyFill="1" applyBorder="1" applyAlignment="1" applyProtection="1">
      <alignment vertical="center"/>
    </xf>
    <xf numFmtId="0" fontId="25" fillId="8" borderId="0" xfId="7" applyFont="1" applyBorder="1" applyAlignment="1" applyProtection="1">
      <alignment horizontal="center" vertical="center"/>
    </xf>
    <xf numFmtId="0" fontId="19" fillId="0" borderId="13" xfId="9" applyFont="1" applyFill="1" applyBorder="1" applyAlignment="1" applyProtection="1">
      <alignment vertical="center"/>
    </xf>
    <xf numFmtId="165" fontId="26" fillId="4" borderId="7" xfId="2" applyNumberFormat="1" applyFont="1" applyFill="1" applyBorder="1" applyAlignment="1" applyProtection="1">
      <alignment vertical="center"/>
      <protection locked="0"/>
    </xf>
    <xf numFmtId="165" fontId="26" fillId="4" borderId="10" xfId="2" applyNumberFormat="1" applyFont="1" applyFill="1" applyBorder="1" applyAlignment="1" applyProtection="1">
      <alignment vertical="center"/>
      <protection locked="0"/>
    </xf>
    <xf numFmtId="165" fontId="26" fillId="4" borderId="4" xfId="2" applyNumberFormat="1" applyFont="1" applyFill="1" applyBorder="1" applyAlignment="1" applyProtection="1">
      <alignment vertical="center"/>
      <protection locked="0"/>
    </xf>
    <xf numFmtId="165" fontId="26" fillId="4" borderId="7" xfId="1" applyNumberFormat="1" applyFont="1" applyFill="1" applyBorder="1" applyAlignment="1" applyProtection="1">
      <alignment vertical="center"/>
      <protection locked="0"/>
    </xf>
    <xf numFmtId="165" fontId="26" fillId="4" borderId="13" xfId="1" applyNumberFormat="1" applyFont="1" applyFill="1" applyBorder="1" applyAlignment="1" applyProtection="1">
      <alignment vertical="center"/>
      <protection locked="0"/>
    </xf>
    <xf numFmtId="0" fontId="22" fillId="5" borderId="47" xfId="0" applyFont="1" applyFill="1" applyBorder="1" applyAlignment="1" applyProtection="1">
      <alignment horizontal="center" vertical="center" wrapText="1"/>
    </xf>
    <xf numFmtId="1" fontId="19" fillId="7" borderId="32" xfId="19" applyNumberFormat="1" applyFont="1" applyFill="1" applyBorder="1" applyAlignment="1" applyProtection="1">
      <alignment vertical="center"/>
    </xf>
    <xf numFmtId="0" fontId="26" fillId="4" borderId="6" xfId="9" applyFont="1" applyFill="1" applyBorder="1" applyAlignment="1" applyProtection="1">
      <alignment wrapText="1"/>
      <protection locked="0"/>
    </xf>
    <xf numFmtId="0" fontId="26" fillId="4" borderId="9" xfId="9" applyFont="1" applyFill="1" applyBorder="1" applyAlignment="1" applyProtection="1">
      <alignment wrapText="1"/>
      <protection locked="0"/>
    </xf>
    <xf numFmtId="165" fontId="62" fillId="16" borderId="9" xfId="6" applyNumberFormat="1" applyFont="1" applyFill="1" applyBorder="1" applyAlignment="1" applyProtection="1">
      <alignment vertical="center" wrapText="1"/>
      <protection locked="0"/>
    </xf>
    <xf numFmtId="0" fontId="60" fillId="0" borderId="0" xfId="18" applyFont="1" applyFill="1" applyBorder="1" applyAlignment="1">
      <alignment wrapText="1"/>
    </xf>
    <xf numFmtId="0" fontId="63" fillId="0" borderId="0" xfId="6" applyFont="1" applyFill="1" applyBorder="1" applyAlignment="1" applyProtection="1">
      <alignment horizontal="center" vertical="center" wrapText="1"/>
    </xf>
    <xf numFmtId="0" fontId="60" fillId="0" borderId="0" xfId="18" applyNumberFormat="1" applyFont="1" applyFill="1" applyBorder="1" applyAlignment="1">
      <alignment wrapText="1"/>
    </xf>
    <xf numFmtId="165" fontId="61" fillId="16" borderId="9" xfId="6" applyNumberFormat="1" applyFont="1" applyFill="1" applyBorder="1" applyAlignment="1" applyProtection="1">
      <alignment vertical="center" wrapText="1"/>
      <protection locked="0"/>
    </xf>
    <xf numFmtId="1" fontId="19" fillId="7" borderId="122" xfId="19" applyNumberFormat="1" applyFont="1" applyFill="1" applyBorder="1" applyAlignment="1" applyProtection="1">
      <alignment vertical="center"/>
    </xf>
    <xf numFmtId="170" fontId="26" fillId="7" borderId="11" xfId="11" applyNumberFormat="1" applyFont="1" applyFill="1" applyBorder="1" applyAlignment="1" applyProtection="1">
      <alignment vertical="center"/>
    </xf>
    <xf numFmtId="1" fontId="26" fillId="4" borderId="228" xfId="19" applyNumberFormat="1" applyFont="1" applyFill="1" applyBorder="1" applyAlignment="1" applyProtection="1">
      <alignment vertical="center"/>
      <protection locked="0"/>
    </xf>
    <xf numFmtId="1" fontId="26" fillId="7" borderId="30" xfId="11" applyNumberFormat="1" applyFont="1" applyFill="1" applyBorder="1" applyAlignment="1" applyProtection="1">
      <alignment vertical="center"/>
    </xf>
    <xf numFmtId="171" fontId="19" fillId="0" borderId="0" xfId="19" applyNumberFormat="1" applyFont="1" applyFill="1" applyBorder="1" applyAlignment="1" applyProtection="1">
      <alignment vertical="center"/>
    </xf>
    <xf numFmtId="0" fontId="17" fillId="0" borderId="9" xfId="11" applyFont="1" applyFill="1" applyBorder="1" applyAlignment="1" applyProtection="1">
      <alignment horizontal="center" vertical="center"/>
    </xf>
    <xf numFmtId="0" fontId="0" fillId="0" borderId="0" xfId="0"/>
    <xf numFmtId="165" fontId="26" fillId="7" borderId="7" xfId="6" applyNumberFormat="1" applyFont="1" applyFill="1" applyBorder="1" applyAlignment="1" applyProtection="1">
      <alignment vertical="center"/>
    </xf>
    <xf numFmtId="165" fontId="26" fillId="7" borderId="24" xfId="6" applyNumberFormat="1" applyFont="1" applyFill="1" applyBorder="1" applyAlignment="1" applyProtection="1">
      <alignment vertical="center"/>
    </xf>
    <xf numFmtId="165" fontId="26" fillId="7" borderId="10" xfId="6" applyNumberFormat="1" applyFont="1" applyFill="1" applyBorder="1" applyAlignment="1" applyProtection="1">
      <alignment vertical="center"/>
    </xf>
    <xf numFmtId="165" fontId="26" fillId="7" borderId="26" xfId="6" applyNumberFormat="1" applyFont="1" applyFill="1" applyBorder="1" applyAlignment="1" applyProtection="1">
      <alignment vertical="center"/>
    </xf>
    <xf numFmtId="165" fontId="26" fillId="7" borderId="13" xfId="6" applyNumberFormat="1" applyFont="1" applyFill="1" applyBorder="1" applyAlignment="1" applyProtection="1">
      <alignment vertical="center"/>
    </xf>
    <xf numFmtId="165" fontId="26" fillId="7" borderId="57" xfId="6" applyNumberFormat="1" applyFont="1" applyFill="1" applyBorder="1" applyAlignment="1" applyProtection="1">
      <alignment vertical="center"/>
    </xf>
    <xf numFmtId="165" fontId="26" fillId="7" borderId="12" xfId="6" applyNumberFormat="1" applyFont="1" applyFill="1" applyBorder="1" applyAlignment="1" applyProtection="1">
      <alignment vertical="center"/>
    </xf>
    <xf numFmtId="165" fontId="26" fillId="7" borderId="27" xfId="6" applyNumberFormat="1" applyFont="1" applyFill="1" applyBorder="1" applyAlignment="1" applyProtection="1">
      <alignment vertical="center"/>
    </xf>
    <xf numFmtId="165" fontId="26" fillId="7" borderId="30" xfId="6" applyNumberFormat="1" applyFont="1" applyFill="1" applyBorder="1" applyAlignment="1" applyProtection="1">
      <alignment vertical="center"/>
    </xf>
    <xf numFmtId="165" fontId="26" fillId="7" borderId="50" xfId="6" applyNumberFormat="1" applyFont="1" applyFill="1" applyBorder="1" applyAlignment="1" applyProtection="1">
      <alignment vertical="center"/>
    </xf>
    <xf numFmtId="165" fontId="26" fillId="7" borderId="49" xfId="6" applyNumberFormat="1" applyFont="1" applyFill="1" applyBorder="1" applyAlignment="1" applyProtection="1">
      <alignment vertical="center"/>
    </xf>
    <xf numFmtId="0" fontId="10" fillId="3" borderId="22" xfId="6" applyFont="1" applyFill="1" applyBorder="1" applyAlignment="1" applyProtection="1">
      <alignment vertical="center" wrapText="1"/>
    </xf>
    <xf numFmtId="165" fontId="23" fillId="31" borderId="2" xfId="6" applyNumberFormat="1" applyFont="1" applyFill="1" applyBorder="1" applyAlignment="1" applyProtection="1">
      <alignment vertical="center"/>
    </xf>
    <xf numFmtId="10" fontId="23" fillId="4" borderId="5" xfId="2" applyNumberFormat="1" applyFont="1" applyFill="1" applyBorder="1" applyAlignment="1" applyProtection="1">
      <alignment vertical="center"/>
      <protection locked="0"/>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4" fillId="0" borderId="0" xfId="2" applyNumberFormat="1" applyAlignment="1" applyProtection="1">
      <alignment vertical="center"/>
    </xf>
    <xf numFmtId="10" fontId="23" fillId="7" borderId="35"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6" fillId="7" borderId="57" xfId="9" applyNumberFormat="1" applyFont="1" applyFill="1" applyBorder="1" applyAlignment="1" applyProtection="1">
      <alignment vertical="center"/>
    </xf>
    <xf numFmtId="0" fontId="26" fillId="0" borderId="56" xfId="9" applyNumberFormat="1" applyFont="1" applyFill="1" applyBorder="1" applyAlignment="1" applyProtection="1">
      <alignment horizontal="center" vertical="center"/>
      <protection locked="0"/>
    </xf>
    <xf numFmtId="0" fontId="26" fillId="0" borderId="57" xfId="9" applyNumberFormat="1" applyFont="1" applyFill="1" applyBorder="1" applyAlignment="1" applyProtection="1">
      <alignment horizontal="center" vertical="center"/>
      <protection locked="0"/>
    </xf>
    <xf numFmtId="0" fontId="26" fillId="0" borderId="9" xfId="9" applyNumberFormat="1" applyFont="1" applyFill="1" applyBorder="1" applyAlignment="1" applyProtection="1">
      <alignment horizontal="center" vertical="center"/>
      <protection locked="0"/>
    </xf>
    <xf numFmtId="0" fontId="26" fillId="0" borderId="12" xfId="9" applyNumberFormat="1" applyFont="1" applyFill="1" applyBorder="1" applyAlignment="1" applyProtection="1">
      <alignment horizontal="center" vertical="center"/>
      <protection locked="0"/>
    </xf>
    <xf numFmtId="0" fontId="26" fillId="0" borderId="0" xfId="9" applyFont="1" applyFill="1" applyBorder="1" applyAlignment="1" applyProtection="1">
      <alignment vertical="top" wrapText="1"/>
    </xf>
    <xf numFmtId="0" fontId="15" fillId="0" borderId="0" xfId="9" applyFont="1" applyFill="1" applyBorder="1" applyAlignment="1" applyProtection="1">
      <alignment vertical="top"/>
    </xf>
    <xf numFmtId="0" fontId="17" fillId="23" borderId="12" xfId="11" applyFont="1" applyFill="1" applyBorder="1" applyAlignment="1" applyProtection="1">
      <alignment horizontal="center" vertical="center"/>
    </xf>
    <xf numFmtId="165" fontId="19" fillId="7" borderId="57" xfId="19" applyNumberFormat="1" applyFont="1" applyFill="1" applyBorder="1" applyAlignment="1" applyProtection="1">
      <alignment vertical="center"/>
    </xf>
    <xf numFmtId="1" fontId="19" fillId="4" borderId="30" xfId="19" applyNumberFormat="1" applyFont="1" applyFill="1" applyBorder="1" applyAlignment="1" applyProtection="1">
      <alignment vertical="center" wrapText="1"/>
      <protection locked="0"/>
    </xf>
    <xf numFmtId="1" fontId="26" fillId="4" borderId="109" xfId="11" applyNumberFormat="1" applyFont="1" applyFill="1" applyBorder="1" applyProtection="1">
      <protection locked="0"/>
    </xf>
    <xf numFmtId="0" fontId="17" fillId="0" borderId="50" xfId="11" applyFont="1" applyFill="1" applyBorder="1" applyAlignment="1" applyProtection="1">
      <alignment horizontal="center" vertical="center"/>
    </xf>
    <xf numFmtId="1" fontId="26" fillId="4" borderId="49" xfId="11" applyNumberFormat="1" applyFont="1" applyFill="1" applyBorder="1" applyProtection="1">
      <protection locked="0"/>
    </xf>
    <xf numFmtId="0" fontId="62" fillId="0" borderId="9" xfId="22" applyFont="1" applyBorder="1" applyAlignment="1">
      <alignment vertical="center" wrapText="1"/>
    </xf>
    <xf numFmtId="165" fontId="19" fillId="7" borderId="56" xfId="19" applyNumberFormat="1" applyFont="1" applyFill="1" applyBorder="1" applyAlignment="1" applyProtection="1">
      <alignment vertical="center"/>
    </xf>
    <xf numFmtId="171" fontId="19" fillId="4" borderId="109" xfId="2" applyNumberFormat="1" applyFont="1" applyFill="1" applyBorder="1" applyAlignment="1" applyProtection="1">
      <alignment vertical="center" wrapText="1"/>
      <protection locked="0"/>
    </xf>
    <xf numFmtId="0" fontId="26" fillId="0" borderId="19" xfId="11" applyFont="1" applyFill="1" applyBorder="1" applyAlignment="1" applyProtection="1">
      <alignment horizontal="center" vertical="center"/>
    </xf>
    <xf numFmtId="0" fontId="19" fillId="4" borderId="23" xfId="19" applyNumberFormat="1" applyFont="1" applyFill="1" applyBorder="1" applyAlignment="1" applyProtection="1">
      <alignment vertical="center" wrapText="1"/>
      <protection locked="0"/>
    </xf>
    <xf numFmtId="170" fontId="26" fillId="7" borderId="8" xfId="11" applyNumberFormat="1" applyFont="1" applyFill="1" applyBorder="1" applyAlignment="1" applyProtection="1">
      <alignment vertical="center"/>
    </xf>
    <xf numFmtId="0" fontId="25" fillId="0" borderId="6" xfId="6" applyFont="1" applyFill="1" applyBorder="1" applyAlignment="1" applyProtection="1">
      <alignment horizontal="center" vertical="center"/>
    </xf>
    <xf numFmtId="165" fontId="19" fillId="4" borderId="29" xfId="19" applyNumberFormat="1" applyFont="1" applyFill="1" applyBorder="1" applyAlignment="1" applyProtection="1">
      <alignment vertical="center"/>
      <protection locked="0"/>
    </xf>
    <xf numFmtId="0" fontId="10" fillId="3" borderId="340" xfId="11" applyFont="1" applyFill="1" applyBorder="1" applyAlignment="1" applyProtection="1">
      <alignment horizontal="center" vertical="center"/>
    </xf>
    <xf numFmtId="0" fontId="10" fillId="3" borderId="341" xfId="22" applyFont="1" applyFill="1" applyBorder="1"/>
    <xf numFmtId="0" fontId="28" fillId="3" borderId="34" xfId="9" applyFont="1" applyFill="1" applyBorder="1" applyAlignment="1" applyProtection="1">
      <alignment horizontal="center" vertical="center"/>
    </xf>
    <xf numFmtId="0" fontId="103" fillId="3" borderId="1" xfId="9" applyFont="1" applyFill="1" applyBorder="1" applyAlignment="1" applyProtection="1">
      <alignment vertical="center"/>
    </xf>
    <xf numFmtId="0" fontId="133" fillId="2" borderId="0" xfId="6" applyFont="1" applyFill="1" applyBorder="1" applyAlignment="1">
      <alignment vertical="center"/>
    </xf>
    <xf numFmtId="0" fontId="134" fillId="0" borderId="0" xfId="0" applyFont="1" applyAlignment="1">
      <alignment wrapText="1"/>
    </xf>
    <xf numFmtId="0" fontId="34" fillId="0" borderId="0" xfId="11" applyFont="1" applyFill="1" applyAlignment="1" applyProtection="1">
      <alignment vertical="center" wrapText="1"/>
    </xf>
    <xf numFmtId="0" fontId="0" fillId="29" borderId="0" xfId="0" applyFont="1" applyFill="1"/>
    <xf numFmtId="0" fontId="89" fillId="0" borderId="0" xfId="11" applyNumberFormat="1" applyFont="1" applyFill="1" applyBorder="1" applyAlignment="1">
      <alignment horizontal="left" vertical="top" wrapText="1"/>
    </xf>
    <xf numFmtId="0" fontId="12" fillId="3" borderId="0" xfId="22" applyFont="1" applyFill="1" applyAlignment="1">
      <alignment horizontal="left" vertical="top"/>
    </xf>
    <xf numFmtId="0" fontId="89" fillId="0" borderId="0" xfId="11" applyNumberFormat="1" applyFont="1" applyFill="1" applyBorder="1" applyAlignment="1">
      <alignment horizontal="left" vertical="top"/>
    </xf>
    <xf numFmtId="0" fontId="12" fillId="0" borderId="0" xfId="22" applyFont="1" applyFill="1" applyAlignment="1">
      <alignment horizontal="left" vertical="top"/>
    </xf>
    <xf numFmtId="0" fontId="12" fillId="0" borderId="0" xfId="22" applyFont="1" applyFill="1" applyAlignment="1">
      <alignment horizontal="left" vertical="top" wrapText="1"/>
    </xf>
    <xf numFmtId="0" fontId="0" fillId="0" borderId="0" xfId="0" applyFont="1"/>
    <xf numFmtId="0" fontId="33" fillId="9" borderId="0" xfId="11" applyFont="1" applyFill="1" applyAlignment="1">
      <alignment vertical="center"/>
    </xf>
    <xf numFmtId="0" fontId="19" fillId="0" borderId="5" xfId="11" applyFont="1" applyFill="1" applyBorder="1" applyAlignment="1" applyProtection="1">
      <alignment horizontal="left" vertical="top" wrapText="1"/>
    </xf>
    <xf numFmtId="0" fontId="12" fillId="0" borderId="0" xfId="22" applyFont="1" applyAlignment="1">
      <alignment horizontal="left" vertical="top"/>
    </xf>
    <xf numFmtId="0" fontId="19" fillId="0" borderId="8" xfId="11" applyFont="1" applyFill="1" applyBorder="1" applyAlignment="1" applyProtection="1">
      <alignment horizontal="left" vertical="top" wrapText="1"/>
    </xf>
    <xf numFmtId="0" fontId="19" fillId="0" borderId="11" xfId="11" applyFont="1" applyFill="1" applyBorder="1" applyAlignment="1" applyProtection="1">
      <alignment horizontal="left" vertical="top" wrapText="1"/>
    </xf>
    <xf numFmtId="0" fontId="12" fillId="0" borderId="0" xfId="22" applyFont="1" applyAlignment="1">
      <alignment horizontal="left" vertical="top" wrapText="1"/>
    </xf>
    <xf numFmtId="0" fontId="19" fillId="0" borderId="0" xfId="11" applyFont="1" applyFill="1" applyBorder="1" applyAlignment="1" applyProtection="1">
      <alignment horizontal="left" vertical="top"/>
    </xf>
    <xf numFmtId="0" fontId="102" fillId="3" borderId="35" xfId="22" applyFont="1" applyFill="1" applyBorder="1" applyAlignment="1">
      <alignment vertical="center"/>
    </xf>
    <xf numFmtId="0" fontId="23" fillId="0" borderId="0" xfId="0" applyFont="1" applyFill="1" applyBorder="1" applyAlignment="1" applyProtection="1">
      <alignment wrapText="1"/>
    </xf>
    <xf numFmtId="0" fontId="112" fillId="6" borderId="0" xfId="6" applyFont="1" applyFill="1" applyAlignment="1" applyProtection="1">
      <alignment horizontal="center" vertical="center"/>
    </xf>
    <xf numFmtId="0" fontId="113" fillId="3" borderId="0" xfId="8" applyFont="1" applyFill="1" applyAlignment="1" applyProtection="1">
      <alignment horizontal="center" vertical="center"/>
    </xf>
    <xf numFmtId="165" fontId="5" fillId="0" borderId="0" xfId="0" applyNumberFormat="1" applyFont="1" applyProtection="1"/>
    <xf numFmtId="0" fontId="112" fillId="0" borderId="0" xfId="0" applyFont="1" applyFill="1" applyBorder="1" applyProtection="1"/>
    <xf numFmtId="0" fontId="137" fillId="0" borderId="0" xfId="8" applyFont="1" applyAlignment="1" applyProtection="1">
      <alignment wrapText="1"/>
    </xf>
    <xf numFmtId="0" fontId="23" fillId="0" borderId="0" xfId="9" applyFont="1" applyFill="1" applyAlignment="1" applyProtection="1">
      <alignment vertical="center"/>
    </xf>
    <xf numFmtId="0" fontId="15" fillId="0" borderId="228" xfId="11" applyFont="1" applyFill="1" applyBorder="1" applyAlignment="1" applyProtection="1">
      <alignment horizontal="center" vertical="center"/>
    </xf>
    <xf numFmtId="0" fontId="27" fillId="3" borderId="55" xfId="11" applyFont="1" applyFill="1" applyBorder="1" applyAlignment="1" applyProtection="1">
      <alignment vertical="center"/>
    </xf>
    <xf numFmtId="0" fontId="19" fillId="0" borderId="169" xfId="11" applyFont="1" applyFill="1" applyBorder="1" applyAlignment="1" applyProtection="1">
      <alignment vertical="center"/>
    </xf>
    <xf numFmtId="0" fontId="12" fillId="0" borderId="169" xfId="0" applyFont="1" applyFill="1" applyBorder="1" applyAlignment="1">
      <alignment vertical="center"/>
    </xf>
    <xf numFmtId="0" fontId="19" fillId="0" borderId="22" xfId="11" applyFont="1" applyFill="1" applyBorder="1" applyAlignment="1" applyProtection="1">
      <alignment vertical="center"/>
    </xf>
    <xf numFmtId="0" fontId="19" fillId="0" borderId="228" xfId="11" applyFont="1" applyFill="1" applyBorder="1" applyAlignment="1" applyProtection="1">
      <alignment vertical="center"/>
    </xf>
    <xf numFmtId="0" fontId="19" fillId="0" borderId="19" xfId="11" applyFont="1" applyFill="1" applyBorder="1" applyAlignment="1" applyProtection="1">
      <alignment vertical="center"/>
    </xf>
    <xf numFmtId="0" fontId="15" fillId="0" borderId="33" xfId="11" applyFont="1" applyFill="1" applyBorder="1" applyAlignment="1" applyProtection="1">
      <alignment horizontal="center" vertical="top"/>
    </xf>
    <xf numFmtId="0" fontId="19" fillId="0" borderId="228" xfId="11" applyFont="1" applyFill="1" applyBorder="1" applyAlignment="1" applyProtection="1">
      <alignment horizontal="center" vertical="top"/>
    </xf>
    <xf numFmtId="0" fontId="19" fillId="0" borderId="43" xfId="11" applyFont="1" applyFill="1" applyBorder="1" applyAlignment="1" applyProtection="1">
      <alignment horizontal="center" vertical="top"/>
    </xf>
    <xf numFmtId="0" fontId="19" fillId="0" borderId="228" xfId="11" applyFont="1" applyFill="1" applyBorder="1" applyAlignment="1" applyProtection="1">
      <alignment horizontal="center"/>
    </xf>
    <xf numFmtId="0" fontId="35" fillId="0" borderId="6" xfId="6" applyFont="1" applyBorder="1" applyAlignment="1" applyProtection="1">
      <alignment vertical="center"/>
    </xf>
    <xf numFmtId="0" fontId="35" fillId="0" borderId="47" xfId="6" applyFont="1" applyBorder="1" applyAlignment="1" applyProtection="1">
      <alignment vertical="center"/>
    </xf>
    <xf numFmtId="0" fontId="35" fillId="0" borderId="47" xfId="6" applyFont="1" applyBorder="1" applyAlignment="1" applyProtection="1">
      <alignment vertical="center" wrapText="1"/>
    </xf>
    <xf numFmtId="0" fontId="26" fillId="0" borderId="5" xfId="6" applyFont="1" applyBorder="1" applyAlignment="1" applyProtection="1">
      <alignment horizontal="center" vertical="center"/>
    </xf>
    <xf numFmtId="0" fontId="26" fillId="0" borderId="46" xfId="6" applyFont="1" applyBorder="1" applyAlignment="1" applyProtection="1">
      <alignment horizontal="center" vertical="center"/>
    </xf>
    <xf numFmtId="10" fontId="26" fillId="4" borderId="5" xfId="6" applyNumberFormat="1" applyFont="1" applyFill="1" applyBorder="1" applyAlignment="1" applyProtection="1">
      <alignment vertical="center"/>
      <protection locked="0"/>
    </xf>
    <xf numFmtId="10" fontId="26" fillId="4" borderId="7" xfId="6" applyNumberFormat="1" applyFont="1" applyFill="1" applyBorder="1" applyAlignment="1" applyProtection="1">
      <alignment vertical="center"/>
      <protection locked="0"/>
    </xf>
    <xf numFmtId="10" fontId="26" fillId="7" borderId="11" xfId="6" applyNumberFormat="1" applyFont="1" applyFill="1" applyBorder="1" applyAlignment="1" applyProtection="1">
      <alignment vertical="center"/>
      <protection locked="0"/>
    </xf>
    <xf numFmtId="10" fontId="26" fillId="7" borderId="13" xfId="6" applyNumberFormat="1" applyFont="1" applyFill="1" applyBorder="1" applyAlignment="1" applyProtection="1">
      <alignment vertical="center"/>
      <protection locked="0"/>
    </xf>
    <xf numFmtId="165" fontId="26" fillId="7" borderId="32" xfId="6" applyNumberFormat="1" applyFont="1" applyFill="1" applyBorder="1" applyAlignment="1" applyProtection="1">
      <alignment vertical="center"/>
    </xf>
    <xf numFmtId="165" fontId="26" fillId="7" borderId="11" xfId="6" applyNumberFormat="1" applyFont="1" applyFill="1" applyBorder="1" applyAlignment="1" applyProtection="1">
      <alignment vertical="center"/>
    </xf>
    <xf numFmtId="165" fontId="26" fillId="7" borderId="116" xfId="6" applyNumberFormat="1" applyFont="1" applyFill="1" applyBorder="1" applyAlignment="1" applyProtection="1">
      <alignment vertical="center"/>
    </xf>
    <xf numFmtId="165" fontId="26" fillId="7" borderId="41" xfId="6" applyNumberFormat="1" applyFont="1" applyFill="1" applyBorder="1" applyAlignment="1" applyProtection="1">
      <alignment vertical="center"/>
    </xf>
    <xf numFmtId="165" fontId="26" fillId="7" borderId="40" xfId="6" applyNumberFormat="1" applyFont="1" applyFill="1" applyBorder="1" applyAlignment="1" applyProtection="1">
      <alignment vertical="center"/>
    </xf>
    <xf numFmtId="0" fontId="8" fillId="0" borderId="0" xfId="6" applyFont="1" applyAlignment="1" applyProtection="1">
      <alignment vertical="center"/>
    </xf>
    <xf numFmtId="165" fontId="26" fillId="7" borderId="31" xfId="6" applyNumberFormat="1" applyFont="1" applyFill="1" applyBorder="1" applyAlignment="1" applyProtection="1">
      <alignment vertical="center"/>
    </xf>
    <xf numFmtId="165" fontId="26" fillId="0" borderId="0" xfId="6" applyNumberFormat="1" applyFont="1" applyFill="1" applyBorder="1" applyAlignment="1" applyProtection="1">
      <alignment vertical="center"/>
    </xf>
    <xf numFmtId="165" fontId="26" fillId="7" borderId="1" xfId="6" applyNumberFormat="1" applyFont="1" applyFill="1" applyBorder="1" applyAlignment="1" applyProtection="1">
      <alignment vertical="center"/>
    </xf>
    <xf numFmtId="0" fontId="8" fillId="0" borderId="0" xfId="0" applyFont="1" applyProtection="1"/>
    <xf numFmtId="165" fontId="26" fillId="7" borderId="76" xfId="6" applyNumberFormat="1" applyFont="1" applyFill="1" applyBorder="1" applyAlignment="1" applyProtection="1">
      <alignment vertical="center"/>
    </xf>
    <xf numFmtId="165" fontId="26" fillId="7" borderId="77" xfId="6" applyNumberFormat="1" applyFont="1" applyFill="1" applyBorder="1" applyAlignment="1" applyProtection="1">
      <alignment vertical="center"/>
    </xf>
    <xf numFmtId="165" fontId="26" fillId="7" borderId="8" xfId="6" applyNumberFormat="1" applyFont="1" applyFill="1" applyBorder="1" applyAlignment="1" applyProtection="1">
      <alignment vertical="center"/>
    </xf>
    <xf numFmtId="165" fontId="26" fillId="7" borderId="9" xfId="6" applyNumberFormat="1" applyFont="1" applyFill="1" applyBorder="1" applyAlignment="1" applyProtection="1">
      <alignment vertical="center"/>
    </xf>
    <xf numFmtId="165" fontId="26" fillId="7" borderId="39" xfId="6" applyNumberFormat="1" applyFont="1" applyFill="1" applyBorder="1" applyAlignment="1" applyProtection="1">
      <alignment vertical="center"/>
    </xf>
    <xf numFmtId="165" fontId="26" fillId="7" borderId="69" xfId="6" applyNumberFormat="1" applyFont="1" applyFill="1" applyBorder="1" applyAlignment="1" applyProtection="1">
      <alignment vertical="center"/>
    </xf>
    <xf numFmtId="165" fontId="26" fillId="7" borderId="95" xfId="6" applyNumberFormat="1" applyFont="1" applyFill="1" applyBorder="1" applyAlignment="1" applyProtection="1">
      <alignment vertical="center"/>
    </xf>
    <xf numFmtId="165" fontId="26" fillId="7" borderId="132" xfId="6" applyNumberFormat="1" applyFont="1" applyFill="1" applyBorder="1" applyAlignment="1" applyProtection="1">
      <alignment vertical="center"/>
    </xf>
    <xf numFmtId="165" fontId="26" fillId="7" borderId="138" xfId="6" applyNumberFormat="1" applyFont="1" applyFill="1" applyBorder="1" applyAlignment="1" applyProtection="1">
      <alignment vertical="center"/>
    </xf>
    <xf numFmtId="165" fontId="26" fillId="7" borderId="139" xfId="6" applyNumberFormat="1" applyFont="1" applyFill="1" applyBorder="1" applyAlignment="1" applyProtection="1">
      <alignment vertical="center"/>
    </xf>
    <xf numFmtId="165" fontId="26" fillId="7" borderId="133" xfId="6" applyNumberFormat="1" applyFont="1" applyFill="1" applyBorder="1" applyAlignment="1" applyProtection="1">
      <alignment vertical="center"/>
    </xf>
    <xf numFmtId="165" fontId="26" fillId="7" borderId="144" xfId="6" applyNumberFormat="1" applyFont="1" applyFill="1" applyBorder="1" applyAlignment="1" applyProtection="1">
      <alignment vertical="center"/>
    </xf>
    <xf numFmtId="165" fontId="26" fillId="17" borderId="31" xfId="6" applyNumberFormat="1" applyFont="1" applyFill="1" applyBorder="1" applyAlignment="1" applyProtection="1">
      <alignment vertical="center"/>
    </xf>
    <xf numFmtId="165" fontId="26" fillId="17" borderId="32" xfId="6" applyNumberFormat="1" applyFont="1" applyFill="1" applyBorder="1" applyAlignment="1" applyProtection="1">
      <alignment vertical="center"/>
    </xf>
    <xf numFmtId="165" fontId="26" fillId="0" borderId="29" xfId="6" applyNumberFormat="1" applyFont="1" applyFill="1" applyBorder="1" applyAlignment="1" applyProtection="1">
      <alignment vertical="center"/>
    </xf>
    <xf numFmtId="165" fontId="26" fillId="17" borderId="30" xfId="6" applyNumberFormat="1" applyFont="1" applyFill="1" applyBorder="1" applyAlignment="1" applyProtection="1">
      <alignment vertical="center"/>
    </xf>
    <xf numFmtId="0" fontId="70" fillId="0" borderId="0" xfId="18" applyFont="1" applyFill="1" applyBorder="1"/>
    <xf numFmtId="165" fontId="26" fillId="17" borderId="8" xfId="6" applyNumberFormat="1" applyFont="1" applyFill="1" applyBorder="1" applyAlignment="1" applyProtection="1">
      <alignment vertical="center"/>
    </xf>
    <xf numFmtId="165" fontId="26" fillId="17" borderId="26" xfId="6" applyNumberFormat="1" applyFont="1" applyFill="1" applyBorder="1" applyAlignment="1" applyProtection="1">
      <alignment vertical="center"/>
    </xf>
    <xf numFmtId="165" fontId="26" fillId="17" borderId="39" xfId="6" applyNumberFormat="1" applyFont="1" applyFill="1" applyBorder="1" applyAlignment="1" applyProtection="1">
      <alignment vertical="center"/>
    </xf>
    <xf numFmtId="165" fontId="26" fillId="17" borderId="56" xfId="6" applyNumberFormat="1" applyFont="1" applyFill="1" applyBorder="1" applyAlignment="1" applyProtection="1">
      <alignment vertical="center"/>
    </xf>
    <xf numFmtId="165" fontId="26" fillId="17" borderId="11" xfId="6" applyNumberFormat="1" applyFont="1" applyFill="1" applyBorder="1" applyAlignment="1" applyProtection="1">
      <alignment vertical="center"/>
    </xf>
    <xf numFmtId="165" fontId="26" fillId="17" borderId="27" xfId="6" applyNumberFormat="1" applyFont="1" applyFill="1" applyBorder="1" applyAlignment="1" applyProtection="1">
      <alignment vertical="center"/>
    </xf>
    <xf numFmtId="0" fontId="8" fillId="0" borderId="0" xfId="6" applyFont="1" applyFill="1" applyBorder="1" applyAlignment="1" applyProtection="1">
      <alignment vertical="center"/>
    </xf>
    <xf numFmtId="165" fontId="26" fillId="17" borderId="267" xfId="6" applyNumberFormat="1" applyFont="1" applyFill="1" applyBorder="1" applyAlignment="1" applyProtection="1">
      <alignment vertical="center"/>
    </xf>
    <xf numFmtId="165" fontId="26" fillId="17" borderId="268" xfId="6" applyNumberFormat="1" applyFont="1" applyFill="1" applyBorder="1" applyAlignment="1" applyProtection="1">
      <alignment vertical="center"/>
    </xf>
    <xf numFmtId="165" fontId="26" fillId="17" borderId="41" xfId="6" applyNumberFormat="1" applyFont="1" applyFill="1" applyBorder="1" applyAlignment="1" applyProtection="1">
      <alignment vertical="center"/>
    </xf>
    <xf numFmtId="165" fontId="26" fillId="17" borderId="12" xfId="6" applyNumberFormat="1" applyFont="1" applyFill="1" applyBorder="1" applyAlignment="1" applyProtection="1">
      <alignment vertical="center"/>
    </xf>
    <xf numFmtId="165" fontId="26" fillId="17" borderId="40" xfId="6" applyNumberFormat="1" applyFont="1" applyFill="1" applyBorder="1" applyAlignment="1" applyProtection="1">
      <alignment vertical="center"/>
    </xf>
    <xf numFmtId="165" fontId="26" fillId="17" borderId="269" xfId="6" applyNumberFormat="1" applyFont="1" applyFill="1" applyBorder="1" applyAlignment="1" applyProtection="1">
      <alignment vertical="center"/>
    </xf>
    <xf numFmtId="0" fontId="17" fillId="0" borderId="0" xfId="6" applyFont="1" applyFill="1" applyBorder="1" applyAlignment="1" applyProtection="1">
      <alignment horizontal="center" vertical="center"/>
    </xf>
    <xf numFmtId="165" fontId="26" fillId="17" borderId="270" xfId="6" applyNumberFormat="1" applyFont="1" applyFill="1" applyBorder="1" applyAlignment="1" applyProtection="1">
      <alignment vertical="center"/>
    </xf>
    <xf numFmtId="165" fontId="26" fillId="17" borderId="271" xfId="6" applyNumberFormat="1" applyFont="1" applyFill="1" applyBorder="1" applyAlignment="1" applyProtection="1">
      <alignment vertical="center"/>
    </xf>
    <xf numFmtId="165" fontId="26" fillId="18" borderId="272" xfId="6" applyNumberFormat="1" applyFont="1" applyFill="1" applyBorder="1" applyAlignment="1" applyProtection="1">
      <alignment vertical="center"/>
    </xf>
    <xf numFmtId="165" fontId="26" fillId="17" borderId="9" xfId="11" applyNumberFormat="1" applyFont="1" applyFill="1" applyBorder="1" applyProtection="1"/>
    <xf numFmtId="165" fontId="26" fillId="17" borderId="38" xfId="11" applyNumberFormat="1" applyFont="1" applyFill="1" applyBorder="1" applyProtection="1"/>
    <xf numFmtId="165" fontId="26" fillId="17" borderId="285" xfId="6" applyNumberFormat="1" applyFont="1" applyFill="1" applyBorder="1" applyAlignment="1" applyProtection="1">
      <alignment vertical="center"/>
    </xf>
    <xf numFmtId="165" fontId="26" fillId="17" borderId="284" xfId="6" applyNumberFormat="1" applyFont="1" applyFill="1" applyBorder="1" applyAlignment="1" applyProtection="1">
      <alignment vertical="center"/>
    </xf>
    <xf numFmtId="0" fontId="19" fillId="0" borderId="12" xfId="6" applyFont="1" applyFill="1" applyBorder="1" applyAlignment="1" applyProtection="1">
      <alignment vertical="center"/>
    </xf>
    <xf numFmtId="0" fontId="8" fillId="0" borderId="0" xfId="6" applyFont="1" applyFill="1" applyAlignment="1" applyProtection="1">
      <alignment vertical="center"/>
    </xf>
    <xf numFmtId="165" fontId="26" fillId="7" borderId="18" xfId="6" applyNumberFormat="1" applyFont="1" applyFill="1" applyBorder="1" applyAlignment="1" applyProtection="1">
      <alignment vertical="center"/>
    </xf>
    <xf numFmtId="165" fontId="26" fillId="7" borderId="109" xfId="6" applyNumberFormat="1" applyFont="1" applyFill="1" applyBorder="1" applyAlignment="1" applyProtection="1">
      <alignment vertical="center"/>
    </xf>
    <xf numFmtId="0" fontId="17" fillId="23" borderId="6" xfId="11" applyFont="1" applyFill="1" applyBorder="1" applyAlignment="1" applyProtection="1">
      <alignment horizontal="center" vertical="center"/>
    </xf>
    <xf numFmtId="0" fontId="19" fillId="0" borderId="9" xfId="11" applyFont="1" applyFill="1" applyBorder="1" applyAlignment="1">
      <alignment horizontal="center" vertical="center"/>
    </xf>
    <xf numFmtId="0" fontId="8" fillId="0" borderId="313"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0" borderId="316" xfId="0" applyFont="1" applyBorder="1" applyAlignment="1">
      <alignment horizontal="center"/>
    </xf>
    <xf numFmtId="0" fontId="8"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6" fillId="31" borderId="29" xfId="10" applyNumberFormat="1" applyFont="1" applyFill="1" applyBorder="1" applyAlignment="1" applyProtection="1">
      <alignment vertical="center"/>
    </xf>
    <xf numFmtId="165" fontId="26" fillId="31" borderId="38" xfId="10" applyNumberFormat="1" applyFont="1" applyFill="1" applyBorder="1" applyAlignment="1" applyProtection="1">
      <alignment vertical="center"/>
    </xf>
    <xf numFmtId="165" fontId="26" fillId="31" borderId="56" xfId="2" applyNumberFormat="1" applyFont="1" applyFill="1" applyBorder="1" applyAlignment="1" applyProtection="1">
      <alignment vertical="center"/>
    </xf>
    <xf numFmtId="165" fontId="26" fillId="31" borderId="10" xfId="2" applyNumberFormat="1" applyFont="1" applyFill="1" applyBorder="1" applyAlignment="1" applyProtection="1">
      <alignment vertical="center"/>
    </xf>
    <xf numFmtId="165" fontId="26" fillId="31" borderId="10" xfId="10" applyNumberFormat="1" applyFont="1" applyFill="1" applyBorder="1" applyAlignment="1" applyProtection="1">
      <alignment vertical="center"/>
    </xf>
    <xf numFmtId="165" fontId="26" fillId="31" borderId="39" xfId="10" applyNumberFormat="1" applyFont="1" applyFill="1" applyBorder="1" applyAlignment="1" applyProtection="1">
      <alignment vertical="center"/>
    </xf>
    <xf numFmtId="165" fontId="23" fillId="31" borderId="8" xfId="6" applyNumberFormat="1" applyFont="1" applyFill="1" applyBorder="1" applyAlignment="1" applyProtection="1">
      <alignment vertical="center"/>
    </xf>
    <xf numFmtId="165" fontId="23" fillId="31" borderId="9" xfId="6" applyNumberFormat="1" applyFont="1" applyFill="1" applyBorder="1" applyAlignment="1" applyProtection="1">
      <alignment vertical="center"/>
    </xf>
    <xf numFmtId="165" fontId="26" fillId="31" borderId="34" xfId="9" applyNumberFormat="1" applyFont="1" applyFill="1" applyBorder="1" applyAlignment="1" applyProtection="1">
      <alignment vertical="center"/>
    </xf>
    <xf numFmtId="165" fontId="23" fillId="31" borderId="26" xfId="6" applyNumberFormat="1" applyFont="1" applyFill="1" applyBorder="1" applyAlignment="1" applyProtection="1">
      <alignment vertical="center"/>
    </xf>
    <xf numFmtId="165" fontId="23" fillId="31" borderId="10" xfId="6" applyNumberFormat="1" applyFont="1" applyFill="1" applyBorder="1" applyAlignment="1" applyProtection="1">
      <alignment vertical="center"/>
    </xf>
    <xf numFmtId="165" fontId="23" fillId="31" borderId="38" xfId="6" applyNumberFormat="1" applyFont="1" applyFill="1" applyBorder="1" applyAlignment="1" applyProtection="1">
      <alignment vertical="center"/>
    </xf>
    <xf numFmtId="165" fontId="26" fillId="31" borderId="18" xfId="9" applyNumberFormat="1" applyFont="1" applyFill="1" applyBorder="1" applyAlignment="1" applyProtection="1">
      <alignment vertical="center"/>
    </xf>
    <xf numFmtId="10" fontId="26" fillId="31" borderId="32" xfId="9" applyNumberFormat="1" applyFont="1" applyFill="1" applyBorder="1" applyAlignment="1" applyProtection="1">
      <alignment vertical="center"/>
    </xf>
    <xf numFmtId="0" fontId="8" fillId="0" borderId="0" xfId="0" applyFont="1" applyFill="1" applyAlignment="1">
      <alignment wrapText="1"/>
    </xf>
    <xf numFmtId="0" fontId="14" fillId="0" borderId="19" xfId="5" applyFont="1" applyBorder="1" applyAlignment="1" applyProtection="1">
      <alignment vertical="center"/>
    </xf>
    <xf numFmtId="0" fontId="0" fillId="0" borderId="23" xfId="0" quotePrefix="1" applyBorder="1"/>
    <xf numFmtId="0" fontId="22" fillId="3" borderId="13" xfId="0" applyFont="1" applyFill="1" applyBorder="1" applyAlignment="1" applyProtection="1">
      <alignment horizontal="center" vertical="center" wrapText="1"/>
    </xf>
    <xf numFmtId="0" fontId="14" fillId="0" borderId="19" xfId="5" applyFont="1" applyFill="1" applyBorder="1" applyAlignment="1" applyProtection="1">
      <alignment vertical="center"/>
    </xf>
    <xf numFmtId="0" fontId="22" fillId="3" borderId="21" xfId="0" applyFont="1" applyFill="1" applyBorder="1" applyAlignment="1" applyProtection="1">
      <alignment horizontal="center" vertical="center" wrapText="1"/>
    </xf>
    <xf numFmtId="0" fontId="14" fillId="0" borderId="8" xfId="5" applyFont="1" applyFill="1" applyBorder="1" applyAlignment="1" applyProtection="1">
      <alignment vertical="center"/>
    </xf>
    <xf numFmtId="0" fontId="22" fillId="5" borderId="10" xfId="0" applyFont="1" applyFill="1" applyBorder="1" applyAlignment="1" applyProtection="1">
      <alignment horizontal="center" vertical="center" wrapText="1"/>
    </xf>
    <xf numFmtId="0" fontId="26" fillId="0" borderId="113" xfId="9" applyFont="1" applyFill="1" applyBorder="1" applyAlignment="1" applyProtection="1">
      <alignment horizontal="center" vertical="center"/>
    </xf>
    <xf numFmtId="0" fontId="25" fillId="0" borderId="47" xfId="0" applyFont="1" applyBorder="1" applyAlignment="1">
      <alignment horizontal="center"/>
    </xf>
    <xf numFmtId="0" fontId="25" fillId="0" borderId="48" xfId="0" applyFont="1" applyBorder="1" applyAlignment="1">
      <alignment horizontal="center" vertical="center"/>
    </xf>
    <xf numFmtId="2" fontId="26" fillId="4" borderId="49" xfId="9" applyNumberFormat="1" applyFont="1" applyFill="1" applyBorder="1" applyAlignment="1" applyProtection="1">
      <alignment horizontal="right"/>
      <protection locked="0"/>
    </xf>
    <xf numFmtId="0" fontId="12" fillId="0" borderId="20" xfId="0" applyFont="1" applyBorder="1"/>
    <xf numFmtId="0" fontId="25" fillId="0" borderId="20" xfId="0" applyFont="1" applyBorder="1" applyAlignment="1">
      <alignment horizontal="center"/>
    </xf>
    <xf numFmtId="0" fontId="25" fillId="0" borderId="51" xfId="0" applyFont="1" applyBorder="1" applyAlignment="1">
      <alignment horizontal="center" vertical="center"/>
    </xf>
    <xf numFmtId="2" fontId="26" fillId="7" borderId="23" xfId="9" applyNumberFormat="1" applyFont="1" applyFill="1" applyBorder="1" applyAlignment="1" applyProtection="1">
      <alignment horizontal="right"/>
    </xf>
    <xf numFmtId="0" fontId="26" fillId="0" borderId="56" xfId="9" applyFont="1" applyFill="1" applyBorder="1" applyAlignment="1" applyProtection="1">
      <alignment horizontal="center" vertical="center"/>
    </xf>
    <xf numFmtId="2" fontId="26" fillId="7" borderId="32" xfId="9" applyNumberFormat="1" applyFont="1" applyFill="1" applyBorder="1" applyAlignment="1" applyProtection="1">
      <alignment horizontal="right"/>
    </xf>
    <xf numFmtId="0" fontId="25" fillId="0" borderId="0" xfId="0" applyFont="1" applyAlignment="1">
      <alignment wrapText="1"/>
    </xf>
    <xf numFmtId="0" fontId="25" fillId="0" borderId="0" xfId="0" applyNumberFormat="1" applyFont="1" applyAlignment="1">
      <alignment wrapText="1"/>
    </xf>
    <xf numFmtId="0" fontId="23" fillId="0" borderId="0" xfId="0" applyFont="1" applyAlignment="1">
      <alignment wrapText="1"/>
    </xf>
    <xf numFmtId="0" fontId="23" fillId="0" borderId="0" xfId="0" applyNumberFormat="1" applyFont="1" applyAlignment="1">
      <alignment wrapText="1"/>
    </xf>
    <xf numFmtId="0" fontId="0" fillId="32" borderId="0" xfId="0" applyFill="1"/>
    <xf numFmtId="0" fontId="0" fillId="32" borderId="0" xfId="0" applyNumberFormat="1" applyFill="1"/>
    <xf numFmtId="0" fontId="23" fillId="33" borderId="0" xfId="0" applyFont="1" applyFill="1" applyAlignment="1">
      <alignment wrapText="1"/>
    </xf>
    <xf numFmtId="0" fontId="23" fillId="34" borderId="0" xfId="0" applyFont="1" applyFill="1" applyAlignment="1">
      <alignment wrapText="1"/>
    </xf>
    <xf numFmtId="0" fontId="23" fillId="35" borderId="0" xfId="0" applyFont="1" applyFill="1" applyAlignment="1">
      <alignment wrapText="1"/>
    </xf>
    <xf numFmtId="0" fontId="96" fillId="35" borderId="0" xfId="0" applyFont="1" applyFill="1" applyAlignment="1">
      <alignment wrapText="1"/>
    </xf>
    <xf numFmtId="0" fontId="96" fillId="33" borderId="0" xfId="0" applyFont="1" applyFill="1" applyAlignment="1">
      <alignment wrapText="1"/>
    </xf>
    <xf numFmtId="0" fontId="96" fillId="34" borderId="0" xfId="0" applyNumberFormat="1" applyFont="1" applyFill="1" applyAlignment="1">
      <alignment wrapText="1"/>
    </xf>
    <xf numFmtId="0" fontId="23" fillId="0" borderId="0" xfId="0" applyFont="1" applyFill="1" applyAlignment="1">
      <alignment wrapText="1"/>
    </xf>
    <xf numFmtId="0" fontId="25" fillId="34" borderId="0" xfId="0" applyNumberFormat="1" applyFont="1" applyFill="1" applyAlignment="1">
      <alignment wrapText="1"/>
    </xf>
    <xf numFmtId="0" fontId="25" fillId="34" borderId="0" xfId="0" applyFont="1" applyFill="1" applyAlignment="1">
      <alignment wrapText="1"/>
    </xf>
    <xf numFmtId="0" fontId="25" fillId="33" borderId="0" xfId="0" applyFont="1" applyFill="1" applyAlignment="1">
      <alignment wrapText="1"/>
    </xf>
    <xf numFmtId="0" fontId="25" fillId="35" borderId="0" xfId="0" applyFont="1" applyFill="1" applyAlignment="1">
      <alignment wrapText="1"/>
    </xf>
    <xf numFmtId="0" fontId="25" fillId="0" borderId="0" xfId="0" applyFont="1" applyFill="1" applyAlignment="1">
      <alignment wrapText="1"/>
    </xf>
    <xf numFmtId="0" fontId="12" fillId="33" borderId="0" xfId="0" applyFont="1" applyFill="1" applyBorder="1"/>
    <xf numFmtId="0" fontId="12" fillId="34" borderId="0" xfId="0" applyFont="1" applyFill="1" applyBorder="1"/>
    <xf numFmtId="0" fontId="12" fillId="35" borderId="0" xfId="0" applyFont="1" applyFill="1" applyBorder="1"/>
    <xf numFmtId="0" fontId="12" fillId="0" borderId="0" xfId="0" applyFont="1" applyFill="1" applyBorder="1"/>
    <xf numFmtId="0" fontId="0" fillId="33" borderId="0" xfId="0" applyFill="1"/>
    <xf numFmtId="0" fontId="0" fillId="33" borderId="0" xfId="0" applyNumberFormat="1" applyFill="1"/>
    <xf numFmtId="0" fontId="0" fillId="34" borderId="0" xfId="0" applyFill="1"/>
    <xf numFmtId="0" fontId="42" fillId="35" borderId="0" xfId="0" applyNumberFormat="1" applyFont="1" applyFill="1" applyBorder="1" applyAlignment="1">
      <alignment horizontal="left" vertical="top" wrapText="1"/>
    </xf>
    <xf numFmtId="0" fontId="42" fillId="35" borderId="0" xfId="0" applyFont="1" applyFill="1" applyBorder="1" applyAlignment="1">
      <alignment horizontal="left" vertical="top" wrapText="1"/>
    </xf>
    <xf numFmtId="0" fontId="0" fillId="35" borderId="0" xfId="0" applyFill="1"/>
    <xf numFmtId="0" fontId="19" fillId="33" borderId="0" xfId="0" applyFont="1" applyFill="1" applyBorder="1"/>
    <xf numFmtId="0" fontId="8" fillId="33" borderId="0" xfId="0" applyFont="1" applyFill="1"/>
    <xf numFmtId="0" fontId="25" fillId="0" borderId="0" xfId="0" applyFont="1" applyAlignment="1">
      <alignment horizontal="left" vertical="top" wrapText="1"/>
    </xf>
    <xf numFmtId="0" fontId="25" fillId="34" borderId="0" xfId="0" applyFont="1" applyFill="1" applyAlignment="1">
      <alignment horizontal="left" vertical="top" wrapText="1"/>
    </xf>
    <xf numFmtId="0" fontId="25" fillId="33" borderId="0" xfId="0" applyFont="1" applyFill="1" applyAlignment="1">
      <alignment horizontal="left" vertical="top" wrapText="1"/>
    </xf>
    <xf numFmtId="0" fontId="25" fillId="35" borderId="0" xfId="0" applyFont="1" applyFill="1" applyAlignment="1">
      <alignment horizontal="left" vertical="top" wrapText="1"/>
    </xf>
    <xf numFmtId="0" fontId="42" fillId="34" borderId="0" xfId="0" applyFont="1" applyFill="1" applyBorder="1"/>
    <xf numFmtId="0" fontId="42" fillId="33" borderId="0" xfId="0" applyFont="1" applyFill="1" applyBorder="1"/>
    <xf numFmtId="0" fontId="42" fillId="35" borderId="0" xfId="0" applyFont="1" applyFill="1" applyBorder="1"/>
    <xf numFmtId="1" fontId="26" fillId="4" borderId="9" xfId="11" applyNumberFormat="1" applyFont="1" applyFill="1" applyBorder="1" applyAlignment="1" applyProtection="1">
      <alignment horizontal="right" vertical="center" wrapText="1"/>
      <protection locked="0"/>
    </xf>
    <xf numFmtId="49" fontId="12" fillId="0" borderId="0" xfId="16" applyNumberFormat="1" applyFont="1" applyBorder="1" applyAlignment="1" applyProtection="1">
      <alignment horizontal="left" vertical="center"/>
    </xf>
    <xf numFmtId="0" fontId="19" fillId="0" borderId="9" xfId="14" applyFont="1" applyFill="1" applyBorder="1" applyAlignment="1" applyProtection="1">
      <alignment horizontal="left" vertical="center" wrapText="1"/>
    </xf>
    <xf numFmtId="0" fontId="19" fillId="0" borderId="9" xfId="14" applyFont="1" applyFill="1" applyBorder="1" applyAlignment="1" applyProtection="1">
      <alignment horizontal="center" vertical="center" wrapText="1"/>
    </xf>
    <xf numFmtId="49" fontId="19" fillId="0" borderId="9" xfId="14" applyNumberFormat="1" applyFont="1" applyFill="1" applyBorder="1" applyAlignment="1" applyProtection="1">
      <alignment horizontal="center" vertical="center" wrapText="1"/>
    </xf>
    <xf numFmtId="172" fontId="26" fillId="0" borderId="9" xfId="9" applyNumberFormat="1" applyFont="1" applyFill="1" applyBorder="1" applyAlignment="1" applyProtection="1">
      <alignment horizontal="center" vertical="center"/>
      <protection locked="0"/>
    </xf>
    <xf numFmtId="172" fontId="26" fillId="0" borderId="12" xfId="9" applyNumberFormat="1" applyFont="1" applyFill="1" applyBorder="1" applyAlignment="1" applyProtection="1">
      <alignment horizontal="center" vertical="center"/>
      <protection locked="0"/>
    </xf>
    <xf numFmtId="49" fontId="12" fillId="0" borderId="8" xfId="16" applyNumberFormat="1" applyFont="1" applyBorder="1" applyAlignment="1" applyProtection="1">
      <alignment horizontal="center" vertical="top" wrapText="1"/>
    </xf>
    <xf numFmtId="0" fontId="12" fillId="0" borderId="9" xfId="16" applyNumberFormat="1" applyFont="1" applyBorder="1" applyAlignment="1" applyProtection="1">
      <alignment horizontal="left" vertical="top" wrapText="1"/>
    </xf>
    <xf numFmtId="49" fontId="12" fillId="0" borderId="11" xfId="16" applyNumberFormat="1" applyFont="1" applyBorder="1" applyAlignment="1" applyProtection="1">
      <alignment horizontal="center" vertical="top" wrapText="1"/>
    </xf>
    <xf numFmtId="0" fontId="12" fillId="0" borderId="12" xfId="16" applyNumberFormat="1" applyFont="1" applyBorder="1" applyAlignment="1" applyProtection="1">
      <alignment horizontal="left" vertical="top" wrapText="1"/>
    </xf>
    <xf numFmtId="0" fontId="0" fillId="0" borderId="0" xfId="0" applyAlignment="1">
      <alignment horizontal="right"/>
    </xf>
    <xf numFmtId="0" fontId="19" fillId="9" borderId="0" xfId="9" applyFill="1" applyAlignment="1" applyProtection="1">
      <alignment horizontal="left" vertical="center"/>
    </xf>
    <xf numFmtId="0" fontId="19" fillId="9" borderId="0" xfId="9" applyFont="1" applyFill="1" applyAlignment="1" applyProtection="1">
      <alignment horizontal="left" vertical="center"/>
    </xf>
    <xf numFmtId="0" fontId="26" fillId="0" borderId="0" xfId="9" applyNumberFormat="1" applyFont="1" applyFill="1" applyBorder="1" applyAlignment="1" applyProtection="1">
      <alignment horizontal="left" vertical="center" wrapText="1"/>
    </xf>
    <xf numFmtId="0" fontId="19" fillId="9" borderId="0" xfId="9" applyFont="1" applyFill="1" applyBorder="1" applyAlignment="1" applyProtection="1">
      <alignment horizontal="left" vertical="center"/>
    </xf>
    <xf numFmtId="0" fontId="23" fillId="0" borderId="0" xfId="8" applyFont="1" applyAlignment="1" applyProtection="1">
      <alignment horizontal="left" vertical="center"/>
    </xf>
    <xf numFmtId="0" fontId="0" fillId="0" borderId="0" xfId="0" applyAlignment="1" applyProtection="1">
      <alignment horizontal="left"/>
    </xf>
    <xf numFmtId="0" fontId="10" fillId="3" borderId="8" xfId="9" applyFont="1" applyFill="1" applyBorder="1" applyAlignment="1" applyProtection="1">
      <alignment horizontal="center" vertical="center" wrapText="1"/>
    </xf>
    <xf numFmtId="0" fontId="10" fillId="3" borderId="10" xfId="9" applyFont="1" applyFill="1" applyBorder="1" applyAlignment="1" applyProtection="1">
      <alignment horizontal="center" vertical="center" wrapText="1"/>
    </xf>
    <xf numFmtId="0" fontId="10" fillId="3" borderId="55" xfId="9" applyFont="1" applyFill="1" applyBorder="1" applyAlignment="1" applyProtection="1">
      <alignment horizontal="centerContinuous" vertical="center"/>
    </xf>
    <xf numFmtId="0" fontId="10" fillId="3" borderId="17" xfId="9" applyFont="1" applyFill="1" applyBorder="1" applyAlignment="1" applyProtection="1">
      <alignment horizontal="centerContinuous" vertical="center" wrapText="1"/>
    </xf>
    <xf numFmtId="0" fontId="112" fillId="0" borderId="0" xfId="0" applyFont="1" applyFill="1" applyBorder="1" applyAlignment="1" applyProtection="1">
      <alignment wrapText="1"/>
    </xf>
    <xf numFmtId="165" fontId="5" fillId="0" borderId="0" xfId="0" applyNumberFormat="1" applyFont="1"/>
    <xf numFmtId="0" fontId="26" fillId="6" borderId="11" xfId="9" applyNumberFormat="1" applyFont="1" applyFill="1" applyBorder="1" applyAlignment="1" applyProtection="1">
      <alignment horizontal="center" vertical="center"/>
      <protection locked="0"/>
    </xf>
    <xf numFmtId="0" fontId="26" fillId="0" borderId="131" xfId="9" applyFont="1" applyFill="1" applyBorder="1" applyAlignment="1" applyProtection="1">
      <alignment horizontal="center" vertical="center"/>
    </xf>
    <xf numFmtId="0" fontId="12" fillId="0" borderId="47" xfId="0" applyFont="1" applyBorder="1"/>
    <xf numFmtId="10" fontId="26" fillId="7" borderId="7" xfId="9" applyNumberFormat="1" applyFont="1" applyFill="1" applyBorder="1" applyAlignment="1" applyProtection="1">
      <alignment vertical="center"/>
    </xf>
    <xf numFmtId="10" fontId="26" fillId="7" borderId="10" xfId="9" applyNumberFormat="1" applyFont="1" applyFill="1" applyBorder="1" applyAlignment="1" applyProtection="1">
      <alignment vertical="center"/>
    </xf>
    <xf numFmtId="10" fontId="23" fillId="4" borderId="10" xfId="6" applyNumberFormat="1" applyFont="1" applyFill="1" applyBorder="1" applyAlignment="1" applyProtection="1">
      <alignment vertical="center"/>
      <protection locked="0"/>
    </xf>
    <xf numFmtId="0" fontId="26" fillId="0" borderId="11" xfId="6" applyFont="1" applyBorder="1" applyAlignment="1" applyProtection="1">
      <alignment horizontal="center" vertical="center"/>
    </xf>
    <xf numFmtId="0" fontId="35" fillId="0" borderId="12" xfId="6" applyFont="1" applyBorder="1" applyAlignment="1" applyProtection="1">
      <alignment vertical="center" wrapText="1"/>
    </xf>
    <xf numFmtId="0" fontId="26" fillId="23" borderId="46" xfId="11" applyFont="1" applyFill="1" applyBorder="1" applyAlignment="1" applyProtection="1">
      <alignment horizontal="center" vertical="center"/>
    </xf>
    <xf numFmtId="0" fontId="62" fillId="23" borderId="47" xfId="11" applyFont="1" applyFill="1" applyBorder="1" applyAlignment="1">
      <alignment vertical="center" wrapText="1"/>
    </xf>
    <xf numFmtId="0" fontId="62" fillId="23" borderId="47" xfId="11" applyFont="1" applyFill="1" applyBorder="1" applyAlignment="1">
      <alignment horizontal="center" vertical="center"/>
    </xf>
    <xf numFmtId="0" fontId="17" fillId="23" borderId="47" xfId="11" applyFont="1" applyFill="1" applyBorder="1" applyAlignment="1" applyProtection="1">
      <alignment horizontal="center" vertical="center"/>
    </xf>
    <xf numFmtId="0" fontId="17" fillId="23" borderId="50" xfId="11" applyFont="1" applyFill="1" applyBorder="1" applyAlignment="1" applyProtection="1">
      <alignment horizontal="center" vertical="center"/>
    </xf>
    <xf numFmtId="165" fontId="19" fillId="7" borderId="113" xfId="19" applyNumberFormat="1" applyFont="1" applyFill="1" applyBorder="1" applyAlignment="1" applyProtection="1">
      <alignment vertical="center"/>
    </xf>
    <xf numFmtId="1" fontId="19" fillId="4" borderId="49" xfId="19" applyNumberFormat="1" applyFont="1" applyFill="1" applyBorder="1" applyAlignment="1" applyProtection="1">
      <alignment vertical="center" wrapText="1"/>
      <protection locked="0"/>
    </xf>
    <xf numFmtId="0" fontId="26" fillId="23" borderId="19" xfId="11" applyFont="1" applyFill="1" applyBorder="1" applyAlignment="1" applyProtection="1">
      <alignment horizontal="center" vertical="center"/>
    </xf>
    <xf numFmtId="0" fontId="17" fillId="23" borderId="20" xfId="11" applyFont="1" applyFill="1" applyBorder="1" applyAlignment="1" applyProtection="1">
      <alignment horizontal="center" vertical="center"/>
    </xf>
    <xf numFmtId="0" fontId="17" fillId="23" borderId="21" xfId="11" applyFont="1" applyFill="1" applyBorder="1" applyAlignment="1" applyProtection="1">
      <alignment horizontal="center" vertical="center"/>
    </xf>
    <xf numFmtId="165" fontId="19" fillId="7" borderId="131" xfId="11" applyNumberFormat="1" applyFont="1" applyFill="1" applyBorder="1" applyAlignment="1" applyProtection="1">
      <alignment vertical="center"/>
    </xf>
    <xf numFmtId="1" fontId="19" fillId="4" borderId="23" xfId="19" applyNumberFormat="1" applyFont="1" applyFill="1" applyBorder="1" applyAlignment="1" applyProtection="1">
      <alignment vertical="center" wrapText="1"/>
      <protection locked="0"/>
    </xf>
    <xf numFmtId="1" fontId="26" fillId="4" borderId="31" xfId="11" applyNumberFormat="1" applyFont="1" applyFill="1" applyBorder="1" applyProtection="1">
      <protection locked="0"/>
    </xf>
    <xf numFmtId="0" fontId="19" fillId="4" borderId="18" xfId="19" applyNumberFormat="1" applyFont="1" applyFill="1" applyBorder="1" applyAlignment="1" applyProtection="1">
      <alignment vertical="center" wrapText="1"/>
      <protection locked="0"/>
    </xf>
    <xf numFmtId="1" fontId="26" fillId="7" borderId="30" xfId="11" applyNumberFormat="1" applyFont="1" applyFill="1" applyBorder="1" applyProtection="1"/>
    <xf numFmtId="0" fontId="12" fillId="0" borderId="19" xfId="6" applyFont="1" applyBorder="1" applyAlignment="1" applyProtection="1">
      <alignment vertical="center"/>
    </xf>
    <xf numFmtId="0" fontId="62" fillId="0" borderId="51" xfId="11" applyFont="1" applyFill="1" applyBorder="1" applyAlignment="1">
      <alignment horizontal="center" vertical="center"/>
    </xf>
    <xf numFmtId="0" fontId="10" fillId="3" borderId="341" xfId="6" applyFont="1" applyFill="1" applyBorder="1" applyAlignment="1" applyProtection="1">
      <alignment horizontal="center" vertical="center" wrapText="1"/>
    </xf>
    <xf numFmtId="0" fontId="17" fillId="0" borderId="6" xfId="6" applyFont="1" applyBorder="1" applyAlignment="1">
      <alignment horizontal="center" vertical="center"/>
    </xf>
    <xf numFmtId="0" fontId="17" fillId="0" borderId="9" xfId="6" applyFont="1" applyBorder="1" applyAlignment="1">
      <alignment horizontal="center" vertical="center"/>
    </xf>
    <xf numFmtId="0" fontId="17" fillId="0" borderId="12" xfId="6" applyFont="1" applyBorder="1" applyAlignment="1">
      <alignment horizontal="center" vertical="center"/>
    </xf>
    <xf numFmtId="0" fontId="8" fillId="0" borderId="0" xfId="0" applyFont="1" applyAlignment="1">
      <alignment horizontal="center" vertical="center"/>
    </xf>
    <xf numFmtId="0" fontId="17" fillId="0" borderId="20" xfId="6" applyFont="1" applyBorder="1" applyAlignment="1">
      <alignment horizontal="center" vertical="center"/>
    </xf>
    <xf numFmtId="165" fontId="19" fillId="7" borderId="354" xfId="19" applyNumberFormat="1" applyFont="1" applyFill="1" applyBorder="1" applyAlignment="1" applyProtection="1">
      <alignment vertical="center"/>
    </xf>
    <xf numFmtId="165" fontId="19" fillId="7" borderId="353" xfId="19" applyNumberFormat="1" applyFont="1" applyFill="1" applyBorder="1" applyAlignment="1" applyProtection="1">
      <alignment vertical="center"/>
    </xf>
    <xf numFmtId="165" fontId="19" fillId="7" borderId="355" xfId="19" applyNumberFormat="1" applyFont="1" applyFill="1" applyBorder="1" applyAlignment="1" applyProtection="1">
      <alignment vertical="center"/>
    </xf>
    <xf numFmtId="165" fontId="19" fillId="7" borderId="356" xfId="19" applyNumberFormat="1" applyFont="1" applyFill="1" applyBorder="1" applyAlignment="1" applyProtection="1">
      <alignment vertical="center"/>
    </xf>
    <xf numFmtId="165" fontId="19" fillId="7" borderId="357" xfId="19" applyNumberFormat="1" applyFont="1" applyFill="1" applyBorder="1" applyAlignment="1" applyProtection="1">
      <alignment vertical="center"/>
    </xf>
    <xf numFmtId="165" fontId="19" fillId="0" borderId="353" xfId="19" applyNumberFormat="1" applyFont="1" applyFill="1" applyBorder="1" applyAlignment="1" applyProtection="1">
      <alignment vertical="center"/>
    </xf>
    <xf numFmtId="165" fontId="19" fillId="0" borderId="296" xfId="19" applyNumberFormat="1" applyFont="1" applyFill="1" applyBorder="1" applyAlignment="1" applyProtection="1">
      <alignment vertical="center"/>
    </xf>
    <xf numFmtId="165" fontId="0" fillId="0" borderId="0" xfId="0" applyNumberFormat="1" applyFill="1" applyProtection="1"/>
    <xf numFmtId="0" fontId="26" fillId="4" borderId="6" xfId="9" applyNumberFormat="1" applyFont="1" applyFill="1" applyBorder="1" applyAlignment="1" applyProtection="1">
      <alignment horizontal="center" vertical="center" wrapText="1"/>
    </xf>
    <xf numFmtId="0" fontId="13" fillId="0" borderId="4" xfId="5" applyBorder="1" applyAlignment="1" applyProtection="1">
      <alignment horizontal="center" vertical="center"/>
    </xf>
    <xf numFmtId="0" fontId="132" fillId="3" borderId="4" xfId="6" applyFont="1" applyFill="1" applyBorder="1" applyAlignment="1" applyProtection="1">
      <alignment vertical="center"/>
    </xf>
    <xf numFmtId="0" fontId="139" fillId="0" borderId="0" xfId="6" applyFont="1" applyAlignment="1" applyProtection="1">
      <alignment vertical="center"/>
    </xf>
    <xf numFmtId="10" fontId="23" fillId="7" borderId="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22" xfId="2" applyNumberFormat="1" applyFont="1" applyFill="1" applyBorder="1" applyAlignment="1" applyProtection="1">
      <alignment vertical="center"/>
    </xf>
    <xf numFmtId="165" fontId="23" fillId="31" borderId="61" xfId="6" applyNumberFormat="1" applyFont="1" applyFill="1" applyBorder="1" applyAlignment="1" applyProtection="1">
      <alignment vertical="center"/>
    </xf>
    <xf numFmtId="165" fontId="23" fillId="7" borderId="130"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0" fontId="23" fillId="7" borderId="7" xfId="2" applyNumberFormat="1" applyFont="1" applyFill="1" applyBorder="1" applyAlignment="1" applyProtection="1">
      <alignment vertical="center"/>
    </xf>
    <xf numFmtId="10" fontId="23" fillId="7" borderId="10" xfId="2" applyNumberFormat="1" applyFont="1" applyFill="1" applyBorder="1" applyAlignment="1" applyProtection="1">
      <alignment vertical="center"/>
    </xf>
    <xf numFmtId="10" fontId="23" fillId="7" borderId="24" xfId="2" applyNumberFormat="1" applyFont="1" applyFill="1" applyBorder="1" applyAlignment="1" applyProtection="1">
      <alignment vertical="center"/>
    </xf>
    <xf numFmtId="10" fontId="23" fillId="7" borderId="26" xfId="2" applyNumberFormat="1" applyFont="1" applyFill="1" applyBorder="1" applyAlignment="1" applyProtection="1">
      <alignment vertical="center"/>
    </xf>
    <xf numFmtId="10" fontId="23" fillId="7" borderId="27" xfId="2" applyNumberFormat="1" applyFont="1" applyFill="1" applyBorder="1" applyAlignment="1" applyProtection="1">
      <alignment vertical="center"/>
    </xf>
    <xf numFmtId="10" fontId="23" fillId="7" borderId="39" xfId="2" applyNumberFormat="1" applyFont="1" applyFill="1" applyBorder="1" applyAlignment="1" applyProtection="1">
      <alignment vertical="center"/>
    </xf>
    <xf numFmtId="10" fontId="23" fillId="7" borderId="41" xfId="2" applyNumberFormat="1" applyFont="1" applyFill="1" applyBorder="1" applyAlignment="1" applyProtection="1">
      <alignment vertical="center"/>
    </xf>
    <xf numFmtId="10" fontId="23" fillId="7" borderId="61" xfId="2" applyNumberFormat="1" applyFont="1" applyFill="1" applyBorder="1" applyAlignment="1" applyProtection="1">
      <alignment vertical="center"/>
    </xf>
    <xf numFmtId="10" fontId="23" fillId="7" borderId="37" xfId="2" applyNumberFormat="1" applyFont="1" applyFill="1" applyBorder="1" applyAlignment="1" applyProtection="1">
      <alignment vertical="center"/>
    </xf>
    <xf numFmtId="10" fontId="23" fillId="31" borderId="61" xfId="2" applyNumberFormat="1" applyFont="1" applyFill="1" applyBorder="1" applyAlignment="1" applyProtection="1">
      <alignment vertical="center"/>
    </xf>
    <xf numFmtId="10" fontId="23" fillId="7" borderId="130" xfId="2" applyNumberFormat="1" applyFont="1" applyFill="1" applyBorder="1" applyAlignment="1" applyProtection="1">
      <alignment vertical="center"/>
    </xf>
    <xf numFmtId="10" fontId="4" fillId="0" borderId="358" xfId="2" applyNumberFormat="1" applyBorder="1" applyAlignment="1" applyProtection="1">
      <alignment vertical="center"/>
    </xf>
    <xf numFmtId="165" fontId="23" fillId="7" borderId="125" xfId="6" applyNumberFormat="1" applyFont="1" applyFill="1" applyBorder="1" applyAlignment="1" applyProtection="1">
      <alignment vertical="center"/>
    </xf>
    <xf numFmtId="0" fontId="4" fillId="0" borderId="358" xfId="6" applyBorder="1" applyAlignment="1" applyProtection="1">
      <alignment vertical="center"/>
    </xf>
    <xf numFmtId="165" fontId="23" fillId="7" borderId="12" xfId="2" applyNumberFormat="1" applyFont="1" applyFill="1" applyBorder="1" applyAlignment="1" applyProtection="1">
      <alignment vertical="center"/>
    </xf>
    <xf numFmtId="165" fontId="23" fillId="4" borderId="13" xfId="2" applyNumberFormat="1" applyFont="1" applyFill="1" applyBorder="1" applyAlignment="1" applyProtection="1">
      <alignment vertical="center"/>
      <protection locked="0"/>
    </xf>
    <xf numFmtId="165" fontId="4" fillId="0" borderId="0" xfId="6" applyNumberFormat="1" applyAlignment="1" applyProtection="1">
      <alignment vertical="center"/>
    </xf>
    <xf numFmtId="10" fontId="23" fillId="7" borderId="11"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0" fontId="23" fillId="7" borderId="125" xfId="2" applyNumberFormat="1" applyFont="1" applyFill="1" applyBorder="1" applyAlignment="1" applyProtection="1">
      <alignment vertical="center"/>
    </xf>
    <xf numFmtId="10" fontId="23" fillId="7" borderId="115" xfId="2" applyNumberFormat="1" applyFont="1" applyFill="1" applyBorder="1" applyAlignment="1" applyProtection="1">
      <alignment vertical="center"/>
    </xf>
    <xf numFmtId="165" fontId="26" fillId="31" borderId="5" xfId="9" applyNumberFormat="1" applyFont="1" applyFill="1" applyBorder="1" applyAlignment="1" applyProtection="1">
      <alignment vertical="center"/>
    </xf>
    <xf numFmtId="165" fontId="26" fillId="31" borderId="28" xfId="9" applyNumberFormat="1" applyFont="1" applyFill="1" applyBorder="1" applyAlignment="1" applyProtection="1">
      <alignment vertical="center"/>
    </xf>
    <xf numFmtId="165" fontId="26" fillId="31" borderId="7" xfId="9" applyNumberFormat="1" applyFont="1" applyFill="1" applyBorder="1" applyAlignment="1" applyProtection="1">
      <alignment vertical="center"/>
    </xf>
    <xf numFmtId="10" fontId="23" fillId="31" borderId="9" xfId="2" applyNumberFormat="1" applyFont="1" applyFill="1" applyBorder="1" applyAlignment="1" applyProtection="1">
      <alignment vertical="center"/>
    </xf>
    <xf numFmtId="165" fontId="26" fillId="31" borderId="31" xfId="9" applyNumberFormat="1" applyFont="1" applyFill="1" applyBorder="1" applyAlignment="1" applyProtection="1">
      <alignment vertical="center"/>
    </xf>
    <xf numFmtId="165" fontId="26" fillId="31" borderId="37" xfId="9" applyNumberFormat="1" applyFont="1" applyFill="1" applyBorder="1" applyAlignment="1" applyProtection="1">
      <alignment vertical="center"/>
    </xf>
    <xf numFmtId="165" fontId="26" fillId="31" borderId="6" xfId="9" applyNumberFormat="1" applyFont="1" applyFill="1" applyBorder="1" applyAlignment="1" applyProtection="1">
      <alignment vertical="center"/>
    </xf>
    <xf numFmtId="165" fontId="26" fillId="4" borderId="8" xfId="9" applyNumberFormat="1" applyFont="1" applyFill="1" applyBorder="1" applyAlignment="1" applyProtection="1">
      <alignment vertical="center"/>
    </xf>
    <xf numFmtId="165" fontId="26" fillId="7" borderId="29" xfId="9" applyNumberFormat="1" applyFont="1" applyFill="1" applyBorder="1" applyAlignment="1" applyProtection="1">
      <alignment vertical="center"/>
    </xf>
    <xf numFmtId="0" fontId="26" fillId="0" borderId="228" xfId="6" applyFont="1" applyBorder="1" applyAlignment="1" applyProtection="1">
      <alignment horizontal="center" vertical="center"/>
    </xf>
    <xf numFmtId="0" fontId="35" fillId="0" borderId="155" xfId="6" applyFont="1" applyBorder="1" applyAlignment="1" applyProtection="1">
      <alignment vertical="center" wrapText="1"/>
    </xf>
    <xf numFmtId="0" fontId="12" fillId="0" borderId="313" xfId="0" applyFont="1" applyBorder="1" applyAlignment="1">
      <alignment horizontal="center"/>
    </xf>
    <xf numFmtId="0" fontId="12" fillId="0" borderId="314" xfId="0" applyFont="1" applyBorder="1" applyAlignment="1">
      <alignment horizontal="center"/>
    </xf>
    <xf numFmtId="0" fontId="12" fillId="0" borderId="315" xfId="0" applyFont="1" applyBorder="1" applyAlignment="1">
      <alignment horizontal="center"/>
    </xf>
    <xf numFmtId="0" fontId="12" fillId="0" borderId="316" xfId="0" applyFont="1" applyBorder="1" applyAlignment="1">
      <alignment horizontal="center"/>
    </xf>
    <xf numFmtId="0" fontId="12" fillId="0" borderId="0" xfId="0" applyFont="1" applyAlignment="1">
      <alignment horizontal="center"/>
    </xf>
    <xf numFmtId="0" fontId="12" fillId="0" borderId="0" xfId="0" applyFont="1" applyAlignment="1">
      <alignment horizontal="center" wrapText="1"/>
    </xf>
    <xf numFmtId="0" fontId="12" fillId="0" borderId="235" xfId="0" applyFont="1" applyBorder="1" applyAlignment="1">
      <alignment horizontal="center"/>
    </xf>
    <xf numFmtId="0" fontId="12" fillId="0" borderId="244" xfId="0" applyFont="1" applyBorder="1" applyAlignment="1">
      <alignment horizontal="center"/>
    </xf>
    <xf numFmtId="0" fontId="12" fillId="0" borderId="256" xfId="0" applyFont="1" applyBorder="1" applyAlignment="1">
      <alignment horizontal="center"/>
    </xf>
    <xf numFmtId="0" fontId="12" fillId="0" borderId="234" xfId="0" applyFont="1" applyBorder="1" applyAlignment="1">
      <alignment horizontal="center"/>
    </xf>
    <xf numFmtId="0" fontId="12" fillId="0" borderId="243" xfId="0" applyFont="1" applyBorder="1" applyAlignment="1">
      <alignment horizontal="center"/>
    </xf>
    <xf numFmtId="0" fontId="12" fillId="0" borderId="280" xfId="0" applyFont="1" applyBorder="1" applyAlignment="1">
      <alignment horizontal="center"/>
    </xf>
    <xf numFmtId="10" fontId="26" fillId="4" borderId="5" xfId="2" applyNumberFormat="1" applyFont="1" applyFill="1" applyBorder="1" applyAlignment="1" applyProtection="1">
      <alignment vertical="center"/>
    </xf>
    <xf numFmtId="10" fontId="26" fillId="4" borderId="6" xfId="2" applyNumberFormat="1" applyFont="1" applyFill="1" applyBorder="1" applyAlignment="1" applyProtection="1">
      <alignment vertical="center"/>
    </xf>
    <xf numFmtId="10" fontId="26" fillId="4" borderId="8" xfId="2" applyNumberFormat="1" applyFont="1" applyFill="1" applyBorder="1" applyAlignment="1" applyProtection="1">
      <alignment vertical="center"/>
    </xf>
    <xf numFmtId="10" fontId="26" fillId="4" borderId="9" xfId="2" applyNumberFormat="1" applyFont="1" applyFill="1" applyBorder="1" applyAlignment="1" applyProtection="1">
      <alignment vertical="center"/>
    </xf>
    <xf numFmtId="10" fontId="26" fillId="7" borderId="38" xfId="2" applyNumberFormat="1" applyFont="1" applyFill="1" applyBorder="1" applyAlignment="1" applyProtection="1">
      <alignment vertical="center"/>
    </xf>
    <xf numFmtId="10" fontId="26" fillId="7" borderId="9" xfId="2" applyNumberFormat="1" applyFont="1" applyFill="1" applyBorder="1" applyAlignment="1" applyProtection="1">
      <alignment vertical="center"/>
    </xf>
    <xf numFmtId="10" fontId="26" fillId="4" borderId="11" xfId="2" applyNumberFormat="1" applyFont="1" applyFill="1" applyBorder="1" applyAlignment="1" applyProtection="1">
      <alignment vertical="center"/>
    </xf>
    <xf numFmtId="10" fontId="26" fillId="4" borderId="12" xfId="2" applyNumberFormat="1" applyFont="1" applyFill="1" applyBorder="1" applyAlignment="1" applyProtection="1">
      <alignment vertical="center"/>
    </xf>
    <xf numFmtId="10" fontId="8" fillId="0" borderId="0" xfId="2" applyNumberFormat="1" applyFont="1" applyAlignment="1" applyProtection="1">
      <alignment vertical="center"/>
    </xf>
    <xf numFmtId="165" fontId="26" fillId="4" borderId="5" xfId="6" applyNumberFormat="1" applyFont="1" applyFill="1" applyBorder="1" applyAlignment="1" applyProtection="1">
      <alignment vertical="center"/>
    </xf>
    <xf numFmtId="165" fontId="26" fillId="4" borderId="31" xfId="6" applyNumberFormat="1" applyFont="1" applyFill="1" applyBorder="1" applyAlignment="1" applyProtection="1">
      <alignment vertical="center"/>
    </xf>
    <xf numFmtId="165" fontId="26" fillId="4" borderId="8" xfId="6" applyNumberFormat="1" applyFont="1" applyFill="1" applyBorder="1" applyAlignment="1" applyProtection="1">
      <alignment vertical="center"/>
    </xf>
    <xf numFmtId="165" fontId="26" fillId="4" borderId="32" xfId="6" applyNumberFormat="1" applyFont="1" applyFill="1" applyBorder="1" applyAlignment="1" applyProtection="1">
      <alignment vertical="center"/>
    </xf>
    <xf numFmtId="165" fontId="26" fillId="4" borderId="12" xfId="6" applyNumberFormat="1" applyFont="1" applyFill="1" applyBorder="1" applyAlignment="1" applyProtection="1">
      <alignment vertical="center"/>
    </xf>
    <xf numFmtId="165" fontId="26" fillId="4" borderId="13" xfId="6" applyNumberFormat="1" applyFont="1" applyFill="1" applyBorder="1" applyAlignment="1" applyProtection="1">
      <alignment vertical="center"/>
    </xf>
    <xf numFmtId="10" fontId="26" fillId="7" borderId="35" xfId="2" applyNumberFormat="1" applyFont="1" applyFill="1" applyBorder="1" applyAlignment="1" applyProtection="1">
      <alignment vertical="center"/>
    </xf>
    <xf numFmtId="10" fontId="26" fillId="7" borderId="2" xfId="2" applyNumberFormat="1" applyFont="1" applyFill="1" applyBorder="1" applyAlignment="1" applyProtection="1">
      <alignment vertical="center"/>
    </xf>
    <xf numFmtId="165" fontId="26" fillId="7" borderId="2" xfId="6" applyNumberFormat="1" applyFont="1" applyFill="1" applyBorder="1" applyAlignment="1" applyProtection="1">
      <alignment vertical="center"/>
    </xf>
    <xf numFmtId="10" fontId="26" fillId="4" borderId="35" xfId="2" applyNumberFormat="1" applyFont="1" applyFill="1" applyBorder="1" applyAlignment="1" applyProtection="1">
      <alignment vertical="center"/>
    </xf>
    <xf numFmtId="10" fontId="26" fillId="4" borderId="2" xfId="2" applyNumberFormat="1" applyFont="1" applyFill="1" applyBorder="1" applyAlignment="1" applyProtection="1">
      <alignment vertical="center"/>
    </xf>
    <xf numFmtId="10" fontId="26" fillId="31" borderId="35" xfId="2" applyNumberFormat="1" applyFont="1" applyFill="1" applyBorder="1" applyAlignment="1" applyProtection="1">
      <alignment vertical="center"/>
    </xf>
    <xf numFmtId="10" fontId="26" fillId="31" borderId="2" xfId="2" applyNumberFormat="1" applyFont="1" applyFill="1" applyBorder="1" applyAlignment="1" applyProtection="1">
      <alignment vertical="center"/>
    </xf>
    <xf numFmtId="165" fontId="26" fillId="31" borderId="2" xfId="6" applyNumberFormat="1" applyFont="1" applyFill="1" applyBorder="1" applyAlignment="1" applyProtection="1">
      <alignment vertical="center"/>
    </xf>
    <xf numFmtId="165" fontId="26" fillId="31" borderId="1" xfId="6" applyNumberFormat="1" applyFont="1" applyFill="1" applyBorder="1" applyAlignment="1" applyProtection="1">
      <alignment vertical="center"/>
    </xf>
    <xf numFmtId="165" fontId="26" fillId="4" borderId="46" xfId="6" applyNumberFormat="1" applyFont="1" applyFill="1" applyBorder="1" applyAlignment="1" applyProtection="1">
      <alignment vertical="center"/>
    </xf>
    <xf numFmtId="165" fontId="26" fillId="4" borderId="49" xfId="6" applyNumberFormat="1" applyFont="1" applyFill="1" applyBorder="1" applyAlignment="1" applyProtection="1">
      <alignment vertical="center"/>
    </xf>
    <xf numFmtId="10" fontId="26" fillId="7" borderId="23" xfId="2" applyNumberFormat="1" applyFont="1" applyFill="1" applyBorder="1" applyAlignment="1" applyProtection="1">
      <alignment vertical="center"/>
    </xf>
    <xf numFmtId="10" fontId="26" fillId="7" borderId="19" xfId="2" applyNumberFormat="1" applyFont="1" applyFill="1" applyBorder="1" applyAlignment="1" applyProtection="1">
      <alignment vertical="center"/>
    </xf>
    <xf numFmtId="165" fontId="26" fillId="7" borderId="19" xfId="6" applyNumberFormat="1" applyFont="1" applyFill="1" applyBorder="1" applyAlignment="1" applyProtection="1">
      <alignment vertical="center"/>
    </xf>
    <xf numFmtId="165" fontId="26" fillId="7" borderId="23" xfId="6" applyNumberFormat="1" applyFont="1" applyFill="1" applyBorder="1" applyAlignment="1" applyProtection="1">
      <alignment vertical="center"/>
    </xf>
    <xf numFmtId="0" fontId="8" fillId="0" borderId="0" xfId="8" applyFont="1" applyAlignment="1" applyProtection="1">
      <alignment vertical="center"/>
    </xf>
    <xf numFmtId="0" fontId="26" fillId="0" borderId="0" xfId="8" applyFont="1" applyAlignment="1" applyProtection="1">
      <alignment vertical="center"/>
    </xf>
    <xf numFmtId="10" fontId="26" fillId="7" borderId="6" xfId="2" applyNumberFormat="1" applyFont="1" applyFill="1" applyBorder="1" applyAlignment="1" applyProtection="1">
      <alignment vertical="center"/>
    </xf>
    <xf numFmtId="165" fontId="26" fillId="7" borderId="6" xfId="6" applyNumberFormat="1" applyFont="1" applyFill="1" applyBorder="1" applyAlignment="1" applyProtection="1">
      <alignment vertical="center"/>
    </xf>
    <xf numFmtId="10" fontId="26" fillId="7" borderId="12" xfId="2" applyNumberFormat="1" applyFont="1" applyFill="1" applyBorder="1" applyAlignment="1" applyProtection="1">
      <alignment vertical="center"/>
    </xf>
    <xf numFmtId="10" fontId="26" fillId="7" borderId="28" xfId="2" applyNumberFormat="1" applyFont="1" applyFill="1" applyBorder="1" applyAlignment="1" applyProtection="1">
      <alignment vertical="center"/>
    </xf>
    <xf numFmtId="10" fontId="26" fillId="7" borderId="5" xfId="2" applyNumberFormat="1" applyFont="1" applyFill="1" applyBorder="1" applyAlignment="1" applyProtection="1">
      <alignment vertical="center"/>
    </xf>
    <xf numFmtId="165" fontId="26" fillId="7" borderId="5" xfId="6" applyNumberFormat="1" applyFont="1" applyFill="1" applyBorder="1" applyAlignment="1" applyProtection="1">
      <alignment vertical="center"/>
    </xf>
    <xf numFmtId="10" fontId="26" fillId="7" borderId="29" xfId="2" applyNumberFormat="1" applyFont="1" applyFill="1" applyBorder="1" applyAlignment="1" applyProtection="1">
      <alignment vertical="center"/>
    </xf>
    <xf numFmtId="10" fontId="26" fillId="7" borderId="8" xfId="2" applyNumberFormat="1" applyFont="1" applyFill="1" applyBorder="1" applyAlignment="1" applyProtection="1">
      <alignment vertical="center"/>
    </xf>
    <xf numFmtId="10" fontId="26" fillId="7" borderId="11" xfId="2" applyNumberFormat="1" applyFont="1" applyFill="1" applyBorder="1" applyAlignment="1" applyProtection="1">
      <alignment vertical="center"/>
    </xf>
    <xf numFmtId="10" fontId="26" fillId="7" borderId="31" xfId="2" applyNumberFormat="1" applyFont="1" applyFill="1" applyBorder="1" applyAlignment="1" applyProtection="1">
      <alignment vertical="center"/>
    </xf>
    <xf numFmtId="10" fontId="26" fillId="7" borderId="49" xfId="2" applyNumberFormat="1" applyFont="1" applyFill="1" applyBorder="1" applyAlignment="1" applyProtection="1">
      <alignment vertical="center"/>
    </xf>
    <xf numFmtId="10" fontId="26" fillId="7" borderId="46" xfId="2" applyNumberFormat="1" applyFont="1" applyFill="1" applyBorder="1" applyAlignment="1" applyProtection="1">
      <alignment vertical="center"/>
    </xf>
    <xf numFmtId="165" fontId="26" fillId="7" borderId="46" xfId="6" applyNumberFormat="1" applyFont="1" applyFill="1" applyBorder="1" applyAlignment="1" applyProtection="1">
      <alignment vertical="center"/>
    </xf>
    <xf numFmtId="165" fontId="26" fillId="4" borderId="10" xfId="9" applyNumberFormat="1" applyFont="1" applyFill="1" applyBorder="1" applyAlignment="1" applyProtection="1">
      <alignment vertical="center"/>
    </xf>
    <xf numFmtId="165" fontId="26" fillId="4" borderId="31" xfId="9" applyNumberFormat="1" applyFont="1" applyFill="1" applyBorder="1" applyAlignment="1" applyProtection="1">
      <alignment vertical="center"/>
    </xf>
    <xf numFmtId="0" fontId="19" fillId="0" borderId="6" xfId="6" applyFont="1" applyBorder="1" applyAlignment="1" applyProtection="1">
      <alignment vertical="center"/>
    </xf>
    <xf numFmtId="0" fontId="19" fillId="0" borderId="47" xfId="6" applyFont="1" applyBorder="1" applyAlignment="1" applyProtection="1">
      <alignment vertical="center"/>
    </xf>
    <xf numFmtId="0" fontId="19" fillId="0" borderId="155" xfId="6" applyFont="1" applyBorder="1" applyAlignment="1" applyProtection="1">
      <alignment vertical="center"/>
    </xf>
    <xf numFmtId="0" fontId="19" fillId="0" borderId="12" xfId="6" applyFont="1" applyBorder="1" applyAlignment="1" applyProtection="1">
      <alignment vertical="center" wrapText="1"/>
    </xf>
    <xf numFmtId="0" fontId="17" fillId="0" borderId="6" xfId="6" applyFont="1" applyBorder="1" applyAlignment="1" applyProtection="1">
      <alignment horizontal="center" vertical="center"/>
    </xf>
    <xf numFmtId="0" fontId="17" fillId="0" borderId="7" xfId="6" applyFont="1" applyBorder="1" applyAlignment="1" applyProtection="1">
      <alignment horizontal="center" vertical="center"/>
    </xf>
    <xf numFmtId="0" fontId="17" fillId="0" borderId="47" xfId="6" applyFont="1" applyBorder="1" applyAlignment="1" applyProtection="1">
      <alignment horizontal="center" vertical="center"/>
    </xf>
    <xf numFmtId="0" fontId="17" fillId="0" borderId="50" xfId="6" applyFont="1" applyBorder="1" applyAlignment="1" applyProtection="1">
      <alignment horizontal="center" vertical="center"/>
    </xf>
    <xf numFmtId="0" fontId="17" fillId="0" borderId="12" xfId="6" applyFont="1" applyBorder="1" applyAlignment="1" applyProtection="1">
      <alignment horizontal="center" vertical="center"/>
    </xf>
    <xf numFmtId="0" fontId="17" fillId="0" borderId="13" xfId="6" applyFont="1" applyBorder="1" applyAlignment="1" applyProtection="1">
      <alignment horizontal="center" vertical="center"/>
    </xf>
    <xf numFmtId="0" fontId="19" fillId="0" borderId="9" xfId="6" applyFont="1" applyBorder="1" applyAlignment="1" applyProtection="1">
      <alignment vertical="center" wrapText="1"/>
    </xf>
    <xf numFmtId="0" fontId="17" fillId="0" borderId="8" xfId="6" applyFont="1" applyBorder="1" applyAlignment="1" applyProtection="1">
      <alignment horizontal="center" vertical="center"/>
    </xf>
    <xf numFmtId="0" fontId="115" fillId="0" borderId="9" xfId="6" applyFont="1" applyBorder="1" applyAlignment="1" applyProtection="1">
      <alignment vertical="center"/>
    </xf>
    <xf numFmtId="0" fontId="0" fillId="0" borderId="131" xfId="0" applyFill="1" applyBorder="1" applyProtection="1"/>
    <xf numFmtId="0" fontId="19" fillId="0" borderId="9" xfId="11" applyFont="1" applyFill="1" applyBorder="1" applyAlignment="1">
      <alignment vertical="center" wrapText="1"/>
    </xf>
    <xf numFmtId="0" fontId="70" fillId="23" borderId="0" xfId="18" applyFont="1" applyFill="1"/>
    <xf numFmtId="0" fontId="19" fillId="23" borderId="12" xfId="11" applyFont="1" applyFill="1" applyBorder="1" applyAlignment="1">
      <alignment vertical="center" wrapText="1"/>
    </xf>
    <xf numFmtId="0" fontId="19" fillId="23" borderId="12" xfId="11" applyFont="1" applyFill="1" applyBorder="1" applyAlignment="1">
      <alignment horizontal="center" vertical="center"/>
    </xf>
    <xf numFmtId="0" fontId="8" fillId="0" borderId="0" xfId="6" applyFont="1" applyBorder="1" applyAlignment="1" applyProtection="1">
      <alignment vertical="center"/>
    </xf>
    <xf numFmtId="0" fontId="8" fillId="3" borderId="0" xfId="6" applyFont="1" applyFill="1" applyAlignment="1" applyProtection="1">
      <alignment vertical="center"/>
    </xf>
    <xf numFmtId="0" fontId="70" fillId="0" borderId="0" xfId="18" applyFont="1"/>
    <xf numFmtId="0" fontId="19" fillId="23" borderId="9" xfId="11" applyFont="1" applyFill="1" applyBorder="1" applyAlignment="1">
      <alignment vertical="center" wrapText="1"/>
    </xf>
    <xf numFmtId="0" fontId="19" fillId="23" borderId="9" xfId="11" applyFont="1" applyFill="1" applyBorder="1" applyAlignment="1">
      <alignment horizontal="center" vertical="center"/>
    </xf>
    <xf numFmtId="0" fontId="19" fillId="23" borderId="9" xfId="11" applyFont="1" applyFill="1" applyBorder="1" applyAlignment="1">
      <alignment horizontal="center" vertical="center" wrapText="1"/>
    </xf>
    <xf numFmtId="9" fontId="19" fillId="23" borderId="51" xfId="11" applyNumberFormat="1" applyFont="1" applyFill="1" applyBorder="1" applyAlignment="1">
      <alignment vertical="center" wrapText="1"/>
    </xf>
    <xf numFmtId="0" fontId="19" fillId="23" borderId="20" xfId="11" applyFont="1" applyFill="1" applyBorder="1" applyAlignment="1">
      <alignment horizontal="center" vertical="center" wrapText="1"/>
    </xf>
    <xf numFmtId="0" fontId="17" fillId="8" borderId="25" xfId="7" applyFont="1" applyBorder="1" applyAlignment="1" applyProtection="1">
      <alignment horizontal="center" vertical="center"/>
    </xf>
    <xf numFmtId="0" fontId="26" fillId="6" borderId="0" xfId="6" applyFont="1" applyFill="1" applyAlignment="1" applyProtection="1">
      <alignment horizontal="center" vertical="center"/>
    </xf>
    <xf numFmtId="0" fontId="26" fillId="3" borderId="0" xfId="8" applyFont="1" applyFill="1" applyAlignment="1" applyProtection="1">
      <alignment horizontal="center" vertical="center"/>
    </xf>
    <xf numFmtId="165" fontId="8" fillId="0" borderId="0" xfId="0" applyNumberFormat="1" applyFont="1" applyProtection="1"/>
    <xf numFmtId="0" fontId="26" fillId="0" borderId="0" xfId="0" applyFont="1" applyFill="1" applyBorder="1" applyProtection="1"/>
    <xf numFmtId="0" fontId="19" fillId="0" borderId="44" xfId="11" applyFont="1" applyFill="1" applyBorder="1" applyAlignment="1">
      <alignment vertical="center" wrapText="1"/>
    </xf>
    <xf numFmtId="0" fontId="19" fillId="0" borderId="44" xfId="11" applyFont="1" applyFill="1" applyBorder="1" applyAlignment="1">
      <alignment horizontal="center" vertical="center"/>
    </xf>
    <xf numFmtId="0" fontId="19" fillId="0" borderId="12" xfId="11" applyFont="1" applyFill="1" applyBorder="1" applyAlignment="1">
      <alignment vertical="center" wrapText="1"/>
    </xf>
    <xf numFmtId="0" fontId="19" fillId="0" borderId="12" xfId="11" applyFont="1" applyFill="1" applyBorder="1" applyAlignment="1">
      <alignment horizontal="center" vertical="center"/>
    </xf>
    <xf numFmtId="0" fontId="19" fillId="0" borderId="44" xfId="11" applyFont="1" applyFill="1" applyBorder="1" applyAlignment="1">
      <alignment horizontal="center" vertical="center" wrapText="1"/>
    </xf>
    <xf numFmtId="9" fontId="17" fillId="0" borderId="44" xfId="11" applyNumberFormat="1" applyFont="1" applyFill="1" applyBorder="1" applyAlignment="1">
      <alignment horizontal="center" vertical="center" wrapText="1"/>
    </xf>
    <xf numFmtId="0" fontId="19" fillId="4" borderId="43" xfId="2" applyNumberFormat="1" applyFont="1" applyFill="1" applyBorder="1" applyAlignment="1" applyProtection="1">
      <alignment vertical="center"/>
      <protection locked="0"/>
    </xf>
    <xf numFmtId="0" fontId="19" fillId="0" borderId="20" xfId="11" applyFont="1" applyFill="1" applyBorder="1" applyAlignment="1">
      <alignment vertical="center" wrapText="1"/>
    </xf>
    <xf numFmtId="0" fontId="17" fillId="0" borderId="20" xfId="11" applyFont="1" applyFill="1" applyBorder="1" applyAlignment="1" applyProtection="1">
      <alignment horizontal="center" vertical="center"/>
    </xf>
    <xf numFmtId="0" fontId="19" fillId="0" borderId="314" xfId="0" applyFont="1" applyBorder="1" applyAlignment="1">
      <alignment horizontal="center"/>
    </xf>
    <xf numFmtId="0" fontId="140" fillId="0" borderId="9" xfId="6" applyFont="1" applyFill="1" applyBorder="1" applyAlignment="1" applyProtection="1">
      <alignment vertical="center"/>
    </xf>
    <xf numFmtId="49" fontId="19" fillId="0" borderId="9" xfId="6" applyNumberFormat="1" applyFont="1" applyFill="1" applyBorder="1" applyAlignment="1" applyProtection="1">
      <alignment vertical="center"/>
    </xf>
    <xf numFmtId="0" fontId="19" fillId="0" borderId="0" xfId="6" applyFont="1" applyFill="1" applyBorder="1" applyAlignment="1" applyProtection="1">
      <alignment vertical="center"/>
    </xf>
    <xf numFmtId="0" fontId="19" fillId="0" borderId="315" xfId="0" applyFont="1" applyFill="1" applyBorder="1" applyAlignment="1">
      <alignment vertical="center"/>
    </xf>
    <xf numFmtId="0" fontId="19" fillId="0" borderId="315" xfId="0" applyFont="1" applyBorder="1" applyAlignment="1">
      <alignment horizontal="center"/>
    </xf>
    <xf numFmtId="0" fontId="19" fillId="0" borderId="316" xfId="0" applyFont="1" applyBorder="1" applyAlignment="1">
      <alignment horizontal="center"/>
    </xf>
    <xf numFmtId="0" fontId="19" fillId="0" borderId="0" xfId="0" applyFont="1" applyAlignment="1">
      <alignment horizontal="center"/>
    </xf>
    <xf numFmtId="0" fontId="19" fillId="0" borderId="0" xfId="0" applyFont="1" applyAlignment="1">
      <alignment horizontal="center" wrapText="1"/>
    </xf>
    <xf numFmtId="0" fontId="19" fillId="0" borderId="313" xfId="0" applyFont="1" applyFill="1" applyBorder="1" applyAlignment="1">
      <alignment vertical="center"/>
    </xf>
    <xf numFmtId="0" fontId="19" fillId="0" borderId="313" xfId="0" applyFont="1" applyBorder="1" applyAlignment="1">
      <alignment horizontal="center"/>
    </xf>
    <xf numFmtId="0" fontId="139" fillId="0" borderId="0" xfId="0" applyFont="1" applyAlignment="1">
      <alignment wrapText="1"/>
    </xf>
    <xf numFmtId="0" fontId="139" fillId="0" borderId="0" xfId="0" applyFont="1" applyFill="1" applyAlignment="1">
      <alignment wrapText="1"/>
    </xf>
    <xf numFmtId="0" fontId="17" fillId="0" borderId="306" xfId="0" applyFont="1" applyBorder="1" applyAlignment="1">
      <alignment horizontal="center" vertical="center"/>
    </xf>
    <xf numFmtId="0" fontId="26" fillId="0" borderId="303" xfId="0" applyFont="1" applyBorder="1" applyAlignment="1">
      <alignment horizontal="center" vertical="center"/>
    </xf>
    <xf numFmtId="0" fontId="17" fillId="0" borderId="313" xfId="0" applyFont="1" applyBorder="1" applyAlignment="1">
      <alignment horizontal="center" vertical="center"/>
    </xf>
    <xf numFmtId="0" fontId="17" fillId="0" borderId="304" xfId="0" applyFont="1" applyBorder="1" applyAlignment="1">
      <alignment horizontal="center" vertical="center"/>
    </xf>
    <xf numFmtId="0" fontId="26" fillId="0" borderId="305" xfId="0" applyFont="1" applyBorder="1" applyAlignment="1">
      <alignment horizontal="center" vertical="center"/>
    </xf>
    <xf numFmtId="0" fontId="17" fillId="0" borderId="314" xfId="0" applyFont="1" applyBorder="1" applyAlignment="1">
      <alignment horizontal="center" vertical="center"/>
    </xf>
    <xf numFmtId="6" fontId="17" fillId="0" borderId="314" xfId="0" quotePrefix="1" applyNumberFormat="1" applyFont="1" applyBorder="1" applyAlignment="1">
      <alignment horizontal="center" vertical="center"/>
    </xf>
    <xf numFmtId="0" fontId="17" fillId="0" borderId="315" xfId="0" quotePrefix="1" applyFont="1" applyBorder="1" applyAlignment="1">
      <alignment horizontal="center" vertical="center"/>
    </xf>
    <xf numFmtId="0" fontId="17" fillId="0" borderId="307" xfId="0" applyFont="1" applyBorder="1" applyAlignment="1">
      <alignment horizontal="center" vertical="center"/>
    </xf>
    <xf numFmtId="0" fontId="26" fillId="0" borderId="308" xfId="0" applyFont="1" applyBorder="1" applyAlignment="1">
      <alignment horizontal="center" vertical="center"/>
    </xf>
    <xf numFmtId="6" fontId="17" fillId="0" borderId="316" xfId="0" quotePrefix="1" applyNumberFormat="1" applyFont="1" applyBorder="1" applyAlignment="1">
      <alignment horizontal="center" vertical="center"/>
    </xf>
    <xf numFmtId="0" fontId="17" fillId="0" borderId="309" xfId="0" applyFont="1" applyBorder="1" applyAlignment="1">
      <alignment horizontal="center" vertical="center"/>
    </xf>
    <xf numFmtId="0" fontId="8" fillId="0" borderId="0" xfId="0" applyFont="1" applyAlignment="1">
      <alignment horizontal="center"/>
    </xf>
    <xf numFmtId="0" fontId="8" fillId="0" borderId="313" xfId="0" applyFont="1" applyBorder="1"/>
    <xf numFmtId="0" fontId="8" fillId="0" borderId="314" xfId="0" applyFont="1" applyBorder="1"/>
    <xf numFmtId="0" fontId="8" fillId="0" borderId="315" xfId="0" applyFont="1" applyBorder="1"/>
    <xf numFmtId="0" fontId="8" fillId="0" borderId="316" xfId="0" applyFont="1" applyBorder="1"/>
    <xf numFmtId="0" fontId="141" fillId="2" borderId="0" xfId="6" applyFont="1" applyFill="1" applyBorder="1" applyAlignment="1" applyProtection="1">
      <alignment vertical="center"/>
    </xf>
    <xf numFmtId="0" fontId="19" fillId="0" borderId="0" xfId="6" applyFont="1" applyAlignment="1" applyProtection="1">
      <alignment vertical="center"/>
    </xf>
    <xf numFmtId="0" fontId="8" fillId="0" borderId="0" xfId="0" applyFont="1" applyAlignment="1">
      <alignment horizontal="center" wrapText="1"/>
    </xf>
    <xf numFmtId="6" fontId="17" fillId="0" borderId="313" xfId="0" quotePrefix="1" applyNumberFormat="1" applyFont="1" applyBorder="1" applyAlignment="1">
      <alignment horizontal="center" vertical="center"/>
    </xf>
    <xf numFmtId="0" fontId="19" fillId="0" borderId="0" xfId="11" applyFont="1" applyFill="1" applyBorder="1" applyAlignment="1">
      <alignment vertical="center" wrapText="1"/>
    </xf>
    <xf numFmtId="0" fontId="19" fillId="0" borderId="0" xfId="11" applyFont="1" applyFill="1" applyBorder="1" applyAlignment="1">
      <alignment vertical="top"/>
    </xf>
    <xf numFmtId="165" fontId="8" fillId="0" borderId="0" xfId="0" applyNumberFormat="1" applyFont="1"/>
    <xf numFmtId="0" fontId="8" fillId="0" borderId="234" xfId="0" applyFont="1" applyBorder="1"/>
    <xf numFmtId="0" fontId="8" fillId="0" borderId="234" xfId="0" applyFont="1" applyBorder="1" applyAlignment="1">
      <alignment horizontal="center"/>
    </xf>
    <xf numFmtId="0" fontId="8" fillId="0" borderId="244" xfId="0" applyFont="1" applyBorder="1"/>
    <xf numFmtId="0" fontId="8" fillId="0" borderId="243" xfId="0" applyFont="1" applyBorder="1" applyAlignment="1">
      <alignment horizontal="center"/>
    </xf>
    <xf numFmtId="0" fontId="8" fillId="0" borderId="245" xfId="0" applyFont="1" applyBorder="1" applyAlignment="1">
      <alignment horizontal="center"/>
    </xf>
    <xf numFmtId="6" fontId="8" fillId="0" borderId="243" xfId="0" quotePrefix="1" applyNumberFormat="1" applyFont="1" applyBorder="1" applyAlignment="1">
      <alignment horizontal="center"/>
    </xf>
    <xf numFmtId="0" fontId="8" fillId="0" borderId="257" xfId="0" applyFont="1" applyBorder="1"/>
    <xf numFmtId="6" fontId="8" fillId="0" borderId="256" xfId="0" quotePrefix="1" applyNumberFormat="1" applyFont="1" applyBorder="1" applyAlignment="1">
      <alignment horizontal="center"/>
    </xf>
    <xf numFmtId="0" fontId="8" fillId="0" borderId="258" xfId="0" applyFont="1" applyBorder="1" applyAlignment="1">
      <alignment horizontal="center"/>
    </xf>
    <xf numFmtId="0" fontId="139" fillId="0" borderId="0" xfId="0" applyFont="1"/>
    <xf numFmtId="0" fontId="139" fillId="0" borderId="313" xfId="0" applyFont="1" applyBorder="1" applyAlignment="1">
      <alignment horizontal="center"/>
    </xf>
    <xf numFmtId="0" fontId="139" fillId="0" borderId="314" xfId="0" applyFont="1" applyBorder="1" applyAlignment="1">
      <alignment horizontal="center"/>
    </xf>
    <xf numFmtId="0" fontId="139" fillId="0" borderId="315" xfId="0" applyFont="1" applyBorder="1" applyAlignment="1">
      <alignment horizontal="center"/>
    </xf>
    <xf numFmtId="0" fontId="139" fillId="0" borderId="316" xfId="0" applyFont="1" applyBorder="1" applyAlignment="1">
      <alignment horizontal="center"/>
    </xf>
    <xf numFmtId="0" fontId="139" fillId="0" borderId="0" xfId="0" applyFont="1" applyProtection="1"/>
    <xf numFmtId="0" fontId="19" fillId="0" borderId="47" xfId="0" applyFont="1" applyBorder="1" applyAlignment="1">
      <alignment vertical="center" wrapText="1"/>
    </xf>
    <xf numFmtId="0" fontId="115" fillId="0" borderId="6" xfId="6" applyFont="1" applyBorder="1" applyAlignment="1" applyProtection="1">
      <alignment horizontal="center" vertical="center"/>
    </xf>
    <xf numFmtId="0" fontId="10" fillId="3" borderId="341" xfId="22" applyFont="1" applyFill="1" applyBorder="1" applyAlignment="1">
      <alignment horizontal="center" vertical="center"/>
    </xf>
    <xf numFmtId="0" fontId="10" fillId="3" borderId="4" xfId="22" applyFont="1" applyFill="1" applyBorder="1" applyAlignment="1">
      <alignment horizontal="center" vertical="center"/>
    </xf>
    <xf numFmtId="0" fontId="10" fillId="3" borderId="16" xfId="22" applyFont="1" applyFill="1" applyBorder="1" applyAlignment="1">
      <alignment horizontal="center" vertical="center"/>
    </xf>
    <xf numFmtId="0" fontId="143" fillId="0" borderId="0" xfId="0" applyFont="1"/>
    <xf numFmtId="165" fontId="19" fillId="7" borderId="359" xfId="19" applyNumberFormat="1" applyFont="1" applyFill="1" applyBorder="1" applyAlignment="1" applyProtection="1">
      <alignment vertical="center"/>
      <protection locked="0"/>
    </xf>
    <xf numFmtId="0" fontId="10" fillId="3" borderId="360" xfId="6" applyFont="1" applyFill="1" applyBorder="1" applyAlignment="1" applyProtection="1">
      <alignment horizontal="center" vertical="center" wrapText="1"/>
    </xf>
    <xf numFmtId="0" fontId="23" fillId="0" borderId="305" xfId="0" applyFont="1" applyBorder="1" applyAlignment="1" applyProtection="1">
      <alignment horizontal="center" vertical="center"/>
    </xf>
    <xf numFmtId="0" fontId="19" fillId="0" borderId="314" xfId="0" applyFont="1" applyBorder="1" applyAlignment="1" applyProtection="1">
      <alignment horizontal="center"/>
    </xf>
    <xf numFmtId="0" fontId="25" fillId="0" borderId="314" xfId="0" applyFont="1" applyBorder="1" applyAlignment="1" applyProtection="1">
      <alignment horizontal="center" vertical="center"/>
    </xf>
    <xf numFmtId="0" fontId="25" fillId="0" borderId="306" xfId="0" applyFont="1" applyBorder="1" applyAlignment="1" applyProtection="1">
      <alignment horizontal="center" vertical="center"/>
    </xf>
    <xf numFmtId="165" fontId="19" fillId="0" borderId="246" xfId="19" applyNumberFormat="1" applyFont="1" applyFill="1" applyBorder="1" applyAlignment="1" applyProtection="1">
      <alignment vertical="center"/>
    </xf>
    <xf numFmtId="165" fontId="19" fillId="0" borderId="247" xfId="19" applyNumberFormat="1" applyFont="1" applyFill="1" applyBorder="1" applyAlignment="1" applyProtection="1">
      <alignment vertical="center"/>
    </xf>
    <xf numFmtId="165" fontId="19" fillId="0" borderId="248" xfId="19" applyNumberFormat="1" applyFont="1" applyFill="1" applyBorder="1" applyAlignment="1" applyProtection="1">
      <alignment vertical="center"/>
    </xf>
    <xf numFmtId="1" fontId="19" fillId="0" borderId="250" xfId="19" applyNumberFormat="1" applyFont="1" applyFill="1" applyBorder="1" applyAlignment="1" applyProtection="1">
      <alignment vertical="center" wrapText="1"/>
    </xf>
    <xf numFmtId="0" fontId="75" fillId="0" borderId="0" xfId="22" applyFont="1" applyAlignment="1" applyProtection="1">
      <alignment horizontal="left" vertical="top"/>
    </xf>
    <xf numFmtId="0" fontId="0" fillId="3" borderId="0" xfId="0" applyFill="1" applyProtection="1"/>
    <xf numFmtId="0" fontId="17" fillId="0" borderId="306" xfId="0" applyFont="1" applyBorder="1" applyAlignment="1" applyProtection="1">
      <alignment horizontal="center" vertical="center"/>
    </xf>
    <xf numFmtId="0" fontId="26" fillId="0" borderId="305" xfId="0" applyFont="1" applyBorder="1" applyAlignment="1" applyProtection="1">
      <alignment horizontal="center" vertical="center"/>
    </xf>
    <xf numFmtId="0" fontId="8" fillId="0" borderId="314" xfId="0" applyFont="1" applyBorder="1" applyAlignment="1" applyProtection="1">
      <alignment horizontal="center"/>
    </xf>
    <xf numFmtId="0" fontId="17" fillId="0" borderId="314" xfId="0" applyFont="1" applyBorder="1" applyAlignment="1" applyProtection="1">
      <alignment horizontal="center" vertical="center"/>
    </xf>
    <xf numFmtId="1" fontId="19" fillId="0" borderId="243" xfId="19" applyNumberFormat="1" applyFont="1" applyFill="1" applyBorder="1" applyAlignment="1" applyProtection="1">
      <alignment vertical="center" wrapText="1"/>
    </xf>
    <xf numFmtId="0" fontId="139" fillId="0" borderId="314" xfId="0" applyFont="1" applyBorder="1" applyAlignment="1" applyProtection="1">
      <alignment horizontal="center"/>
    </xf>
    <xf numFmtId="0" fontId="8" fillId="0" borderId="0" xfId="0" applyFont="1" applyFill="1" applyAlignment="1" applyProtection="1">
      <alignment wrapText="1"/>
    </xf>
    <xf numFmtId="165" fontId="19" fillId="28" borderId="8" xfId="11" applyNumberFormat="1" applyFont="1" applyFill="1" applyBorder="1" applyAlignment="1" applyProtection="1">
      <alignment vertical="center"/>
    </xf>
    <xf numFmtId="165" fontId="19" fillId="28" borderId="11" xfId="11" applyNumberFormat="1" applyFont="1" applyFill="1" applyBorder="1" applyAlignment="1" applyProtection="1">
      <alignment vertical="center"/>
    </xf>
    <xf numFmtId="165" fontId="19" fillId="28" borderId="32" xfId="11" applyNumberFormat="1" applyFont="1" applyFill="1" applyBorder="1" applyAlignment="1" applyProtection="1">
      <alignment vertical="center"/>
    </xf>
    <xf numFmtId="10" fontId="26" fillId="4" borderId="26" xfId="6" applyNumberFormat="1" applyFont="1" applyFill="1" applyBorder="1" applyAlignment="1" applyProtection="1">
      <alignment vertical="center"/>
      <protection locked="0"/>
    </xf>
    <xf numFmtId="10" fontId="26" fillId="4" borderId="8"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0" fillId="0" borderId="0" xfId="0" applyNumberFormat="1" applyBorder="1"/>
    <xf numFmtId="165" fontId="23" fillId="4" borderId="24" xfId="6" applyNumberFormat="1" applyFont="1" applyFill="1" applyBorder="1" applyAlignment="1" applyProtection="1">
      <alignment vertical="center"/>
    </xf>
    <xf numFmtId="165" fontId="23" fillId="4" borderId="5"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1"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3" xfId="6" applyNumberFormat="1" applyFont="1" applyFill="1" applyBorder="1" applyAlignment="1" applyProtection="1">
      <alignment vertical="center"/>
    </xf>
    <xf numFmtId="165" fontId="26" fillId="4" borderId="28" xfId="6" applyNumberFormat="1" applyFont="1" applyFill="1" applyBorder="1" applyAlignment="1" applyProtection="1">
      <alignment vertical="center"/>
    </xf>
    <xf numFmtId="165" fontId="26" fillId="4" borderId="6" xfId="6" applyNumberFormat="1" applyFont="1" applyFill="1" applyBorder="1" applyAlignment="1" applyProtection="1">
      <alignment vertical="center"/>
    </xf>
    <xf numFmtId="165" fontId="26" fillId="4" borderId="29" xfId="6" applyNumberFormat="1" applyFont="1" applyFill="1" applyBorder="1" applyAlignment="1" applyProtection="1">
      <alignment vertical="center"/>
    </xf>
    <xf numFmtId="165" fontId="26" fillId="4" borderId="9" xfId="6" applyNumberFormat="1" applyFont="1" applyFill="1" applyBorder="1" applyAlignment="1" applyProtection="1">
      <alignment vertical="center"/>
    </xf>
    <xf numFmtId="165" fontId="26" fillId="4" borderId="109"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65" fontId="26" fillId="4" borderId="47" xfId="6" applyNumberFormat="1" applyFont="1" applyFill="1" applyBorder="1" applyAlignment="1" applyProtection="1">
      <alignment vertical="center"/>
    </xf>
    <xf numFmtId="10" fontId="23" fillId="4" borderId="30" xfId="6" applyNumberFormat="1" applyFont="1" applyFill="1" applyBorder="1" applyAlignment="1" applyProtection="1">
      <alignment vertical="center"/>
    </xf>
    <xf numFmtId="165" fontId="23" fillId="4" borderId="11"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6"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1" xfId="6" applyNumberFormat="1" applyFont="1" applyFill="1" applyBorder="1" applyAlignment="1" applyProtection="1">
      <alignment vertical="center"/>
    </xf>
    <xf numFmtId="10" fontId="23" fillId="4" borderId="12" xfId="6" applyNumberFormat="1" applyFont="1" applyFill="1" applyBorder="1" applyAlignment="1" applyProtection="1">
      <alignment vertical="center"/>
    </xf>
    <xf numFmtId="10" fontId="23" fillId="4" borderId="13" xfId="6" applyNumberFormat="1" applyFont="1" applyFill="1" applyBorder="1" applyAlignment="1" applyProtection="1">
      <alignment vertical="center"/>
    </xf>
    <xf numFmtId="2" fontId="23" fillId="4" borderId="2" xfId="6" applyNumberFormat="1" applyFont="1" applyFill="1" applyBorder="1" applyAlignment="1" applyProtection="1">
      <alignment vertical="center"/>
    </xf>
    <xf numFmtId="2" fontId="23" fillId="4" borderId="3" xfId="6" applyNumberFormat="1" applyFont="1" applyFill="1" applyBorder="1" applyAlignment="1" applyProtection="1">
      <alignment vertical="center"/>
    </xf>
    <xf numFmtId="2" fontId="23" fillId="4" borderId="4" xfId="6" applyNumberFormat="1" applyFont="1" applyFill="1" applyBorder="1" applyAlignment="1" applyProtection="1">
      <alignment vertical="center"/>
    </xf>
    <xf numFmtId="165" fontId="26" fillId="4" borderId="37" xfId="10" applyNumberFormat="1" applyFont="1" applyFill="1" applyBorder="1" applyAlignment="1" applyProtection="1">
      <alignment vertical="center"/>
    </xf>
    <xf numFmtId="165" fontId="26" fillId="4" borderId="7" xfId="10" applyNumberFormat="1" applyFont="1" applyFill="1" applyBorder="1" applyAlignment="1" applyProtection="1">
      <alignment vertical="center"/>
    </xf>
    <xf numFmtId="165" fontId="26" fillId="4" borderId="31" xfId="10" applyNumberFormat="1" applyFont="1" applyFill="1" applyBorder="1" applyAlignment="1" applyProtection="1">
      <alignment vertical="center"/>
    </xf>
    <xf numFmtId="165" fontId="26" fillId="4" borderId="39" xfId="10" applyNumberFormat="1" applyFont="1" applyFill="1" applyBorder="1" applyAlignment="1" applyProtection="1">
      <alignment vertical="center"/>
    </xf>
    <xf numFmtId="165" fontId="26" fillId="4" borderId="10" xfId="10" applyNumberFormat="1" applyFont="1" applyFill="1" applyBorder="1" applyAlignment="1" applyProtection="1">
      <alignment vertical="center"/>
    </xf>
    <xf numFmtId="165" fontId="26" fillId="4" borderId="32" xfId="10" applyNumberFormat="1" applyFont="1" applyFill="1" applyBorder="1" applyAlignment="1" applyProtection="1">
      <alignment vertical="center"/>
    </xf>
    <xf numFmtId="165" fontId="26" fillId="4" borderId="29" xfId="10" applyNumberFormat="1" applyFont="1" applyFill="1" applyBorder="1" applyAlignment="1" applyProtection="1">
      <alignment vertical="center"/>
    </xf>
    <xf numFmtId="165" fontId="26" fillId="4" borderId="38" xfId="10" applyNumberFormat="1" applyFont="1" applyFill="1" applyBorder="1" applyAlignment="1" applyProtection="1">
      <alignment vertical="center"/>
    </xf>
    <xf numFmtId="165" fontId="26" fillId="4" borderId="125" xfId="2" applyNumberFormat="1" applyFont="1" applyFill="1" applyBorder="1" applyAlignment="1" applyProtection="1">
      <alignment vertical="center"/>
    </xf>
    <xf numFmtId="165" fontId="26" fillId="4" borderId="114" xfId="2" applyNumberFormat="1" applyFont="1" applyFill="1" applyBorder="1" applyAlignment="1" applyProtection="1">
      <alignment vertical="center"/>
    </xf>
    <xf numFmtId="165" fontId="26" fillId="4" borderId="45" xfId="10" applyNumberFormat="1" applyFont="1" applyFill="1" applyBorder="1" applyAlignment="1" applyProtection="1">
      <alignment vertical="center"/>
    </xf>
    <xf numFmtId="165" fontId="26" fillId="4" borderId="13" xfId="10" applyNumberFormat="1" applyFont="1" applyFill="1" applyBorder="1" applyAlignment="1" applyProtection="1">
      <alignment vertical="center"/>
    </xf>
    <xf numFmtId="165" fontId="26" fillId="4" borderId="11" xfId="2" applyNumberFormat="1" applyFont="1" applyFill="1" applyBorder="1" applyAlignment="1" applyProtection="1">
      <alignment vertical="center"/>
    </xf>
    <xf numFmtId="165" fontId="26" fillId="4" borderId="27" xfId="2" applyNumberFormat="1" applyFont="1" applyFill="1" applyBorder="1" applyAlignment="1" applyProtection="1">
      <alignment vertical="center"/>
    </xf>
    <xf numFmtId="165" fontId="26" fillId="4" borderId="54" xfId="10" applyNumberFormat="1" applyFont="1" applyFill="1" applyBorder="1" applyAlignment="1" applyProtection="1">
      <alignment vertical="center"/>
    </xf>
    <xf numFmtId="165" fontId="26" fillId="4" borderId="5" xfId="2" applyNumberFormat="1" applyFont="1" applyFill="1" applyBorder="1" applyAlignment="1" applyProtection="1">
      <alignment vertical="center"/>
    </xf>
    <xf numFmtId="165" fontId="26" fillId="4" borderId="41" xfId="10" applyNumberFormat="1" applyFont="1" applyFill="1" applyBorder="1" applyAlignment="1" applyProtection="1">
      <alignment vertical="center"/>
    </xf>
    <xf numFmtId="165" fontId="26" fillId="4" borderId="57" xfId="10" applyNumberFormat="1" applyFont="1" applyFill="1" applyBorder="1" applyAlignment="1" applyProtection="1">
      <alignment vertical="center"/>
    </xf>
    <xf numFmtId="165" fontId="26" fillId="4" borderId="1" xfId="10" applyNumberFormat="1" applyFont="1" applyFill="1" applyBorder="1" applyAlignment="1" applyProtection="1">
      <alignment vertical="center"/>
    </xf>
    <xf numFmtId="165" fontId="26" fillId="4" borderId="26" xfId="10" applyNumberFormat="1" applyFont="1" applyFill="1" applyBorder="1" applyAlignment="1" applyProtection="1">
      <alignment vertical="center"/>
    </xf>
    <xf numFmtId="165" fontId="26" fillId="4" borderId="2" xfId="10" applyNumberFormat="1" applyFont="1" applyFill="1" applyBorder="1" applyAlignment="1" applyProtection="1">
      <alignment vertical="center"/>
    </xf>
    <xf numFmtId="165" fontId="26" fillId="4" borderId="4" xfId="10"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6" fillId="4" borderId="43" xfId="6" applyNumberFormat="1" applyFont="1" applyFill="1" applyBorder="1" applyAlignment="1" applyProtection="1">
      <alignment vertical="center"/>
    </xf>
    <xf numFmtId="165" fontId="26" fillId="4" borderId="42" xfId="6" applyNumberFormat="1" applyFont="1" applyFill="1" applyBorder="1" applyAlignment="1" applyProtection="1">
      <alignment vertical="center"/>
    </xf>
    <xf numFmtId="165" fontId="26" fillId="4" borderId="44" xfId="6" applyNumberFormat="1" applyFont="1" applyFill="1" applyBorder="1" applyAlignment="1" applyProtection="1">
      <alignment vertical="center"/>
    </xf>
    <xf numFmtId="165" fontId="26" fillId="4" borderId="126" xfId="6" applyNumberFormat="1" applyFont="1" applyFill="1" applyBorder="1" applyAlignment="1" applyProtection="1">
      <alignment vertical="center"/>
    </xf>
    <xf numFmtId="165" fontId="26" fillId="4" borderId="117" xfId="6" applyNumberFormat="1" applyFont="1" applyFill="1" applyBorder="1" applyAlignment="1" applyProtection="1">
      <alignment vertical="center"/>
    </xf>
    <xf numFmtId="165" fontId="26" fillId="4" borderId="118" xfId="6" applyNumberFormat="1" applyFont="1" applyFill="1" applyBorder="1" applyAlignment="1" applyProtection="1">
      <alignment vertical="center"/>
    </xf>
    <xf numFmtId="165" fontId="26" fillId="4" borderId="37" xfId="6" applyNumberFormat="1" applyFont="1" applyFill="1" applyBorder="1" applyAlignment="1" applyProtection="1">
      <alignment vertical="center"/>
    </xf>
    <xf numFmtId="165" fontId="26" fillId="4" borderId="24" xfId="6" applyNumberFormat="1" applyFont="1" applyFill="1" applyBorder="1" applyAlignment="1" applyProtection="1">
      <alignment vertical="center"/>
    </xf>
    <xf numFmtId="165" fontId="26" fillId="4" borderId="36" xfId="6" applyNumberFormat="1" applyFont="1" applyFill="1" applyBorder="1" applyAlignment="1" applyProtection="1">
      <alignment vertical="center"/>
    </xf>
    <xf numFmtId="165" fontId="26" fillId="4" borderId="39" xfId="6" applyNumberFormat="1" applyFont="1" applyFill="1" applyBorder="1" applyAlignment="1" applyProtection="1">
      <alignment vertical="center"/>
    </xf>
    <xf numFmtId="165" fontId="26" fillId="4" borderId="26" xfId="6" applyNumberFormat="1" applyFont="1" applyFill="1" applyBorder="1" applyAlignment="1" applyProtection="1">
      <alignment vertical="center"/>
    </xf>
    <xf numFmtId="165" fontId="26" fillId="4" borderId="38" xfId="6" applyNumberFormat="1" applyFont="1" applyFill="1" applyBorder="1" applyAlignment="1" applyProtection="1">
      <alignment vertical="center"/>
    </xf>
    <xf numFmtId="165" fontId="26" fillId="4" borderId="2" xfId="6" applyNumberFormat="1" applyFont="1" applyFill="1" applyBorder="1" applyAlignment="1" applyProtection="1">
      <alignment vertical="center"/>
    </xf>
    <xf numFmtId="165" fontId="26" fillId="4" borderId="4"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3" fillId="4" borderId="34" xfId="6" applyNumberFormat="1" applyFont="1" applyFill="1" applyBorder="1" applyAlignment="1" applyProtection="1">
      <alignment vertical="center"/>
    </xf>
    <xf numFmtId="165" fontId="26" fillId="4" borderId="2" xfId="11" applyNumberFormat="1" applyFont="1" applyFill="1" applyBorder="1" applyAlignment="1" applyProtection="1">
      <alignment vertical="center"/>
    </xf>
    <xf numFmtId="165" fontId="26" fillId="4" borderId="3" xfId="11" applyNumberFormat="1" applyFont="1" applyFill="1" applyBorder="1" applyAlignment="1" applyProtection="1">
      <alignment vertical="center"/>
    </xf>
    <xf numFmtId="165" fontId="26" fillId="4" borderId="1" xfId="11" applyNumberFormat="1" applyFont="1" applyFill="1" applyBorder="1" applyAlignment="1" applyProtection="1">
      <alignment vertical="center"/>
    </xf>
    <xf numFmtId="165" fontId="26" fillId="4" borderId="5" xfId="11" applyNumberFormat="1" applyFont="1" applyFill="1" applyBorder="1" applyAlignment="1" applyProtection="1">
      <alignment vertical="center"/>
    </xf>
    <xf numFmtId="165" fontId="26" fillId="4" borderId="6" xfId="11" applyNumberFormat="1" applyFont="1" applyFill="1" applyBorder="1" applyAlignment="1" applyProtection="1">
      <alignment vertical="center"/>
    </xf>
    <xf numFmtId="165" fontId="26" fillId="4" borderId="31" xfId="11" applyNumberFormat="1" applyFont="1" applyFill="1" applyBorder="1" applyAlignment="1" applyProtection="1">
      <alignment vertical="center"/>
    </xf>
    <xf numFmtId="165" fontId="26" fillId="4" borderId="8" xfId="11" applyNumberFormat="1" applyFont="1" applyFill="1" applyBorder="1" applyAlignment="1" applyProtection="1">
      <alignment vertical="center"/>
    </xf>
    <xf numFmtId="165" fontId="26" fillId="4" borderId="9" xfId="11" applyNumberFormat="1" applyFont="1" applyFill="1" applyBorder="1" applyAlignment="1" applyProtection="1">
      <alignment vertical="center"/>
    </xf>
    <xf numFmtId="165" fontId="26" fillId="4" borderId="32" xfId="11" applyNumberFormat="1" applyFont="1" applyFill="1" applyBorder="1" applyAlignment="1" applyProtection="1">
      <alignment vertical="center"/>
    </xf>
    <xf numFmtId="165" fontId="26" fillId="4" borderId="43" xfId="11" applyNumberFormat="1" applyFont="1" applyFill="1" applyBorder="1" applyAlignment="1" applyProtection="1">
      <alignment vertical="center"/>
    </xf>
    <xf numFmtId="165" fontId="26" fillId="4" borderId="44" xfId="11" applyNumberFormat="1" applyFont="1" applyFill="1" applyBorder="1" applyAlignment="1" applyProtection="1">
      <alignment vertical="center"/>
    </xf>
    <xf numFmtId="165" fontId="26" fillId="4" borderId="5" xfId="9" applyNumberFormat="1" applyFont="1" applyFill="1" applyBorder="1" applyAlignment="1" applyProtection="1">
      <alignment vertical="center"/>
    </xf>
    <xf numFmtId="165" fontId="26" fillId="4" borderId="6" xfId="9" applyNumberFormat="1" applyFont="1" applyFill="1" applyBorder="1" applyAlignment="1" applyProtection="1">
      <alignment vertical="center"/>
    </xf>
    <xf numFmtId="165" fontId="26" fillId="4" borderId="9" xfId="9" applyNumberFormat="1" applyFont="1" applyFill="1" applyBorder="1" applyAlignment="1" applyProtection="1">
      <alignment vertical="center"/>
    </xf>
    <xf numFmtId="165" fontId="26" fillId="4" borderId="32" xfId="9" applyNumberFormat="1" applyFont="1" applyFill="1" applyBorder="1" applyAlignment="1" applyProtection="1">
      <alignment vertical="center"/>
    </xf>
    <xf numFmtId="165" fontId="26" fillId="4" borderId="30" xfId="9" applyNumberFormat="1" applyFont="1" applyFill="1" applyBorder="1" applyAlignment="1" applyProtection="1">
      <alignment vertical="center"/>
    </xf>
    <xf numFmtId="165" fontId="26" fillId="4" borderId="1" xfId="9" applyNumberFormat="1" applyFont="1" applyFill="1" applyBorder="1" applyAlignment="1" applyProtection="1">
      <alignment vertical="center"/>
    </xf>
    <xf numFmtId="165" fontId="26" fillId="4" borderId="47" xfId="9" applyNumberFormat="1" applyFont="1" applyFill="1" applyBorder="1" applyAlignment="1" applyProtection="1">
      <alignment vertical="center"/>
    </xf>
    <xf numFmtId="165" fontId="26" fillId="4" borderId="43" xfId="9" applyNumberFormat="1" applyFont="1" applyFill="1" applyBorder="1" applyAlignment="1" applyProtection="1">
      <alignment vertical="center"/>
    </xf>
    <xf numFmtId="165" fontId="26" fillId="4" borderId="7" xfId="9" applyNumberFormat="1" applyFont="1" applyFill="1" applyBorder="1" applyAlignment="1" applyProtection="1">
      <alignment vertical="center"/>
    </xf>
    <xf numFmtId="165" fontId="26" fillId="4" borderId="62" xfId="9" applyNumberFormat="1" applyFont="1" applyFill="1" applyBorder="1" applyAlignment="1" applyProtection="1">
      <alignment vertical="center"/>
    </xf>
    <xf numFmtId="0" fontId="26" fillId="4" borderId="6" xfId="9" applyFont="1" applyFill="1" applyBorder="1" applyProtection="1"/>
    <xf numFmtId="169" fontId="26" fillId="4" borderId="6" xfId="11" applyNumberFormat="1" applyFont="1" applyFill="1" applyBorder="1" applyAlignment="1" applyProtection="1">
      <alignment horizontal="right" vertical="center"/>
    </xf>
    <xf numFmtId="0" fontId="26" fillId="4" borderId="7" xfId="11" applyNumberFormat="1" applyFont="1" applyFill="1" applyBorder="1" applyAlignment="1" applyProtection="1">
      <alignment horizontal="right" vertical="center"/>
    </xf>
    <xf numFmtId="169" fontId="26" fillId="4" borderId="9" xfId="11" applyNumberFormat="1" applyFont="1" applyFill="1" applyBorder="1" applyAlignment="1" applyProtection="1">
      <alignment horizontal="right" vertical="center"/>
    </xf>
    <xf numFmtId="0" fontId="26" fillId="4" borderId="10" xfId="11" applyNumberFormat="1" applyFont="1" applyFill="1" applyBorder="1" applyAlignment="1" applyProtection="1">
      <alignment horizontal="right" vertical="center"/>
    </xf>
    <xf numFmtId="0" fontId="23" fillId="0" borderId="2" xfId="0" applyFont="1" applyBorder="1" applyAlignment="1" applyProtection="1">
      <alignment horizontal="center"/>
    </xf>
    <xf numFmtId="0" fontId="23" fillId="0" borderId="3" xfId="0" applyFont="1" applyBorder="1" applyAlignment="1" applyProtection="1">
      <alignment horizontal="left"/>
    </xf>
    <xf numFmtId="0" fontId="23" fillId="0" borderId="3" xfId="0" applyFont="1" applyBorder="1" applyAlignment="1" applyProtection="1">
      <alignment horizontal="center"/>
    </xf>
    <xf numFmtId="0" fontId="12" fillId="0" borderId="6" xfId="0" applyFont="1" applyBorder="1" applyProtection="1"/>
    <xf numFmtId="0" fontId="25" fillId="0" borderId="6" xfId="0" applyFont="1" applyBorder="1" applyAlignment="1" applyProtection="1">
      <alignment horizontal="center"/>
    </xf>
    <xf numFmtId="0" fontId="25" fillId="0" borderId="6" xfId="0" applyFont="1" applyBorder="1" applyAlignment="1" applyProtection="1">
      <alignment horizontal="center" vertical="center"/>
    </xf>
    <xf numFmtId="2" fontId="26" fillId="4" borderId="7" xfId="9" applyNumberFormat="1" applyFont="1" applyFill="1" applyBorder="1" applyAlignment="1" applyProtection="1">
      <alignment horizontal="right"/>
    </xf>
    <xf numFmtId="0" fontId="12" fillId="0" borderId="9" xfId="0" applyFont="1" applyBorder="1" applyProtection="1"/>
    <xf numFmtId="0" fontId="25" fillId="0" borderId="9" xfId="0" applyFont="1" applyBorder="1" applyAlignment="1" applyProtection="1">
      <alignment horizontal="center"/>
    </xf>
    <xf numFmtId="0" fontId="25" fillId="0" borderId="9" xfId="0" applyFont="1" applyBorder="1" applyAlignment="1" applyProtection="1">
      <alignment horizontal="center" vertical="center"/>
    </xf>
    <xf numFmtId="2" fontId="26" fillId="4" borderId="10" xfId="9" applyNumberFormat="1" applyFont="1" applyFill="1" applyBorder="1" applyAlignment="1" applyProtection="1">
      <alignment horizontal="right"/>
    </xf>
    <xf numFmtId="0" fontId="12" fillId="0" borderId="12" xfId="0" applyFont="1" applyBorder="1" applyProtection="1"/>
    <xf numFmtId="0" fontId="25" fillId="0" borderId="12" xfId="0" applyFont="1" applyBorder="1" applyAlignment="1" applyProtection="1">
      <alignment horizontal="center"/>
    </xf>
    <xf numFmtId="0" fontId="25" fillId="0" borderId="12" xfId="0" applyFont="1" applyBorder="1" applyAlignment="1" applyProtection="1">
      <alignment horizontal="center" vertical="center"/>
    </xf>
    <xf numFmtId="2" fontId="26" fillId="4" borderId="13" xfId="9" applyNumberFormat="1" applyFont="1" applyFill="1" applyBorder="1" applyAlignment="1" applyProtection="1">
      <alignment horizontal="right"/>
    </xf>
    <xf numFmtId="0" fontId="12" fillId="0" borderId="5" xfId="0" applyFont="1" applyBorder="1" applyProtection="1"/>
    <xf numFmtId="0" fontId="12" fillId="0" borderId="11" xfId="0" applyFont="1" applyBorder="1" applyProtection="1"/>
    <xf numFmtId="0" fontId="12" fillId="0" borderId="3" xfId="0" applyFont="1" applyBorder="1" applyProtection="1"/>
    <xf numFmtId="0" fontId="25" fillId="0" borderId="3" xfId="0" applyFont="1" applyBorder="1" applyAlignment="1" applyProtection="1">
      <alignment horizontal="center"/>
    </xf>
    <xf numFmtId="0" fontId="25" fillId="0" borderId="3" xfId="0" applyFont="1" applyBorder="1" applyAlignment="1" applyProtection="1">
      <alignment horizontal="center" vertical="center"/>
    </xf>
    <xf numFmtId="165" fontId="19" fillId="4" borderId="5" xfId="9" applyNumberFormat="1" applyFont="1" applyFill="1" applyBorder="1" applyProtection="1"/>
    <xf numFmtId="165" fontId="19" fillId="4" borderId="7" xfId="9" applyNumberFormat="1" applyFont="1" applyFill="1" applyBorder="1" applyProtection="1"/>
    <xf numFmtId="2" fontId="19" fillId="4" borderId="11" xfId="9" applyNumberFormat="1" applyFont="1" applyFill="1" applyBorder="1" applyProtection="1"/>
    <xf numFmtId="2" fontId="19" fillId="4" borderId="13" xfId="9" applyNumberFormat="1" applyFont="1" applyFill="1" applyBorder="1" applyProtection="1"/>
    <xf numFmtId="167" fontId="19" fillId="4" borderId="5" xfId="9" applyNumberFormat="1" applyFont="1" applyFill="1" applyBorder="1" applyProtection="1"/>
    <xf numFmtId="167" fontId="19" fillId="4" borderId="7" xfId="9" applyNumberFormat="1" applyFont="1" applyFill="1" applyBorder="1" applyProtection="1"/>
    <xf numFmtId="167" fontId="19" fillId="4" borderId="43" xfId="9" applyNumberFormat="1" applyFont="1" applyFill="1" applyBorder="1" applyProtection="1"/>
    <xf numFmtId="167" fontId="19" fillId="4" borderId="13" xfId="9" applyNumberFormat="1" applyFont="1" applyFill="1" applyBorder="1" applyProtection="1"/>
    <xf numFmtId="167" fontId="19" fillId="4" borderId="30" xfId="9" applyNumberFormat="1" applyFont="1" applyFill="1" applyBorder="1" applyProtection="1"/>
    <xf numFmtId="165" fontId="26" fillId="4" borderId="4" xfId="9" applyNumberFormat="1" applyFont="1" applyFill="1" applyBorder="1" applyAlignment="1" applyProtection="1">
      <alignment vertical="center"/>
    </xf>
    <xf numFmtId="165" fontId="26" fillId="4" borderId="28" xfId="9" applyNumberFormat="1" applyFont="1" applyFill="1" applyBorder="1" applyAlignment="1" applyProtection="1">
      <alignment vertical="center"/>
    </xf>
    <xf numFmtId="165" fontId="26" fillId="4" borderId="29" xfId="9" applyNumberFormat="1" applyFont="1" applyFill="1" applyBorder="1" applyAlignment="1" applyProtection="1">
      <alignment vertical="center"/>
    </xf>
    <xf numFmtId="165" fontId="26" fillId="4" borderId="34" xfId="9" applyNumberFormat="1" applyFont="1" applyFill="1" applyBorder="1" applyAlignment="1" applyProtection="1">
      <alignment vertical="center"/>
    </xf>
    <xf numFmtId="167" fontId="26" fillId="4" borderId="11" xfId="9" applyNumberFormat="1" applyFont="1" applyFill="1" applyBorder="1" applyAlignment="1" applyProtection="1">
      <alignment vertical="center"/>
    </xf>
    <xf numFmtId="167" fontId="26" fillId="4" borderId="13" xfId="9" applyNumberFormat="1" applyFont="1" applyFill="1" applyBorder="1" applyAlignment="1" applyProtection="1">
      <alignment vertical="center"/>
    </xf>
    <xf numFmtId="167" fontId="26" fillId="4" borderId="45" xfId="9" applyNumberFormat="1" applyFont="1" applyFill="1" applyBorder="1" applyAlignment="1" applyProtection="1">
      <alignment vertical="center"/>
    </xf>
    <xf numFmtId="165" fontId="26" fillId="4" borderId="16" xfId="9" applyNumberFormat="1" applyFont="1" applyFill="1" applyBorder="1" applyAlignment="1" applyProtection="1">
      <alignment vertical="center"/>
    </xf>
    <xf numFmtId="165" fontId="26" fillId="4" borderId="109" xfId="9" applyNumberFormat="1" applyFont="1" applyFill="1" applyBorder="1" applyAlignment="1" applyProtection="1">
      <alignment vertical="center"/>
    </xf>
    <xf numFmtId="165" fontId="26" fillId="4" borderId="126" xfId="9"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6" fillId="4" borderId="10" xfId="6" applyNumberFormat="1" applyFont="1" applyFill="1" applyBorder="1" applyAlignment="1" applyProtection="1">
      <alignment vertical="center"/>
    </xf>
    <xf numFmtId="165" fontId="26" fillId="4" borderId="7" xfId="6" applyNumberFormat="1" applyFont="1" applyFill="1" applyBorder="1" applyAlignment="1" applyProtection="1">
      <alignment vertical="center"/>
    </xf>
    <xf numFmtId="165" fontId="23" fillId="4" borderId="61"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65" fontId="23" fillId="4" borderId="41" xfId="6" applyNumberFormat="1" applyFont="1" applyFill="1" applyBorder="1" applyAlignment="1" applyProtection="1">
      <alignment vertical="center"/>
    </xf>
    <xf numFmtId="165" fontId="23" fillId="4" borderId="130" xfId="6" applyNumberFormat="1" applyFont="1" applyFill="1" applyBorder="1" applyAlignment="1" applyProtection="1">
      <alignment vertical="center"/>
    </xf>
    <xf numFmtId="165" fontId="23" fillId="4" borderId="20" xfId="6" applyNumberFormat="1" applyFont="1" applyFill="1" applyBorder="1" applyAlignment="1" applyProtection="1">
      <alignment vertical="center"/>
    </xf>
    <xf numFmtId="165" fontId="23" fillId="4" borderId="21" xfId="6" applyNumberFormat="1" applyFont="1" applyFill="1" applyBorder="1" applyAlignment="1" applyProtection="1">
      <alignment vertical="center"/>
    </xf>
    <xf numFmtId="165" fontId="23" fillId="4" borderId="19" xfId="6" applyNumberFormat="1" applyFont="1" applyFill="1" applyBorder="1" applyAlignment="1" applyProtection="1">
      <alignment vertical="center"/>
    </xf>
    <xf numFmtId="165" fontId="23" fillId="4" borderId="66" xfId="6" applyNumberFormat="1" applyFont="1" applyFill="1" applyBorder="1" applyAlignment="1" applyProtection="1">
      <alignment vertical="center"/>
    </xf>
    <xf numFmtId="165" fontId="23" fillId="4" borderId="65" xfId="6" applyNumberFormat="1" applyFont="1" applyFill="1" applyBorder="1" applyAlignment="1" applyProtection="1">
      <alignment vertical="center"/>
    </xf>
    <xf numFmtId="165" fontId="23" fillId="4" borderId="67"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72" xfId="6" applyNumberFormat="1" applyFont="1" applyFill="1" applyBorder="1" applyAlignment="1" applyProtection="1">
      <alignment vertical="center"/>
    </xf>
    <xf numFmtId="165" fontId="23" fillId="4" borderId="71"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6" fillId="4" borderId="134" xfId="6" applyNumberFormat="1" applyFont="1" applyFill="1" applyBorder="1" applyAlignment="1" applyProtection="1">
      <alignment vertical="center"/>
    </xf>
    <xf numFmtId="165" fontId="26" fillId="4" borderId="135" xfId="6" applyNumberFormat="1" applyFont="1" applyFill="1" applyBorder="1" applyAlignment="1" applyProtection="1">
      <alignment vertical="center"/>
    </xf>
    <xf numFmtId="165" fontId="26" fillId="4" borderId="136" xfId="6" applyNumberFormat="1" applyFont="1" applyFill="1" applyBorder="1" applyAlignment="1" applyProtection="1">
      <alignment vertical="center"/>
    </xf>
    <xf numFmtId="165" fontId="26" fillId="4" borderId="84" xfId="6" applyNumberFormat="1" applyFont="1" applyFill="1" applyBorder="1" applyAlignment="1" applyProtection="1">
      <alignment vertical="center"/>
    </xf>
    <xf numFmtId="165" fontId="26" fillId="4" borderId="140" xfId="6" applyNumberFormat="1" applyFont="1" applyFill="1" applyBorder="1" applyAlignment="1" applyProtection="1">
      <alignment vertical="center"/>
    </xf>
    <xf numFmtId="165" fontId="26" fillId="4" borderId="123" xfId="6" applyNumberFormat="1" applyFont="1" applyFill="1" applyBorder="1" applyAlignment="1" applyProtection="1">
      <alignment vertical="center"/>
    </xf>
    <xf numFmtId="165" fontId="26" fillId="4" borderId="92" xfId="6" applyNumberFormat="1" applyFont="1" applyFill="1" applyBorder="1" applyAlignment="1" applyProtection="1">
      <alignment vertical="center"/>
    </xf>
    <xf numFmtId="165" fontId="26" fillId="4" borderId="93" xfId="6" applyNumberFormat="1" applyFont="1" applyFill="1" applyBorder="1" applyAlignment="1" applyProtection="1">
      <alignment vertical="center"/>
    </xf>
    <xf numFmtId="165" fontId="26" fillId="4" borderId="94" xfId="6" applyNumberFormat="1" applyFont="1" applyFill="1" applyBorder="1" applyAlignment="1" applyProtection="1">
      <alignment vertical="center"/>
    </xf>
    <xf numFmtId="165" fontId="26" fillId="4" borderId="98" xfId="6" applyNumberFormat="1" applyFont="1" applyFill="1" applyBorder="1" applyAlignment="1" applyProtection="1">
      <alignment vertical="center"/>
    </xf>
    <xf numFmtId="165" fontId="26" fillId="4" borderId="99" xfId="6" applyNumberFormat="1" applyFont="1" applyFill="1" applyBorder="1" applyAlignment="1" applyProtection="1">
      <alignment vertical="center"/>
    </xf>
    <xf numFmtId="165" fontId="26" fillId="4" borderId="100" xfId="6" applyNumberFormat="1" applyFont="1" applyFill="1" applyBorder="1" applyAlignment="1" applyProtection="1">
      <alignment vertical="center"/>
    </xf>
    <xf numFmtId="165" fontId="26" fillId="4" borderId="141" xfId="6" applyNumberFormat="1" applyFont="1" applyFill="1" applyBorder="1" applyAlignment="1" applyProtection="1">
      <alignment vertical="center"/>
    </xf>
    <xf numFmtId="165" fontId="26" fillId="4" borderId="142" xfId="6" applyNumberFormat="1" applyFont="1" applyFill="1" applyBorder="1" applyAlignment="1" applyProtection="1">
      <alignment vertical="center"/>
    </xf>
    <xf numFmtId="165" fontId="26" fillId="4" borderId="143" xfId="6" applyNumberFormat="1" applyFont="1" applyFill="1" applyBorder="1" applyAlignment="1" applyProtection="1">
      <alignment vertical="center"/>
    </xf>
    <xf numFmtId="165" fontId="23" fillId="4" borderId="69" xfId="6" applyNumberFormat="1" applyFont="1" applyFill="1" applyBorder="1" applyAlignment="1" applyProtection="1">
      <alignment vertical="center"/>
    </xf>
    <xf numFmtId="165" fontId="23" fillId="4" borderId="95"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10" fontId="26" fillId="4" borderId="32" xfId="6" applyNumberFormat="1" applyFont="1" applyFill="1" applyBorder="1" applyAlignment="1" applyProtection="1">
      <alignment vertical="center"/>
    </xf>
    <xf numFmtId="2" fontId="23" fillId="4" borderId="32" xfId="6" applyNumberFormat="1" applyFont="1" applyFill="1" applyBorder="1" applyAlignment="1" applyProtection="1">
      <alignment vertical="center"/>
    </xf>
    <xf numFmtId="10" fontId="26" fillId="4" borderId="5" xfId="6" applyNumberFormat="1" applyFont="1" applyFill="1" applyBorder="1" applyAlignment="1" applyProtection="1">
      <alignment vertical="center"/>
    </xf>
    <xf numFmtId="10" fontId="26" fillId="4" borderId="7" xfId="6" applyNumberFormat="1" applyFont="1" applyFill="1" applyBorder="1" applyAlignment="1" applyProtection="1">
      <alignment vertical="center"/>
    </xf>
    <xf numFmtId="10" fontId="26" fillId="4" borderId="10" xfId="6" applyNumberFormat="1" applyFont="1" applyFill="1" applyBorder="1" applyAlignment="1" applyProtection="1">
      <alignment vertical="center"/>
    </xf>
    <xf numFmtId="10" fontId="26" fillId="4" borderId="42" xfId="6" applyNumberFormat="1" applyFont="1" applyFill="1" applyBorder="1" applyAlignment="1" applyProtection="1">
      <alignment vertical="center"/>
    </xf>
    <xf numFmtId="10" fontId="26" fillId="4" borderId="62" xfId="6" applyNumberFormat="1" applyFont="1" applyFill="1" applyBorder="1" applyAlignment="1" applyProtection="1">
      <alignment vertical="center"/>
    </xf>
    <xf numFmtId="10" fontId="26" fillId="7" borderId="11" xfId="6" applyNumberFormat="1" applyFont="1" applyFill="1" applyBorder="1" applyAlignment="1" applyProtection="1">
      <alignment vertical="center"/>
    </xf>
    <xf numFmtId="10" fontId="26" fillId="7" borderId="13" xfId="6" applyNumberFormat="1" applyFont="1" applyFill="1" applyBorder="1" applyAlignment="1" applyProtection="1">
      <alignment vertical="center"/>
    </xf>
    <xf numFmtId="10" fontId="23" fillId="4" borderId="109" xfId="6" applyNumberFormat="1" applyFont="1" applyFill="1" applyBorder="1" applyAlignment="1" applyProtection="1">
      <alignment vertical="center"/>
    </xf>
    <xf numFmtId="165" fontId="26" fillId="4" borderId="5" xfId="9" applyNumberFormat="1" applyFont="1" applyFill="1" applyBorder="1" applyProtection="1"/>
    <xf numFmtId="165" fontId="26" fillId="4" borderId="6" xfId="9" applyNumberFormat="1" applyFont="1" applyFill="1" applyBorder="1" applyProtection="1"/>
    <xf numFmtId="165" fontId="26" fillId="4" borderId="7" xfId="9" applyNumberFormat="1" applyFont="1" applyFill="1" applyBorder="1" applyProtection="1"/>
    <xf numFmtId="165" fontId="26" fillId="4" borderId="54" xfId="9" applyNumberFormat="1" applyFont="1" applyFill="1" applyBorder="1" applyProtection="1"/>
    <xf numFmtId="10" fontId="26" fillId="4" borderId="5" xfId="2" applyNumberFormat="1" applyFont="1" applyFill="1" applyBorder="1" applyProtection="1"/>
    <xf numFmtId="10" fontId="26" fillId="4" borderId="7" xfId="2" applyNumberFormat="1" applyFont="1" applyFill="1" applyBorder="1" applyProtection="1"/>
    <xf numFmtId="165" fontId="26" fillId="4" borderId="46" xfId="9" applyNumberFormat="1" applyFont="1" applyFill="1" applyBorder="1" applyProtection="1"/>
    <xf numFmtId="165" fontId="26" fillId="4" borderId="47" xfId="9" applyNumberFormat="1" applyFont="1" applyFill="1" applyBorder="1" applyProtection="1"/>
    <xf numFmtId="165" fontId="26" fillId="4" borderId="50" xfId="9" applyNumberFormat="1" applyFont="1" applyFill="1" applyBorder="1" applyProtection="1"/>
    <xf numFmtId="165" fontId="26" fillId="4" borderId="113" xfId="9" applyNumberFormat="1" applyFont="1" applyFill="1" applyBorder="1" applyProtection="1"/>
    <xf numFmtId="10" fontId="26" fillId="4" borderId="46" xfId="2" applyNumberFormat="1" applyFont="1" applyFill="1" applyBorder="1" applyProtection="1"/>
    <xf numFmtId="10" fontId="26" fillId="4" borderId="50" xfId="2" applyNumberFormat="1" applyFont="1" applyFill="1" applyBorder="1" applyProtection="1"/>
    <xf numFmtId="165" fontId="26" fillId="4" borderId="8" xfId="9" applyNumberFormat="1" applyFont="1" applyFill="1" applyBorder="1" applyProtection="1"/>
    <xf numFmtId="165" fontId="26" fillId="4" borderId="9" xfId="9" applyNumberFormat="1" applyFont="1" applyFill="1" applyBorder="1" applyProtection="1"/>
    <xf numFmtId="165" fontId="26" fillId="4" borderId="10" xfId="9" applyNumberFormat="1" applyFont="1" applyFill="1" applyBorder="1" applyProtection="1"/>
    <xf numFmtId="165" fontId="26" fillId="4" borderId="56" xfId="9" applyNumberFormat="1" applyFont="1" applyFill="1" applyBorder="1" applyProtection="1"/>
    <xf numFmtId="10" fontId="26" fillId="4" borderId="8" xfId="2" applyNumberFormat="1" applyFont="1" applyFill="1" applyBorder="1" applyProtection="1"/>
    <xf numFmtId="10" fontId="26" fillId="4" borderId="10" xfId="2" applyNumberFormat="1" applyFont="1" applyFill="1" applyBorder="1" applyProtection="1"/>
    <xf numFmtId="10" fontId="26" fillId="4" borderId="43" xfId="2" applyNumberFormat="1" applyFont="1" applyFill="1" applyBorder="1" applyProtection="1"/>
    <xf numFmtId="10" fontId="26" fillId="4" borderId="62" xfId="2" applyNumberFormat="1" applyFont="1" applyFill="1" applyBorder="1" applyProtection="1"/>
    <xf numFmtId="165" fontId="26" fillId="4" borderId="43" xfId="9" applyNumberFormat="1" applyFont="1" applyFill="1" applyBorder="1" applyProtection="1"/>
    <xf numFmtId="165" fontId="26" fillId="4" borderId="44" xfId="9" applyNumberFormat="1" applyFont="1" applyFill="1" applyBorder="1" applyProtection="1"/>
    <xf numFmtId="165" fontId="26" fillId="4" borderId="62" xfId="9" applyNumberFormat="1" applyFont="1" applyFill="1" applyBorder="1" applyProtection="1"/>
    <xf numFmtId="165" fontId="26" fillId="4" borderId="122" xfId="9" applyNumberFormat="1" applyFont="1" applyFill="1" applyBorder="1" applyProtection="1"/>
    <xf numFmtId="10" fontId="26" fillId="4" borderId="11" xfId="2" applyNumberFormat="1" applyFont="1" applyFill="1" applyBorder="1" applyProtection="1"/>
    <xf numFmtId="10" fontId="26" fillId="4" borderId="13" xfId="2" applyNumberFormat="1" applyFont="1" applyFill="1" applyBorder="1" applyProtection="1"/>
    <xf numFmtId="165" fontId="26" fillId="4" borderId="31" xfId="9" applyNumberFormat="1" applyFont="1" applyFill="1" applyBorder="1" applyProtection="1"/>
    <xf numFmtId="165" fontId="26" fillId="4" borderId="32" xfId="9" applyNumberFormat="1" applyFont="1" applyFill="1" applyBorder="1" applyProtection="1"/>
    <xf numFmtId="165" fontId="26" fillId="4" borderId="28" xfId="9" applyNumberFormat="1" applyFont="1" applyFill="1" applyBorder="1" applyProtection="1"/>
    <xf numFmtId="165" fontId="26" fillId="4" borderId="29" xfId="9" applyNumberFormat="1" applyFont="1" applyFill="1" applyBorder="1" applyProtection="1"/>
    <xf numFmtId="165" fontId="26" fillId="4" borderId="110" xfId="9" applyNumberFormat="1" applyFont="1" applyFill="1" applyBorder="1" applyProtection="1"/>
    <xf numFmtId="165" fontId="26" fillId="4" borderId="2" xfId="9" applyNumberFormat="1" applyFont="1" applyFill="1" applyBorder="1" applyProtection="1"/>
    <xf numFmtId="165" fontId="26" fillId="4" borderId="3" xfId="9" applyNumberFormat="1" applyFont="1" applyFill="1" applyBorder="1" applyProtection="1"/>
    <xf numFmtId="165" fontId="26" fillId="4" borderId="4" xfId="9" applyNumberFormat="1" applyFont="1" applyFill="1" applyBorder="1" applyProtection="1"/>
    <xf numFmtId="165" fontId="26" fillId="4" borderId="34" xfId="9" applyNumberFormat="1" applyFont="1" applyFill="1" applyBorder="1" applyProtection="1"/>
    <xf numFmtId="10" fontId="26" fillId="4" borderId="2" xfId="2" applyNumberFormat="1" applyFont="1" applyFill="1" applyBorder="1" applyProtection="1"/>
    <xf numFmtId="10" fontId="26" fillId="4" borderId="4" xfId="2" applyNumberFormat="1" applyFont="1" applyFill="1" applyBorder="1" applyProtection="1"/>
    <xf numFmtId="165" fontId="26" fillId="16" borderId="5" xfId="6" applyNumberFormat="1" applyFont="1" applyFill="1" applyBorder="1" applyAlignment="1" applyProtection="1">
      <alignment vertical="center"/>
    </xf>
    <xf numFmtId="165" fontId="26" fillId="16" borderId="24" xfId="6" applyNumberFormat="1" applyFont="1" applyFill="1" applyBorder="1" applyAlignment="1" applyProtection="1">
      <alignment vertical="center"/>
    </xf>
    <xf numFmtId="165" fontId="26" fillId="16" borderId="37" xfId="6" applyNumberFormat="1" applyFont="1" applyFill="1" applyBorder="1" applyAlignment="1" applyProtection="1">
      <alignment vertical="center"/>
    </xf>
    <xf numFmtId="165" fontId="26" fillId="16" borderId="6" xfId="6" applyNumberFormat="1" applyFont="1" applyFill="1" applyBorder="1" applyAlignment="1" applyProtection="1">
      <alignment vertical="center"/>
    </xf>
    <xf numFmtId="165" fontId="26" fillId="16" borderId="36" xfId="6" applyNumberFormat="1" applyFont="1" applyFill="1" applyBorder="1" applyAlignment="1" applyProtection="1">
      <alignment vertical="center"/>
    </xf>
    <xf numFmtId="165" fontId="26" fillId="16" borderId="8" xfId="6" applyNumberFormat="1" applyFont="1" applyFill="1" applyBorder="1" applyAlignment="1" applyProtection="1">
      <alignment vertical="center"/>
    </xf>
    <xf numFmtId="165" fontId="26" fillId="16" borderId="26" xfId="6" applyNumberFormat="1" applyFont="1" applyFill="1" applyBorder="1" applyAlignment="1" applyProtection="1">
      <alignment vertical="center"/>
    </xf>
    <xf numFmtId="165" fontId="26" fillId="16" borderId="39" xfId="6" applyNumberFormat="1" applyFont="1" applyFill="1" applyBorder="1" applyAlignment="1" applyProtection="1">
      <alignment vertical="center"/>
    </xf>
    <xf numFmtId="165" fontId="26" fillId="16" borderId="9" xfId="6" applyNumberFormat="1" applyFont="1" applyFill="1" applyBorder="1" applyAlignment="1" applyProtection="1">
      <alignment vertical="center"/>
    </xf>
    <xf numFmtId="165" fontId="26" fillId="16" borderId="38" xfId="6" applyNumberFormat="1" applyFont="1" applyFill="1" applyBorder="1" applyAlignment="1" applyProtection="1">
      <alignment vertical="center"/>
    </xf>
    <xf numFmtId="165" fontId="26" fillId="0" borderId="26" xfId="6" applyNumberFormat="1" applyFont="1" applyFill="1" applyBorder="1" applyAlignment="1" applyProtection="1">
      <alignment vertical="center"/>
    </xf>
    <xf numFmtId="0" fontId="70" fillId="0" borderId="0" xfId="18" applyFont="1" applyFill="1" applyBorder="1" applyProtection="1"/>
    <xf numFmtId="165" fontId="26" fillId="16" borderId="5" xfId="20" applyNumberFormat="1" applyFont="1" applyFill="1" applyBorder="1" applyAlignment="1" applyProtection="1">
      <alignment vertical="center"/>
    </xf>
    <xf numFmtId="165" fontId="26" fillId="16" borderId="24" xfId="20" applyNumberFormat="1" applyFont="1" applyFill="1" applyBorder="1" applyAlignment="1" applyProtection="1">
      <alignment vertical="center"/>
    </xf>
    <xf numFmtId="165" fontId="26" fillId="16" borderId="37" xfId="20" applyNumberFormat="1" applyFont="1" applyFill="1" applyBorder="1" applyAlignment="1" applyProtection="1">
      <alignment vertical="center"/>
    </xf>
    <xf numFmtId="165" fontId="26" fillId="16" borderId="6" xfId="20" applyNumberFormat="1" applyFont="1" applyFill="1" applyBorder="1" applyAlignment="1" applyProtection="1">
      <alignment vertical="center"/>
    </xf>
    <xf numFmtId="165" fontId="26" fillId="16" borderId="36" xfId="20" applyNumberFormat="1" applyFont="1" applyFill="1" applyBorder="1" applyAlignment="1" applyProtection="1">
      <alignment vertical="center"/>
    </xf>
    <xf numFmtId="165" fontId="26" fillId="16" borderId="8" xfId="20" applyNumberFormat="1" applyFont="1" applyFill="1" applyBorder="1" applyAlignment="1" applyProtection="1">
      <alignment vertical="center"/>
    </xf>
    <xf numFmtId="165" fontId="26" fillId="16" borderId="26" xfId="20" applyNumberFormat="1" applyFont="1" applyFill="1" applyBorder="1" applyAlignment="1" applyProtection="1">
      <alignment vertical="center"/>
    </xf>
    <xf numFmtId="165" fontId="26" fillId="16" borderId="39" xfId="20" applyNumberFormat="1" applyFont="1" applyFill="1" applyBorder="1" applyAlignment="1" applyProtection="1">
      <alignment vertical="center"/>
    </xf>
    <xf numFmtId="165" fontId="26" fillId="16" borderId="9" xfId="20" applyNumberFormat="1" applyFont="1" applyFill="1" applyBorder="1" applyAlignment="1" applyProtection="1">
      <alignment vertical="center"/>
    </xf>
    <xf numFmtId="165" fontId="26" fillId="16" borderId="38" xfId="20" applyNumberFormat="1" applyFont="1" applyFill="1" applyBorder="1" applyAlignment="1" applyProtection="1">
      <alignment vertical="center"/>
    </xf>
    <xf numFmtId="165" fontId="19" fillId="16" borderId="9" xfId="6" applyNumberFormat="1" applyFont="1" applyFill="1" applyBorder="1" applyAlignment="1" applyProtection="1">
      <alignment vertical="center"/>
    </xf>
    <xf numFmtId="165" fontId="112" fillId="0" borderId="6" xfId="6" applyNumberFormat="1" applyFont="1" applyFill="1" applyBorder="1" applyAlignment="1" applyProtection="1">
      <alignment vertical="center"/>
    </xf>
    <xf numFmtId="165" fontId="112" fillId="0" borderId="9" xfId="6" applyNumberFormat="1" applyFont="1" applyFill="1" applyBorder="1" applyAlignment="1" applyProtection="1">
      <alignment vertical="center"/>
    </xf>
    <xf numFmtId="165" fontId="112" fillId="0" borderId="44" xfId="6" applyNumberFormat="1" applyFont="1" applyFill="1" applyBorder="1" applyAlignment="1" applyProtection="1">
      <alignment vertical="center"/>
    </xf>
    <xf numFmtId="165" fontId="26" fillId="16" borderId="43" xfId="6" applyNumberFormat="1" applyFont="1" applyFill="1" applyBorder="1" applyAlignment="1" applyProtection="1">
      <alignment vertical="center"/>
    </xf>
    <xf numFmtId="165" fontId="26" fillId="16" borderId="126" xfId="6" applyNumberFormat="1" applyFont="1" applyFill="1" applyBorder="1" applyAlignment="1" applyProtection="1">
      <alignment vertical="center"/>
    </xf>
    <xf numFmtId="165" fontId="26" fillId="16" borderId="117" xfId="6" applyNumberFormat="1" applyFont="1" applyFill="1" applyBorder="1" applyAlignment="1" applyProtection="1">
      <alignment vertical="center"/>
    </xf>
    <xf numFmtId="165" fontId="26" fillId="16" borderId="44" xfId="6" applyNumberFormat="1" applyFont="1" applyFill="1" applyBorder="1" applyAlignment="1" applyProtection="1">
      <alignment vertical="center"/>
    </xf>
    <xf numFmtId="165" fontId="26" fillId="16" borderId="118" xfId="6" applyNumberFormat="1" applyFont="1" applyFill="1" applyBorder="1" applyAlignment="1" applyProtection="1">
      <alignment vertical="center"/>
    </xf>
    <xf numFmtId="165" fontId="26" fillId="18" borderId="11" xfId="6" applyNumberFormat="1" applyFont="1" applyFill="1" applyBorder="1" applyAlignment="1" applyProtection="1">
      <alignment vertical="center"/>
    </xf>
    <xf numFmtId="165" fontId="26" fillId="18" borderId="27" xfId="6" applyNumberFormat="1" applyFont="1" applyFill="1" applyBorder="1" applyAlignment="1" applyProtection="1">
      <alignment vertical="center"/>
    </xf>
    <xf numFmtId="165" fontId="26" fillId="18" borderId="41" xfId="6" applyNumberFormat="1" applyFont="1" applyFill="1" applyBorder="1" applyAlignment="1" applyProtection="1">
      <alignment vertical="center"/>
    </xf>
    <xf numFmtId="165" fontId="26" fillId="18" borderId="12" xfId="6" applyNumberFormat="1" applyFont="1" applyFill="1" applyBorder="1" applyAlignment="1" applyProtection="1">
      <alignment vertical="center"/>
    </xf>
    <xf numFmtId="165" fontId="26" fillId="18" borderId="40" xfId="6" applyNumberFormat="1" applyFont="1" applyFill="1" applyBorder="1" applyAlignment="1" applyProtection="1">
      <alignment vertical="center"/>
    </xf>
    <xf numFmtId="165" fontId="26" fillId="18" borderId="2" xfId="6" applyNumberFormat="1" applyFont="1" applyFill="1" applyBorder="1" applyAlignment="1" applyProtection="1">
      <alignment vertical="center"/>
    </xf>
    <xf numFmtId="165" fontId="26" fillId="18" borderId="35" xfId="6" applyNumberFormat="1" applyFont="1" applyFill="1" applyBorder="1" applyAlignment="1" applyProtection="1">
      <alignment vertical="center"/>
    </xf>
    <xf numFmtId="165" fontId="26" fillId="18" borderId="61" xfId="6" applyNumberFormat="1" applyFont="1" applyFill="1" applyBorder="1" applyAlignment="1" applyProtection="1">
      <alignment vertical="center"/>
    </xf>
    <xf numFmtId="165" fontId="26" fillId="18" borderId="3" xfId="6" applyNumberFormat="1" applyFont="1" applyFill="1" applyBorder="1" applyAlignment="1" applyProtection="1">
      <alignment vertical="center"/>
    </xf>
    <xf numFmtId="165" fontId="26" fillId="18" borderId="4" xfId="6" applyNumberFormat="1" applyFont="1" applyFill="1" applyBorder="1" applyAlignment="1" applyProtection="1">
      <alignment vertical="center"/>
    </xf>
    <xf numFmtId="165" fontId="26" fillId="18" borderId="266" xfId="6" applyNumberFormat="1" applyFont="1" applyFill="1" applyBorder="1" applyAlignment="1" applyProtection="1">
      <alignment vertical="center"/>
    </xf>
    <xf numFmtId="0" fontId="73" fillId="0" borderId="0" xfId="18" applyFont="1" applyFill="1" applyBorder="1" applyAlignment="1" applyProtection="1">
      <alignment horizontal="center" vertical="center" wrapText="1"/>
    </xf>
    <xf numFmtId="165" fontId="61" fillId="0" borderId="9" xfId="6" applyNumberFormat="1" applyFont="1" applyFill="1" applyBorder="1" applyAlignment="1" applyProtection="1">
      <alignment vertical="center"/>
    </xf>
    <xf numFmtId="165" fontId="61" fillId="0" borderId="44" xfId="6" applyNumberFormat="1" applyFont="1" applyFill="1" applyBorder="1" applyAlignment="1" applyProtection="1">
      <alignment vertical="center"/>
    </xf>
    <xf numFmtId="165" fontId="26" fillId="18" borderId="60" xfId="6" applyNumberFormat="1" applyFont="1" applyFill="1" applyBorder="1" applyAlignment="1" applyProtection="1">
      <alignment vertical="center"/>
    </xf>
    <xf numFmtId="0" fontId="10" fillId="3" borderId="4" xfId="0" applyFont="1" applyFill="1" applyBorder="1" applyAlignment="1" applyProtection="1"/>
    <xf numFmtId="0" fontId="62" fillId="0" borderId="47" xfId="0" applyFont="1" applyBorder="1" applyAlignment="1" applyProtection="1">
      <alignment vertical="center"/>
    </xf>
    <xf numFmtId="0" fontId="62" fillId="0" borderId="6" xfId="11" applyFont="1" applyFill="1" applyBorder="1" applyAlignment="1" applyProtection="1">
      <alignment horizontal="center" vertical="center"/>
    </xf>
    <xf numFmtId="165" fontId="19" fillId="4" borderId="54" xfId="2" applyNumberFormat="1" applyFont="1" applyFill="1" applyBorder="1" applyAlignment="1" applyProtection="1">
      <alignment vertical="center"/>
    </xf>
    <xf numFmtId="165" fontId="19" fillId="4" borderId="7" xfId="2" applyNumberFormat="1" applyFont="1" applyFill="1" applyBorder="1" applyAlignment="1" applyProtection="1">
      <alignment vertical="center"/>
    </xf>
    <xf numFmtId="165" fontId="19" fillId="4" borderId="37" xfId="2" applyNumberFormat="1" applyFont="1" applyFill="1" applyBorder="1" applyAlignment="1" applyProtection="1">
      <alignment vertical="center"/>
    </xf>
    <xf numFmtId="165" fontId="19" fillId="4" borderId="28" xfId="2" applyNumberFormat="1" applyFont="1" applyFill="1" applyBorder="1" applyAlignment="1" applyProtection="1">
      <alignment vertical="center"/>
    </xf>
    <xf numFmtId="165" fontId="19" fillId="4" borderId="6" xfId="2" applyNumberFormat="1" applyFont="1" applyFill="1" applyBorder="1" applyAlignment="1" applyProtection="1">
      <alignment vertical="center"/>
    </xf>
    <xf numFmtId="0" fontId="35" fillId="0" borderId="47" xfId="11" applyFont="1" applyFill="1" applyBorder="1" applyAlignment="1" applyProtection="1">
      <alignment horizontal="center" vertical="center"/>
    </xf>
    <xf numFmtId="165" fontId="19" fillId="4" borderId="113" xfId="2" applyNumberFormat="1" applyFont="1" applyFill="1" applyBorder="1" applyAlignment="1" applyProtection="1">
      <alignment vertical="center"/>
    </xf>
    <xf numFmtId="165" fontId="19" fillId="4" borderId="50" xfId="2" applyNumberFormat="1" applyFont="1" applyFill="1" applyBorder="1" applyAlignment="1" applyProtection="1">
      <alignment vertical="center"/>
    </xf>
    <xf numFmtId="165" fontId="19" fillId="4" borderId="125" xfId="2" applyNumberFormat="1" applyFont="1" applyFill="1" applyBorder="1" applyAlignment="1" applyProtection="1">
      <alignment vertical="center"/>
    </xf>
    <xf numFmtId="165" fontId="19" fillId="4" borderId="114" xfId="2" applyNumberFormat="1" applyFont="1" applyFill="1" applyBorder="1" applyAlignment="1" applyProtection="1">
      <alignment vertical="center"/>
    </xf>
    <xf numFmtId="165" fontId="19" fillId="4" borderId="47" xfId="2" applyNumberFormat="1" applyFont="1" applyFill="1" applyBorder="1" applyAlignment="1" applyProtection="1">
      <alignment vertical="center"/>
    </xf>
    <xf numFmtId="0" fontId="19" fillId="0" borderId="47" xfId="0" applyFont="1" applyBorder="1" applyAlignment="1" applyProtection="1">
      <alignment vertical="center" wrapText="1"/>
    </xf>
    <xf numFmtId="0" fontId="19" fillId="0" borderId="47" xfId="11" applyFont="1" applyFill="1" applyBorder="1" applyAlignment="1" applyProtection="1">
      <alignment vertical="center" wrapText="1"/>
    </xf>
    <xf numFmtId="0" fontId="19" fillId="0" borderId="9" xfId="11" applyFont="1" applyFill="1" applyBorder="1" applyAlignment="1" applyProtection="1">
      <alignment vertical="center" wrapText="1"/>
    </xf>
    <xf numFmtId="165" fontId="19" fillId="4" borderId="56" xfId="2" applyNumberFormat="1" applyFont="1" applyFill="1" applyBorder="1" applyAlignment="1" applyProtection="1">
      <alignment vertical="center"/>
    </xf>
    <xf numFmtId="165" fontId="19" fillId="4" borderId="10" xfId="2" applyNumberFormat="1" applyFont="1" applyFill="1" applyBorder="1" applyAlignment="1" applyProtection="1">
      <alignment vertical="center"/>
    </xf>
    <xf numFmtId="165" fontId="19" fillId="4" borderId="39" xfId="2" applyNumberFormat="1" applyFont="1" applyFill="1" applyBorder="1" applyAlignment="1" applyProtection="1">
      <alignment vertical="center"/>
    </xf>
    <xf numFmtId="165" fontId="19" fillId="4" borderId="29" xfId="2" applyNumberFormat="1" applyFont="1" applyFill="1" applyBorder="1" applyAlignment="1" applyProtection="1">
      <alignment vertical="center"/>
    </xf>
    <xf numFmtId="165" fontId="19" fillId="4" borderId="9" xfId="2" applyNumberFormat="1" applyFont="1" applyFill="1" applyBorder="1" applyAlignment="1" applyProtection="1">
      <alignment vertical="center"/>
    </xf>
    <xf numFmtId="0" fontId="62" fillId="0" borderId="9" xfId="11" applyFont="1" applyFill="1" applyBorder="1" applyAlignment="1" applyProtection="1">
      <alignment vertical="center"/>
    </xf>
    <xf numFmtId="0" fontId="35" fillId="0" borderId="9" xfId="11" applyFont="1" applyFill="1" applyBorder="1" applyAlignment="1" applyProtection="1">
      <alignment horizontal="center" vertical="center"/>
    </xf>
    <xf numFmtId="0" fontId="62" fillId="0" borderId="9" xfId="11" applyFont="1" applyFill="1" applyBorder="1" applyAlignment="1" applyProtection="1">
      <alignment horizontal="center" vertical="center"/>
    </xf>
    <xf numFmtId="0" fontId="62" fillId="4" borderId="9" xfId="11" applyFont="1" applyFill="1" applyBorder="1" applyAlignment="1" applyProtection="1">
      <alignment vertical="center"/>
    </xf>
    <xf numFmtId="0" fontId="62" fillId="0" borderId="44" xfId="11" applyFont="1" applyFill="1" applyBorder="1" applyAlignment="1" applyProtection="1">
      <alignment horizontal="center" vertical="center"/>
    </xf>
    <xf numFmtId="165" fontId="19" fillId="4" borderId="122" xfId="2" applyNumberFormat="1" applyFont="1" applyFill="1" applyBorder="1" applyAlignment="1" applyProtection="1">
      <alignment vertical="center"/>
    </xf>
    <xf numFmtId="165" fontId="19" fillId="4" borderId="62" xfId="2" applyNumberFormat="1" applyFont="1" applyFill="1" applyBorder="1" applyAlignment="1" applyProtection="1">
      <alignment vertical="center"/>
    </xf>
    <xf numFmtId="165" fontId="19" fillId="4" borderId="117" xfId="2" applyNumberFormat="1" applyFont="1" applyFill="1" applyBorder="1" applyAlignment="1" applyProtection="1">
      <alignment vertical="center"/>
    </xf>
    <xf numFmtId="165" fontId="19" fillId="4" borderId="42" xfId="2" applyNumberFormat="1" applyFont="1" applyFill="1" applyBorder="1" applyAlignment="1" applyProtection="1">
      <alignment vertical="center"/>
    </xf>
    <xf numFmtId="165" fontId="19" fillId="4" borderId="44" xfId="2" applyNumberFormat="1" applyFont="1" applyFill="1" applyBorder="1" applyAlignment="1" applyProtection="1">
      <alignment vertical="center"/>
    </xf>
    <xf numFmtId="0" fontId="62" fillId="4" borderId="12" xfId="11" applyFont="1" applyFill="1" applyBorder="1" applyAlignment="1" applyProtection="1">
      <alignment vertical="center"/>
    </xf>
    <xf numFmtId="0" fontId="62" fillId="0" borderId="12" xfId="11" applyFont="1" applyFill="1" applyBorder="1" applyAlignment="1" applyProtection="1">
      <alignment horizontal="center" vertical="center"/>
    </xf>
    <xf numFmtId="165" fontId="19" fillId="4" borderId="57" xfId="2" applyNumberFormat="1" applyFont="1" applyFill="1" applyBorder="1" applyAlignment="1" applyProtection="1">
      <alignment vertical="center"/>
    </xf>
    <xf numFmtId="165" fontId="19" fillId="4" borderId="13" xfId="2" applyNumberFormat="1" applyFont="1" applyFill="1" applyBorder="1" applyAlignment="1" applyProtection="1">
      <alignment vertical="center"/>
    </xf>
    <xf numFmtId="165" fontId="19" fillId="4" borderId="41" xfId="2" applyNumberFormat="1" applyFont="1" applyFill="1" applyBorder="1" applyAlignment="1" applyProtection="1">
      <alignment vertical="center"/>
    </xf>
    <xf numFmtId="165" fontId="19" fillId="4" borderId="45" xfId="2" applyNumberFormat="1" applyFont="1" applyFill="1" applyBorder="1" applyAlignment="1" applyProtection="1">
      <alignment vertical="center"/>
    </xf>
    <xf numFmtId="165" fontId="19" fillId="4" borderId="12" xfId="2" applyNumberFormat="1" applyFont="1" applyFill="1" applyBorder="1" applyAlignment="1" applyProtection="1">
      <alignment vertical="center"/>
    </xf>
    <xf numFmtId="0" fontId="62" fillId="0" borderId="3" xfId="11" applyFont="1" applyFill="1" applyBorder="1" applyAlignment="1" applyProtection="1">
      <alignment vertical="center"/>
    </xf>
    <xf numFmtId="0" fontId="62" fillId="0" borderId="34" xfId="11" applyFont="1" applyFill="1" applyBorder="1" applyAlignment="1" applyProtection="1">
      <alignment horizontal="center" vertical="center"/>
    </xf>
    <xf numFmtId="0" fontId="75" fillId="0" borderId="0" xfId="18" applyFont="1" applyAlignment="1" applyProtection="1"/>
    <xf numFmtId="0" fontId="0" fillId="0" borderId="0" xfId="0" applyAlignment="1" applyProtection="1"/>
    <xf numFmtId="0" fontId="80" fillId="0" borderId="206" xfId="18" applyFont="1" applyFill="1" applyBorder="1" applyAlignment="1" applyProtection="1"/>
    <xf numFmtId="0" fontId="80" fillId="0" borderId="0" xfId="18" applyFont="1" applyFill="1" applyBorder="1" applyAlignment="1" applyProtection="1"/>
    <xf numFmtId="0" fontId="49" fillId="0" borderId="0" xfId="17" applyBorder="1" applyAlignment="1" applyProtection="1">
      <alignment horizontal="center" vertical="center"/>
    </xf>
    <xf numFmtId="0" fontId="10" fillId="3" borderId="4" xfId="22" applyFont="1" applyFill="1" applyBorder="1" applyAlignment="1" applyProtection="1"/>
    <xf numFmtId="165" fontId="19" fillId="4" borderId="54" xfId="19" applyNumberFormat="1" applyFont="1" applyFill="1" applyBorder="1" applyAlignment="1" applyProtection="1">
      <alignment vertical="center"/>
    </xf>
    <xf numFmtId="165" fontId="19" fillId="4" borderId="6" xfId="19" applyNumberFormat="1" applyFont="1" applyFill="1" applyBorder="1" applyAlignment="1" applyProtection="1">
      <alignment vertical="center"/>
    </xf>
    <xf numFmtId="165" fontId="19" fillId="4" borderId="7" xfId="19" applyNumberFormat="1" applyFont="1" applyFill="1" applyBorder="1" applyAlignment="1" applyProtection="1">
      <alignment vertical="center"/>
    </xf>
    <xf numFmtId="165" fontId="19" fillId="4" borderId="37" xfId="19" applyNumberFormat="1" applyFont="1" applyFill="1" applyBorder="1" applyAlignment="1" applyProtection="1">
      <alignment vertical="center"/>
    </xf>
    <xf numFmtId="165" fontId="19" fillId="4" borderId="36" xfId="19" applyNumberFormat="1" applyFont="1" applyFill="1" applyBorder="1" applyAlignment="1" applyProtection="1">
      <alignment vertical="center"/>
    </xf>
    <xf numFmtId="165" fontId="19" fillId="4" borderId="5" xfId="19" applyNumberFormat="1" applyFont="1" applyFill="1" applyBorder="1" applyAlignment="1" applyProtection="1">
      <alignment vertical="center"/>
    </xf>
    <xf numFmtId="165" fontId="19" fillId="4" borderId="56" xfId="19" applyNumberFormat="1" applyFont="1" applyFill="1" applyBorder="1" applyAlignment="1" applyProtection="1">
      <alignment vertical="center"/>
    </xf>
    <xf numFmtId="165" fontId="19" fillId="4" borderId="9" xfId="19" applyNumberFormat="1" applyFont="1" applyFill="1" applyBorder="1" applyAlignment="1" applyProtection="1">
      <alignment vertical="center"/>
    </xf>
    <xf numFmtId="165" fontId="19" fillId="4" borderId="10" xfId="19" applyNumberFormat="1" applyFont="1" applyFill="1" applyBorder="1" applyAlignment="1" applyProtection="1">
      <alignment vertical="center"/>
    </xf>
    <xf numFmtId="165" fontId="19" fillId="4" borderId="39" xfId="19" applyNumberFormat="1" applyFont="1" applyFill="1" applyBorder="1" applyAlignment="1" applyProtection="1">
      <alignment vertical="center"/>
    </xf>
    <xf numFmtId="165" fontId="19" fillId="4" borderId="38" xfId="19" applyNumberFormat="1" applyFont="1" applyFill="1" applyBorder="1" applyAlignment="1" applyProtection="1">
      <alignment vertical="center"/>
    </xf>
    <xf numFmtId="165" fontId="19" fillId="4" borderId="8" xfId="19" applyNumberFormat="1" applyFont="1" applyFill="1" applyBorder="1" applyAlignment="1" applyProtection="1">
      <alignment vertical="center"/>
    </xf>
    <xf numFmtId="165" fontId="12" fillId="4" borderId="9" xfId="6" applyNumberFormat="1" applyFont="1" applyFill="1" applyBorder="1" applyAlignment="1" applyProtection="1">
      <alignment vertical="center"/>
    </xf>
    <xf numFmtId="165" fontId="19" fillId="4" borderId="122" xfId="19" applyNumberFormat="1" applyFont="1" applyFill="1" applyBorder="1" applyAlignment="1" applyProtection="1">
      <alignment vertical="center"/>
    </xf>
    <xf numFmtId="165" fontId="19" fillId="4" borderId="44" xfId="19" applyNumberFormat="1" applyFont="1" applyFill="1" applyBorder="1" applyAlignment="1" applyProtection="1">
      <alignment vertical="center"/>
    </xf>
    <xf numFmtId="165" fontId="19" fillId="4" borderId="62" xfId="19" applyNumberFormat="1" applyFont="1" applyFill="1" applyBorder="1" applyAlignment="1" applyProtection="1">
      <alignment vertical="center"/>
    </xf>
    <xf numFmtId="165" fontId="19" fillId="4" borderId="117" xfId="19" applyNumberFormat="1" applyFont="1" applyFill="1" applyBorder="1" applyAlignment="1" applyProtection="1">
      <alignment vertical="center"/>
    </xf>
    <xf numFmtId="165" fontId="19" fillId="4" borderId="118" xfId="19" applyNumberFormat="1" applyFont="1" applyFill="1" applyBorder="1" applyAlignment="1" applyProtection="1">
      <alignment vertical="center"/>
    </xf>
    <xf numFmtId="165" fontId="19" fillId="4" borderId="43" xfId="19" applyNumberFormat="1" applyFont="1" applyFill="1" applyBorder="1" applyAlignment="1" applyProtection="1">
      <alignment vertical="center"/>
    </xf>
    <xf numFmtId="165" fontId="12" fillId="4" borderId="44" xfId="6" applyNumberFormat="1" applyFont="1" applyFill="1" applyBorder="1" applyAlignment="1" applyProtection="1">
      <alignment vertical="center"/>
    </xf>
    <xf numFmtId="0" fontId="62" fillId="0" borderId="44" xfId="11" applyFont="1" applyFill="1" applyBorder="1" applyAlignment="1" applyProtection="1">
      <alignment vertical="center"/>
    </xf>
    <xf numFmtId="165" fontId="19" fillId="4" borderId="12" xfId="23" applyNumberFormat="1" applyFont="1" applyFill="1" applyBorder="1" applyAlignment="1" applyProtection="1">
      <alignment vertical="center"/>
    </xf>
    <xf numFmtId="165" fontId="19" fillId="4" borderId="57" xfId="19" applyNumberFormat="1" applyFont="1" applyFill="1" applyBorder="1" applyAlignment="1" applyProtection="1">
      <alignment vertical="center"/>
    </xf>
    <xf numFmtId="165" fontId="19" fillId="4" borderId="12" xfId="19" applyNumberFormat="1" applyFont="1" applyFill="1" applyBorder="1" applyAlignment="1" applyProtection="1">
      <alignment vertical="center"/>
    </xf>
    <xf numFmtId="165" fontId="19" fillId="4" borderId="13" xfId="19" applyNumberFormat="1" applyFont="1" applyFill="1" applyBorder="1" applyAlignment="1" applyProtection="1">
      <alignment vertical="center"/>
    </xf>
    <xf numFmtId="165" fontId="19" fillId="4" borderId="41" xfId="19" applyNumberFormat="1" applyFont="1" applyFill="1" applyBorder="1" applyAlignment="1" applyProtection="1">
      <alignment vertical="center"/>
    </xf>
    <xf numFmtId="165" fontId="19" fillId="4" borderId="40" xfId="19" applyNumberFormat="1" applyFont="1" applyFill="1" applyBorder="1" applyAlignment="1" applyProtection="1">
      <alignment vertical="center"/>
    </xf>
    <xf numFmtId="165" fontId="19" fillId="4" borderId="11" xfId="19" applyNumberFormat="1" applyFont="1" applyFill="1" applyBorder="1" applyAlignment="1" applyProtection="1">
      <alignment vertical="center"/>
    </xf>
    <xf numFmtId="165" fontId="19" fillId="21" borderId="60" xfId="11" applyNumberFormat="1" applyFont="1" applyFill="1" applyBorder="1" applyAlignment="1" applyProtection="1">
      <alignment vertical="center"/>
    </xf>
    <xf numFmtId="165" fontId="19" fillId="21" borderId="2" xfId="11" applyNumberFormat="1" applyFont="1" applyFill="1" applyBorder="1" applyAlignment="1" applyProtection="1">
      <alignment vertical="center"/>
    </xf>
    <xf numFmtId="0" fontId="75" fillId="0" borderId="0" xfId="18" applyFont="1" applyProtection="1"/>
    <xf numFmtId="0" fontId="81" fillId="0" borderId="0" xfId="18" applyFont="1" applyFill="1" applyBorder="1" applyProtection="1"/>
    <xf numFmtId="0" fontId="75" fillId="0" borderId="0" xfId="18" applyFont="1" applyFill="1" applyBorder="1" applyProtection="1"/>
    <xf numFmtId="0" fontId="10" fillId="3" borderId="16" xfId="22" applyFont="1" applyFill="1" applyBorder="1" applyProtection="1"/>
    <xf numFmtId="165" fontId="19" fillId="4" borderId="31" xfId="19" applyNumberFormat="1" applyFont="1" applyFill="1" applyBorder="1" applyAlignment="1" applyProtection="1">
      <alignment vertical="center"/>
    </xf>
    <xf numFmtId="0" fontId="62" fillId="23" borderId="9" xfId="11" applyFont="1" applyFill="1" applyBorder="1" applyAlignment="1" applyProtection="1">
      <alignment vertical="center" wrapText="1"/>
    </xf>
    <xf numFmtId="0" fontId="62" fillId="23" borderId="9" xfId="11" applyFont="1" applyFill="1" applyBorder="1" applyAlignment="1" applyProtection="1">
      <alignment horizontal="center" vertical="center"/>
    </xf>
    <xf numFmtId="165" fontId="19" fillId="4" borderId="32" xfId="19" applyNumberFormat="1" applyFont="1" applyFill="1" applyBorder="1" applyAlignment="1" applyProtection="1">
      <alignment vertical="center"/>
    </xf>
    <xf numFmtId="0" fontId="19" fillId="23" borderId="12" xfId="11" applyFont="1" applyFill="1" applyBorder="1" applyAlignment="1" applyProtection="1">
      <alignment vertical="center" wrapText="1"/>
    </xf>
    <xf numFmtId="0" fontId="19" fillId="23" borderId="12" xfId="11" applyFont="1" applyFill="1" applyBorder="1" applyAlignment="1" applyProtection="1">
      <alignment horizontal="center" vertical="center"/>
    </xf>
    <xf numFmtId="165" fontId="19" fillId="4" borderId="30" xfId="19" applyNumberFormat="1" applyFont="1" applyFill="1" applyBorder="1" applyAlignment="1" applyProtection="1">
      <alignment vertical="center"/>
    </xf>
    <xf numFmtId="0" fontId="62" fillId="23" borderId="6" xfId="11" applyFont="1" applyFill="1" applyBorder="1" applyAlignment="1" applyProtection="1">
      <alignment vertical="center" wrapText="1"/>
    </xf>
    <xf numFmtId="0" fontId="62" fillId="23" borderId="6" xfId="11" applyFont="1" applyFill="1" applyBorder="1" applyAlignment="1" applyProtection="1">
      <alignment horizontal="center" vertical="center" wrapText="1"/>
    </xf>
    <xf numFmtId="0" fontId="62" fillId="23" borderId="9" xfId="11" applyFont="1" applyFill="1" applyBorder="1" applyAlignment="1" applyProtection="1">
      <alignment horizontal="center" vertical="center" wrapText="1"/>
    </xf>
    <xf numFmtId="0" fontId="19" fillId="23" borderId="44" xfId="11" applyFont="1" applyFill="1" applyBorder="1" applyAlignment="1" applyProtection="1">
      <alignment vertical="center" wrapText="1"/>
    </xf>
    <xf numFmtId="0" fontId="19" fillId="23" borderId="44" xfId="11" applyFont="1" applyFill="1" applyBorder="1" applyAlignment="1" applyProtection="1">
      <alignment horizontal="center" vertical="center" wrapText="1"/>
    </xf>
    <xf numFmtId="165" fontId="19" fillId="7" borderId="109" xfId="19" applyNumberFormat="1" applyFont="1" applyFill="1" applyBorder="1" applyAlignment="1" applyProtection="1">
      <alignment vertical="center"/>
    </xf>
    <xf numFmtId="9" fontId="19" fillId="23" borderId="60" xfId="11" applyNumberFormat="1" applyFont="1" applyFill="1" applyBorder="1" applyAlignment="1" applyProtection="1">
      <alignment vertical="center" wrapText="1"/>
    </xf>
    <xf numFmtId="0" fontId="19" fillId="23" borderId="3" xfId="11" applyFont="1" applyFill="1" applyBorder="1" applyAlignment="1" applyProtection="1">
      <alignment horizontal="center" vertical="center" wrapText="1"/>
    </xf>
    <xf numFmtId="165" fontId="19" fillId="7" borderId="1" xfId="11" applyNumberFormat="1" applyFont="1" applyFill="1" applyBorder="1" applyAlignment="1" applyProtection="1">
      <alignment vertical="center"/>
    </xf>
    <xf numFmtId="0" fontId="7" fillId="24" borderId="0" xfId="22" applyFont="1" applyFill="1" applyAlignment="1" applyProtection="1">
      <alignment horizontal="left" vertical="top"/>
    </xf>
    <xf numFmtId="0" fontId="7" fillId="24" borderId="0" xfId="22" applyFont="1" applyFill="1" applyAlignment="1" applyProtection="1">
      <alignment horizontal="left" vertical="top" wrapText="1"/>
    </xf>
    <xf numFmtId="0" fontId="7" fillId="2" borderId="0" xfId="22" applyFont="1" applyFill="1" applyAlignment="1" applyProtection="1">
      <alignment horizontal="left" vertical="top"/>
    </xf>
    <xf numFmtId="0" fontId="75" fillId="0" borderId="0" xfId="22" applyFont="1" applyAlignment="1" applyProtection="1">
      <alignment horizontal="left" vertical="top" wrapText="1"/>
    </xf>
    <xf numFmtId="0" fontId="79" fillId="0" borderId="0" xfId="22" applyFont="1" applyAlignment="1" applyProtection="1">
      <alignment horizontal="left" vertical="top"/>
    </xf>
    <xf numFmtId="0" fontId="79" fillId="0" borderId="0" xfId="22" applyFont="1" applyBorder="1" applyAlignment="1" applyProtection="1">
      <alignment horizontal="left" vertical="top"/>
    </xf>
    <xf numFmtId="0" fontId="99" fillId="0" borderId="0" xfId="11" applyFont="1" applyBorder="1" applyAlignment="1" applyProtection="1">
      <alignment horizontal="left" vertical="top" wrapText="1"/>
    </xf>
    <xf numFmtId="0" fontId="99" fillId="0" borderId="0" xfId="11" applyFont="1" applyBorder="1" applyAlignment="1" applyProtection="1">
      <alignment horizontal="center" vertical="top" wrapText="1"/>
    </xf>
    <xf numFmtId="0" fontId="84" fillId="0" borderId="0" xfId="11" applyFont="1" applyBorder="1" applyAlignment="1" applyProtection="1">
      <alignment horizontal="left" vertical="top" wrapText="1"/>
    </xf>
    <xf numFmtId="0" fontId="84" fillId="0" borderId="0" xfId="11" applyFont="1" applyBorder="1" applyAlignment="1" applyProtection="1">
      <alignment horizontal="center" vertical="top" wrapText="1"/>
    </xf>
    <xf numFmtId="0" fontId="75" fillId="0" borderId="0" xfId="22" applyFont="1" applyAlignment="1" applyProtection="1">
      <alignment horizontal="center" vertical="top"/>
    </xf>
    <xf numFmtId="0" fontId="75" fillId="0" borderId="0" xfId="22" applyFont="1" applyAlignment="1" applyProtection="1">
      <alignment horizontal="center" vertical="top" wrapText="1"/>
    </xf>
    <xf numFmtId="0" fontId="75" fillId="0" borderId="0" xfId="22" applyFont="1" applyBorder="1" applyAlignment="1" applyProtection="1">
      <alignment horizontal="left" vertical="top"/>
    </xf>
    <xf numFmtId="0" fontId="75" fillId="0" borderId="0" xfId="22" applyFont="1" applyBorder="1" applyAlignment="1" applyProtection="1">
      <alignment horizontal="center" vertical="top"/>
    </xf>
    <xf numFmtId="1" fontId="23" fillId="4" borderId="5" xfId="20" applyNumberFormat="1" applyFont="1" applyFill="1" applyBorder="1" applyAlignment="1" applyProtection="1">
      <alignment vertical="center"/>
    </xf>
    <xf numFmtId="1" fontId="23" fillId="4" borderId="6" xfId="20" applyNumberFormat="1" applyFont="1" applyFill="1" applyBorder="1" applyAlignment="1" applyProtection="1">
      <alignment vertical="center"/>
    </xf>
    <xf numFmtId="1" fontId="23" fillId="4" borderId="8" xfId="20" applyNumberFormat="1" applyFont="1" applyFill="1" applyBorder="1" applyAlignment="1" applyProtection="1">
      <alignment vertical="center"/>
    </xf>
    <xf numFmtId="1" fontId="23" fillId="4" borderId="9" xfId="20" applyNumberFormat="1" applyFont="1" applyFill="1" applyBorder="1" applyAlignment="1" applyProtection="1">
      <alignment vertical="center"/>
    </xf>
    <xf numFmtId="1" fontId="75" fillId="0" borderId="0" xfId="22" applyNumberFormat="1" applyFont="1" applyAlignment="1" applyProtection="1">
      <alignment horizontal="left" vertical="top"/>
    </xf>
    <xf numFmtId="1" fontId="23" fillId="4" borderId="30" xfId="20" applyNumberFormat="1" applyFont="1" applyFill="1" applyBorder="1" applyAlignment="1" applyProtection="1">
      <alignment vertical="center"/>
    </xf>
    <xf numFmtId="165" fontId="23" fillId="4" borderId="7" xfId="20" applyNumberFormat="1" applyFont="1" applyFill="1" applyBorder="1" applyAlignment="1" applyProtection="1">
      <alignment vertical="center"/>
    </xf>
    <xf numFmtId="165" fontId="23" fillId="4" borderId="10" xfId="20" applyNumberFormat="1" applyFont="1" applyFill="1" applyBorder="1" applyAlignment="1" applyProtection="1">
      <alignment vertical="center"/>
    </xf>
    <xf numFmtId="165" fontId="23" fillId="4" borderId="13" xfId="20" applyNumberFormat="1" applyFont="1" applyFill="1" applyBorder="1" applyAlignment="1" applyProtection="1">
      <alignment vertical="center"/>
    </xf>
    <xf numFmtId="0" fontId="49" fillId="0" borderId="0" xfId="22" applyProtection="1"/>
    <xf numFmtId="0" fontId="75" fillId="0" borderId="0" xfId="22" applyFont="1" applyFill="1" applyAlignment="1" applyProtection="1">
      <alignment horizontal="left" vertical="top"/>
    </xf>
    <xf numFmtId="0" fontId="82" fillId="0" borderId="0" xfId="22" applyFont="1" applyFill="1" applyAlignment="1" applyProtection="1">
      <alignment horizontal="left" vertical="top"/>
    </xf>
    <xf numFmtId="0" fontId="10" fillId="3" borderId="4" xfId="22" applyFont="1" applyFill="1" applyBorder="1" applyProtection="1"/>
    <xf numFmtId="172" fontId="19" fillId="27" borderId="5" xfId="19" applyNumberFormat="1" applyFont="1" applyFill="1" applyBorder="1" applyAlignment="1" applyProtection="1">
      <alignment vertical="center"/>
    </xf>
    <xf numFmtId="172" fontId="19" fillId="27" borderId="6" xfId="19" applyNumberFormat="1" applyFont="1" applyFill="1" applyBorder="1" applyAlignment="1" applyProtection="1">
      <alignment vertical="center"/>
    </xf>
    <xf numFmtId="0" fontId="62" fillId="0" borderId="9" xfId="11" applyFont="1" applyFill="1" applyBorder="1" applyAlignment="1" applyProtection="1">
      <alignment vertical="center" wrapText="1"/>
    </xf>
    <xf numFmtId="0" fontId="115" fillId="0" borderId="9" xfId="11" applyFont="1" applyFill="1" applyBorder="1" applyAlignment="1" applyProtection="1">
      <alignment horizontal="center" vertical="center" wrapText="1"/>
    </xf>
    <xf numFmtId="172" fontId="19" fillId="27" borderId="8" xfId="19" applyNumberFormat="1" applyFont="1" applyFill="1" applyBorder="1" applyAlignment="1" applyProtection="1">
      <alignment vertical="center"/>
    </xf>
    <xf numFmtId="172" fontId="19" fillId="27" borderId="9" xfId="19" applyNumberFormat="1" applyFont="1" applyFill="1" applyBorder="1" applyAlignment="1" applyProtection="1">
      <alignment vertical="center"/>
    </xf>
    <xf numFmtId="172" fontId="19" fillId="27" borderId="46" xfId="19" applyNumberFormat="1" applyFont="1" applyFill="1" applyBorder="1" applyAlignment="1" applyProtection="1">
      <alignment vertical="center"/>
    </xf>
    <xf numFmtId="172" fontId="19" fillId="27" borderId="47" xfId="19" applyNumberFormat="1" applyFont="1" applyFill="1" applyBorder="1" applyAlignment="1" applyProtection="1">
      <alignment vertical="center"/>
    </xf>
    <xf numFmtId="0" fontId="62" fillId="0" borderId="12" xfId="11" applyFont="1" applyFill="1" applyBorder="1" applyAlignment="1" applyProtection="1">
      <alignment vertical="center" wrapText="1"/>
    </xf>
    <xf numFmtId="0" fontId="115" fillId="0" borderId="12" xfId="11" applyFont="1" applyFill="1" applyBorder="1" applyAlignment="1" applyProtection="1">
      <alignment horizontal="center" vertical="center" wrapText="1"/>
    </xf>
    <xf numFmtId="0" fontId="49" fillId="0" borderId="0" xfId="22" applyAlignment="1" applyProtection="1">
      <alignment horizontal="center"/>
    </xf>
    <xf numFmtId="0" fontId="142" fillId="0" borderId="0" xfId="22" applyFont="1" applyAlignment="1" applyProtection="1">
      <alignment horizontal="center"/>
    </xf>
    <xf numFmtId="170" fontId="19" fillId="4" borderId="57" xfId="19" applyNumberFormat="1" applyFont="1" applyFill="1" applyBorder="1" applyAlignment="1" applyProtection="1">
      <alignment vertical="center"/>
      <protection locked="0"/>
    </xf>
    <xf numFmtId="0" fontId="17" fillId="0" borderId="21" xfId="11" applyFont="1" applyFill="1" applyBorder="1" applyAlignment="1" applyProtection="1">
      <alignment horizontal="center" vertical="center"/>
    </xf>
    <xf numFmtId="165" fontId="19" fillId="4" borderId="361" xfId="19" applyNumberFormat="1" applyFont="1" applyFill="1" applyBorder="1" applyAlignment="1" applyProtection="1">
      <alignment vertical="center"/>
      <protection locked="0"/>
    </xf>
    <xf numFmtId="10" fontId="23" fillId="7" borderId="8" xfId="2" applyNumberFormat="1" applyFont="1" applyFill="1" applyBorder="1" applyAlignment="1" applyProtection="1">
      <alignment vertical="center"/>
    </xf>
    <xf numFmtId="165" fontId="23" fillId="7" borderId="28" xfId="6" applyNumberFormat="1" applyFont="1" applyFill="1" applyBorder="1" applyAlignment="1" applyProtection="1">
      <alignment vertical="center"/>
    </xf>
    <xf numFmtId="0" fontId="96" fillId="36" borderId="0" xfId="0" applyFont="1" applyFill="1" applyAlignment="1">
      <alignment wrapText="1"/>
    </xf>
    <xf numFmtId="0" fontId="23" fillId="36" borderId="0" xfId="0" applyFont="1" applyFill="1" applyAlignment="1">
      <alignment wrapText="1"/>
    </xf>
    <xf numFmtId="0" fontId="25" fillId="36" borderId="0" xfId="0" applyFont="1" applyFill="1" applyAlignment="1">
      <alignment wrapText="1"/>
    </xf>
    <xf numFmtId="0" fontId="144" fillId="3" borderId="3" xfId="9" applyFont="1" applyFill="1" applyBorder="1" applyAlignment="1" applyProtection="1">
      <alignment horizontal="center" vertical="center" wrapText="1"/>
    </xf>
    <xf numFmtId="0" fontId="144" fillId="3" borderId="4" xfId="9" applyFont="1" applyFill="1" applyBorder="1" applyAlignment="1" applyProtection="1">
      <alignment horizontal="center" vertical="center" wrapText="1"/>
    </xf>
    <xf numFmtId="166" fontId="26" fillId="37" borderId="6" xfId="11" applyNumberFormat="1" applyFont="1" applyFill="1" applyBorder="1" applyAlignment="1" applyProtection="1">
      <alignment horizontal="right" vertical="center"/>
      <protection locked="0"/>
    </xf>
    <xf numFmtId="168" fontId="26" fillId="37" borderId="7" xfId="11" applyNumberFormat="1" applyFont="1" applyFill="1" applyBorder="1" applyAlignment="1" applyProtection="1">
      <alignment horizontal="right" vertical="center"/>
      <protection locked="0"/>
    </xf>
    <xf numFmtId="166" fontId="26" fillId="37" borderId="9" xfId="11" applyNumberFormat="1" applyFont="1" applyFill="1" applyBorder="1" applyAlignment="1" applyProtection="1">
      <alignment horizontal="right" vertical="center"/>
      <protection locked="0"/>
    </xf>
    <xf numFmtId="168" fontId="26" fillId="37" borderId="10" xfId="11" applyNumberFormat="1" applyFont="1" applyFill="1" applyBorder="1" applyAlignment="1" applyProtection="1">
      <alignment horizontal="right" vertical="center"/>
      <protection locked="0"/>
    </xf>
    <xf numFmtId="166" fontId="26" fillId="37" borderId="12" xfId="11" applyNumberFormat="1" applyFont="1" applyFill="1" applyBorder="1" applyAlignment="1" applyProtection="1">
      <alignment horizontal="right" vertical="center"/>
      <protection locked="0"/>
    </xf>
    <xf numFmtId="168" fontId="26" fillId="37" borderId="13" xfId="11" applyNumberFormat="1" applyFont="1" applyFill="1" applyBorder="1" applyAlignment="1" applyProtection="1">
      <alignment horizontal="right" vertical="center"/>
      <protection locked="0"/>
    </xf>
    <xf numFmtId="170" fontId="26" fillId="4" borderId="38" xfId="9" applyNumberFormat="1" applyFont="1" applyFill="1" applyBorder="1" applyAlignment="1" applyProtection="1">
      <alignment horizontal="center" vertical="center"/>
    </xf>
    <xf numFmtId="170" fontId="26" fillId="4" borderId="40" xfId="9" applyNumberFormat="1" applyFont="1" applyFill="1" applyBorder="1" applyAlignment="1" applyProtection="1">
      <alignment horizontal="center" vertical="center"/>
    </xf>
    <xf numFmtId="173" fontId="26" fillId="4" borderId="40" xfId="9" applyNumberFormat="1" applyFont="1" applyFill="1" applyBorder="1" applyAlignment="1" applyProtection="1">
      <alignment horizontal="center" vertical="center"/>
    </xf>
    <xf numFmtId="169" fontId="26" fillId="4" borderId="40" xfId="9" applyNumberFormat="1" applyFont="1" applyFill="1" applyBorder="1" applyAlignment="1" applyProtection="1">
      <alignment horizontal="center" vertical="center"/>
    </xf>
    <xf numFmtId="10" fontId="26" fillId="4" borderId="40" xfId="9" applyNumberFormat="1" applyFont="1" applyFill="1" applyBorder="1" applyAlignment="1" applyProtection="1">
      <alignment horizontal="center" vertical="center"/>
    </xf>
    <xf numFmtId="0" fontId="26" fillId="4" borderId="10" xfId="9" applyNumberFormat="1" applyFont="1" applyFill="1" applyBorder="1" applyAlignment="1" applyProtection="1">
      <alignment horizontal="center" vertical="center"/>
    </xf>
    <xf numFmtId="0" fontId="26" fillId="4" borderId="13" xfId="9" applyNumberFormat="1" applyFont="1" applyFill="1" applyBorder="1" applyAlignment="1" applyProtection="1">
      <alignment horizontal="center" vertical="center"/>
    </xf>
    <xf numFmtId="3" fontId="26" fillId="4" borderId="40" xfId="9" applyNumberFormat="1" applyFont="1" applyFill="1" applyBorder="1" applyAlignment="1" applyProtection="1">
      <alignment horizontal="center" vertical="center"/>
    </xf>
    <xf numFmtId="10" fontId="26" fillId="4" borderId="13" xfId="9" applyNumberFormat="1" applyFont="1" applyFill="1" applyBorder="1" applyAlignment="1" applyProtection="1">
      <alignment horizontal="center" vertical="center"/>
    </xf>
    <xf numFmtId="172" fontId="26" fillId="4" borderId="10" xfId="9" applyNumberFormat="1" applyFont="1" applyFill="1" applyBorder="1" applyAlignment="1" applyProtection="1">
      <alignment horizontal="center" vertical="center"/>
    </xf>
    <xf numFmtId="172" fontId="26" fillId="4" borderId="13" xfId="9" applyNumberFormat="1" applyFont="1" applyFill="1" applyBorder="1" applyAlignment="1" applyProtection="1">
      <alignment horizontal="center" vertical="center"/>
    </xf>
    <xf numFmtId="0" fontId="25" fillId="32" borderId="0" xfId="0" applyFont="1" applyFill="1" applyAlignment="1">
      <alignment horizontal="left" vertical="top" wrapText="1"/>
    </xf>
    <xf numFmtId="4" fontId="0" fillId="0" borderId="0" xfId="0" applyNumberFormat="1"/>
    <xf numFmtId="4" fontId="0" fillId="0" borderId="0" xfId="0" applyNumberFormat="1" applyAlignment="1">
      <alignment horizontal="right"/>
    </xf>
    <xf numFmtId="49" fontId="12" fillId="38" borderId="0" xfId="0" applyNumberFormat="1" applyFont="1" applyFill="1" applyBorder="1" applyAlignment="1">
      <alignment horizontal="left" vertical="top" wrapText="1"/>
    </xf>
    <xf numFmtId="0" fontId="7" fillId="2" borderId="0" xfId="14" applyFont="1" applyFill="1" applyAlignment="1" applyProtection="1">
      <alignment horizontal="left" vertical="center"/>
    </xf>
    <xf numFmtId="0" fontId="7" fillId="2" borderId="0" xfId="14" applyFont="1" applyFill="1" applyAlignment="1" applyProtection="1">
      <alignment vertical="center"/>
    </xf>
    <xf numFmtId="165" fontId="26" fillId="4" borderId="31" xfId="2" applyNumberFormat="1" applyFont="1" applyFill="1" applyBorder="1" applyAlignment="1" applyProtection="1">
      <alignment vertical="center"/>
      <protection locked="0"/>
    </xf>
    <xf numFmtId="165" fontId="26" fillId="4" borderId="30" xfId="2" applyNumberFormat="1" applyFont="1" applyFill="1" applyBorder="1" applyAlignment="1" applyProtection="1">
      <alignment vertical="center"/>
      <protection locked="0"/>
    </xf>
    <xf numFmtId="0" fontId="149" fillId="0" borderId="0" xfId="5" applyFont="1" applyFill="1" applyAlignment="1" applyProtection="1">
      <alignment vertical="top" wrapText="1"/>
    </xf>
    <xf numFmtId="0" fontId="149" fillId="0" borderId="0" xfId="5" applyFont="1" applyFill="1" applyProtection="1"/>
    <xf numFmtId="0" fontId="149" fillId="0" borderId="0" xfId="5" applyFont="1" applyFill="1"/>
    <xf numFmtId="165" fontId="62" fillId="16" borderId="9" xfId="6" applyNumberFormat="1" applyFont="1" applyFill="1" applyBorder="1" applyAlignment="1" applyProtection="1">
      <alignment vertical="center"/>
      <protection locked="0"/>
    </xf>
    <xf numFmtId="2" fontId="19" fillId="4" borderId="11" xfId="9" applyNumberFormat="1" applyFill="1" applyBorder="1" applyProtection="1">
      <protection locked="0"/>
    </xf>
    <xf numFmtId="2" fontId="19" fillId="4" borderId="13" xfId="9" applyNumberFormat="1" applyFill="1" applyBorder="1" applyProtection="1">
      <protection locked="0"/>
    </xf>
    <xf numFmtId="167" fontId="19" fillId="4" borderId="30" xfId="9" applyNumberFormat="1" applyFill="1" applyBorder="1" applyProtection="1">
      <protection locked="0"/>
    </xf>
    <xf numFmtId="3" fontId="26" fillId="4" borderId="40" xfId="9" applyNumberFormat="1" applyFont="1" applyFill="1" applyBorder="1" applyAlignment="1" applyProtection="1">
      <alignment horizontal="center" vertical="center"/>
      <protection locked="0"/>
    </xf>
    <xf numFmtId="170" fontId="26" fillId="4" borderId="38" xfId="9" applyNumberFormat="1" applyFont="1" applyFill="1" applyBorder="1" applyAlignment="1" applyProtection="1">
      <alignment horizontal="center" vertical="center"/>
      <protection locked="0"/>
    </xf>
    <xf numFmtId="1" fontId="26" fillId="4" borderId="6" xfId="11" applyNumberFormat="1" applyFont="1" applyFill="1" applyBorder="1" applyAlignment="1" applyProtection="1">
      <alignment horizontal="right" vertical="center" wrapText="1"/>
      <protection locked="0"/>
    </xf>
    <xf numFmtId="4" fontId="26" fillId="4" borderId="9" xfId="11" applyNumberFormat="1" applyFont="1" applyFill="1" applyBorder="1" applyAlignment="1" applyProtection="1">
      <alignment horizontal="right" vertical="center" wrapText="1"/>
      <protection locked="0"/>
    </xf>
    <xf numFmtId="165" fontId="26" fillId="39" borderId="2" xfId="9" applyNumberFormat="1" applyFont="1" applyFill="1" applyBorder="1" applyAlignment="1" applyProtection="1">
      <alignment vertical="center"/>
      <protection locked="0"/>
    </xf>
    <xf numFmtId="165" fontId="26" fillId="39" borderId="3" xfId="9" applyNumberFormat="1" applyFont="1" applyFill="1" applyBorder="1" applyAlignment="1" applyProtection="1">
      <alignment vertical="center"/>
      <protection locked="0"/>
    </xf>
    <xf numFmtId="165" fontId="23" fillId="4" borderId="32" xfId="6" applyNumberFormat="1" applyFont="1" applyFill="1" applyBorder="1" applyAlignment="1" applyProtection="1">
      <alignment vertical="center"/>
      <protection locked="0"/>
    </xf>
    <xf numFmtId="165" fontId="23" fillId="4" borderId="109" xfId="6" applyNumberFormat="1" applyFont="1" applyFill="1" applyBorder="1" applyAlignment="1" applyProtection="1">
      <alignment vertical="center"/>
      <protection locked="0"/>
    </xf>
    <xf numFmtId="22" fontId="26" fillId="4" borderId="9" xfId="11" applyNumberFormat="1" applyFont="1" applyFill="1" applyBorder="1" applyAlignment="1" applyProtection="1">
      <alignment horizontal="right" vertical="center" wrapText="1"/>
      <protection locked="0"/>
    </xf>
    <xf numFmtId="165" fontId="61" fillId="16" borderId="47" xfId="6" applyNumberFormat="1" applyFont="1" applyFill="1" applyBorder="1" applyAlignment="1" applyProtection="1">
      <alignment vertical="center" wrapText="1"/>
      <protection locked="0"/>
    </xf>
    <xf numFmtId="0" fontId="10" fillId="3" borderId="15" xfId="6" applyFont="1" applyFill="1" applyBorder="1" applyAlignment="1" applyProtection="1">
      <alignment horizontal="left" vertical="center"/>
    </xf>
    <xf numFmtId="0" fontId="10" fillId="3" borderId="20" xfId="6" applyFont="1" applyFill="1" applyBorder="1" applyAlignment="1" applyProtection="1">
      <alignment horizontal="left" vertical="center"/>
    </xf>
    <xf numFmtId="0" fontId="23" fillId="6" borderId="0" xfId="6" applyFont="1" applyFill="1" applyAlignment="1" applyProtection="1">
      <alignment horizontal="center" vertical="center" wrapText="1"/>
    </xf>
    <xf numFmtId="0" fontId="15" fillId="0" borderId="0" xfId="9" applyFont="1" applyFill="1" applyAlignment="1" applyProtection="1">
      <alignment vertical="center"/>
    </xf>
    <xf numFmtId="0" fontId="10" fillId="3" borderId="35" xfId="6" applyFont="1" applyFill="1" applyBorder="1" applyAlignment="1" applyProtection="1">
      <alignment horizontal="center" vertical="center" wrapText="1"/>
    </xf>
    <xf numFmtId="0" fontId="10" fillId="3" borderId="1" xfId="6" applyFont="1" applyFill="1" applyBorder="1" applyAlignment="1" applyProtection="1">
      <alignment horizontal="center" vertical="center" wrapText="1"/>
    </xf>
    <xf numFmtId="0" fontId="10" fillId="3" borderId="155" xfId="6" applyFont="1" applyFill="1" applyBorder="1" applyAlignment="1" applyProtection="1">
      <alignment horizontal="left" vertical="center"/>
    </xf>
    <xf numFmtId="0" fontId="19" fillId="6" borderId="0" xfId="9" applyFont="1" applyFill="1" applyAlignment="1" applyProtection="1">
      <alignment horizontal="center" vertical="center" wrapText="1"/>
    </xf>
    <xf numFmtId="0" fontId="10" fillId="3" borderId="15" xfId="9" applyFont="1" applyFill="1" applyBorder="1" applyAlignment="1" applyProtection="1">
      <alignment horizontal="left" vertical="center"/>
    </xf>
    <xf numFmtId="0" fontId="10" fillId="3" borderId="20" xfId="9" applyFont="1" applyFill="1" applyBorder="1" applyAlignment="1" applyProtection="1">
      <alignment horizontal="left" vertical="center"/>
    </xf>
    <xf numFmtId="0" fontId="10" fillId="3" borderId="15" xfId="9" applyFont="1" applyFill="1" applyBorder="1" applyAlignment="1" applyProtection="1">
      <alignment horizontal="center" vertical="center"/>
    </xf>
    <xf numFmtId="0" fontId="10" fillId="3" borderId="20" xfId="9" applyFont="1" applyFill="1" applyBorder="1" applyAlignment="1" applyProtection="1">
      <alignment horizontal="center" vertical="center"/>
    </xf>
    <xf numFmtId="0" fontId="10" fillId="3" borderId="11" xfId="6" applyFont="1" applyFill="1" applyBorder="1" applyAlignment="1" applyProtection="1">
      <alignment horizontal="center" vertical="center" wrapText="1"/>
    </xf>
    <xf numFmtId="0" fontId="10" fillId="3" borderId="13" xfId="6" applyFont="1" applyFill="1" applyBorder="1" applyAlignment="1" applyProtection="1">
      <alignment horizontal="center" vertical="center" wrapText="1"/>
    </xf>
    <xf numFmtId="0" fontId="26" fillId="0" borderId="38" xfId="9" applyFont="1" applyFill="1" applyBorder="1" applyAlignment="1" applyProtection="1">
      <alignment vertical="top" wrapText="1"/>
    </xf>
    <xf numFmtId="0" fontId="26" fillId="0" borderId="29" xfId="9" applyFont="1" applyFill="1" applyBorder="1" applyAlignment="1" applyProtection="1">
      <alignment vertical="top" wrapText="1"/>
    </xf>
    <xf numFmtId="0" fontId="26" fillId="0" borderId="26" xfId="9" applyFont="1" applyFill="1" applyBorder="1" applyAlignment="1" applyProtection="1">
      <alignment vertical="top" wrapText="1"/>
    </xf>
    <xf numFmtId="0" fontId="10" fillId="3" borderId="2" xfId="9" applyFont="1" applyFill="1" applyBorder="1" applyAlignment="1" applyProtection="1">
      <alignment horizontal="left" vertical="center" wrapText="1"/>
    </xf>
    <xf numFmtId="0" fontId="10" fillId="3" borderId="3" xfId="9" applyFont="1" applyFill="1" applyBorder="1" applyAlignment="1" applyProtection="1">
      <alignment horizontal="left" vertical="center" wrapText="1"/>
    </xf>
    <xf numFmtId="0" fontId="17" fillId="0" borderId="0" xfId="9" applyFont="1" applyFill="1" applyBorder="1" applyAlignment="1" applyProtection="1">
      <alignment horizontal="left" vertical="center" wrapText="1"/>
    </xf>
    <xf numFmtId="0" fontId="10" fillId="3" borderId="2" xfId="9" applyFont="1" applyFill="1" applyBorder="1" applyAlignment="1" applyProtection="1">
      <alignment horizontal="left" vertical="center"/>
    </xf>
    <xf numFmtId="0" fontId="10" fillId="3" borderId="3" xfId="9" applyFont="1" applyFill="1" applyBorder="1" applyAlignment="1" applyProtection="1">
      <alignment horizontal="left" vertical="center"/>
    </xf>
    <xf numFmtId="0" fontId="15" fillId="0" borderId="3" xfId="9" applyFont="1" applyFill="1" applyBorder="1" applyAlignment="1" applyProtection="1">
      <alignment horizontal="center" vertical="top" wrapText="1"/>
    </xf>
    <xf numFmtId="0" fontId="26" fillId="0" borderId="9" xfId="9" applyFont="1" applyFill="1" applyBorder="1" applyAlignment="1" applyProtection="1">
      <alignment vertical="top" wrapText="1"/>
    </xf>
    <xf numFmtId="0" fontId="0" fillId="0" borderId="0" xfId="0" applyAlignment="1" applyProtection="1">
      <alignment horizontal="center" vertical="center" wrapText="1"/>
    </xf>
    <xf numFmtId="0" fontId="10" fillId="3" borderId="6" xfId="6" applyFont="1" applyFill="1" applyBorder="1" applyAlignment="1" applyProtection="1">
      <alignment horizontal="left" vertical="center"/>
    </xf>
    <xf numFmtId="0" fontId="10" fillId="3" borderId="12" xfId="6" applyFont="1" applyFill="1" applyBorder="1" applyAlignment="1" applyProtection="1">
      <alignment horizontal="left" vertical="center"/>
    </xf>
    <xf numFmtId="0" fontId="26" fillId="0" borderId="12" xfId="9" applyFont="1" applyFill="1" applyBorder="1" applyAlignment="1" applyProtection="1">
      <alignment vertical="top" wrapText="1"/>
    </xf>
    <xf numFmtId="0" fontId="15" fillId="0" borderId="33" xfId="9" applyFont="1" applyFill="1" applyBorder="1" applyAlignment="1" applyProtection="1">
      <alignment vertical="top"/>
    </xf>
    <xf numFmtId="0" fontId="15" fillId="0" borderId="34" xfId="9" applyFont="1" applyFill="1" applyBorder="1" applyAlignment="1" applyProtection="1">
      <alignment vertical="top"/>
    </xf>
    <xf numFmtId="0" fontId="15" fillId="0" borderId="35" xfId="9" applyFont="1" applyFill="1" applyBorder="1" applyAlignment="1" applyProtection="1">
      <alignment vertical="top"/>
    </xf>
    <xf numFmtId="0" fontId="10" fillId="3" borderId="3" xfId="6" applyFont="1" applyFill="1" applyBorder="1" applyAlignment="1" applyProtection="1">
      <alignment horizontal="left" vertical="center"/>
    </xf>
    <xf numFmtId="0" fontId="15" fillId="0" borderId="33" xfId="9" applyFont="1" applyFill="1" applyBorder="1" applyAlignment="1" applyProtection="1">
      <alignment horizontal="left" vertical="top"/>
    </xf>
    <xf numFmtId="0" fontId="10" fillId="3" borderId="14" xfId="9" applyFont="1" applyFill="1" applyBorder="1" applyAlignment="1" applyProtection="1">
      <alignment horizontal="center" vertical="center"/>
    </xf>
    <xf numFmtId="0" fontId="15" fillId="0" borderId="60" xfId="9" applyFont="1" applyFill="1" applyBorder="1" applyAlignment="1" applyProtection="1">
      <alignment horizontal="left" vertical="top"/>
    </xf>
    <xf numFmtId="0" fontId="10" fillId="3" borderId="110" xfId="6" applyFont="1" applyFill="1" applyBorder="1" applyAlignment="1" applyProtection="1">
      <alignment horizontal="center" vertical="center" wrapText="1"/>
    </xf>
    <xf numFmtId="0" fontId="10" fillId="3" borderId="20" xfId="6" applyFont="1" applyFill="1" applyBorder="1" applyAlignment="1" applyProtection="1">
      <alignment horizontal="center" vertical="center" wrapText="1"/>
    </xf>
    <xf numFmtId="0" fontId="23" fillId="0" borderId="0" xfId="6" applyFont="1" applyFill="1" applyAlignment="1" applyProtection="1">
      <alignment horizontal="center" vertical="center" wrapText="1"/>
    </xf>
    <xf numFmtId="0" fontId="26" fillId="0" borderId="0" xfId="9" applyFont="1" applyFill="1" applyBorder="1" applyAlignment="1" applyProtection="1">
      <alignment horizontal="left" vertical="center" wrapText="1"/>
    </xf>
    <xf numFmtId="0" fontId="15" fillId="0" borderId="2" xfId="9" applyFont="1" applyFill="1" applyBorder="1" applyAlignment="1" applyProtection="1">
      <alignment horizontal="left" vertical="top"/>
    </xf>
    <xf numFmtId="0" fontId="15" fillId="0" borderId="60" xfId="9" applyFont="1" applyFill="1" applyBorder="1" applyAlignment="1" applyProtection="1">
      <alignment vertical="top"/>
    </xf>
    <xf numFmtId="0" fontId="10" fillId="3" borderId="14" xfId="6" applyFont="1" applyFill="1" applyBorder="1" applyAlignment="1" applyProtection="1">
      <alignment horizontal="center" vertical="center"/>
    </xf>
    <xf numFmtId="0" fontId="15" fillId="0" borderId="0" xfId="11" applyFont="1" applyFill="1" applyAlignment="1" applyProtection="1">
      <alignment vertical="center"/>
    </xf>
    <xf numFmtId="0" fontId="10" fillId="15" borderId="15" xfId="11" applyFont="1" applyFill="1" applyBorder="1" applyAlignment="1" applyProtection="1">
      <alignment horizontal="center" vertical="center"/>
    </xf>
    <xf numFmtId="0" fontId="10" fillId="15" borderId="20" xfId="11" applyFont="1" applyFill="1" applyBorder="1" applyAlignment="1" applyProtection="1">
      <alignment horizontal="center" vertical="center"/>
    </xf>
    <xf numFmtId="0" fontId="15" fillId="0" borderId="0" xfId="11" applyFont="1" applyFill="1" applyBorder="1" applyAlignment="1" applyProtection="1">
      <alignment vertical="center"/>
    </xf>
    <xf numFmtId="0" fontId="103" fillId="3" borderId="33" xfId="11" applyFont="1" applyFill="1" applyBorder="1" applyAlignment="1" applyProtection="1">
      <alignment vertical="center"/>
    </xf>
    <xf numFmtId="0" fontId="109" fillId="0" borderId="34" xfId="22" applyFont="1" applyBorder="1" applyAlignment="1"/>
    <xf numFmtId="0" fontId="109" fillId="0" borderId="35" xfId="22" applyFont="1" applyBorder="1" applyAlignment="1"/>
    <xf numFmtId="0" fontId="10" fillId="3" borderId="33" xfId="11" applyFont="1" applyFill="1" applyBorder="1" applyAlignment="1" applyProtection="1">
      <alignment horizontal="center" vertical="center"/>
    </xf>
    <xf numFmtId="0" fontId="10" fillId="3" borderId="35" xfId="11" applyFont="1" applyFill="1" applyBorder="1" applyAlignment="1" applyProtection="1">
      <alignment horizontal="center" vertical="center"/>
    </xf>
    <xf numFmtId="0" fontId="10" fillId="3" borderId="33" xfId="6" applyFont="1" applyFill="1" applyBorder="1" applyAlignment="1" applyProtection="1">
      <alignment horizontal="center" vertical="center"/>
    </xf>
    <xf numFmtId="0" fontId="10" fillId="3" borderId="55" xfId="11" applyFont="1" applyFill="1" applyBorder="1" applyAlignment="1" applyProtection="1">
      <alignment horizontal="center" vertical="center"/>
    </xf>
    <xf numFmtId="0" fontId="10" fillId="3" borderId="61" xfId="11" applyFont="1" applyFill="1" applyBorder="1" applyAlignment="1" applyProtection="1">
      <alignment horizontal="center" vertical="center"/>
    </xf>
    <xf numFmtId="0" fontId="10" fillId="3" borderId="33" xfId="11" applyFont="1" applyFill="1" applyBorder="1" applyAlignment="1" applyProtection="1">
      <alignment vertical="center"/>
    </xf>
    <xf numFmtId="0" fontId="10" fillId="3" borderId="3" xfId="11" applyFont="1" applyFill="1" applyBorder="1" applyAlignment="1" applyProtection="1">
      <alignment vertical="center"/>
    </xf>
    <xf numFmtId="0" fontId="103" fillId="3" borderId="34" xfId="9" applyFont="1" applyFill="1" applyBorder="1" applyAlignment="1" applyProtection="1">
      <alignment vertical="center"/>
    </xf>
    <xf numFmtId="0" fontId="103" fillId="3" borderId="35" xfId="9" applyFont="1" applyFill="1" applyBorder="1" applyAlignment="1" applyProtection="1">
      <alignment vertical="center"/>
    </xf>
    <xf numFmtId="9" fontId="62" fillId="0" borderId="342" xfId="11" applyNumberFormat="1" applyFont="1" applyFill="1" applyBorder="1" applyAlignment="1">
      <alignment vertical="center" wrapText="1"/>
    </xf>
    <xf numFmtId="9" fontId="62" fillId="0" borderId="0" xfId="11" applyNumberFormat="1" applyFont="1" applyFill="1" applyBorder="1" applyAlignment="1">
      <alignment vertical="center" wrapText="1"/>
    </xf>
    <xf numFmtId="9" fontId="62" fillId="0" borderId="169" xfId="11" applyNumberFormat="1" applyFont="1" applyFill="1" applyBorder="1" applyAlignment="1">
      <alignment vertical="center" wrapText="1"/>
    </xf>
    <xf numFmtId="0" fontId="103" fillId="3" borderId="34" xfId="11" applyFont="1" applyFill="1" applyBorder="1" applyAlignment="1" applyProtection="1">
      <alignment vertical="center"/>
    </xf>
    <xf numFmtId="0" fontId="103" fillId="3" borderId="35" xfId="11" applyFont="1" applyFill="1" applyBorder="1" applyAlignment="1" applyProtection="1">
      <alignment vertical="center"/>
    </xf>
    <xf numFmtId="9" fontId="76" fillId="0" borderId="342" xfId="11" applyNumberFormat="1" applyFont="1" applyFill="1" applyBorder="1" applyAlignment="1">
      <alignment vertical="center" wrapText="1"/>
    </xf>
    <xf numFmtId="9" fontId="76" fillId="0" borderId="0" xfId="11" applyNumberFormat="1" applyFont="1" applyFill="1" applyBorder="1" applyAlignment="1">
      <alignment vertical="center" wrapText="1"/>
    </xf>
    <xf numFmtId="9" fontId="76" fillId="0" borderId="169" xfId="11" applyNumberFormat="1" applyFont="1" applyFill="1" applyBorder="1" applyAlignment="1">
      <alignment vertical="center" wrapText="1"/>
    </xf>
    <xf numFmtId="0" fontId="74" fillId="9" borderId="0" xfId="11" applyFont="1" applyFill="1" applyAlignment="1">
      <alignment vertical="center"/>
    </xf>
    <xf numFmtId="0" fontId="74" fillId="0" borderId="0" xfId="11" applyFont="1" applyAlignment="1">
      <alignment vertical="center"/>
    </xf>
    <xf numFmtId="0" fontId="103" fillId="3" borderId="33" xfId="9" applyFont="1" applyFill="1" applyBorder="1" applyAlignment="1" applyProtection="1">
      <alignment vertical="center"/>
    </xf>
    <xf numFmtId="0" fontId="0" fillId="0" borderId="0" xfId="0" applyAlignment="1" applyProtection="1">
      <alignment horizontal="left" wrapText="1"/>
    </xf>
    <xf numFmtId="0" fontId="26" fillId="0" borderId="9" xfId="9" applyFont="1" applyFill="1" applyBorder="1" applyAlignment="1" applyProtection="1">
      <alignment horizontal="left" vertical="top" wrapText="1"/>
    </xf>
    <xf numFmtId="0" fontId="26" fillId="0" borderId="10" xfId="9" applyFont="1" applyFill="1" applyBorder="1" applyAlignment="1" applyProtection="1">
      <alignment horizontal="left" vertical="top" wrapText="1"/>
    </xf>
    <xf numFmtId="0" fontId="10" fillId="3" borderId="14" xfId="6" applyFont="1" applyFill="1" applyBorder="1" applyAlignment="1" applyProtection="1">
      <alignment horizontal="left" vertical="center"/>
    </xf>
    <xf numFmtId="0" fontId="10" fillId="3" borderId="15" xfId="6" applyFont="1" applyFill="1" applyBorder="1" applyAlignment="1" applyProtection="1">
      <alignment horizontal="left" vertical="center"/>
    </xf>
    <xf numFmtId="0" fontId="10" fillId="3" borderId="19" xfId="6" applyFont="1" applyFill="1" applyBorder="1" applyAlignment="1" applyProtection="1">
      <alignment horizontal="left" vertical="center"/>
    </xf>
    <xf numFmtId="0" fontId="10" fillId="3" borderId="20" xfId="6" applyFont="1" applyFill="1" applyBorder="1" applyAlignment="1" applyProtection="1">
      <alignment horizontal="left" vertical="center"/>
    </xf>
    <xf numFmtId="0" fontId="10" fillId="3" borderId="15" xfId="6" applyFont="1" applyFill="1" applyBorder="1" applyAlignment="1" applyProtection="1">
      <alignment horizontal="center" vertical="center"/>
    </xf>
    <xf numFmtId="0" fontId="10" fillId="3" borderId="20" xfId="6" applyFont="1" applyFill="1" applyBorder="1" applyAlignment="1" applyProtection="1">
      <alignment horizontal="center" vertical="center"/>
    </xf>
    <xf numFmtId="0" fontId="10" fillId="3" borderId="16" xfId="6" applyFont="1" applyFill="1" applyBorder="1" applyAlignment="1" applyProtection="1">
      <alignment horizontal="center" vertical="center"/>
    </xf>
    <xf numFmtId="0" fontId="10" fillId="3" borderId="21" xfId="6" applyFont="1" applyFill="1" applyBorder="1" applyAlignment="1" applyProtection="1">
      <alignment horizontal="center" vertical="center"/>
    </xf>
    <xf numFmtId="0" fontId="10" fillId="3" borderId="17" xfId="6" applyFont="1" applyFill="1" applyBorder="1" applyAlignment="1" applyProtection="1">
      <alignment horizontal="center" vertical="center" wrapText="1"/>
    </xf>
    <xf numFmtId="0" fontId="10" fillId="3" borderId="22" xfId="6" applyFont="1" applyFill="1" applyBorder="1" applyAlignment="1" applyProtection="1">
      <alignment horizontal="center" vertical="center" wrapText="1"/>
    </xf>
    <xf numFmtId="0" fontId="10" fillId="3" borderId="5" xfId="6" applyFont="1" applyFill="1" applyBorder="1" applyAlignment="1" applyProtection="1">
      <alignment horizontal="center" vertical="center" wrapText="1"/>
    </xf>
    <xf numFmtId="0" fontId="10" fillId="3" borderId="6" xfId="6" applyFont="1" applyFill="1" applyBorder="1" applyAlignment="1" applyProtection="1">
      <alignment horizontal="center" vertical="center" wrapText="1"/>
    </xf>
    <xf numFmtId="0" fontId="10" fillId="3" borderId="7" xfId="6" applyFont="1" applyFill="1" applyBorder="1" applyAlignment="1" applyProtection="1">
      <alignment horizontal="center" vertical="center" wrapText="1"/>
    </xf>
    <xf numFmtId="0" fontId="10" fillId="3" borderId="18" xfId="6" applyFont="1" applyFill="1" applyBorder="1" applyAlignment="1" applyProtection="1">
      <alignment horizontal="center" vertical="center" wrapText="1"/>
    </xf>
    <xf numFmtId="0" fontId="10" fillId="3" borderId="23" xfId="6" applyFont="1" applyFill="1" applyBorder="1" applyAlignment="1" applyProtection="1">
      <alignment horizontal="center" vertical="center" wrapText="1"/>
    </xf>
    <xf numFmtId="0" fontId="23" fillId="6" borderId="0" xfId="6" applyFont="1" applyFill="1" applyAlignment="1" applyProtection="1">
      <alignment horizontal="center" vertical="center" wrapText="1"/>
    </xf>
    <xf numFmtId="0" fontId="26" fillId="0" borderId="6" xfId="9" applyFont="1" applyFill="1" applyBorder="1" applyAlignment="1" applyProtection="1">
      <alignment horizontal="left" vertical="top" wrapText="1"/>
    </xf>
    <xf numFmtId="0" fontId="26" fillId="0" borderId="7" xfId="9" applyFont="1" applyFill="1" applyBorder="1" applyAlignment="1" applyProtection="1">
      <alignment horizontal="left" vertical="top" wrapText="1"/>
    </xf>
    <xf numFmtId="0" fontId="26" fillId="0" borderId="12" xfId="9" applyFont="1" applyFill="1" applyBorder="1" applyAlignment="1" applyProtection="1">
      <alignment horizontal="left" vertical="top" wrapText="1"/>
    </xf>
    <xf numFmtId="0" fontId="26" fillId="0" borderId="13" xfId="9" applyFont="1" applyFill="1" applyBorder="1" applyAlignment="1" applyProtection="1">
      <alignment horizontal="left" vertical="top" wrapText="1"/>
    </xf>
    <xf numFmtId="0" fontId="15" fillId="0" borderId="0" xfId="9" applyFont="1" applyFill="1" applyAlignment="1" applyProtection="1">
      <alignment vertical="center"/>
    </xf>
    <xf numFmtId="0" fontId="26" fillId="0" borderId="40" xfId="0" applyFont="1" applyBorder="1" applyAlignment="1" applyProtection="1">
      <alignment horizontal="left" vertical="top"/>
    </xf>
    <xf numFmtId="0" fontId="26"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26" fillId="0" borderId="38" xfId="9" applyFont="1" applyFill="1" applyBorder="1" applyAlignment="1" applyProtection="1">
      <alignment horizontal="left" vertical="top" wrapText="1"/>
    </xf>
    <xf numFmtId="0" fontId="26" fillId="0" borderId="29" xfId="9" applyFont="1" applyFill="1" applyBorder="1" applyAlignment="1" applyProtection="1">
      <alignment horizontal="left" vertical="top" wrapText="1"/>
    </xf>
    <xf numFmtId="0" fontId="26" fillId="0" borderId="26" xfId="9" applyFont="1" applyFill="1" applyBorder="1" applyAlignment="1" applyProtection="1">
      <alignment horizontal="left" vertical="top" wrapText="1"/>
    </xf>
    <xf numFmtId="0" fontId="26" fillId="0" borderId="40" xfId="9" applyFont="1" applyFill="1" applyBorder="1" applyAlignment="1" applyProtection="1">
      <alignment horizontal="left" vertical="top" wrapText="1"/>
    </xf>
    <xf numFmtId="0" fontId="26" fillId="0" borderId="45" xfId="9" applyFont="1" applyFill="1" applyBorder="1" applyAlignment="1" applyProtection="1">
      <alignment horizontal="left" vertical="top" wrapText="1"/>
    </xf>
    <xf numFmtId="0" fontId="26" fillId="0" borderId="27" xfId="9" applyFont="1" applyFill="1" applyBorder="1" applyAlignment="1" applyProtection="1">
      <alignment horizontal="left" vertical="top" wrapText="1"/>
    </xf>
    <xf numFmtId="0" fontId="10" fillId="3" borderId="54" xfId="6" applyFont="1" applyFill="1" applyBorder="1" applyAlignment="1" applyProtection="1">
      <alignment horizontal="center" vertical="center" wrapText="1"/>
    </xf>
    <xf numFmtId="0" fontId="10" fillId="3" borderId="28" xfId="6" applyFont="1" applyFill="1" applyBorder="1" applyAlignment="1" applyProtection="1">
      <alignment horizontal="center" vertical="center" wrapText="1"/>
    </xf>
    <xf numFmtId="0" fontId="10" fillId="3" borderId="24" xfId="6" applyFont="1" applyFill="1" applyBorder="1" applyAlignment="1" applyProtection="1">
      <alignment horizontal="center" vertical="center" wrapText="1"/>
    </xf>
    <xf numFmtId="0" fontId="26" fillId="0" borderId="36" xfId="9" applyFont="1" applyFill="1" applyBorder="1" applyAlignment="1" applyProtection="1">
      <alignment horizontal="left" vertical="top" wrapText="1"/>
    </xf>
    <xf numFmtId="0" fontId="26" fillId="0" borderId="28" xfId="9" applyFont="1" applyFill="1" applyBorder="1" applyAlignment="1" applyProtection="1">
      <alignment horizontal="left" vertical="top" wrapText="1"/>
    </xf>
    <xf numFmtId="0" fontId="26" fillId="0" borderId="24" xfId="9" applyFont="1" applyFill="1" applyBorder="1" applyAlignment="1" applyProtection="1">
      <alignment horizontal="left" vertical="top" wrapText="1"/>
    </xf>
    <xf numFmtId="0" fontId="10" fillId="3" borderId="1" xfId="6" applyFont="1" applyFill="1" applyBorder="1" applyAlignment="1" applyProtection="1">
      <alignment horizontal="center" vertical="center" wrapText="1"/>
    </xf>
    <xf numFmtId="0" fontId="37" fillId="0" borderId="6" xfId="9" applyFont="1" applyFill="1" applyBorder="1" applyAlignment="1" applyProtection="1">
      <alignment horizontal="left" vertical="top" wrapText="1"/>
    </xf>
    <xf numFmtId="0" fontId="10" fillId="3" borderId="170" xfId="6" applyFont="1" applyFill="1" applyBorder="1" applyAlignment="1" applyProtection="1">
      <alignment horizontal="center" vertical="center" wrapText="1"/>
    </xf>
    <xf numFmtId="0" fontId="10" fillId="3" borderId="228" xfId="6" applyFont="1" applyFill="1" applyBorder="1" applyAlignment="1" applyProtection="1">
      <alignment horizontal="left" vertical="center"/>
    </xf>
    <xf numFmtId="0" fontId="10" fillId="3" borderId="155" xfId="6" applyFont="1" applyFill="1" applyBorder="1" applyAlignment="1" applyProtection="1">
      <alignment horizontal="left" vertical="center"/>
    </xf>
    <xf numFmtId="0" fontId="10" fillId="3" borderId="155" xfId="6" applyFont="1" applyFill="1" applyBorder="1" applyAlignment="1" applyProtection="1">
      <alignment horizontal="center" vertical="center"/>
    </xf>
    <xf numFmtId="0" fontId="10" fillId="3" borderId="302" xfId="6" applyFont="1" applyFill="1" applyBorder="1" applyAlignment="1" applyProtection="1">
      <alignment horizontal="center" vertical="center"/>
    </xf>
    <xf numFmtId="0" fontId="10" fillId="3" borderId="33" xfId="6" applyFont="1" applyFill="1" applyBorder="1" applyAlignment="1" applyProtection="1">
      <alignment horizontal="center" vertical="center" wrapText="1"/>
    </xf>
    <xf numFmtId="0" fontId="10" fillId="3" borderId="34" xfId="6" applyFont="1" applyFill="1" applyBorder="1" applyAlignment="1" applyProtection="1">
      <alignment horizontal="center" vertical="center" wrapText="1"/>
    </xf>
    <xf numFmtId="0" fontId="10" fillId="3" borderId="35" xfId="6" applyFont="1" applyFill="1" applyBorder="1" applyAlignment="1" applyProtection="1">
      <alignment horizontal="center" vertical="center" wrapText="1"/>
    </xf>
    <xf numFmtId="0" fontId="10" fillId="3" borderId="18" xfId="9" applyFont="1" applyFill="1" applyBorder="1" applyAlignment="1" applyProtection="1">
      <alignment horizontal="center" vertical="center"/>
    </xf>
    <xf numFmtId="0" fontId="10" fillId="3" borderId="23" xfId="9" applyFont="1" applyFill="1" applyBorder="1" applyAlignment="1" applyProtection="1">
      <alignment horizontal="center" vertical="center"/>
    </xf>
    <xf numFmtId="0" fontId="10" fillId="3" borderId="14" xfId="9" applyFont="1" applyFill="1" applyBorder="1" applyAlignment="1" applyProtection="1">
      <alignment horizontal="left" vertical="center"/>
    </xf>
    <xf numFmtId="0" fontId="10" fillId="3" borderId="15" xfId="9" applyFont="1" applyFill="1" applyBorder="1" applyAlignment="1" applyProtection="1">
      <alignment horizontal="left" vertical="center"/>
    </xf>
    <xf numFmtId="0" fontId="10" fillId="3" borderId="19" xfId="9" applyFont="1" applyFill="1" applyBorder="1" applyAlignment="1" applyProtection="1">
      <alignment horizontal="left" vertical="center"/>
    </xf>
    <xf numFmtId="0" fontId="10" fillId="3" borderId="20" xfId="9" applyFont="1" applyFill="1" applyBorder="1" applyAlignment="1" applyProtection="1">
      <alignment horizontal="left" vertical="center"/>
    </xf>
    <xf numFmtId="0" fontId="10" fillId="3" borderId="15" xfId="9" applyFont="1" applyFill="1" applyBorder="1" applyAlignment="1" applyProtection="1">
      <alignment horizontal="center" vertical="center"/>
    </xf>
    <xf numFmtId="0" fontId="10" fillId="3" borderId="20" xfId="9" applyFont="1" applyFill="1" applyBorder="1" applyAlignment="1" applyProtection="1">
      <alignment horizontal="center" vertical="center"/>
    </xf>
    <xf numFmtId="0" fontId="10" fillId="3" borderId="16" xfId="9" applyFont="1" applyFill="1" applyBorder="1" applyAlignment="1" applyProtection="1">
      <alignment horizontal="center" vertical="center"/>
    </xf>
    <xf numFmtId="0" fontId="10" fillId="3" borderId="21" xfId="9" applyFont="1" applyFill="1" applyBorder="1" applyAlignment="1" applyProtection="1">
      <alignment horizontal="center" vertical="center"/>
    </xf>
    <xf numFmtId="0" fontId="10" fillId="3" borderId="5" xfId="9" applyFont="1" applyFill="1" applyBorder="1" applyAlignment="1" applyProtection="1">
      <alignment horizontal="center" vertical="center"/>
    </xf>
    <xf numFmtId="0" fontId="10" fillId="3" borderId="7" xfId="9" applyFont="1" applyFill="1" applyBorder="1" applyAlignment="1" applyProtection="1">
      <alignment horizontal="center" vertical="center"/>
    </xf>
    <xf numFmtId="0" fontId="10" fillId="3" borderId="55" xfId="9" applyFont="1" applyFill="1" applyBorder="1" applyAlignment="1" applyProtection="1">
      <alignment horizontal="center" vertical="center"/>
    </xf>
    <xf numFmtId="0" fontId="10" fillId="3" borderId="53" xfId="9" applyFont="1" applyFill="1" applyBorder="1" applyAlignment="1" applyProtection="1">
      <alignment horizontal="center" vertical="center"/>
    </xf>
    <xf numFmtId="0" fontId="10" fillId="3" borderId="17" xfId="9" applyFont="1" applyFill="1" applyBorder="1" applyAlignment="1" applyProtection="1">
      <alignment horizontal="center" vertical="center"/>
    </xf>
    <xf numFmtId="0" fontId="19" fillId="6" borderId="0" xfId="9" applyFont="1" applyFill="1" applyAlignment="1" applyProtection="1">
      <alignment horizontal="center" vertical="center" wrapText="1"/>
    </xf>
    <xf numFmtId="0" fontId="10" fillId="3" borderId="11" xfId="6" applyFont="1" applyFill="1" applyBorder="1" applyAlignment="1" applyProtection="1">
      <alignment horizontal="center" vertical="center" wrapText="1"/>
    </xf>
    <xf numFmtId="0" fontId="10" fillId="3" borderId="13" xfId="6" applyFont="1" applyFill="1" applyBorder="1" applyAlignment="1" applyProtection="1">
      <alignment horizontal="center" vertical="center" wrapText="1"/>
    </xf>
    <xf numFmtId="0" fontId="10" fillId="3" borderId="2" xfId="9" applyFont="1" applyFill="1" applyBorder="1" applyAlignment="1" applyProtection="1">
      <alignment horizontal="left" vertical="center" wrapText="1"/>
    </xf>
    <xf numFmtId="0" fontId="10" fillId="3" borderId="3" xfId="9" applyFont="1" applyFill="1" applyBorder="1" applyAlignment="1" applyProtection="1">
      <alignment horizontal="left" vertical="center" wrapText="1"/>
    </xf>
    <xf numFmtId="0" fontId="17" fillId="0" borderId="0" xfId="9" applyFont="1" applyFill="1" applyBorder="1" applyAlignment="1" applyProtection="1">
      <alignment horizontal="left" vertical="center" wrapText="1"/>
    </xf>
    <xf numFmtId="0" fontId="26" fillId="0" borderId="38" xfId="9" applyFont="1" applyFill="1" applyBorder="1" applyAlignment="1" applyProtection="1">
      <alignment vertical="top" wrapText="1"/>
    </xf>
    <xf numFmtId="0" fontId="26" fillId="0" borderId="29" xfId="9" applyFont="1" applyFill="1" applyBorder="1" applyAlignment="1" applyProtection="1">
      <alignment vertical="top" wrapText="1"/>
    </xf>
    <xf numFmtId="0" fontId="26" fillId="0" borderId="26" xfId="9" applyFont="1" applyFill="1" applyBorder="1" applyAlignment="1" applyProtection="1">
      <alignment vertical="top" wrapText="1"/>
    </xf>
    <xf numFmtId="0" fontId="26" fillId="0" borderId="36" xfId="9" applyFont="1" applyFill="1" applyBorder="1" applyAlignment="1" applyProtection="1">
      <alignment vertical="top" wrapText="1"/>
    </xf>
    <xf numFmtId="0" fontId="26" fillId="0" borderId="28" xfId="9" applyFont="1" applyFill="1" applyBorder="1" applyAlignment="1" applyProtection="1">
      <alignment vertical="top" wrapText="1"/>
    </xf>
    <xf numFmtId="0" fontId="26" fillId="0" borderId="24" xfId="9" applyFont="1" applyFill="1" applyBorder="1" applyAlignment="1" applyProtection="1">
      <alignment vertical="top" wrapText="1"/>
    </xf>
    <xf numFmtId="0" fontId="26" fillId="0" borderId="40" xfId="9" applyFont="1" applyFill="1" applyBorder="1" applyAlignment="1" applyProtection="1">
      <alignment vertical="top" wrapText="1"/>
    </xf>
    <xf numFmtId="0" fontId="26" fillId="0" borderId="45" xfId="9" applyFont="1" applyFill="1" applyBorder="1" applyAlignment="1" applyProtection="1">
      <alignment vertical="top" wrapText="1"/>
    </xf>
    <xf numFmtId="0" fontId="26" fillId="0" borderId="27" xfId="9" applyFont="1" applyFill="1" applyBorder="1" applyAlignment="1" applyProtection="1">
      <alignment vertical="top" wrapText="1"/>
    </xf>
    <xf numFmtId="0" fontId="10" fillId="3" borderId="2" xfId="9" applyFont="1" applyFill="1" applyBorder="1" applyAlignment="1" applyProtection="1">
      <alignment horizontal="left" vertical="center"/>
    </xf>
    <xf numFmtId="0" fontId="10" fillId="3" borderId="3" xfId="9" applyFont="1" applyFill="1" applyBorder="1" applyAlignment="1" applyProtection="1">
      <alignment horizontal="left" vertical="center"/>
    </xf>
    <xf numFmtId="0" fontId="10" fillId="3" borderId="4" xfId="9" applyFont="1" applyFill="1" applyBorder="1" applyAlignment="1" applyProtection="1">
      <alignment horizontal="left" vertical="center"/>
    </xf>
    <xf numFmtId="0" fontId="15" fillId="0" borderId="3" xfId="9" applyFont="1" applyFill="1" applyBorder="1" applyAlignment="1" applyProtection="1">
      <alignment horizontal="center" vertical="top" wrapText="1"/>
    </xf>
    <xf numFmtId="0" fontId="15" fillId="0" borderId="4" xfId="9" applyFont="1" applyFill="1" applyBorder="1" applyAlignment="1" applyProtection="1">
      <alignment horizontal="center" vertical="top" wrapText="1"/>
    </xf>
    <xf numFmtId="0" fontId="26" fillId="0" borderId="9" xfId="9" applyFont="1" applyFill="1" applyBorder="1" applyAlignment="1" applyProtection="1">
      <alignment vertical="top" wrapText="1"/>
    </xf>
    <xf numFmtId="0" fontId="26" fillId="0" borderId="10" xfId="9" applyFont="1" applyFill="1" applyBorder="1" applyAlignment="1" applyProtection="1">
      <alignment vertical="top" wrapText="1"/>
    </xf>
    <xf numFmtId="0" fontId="23"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10" fillId="3" borderId="5" xfId="6" applyFont="1" applyFill="1" applyBorder="1" applyAlignment="1" applyProtection="1">
      <alignment horizontal="left" vertical="center"/>
    </xf>
    <xf numFmtId="0" fontId="10" fillId="3" borderId="6" xfId="6" applyFont="1" applyFill="1" applyBorder="1" applyAlignment="1" applyProtection="1">
      <alignment horizontal="left" vertical="center"/>
    </xf>
    <xf numFmtId="0" fontId="10" fillId="3" borderId="11" xfId="6" applyFont="1" applyFill="1" applyBorder="1" applyAlignment="1" applyProtection="1">
      <alignment horizontal="left" vertical="center"/>
    </xf>
    <xf numFmtId="0" fontId="10" fillId="3" borderId="12" xfId="6" applyFont="1" applyFill="1" applyBorder="1" applyAlignment="1" applyProtection="1">
      <alignment horizontal="left" vertical="center"/>
    </xf>
    <xf numFmtId="0" fontId="10" fillId="3" borderId="6" xfId="6" applyFont="1" applyFill="1" applyBorder="1" applyAlignment="1" applyProtection="1">
      <alignment horizontal="center" vertical="center"/>
    </xf>
    <xf numFmtId="0" fontId="10" fillId="3" borderId="12" xfId="6" applyFont="1" applyFill="1" applyBorder="1" applyAlignment="1" applyProtection="1">
      <alignment horizontal="center" vertical="center"/>
    </xf>
    <xf numFmtId="0" fontId="10" fillId="3" borderId="7" xfId="6" applyFont="1" applyFill="1" applyBorder="1" applyAlignment="1" applyProtection="1">
      <alignment horizontal="center" vertical="center"/>
    </xf>
    <xf numFmtId="0" fontId="10" fillId="3" borderId="13" xfId="6" applyFont="1" applyFill="1" applyBorder="1" applyAlignment="1" applyProtection="1">
      <alignment horizontal="center" vertical="center"/>
    </xf>
    <xf numFmtId="0" fontId="26" fillId="0" borderId="54" xfId="9" applyFont="1" applyFill="1" applyBorder="1" applyAlignment="1" applyProtection="1">
      <alignment horizontal="left" vertical="top" wrapText="1"/>
    </xf>
    <xf numFmtId="0" fontId="26" fillId="0" borderId="56" xfId="9" applyFont="1" applyFill="1" applyBorder="1" applyAlignment="1" applyProtection="1">
      <alignment horizontal="left" vertical="top" wrapText="1"/>
    </xf>
    <xf numFmtId="0" fontId="26" fillId="0" borderId="57" xfId="9" applyFont="1" applyFill="1" applyBorder="1" applyAlignment="1" applyProtection="1">
      <alignment horizontal="left" vertical="top" wrapText="1"/>
    </xf>
    <xf numFmtId="0" fontId="10" fillId="3" borderId="58" xfId="6" applyFont="1" applyFill="1" applyBorder="1" applyAlignment="1" applyProtection="1">
      <alignment horizontal="left" vertical="center"/>
    </xf>
    <xf numFmtId="0" fontId="10" fillId="3" borderId="59" xfId="6" applyFont="1" applyFill="1" applyBorder="1" applyAlignment="1" applyProtection="1">
      <alignment horizontal="left" vertical="center"/>
    </xf>
    <xf numFmtId="0" fontId="26" fillId="0" borderId="47" xfId="9" applyFont="1" applyFill="1" applyBorder="1" applyAlignment="1" applyProtection="1">
      <alignment horizontal="left" vertical="top" wrapText="1"/>
    </xf>
    <xf numFmtId="0" fontId="26" fillId="0" borderId="50" xfId="9" applyFont="1" applyFill="1" applyBorder="1" applyAlignment="1" applyProtection="1">
      <alignment horizontal="left" vertical="top" wrapText="1"/>
    </xf>
    <xf numFmtId="0" fontId="26" fillId="0" borderId="12" xfId="9" applyFont="1" applyFill="1" applyBorder="1" applyAlignment="1" applyProtection="1">
      <alignment vertical="top" wrapText="1"/>
    </xf>
    <xf numFmtId="0" fontId="26" fillId="0" borderId="13" xfId="9" applyFont="1" applyFill="1" applyBorder="1" applyAlignment="1" applyProtection="1">
      <alignment vertical="top" wrapText="1"/>
    </xf>
    <xf numFmtId="0" fontId="15" fillId="0" borderId="3" xfId="9" applyFont="1" applyFill="1" applyBorder="1" applyAlignment="1" applyProtection="1">
      <alignment vertical="top"/>
    </xf>
    <xf numFmtId="0" fontId="15" fillId="0" borderId="4" xfId="9" applyFont="1" applyFill="1" applyBorder="1" applyAlignment="1" applyProtection="1">
      <alignment vertical="top"/>
    </xf>
    <xf numFmtId="0" fontId="26" fillId="0" borderId="47" xfId="9" applyFont="1" applyFill="1" applyBorder="1" applyAlignment="1" applyProtection="1">
      <alignment vertical="top" wrapText="1"/>
    </xf>
    <xf numFmtId="0" fontId="26" fillId="0" borderId="50" xfId="9" applyFont="1" applyFill="1" applyBorder="1" applyAlignment="1" applyProtection="1">
      <alignment vertical="top" wrapText="1"/>
    </xf>
    <xf numFmtId="0" fontId="10" fillId="3" borderId="33" xfId="9" applyFont="1" applyFill="1" applyBorder="1" applyAlignment="1" applyProtection="1">
      <alignment horizontal="left" vertical="center"/>
    </xf>
    <xf numFmtId="0" fontId="10" fillId="3" borderId="35" xfId="9" applyFont="1" applyFill="1" applyBorder="1" applyAlignment="1" applyProtection="1">
      <alignment horizontal="left" vertical="center"/>
    </xf>
    <xf numFmtId="0" fontId="15" fillId="0" borderId="6" xfId="9" applyFont="1" applyFill="1" applyBorder="1" applyAlignment="1" applyProtection="1">
      <alignment vertical="top"/>
    </xf>
    <xf numFmtId="0" fontId="15" fillId="0" borderId="7" xfId="9" applyFont="1" applyFill="1" applyBorder="1" applyAlignment="1" applyProtection="1">
      <alignment vertical="top"/>
    </xf>
    <xf numFmtId="0" fontId="10" fillId="3" borderId="2" xfId="6" applyFont="1" applyFill="1" applyBorder="1" applyAlignment="1" applyProtection="1">
      <alignment horizontal="left" vertical="center"/>
    </xf>
    <xf numFmtId="0" fontId="10" fillId="3" borderId="3" xfId="6" applyFont="1" applyFill="1" applyBorder="1" applyAlignment="1" applyProtection="1">
      <alignment horizontal="left" vertical="center"/>
    </xf>
    <xf numFmtId="0" fontId="15" fillId="0" borderId="33" xfId="9" applyFont="1" applyFill="1" applyBorder="1" applyAlignment="1" applyProtection="1">
      <alignment vertical="top"/>
    </xf>
    <xf numFmtId="0" fontId="15" fillId="0" borderId="34" xfId="9" applyFont="1" applyFill="1" applyBorder="1" applyAlignment="1" applyProtection="1">
      <alignment vertical="top"/>
    </xf>
    <xf numFmtId="0" fontId="15" fillId="0" borderId="35" xfId="9" applyFont="1" applyFill="1" applyBorder="1" applyAlignment="1" applyProtection="1">
      <alignment vertical="top"/>
    </xf>
    <xf numFmtId="0" fontId="19" fillId="0" borderId="9" xfId="9" applyFont="1" applyFill="1" applyBorder="1" applyAlignment="1" applyProtection="1">
      <alignment horizontal="left" vertical="top" wrapText="1"/>
    </xf>
    <xf numFmtId="0" fontId="19" fillId="0" borderId="10" xfId="9" applyFont="1" applyFill="1" applyBorder="1" applyAlignment="1" applyProtection="1">
      <alignment horizontal="left" vertical="top" wrapText="1"/>
    </xf>
    <xf numFmtId="0" fontId="0" fillId="0" borderId="0" xfId="0" applyAlignment="1">
      <alignment vertical="top" wrapText="1"/>
    </xf>
    <xf numFmtId="0" fontId="12" fillId="0" borderId="9" xfId="0" applyFont="1" applyFill="1" applyBorder="1" applyAlignment="1" applyProtection="1">
      <alignment horizontal="left" vertical="top" wrapText="1"/>
    </xf>
    <xf numFmtId="0" fontId="12" fillId="0" borderId="10" xfId="0" applyFont="1" applyFill="1" applyBorder="1" applyAlignment="1" applyProtection="1">
      <alignment horizontal="left" vertical="top" wrapText="1"/>
    </xf>
    <xf numFmtId="0" fontId="12" fillId="0" borderId="12" xfId="0" applyFont="1" applyFill="1" applyBorder="1" applyAlignment="1" applyProtection="1">
      <alignment horizontal="left" vertical="top" wrapText="1"/>
    </xf>
    <xf numFmtId="0" fontId="12" fillId="0" borderId="13" xfId="0" applyFont="1" applyFill="1" applyBorder="1" applyAlignment="1" applyProtection="1">
      <alignment horizontal="left" vertical="top" wrapText="1"/>
    </xf>
    <xf numFmtId="0" fontId="12" fillId="0" borderId="40" xfId="0" applyFont="1" applyFill="1" applyBorder="1" applyAlignment="1">
      <alignment horizontal="left" vertical="top" wrapText="1"/>
    </xf>
    <xf numFmtId="0" fontId="12" fillId="0" borderId="45" xfId="0" applyFont="1" applyFill="1" applyBorder="1" applyAlignment="1">
      <alignment horizontal="left" vertical="top" wrapText="1"/>
    </xf>
    <xf numFmtId="0" fontId="12" fillId="0" borderId="27" xfId="0" applyFont="1" applyFill="1" applyBorder="1" applyAlignment="1">
      <alignment horizontal="left" vertical="top" wrapText="1"/>
    </xf>
    <xf numFmtId="0" fontId="12" fillId="0" borderId="36" xfId="0" applyFont="1" applyFill="1" applyBorder="1" applyAlignment="1">
      <alignment horizontal="left" vertical="top" wrapText="1"/>
    </xf>
    <xf numFmtId="0" fontId="12" fillId="0" borderId="28" xfId="0" applyFont="1" applyFill="1" applyBorder="1" applyAlignment="1">
      <alignment horizontal="left" vertical="top" wrapText="1"/>
    </xf>
    <xf numFmtId="0" fontId="12" fillId="0" borderId="24" xfId="0" applyFont="1" applyFill="1" applyBorder="1" applyAlignment="1">
      <alignment horizontal="left" vertical="top" wrapText="1"/>
    </xf>
    <xf numFmtId="0" fontId="26" fillId="0" borderId="56" xfId="9" applyFont="1" applyFill="1" applyBorder="1" applyAlignment="1" applyProtection="1">
      <alignment vertical="top" wrapText="1"/>
    </xf>
    <xf numFmtId="0" fontId="26" fillId="0" borderId="57" xfId="9" applyFont="1" applyFill="1" applyBorder="1" applyAlignment="1" applyProtection="1">
      <alignment vertical="top" wrapText="1"/>
    </xf>
    <xf numFmtId="0" fontId="15" fillId="0" borderId="33" xfId="9" applyFont="1" applyFill="1" applyBorder="1" applyAlignment="1" applyProtection="1">
      <alignment horizontal="left" vertical="top"/>
    </xf>
    <xf numFmtId="0" fontId="15" fillId="0" borderId="34" xfId="9" applyFont="1" applyFill="1" applyBorder="1" applyAlignment="1" applyProtection="1">
      <alignment horizontal="left" vertical="top"/>
    </xf>
    <xf numFmtId="0" fontId="15" fillId="0" borderId="35" xfId="9" applyFont="1" applyFill="1" applyBorder="1" applyAlignment="1" applyProtection="1">
      <alignment horizontal="left" vertical="top"/>
    </xf>
    <xf numFmtId="0" fontId="26" fillId="0" borderId="113" xfId="9" applyFont="1" applyFill="1" applyBorder="1" applyAlignment="1" applyProtection="1">
      <alignment vertical="top" wrapText="1"/>
    </xf>
    <xf numFmtId="0" fontId="26" fillId="0" borderId="114" xfId="9" applyFont="1" applyFill="1" applyBorder="1" applyAlignment="1" applyProtection="1">
      <alignment vertical="top" wrapText="1"/>
    </xf>
    <xf numFmtId="0" fontId="26"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103"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3" fillId="0" borderId="38" xfId="0" applyFont="1" applyFill="1" applyBorder="1" applyAlignment="1" applyProtection="1">
      <alignment vertical="top" wrapText="1"/>
    </xf>
    <xf numFmtId="0" fontId="23" fillId="0" borderId="29" xfId="0" applyFont="1" applyFill="1" applyBorder="1" applyAlignment="1" applyProtection="1">
      <alignment vertical="top" wrapText="1"/>
    </xf>
    <xf numFmtId="0" fontId="23" fillId="0" borderId="26" xfId="0" applyFont="1" applyFill="1" applyBorder="1" applyAlignment="1" applyProtection="1">
      <alignment vertical="top" wrapText="1"/>
    </xf>
    <xf numFmtId="0" fontId="23" fillId="0" borderId="40" xfId="0" applyFont="1" applyFill="1" applyBorder="1" applyAlignment="1" applyProtection="1">
      <alignment vertical="top" wrapText="1"/>
    </xf>
    <xf numFmtId="0" fontId="23" fillId="0" borderId="45" xfId="0" applyFont="1" applyFill="1" applyBorder="1" applyAlignment="1" applyProtection="1">
      <alignment vertical="top" wrapText="1"/>
    </xf>
    <xf numFmtId="0" fontId="23" fillId="0" borderId="27" xfId="0" applyFont="1" applyFill="1" applyBorder="1" applyAlignment="1" applyProtection="1">
      <alignment vertical="top" wrapText="1"/>
    </xf>
    <xf numFmtId="0" fontId="33" fillId="0" borderId="55" xfId="5" applyFont="1" applyFill="1" applyBorder="1" applyAlignment="1" applyProtection="1">
      <alignment horizontal="left" vertical="top" wrapText="1"/>
    </xf>
    <xf numFmtId="0" fontId="33"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12" fillId="0" borderId="165" xfId="16" applyNumberFormat="1" applyFont="1" applyBorder="1" applyAlignment="1" applyProtection="1">
      <alignment horizontal="left" vertical="top" wrapText="1"/>
    </xf>
    <xf numFmtId="0" fontId="0" fillId="0" borderId="166" xfId="0" applyBorder="1" applyAlignment="1" applyProtection="1"/>
    <xf numFmtId="0" fontId="0" fillId="0" borderId="167" xfId="0" applyBorder="1" applyAlignment="1" applyProtection="1"/>
    <xf numFmtId="49" fontId="12" fillId="0" borderId="165" xfId="16" applyNumberFormat="1" applyFont="1" applyFill="1" applyBorder="1" applyAlignment="1" applyProtection="1">
      <alignment horizontal="left" vertical="top" wrapText="1"/>
    </xf>
    <xf numFmtId="0" fontId="0" fillId="0" borderId="166" xfId="0" applyFill="1" applyBorder="1" applyAlignment="1" applyProtection="1"/>
    <xf numFmtId="0" fontId="0" fillId="0" borderId="167" xfId="0" applyFill="1" applyBorder="1" applyAlignment="1" applyProtection="1"/>
    <xf numFmtId="49" fontId="12" fillId="0" borderId="336" xfId="16" applyNumberFormat="1" applyFont="1" applyBorder="1" applyAlignment="1" applyProtection="1">
      <alignment horizontal="left" vertical="top" wrapText="1"/>
    </xf>
    <xf numFmtId="0" fontId="0" fillId="0" borderId="337" xfId="0" applyBorder="1" applyAlignment="1" applyProtection="1"/>
    <xf numFmtId="0" fontId="0" fillId="0" borderId="338" xfId="0" applyBorder="1" applyAlignment="1" applyProtection="1"/>
    <xf numFmtId="0" fontId="33" fillId="0" borderId="33" xfId="5" applyFont="1" applyFill="1" applyBorder="1" applyAlignment="1" applyProtection="1">
      <alignment horizontal="left" vertical="top" wrapText="1"/>
    </xf>
    <xf numFmtId="0" fontId="33" fillId="0" borderId="34" xfId="5" applyFont="1" applyFill="1" applyBorder="1" applyAlignment="1" applyProtection="1">
      <alignment horizontal="left" vertical="top" wrapText="1"/>
    </xf>
    <xf numFmtId="0" fontId="0" fillId="0" borderId="34" xfId="0" applyBorder="1" applyAlignment="1" applyProtection="1"/>
    <xf numFmtId="0" fontId="0" fillId="0" borderId="35" xfId="0" applyBorder="1" applyAlignment="1" applyProtection="1"/>
    <xf numFmtId="49" fontId="12" fillId="0" borderId="347" xfId="16" applyNumberFormat="1" applyFont="1" applyBorder="1" applyAlignment="1" applyProtection="1">
      <alignment horizontal="left" vertical="top" wrapText="1"/>
    </xf>
    <xf numFmtId="0" fontId="0" fillId="0" borderId="348" xfId="0" applyBorder="1" applyAlignment="1" applyProtection="1"/>
    <xf numFmtId="0" fontId="0" fillId="0" borderId="349" xfId="0" applyBorder="1" applyAlignment="1" applyProtection="1"/>
    <xf numFmtId="49" fontId="12" fillId="0" borderId="350" xfId="16" applyNumberFormat="1" applyFont="1" applyBorder="1" applyAlignment="1" applyProtection="1">
      <alignment horizontal="left" vertical="top" wrapText="1"/>
    </xf>
    <xf numFmtId="0" fontId="0" fillId="0" borderId="351" xfId="0" applyBorder="1" applyAlignment="1" applyProtection="1"/>
    <xf numFmtId="0" fontId="0" fillId="0" borderId="352" xfId="0" applyBorder="1" applyAlignment="1" applyProtection="1"/>
    <xf numFmtId="49" fontId="12" fillId="0" borderId="162" xfId="16" quotePrefix="1" applyNumberFormat="1" applyFont="1" applyBorder="1" applyAlignment="1" applyProtection="1">
      <alignment horizontal="left" vertical="top" wrapText="1"/>
    </xf>
    <xf numFmtId="0" fontId="0" fillId="0" borderId="163" xfId="0" applyBorder="1" applyAlignment="1" applyProtection="1"/>
    <xf numFmtId="0" fontId="0" fillId="0" borderId="164" xfId="0" applyBorder="1" applyAlignment="1" applyProtection="1"/>
    <xf numFmtId="49" fontId="8" fillId="3" borderId="33" xfId="14" applyNumberFormat="1" applyFont="1" applyFill="1" applyBorder="1" applyAlignment="1" applyProtection="1">
      <alignment horizontal="left" vertical="center" wrapText="1"/>
    </xf>
    <xf numFmtId="49" fontId="8" fillId="3" borderId="34" xfId="14" applyNumberFormat="1" applyFont="1" applyFill="1" applyBorder="1" applyAlignment="1" applyProtection="1">
      <alignment horizontal="left" vertical="center" wrapText="1"/>
    </xf>
    <xf numFmtId="0" fontId="0" fillId="3" borderId="34" xfId="0" applyFill="1" applyBorder="1" applyAlignment="1" applyProtection="1">
      <alignment horizontal="left" vertical="center" wrapText="1"/>
    </xf>
    <xf numFmtId="0" fontId="0" fillId="3" borderId="35" xfId="0" applyFill="1" applyBorder="1" applyAlignment="1" applyProtection="1">
      <alignment horizontal="left" vertical="center" wrapText="1"/>
    </xf>
    <xf numFmtId="0" fontId="10" fillId="3" borderId="60" xfId="6" applyFont="1" applyFill="1" applyBorder="1" applyAlignment="1" applyProtection="1">
      <alignment vertical="top"/>
    </xf>
    <xf numFmtId="49" fontId="12" fillId="0" borderId="156" xfId="16" quotePrefix="1" applyNumberFormat="1" applyFont="1" applyBorder="1" applyAlignment="1" applyProtection="1">
      <alignment horizontal="left" vertical="top" wrapText="1"/>
    </xf>
    <xf numFmtId="0" fontId="0" fillId="0" borderId="157" xfId="0" applyBorder="1" applyAlignment="1" applyProtection="1"/>
    <xf numFmtId="0" fontId="0" fillId="0" borderId="158" xfId="0" applyBorder="1" applyAlignment="1" applyProtection="1"/>
    <xf numFmtId="49" fontId="12" fillId="0" borderId="159" xfId="16" quotePrefix="1" applyNumberFormat="1" applyFont="1" applyBorder="1" applyAlignment="1" applyProtection="1">
      <alignment horizontal="left" vertical="top" wrapText="1"/>
    </xf>
    <xf numFmtId="0" fontId="0" fillId="0" borderId="160" xfId="0" applyBorder="1" applyAlignment="1" applyProtection="1"/>
    <xf numFmtId="0" fontId="0" fillId="0" borderId="161" xfId="0" applyBorder="1" applyAlignment="1" applyProtection="1"/>
    <xf numFmtId="0" fontId="103" fillId="3" borderId="34" xfId="9" applyFont="1" applyFill="1" applyBorder="1" applyAlignment="1" applyProtection="1">
      <alignment vertical="center" wrapText="1"/>
    </xf>
    <xf numFmtId="0" fontId="103" fillId="3" borderId="35" xfId="9" applyFont="1" applyFill="1" applyBorder="1" applyAlignment="1" applyProtection="1">
      <alignment vertical="center" wrapText="1"/>
    </xf>
    <xf numFmtId="0" fontId="10" fillId="3" borderId="54" xfId="9" applyFont="1" applyFill="1" applyBorder="1" applyAlignment="1" applyProtection="1">
      <alignment horizontal="center" vertical="center"/>
    </xf>
    <xf numFmtId="0" fontId="10" fillId="3" borderId="28" xfId="9" applyFont="1" applyFill="1" applyBorder="1" applyAlignment="1" applyProtection="1">
      <alignment horizontal="center" vertical="center"/>
    </xf>
    <xf numFmtId="0" fontId="10" fillId="3" borderId="24" xfId="9" applyFont="1" applyFill="1" applyBorder="1" applyAlignment="1" applyProtection="1">
      <alignment horizontal="center" vertical="center"/>
    </xf>
    <xf numFmtId="0" fontId="10" fillId="3" borderId="14" xfId="9" applyFont="1" applyFill="1" applyBorder="1" applyAlignment="1" applyProtection="1">
      <alignment horizontal="center" vertical="center"/>
    </xf>
    <xf numFmtId="0" fontId="10" fillId="3" borderId="19" xfId="9" applyFont="1" applyFill="1" applyBorder="1" applyAlignment="1" applyProtection="1">
      <alignment horizontal="center" vertical="center"/>
    </xf>
    <xf numFmtId="0" fontId="10" fillId="3" borderId="52" xfId="9" applyFont="1" applyFill="1" applyBorder="1" applyAlignment="1" applyProtection="1">
      <alignment horizontal="center" vertical="center"/>
    </xf>
    <xf numFmtId="0" fontId="10" fillId="3" borderId="51" xfId="9" applyFont="1" applyFill="1" applyBorder="1" applyAlignment="1" applyProtection="1">
      <alignment horizontal="center" vertical="center"/>
    </xf>
    <xf numFmtId="0" fontId="15" fillId="0" borderId="3" xfId="9" applyFont="1" applyFill="1" applyBorder="1" applyAlignment="1" applyProtection="1">
      <alignment horizontal="left" vertical="top"/>
    </xf>
    <xf numFmtId="0" fontId="15" fillId="0" borderId="60" xfId="9" applyFont="1" applyFill="1" applyBorder="1" applyAlignment="1" applyProtection="1">
      <alignment horizontal="left" vertical="top"/>
    </xf>
    <xf numFmtId="0" fontId="15" fillId="0" borderId="4" xfId="9" applyFont="1" applyFill="1" applyBorder="1" applyAlignment="1" applyProtection="1">
      <alignment horizontal="left" vertical="top"/>
    </xf>
    <xf numFmtId="0" fontId="10" fillId="3" borderId="53" xfId="6" applyFont="1" applyFill="1" applyBorder="1" applyAlignment="1" applyProtection="1">
      <alignment horizontal="center" vertical="center" wrapText="1"/>
    </xf>
    <xf numFmtId="0" fontId="10" fillId="3" borderId="110" xfId="6" applyFont="1" applyFill="1" applyBorder="1" applyAlignment="1" applyProtection="1">
      <alignment horizontal="center" vertical="center" wrapText="1"/>
    </xf>
    <xf numFmtId="0" fontId="10" fillId="3" borderId="15" xfId="6" applyFont="1" applyFill="1" applyBorder="1" applyAlignment="1" applyProtection="1">
      <alignment horizontal="center" vertical="center" wrapText="1"/>
    </xf>
    <xf numFmtId="0" fontId="10" fillId="3" borderId="20" xfId="6" applyFont="1" applyFill="1" applyBorder="1" applyAlignment="1" applyProtection="1">
      <alignment horizontal="center" vertical="center" wrapText="1"/>
    </xf>
    <xf numFmtId="0" fontId="10" fillId="3" borderId="69" xfId="6" applyFont="1" applyFill="1" applyBorder="1" applyAlignment="1" applyProtection="1">
      <alignment horizontal="center" vertical="center" wrapText="1"/>
    </xf>
    <xf numFmtId="0" fontId="10" fillId="3" borderId="75" xfId="6" applyFont="1" applyFill="1" applyBorder="1" applyAlignment="1" applyProtection="1">
      <alignment horizontal="center" vertical="center" wrapText="1"/>
    </xf>
    <xf numFmtId="0" fontId="10" fillId="3" borderId="64" xfId="6" applyFont="1" applyFill="1" applyBorder="1" applyAlignment="1" applyProtection="1">
      <alignment horizontal="center" vertical="center" wrapText="1"/>
    </xf>
    <xf numFmtId="0" fontId="10" fillId="3" borderId="65" xfId="6" applyFont="1" applyFill="1" applyBorder="1" applyAlignment="1" applyProtection="1">
      <alignment horizontal="center" vertical="center" wrapText="1"/>
    </xf>
    <xf numFmtId="0" fontId="10" fillId="3" borderId="119" xfId="6" applyFont="1" applyFill="1" applyBorder="1" applyAlignment="1" applyProtection="1">
      <alignment horizontal="center" vertical="center" wrapText="1"/>
    </xf>
    <xf numFmtId="0" fontId="10" fillId="3" borderId="120"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23" fillId="0" borderId="0" xfId="6" applyFont="1" applyFill="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26" fillId="0" borderId="85" xfId="9" applyFont="1" applyFill="1" applyBorder="1" applyAlignment="1" applyProtection="1">
      <alignment horizontal="left" vertical="top" wrapText="1"/>
    </xf>
    <xf numFmtId="0" fontId="26" fillId="0" borderId="86" xfId="9" applyFont="1" applyFill="1" applyBorder="1" applyAlignment="1" applyProtection="1">
      <alignment horizontal="left" vertical="top" wrapText="1"/>
    </xf>
    <xf numFmtId="0" fontId="26" fillId="0" borderId="77" xfId="9" applyFont="1" applyFill="1" applyBorder="1" applyAlignment="1" applyProtection="1">
      <alignment horizontal="left" vertical="top" wrapText="1"/>
    </xf>
    <xf numFmtId="0" fontId="15" fillId="0" borderId="79" xfId="9" applyFont="1" applyFill="1" applyBorder="1" applyAlignment="1" applyProtection="1">
      <alignment horizontal="left" vertical="top"/>
    </xf>
    <xf numFmtId="0" fontId="15" fillId="0" borderId="80" xfId="9" applyFont="1" applyFill="1" applyBorder="1" applyAlignment="1" applyProtection="1">
      <alignment horizontal="left" vertical="top"/>
    </xf>
    <xf numFmtId="0" fontId="15" fillId="0" borderId="81" xfId="9" applyFont="1" applyFill="1" applyBorder="1" applyAlignment="1" applyProtection="1">
      <alignment horizontal="left" vertical="top"/>
    </xf>
    <xf numFmtId="0" fontId="26" fillId="0" borderId="82" xfId="9" applyFont="1" applyFill="1" applyBorder="1" applyAlignment="1" applyProtection="1">
      <alignment horizontal="left" vertical="top" wrapText="1"/>
    </xf>
    <xf numFmtId="0" fontId="26" fillId="0" borderId="83" xfId="9" applyFont="1" applyFill="1" applyBorder="1" applyAlignment="1" applyProtection="1">
      <alignment horizontal="left" vertical="top" wrapText="1"/>
    </xf>
    <xf numFmtId="0" fontId="26" fillId="0" borderId="76" xfId="9" applyFont="1" applyFill="1" applyBorder="1" applyAlignment="1" applyProtection="1">
      <alignment horizontal="left" vertical="top" wrapText="1"/>
    </xf>
    <xf numFmtId="0" fontId="26" fillId="0" borderId="87" xfId="9" applyFont="1" applyFill="1" applyBorder="1" applyAlignment="1" applyProtection="1">
      <alignment horizontal="left" vertical="top" wrapText="1"/>
    </xf>
    <xf numFmtId="0" fontId="26" fillId="0" borderId="88" xfId="9" applyFont="1" applyFill="1" applyBorder="1" applyAlignment="1" applyProtection="1">
      <alignment horizontal="left" vertical="top" wrapText="1"/>
    </xf>
    <xf numFmtId="0" fontId="26" fillId="0" borderId="78" xfId="9" applyFont="1" applyFill="1" applyBorder="1" applyAlignment="1" applyProtection="1">
      <alignment horizontal="left" vertical="top" wrapText="1"/>
    </xf>
    <xf numFmtId="0" fontId="10" fillId="3" borderId="66" xfId="6" applyFont="1" applyFill="1" applyBorder="1" applyAlignment="1" applyProtection="1">
      <alignment horizontal="center" vertical="center" wrapText="1"/>
    </xf>
    <xf numFmtId="0" fontId="10" fillId="3" borderId="67"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5" fillId="0" borderId="2" xfId="9" applyFont="1" applyFill="1" applyBorder="1" applyAlignment="1" applyProtection="1">
      <alignment horizontal="left" vertical="top"/>
    </xf>
    <xf numFmtId="0" fontId="26" fillId="0" borderId="0" xfId="9" applyFont="1" applyFill="1" applyBorder="1" applyAlignment="1" applyProtection="1">
      <alignment horizontal="left" vertical="center" wrapText="1"/>
    </xf>
    <xf numFmtId="0" fontId="15" fillId="0" borderId="60" xfId="9" applyFont="1" applyFill="1" applyBorder="1" applyAlignment="1" applyProtection="1">
      <alignment vertical="top"/>
    </xf>
    <xf numFmtId="0" fontId="26" fillId="0" borderId="33" xfId="9" applyFont="1" applyFill="1" applyBorder="1" applyAlignment="1" applyProtection="1">
      <alignment vertical="top" wrapText="1"/>
    </xf>
    <xf numFmtId="0" fontId="26" fillId="0" borderId="34" xfId="9" applyFont="1" applyFill="1" applyBorder="1" applyAlignment="1" applyProtection="1">
      <alignment vertical="top" wrapText="1"/>
    </xf>
    <xf numFmtId="0" fontId="26" fillId="0" borderId="35" xfId="9" applyFont="1" applyFill="1" applyBorder="1" applyAlignment="1" applyProtection="1">
      <alignment vertical="top" wrapText="1"/>
    </xf>
    <xf numFmtId="0" fontId="10"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19" fillId="0" borderId="33" xfId="0" applyNumberFormat="1" applyFont="1" applyFill="1" applyBorder="1" applyAlignment="1" applyProtection="1">
      <alignment vertical="center" wrapText="1"/>
    </xf>
    <xf numFmtId="0" fontId="19" fillId="0" borderId="34" xfId="0" applyFont="1" applyFill="1" applyBorder="1" applyAlignment="1">
      <alignment vertical="center" wrapText="1"/>
    </xf>
    <xf numFmtId="0" fontId="19" fillId="0" borderId="35" xfId="0" applyFont="1" applyFill="1" applyBorder="1" applyAlignment="1">
      <alignment vertical="center" wrapText="1"/>
    </xf>
    <xf numFmtId="0" fontId="26" fillId="0" borderId="85" xfId="11" applyFont="1" applyFill="1" applyBorder="1" applyAlignment="1" applyProtection="1">
      <alignment horizontal="left" vertical="top" wrapText="1"/>
    </xf>
    <xf numFmtId="0" fontId="26" fillId="0" borderId="86" xfId="11" applyFont="1" applyFill="1" applyBorder="1" applyAlignment="1" applyProtection="1">
      <alignment horizontal="left" vertical="top" wrapText="1"/>
    </xf>
    <xf numFmtId="0" fontId="26" fillId="0" borderId="77" xfId="11" applyFont="1" applyFill="1" applyBorder="1" applyAlignment="1" applyProtection="1">
      <alignment horizontal="left" vertical="top" wrapText="1"/>
    </xf>
    <xf numFmtId="0" fontId="15" fillId="0" borderId="174" xfId="11" applyFont="1" applyFill="1" applyBorder="1" applyAlignment="1" applyProtection="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15" fillId="0" borderId="0" xfId="11" applyFont="1" applyFill="1" applyAlignment="1" applyProtection="1">
      <alignment vertical="center"/>
    </xf>
    <xf numFmtId="0" fontId="15" fillId="0" borderId="79" xfId="11" applyFont="1" applyFill="1" applyBorder="1" applyAlignment="1" applyProtection="1">
      <alignment horizontal="left" vertical="top"/>
    </xf>
    <xf numFmtId="0" fontId="15" fillId="0" borderId="80" xfId="11" applyFont="1" applyFill="1" applyBorder="1" applyAlignment="1" applyProtection="1">
      <alignment horizontal="left" vertical="top"/>
    </xf>
    <xf numFmtId="0" fontId="15" fillId="0" borderId="81" xfId="11" applyFont="1" applyFill="1" applyBorder="1" applyAlignment="1" applyProtection="1">
      <alignment horizontal="left" vertical="top"/>
    </xf>
    <xf numFmtId="0" fontId="26" fillId="0" borderId="82" xfId="11" applyFont="1" applyFill="1" applyBorder="1" applyAlignment="1" applyProtection="1">
      <alignment horizontal="left" vertical="top" wrapText="1"/>
    </xf>
    <xf numFmtId="0" fontId="26" fillId="0" borderId="83" xfId="11" applyFont="1" applyFill="1" applyBorder="1" applyAlignment="1" applyProtection="1">
      <alignment horizontal="left" vertical="top" wrapText="1"/>
    </xf>
    <xf numFmtId="0" fontId="26" fillId="0" borderId="76" xfId="11" applyFont="1" applyFill="1" applyBorder="1" applyAlignment="1" applyProtection="1">
      <alignment horizontal="left" vertical="top" wrapText="1"/>
    </xf>
    <xf numFmtId="0" fontId="26" fillId="0" borderId="85" xfId="11" applyFont="1" applyFill="1" applyBorder="1" applyAlignment="1" applyProtection="1">
      <alignment vertical="top" wrapText="1"/>
    </xf>
    <xf numFmtId="0" fontId="26" fillId="0" borderId="86" xfId="11" applyFont="1" applyFill="1" applyBorder="1" applyAlignment="1" applyProtection="1">
      <alignment vertical="top" wrapText="1"/>
    </xf>
    <xf numFmtId="0" fontId="26" fillId="0" borderId="77" xfId="11" applyFont="1" applyFill="1" applyBorder="1" applyAlignment="1" applyProtection="1">
      <alignment vertical="top" wrapText="1"/>
    </xf>
    <xf numFmtId="0" fontId="10" fillId="3" borderId="14" xfId="6" applyFont="1" applyFill="1" applyBorder="1" applyAlignment="1" applyProtection="1">
      <alignment vertical="center"/>
    </xf>
    <xf numFmtId="0" fontId="10" fillId="3" borderId="15" xfId="6" applyFont="1" applyFill="1" applyBorder="1" applyAlignment="1" applyProtection="1">
      <alignment vertical="center"/>
    </xf>
    <xf numFmtId="0" fontId="10" fillId="3" borderId="19" xfId="6" applyFont="1" applyFill="1" applyBorder="1" applyAlignment="1" applyProtection="1">
      <alignment vertical="center"/>
    </xf>
    <xf numFmtId="0" fontId="10" fillId="3" borderId="20" xfId="6" applyFont="1" applyFill="1" applyBorder="1" applyAlignment="1" applyProtection="1">
      <alignment vertical="center"/>
    </xf>
    <xf numFmtId="0" fontId="19" fillId="0" borderId="34" xfId="0" applyNumberFormat="1" applyFont="1" applyFill="1" applyBorder="1" applyAlignment="1" applyProtection="1">
      <alignment vertical="center" wrapText="1"/>
    </xf>
    <xf numFmtId="0" fontId="19" fillId="0" borderId="35" xfId="0" applyNumberFormat="1" applyFont="1" applyFill="1" applyBorder="1" applyAlignment="1" applyProtection="1">
      <alignment vertical="center" wrapText="1"/>
    </xf>
    <xf numFmtId="0" fontId="10" fillId="3" borderId="273" xfId="6" applyFont="1" applyFill="1" applyBorder="1" applyAlignment="1" applyProtection="1">
      <alignment horizontal="center" vertical="center" wrapText="1"/>
    </xf>
    <xf numFmtId="0" fontId="10" fillId="3" borderId="301" xfId="6" applyFont="1" applyFill="1" applyBorder="1" applyAlignment="1" applyProtection="1">
      <alignment horizontal="center" vertical="center" wrapText="1"/>
    </xf>
    <xf numFmtId="0" fontId="10" fillId="3" borderId="299" xfId="6" applyFont="1" applyFill="1" applyBorder="1" applyAlignment="1" applyProtection="1">
      <alignment horizontal="center" vertical="center" wrapText="1"/>
    </xf>
    <xf numFmtId="0" fontId="10" fillId="3" borderId="300" xfId="6" applyFont="1" applyFill="1" applyBorder="1" applyAlignment="1" applyProtection="1">
      <alignment horizontal="center" vertical="center" wrapText="1"/>
    </xf>
    <xf numFmtId="0" fontId="10" fillId="3" borderId="274" xfId="6" applyFont="1" applyFill="1" applyBorder="1" applyAlignment="1" applyProtection="1">
      <alignment horizontal="center" vertical="center" wrapText="1"/>
    </xf>
    <xf numFmtId="0" fontId="10" fillId="15" borderId="15" xfId="11" applyFont="1" applyFill="1" applyBorder="1" applyAlignment="1" applyProtection="1">
      <alignment horizontal="center" vertical="center"/>
    </xf>
    <xf numFmtId="0" fontId="10" fillId="15" borderId="20" xfId="11" applyFont="1" applyFill="1" applyBorder="1" applyAlignment="1" applyProtection="1">
      <alignment horizontal="center" vertical="center"/>
    </xf>
    <xf numFmtId="0" fontId="10" fillId="15" borderId="15" xfId="6" applyFont="1" applyFill="1" applyBorder="1" applyAlignment="1" applyProtection="1">
      <alignment horizontal="center" vertical="center" wrapText="1"/>
    </xf>
    <xf numFmtId="0" fontId="10" fillId="15" borderId="20" xfId="6" applyFont="1" applyFill="1" applyBorder="1" applyAlignment="1" applyProtection="1">
      <alignment horizontal="center" vertical="center" wrapText="1"/>
    </xf>
    <xf numFmtId="0" fontId="10" fillId="15" borderId="16" xfId="6" applyFont="1" applyFill="1" applyBorder="1" applyAlignment="1" applyProtection="1">
      <alignment horizontal="center" vertical="center" wrapText="1"/>
    </xf>
    <xf numFmtId="0" fontId="10" fillId="15" borderId="21" xfId="6" applyFont="1" applyFill="1" applyBorder="1" applyAlignment="1" applyProtection="1">
      <alignment horizontal="center" vertical="center" wrapText="1"/>
    </xf>
    <xf numFmtId="0" fontId="10" fillId="3" borderId="298" xfId="6" applyFont="1" applyFill="1" applyBorder="1" applyAlignment="1" applyProtection="1">
      <alignment horizontal="center" vertical="center" wrapText="1"/>
    </xf>
    <xf numFmtId="0" fontId="10" fillId="3" borderId="198" xfId="6" applyFont="1" applyFill="1" applyBorder="1" applyAlignment="1" applyProtection="1">
      <alignment horizontal="center" vertical="center" wrapText="1"/>
    </xf>
    <xf numFmtId="0" fontId="10" fillId="3" borderId="204" xfId="6" applyFont="1" applyFill="1" applyBorder="1" applyAlignment="1" applyProtection="1">
      <alignment horizontal="center" vertical="center" wrapText="1"/>
    </xf>
    <xf numFmtId="0" fontId="26" fillId="0" borderId="187" xfId="11" applyFont="1" applyFill="1" applyBorder="1" applyAlignment="1" applyProtection="1">
      <alignment vertical="top" wrapText="1"/>
    </xf>
    <xf numFmtId="0" fontId="26" fillId="0" borderId="188" xfId="11" applyFont="1" applyFill="1" applyBorder="1" applyAlignment="1" applyProtection="1">
      <alignment vertical="top" wrapText="1"/>
    </xf>
    <xf numFmtId="0" fontId="26" fillId="0" borderId="321" xfId="11" applyFont="1" applyFill="1" applyBorder="1" applyAlignment="1" applyProtection="1">
      <alignment vertical="top" wrapText="1"/>
    </xf>
    <xf numFmtId="0" fontId="15" fillId="0" borderId="0" xfId="11" applyFont="1" applyFill="1" applyBorder="1" applyAlignment="1" applyProtection="1">
      <alignment vertical="center"/>
    </xf>
    <xf numFmtId="0" fontId="10" fillId="15" borderId="18" xfId="6" applyFont="1" applyFill="1" applyBorder="1" applyAlignment="1" applyProtection="1">
      <alignment horizontal="center" vertical="center" wrapText="1"/>
    </xf>
    <xf numFmtId="0" fontId="10" fillId="15" borderId="23" xfId="6" applyFont="1" applyFill="1" applyBorder="1" applyAlignment="1" applyProtection="1">
      <alignment horizontal="center" vertical="center" wrapText="1"/>
    </xf>
    <xf numFmtId="0" fontId="68" fillId="0" borderId="20" xfId="17" applyFont="1" applyFill="1" applyBorder="1" applyAlignment="1">
      <alignment horizontal="center" vertical="center" wrapText="1"/>
    </xf>
    <xf numFmtId="0" fontId="68" fillId="0" borderId="21" xfId="17" applyFont="1" applyFill="1" applyBorder="1" applyAlignment="1">
      <alignment horizontal="center" vertical="center" wrapText="1"/>
    </xf>
    <xf numFmtId="0" fontId="10" fillId="3" borderId="55" xfId="6" applyFont="1" applyFill="1" applyBorder="1" applyAlignment="1" applyProtection="1">
      <alignment horizontal="center" vertical="center" wrapText="1"/>
    </xf>
    <xf numFmtId="0" fontId="49" fillId="0" borderId="110" xfId="17" applyBorder="1" applyAlignment="1">
      <alignment horizontal="center" vertical="center" wrapText="1"/>
    </xf>
    <xf numFmtId="0" fontId="27" fillId="15" borderId="33" xfId="0" applyNumberFormat="1" applyFont="1" applyFill="1" applyBorder="1" applyAlignment="1" applyProtection="1">
      <alignment vertical="center"/>
    </xf>
    <xf numFmtId="0" fontId="27" fillId="15" borderId="34" xfId="0" applyNumberFormat="1" applyFont="1" applyFill="1" applyBorder="1" applyAlignment="1" applyProtection="1">
      <alignment vertical="center"/>
    </xf>
    <xf numFmtId="0" fontId="27" fillId="15" borderId="35" xfId="0" applyNumberFormat="1" applyFont="1" applyFill="1" applyBorder="1" applyAlignment="1" applyProtection="1">
      <alignment vertical="center"/>
    </xf>
    <xf numFmtId="0" fontId="15" fillId="0" borderId="181" xfId="11" applyFont="1" applyFill="1" applyBorder="1" applyAlignment="1" applyProtection="1">
      <alignment vertical="top"/>
    </xf>
    <xf numFmtId="0" fontId="15" fillId="0" borderId="182" xfId="11" applyFont="1" applyFill="1" applyBorder="1" applyAlignment="1" applyProtection="1">
      <alignment vertical="top"/>
    </xf>
    <xf numFmtId="0" fontId="15" fillId="0" borderId="319" xfId="11" applyFont="1" applyFill="1" applyBorder="1" applyAlignment="1" applyProtection="1">
      <alignment vertical="top"/>
    </xf>
    <xf numFmtId="0" fontId="26" fillId="0" borderId="184" xfId="11" applyFont="1" applyFill="1" applyBorder="1" applyAlignment="1" applyProtection="1">
      <alignment vertical="top" wrapText="1"/>
    </xf>
    <xf numFmtId="0" fontId="26" fillId="0" borderId="185" xfId="11" applyFont="1" applyFill="1" applyBorder="1" applyAlignment="1" applyProtection="1">
      <alignment vertical="top" wrapText="1"/>
    </xf>
    <xf numFmtId="0" fontId="26" fillId="0" borderId="320" xfId="11" applyFont="1" applyFill="1" applyBorder="1" applyAlignment="1" applyProtection="1">
      <alignment vertical="top" wrapText="1"/>
    </xf>
    <xf numFmtId="0" fontId="10" fillId="3" borderId="33" xfId="11" applyFont="1" applyFill="1" applyBorder="1" applyAlignment="1" applyProtection="1">
      <alignment horizontal="center" vertical="center"/>
    </xf>
    <xf numFmtId="0" fontId="10" fillId="3" borderId="34" xfId="11" applyFont="1" applyFill="1" applyBorder="1" applyAlignment="1" applyProtection="1">
      <alignment horizontal="center" vertical="center"/>
    </xf>
    <xf numFmtId="0" fontId="10" fillId="3" borderId="35" xfId="11" applyFont="1" applyFill="1" applyBorder="1" applyAlignment="1" applyProtection="1">
      <alignment horizontal="center" vertical="center"/>
    </xf>
    <xf numFmtId="0" fontId="10" fillId="3" borderId="131" xfId="6" applyFont="1" applyFill="1" applyBorder="1" applyAlignment="1" applyProtection="1">
      <alignment horizontal="center" vertical="center"/>
    </xf>
    <xf numFmtId="0" fontId="10" fillId="3" borderId="130" xfId="6" applyFont="1" applyFill="1" applyBorder="1" applyAlignment="1" applyProtection="1">
      <alignment horizontal="center" vertical="center"/>
    </xf>
    <xf numFmtId="0" fontId="10" fillId="3" borderId="33" xfId="6" applyFont="1" applyFill="1" applyBorder="1" applyAlignment="1" applyProtection="1">
      <alignment horizontal="center" vertical="center"/>
    </xf>
    <xf numFmtId="0" fontId="10" fillId="3" borderId="34" xfId="6" applyFont="1" applyFill="1" applyBorder="1" applyAlignment="1" applyProtection="1">
      <alignment horizontal="center" vertical="center"/>
    </xf>
    <xf numFmtId="0" fontId="10" fillId="3" borderId="18" xfId="6" applyFont="1" applyFill="1" applyBorder="1" applyAlignment="1" applyProtection="1">
      <alignment horizontal="center" vertical="center"/>
    </xf>
    <xf numFmtId="0" fontId="10" fillId="3" borderId="23" xfId="6" applyFont="1" applyFill="1" applyBorder="1" applyAlignment="1" applyProtection="1">
      <alignment horizontal="center" vertical="center"/>
    </xf>
    <xf numFmtId="9" fontId="61" fillId="0" borderId="197" xfId="11" applyNumberFormat="1" applyFont="1" applyFill="1" applyBorder="1" applyAlignment="1">
      <alignment vertical="center" wrapText="1"/>
    </xf>
    <xf numFmtId="9" fontId="61" fillId="0" borderId="198" xfId="11" applyNumberFormat="1" applyFont="1" applyFill="1" applyBorder="1" applyAlignment="1">
      <alignment vertical="center" wrapText="1"/>
    </xf>
    <xf numFmtId="9" fontId="61" fillId="0" borderId="199" xfId="11" applyNumberFormat="1" applyFont="1" applyFill="1" applyBorder="1" applyAlignment="1">
      <alignment vertical="center" wrapText="1"/>
    </xf>
    <xf numFmtId="0" fontId="103" fillId="3" borderId="33" xfId="11" applyFont="1" applyFill="1" applyBorder="1" applyAlignment="1" applyProtection="1">
      <alignment vertical="center"/>
    </xf>
    <xf numFmtId="0" fontId="109" fillId="0" borderId="34" xfId="22" applyFont="1" applyBorder="1" applyAlignment="1"/>
    <xf numFmtId="0" fontId="109" fillId="0" borderId="35" xfId="22" applyFont="1" applyBorder="1" applyAlignment="1"/>
    <xf numFmtId="0" fontId="19" fillId="0" borderId="131" xfId="11" applyFont="1" applyFill="1" applyBorder="1" applyAlignment="1" applyProtection="1">
      <alignment vertical="center" wrapText="1"/>
    </xf>
    <xf numFmtId="0" fontId="19" fillId="0" borderId="110" xfId="11" applyFont="1" applyFill="1" applyBorder="1" applyAlignment="1" applyProtection="1">
      <alignment vertical="center" wrapText="1"/>
    </xf>
    <xf numFmtId="0" fontId="19" fillId="0" borderId="22" xfId="11" applyFont="1" applyFill="1" applyBorder="1" applyAlignment="1" applyProtection="1">
      <alignment vertical="center" wrapText="1"/>
    </xf>
    <xf numFmtId="9" fontId="61" fillId="0" borderId="200" xfId="11" applyNumberFormat="1" applyFont="1" applyFill="1" applyBorder="1" applyAlignment="1">
      <alignment vertical="center" wrapText="1"/>
    </xf>
    <xf numFmtId="9" fontId="61" fillId="0" borderId="201" xfId="11" applyNumberFormat="1" applyFont="1" applyFill="1" applyBorder="1" applyAlignment="1">
      <alignment vertical="center" wrapText="1"/>
    </xf>
    <xf numFmtId="9" fontId="61" fillId="0" borderId="202" xfId="11" applyNumberFormat="1" applyFont="1" applyFill="1" applyBorder="1" applyAlignment="1">
      <alignment vertical="center" wrapText="1"/>
    </xf>
    <xf numFmtId="0" fontId="10" fillId="3" borderId="228" xfId="6" applyFont="1" applyFill="1" applyBorder="1" applyAlignment="1" applyProtection="1">
      <alignment vertical="center"/>
    </xf>
    <xf numFmtId="0" fontId="10" fillId="3" borderId="155" xfId="6" applyFont="1" applyFill="1" applyBorder="1" applyAlignment="1" applyProtection="1">
      <alignment vertical="center"/>
    </xf>
    <xf numFmtId="0" fontId="10" fillId="3" borderId="15" xfId="11" applyFont="1" applyFill="1" applyBorder="1" applyAlignment="1" applyProtection="1">
      <alignment horizontal="center" vertical="center"/>
    </xf>
    <xf numFmtId="0" fontId="10" fillId="3" borderId="155" xfId="11" applyFont="1" applyFill="1" applyBorder="1" applyAlignment="1" applyProtection="1">
      <alignment horizontal="center" vertical="center"/>
    </xf>
    <xf numFmtId="0" fontId="10" fillId="3" borderId="20" xfId="11" applyFont="1" applyFill="1" applyBorder="1" applyAlignment="1" applyProtection="1">
      <alignment horizontal="center" vertical="center"/>
    </xf>
    <xf numFmtId="0" fontId="10" fillId="3" borderId="16" xfId="11" applyFont="1" applyFill="1" applyBorder="1" applyAlignment="1" applyProtection="1">
      <alignment horizontal="center" vertical="center"/>
    </xf>
    <xf numFmtId="0" fontId="10" fillId="3" borderId="302" xfId="11" applyFont="1" applyFill="1" applyBorder="1" applyAlignment="1" applyProtection="1">
      <alignment horizontal="center" vertical="center"/>
    </xf>
    <xf numFmtId="0" fontId="10" fillId="3" borderId="21" xfId="11" applyFont="1" applyFill="1" applyBorder="1" applyAlignment="1" applyProtection="1">
      <alignment horizontal="center" vertical="center"/>
    </xf>
    <xf numFmtId="0" fontId="10" fillId="3" borderId="33" xfId="11" applyFont="1" applyFill="1" applyBorder="1" applyAlignment="1" applyProtection="1">
      <alignment horizontal="center" vertical="center" wrapText="1"/>
    </xf>
    <xf numFmtId="0" fontId="10" fillId="3" borderId="34" xfId="11" applyFont="1" applyFill="1" applyBorder="1" applyAlignment="1" applyProtection="1">
      <alignment horizontal="center" vertical="center" wrapText="1"/>
    </xf>
    <xf numFmtId="0" fontId="10" fillId="3" borderId="35" xfId="11" applyFont="1" applyFill="1" applyBorder="1" applyAlignment="1" applyProtection="1">
      <alignment horizontal="center" vertical="center" wrapText="1"/>
    </xf>
    <xf numFmtId="0" fontId="27" fillId="3" borderId="191" xfId="0" applyNumberFormat="1" applyFont="1" applyFill="1" applyBorder="1" applyAlignment="1" applyProtection="1">
      <alignment vertical="center"/>
    </xf>
    <xf numFmtId="0" fontId="27" fillId="3" borderId="192" xfId="0" applyNumberFormat="1" applyFont="1" applyFill="1" applyBorder="1" applyAlignment="1" applyProtection="1">
      <alignment vertical="center"/>
    </xf>
    <xf numFmtId="0" fontId="27" fillId="3" borderId="193" xfId="0" applyNumberFormat="1" applyFont="1" applyFill="1" applyBorder="1" applyAlignment="1" applyProtection="1">
      <alignment vertical="center"/>
    </xf>
    <xf numFmtId="9" fontId="76" fillId="0" borderId="194" xfId="11" applyNumberFormat="1" applyFont="1" applyFill="1" applyBorder="1" applyAlignment="1">
      <alignment vertical="center" wrapText="1"/>
    </xf>
    <xf numFmtId="9" fontId="76" fillId="0" borderId="195" xfId="11" applyNumberFormat="1" applyFont="1" applyFill="1" applyBorder="1" applyAlignment="1">
      <alignment vertical="center" wrapText="1"/>
    </xf>
    <xf numFmtId="9" fontId="76" fillId="0" borderId="196" xfId="11" applyNumberFormat="1" applyFont="1" applyFill="1" applyBorder="1" applyAlignment="1">
      <alignment vertical="center" wrapText="1"/>
    </xf>
    <xf numFmtId="0" fontId="10" fillId="3" borderId="55" xfId="11" applyFont="1" applyFill="1" applyBorder="1" applyAlignment="1" applyProtection="1">
      <alignment horizontal="center" vertical="center"/>
    </xf>
    <xf numFmtId="0" fontId="10" fillId="3" borderId="53" xfId="11" applyFont="1" applyFill="1" applyBorder="1" applyAlignment="1" applyProtection="1">
      <alignment horizontal="center" vertical="center"/>
    </xf>
    <xf numFmtId="0" fontId="10" fillId="3" borderId="61" xfId="11" applyFont="1" applyFill="1" applyBorder="1" applyAlignment="1" applyProtection="1">
      <alignment horizontal="center" vertical="center"/>
    </xf>
    <xf numFmtId="0" fontId="10" fillId="3" borderId="287" xfId="6" applyFont="1" applyFill="1" applyBorder="1" applyAlignment="1" applyProtection="1">
      <alignment horizontal="center" vertical="center" wrapText="1"/>
    </xf>
    <xf numFmtId="0" fontId="49" fillId="0" borderId="176" xfId="17" applyBorder="1" applyAlignment="1" applyProtection="1">
      <alignment horizontal="center" vertical="center" wrapText="1"/>
    </xf>
    <xf numFmtId="0" fontId="49" fillId="0" borderId="177" xfId="17" applyBorder="1" applyAlignment="1" applyProtection="1">
      <alignment horizontal="center" vertical="center" wrapText="1"/>
    </xf>
    <xf numFmtId="0" fontId="10" fillId="3" borderId="178" xfId="6" applyFont="1" applyFill="1" applyBorder="1" applyAlignment="1" applyProtection="1">
      <alignment horizontal="center" vertical="center" wrapText="1"/>
    </xf>
    <xf numFmtId="0" fontId="49" fillId="0" borderId="15" xfId="17" applyBorder="1" applyAlignment="1" applyProtection="1">
      <alignment horizontal="center" vertical="center" wrapText="1"/>
    </xf>
    <xf numFmtId="0" fontId="49" fillId="0" borderId="52" xfId="17" applyBorder="1" applyAlignment="1" applyProtection="1">
      <alignment horizontal="center" vertical="center" wrapText="1"/>
    </xf>
    <xf numFmtId="0" fontId="49" fillId="0" borderId="23" xfId="17" applyBorder="1" applyAlignment="1" applyProtection="1">
      <alignment horizontal="center" vertical="center" wrapText="1"/>
    </xf>
    <xf numFmtId="0" fontId="49" fillId="0" borderId="16" xfId="17" applyBorder="1" applyAlignment="1" applyProtection="1">
      <alignment horizontal="center" vertical="center" wrapText="1"/>
    </xf>
    <xf numFmtId="0" fontId="10" fillId="3" borderId="36" xfId="6" applyFont="1" applyFill="1" applyBorder="1" applyAlignment="1" applyProtection="1">
      <alignment horizontal="center" vertical="center" wrapText="1"/>
    </xf>
    <xf numFmtId="0" fontId="10" fillId="3" borderId="205" xfId="6" applyFont="1" applyFill="1" applyBorder="1" applyAlignment="1" applyProtection="1">
      <alignment horizontal="center" vertical="center"/>
    </xf>
    <xf numFmtId="0" fontId="49" fillId="0" borderId="293" xfId="17" applyBorder="1" applyAlignment="1" applyProtection="1">
      <alignment horizontal="center" vertical="center"/>
    </xf>
    <xf numFmtId="9" fontId="62" fillId="0" borderId="118" xfId="11" applyNumberFormat="1" applyFont="1" applyFill="1" applyBorder="1" applyAlignment="1">
      <alignment horizontal="left" vertical="top" wrapText="1"/>
    </xf>
    <xf numFmtId="9" fontId="62" fillId="0" borderId="42" xfId="11" applyNumberFormat="1" applyFont="1" applyFill="1" applyBorder="1" applyAlignment="1">
      <alignment horizontal="left" vertical="top" wrapText="1"/>
    </xf>
    <xf numFmtId="9" fontId="62" fillId="0" borderId="126" xfId="11" applyNumberFormat="1" applyFont="1" applyFill="1" applyBorder="1" applyAlignment="1">
      <alignment horizontal="left" vertical="top" wrapText="1"/>
    </xf>
    <xf numFmtId="9" fontId="62" fillId="0" borderId="40" xfId="11" applyNumberFormat="1" applyFont="1" applyFill="1" applyBorder="1" applyAlignment="1">
      <alignment horizontal="left" vertical="top" wrapText="1"/>
    </xf>
    <xf numFmtId="9" fontId="62" fillId="0" borderId="45" xfId="11" applyNumberFormat="1" applyFont="1" applyFill="1" applyBorder="1" applyAlignment="1">
      <alignment horizontal="left" vertical="top" wrapText="1"/>
    </xf>
    <xf numFmtId="9" fontId="62" fillId="0" borderId="27" xfId="11" applyNumberFormat="1" applyFont="1" applyFill="1" applyBorder="1" applyAlignment="1">
      <alignment horizontal="left" vertical="top" wrapText="1"/>
    </xf>
    <xf numFmtId="9" fontId="62" fillId="0" borderId="38" xfId="11" applyNumberFormat="1" applyFont="1" applyFill="1" applyBorder="1" applyAlignment="1">
      <alignment vertical="top" wrapText="1"/>
    </xf>
    <xf numFmtId="9" fontId="62" fillId="0" borderId="29" xfId="11" applyNumberFormat="1" applyFont="1" applyFill="1" applyBorder="1" applyAlignment="1">
      <alignment vertical="top" wrapText="1"/>
    </xf>
    <xf numFmtId="9" fontId="62" fillId="0" borderId="26" xfId="11" applyNumberFormat="1" applyFont="1" applyFill="1" applyBorder="1" applyAlignment="1">
      <alignment vertical="top" wrapText="1"/>
    </xf>
    <xf numFmtId="9" fontId="19" fillId="0" borderId="38" xfId="11" applyNumberFormat="1" applyFont="1" applyFill="1" applyBorder="1" applyAlignment="1">
      <alignment vertical="top" wrapText="1"/>
    </xf>
    <xf numFmtId="9" fontId="19" fillId="0" borderId="29" xfId="11" applyNumberFormat="1" applyFont="1" applyFill="1" applyBorder="1" applyAlignment="1">
      <alignment vertical="top" wrapText="1"/>
    </xf>
    <xf numFmtId="9" fontId="19" fillId="0" borderId="26" xfId="11" applyNumberFormat="1" applyFont="1" applyFill="1" applyBorder="1" applyAlignment="1">
      <alignment vertical="top" wrapText="1"/>
    </xf>
    <xf numFmtId="0" fontId="49" fillId="0" borderId="23" xfId="17" applyBorder="1" applyAlignment="1">
      <alignment horizontal="center" vertical="center" wrapText="1"/>
    </xf>
    <xf numFmtId="0" fontId="27" fillId="3" borderId="33" xfId="11" applyFont="1" applyFill="1" applyBorder="1" applyAlignment="1" applyProtection="1">
      <alignment vertical="center"/>
    </xf>
    <xf numFmtId="0" fontId="49" fillId="0" borderId="34" xfId="22" applyBorder="1" applyAlignment="1"/>
    <xf numFmtId="0" fontId="49" fillId="0" borderId="35" xfId="22" applyBorder="1" applyAlignment="1"/>
    <xf numFmtId="9" fontId="76" fillId="0" borderId="6" xfId="11" applyNumberFormat="1" applyFont="1" applyFill="1" applyBorder="1" applyAlignment="1">
      <alignment horizontal="left" vertical="center" wrapText="1"/>
    </xf>
    <xf numFmtId="0" fontId="77" fillId="0" borderId="6" xfId="22" applyFont="1" applyBorder="1" applyAlignment="1">
      <alignment horizontal="left" vertical="center" wrapText="1"/>
    </xf>
    <xf numFmtId="0" fontId="77" fillId="0" borderId="7" xfId="22" applyFont="1" applyBorder="1" applyAlignment="1">
      <alignment horizontal="left" vertical="center" wrapText="1"/>
    </xf>
    <xf numFmtId="9" fontId="62" fillId="0" borderId="52" xfId="11" applyNumberFormat="1" applyFont="1" applyFill="1" applyBorder="1" applyAlignment="1">
      <alignment horizontal="left" vertical="top" wrapText="1"/>
    </xf>
    <xf numFmtId="9" fontId="62" fillId="0" borderId="53" xfId="11" applyNumberFormat="1" applyFont="1" applyFill="1" applyBorder="1" applyAlignment="1">
      <alignment horizontal="left" vertical="top" wrapText="1"/>
    </xf>
    <xf numFmtId="9" fontId="62" fillId="0" borderId="17" xfId="11" applyNumberFormat="1" applyFont="1" applyFill="1" applyBorder="1" applyAlignment="1">
      <alignment horizontal="left" vertical="top" wrapText="1"/>
    </xf>
    <xf numFmtId="0" fontId="10" fillId="3" borderId="55" xfId="11" applyFont="1" applyFill="1" applyBorder="1" applyAlignment="1" applyProtection="1">
      <alignment horizontal="center" vertical="center" wrapText="1"/>
    </xf>
    <xf numFmtId="0" fontId="10" fillId="3" borderId="53" xfId="11" applyFont="1" applyFill="1" applyBorder="1" applyAlignment="1" applyProtection="1">
      <alignment horizontal="center" vertical="center" wrapText="1"/>
    </xf>
    <xf numFmtId="0" fontId="10" fillId="3" borderId="61" xfId="11" applyFont="1" applyFill="1" applyBorder="1" applyAlignment="1" applyProtection="1">
      <alignment horizontal="center" vertical="center" wrapText="1"/>
    </xf>
    <xf numFmtId="0" fontId="10" fillId="3" borderId="286" xfId="6" applyFont="1" applyFill="1" applyBorder="1" applyAlignment="1" applyProtection="1">
      <alignment horizontal="center" vertical="center" wrapText="1"/>
    </xf>
    <xf numFmtId="0" fontId="10" fillId="3" borderId="288" xfId="6" applyFont="1" applyFill="1" applyBorder="1" applyAlignment="1" applyProtection="1">
      <alignment horizontal="center" vertical="center" wrapText="1"/>
    </xf>
    <xf numFmtId="0" fontId="10" fillId="3" borderId="294" xfId="6" applyFont="1" applyFill="1" applyBorder="1" applyAlignment="1" applyProtection="1">
      <alignment horizontal="center" vertical="center" wrapText="1"/>
    </xf>
    <xf numFmtId="0" fontId="10" fillId="3" borderId="33" xfId="11" applyFont="1" applyFill="1" applyBorder="1" applyAlignment="1" applyProtection="1">
      <alignment vertical="center"/>
    </xf>
    <xf numFmtId="0" fontId="10" fillId="3" borderId="61" xfId="11" applyFont="1" applyFill="1" applyBorder="1" applyAlignment="1" applyProtection="1">
      <alignment vertical="center"/>
    </xf>
    <xf numFmtId="9" fontId="19" fillId="0" borderId="33" xfId="11" applyNumberFormat="1" applyFont="1" applyFill="1" applyBorder="1" applyAlignment="1">
      <alignment vertical="center" wrapText="1"/>
    </xf>
    <xf numFmtId="9" fontId="19" fillId="0" borderId="34" xfId="11" applyNumberFormat="1" applyFont="1" applyFill="1" applyBorder="1" applyAlignment="1">
      <alignment vertical="center" wrapText="1"/>
    </xf>
    <xf numFmtId="9" fontId="19" fillId="0" borderId="35" xfId="11" applyNumberFormat="1" applyFont="1" applyFill="1" applyBorder="1" applyAlignment="1">
      <alignment vertical="center" wrapText="1"/>
    </xf>
    <xf numFmtId="0" fontId="26" fillId="0" borderId="174" xfId="11" applyFont="1" applyFill="1" applyBorder="1" applyAlignment="1" applyProtection="1">
      <alignment horizontal="left" vertical="top" wrapText="1"/>
    </xf>
    <xf numFmtId="0" fontId="26" fillId="0" borderId="80" xfId="11" applyFont="1" applyFill="1" applyBorder="1" applyAlignment="1" applyProtection="1">
      <alignment horizontal="left" vertical="top" wrapText="1"/>
    </xf>
    <xf numFmtId="0" fontId="49" fillId="0" borderId="80" xfId="22" applyBorder="1" applyAlignment="1"/>
    <xf numFmtId="0" fontId="49" fillId="0" borderId="81" xfId="22" applyBorder="1" applyAlignment="1"/>
    <xf numFmtId="0" fontId="10" fillId="3" borderId="2" xfId="11" applyFont="1" applyFill="1" applyBorder="1" applyAlignment="1" applyProtection="1">
      <alignment vertical="center"/>
    </xf>
    <xf numFmtId="0" fontId="10" fillId="3" borderId="3" xfId="11" applyFont="1" applyFill="1" applyBorder="1" applyAlignment="1" applyProtection="1">
      <alignment vertical="center"/>
    </xf>
    <xf numFmtId="0" fontId="103" fillId="3" borderId="34" xfId="9" applyFont="1" applyFill="1" applyBorder="1" applyAlignment="1" applyProtection="1">
      <alignment vertical="center"/>
    </xf>
    <xf numFmtId="0" fontId="103" fillId="3" borderId="35" xfId="9" applyFont="1" applyFill="1" applyBorder="1" applyAlignment="1" applyProtection="1">
      <alignment vertical="center"/>
    </xf>
    <xf numFmtId="0" fontId="26" fillId="0" borderId="81" xfId="11" applyFont="1" applyFill="1" applyBorder="1" applyAlignment="1" applyProtection="1">
      <alignment horizontal="left" vertical="top" wrapText="1"/>
    </xf>
    <xf numFmtId="0" fontId="12"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12" fillId="0" borderId="41"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55" xfId="0" applyFont="1" applyBorder="1" applyAlignment="1">
      <alignment horizontal="left" vertical="top" wrapText="1"/>
    </xf>
    <xf numFmtId="0" fontId="12" fillId="0" borderId="53" xfId="0" applyFont="1" applyBorder="1" applyAlignment="1">
      <alignment horizontal="left" vertical="top" wrapText="1"/>
    </xf>
    <xf numFmtId="0" fontId="12" fillId="0" borderId="17" xfId="0" applyFont="1" applyBorder="1" applyAlignment="1">
      <alignment horizontal="left" vertical="top" wrapText="1"/>
    </xf>
    <xf numFmtId="0" fontId="0" fillId="0" borderId="168" xfId="0" applyBorder="1" applyAlignment="1">
      <alignment vertical="top"/>
    </xf>
    <xf numFmtId="0" fontId="0" fillId="0" borderId="0" xfId="0" applyBorder="1"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6" fillId="0" borderId="174" xfId="11" applyFont="1" applyFill="1" applyBorder="1" applyAlignment="1" applyProtection="1">
      <alignment horizontal="left" vertical="center" wrapText="1"/>
    </xf>
    <xf numFmtId="0" fontId="26" fillId="0" borderId="80" xfId="11" applyFont="1" applyFill="1" applyBorder="1" applyAlignment="1" applyProtection="1">
      <alignment horizontal="left" vertical="center" wrapText="1"/>
    </xf>
    <xf numFmtId="0" fontId="26" fillId="0" borderId="81" xfId="11" applyFont="1" applyFill="1" applyBorder="1" applyAlignment="1" applyProtection="1">
      <alignment horizontal="left" vertical="center" wrapText="1"/>
    </xf>
    <xf numFmtId="0" fontId="70" fillId="0" borderId="174" xfId="11" applyFont="1" applyFill="1" applyBorder="1" applyAlignment="1" applyProtection="1">
      <alignment horizontal="left" vertical="top" wrapText="1"/>
    </xf>
    <xf numFmtId="0" fontId="33" fillId="0" borderId="61" xfId="0" applyFont="1" applyBorder="1" applyAlignment="1">
      <alignment vertical="top" wrapText="1"/>
    </xf>
    <xf numFmtId="0" fontId="33" fillId="0" borderId="3" xfId="0" applyFont="1" applyBorder="1" applyAlignment="1">
      <alignment vertical="top" wrapText="1"/>
    </xf>
    <xf numFmtId="0" fontId="33" fillId="0" borderId="4" xfId="0" applyFont="1" applyBorder="1" applyAlignment="1">
      <alignment vertical="top" wrapText="1"/>
    </xf>
    <xf numFmtId="0" fontId="95" fillId="0" borderId="326" xfId="0" applyFont="1" applyBorder="1" applyAlignment="1">
      <alignment horizontal="center" vertical="center" wrapText="1"/>
    </xf>
    <xf numFmtId="0" fontId="95" fillId="0" borderId="327" xfId="0" applyFont="1" applyBorder="1" applyAlignment="1">
      <alignment horizontal="center" vertical="center" wrapText="1"/>
    </xf>
    <xf numFmtId="0" fontId="95" fillId="0" borderId="332" xfId="0" applyFont="1" applyBorder="1" applyAlignment="1">
      <alignment horizontal="center" vertical="center" wrapText="1"/>
    </xf>
    <xf numFmtId="0" fontId="95" fillId="0" borderId="244" xfId="0" applyFont="1" applyBorder="1" applyAlignment="1">
      <alignment horizontal="center" vertical="center" wrapText="1"/>
    </xf>
    <xf numFmtId="0" fontId="95" fillId="0" borderId="245" xfId="0" applyFont="1" applyBorder="1" applyAlignment="1">
      <alignment horizontal="center" vertical="center" wrapText="1"/>
    </xf>
    <xf numFmtId="0" fontId="95" fillId="0" borderId="333" xfId="0" applyFont="1" applyBorder="1" applyAlignment="1">
      <alignment horizontal="center" vertical="center" wrapText="1"/>
    </xf>
    <xf numFmtId="0" fontId="95" fillId="0" borderId="334" xfId="0" applyFont="1" applyBorder="1" applyAlignment="1">
      <alignment horizontal="center" vertical="center" wrapText="1"/>
    </xf>
    <xf numFmtId="0" fontId="95" fillId="0" borderId="322" xfId="0" applyFont="1" applyBorder="1" applyAlignment="1">
      <alignment horizontal="center" vertical="center" wrapText="1"/>
    </xf>
    <xf numFmtId="0" fontId="95" fillId="0" borderId="257" xfId="0" applyFont="1" applyBorder="1" applyAlignment="1">
      <alignment horizontal="center" vertical="center" wrapText="1"/>
    </xf>
    <xf numFmtId="0" fontId="95" fillId="0" borderId="258" xfId="0" applyFont="1" applyBorder="1" applyAlignment="1">
      <alignment horizontal="center" vertical="center" wrapText="1"/>
    </xf>
    <xf numFmtId="0" fontId="27" fillId="3" borderId="34" xfId="11" applyFont="1" applyFill="1" applyBorder="1" applyAlignment="1" applyProtection="1">
      <alignment vertical="center"/>
    </xf>
    <xf numFmtId="0" fontId="27" fillId="3" borderId="35" xfId="11" applyFont="1" applyFill="1" applyBorder="1" applyAlignment="1" applyProtection="1">
      <alignment vertical="center"/>
    </xf>
    <xf numFmtId="0" fontId="96" fillId="0" borderId="323" xfId="11" applyFont="1" applyFill="1" applyBorder="1" applyAlignment="1" applyProtection="1">
      <alignment horizontal="center" vertical="top" wrapText="1"/>
    </xf>
    <xf numFmtId="0" fontId="6" fillId="0" borderId="324" xfId="0" applyFont="1" applyBorder="1" applyAlignment="1">
      <alignment horizontal="center" vertical="top"/>
    </xf>
    <xf numFmtId="0" fontId="6" fillId="0" borderId="325" xfId="0" applyFont="1" applyBorder="1" applyAlignment="1">
      <alignment horizontal="center" vertical="top"/>
    </xf>
    <xf numFmtId="0" fontId="95" fillId="0" borderId="329" xfId="0" applyFont="1" applyBorder="1" applyAlignment="1">
      <alignment horizontal="center" vertical="center" wrapText="1"/>
    </xf>
    <xf numFmtId="0" fontId="95" fillId="0" borderId="330" xfId="0" applyFont="1" applyBorder="1" applyAlignment="1">
      <alignment horizontal="center" vertical="center" wrapText="1"/>
    </xf>
    <xf numFmtId="0" fontId="95" fillId="0" borderId="331" xfId="0" applyFont="1" applyBorder="1" applyAlignment="1">
      <alignment horizontal="center" vertical="center" wrapText="1"/>
    </xf>
    <xf numFmtId="0" fontId="26" fillId="0" borderId="33" xfId="11" applyFont="1" applyFill="1" applyBorder="1" applyAlignment="1" applyProtection="1">
      <alignment vertical="top" wrapText="1"/>
    </xf>
    <xf numFmtId="0" fontId="23"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9" fontId="62" fillId="0" borderId="342" xfId="11" applyNumberFormat="1" applyFont="1" applyFill="1" applyBorder="1" applyAlignment="1">
      <alignment vertical="center" wrapText="1"/>
    </xf>
    <xf numFmtId="9" fontId="62" fillId="0" borderId="0" xfId="11" applyNumberFormat="1" applyFont="1" applyFill="1" applyBorder="1" applyAlignment="1">
      <alignment vertical="center" wrapText="1"/>
    </xf>
    <xf numFmtId="9" fontId="62" fillId="0" borderId="169" xfId="11" applyNumberFormat="1" applyFont="1" applyFill="1" applyBorder="1" applyAlignment="1">
      <alignment vertical="center" wrapText="1"/>
    </xf>
    <xf numFmtId="0" fontId="26"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9" fontId="62" fillId="0" borderId="51" xfId="11" applyNumberFormat="1" applyFont="1" applyFill="1" applyBorder="1" applyAlignment="1">
      <alignment vertical="center" wrapText="1"/>
    </xf>
    <xf numFmtId="9" fontId="62" fillId="0" borderId="110" xfId="11" applyNumberFormat="1" applyFont="1" applyFill="1" applyBorder="1" applyAlignment="1">
      <alignment vertical="center" wrapText="1"/>
    </xf>
    <xf numFmtId="9" fontId="62" fillId="0" borderId="22" xfId="11" applyNumberFormat="1" applyFont="1" applyFill="1" applyBorder="1" applyAlignment="1">
      <alignment vertical="center" wrapText="1"/>
    </xf>
    <xf numFmtId="0" fontId="12" fillId="0" borderId="168" xfId="0" applyFont="1" applyFill="1" applyBorder="1" applyAlignment="1">
      <alignment vertical="center" wrapText="1"/>
    </xf>
    <xf numFmtId="0" fontId="12" fillId="0" borderId="0" xfId="0" applyFont="1" applyFill="1" applyBorder="1" applyAlignment="1">
      <alignment vertical="center" wrapText="1"/>
    </xf>
    <xf numFmtId="0" fontId="12" fillId="0" borderId="169" xfId="0" applyFont="1" applyFill="1" applyBorder="1" applyAlignment="1">
      <alignment vertical="center" wrapText="1"/>
    </xf>
    <xf numFmtId="0" fontId="103" fillId="3" borderId="34" xfId="11" applyFont="1" applyFill="1" applyBorder="1" applyAlignment="1" applyProtection="1">
      <alignment vertical="center"/>
    </xf>
    <xf numFmtId="0" fontId="103" fillId="3" borderId="35" xfId="11" applyFont="1" applyFill="1" applyBorder="1" applyAlignment="1" applyProtection="1">
      <alignment vertical="center"/>
    </xf>
    <xf numFmtId="0" fontId="10" fillId="3" borderId="33" xfId="22" applyFont="1" applyFill="1" applyBorder="1" applyAlignment="1"/>
    <xf numFmtId="0" fontId="10" fillId="3" borderId="34" xfId="22" applyFont="1" applyFill="1" applyBorder="1" applyAlignment="1"/>
    <xf numFmtId="0" fontId="10" fillId="3" borderId="35" xfId="22" applyFont="1" applyFill="1" applyBorder="1" applyAlignment="1"/>
    <xf numFmtId="9" fontId="76" fillId="0" borderId="342" xfId="11" applyNumberFormat="1" applyFont="1" applyFill="1" applyBorder="1" applyAlignment="1">
      <alignment vertical="center" wrapText="1"/>
    </xf>
    <xf numFmtId="9" fontId="76" fillId="0" borderId="0" xfId="11" applyNumberFormat="1" applyFont="1" applyFill="1" applyBorder="1" applyAlignment="1">
      <alignment vertical="center" wrapText="1"/>
    </xf>
    <xf numFmtId="9" fontId="76" fillId="0" borderId="169" xfId="11" applyNumberFormat="1" applyFont="1" applyFill="1" applyBorder="1" applyAlignment="1">
      <alignment vertical="center" wrapText="1"/>
    </xf>
    <xf numFmtId="0" fontId="27" fillId="3" borderId="53" xfId="11" applyFont="1" applyFill="1" applyBorder="1" applyAlignment="1" applyProtection="1">
      <alignment vertical="center"/>
    </xf>
    <xf numFmtId="0" fontId="27" fillId="3" borderId="17" xfId="11" applyFont="1" applyFill="1" applyBorder="1" applyAlignment="1" applyProtection="1">
      <alignment vertical="center"/>
    </xf>
    <xf numFmtId="0" fontId="10" fillId="3" borderId="33" xfId="22" applyFont="1" applyFill="1" applyBorder="1" applyAlignment="1">
      <alignment wrapText="1"/>
    </xf>
    <xf numFmtId="0" fontId="10" fillId="3" borderId="34" xfId="22" applyFont="1" applyFill="1" applyBorder="1" applyAlignment="1">
      <alignment wrapText="1"/>
    </xf>
    <xf numFmtId="0" fontId="10" fillId="3" borderId="35" xfId="22" applyFont="1" applyFill="1" applyBorder="1" applyAlignment="1">
      <alignment wrapText="1"/>
    </xf>
    <xf numFmtId="9" fontId="89" fillId="0" borderId="57" xfId="11" applyNumberFormat="1" applyFont="1" applyFill="1" applyBorder="1" applyAlignment="1">
      <alignment horizontal="left" vertical="top" wrapText="1"/>
    </xf>
    <xf numFmtId="9" fontId="89" fillId="0" borderId="45" xfId="11" applyNumberFormat="1" applyFont="1" applyFill="1" applyBorder="1" applyAlignment="1">
      <alignment horizontal="left" vertical="top" wrapText="1"/>
    </xf>
    <xf numFmtId="9" fontId="89" fillId="0" borderId="27" xfId="11" applyNumberFormat="1" applyFont="1" applyFill="1" applyBorder="1" applyAlignment="1">
      <alignment horizontal="left" vertical="top" wrapText="1"/>
    </xf>
    <xf numFmtId="9" fontId="89" fillId="0" borderId="38"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9" fillId="0" borderId="29" xfId="11" applyNumberFormat="1" applyFont="1" applyFill="1" applyBorder="1" applyAlignment="1">
      <alignment horizontal="left" vertical="top" wrapText="1"/>
    </xf>
    <xf numFmtId="9" fontId="89" fillId="0" borderId="223" xfId="11" applyNumberFormat="1" applyFont="1" applyFill="1" applyBorder="1" applyAlignment="1">
      <alignment horizontal="left" vertical="top" wrapText="1"/>
    </xf>
    <xf numFmtId="9" fontId="89" fillId="0" borderId="225" xfId="11" applyNumberFormat="1" applyFont="1" applyFill="1" applyBorder="1" applyAlignment="1">
      <alignment horizontal="left" vertical="top" wrapText="1"/>
    </xf>
    <xf numFmtId="9" fontId="89" fillId="0" borderId="226" xfId="11" applyNumberFormat="1" applyFont="1" applyFill="1" applyBorder="1" applyAlignment="1">
      <alignment horizontal="left" vertical="top" wrapText="1"/>
    </xf>
    <xf numFmtId="9" fontId="89" fillId="0" borderId="227" xfId="11" applyNumberFormat="1" applyFont="1" applyFill="1" applyBorder="1" applyAlignment="1">
      <alignment horizontal="left" vertical="top" wrapText="1"/>
    </xf>
    <xf numFmtId="0" fontId="15"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9" fillId="0" borderId="54" xfId="11" applyNumberFormat="1" applyFont="1" applyFill="1" applyBorder="1" applyAlignment="1">
      <alignment horizontal="left" vertical="top" wrapText="1"/>
    </xf>
    <xf numFmtId="9" fontId="89" fillId="0" borderId="28" xfId="11" applyNumberFormat="1" applyFont="1" applyFill="1" applyBorder="1" applyAlignment="1">
      <alignment horizontal="left" vertical="top" wrapText="1"/>
    </xf>
    <xf numFmtId="9" fontId="89" fillId="0" borderId="24" xfId="11" applyNumberFormat="1" applyFont="1" applyFill="1" applyBorder="1" applyAlignment="1">
      <alignment horizontal="left" vertical="top" wrapText="1"/>
    </xf>
    <xf numFmtId="9" fontId="89" fillId="0" borderId="56" xfId="11" applyNumberFormat="1" applyFont="1" applyFill="1" applyBorder="1" applyAlignment="1">
      <alignment horizontal="left" vertical="top" wrapText="1"/>
    </xf>
    <xf numFmtId="9" fontId="89" fillId="0" borderId="2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23" xfId="0" applyBorder="1" applyAlignment="1">
      <alignment horizontal="left" vertical="top" wrapText="1"/>
    </xf>
    <xf numFmtId="9" fontId="89" fillId="0" borderId="38" xfId="11" applyNumberFormat="1" applyFont="1" applyFill="1" applyBorder="1" applyAlignment="1">
      <alignment horizontal="left" vertical="center" wrapText="1"/>
    </xf>
    <xf numFmtId="9" fontId="89" fillId="0" borderId="29" xfId="11" applyNumberFormat="1" applyFont="1" applyFill="1" applyBorder="1" applyAlignment="1">
      <alignment horizontal="left" vertical="center" wrapText="1"/>
    </xf>
    <xf numFmtId="9" fontId="89" fillId="0" borderId="26" xfId="11" applyNumberFormat="1" applyFont="1" applyFill="1" applyBorder="1" applyAlignment="1">
      <alignment horizontal="left" vertical="center" wrapText="1"/>
    </xf>
    <xf numFmtId="9" fontId="89" fillId="0" borderId="40" xfId="11" applyNumberFormat="1" applyFont="1" applyFill="1" applyBorder="1" applyAlignment="1">
      <alignment horizontal="left" vertical="center" wrapText="1"/>
    </xf>
    <xf numFmtId="9" fontId="89" fillId="0" borderId="45" xfId="11" applyNumberFormat="1" applyFont="1" applyFill="1" applyBorder="1" applyAlignment="1">
      <alignment horizontal="left" vertical="center" wrapText="1"/>
    </xf>
    <xf numFmtId="9" fontId="89" fillId="0" borderId="27" xfId="11" applyNumberFormat="1" applyFont="1" applyFill="1" applyBorder="1" applyAlignment="1">
      <alignment horizontal="left" vertical="center" wrapText="1"/>
    </xf>
    <xf numFmtId="9" fontId="89" fillId="0" borderId="219" xfId="11" applyNumberFormat="1" applyFont="1" applyFill="1" applyBorder="1" applyAlignment="1">
      <alignment horizontal="left" vertical="top" wrapText="1"/>
    </xf>
    <xf numFmtId="9" fontId="89" fillId="0" borderId="220" xfId="11" applyNumberFormat="1" applyFont="1" applyFill="1" applyBorder="1" applyAlignment="1">
      <alignment horizontal="left" vertical="top" wrapText="1"/>
    </xf>
    <xf numFmtId="9" fontId="89" fillId="0" borderId="221" xfId="11" applyNumberFormat="1" applyFont="1" applyFill="1" applyBorder="1" applyAlignment="1">
      <alignment horizontal="left" vertical="top" wrapText="1"/>
    </xf>
    <xf numFmtId="0" fontId="10" fillId="3" borderId="60" xfId="22" applyFont="1" applyFill="1" applyBorder="1" applyAlignment="1"/>
    <xf numFmtId="9" fontId="76" fillId="0" borderId="3" xfId="11" applyNumberFormat="1" applyFont="1" applyFill="1" applyBorder="1" applyAlignment="1">
      <alignment horizontal="left" vertical="center" wrapText="1"/>
    </xf>
    <xf numFmtId="0" fontId="77" fillId="0" borderId="3" xfId="0" applyFont="1" applyBorder="1" applyAlignment="1">
      <alignment horizontal="left" vertical="center" wrapText="1"/>
    </xf>
    <xf numFmtId="0" fontId="77" fillId="0" borderId="4" xfId="0" applyFont="1" applyBorder="1" applyAlignment="1">
      <alignment horizontal="left" vertical="center" wrapText="1"/>
    </xf>
    <xf numFmtId="9" fontId="89" fillId="0" borderId="36" xfId="11" applyNumberFormat="1" applyFont="1" applyFill="1" applyBorder="1" applyAlignment="1">
      <alignment horizontal="left" vertical="center" wrapText="1"/>
    </xf>
    <xf numFmtId="9" fontId="89" fillId="0" borderId="28" xfId="11" applyNumberFormat="1" applyFont="1" applyFill="1" applyBorder="1" applyAlignment="1">
      <alignment horizontal="left" vertical="center" wrapText="1"/>
    </xf>
    <xf numFmtId="9" fontId="89" fillId="0" borderId="24" xfId="11" applyNumberFormat="1" applyFont="1" applyFill="1" applyBorder="1" applyAlignment="1">
      <alignment horizontal="left" vertical="center" wrapText="1"/>
    </xf>
    <xf numFmtId="9" fontId="19" fillId="0" borderId="38" xfId="11" applyNumberFormat="1" applyFont="1" applyFill="1" applyBorder="1" applyAlignment="1">
      <alignment horizontal="left" vertical="center" wrapText="1"/>
    </xf>
    <xf numFmtId="9" fontId="19" fillId="0" borderId="29" xfId="11" applyNumberFormat="1" applyFont="1" applyFill="1" applyBorder="1" applyAlignment="1">
      <alignment horizontal="left" vertical="center" wrapText="1"/>
    </xf>
    <xf numFmtId="9" fontId="19" fillId="0" borderId="26" xfId="11" applyNumberFormat="1" applyFont="1" applyFill="1" applyBorder="1" applyAlignment="1">
      <alignment horizontal="left" vertical="center" wrapText="1"/>
    </xf>
    <xf numFmtId="0" fontId="12" fillId="0" borderId="55" xfId="0" applyFont="1" applyBorder="1" applyAlignment="1">
      <alignment vertical="top" wrapText="1"/>
    </xf>
    <xf numFmtId="0" fontId="12" fillId="0" borderId="53" xfId="0" applyFont="1" applyBorder="1" applyAlignment="1">
      <alignment vertical="top" wrapText="1"/>
    </xf>
    <xf numFmtId="0" fontId="12" fillId="0" borderId="17" xfId="0" applyFont="1" applyBorder="1" applyAlignment="1">
      <alignment vertical="top" wrapText="1"/>
    </xf>
    <xf numFmtId="0" fontId="12" fillId="0" borderId="168" xfId="0" applyFont="1" applyBorder="1" applyAlignment="1">
      <alignment vertical="top" wrapText="1"/>
    </xf>
    <xf numFmtId="0" fontId="12" fillId="0" borderId="0" xfId="0" applyFont="1" applyBorder="1" applyAlignment="1">
      <alignment vertical="top" wrapText="1"/>
    </xf>
    <xf numFmtId="0" fontId="12" fillId="0" borderId="169" xfId="0" applyFont="1" applyBorder="1" applyAlignment="1">
      <alignment vertical="top" wrapText="1"/>
    </xf>
    <xf numFmtId="0" fontId="12" fillId="0" borderId="131" xfId="0" applyFont="1" applyBorder="1" applyAlignment="1">
      <alignment vertical="top" wrapText="1"/>
    </xf>
    <xf numFmtId="0" fontId="12" fillId="0" borderId="110" xfId="0" applyFont="1" applyBorder="1" applyAlignment="1">
      <alignment vertical="top" wrapText="1"/>
    </xf>
    <xf numFmtId="0" fontId="12" fillId="0" borderId="22" xfId="0" applyFont="1" applyBorder="1" applyAlignment="1">
      <alignment vertical="top" wrapText="1"/>
    </xf>
    <xf numFmtId="0" fontId="89" fillId="0" borderId="85" xfId="11" applyNumberFormat="1" applyFont="1" applyFill="1" applyBorder="1" applyAlignment="1">
      <alignment horizontal="left" vertical="top" wrapText="1"/>
    </xf>
    <xf numFmtId="0" fontId="89" fillId="0" borderId="86" xfId="11" applyNumberFormat="1" applyFont="1" applyFill="1" applyBorder="1" applyAlignment="1">
      <alignment horizontal="left" vertical="top" wrapText="1"/>
    </xf>
    <xf numFmtId="0" fontId="89" fillId="0" borderId="77" xfId="11" applyNumberFormat="1" applyFont="1" applyFill="1" applyBorder="1" applyAlignment="1">
      <alignment horizontal="left" vertical="top" wrapText="1"/>
    </xf>
    <xf numFmtId="0" fontId="89" fillId="0" borderId="85" xfId="11" applyNumberFormat="1" applyFont="1" applyFill="1" applyBorder="1" applyAlignment="1">
      <alignment vertical="top" wrapText="1"/>
    </xf>
    <xf numFmtId="0" fontId="89" fillId="0" borderId="86" xfId="11" applyNumberFormat="1" applyFont="1" applyFill="1" applyBorder="1" applyAlignment="1">
      <alignment vertical="top" wrapText="1"/>
    </xf>
    <xf numFmtId="0" fontId="89" fillId="0" borderId="77" xfId="11" applyNumberFormat="1" applyFont="1" applyFill="1" applyBorder="1" applyAlignment="1">
      <alignment vertical="top" wrapText="1"/>
    </xf>
    <xf numFmtId="0" fontId="74" fillId="0" borderId="0" xfId="11" applyFont="1" applyFill="1" applyAlignment="1" applyProtection="1">
      <alignment vertical="center"/>
    </xf>
    <xf numFmtId="0" fontId="15" fillId="0" borderId="79" xfId="11" applyFont="1" applyFill="1" applyBorder="1" applyAlignment="1" applyProtection="1">
      <alignment vertical="center"/>
    </xf>
    <xf numFmtId="0" fontId="15" fillId="0" borderId="80" xfId="11" applyFont="1" applyFill="1" applyBorder="1" applyAlignment="1" applyProtection="1">
      <alignment vertical="center"/>
    </xf>
    <xf numFmtId="0" fontId="15" fillId="0" borderId="81" xfId="11" applyFont="1" applyFill="1" applyBorder="1" applyAlignment="1" applyProtection="1">
      <alignment vertical="center"/>
    </xf>
    <xf numFmtId="0" fontId="26" fillId="0" borderId="82" xfId="11" applyFont="1" applyFill="1" applyBorder="1" applyAlignment="1" applyProtection="1">
      <alignment vertical="top" wrapText="1"/>
    </xf>
    <xf numFmtId="0" fontId="26" fillId="0" borderId="83" xfId="11" applyFont="1" applyFill="1" applyBorder="1" applyAlignment="1" applyProtection="1">
      <alignment vertical="top" wrapText="1"/>
    </xf>
    <xf numFmtId="0" fontId="26" fillId="0" borderId="76" xfId="11" applyFont="1" applyFill="1" applyBorder="1" applyAlignment="1" applyProtection="1">
      <alignment vertical="top" wrapText="1"/>
    </xf>
    <xf numFmtId="0" fontId="49" fillId="0" borderId="34" xfId="22" applyBorder="1" applyAlignment="1" applyProtection="1">
      <alignment horizontal="center" vertical="center" wrapText="1"/>
    </xf>
    <xf numFmtId="0" fontId="49" fillId="0" borderId="35" xfId="22" applyBorder="1" applyAlignment="1" applyProtection="1">
      <alignment horizontal="center" vertical="center" wrapText="1"/>
    </xf>
    <xf numFmtId="0" fontId="49" fillId="0" borderId="57" xfId="22" applyBorder="1" applyAlignment="1" applyProtection="1">
      <alignment horizontal="center" vertical="center" wrapText="1"/>
    </xf>
    <xf numFmtId="0" fontId="49" fillId="0" borderId="7" xfId="22" applyBorder="1" applyAlignment="1" applyProtection="1">
      <alignment horizontal="center" vertical="center" wrapText="1"/>
    </xf>
    <xf numFmtId="0" fontId="49" fillId="0" borderId="28" xfId="22" applyBorder="1" applyAlignment="1" applyProtection="1">
      <alignment horizontal="center" vertical="center" wrapText="1"/>
    </xf>
    <xf numFmtId="0" fontId="49" fillId="0" borderId="37" xfId="22" applyBorder="1" applyAlignment="1" applyProtection="1">
      <alignment horizontal="center" vertical="center" wrapText="1"/>
    </xf>
    <xf numFmtId="0" fontId="10" fillId="3" borderId="31" xfId="6" applyFont="1" applyFill="1" applyBorder="1" applyAlignment="1" applyProtection="1">
      <alignment horizontal="center" vertical="center" wrapText="1"/>
    </xf>
    <xf numFmtId="0" fontId="49" fillId="0" borderId="30" xfId="22" applyBorder="1" applyAlignment="1" applyProtection="1">
      <alignment horizontal="center" vertical="center" wrapText="1"/>
    </xf>
    <xf numFmtId="0" fontId="49" fillId="0" borderId="6" xfId="22" applyBorder="1" applyAlignment="1" applyProtection="1">
      <alignment horizontal="center" vertical="center" wrapText="1"/>
    </xf>
    <xf numFmtId="0" fontId="49" fillId="0" borderId="36" xfId="22" applyBorder="1" applyAlignment="1" applyProtection="1">
      <alignment horizontal="center" vertical="center" wrapText="1"/>
    </xf>
    <xf numFmtId="0" fontId="49" fillId="0" borderId="53" xfId="22" applyBorder="1" applyAlignment="1" applyProtection="1">
      <alignment horizontal="center" vertical="center" wrapText="1"/>
    </xf>
    <xf numFmtId="0" fontId="49" fillId="0" borderId="17" xfId="22" applyBorder="1" applyAlignment="1" applyProtection="1">
      <alignment horizontal="center" vertical="center" wrapText="1"/>
    </xf>
    <xf numFmtId="0" fontId="19" fillId="0" borderId="33" xfId="0" applyFont="1" applyFill="1" applyBorder="1" applyAlignment="1">
      <alignment horizontal="left" vertical="center" wrapText="1"/>
    </xf>
    <xf numFmtId="0" fontId="19" fillId="0" borderId="34" xfId="0" applyFont="1" applyFill="1" applyBorder="1" applyAlignment="1">
      <alignment horizontal="left" vertical="center" wrapText="1"/>
    </xf>
    <xf numFmtId="0" fontId="19" fillId="0" borderId="35" xfId="0" applyFont="1" applyFill="1" applyBorder="1" applyAlignment="1">
      <alignment horizontal="left" vertical="center" wrapText="1"/>
    </xf>
    <xf numFmtId="0" fontId="89" fillId="0" borderId="6" xfId="11" applyNumberFormat="1" applyFont="1" applyFill="1" applyBorder="1" applyAlignment="1">
      <alignment horizontal="left" vertical="top" wrapText="1"/>
    </xf>
    <xf numFmtId="0" fontId="89" fillId="0" borderId="7" xfId="11" applyNumberFormat="1" applyFont="1" applyFill="1" applyBorder="1" applyAlignment="1">
      <alignment horizontal="left" vertical="top" wrapText="1"/>
    </xf>
    <xf numFmtId="0" fontId="89" fillId="0" borderId="9" xfId="11" applyNumberFormat="1" applyFont="1" applyFill="1" applyBorder="1" applyAlignment="1">
      <alignment horizontal="left" vertical="top" wrapText="1"/>
    </xf>
    <xf numFmtId="0" fontId="89" fillId="0" borderId="10" xfId="11" applyNumberFormat="1" applyFont="1" applyFill="1" applyBorder="1" applyAlignment="1">
      <alignment horizontal="left" vertical="top" wrapText="1"/>
    </xf>
    <xf numFmtId="0" fontId="89" fillId="0" borderId="12" xfId="11" applyNumberFormat="1" applyFont="1" applyFill="1" applyBorder="1" applyAlignment="1">
      <alignment horizontal="left" vertical="top" wrapText="1"/>
    </xf>
    <xf numFmtId="0" fontId="89" fillId="0" borderId="13" xfId="11" applyNumberFormat="1" applyFont="1" applyFill="1" applyBorder="1" applyAlignment="1">
      <alignment horizontal="left" vertical="top" wrapText="1"/>
    </xf>
    <xf numFmtId="9" fontId="62" fillId="0" borderId="38" xfId="11" applyNumberFormat="1" applyFont="1" applyFill="1" applyBorder="1" applyAlignment="1">
      <alignment horizontal="left" vertical="top" wrapText="1"/>
    </xf>
    <xf numFmtId="9" fontId="62" fillId="0" borderId="29" xfId="11" applyNumberFormat="1" applyFont="1" applyFill="1" applyBorder="1" applyAlignment="1">
      <alignment horizontal="left" vertical="top" wrapText="1"/>
    </xf>
    <xf numFmtId="9" fontId="62" fillId="0" borderId="26" xfId="11" applyNumberFormat="1" applyFont="1" applyFill="1" applyBorder="1" applyAlignment="1">
      <alignment horizontal="left" vertical="top" wrapText="1"/>
    </xf>
    <xf numFmtId="0" fontId="49" fillId="0" borderId="34" xfId="22" applyBorder="1" applyAlignment="1">
      <alignment vertical="center"/>
    </xf>
    <xf numFmtId="0" fontId="49" fillId="0" borderId="35" xfId="22" applyBorder="1" applyAlignment="1">
      <alignment vertical="center"/>
    </xf>
    <xf numFmtId="0" fontId="49" fillId="0" borderId="53" xfId="22" applyBorder="1" applyAlignment="1">
      <alignment horizontal="center" vertical="center" wrapText="1"/>
    </xf>
    <xf numFmtId="0" fontId="49" fillId="0" borderId="17" xfId="22" applyBorder="1" applyAlignment="1">
      <alignment horizontal="center" vertical="center" wrapText="1"/>
    </xf>
    <xf numFmtId="0" fontId="49" fillId="26" borderId="0" xfId="22" applyFill="1" applyAlignment="1">
      <alignment horizontal="center"/>
    </xf>
    <xf numFmtId="0" fontId="101" fillId="0" borderId="0" xfId="18" applyFont="1" applyAlignment="1">
      <alignment horizontal="left" wrapText="1"/>
    </xf>
    <xf numFmtId="9" fontId="62" fillId="0" borderId="36" xfId="11" applyNumberFormat="1" applyFont="1" applyFill="1" applyBorder="1" applyAlignment="1">
      <alignment horizontal="left" vertical="top" wrapText="1"/>
    </xf>
    <xf numFmtId="9" fontId="62" fillId="0" borderId="28" xfId="11" applyNumberFormat="1" applyFont="1" applyFill="1" applyBorder="1" applyAlignment="1">
      <alignment horizontal="left" vertical="top" wrapText="1"/>
    </xf>
    <xf numFmtId="9" fontId="62" fillId="0" borderId="24" xfId="11" applyNumberFormat="1" applyFont="1" applyFill="1" applyBorder="1" applyAlignment="1">
      <alignment horizontal="left" vertical="top" wrapText="1"/>
    </xf>
    <xf numFmtId="9" fontId="62" fillId="0" borderId="48" xfId="11" applyNumberFormat="1" applyFont="1" applyFill="1" applyBorder="1" applyAlignment="1">
      <alignment horizontal="left" vertical="top" wrapText="1"/>
    </xf>
    <xf numFmtId="9" fontId="62" fillId="0" borderId="114" xfId="11" applyNumberFormat="1" applyFont="1" applyFill="1" applyBorder="1" applyAlignment="1">
      <alignment horizontal="left" vertical="top" wrapText="1"/>
    </xf>
    <xf numFmtId="9" fontId="62" fillId="0" borderId="115" xfId="11" applyNumberFormat="1" applyFont="1" applyFill="1" applyBorder="1" applyAlignment="1">
      <alignment horizontal="left" vertical="top" wrapText="1"/>
    </xf>
    <xf numFmtId="0" fontId="49" fillId="0" borderId="34" xfId="22" applyBorder="1" applyAlignment="1">
      <alignment horizontal="center" vertical="center" wrapText="1"/>
    </xf>
    <xf numFmtId="0" fontId="49" fillId="0" borderId="35" xfId="22" applyBorder="1" applyAlignment="1">
      <alignment horizontal="center" vertical="center" wrapText="1"/>
    </xf>
    <xf numFmtId="0" fontId="49" fillId="0" borderId="170" xfId="22" applyBorder="1" applyAlignment="1">
      <alignment horizontal="center" vertical="center" wrapText="1"/>
    </xf>
    <xf numFmtId="0" fontId="49" fillId="0" borderId="23" xfId="22" applyBorder="1" applyAlignment="1">
      <alignment horizontal="center" vertical="center" wrapText="1"/>
    </xf>
    <xf numFmtId="0" fontId="49" fillId="0" borderId="57" xfId="22" applyBorder="1" applyAlignment="1">
      <alignment horizontal="center" vertical="center" wrapText="1"/>
    </xf>
    <xf numFmtId="0" fontId="49" fillId="0" borderId="7" xfId="22" applyBorder="1" applyAlignment="1">
      <alignment horizontal="center" vertical="center" wrapText="1"/>
    </xf>
    <xf numFmtId="0" fontId="49" fillId="0" borderId="28" xfId="22" applyBorder="1" applyAlignment="1">
      <alignment horizontal="center" vertical="center" wrapText="1"/>
    </xf>
    <xf numFmtId="0" fontId="49" fillId="0" borderId="37" xfId="22" applyBorder="1" applyAlignment="1">
      <alignment horizontal="center" vertical="center" wrapText="1"/>
    </xf>
    <xf numFmtId="0" fontId="49" fillId="0" borderId="30" xfId="22" applyBorder="1" applyAlignment="1">
      <alignment horizontal="center" vertical="center" wrapText="1"/>
    </xf>
    <xf numFmtId="0" fontId="49" fillId="0" borderId="6" xfId="22" applyBorder="1" applyAlignment="1">
      <alignment horizontal="center" vertical="center" wrapText="1"/>
    </xf>
    <xf numFmtId="0" fontId="49" fillId="0" borderId="36" xfId="22" applyBorder="1" applyAlignment="1">
      <alignment horizontal="center" vertical="center" wrapText="1"/>
    </xf>
    <xf numFmtId="9" fontId="84" fillId="0" borderId="38" xfId="11" applyNumberFormat="1" applyFont="1" applyFill="1" applyBorder="1" applyAlignment="1">
      <alignment horizontal="left" vertical="top" wrapText="1"/>
    </xf>
    <xf numFmtId="9" fontId="84" fillId="0" borderId="29" xfId="11" applyNumberFormat="1" applyFont="1" applyFill="1" applyBorder="1" applyAlignment="1">
      <alignment horizontal="left" vertical="top" wrapText="1"/>
    </xf>
    <xf numFmtId="9" fontId="84" fillId="0" borderId="26" xfId="11" applyNumberFormat="1" applyFont="1" applyFill="1" applyBorder="1" applyAlignment="1">
      <alignment horizontal="left" vertical="top" wrapText="1"/>
    </xf>
    <xf numFmtId="0" fontId="75" fillId="0" borderId="131" xfId="22" applyFont="1" applyFill="1" applyBorder="1" applyAlignment="1"/>
    <xf numFmtId="0" fontId="75" fillId="0" borderId="110" xfId="22" applyFont="1" applyFill="1" applyBorder="1" applyAlignment="1"/>
    <xf numFmtId="0" fontId="75" fillId="0" borderId="22" xfId="22" applyFont="1" applyFill="1" applyBorder="1" applyAlignment="1"/>
    <xf numFmtId="0" fontId="74" fillId="9" borderId="0" xfId="11" applyFont="1" applyFill="1" applyAlignment="1">
      <alignment vertical="center"/>
    </xf>
    <xf numFmtId="0" fontId="74" fillId="0" borderId="0" xfId="11" applyFont="1" applyAlignment="1">
      <alignment vertical="center"/>
    </xf>
    <xf numFmtId="9" fontId="76" fillId="0" borderId="15" xfId="11" applyNumberFormat="1" applyFont="1" applyFill="1" applyBorder="1" applyAlignment="1">
      <alignment horizontal="left" vertical="top" wrapText="1"/>
    </xf>
    <xf numFmtId="0" fontId="77" fillId="0" borderId="15" xfId="22" applyFont="1" applyBorder="1" applyAlignment="1">
      <alignment horizontal="left" vertical="top" wrapText="1"/>
    </xf>
    <xf numFmtId="0" fontId="77" fillId="0" borderId="16" xfId="22" applyFont="1" applyBorder="1" applyAlignment="1">
      <alignment horizontal="left" vertical="top" wrapText="1"/>
    </xf>
    <xf numFmtId="9" fontId="84" fillId="0" borderId="36" xfId="11" applyNumberFormat="1" applyFont="1" applyFill="1" applyBorder="1" applyAlignment="1">
      <alignment horizontal="left" vertical="top" wrapText="1"/>
    </xf>
    <xf numFmtId="9" fontId="84" fillId="0" borderId="28" xfId="11" applyNumberFormat="1" applyFont="1" applyFill="1" applyBorder="1" applyAlignment="1">
      <alignment horizontal="left" vertical="top" wrapText="1"/>
    </xf>
    <xf numFmtId="9" fontId="84" fillId="0" borderId="24" xfId="11" applyNumberFormat="1" applyFont="1" applyFill="1" applyBorder="1" applyAlignment="1">
      <alignment horizontal="left" vertical="top" wrapText="1"/>
    </xf>
    <xf numFmtId="0" fontId="49" fillId="0" borderId="57" xfId="22" applyBorder="1" applyAlignment="1">
      <alignment wrapText="1"/>
    </xf>
    <xf numFmtId="0" fontId="49" fillId="0" borderId="27" xfId="22" applyBorder="1" applyAlignment="1">
      <alignment wrapText="1"/>
    </xf>
    <xf numFmtId="0" fontId="70" fillId="0" borderId="229" xfId="0" applyFont="1" applyBorder="1" applyAlignment="1">
      <alignment vertical="center" wrapText="1"/>
    </xf>
    <xf numFmtId="0" fontId="70" fillId="0" borderId="230" xfId="0" applyFont="1" applyBorder="1" applyAlignment="1">
      <alignment vertical="center" wrapText="1"/>
    </xf>
    <xf numFmtId="0" fontId="70" fillId="0" borderId="217" xfId="0" applyFont="1" applyBorder="1" applyAlignment="1">
      <alignment vertical="center" wrapText="1"/>
    </xf>
    <xf numFmtId="0" fontId="70" fillId="0" borderId="206" xfId="0" applyFont="1" applyBorder="1" applyAlignment="1">
      <alignment vertical="center" wrapText="1"/>
    </xf>
    <xf numFmtId="0" fontId="49" fillId="0" borderId="56" xfId="22" applyBorder="1" applyAlignment="1">
      <alignment wrapText="1"/>
    </xf>
    <xf numFmtId="0" fontId="49" fillId="0" borderId="26" xfId="22" applyBorder="1" applyAlignment="1">
      <alignment wrapText="1"/>
    </xf>
    <xf numFmtId="9" fontId="89" fillId="0" borderId="342" xfId="11" applyNumberFormat="1" applyFont="1" applyFill="1" applyBorder="1" applyAlignment="1">
      <alignment vertical="top" wrapText="1"/>
    </xf>
    <xf numFmtId="9" fontId="89" fillId="0" borderId="0" xfId="11" applyNumberFormat="1" applyFont="1" applyFill="1" applyBorder="1" applyAlignment="1">
      <alignment vertical="top" wrapText="1"/>
    </xf>
    <xf numFmtId="9" fontId="89" fillId="0" borderId="169" xfId="11" applyNumberFormat="1" applyFont="1" applyFill="1" applyBorder="1" applyAlignment="1">
      <alignment vertical="top" wrapText="1"/>
    </xf>
    <xf numFmtId="9" fontId="89" fillId="0" borderId="51" xfId="11" applyNumberFormat="1" applyFont="1" applyFill="1" applyBorder="1" applyAlignment="1">
      <alignment vertical="top" wrapText="1"/>
    </xf>
    <xf numFmtId="9" fontId="89" fillId="0" borderId="110" xfId="11" applyNumberFormat="1" applyFont="1" applyFill="1" applyBorder="1" applyAlignment="1">
      <alignment vertical="top" wrapText="1"/>
    </xf>
    <xf numFmtId="9" fontId="89" fillId="0" borderId="22" xfId="11" applyNumberFormat="1" applyFont="1" applyFill="1" applyBorder="1" applyAlignment="1">
      <alignment vertical="top" wrapText="1"/>
    </xf>
    <xf numFmtId="0" fontId="10" fillId="3" borderId="35" xfId="11" applyFont="1" applyFill="1" applyBorder="1" applyAlignment="1" applyProtection="1">
      <alignment vertical="center"/>
    </xf>
    <xf numFmtId="0" fontId="10" fillId="3" borderId="54" xfId="11" applyFont="1" applyFill="1" applyBorder="1" applyAlignment="1" applyProtection="1">
      <alignment vertical="center"/>
    </xf>
    <xf numFmtId="0" fontId="10" fillId="3" borderId="24" xfId="11" applyFont="1" applyFill="1" applyBorder="1" applyAlignment="1" applyProtection="1">
      <alignment vertical="center"/>
    </xf>
    <xf numFmtId="9" fontId="89" fillId="0" borderId="118" xfId="11" applyNumberFormat="1" applyFont="1" applyFill="1" applyBorder="1" applyAlignment="1">
      <alignment vertical="top" wrapText="1"/>
    </xf>
    <xf numFmtId="9" fontId="89" fillId="0" borderId="42" xfId="11" applyNumberFormat="1" applyFont="1" applyFill="1" applyBorder="1" applyAlignment="1">
      <alignment vertical="top" wrapText="1"/>
    </xf>
    <xf numFmtId="9" fontId="89" fillId="0" borderId="126" xfId="11" applyNumberFormat="1" applyFont="1" applyFill="1" applyBorder="1" applyAlignment="1">
      <alignment vertical="top" wrapText="1"/>
    </xf>
    <xf numFmtId="9" fontId="76" fillId="0" borderId="343" xfId="11" applyNumberFormat="1" applyFont="1" applyFill="1" applyBorder="1" applyAlignment="1">
      <alignment vertical="top" wrapText="1"/>
    </xf>
    <xf numFmtId="9" fontId="76" fillId="0" borderId="34" xfId="11" applyNumberFormat="1" applyFont="1" applyFill="1" applyBorder="1" applyAlignment="1">
      <alignment vertical="top" wrapText="1"/>
    </xf>
    <xf numFmtId="9" fontId="76" fillId="0" borderId="35" xfId="11" applyNumberFormat="1" applyFont="1" applyFill="1" applyBorder="1" applyAlignment="1">
      <alignment vertical="top" wrapText="1"/>
    </xf>
    <xf numFmtId="9" fontId="76" fillId="0" borderId="344" xfId="11" applyNumberFormat="1" applyFont="1" applyFill="1" applyBorder="1" applyAlignment="1">
      <alignment vertical="top" wrapText="1"/>
    </xf>
    <xf numFmtId="9" fontId="76" fillId="0" borderId="345" xfId="11" applyNumberFormat="1" applyFont="1" applyFill="1" applyBorder="1" applyAlignment="1">
      <alignment vertical="top" wrapText="1"/>
    </xf>
    <xf numFmtId="9" fontId="76" fillId="0" borderId="346" xfId="11" applyNumberFormat="1" applyFont="1" applyFill="1" applyBorder="1" applyAlignment="1">
      <alignment vertical="top" wrapText="1"/>
    </xf>
    <xf numFmtId="0" fontId="103" fillId="3" borderId="33" xfId="9" applyFont="1" applyFill="1" applyBorder="1" applyAlignment="1" applyProtection="1">
      <alignment vertical="center"/>
    </xf>
    <xf numFmtId="0" fontId="8" fillId="3" borderId="33" xfId="9" applyFont="1" applyFill="1" applyBorder="1" applyAlignment="1" applyProtection="1">
      <alignment wrapText="1"/>
    </xf>
    <xf numFmtId="0" fontId="8" fillId="3" borderId="34" xfId="9" applyFont="1" applyFill="1" applyBorder="1" applyAlignment="1" applyProtection="1"/>
    <xf numFmtId="0" fontId="8" fillId="3" borderId="35" xfId="9" applyFont="1" applyFill="1" applyBorder="1" applyAlignment="1" applyProtection="1"/>
    <xf numFmtId="9" fontId="76" fillId="0" borderId="36" xfId="11" applyNumberFormat="1" applyFont="1" applyFill="1" applyBorder="1" applyAlignment="1">
      <alignment vertical="top" wrapText="1"/>
    </xf>
    <xf numFmtId="9" fontId="76" fillId="0" borderId="28" xfId="11" applyNumberFormat="1" applyFont="1" applyFill="1" applyBorder="1" applyAlignment="1">
      <alignment vertical="top" wrapText="1"/>
    </xf>
    <xf numFmtId="9" fontId="76" fillId="0" borderId="24" xfId="11" applyNumberFormat="1" applyFont="1" applyFill="1" applyBorder="1" applyAlignment="1">
      <alignment vertical="top" wrapText="1"/>
    </xf>
    <xf numFmtId="9" fontId="76" fillId="0" borderId="60" xfId="11" applyNumberFormat="1" applyFont="1" applyFill="1" applyBorder="1" applyAlignment="1">
      <alignment vertical="top" wrapText="1"/>
    </xf>
    <xf numFmtId="9" fontId="89" fillId="0" borderId="52" xfId="11" applyNumberFormat="1" applyFont="1" applyFill="1" applyBorder="1" applyAlignment="1">
      <alignment vertical="top" wrapText="1"/>
    </xf>
    <xf numFmtId="9" fontId="89" fillId="0" borderId="53" xfId="11" applyNumberFormat="1" applyFont="1" applyFill="1" applyBorder="1" applyAlignment="1">
      <alignment vertical="top" wrapText="1"/>
    </xf>
    <xf numFmtId="9" fontId="89" fillId="0" borderId="17" xfId="11" applyNumberFormat="1" applyFont="1" applyFill="1" applyBorder="1" applyAlignment="1">
      <alignment vertical="top" wrapText="1"/>
    </xf>
    <xf numFmtId="9" fontId="89" fillId="0" borderId="342" xfId="11" applyNumberFormat="1" applyFont="1" applyFill="1" applyBorder="1" applyAlignment="1">
      <alignment vertical="top"/>
    </xf>
    <xf numFmtId="9" fontId="89" fillId="0" borderId="0" xfId="11" applyNumberFormat="1" applyFont="1" applyFill="1" applyBorder="1" applyAlignment="1">
      <alignment vertical="top"/>
    </xf>
    <xf numFmtId="9" fontId="89" fillId="0" borderId="169" xfId="11" applyNumberFormat="1" applyFont="1" applyFill="1" applyBorder="1" applyAlignment="1">
      <alignment vertical="top"/>
    </xf>
    <xf numFmtId="0" fontId="23" fillId="0" borderId="38" xfId="6" applyFont="1" applyBorder="1" applyAlignment="1">
      <alignment horizontal="left" vertical="top" wrapText="1"/>
    </xf>
    <xf numFmtId="0" fontId="23" fillId="0" borderId="29" xfId="6" applyFont="1" applyBorder="1" applyAlignment="1">
      <alignment horizontal="left" vertical="top" wrapText="1"/>
    </xf>
    <xf numFmtId="0" fontId="23" fillId="0" borderId="26" xfId="6" applyFont="1" applyBorder="1" applyAlignment="1">
      <alignment horizontal="left" vertical="top" wrapText="1"/>
    </xf>
    <xf numFmtId="0" fontId="23" fillId="0" borderId="36" xfId="6" applyFont="1" applyBorder="1" applyAlignment="1">
      <alignment horizontal="left" vertical="top" wrapText="1"/>
    </xf>
    <xf numFmtId="0" fontId="23" fillId="0" borderId="28" xfId="6" applyFont="1" applyBorder="1" applyAlignment="1">
      <alignment horizontal="left" vertical="top" wrapText="1"/>
    </xf>
    <xf numFmtId="0" fontId="23" fillId="0" borderId="24" xfId="6" applyFont="1" applyBorder="1" applyAlignment="1">
      <alignment horizontal="left" vertical="top" wrapText="1"/>
    </xf>
    <xf numFmtId="0" fontId="23" fillId="0" borderId="38" xfId="6" applyFont="1" applyBorder="1" applyAlignment="1">
      <alignment horizontal="left" vertical="top"/>
    </xf>
    <xf numFmtId="0" fontId="23" fillId="0" borderId="29" xfId="6" applyFont="1" applyBorder="1" applyAlignment="1">
      <alignment horizontal="left" vertical="top"/>
    </xf>
    <xf numFmtId="0" fontId="23" fillId="0" borderId="26" xfId="6" applyFont="1" applyBorder="1" applyAlignment="1">
      <alignment horizontal="left" vertical="top"/>
    </xf>
    <xf numFmtId="0" fontId="23" fillId="0" borderId="40" xfId="6" applyFont="1" applyBorder="1" applyAlignment="1">
      <alignment vertical="top" wrapText="1"/>
    </xf>
    <xf numFmtId="0" fontId="23" fillId="0" borderId="45" xfId="6" applyFont="1" applyBorder="1" applyAlignment="1">
      <alignment vertical="top" wrapText="1"/>
    </xf>
    <xf numFmtId="0" fontId="23" fillId="0" borderId="27" xfId="6" applyFont="1" applyBorder="1" applyAlignment="1">
      <alignment vertical="top" wrapText="1"/>
    </xf>
  </cellXfs>
  <cellStyles count="33190">
    <cellStyle name="% 2" xfId="22778" xr:uid="{F54AE475-1601-456E-9682-0D6B356FFB70}"/>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0 2" xfId="22730" xr:uid="{92FF4624-A014-4792-A699-6A3C354DCF4D}"/>
    <cellStyle name="Comma 10 3" xfId="33146" xr:uid="{B9263799-B7CD-4269-9777-807F5F1DAB17}"/>
    <cellStyle name="Comma 11" xfId="12334" xr:uid="{00000000-0005-0000-0000-00000B000000}"/>
    <cellStyle name="Comma 11 2" xfId="22740" xr:uid="{E6EBBB19-B5D8-4F5F-BB3E-4EB43F7F8720}"/>
    <cellStyle name="Comma 11 3" xfId="33156" xr:uid="{AB5A7EA3-D8E2-4A3E-ADF3-D3FCF9F808F9}"/>
    <cellStyle name="Comma 12" xfId="12349" xr:uid="{00000000-0005-0000-0000-00000C000000}"/>
    <cellStyle name="Comma 12 2" xfId="22755" xr:uid="{C5747890-315F-446E-A247-520BA41DF430}"/>
    <cellStyle name="Comma 12 3" xfId="33171" xr:uid="{3C021811-0527-4FF6-B69F-E22DE4D683D2}"/>
    <cellStyle name="Comma 13" xfId="22771" xr:uid="{47967F35-6786-4CA7-8F30-637731C4CB02}"/>
    <cellStyle name="Comma 13 2" xfId="33187" xr:uid="{A302118A-F004-4A20-B9A2-7960DFCADF59}"/>
    <cellStyle name="Comma 14" xfId="12364" xr:uid="{8394117F-EA95-4E39-B76E-7DD0B4B6FD2B}"/>
    <cellStyle name="Comma 15" xfId="22780" xr:uid="{485A03B5-0A7F-41C7-B3B2-CDC3B4B6E043}"/>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2 2 2" xfId="18727" xr:uid="{13A48B91-243E-40C4-9952-A382FE1834CB}"/>
    <cellStyle name="Comma 2 10 2 2 2 2 3" xfId="29143" xr:uid="{02858553-46AA-4161-B338-2BCC95668E00}"/>
    <cellStyle name="Comma 2 10 2 2 2 3" xfId="12373" xr:uid="{4696E2D7-2944-4C12-9875-2464DB4CFC7F}"/>
    <cellStyle name="Comma 2 10 2 2 2 4" xfId="22789" xr:uid="{FDA5AA09-6602-441B-808A-5B069984EA16}"/>
    <cellStyle name="Comma 2 10 2 2 3" xfId="7180" xr:uid="{00000000-0005-0000-0000-000013000000}"/>
    <cellStyle name="Comma 2 10 2 2 3 2" xfId="18726" xr:uid="{40447E2D-4469-40BB-950E-AE59F95A49F8}"/>
    <cellStyle name="Comma 2 10 2 2 3 3" xfId="29142" xr:uid="{AF769A1F-87A6-4218-BF66-A05D1279754F}"/>
    <cellStyle name="Comma 2 10 2 2 4" xfId="4782" xr:uid="{00000000-0005-0000-0000-000014000000}"/>
    <cellStyle name="Comma 2 10 2 2 4 2" xfId="16368" xr:uid="{314570DF-94F5-4529-BFA2-CE3ABE74082E}"/>
    <cellStyle name="Comma 2 10 2 2 4 3" xfId="26784" xr:uid="{4A59561C-11AB-421C-88CD-48B1D979A834}"/>
    <cellStyle name="Comma 2 10 2 2 5" xfId="12372" xr:uid="{A8666C67-6279-4ACA-BF95-0E9981410913}"/>
    <cellStyle name="Comma 2 10 2 2 6" xfId="22788" xr:uid="{3C5581C5-974E-4A1A-A66B-B04B735E9D44}"/>
    <cellStyle name="Comma 2 10 2 3" xfId="39" xr:uid="{00000000-0005-0000-0000-000015000000}"/>
    <cellStyle name="Comma 2 10 2 3 2" xfId="7182" xr:uid="{00000000-0005-0000-0000-000016000000}"/>
    <cellStyle name="Comma 2 10 2 3 2 2" xfId="18728" xr:uid="{C3329247-6504-4EA1-80F1-917899532107}"/>
    <cellStyle name="Comma 2 10 2 3 2 3" xfId="29144" xr:uid="{67BE968D-7204-43FA-8BBC-8164AF6F91DC}"/>
    <cellStyle name="Comma 2 10 2 3 3" xfId="12374" xr:uid="{7C27BE18-21D1-4797-AAE9-C817F94283ED}"/>
    <cellStyle name="Comma 2 10 2 3 4" xfId="22790" xr:uid="{0F4B0359-1228-47F8-A25C-B6B790E60F02}"/>
    <cellStyle name="Comma 2 10 2 4" xfId="7179" xr:uid="{00000000-0005-0000-0000-000017000000}"/>
    <cellStyle name="Comma 2 10 2 4 2" xfId="18725" xr:uid="{CB32713C-1F76-48E7-A776-E81CAA90C8BC}"/>
    <cellStyle name="Comma 2 10 2 4 3" xfId="29141" xr:uid="{2B8E6663-0473-46C6-ABE2-E82A0F2BD411}"/>
    <cellStyle name="Comma 2 10 2 5" xfId="4781" xr:uid="{00000000-0005-0000-0000-000018000000}"/>
    <cellStyle name="Comma 2 10 2 5 2" xfId="16367" xr:uid="{3CBD68C9-287E-4DD0-9990-AAA4987B3E92}"/>
    <cellStyle name="Comma 2 10 2 5 3" xfId="26783" xr:uid="{6B08D0D0-BFE1-4B63-84A9-32302D9BA146}"/>
    <cellStyle name="Comma 2 10 2 6" xfId="12371" xr:uid="{199572B0-7D55-4C98-BF15-B1886E1A469B}"/>
    <cellStyle name="Comma 2 10 2 7" xfId="22787" xr:uid="{801E6150-3AFB-450B-B9AA-9BF17E7B3852}"/>
    <cellStyle name="Comma 2 10 3" xfId="40" xr:uid="{00000000-0005-0000-0000-000019000000}"/>
    <cellStyle name="Comma 2 10 3 2" xfId="41" xr:uid="{00000000-0005-0000-0000-00001A000000}"/>
    <cellStyle name="Comma 2 10 3 2 2" xfId="7184" xr:uid="{00000000-0005-0000-0000-00001B000000}"/>
    <cellStyle name="Comma 2 10 3 2 2 2" xfId="18730" xr:uid="{EC4D198A-01CC-41C8-9B25-A9B105716AEB}"/>
    <cellStyle name="Comma 2 10 3 2 2 3" xfId="29146" xr:uid="{F48C5E10-C1D7-4E02-AF0E-68F0104E742A}"/>
    <cellStyle name="Comma 2 10 3 2 3" xfId="12376" xr:uid="{51C72C6B-2BC6-4EF8-B2BB-15CB37CD399A}"/>
    <cellStyle name="Comma 2 10 3 2 4" xfId="22792" xr:uid="{40526714-EC01-4C44-9192-7C43AD470AE0}"/>
    <cellStyle name="Comma 2 10 3 3" xfId="7183" xr:uid="{00000000-0005-0000-0000-00001C000000}"/>
    <cellStyle name="Comma 2 10 3 3 2" xfId="18729" xr:uid="{FFD09AD0-CA5B-4383-A2A5-E0D573F0F0D0}"/>
    <cellStyle name="Comma 2 10 3 3 3" xfId="29145" xr:uid="{CE49243D-5A91-42D6-9551-9D19EC3C5AF6}"/>
    <cellStyle name="Comma 2 10 3 4" xfId="4783" xr:uid="{00000000-0005-0000-0000-00001D000000}"/>
    <cellStyle name="Comma 2 10 3 4 2" xfId="16369" xr:uid="{6C352810-7A0B-4DFD-93D5-9CA26F39CD77}"/>
    <cellStyle name="Comma 2 10 3 4 3" xfId="26785" xr:uid="{46973363-E848-484C-961E-A27B61DCC1A0}"/>
    <cellStyle name="Comma 2 10 3 5" xfId="12375" xr:uid="{6E5CACB4-BF75-409C-9618-AB26B9A16975}"/>
    <cellStyle name="Comma 2 10 3 6" xfId="22791" xr:uid="{F02B682C-3825-4DD5-B437-6259DA7E5177}"/>
    <cellStyle name="Comma 2 10 4" xfId="42" xr:uid="{00000000-0005-0000-0000-00001E000000}"/>
    <cellStyle name="Comma 2 10 4 2" xfId="43" xr:uid="{00000000-0005-0000-0000-00001F000000}"/>
    <cellStyle name="Comma 2 10 4 2 2" xfId="7186" xr:uid="{00000000-0005-0000-0000-000020000000}"/>
    <cellStyle name="Comma 2 10 4 2 2 2" xfId="18732" xr:uid="{4E8061DD-8186-4378-B54A-18FB210FE056}"/>
    <cellStyle name="Comma 2 10 4 2 2 3" xfId="29148" xr:uid="{D38E8968-5855-4C96-A564-25E201B91C42}"/>
    <cellStyle name="Comma 2 10 4 2 3" xfId="12378" xr:uid="{4AEDE4F3-5335-45EA-96B6-AD7C721D649A}"/>
    <cellStyle name="Comma 2 10 4 2 4" xfId="22794" xr:uid="{F38FD832-D5CB-4758-A531-567A31466591}"/>
    <cellStyle name="Comma 2 10 4 3" xfId="7185" xr:uid="{00000000-0005-0000-0000-000021000000}"/>
    <cellStyle name="Comma 2 10 4 3 2" xfId="18731" xr:uid="{F7B1A524-3033-4471-BB47-048080B2A206}"/>
    <cellStyle name="Comma 2 10 4 3 3" xfId="29147" xr:uid="{BC6B34A9-8057-496E-A0BC-7342591C23C2}"/>
    <cellStyle name="Comma 2 10 4 4" xfId="4784" xr:uid="{00000000-0005-0000-0000-000022000000}"/>
    <cellStyle name="Comma 2 10 4 4 2" xfId="16370" xr:uid="{446F5D01-60CD-49ED-9B45-5FD38B303206}"/>
    <cellStyle name="Comma 2 10 4 4 3" xfId="26786" xr:uid="{F89BB8E2-0250-47CE-A6D4-15E7E60F3673}"/>
    <cellStyle name="Comma 2 10 4 5" xfId="12377" xr:uid="{21C8E4F3-5E26-4802-BC7C-12C0D26BA90C}"/>
    <cellStyle name="Comma 2 10 4 6" xfId="22793" xr:uid="{343869DD-D8EC-4BA6-8E78-AEBEF8F715B4}"/>
    <cellStyle name="Comma 2 10 5" xfId="44" xr:uid="{00000000-0005-0000-0000-000023000000}"/>
    <cellStyle name="Comma 2 10 5 2" xfId="7187" xr:uid="{00000000-0005-0000-0000-000024000000}"/>
    <cellStyle name="Comma 2 10 5 2 2" xfId="18733" xr:uid="{D8E704B0-4ECF-419F-A234-EC6E696D5FAB}"/>
    <cellStyle name="Comma 2 10 5 2 3" xfId="29149" xr:uid="{D7E83148-C2C4-4226-9D2C-8E150B8D76D6}"/>
    <cellStyle name="Comma 2 10 5 3" xfId="12379" xr:uid="{0850E4C5-F93C-406A-BCBE-BDDD6260E413}"/>
    <cellStyle name="Comma 2 10 5 4" xfId="22795" xr:uid="{6AACFC1F-31D1-4395-8710-2BB79579DF87}"/>
    <cellStyle name="Comma 2 10 6" xfId="7178" xr:uid="{00000000-0005-0000-0000-000025000000}"/>
    <cellStyle name="Comma 2 10 6 2" xfId="18724" xr:uid="{442B708B-A42C-4846-B10D-30325456F8F6}"/>
    <cellStyle name="Comma 2 10 6 3" xfId="29140" xr:uid="{CCE27080-396D-491F-B19E-E4B54220BE32}"/>
    <cellStyle name="Comma 2 10 7" xfId="4780" xr:uid="{00000000-0005-0000-0000-000026000000}"/>
    <cellStyle name="Comma 2 10 7 2" xfId="16366" xr:uid="{9AE4EAF1-A428-406F-9C55-D621DD97B2AF}"/>
    <cellStyle name="Comma 2 10 7 3" xfId="26782" xr:uid="{77785985-B374-4EB2-BC3E-5879F3026017}"/>
    <cellStyle name="Comma 2 10 8" xfId="12370" xr:uid="{358AD9D5-F60E-4383-AC8C-34CE0DBADEE2}"/>
    <cellStyle name="Comma 2 10 9" xfId="22786" xr:uid="{AEC5E0D4-5C53-40BE-8EFA-B3119CCF480B}"/>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2 2 2" xfId="18737" xr:uid="{520248DD-5169-401D-B32E-FB40289A239A}"/>
    <cellStyle name="Comma 2 11 2 2 2 2 3" xfId="29153" xr:uid="{473F7838-F468-4B17-B9C1-C87B80311313}"/>
    <cellStyle name="Comma 2 11 2 2 2 3" xfId="12383" xr:uid="{72978D28-8476-49C8-AF1E-F2A766203336}"/>
    <cellStyle name="Comma 2 11 2 2 2 4" xfId="22799" xr:uid="{A959AE7B-D664-4DE4-9C77-3659E1A35465}"/>
    <cellStyle name="Comma 2 11 2 2 3" xfId="7190" xr:uid="{00000000-0005-0000-0000-00002C000000}"/>
    <cellStyle name="Comma 2 11 2 2 3 2" xfId="18736" xr:uid="{2DF04A12-B7C6-488C-97CE-CC2863F22712}"/>
    <cellStyle name="Comma 2 11 2 2 3 3" xfId="29152" xr:uid="{EC7F5638-C7E2-4B1D-9A36-1C0C45712A74}"/>
    <cellStyle name="Comma 2 11 2 2 4" xfId="4787" xr:uid="{00000000-0005-0000-0000-00002D000000}"/>
    <cellStyle name="Comma 2 11 2 2 4 2" xfId="16373" xr:uid="{989E1C02-EC3D-4F53-B846-A10DF5260DAA}"/>
    <cellStyle name="Comma 2 11 2 2 4 3" xfId="26789" xr:uid="{676F851D-588C-4FD9-84CA-0E1510621F44}"/>
    <cellStyle name="Comma 2 11 2 2 5" xfId="12382" xr:uid="{DC44C60B-0CD7-4B78-99FE-68FA79FFF1D8}"/>
    <cellStyle name="Comma 2 11 2 2 6" xfId="22798" xr:uid="{E4C71EBA-1C71-4D55-91A5-FA64234FB9FB}"/>
    <cellStyle name="Comma 2 11 2 3" xfId="49" xr:uid="{00000000-0005-0000-0000-00002E000000}"/>
    <cellStyle name="Comma 2 11 2 3 2" xfId="7192" xr:uid="{00000000-0005-0000-0000-00002F000000}"/>
    <cellStyle name="Comma 2 11 2 3 2 2" xfId="18738" xr:uid="{5B4C4B10-FF83-4C65-85ED-793971D98403}"/>
    <cellStyle name="Comma 2 11 2 3 2 3" xfId="29154" xr:uid="{2FE28548-EAD0-4C4A-A2B0-B71B088C6FF5}"/>
    <cellStyle name="Comma 2 11 2 3 3" xfId="12384" xr:uid="{9D130E52-E31F-49AE-AAD1-AEEB00C6384E}"/>
    <cellStyle name="Comma 2 11 2 3 4" xfId="22800" xr:uid="{CD49735B-ACF8-4FD9-91AC-99DD9F09235A}"/>
    <cellStyle name="Comma 2 11 2 4" xfId="7189" xr:uid="{00000000-0005-0000-0000-000030000000}"/>
    <cellStyle name="Comma 2 11 2 4 2" xfId="18735" xr:uid="{0623B614-C480-4A82-9DE5-37ACB9921F2A}"/>
    <cellStyle name="Comma 2 11 2 4 3" xfId="29151" xr:uid="{904E677B-BED0-4C50-9FBE-B2AD33E4D2C0}"/>
    <cellStyle name="Comma 2 11 2 5" xfId="4786" xr:uid="{00000000-0005-0000-0000-000031000000}"/>
    <cellStyle name="Comma 2 11 2 5 2" xfId="16372" xr:uid="{434269B6-D117-4058-8921-8E46A61CEC7D}"/>
    <cellStyle name="Comma 2 11 2 5 3" xfId="26788" xr:uid="{47130658-9787-4EFD-A2A1-530B416FE74D}"/>
    <cellStyle name="Comma 2 11 2 6" xfId="12381" xr:uid="{BA3CE4B4-BF20-49B9-9FE7-0CA8E4BEF1EA}"/>
    <cellStyle name="Comma 2 11 2 7" xfId="22797" xr:uid="{784240CA-0FAC-434C-BC72-615A14E8FDC1}"/>
    <cellStyle name="Comma 2 11 3" xfId="50" xr:uid="{00000000-0005-0000-0000-000032000000}"/>
    <cellStyle name="Comma 2 11 3 2" xfId="51" xr:uid="{00000000-0005-0000-0000-000033000000}"/>
    <cellStyle name="Comma 2 11 3 2 2" xfId="7194" xr:uid="{00000000-0005-0000-0000-000034000000}"/>
    <cellStyle name="Comma 2 11 3 2 2 2" xfId="18740" xr:uid="{F584038D-7F02-4B90-B9B4-42E093A47F20}"/>
    <cellStyle name="Comma 2 11 3 2 2 3" xfId="29156" xr:uid="{2C667C8B-C173-44AA-A2A9-AC139858A8C4}"/>
    <cellStyle name="Comma 2 11 3 2 3" xfId="12386" xr:uid="{3662B131-A67E-43D6-9FD3-EA15D930CA34}"/>
    <cellStyle name="Comma 2 11 3 2 4" xfId="22802" xr:uid="{08F7FC4A-09B7-4D65-8883-43C95F2156EF}"/>
    <cellStyle name="Comma 2 11 3 3" xfId="7193" xr:uid="{00000000-0005-0000-0000-000035000000}"/>
    <cellStyle name="Comma 2 11 3 3 2" xfId="18739" xr:uid="{61185837-127A-450F-96E5-6B9A233941BA}"/>
    <cellStyle name="Comma 2 11 3 3 3" xfId="29155" xr:uid="{A43137A4-3E2B-4F04-93AB-BCEEFCAC7CB1}"/>
    <cellStyle name="Comma 2 11 3 4" xfId="4788" xr:uid="{00000000-0005-0000-0000-000036000000}"/>
    <cellStyle name="Comma 2 11 3 4 2" xfId="16374" xr:uid="{12873C93-EAF8-479B-8D66-538D8B307731}"/>
    <cellStyle name="Comma 2 11 3 4 3" xfId="26790" xr:uid="{A3C770E1-3EAE-46AB-91F4-FBC97224FC0E}"/>
    <cellStyle name="Comma 2 11 3 5" xfId="12385" xr:uid="{193E1D8F-4AF0-4B4D-B137-77332D676357}"/>
    <cellStyle name="Comma 2 11 3 6" xfId="22801" xr:uid="{ADDABDFD-AD17-4B00-8C11-92AF3CFDD670}"/>
    <cellStyle name="Comma 2 11 4" xfId="52" xr:uid="{00000000-0005-0000-0000-000037000000}"/>
    <cellStyle name="Comma 2 11 4 2" xfId="53" xr:uid="{00000000-0005-0000-0000-000038000000}"/>
    <cellStyle name="Comma 2 11 4 2 2" xfId="7196" xr:uid="{00000000-0005-0000-0000-000039000000}"/>
    <cellStyle name="Comma 2 11 4 2 2 2" xfId="18742" xr:uid="{3693D72A-AC7F-4EBD-ABCB-894ADDF1B5F4}"/>
    <cellStyle name="Comma 2 11 4 2 2 3" xfId="29158" xr:uid="{D8F4D607-46F1-4022-B3A7-C7E7CB592B0C}"/>
    <cellStyle name="Comma 2 11 4 2 3" xfId="12388" xr:uid="{74DA4814-9616-44FF-92B5-BA8B6AFD1B14}"/>
    <cellStyle name="Comma 2 11 4 2 4" xfId="22804" xr:uid="{D4A4AEF5-615E-443F-88CC-B31B8669F7A6}"/>
    <cellStyle name="Comma 2 11 4 3" xfId="7195" xr:uid="{00000000-0005-0000-0000-00003A000000}"/>
    <cellStyle name="Comma 2 11 4 3 2" xfId="18741" xr:uid="{1FE02258-3E2A-4DD6-BC4F-78368BB6064D}"/>
    <cellStyle name="Comma 2 11 4 3 3" xfId="29157" xr:uid="{CA7B4DE9-3902-4D36-A9F3-1E1705C35B15}"/>
    <cellStyle name="Comma 2 11 4 4" xfId="4789" xr:uid="{00000000-0005-0000-0000-00003B000000}"/>
    <cellStyle name="Comma 2 11 4 4 2" xfId="16375" xr:uid="{B662A16A-89ED-4646-8D4E-BC21C361051A}"/>
    <cellStyle name="Comma 2 11 4 4 3" xfId="26791" xr:uid="{D09D1777-CD03-4076-96FD-34BB37E1D5E5}"/>
    <cellStyle name="Comma 2 11 4 5" xfId="12387" xr:uid="{0368142A-4599-4A2B-89E9-D4CD3AA1BDA1}"/>
    <cellStyle name="Comma 2 11 4 6" xfId="22803" xr:uid="{DFBE60BE-F319-48B2-BE35-1A3A51143F41}"/>
    <cellStyle name="Comma 2 11 5" xfId="54" xr:uid="{00000000-0005-0000-0000-00003C000000}"/>
    <cellStyle name="Comma 2 11 5 2" xfId="7197" xr:uid="{00000000-0005-0000-0000-00003D000000}"/>
    <cellStyle name="Comma 2 11 5 2 2" xfId="18743" xr:uid="{D8202467-0B91-412A-81A3-BDBF6BDD2CBB}"/>
    <cellStyle name="Comma 2 11 5 2 3" xfId="29159" xr:uid="{325841BD-6507-4EDC-8B74-E609DC041F46}"/>
    <cellStyle name="Comma 2 11 5 3" xfId="12389" xr:uid="{7B10C572-5E28-4D89-BC22-A3252E93E4BF}"/>
    <cellStyle name="Comma 2 11 5 4" xfId="22805" xr:uid="{E8BC9F11-C97C-4F12-B6D7-50102D088380}"/>
    <cellStyle name="Comma 2 11 6" xfId="7188" xr:uid="{00000000-0005-0000-0000-00003E000000}"/>
    <cellStyle name="Comma 2 11 6 2" xfId="18734" xr:uid="{64F7373E-416B-4E5D-8EB1-F2CAC9CB7DB8}"/>
    <cellStyle name="Comma 2 11 6 3" xfId="29150" xr:uid="{1E7E1DC2-9320-4CFB-97F1-E09603F91CBB}"/>
    <cellStyle name="Comma 2 11 7" xfId="4785" xr:uid="{00000000-0005-0000-0000-00003F000000}"/>
    <cellStyle name="Comma 2 11 7 2" xfId="16371" xr:uid="{567AF2FE-A374-43EC-B8AE-986D08B79742}"/>
    <cellStyle name="Comma 2 11 7 3" xfId="26787" xr:uid="{2A27B5F9-87A1-4EFA-AE30-C6C8D5403CF9}"/>
    <cellStyle name="Comma 2 11 8" xfId="12380" xr:uid="{E89A9A38-571D-4A44-A4B9-B30E5B7D9E56}"/>
    <cellStyle name="Comma 2 11 9" xfId="22796" xr:uid="{B2F27538-B37D-47CA-BD18-C498B425F6E2}"/>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2 2 2" xfId="18747" xr:uid="{0D6080D0-B811-47C7-82A3-6182EEA4D497}"/>
    <cellStyle name="Comma 2 12 2 2 2 2 3" xfId="29163" xr:uid="{2D0E280D-4FEF-42C2-9D66-83F852605E24}"/>
    <cellStyle name="Comma 2 12 2 2 2 3" xfId="12393" xr:uid="{AEBD2F2E-589B-430E-B093-7A5C2C770C24}"/>
    <cellStyle name="Comma 2 12 2 2 2 4" xfId="22809" xr:uid="{7889F5AE-8258-43AE-8206-1A9FF0CC9219}"/>
    <cellStyle name="Comma 2 12 2 2 3" xfId="7200" xr:uid="{00000000-0005-0000-0000-000045000000}"/>
    <cellStyle name="Comma 2 12 2 2 3 2" xfId="18746" xr:uid="{C14DBE71-0516-4F39-A5E5-A6391E1A6719}"/>
    <cellStyle name="Comma 2 12 2 2 3 3" xfId="29162" xr:uid="{74FB41FA-6A89-44E6-A4DA-50B2980BF022}"/>
    <cellStyle name="Comma 2 12 2 2 4" xfId="4792" xr:uid="{00000000-0005-0000-0000-000046000000}"/>
    <cellStyle name="Comma 2 12 2 2 4 2" xfId="16378" xr:uid="{B3689098-E37B-4C9D-83A8-CD9320C0BE37}"/>
    <cellStyle name="Comma 2 12 2 2 4 3" xfId="26794" xr:uid="{040E74AC-3518-45F6-B21D-B0D06804C597}"/>
    <cellStyle name="Comma 2 12 2 2 5" xfId="12392" xr:uid="{AA20CD9E-1C42-4D31-9DD2-1E074D6E6315}"/>
    <cellStyle name="Comma 2 12 2 2 6" xfId="22808" xr:uid="{AD93836F-574D-493C-A216-09941084B387}"/>
    <cellStyle name="Comma 2 12 2 3" xfId="59" xr:uid="{00000000-0005-0000-0000-000047000000}"/>
    <cellStyle name="Comma 2 12 2 3 2" xfId="7202" xr:uid="{00000000-0005-0000-0000-000048000000}"/>
    <cellStyle name="Comma 2 12 2 3 2 2" xfId="18748" xr:uid="{6598AE46-12CE-454D-AFC4-651EAE0BC0D5}"/>
    <cellStyle name="Comma 2 12 2 3 2 3" xfId="29164" xr:uid="{FC355071-8385-4DF6-879C-91841AD8A07F}"/>
    <cellStyle name="Comma 2 12 2 3 3" xfId="12394" xr:uid="{9ED71483-5B41-4CBA-9401-B668D989FDB2}"/>
    <cellStyle name="Comma 2 12 2 3 4" xfId="22810" xr:uid="{421622BF-A174-4305-840C-BA6EA74F9E54}"/>
    <cellStyle name="Comma 2 12 2 4" xfId="7199" xr:uid="{00000000-0005-0000-0000-000049000000}"/>
    <cellStyle name="Comma 2 12 2 4 2" xfId="18745" xr:uid="{9A2367E0-DB13-483D-861E-531C14E52843}"/>
    <cellStyle name="Comma 2 12 2 4 3" xfId="29161" xr:uid="{9BE38D71-61C2-411F-A07D-B4DD09133390}"/>
    <cellStyle name="Comma 2 12 2 5" xfId="4791" xr:uid="{00000000-0005-0000-0000-00004A000000}"/>
    <cellStyle name="Comma 2 12 2 5 2" xfId="16377" xr:uid="{890082D7-CB60-4D76-BD0A-4956C934C8EC}"/>
    <cellStyle name="Comma 2 12 2 5 3" xfId="26793" xr:uid="{19DAAB71-90CD-4CC9-9BE4-CE3704221B7B}"/>
    <cellStyle name="Comma 2 12 2 6" xfId="12391" xr:uid="{8A0C73CC-3CFE-4094-B367-3A4778F42503}"/>
    <cellStyle name="Comma 2 12 2 7" xfId="22807" xr:uid="{1956F22E-BB7D-4A98-86BD-853D4E1F3069}"/>
    <cellStyle name="Comma 2 12 3" xfId="60" xr:uid="{00000000-0005-0000-0000-00004B000000}"/>
    <cellStyle name="Comma 2 12 3 2" xfId="61" xr:uid="{00000000-0005-0000-0000-00004C000000}"/>
    <cellStyle name="Comma 2 12 3 2 2" xfId="7204" xr:uid="{00000000-0005-0000-0000-00004D000000}"/>
    <cellStyle name="Comma 2 12 3 2 2 2" xfId="18750" xr:uid="{51E71B2B-23E3-49DD-A148-FAF54C148194}"/>
    <cellStyle name="Comma 2 12 3 2 2 3" xfId="29166" xr:uid="{90409887-53BA-4260-B38F-BE679421B2ED}"/>
    <cellStyle name="Comma 2 12 3 2 3" xfId="12396" xr:uid="{02D013A1-3F7F-4772-BCAC-180564A68925}"/>
    <cellStyle name="Comma 2 12 3 2 4" xfId="22812" xr:uid="{FD0ABC91-156F-4C41-B693-C84E9A187CB4}"/>
    <cellStyle name="Comma 2 12 3 3" xfId="7203" xr:uid="{00000000-0005-0000-0000-00004E000000}"/>
    <cellStyle name="Comma 2 12 3 3 2" xfId="18749" xr:uid="{2EDB996B-B143-4CE4-8D81-EDB50C16D412}"/>
    <cellStyle name="Comma 2 12 3 3 3" xfId="29165" xr:uid="{D0EEE89E-7A08-4CAF-A6EE-CCD2E12D3DDA}"/>
    <cellStyle name="Comma 2 12 3 4" xfId="4793" xr:uid="{00000000-0005-0000-0000-00004F000000}"/>
    <cellStyle name="Comma 2 12 3 4 2" xfId="16379" xr:uid="{7762E626-D41E-4811-A180-1301A6A95BC7}"/>
    <cellStyle name="Comma 2 12 3 4 3" xfId="26795" xr:uid="{9354A3F0-DA99-4DF3-81F9-A7E2E3CE9913}"/>
    <cellStyle name="Comma 2 12 3 5" xfId="12395" xr:uid="{DF7E3097-798B-4E4B-B0F2-3FE3C1494557}"/>
    <cellStyle name="Comma 2 12 3 6" xfId="22811" xr:uid="{B9470DBB-BBB9-4CC9-BB43-98FF54534A77}"/>
    <cellStyle name="Comma 2 12 4" xfId="62" xr:uid="{00000000-0005-0000-0000-000050000000}"/>
    <cellStyle name="Comma 2 12 4 2" xfId="63" xr:uid="{00000000-0005-0000-0000-000051000000}"/>
    <cellStyle name="Comma 2 12 4 2 2" xfId="7206" xr:uid="{00000000-0005-0000-0000-000052000000}"/>
    <cellStyle name="Comma 2 12 4 2 2 2" xfId="18752" xr:uid="{7C1F470C-A3F8-4325-9246-07CCAB1A4BE0}"/>
    <cellStyle name="Comma 2 12 4 2 2 3" xfId="29168" xr:uid="{4DBFB762-97BF-4BE5-AB0E-ABB39CCF101D}"/>
    <cellStyle name="Comma 2 12 4 2 3" xfId="12398" xr:uid="{5BB68965-F6A0-4E93-9F1D-E6D273390551}"/>
    <cellStyle name="Comma 2 12 4 2 4" xfId="22814" xr:uid="{526E0B4C-45F6-403D-A900-15F1ED13B2CB}"/>
    <cellStyle name="Comma 2 12 4 3" xfId="7205" xr:uid="{00000000-0005-0000-0000-000053000000}"/>
    <cellStyle name="Comma 2 12 4 3 2" xfId="18751" xr:uid="{CFE3BFF5-3238-462A-80D9-18FC10AD52DA}"/>
    <cellStyle name="Comma 2 12 4 3 3" xfId="29167" xr:uid="{BAF11D43-9690-463E-B561-13338A46D3BC}"/>
    <cellStyle name="Comma 2 12 4 4" xfId="4794" xr:uid="{00000000-0005-0000-0000-000054000000}"/>
    <cellStyle name="Comma 2 12 4 4 2" xfId="16380" xr:uid="{63D016D4-DBEF-498B-A5CC-2C295E09686C}"/>
    <cellStyle name="Comma 2 12 4 4 3" xfId="26796" xr:uid="{CBB2755F-2A13-4686-ACC3-B0EC031F1C05}"/>
    <cellStyle name="Comma 2 12 4 5" xfId="12397" xr:uid="{970D4218-8FD7-4A3E-8FE4-856165771458}"/>
    <cellStyle name="Comma 2 12 4 6" xfId="22813" xr:uid="{D2C80DB4-511D-431F-8279-209813024FDD}"/>
    <cellStyle name="Comma 2 12 5" xfId="64" xr:uid="{00000000-0005-0000-0000-000055000000}"/>
    <cellStyle name="Comma 2 12 5 2" xfId="7207" xr:uid="{00000000-0005-0000-0000-000056000000}"/>
    <cellStyle name="Comma 2 12 5 2 2" xfId="18753" xr:uid="{9795D597-5476-45BA-B58A-36A9A653FCBF}"/>
    <cellStyle name="Comma 2 12 5 2 3" xfId="29169" xr:uid="{EA119135-10B5-4C4A-8905-7066990A79BE}"/>
    <cellStyle name="Comma 2 12 5 3" xfId="12399" xr:uid="{D0D8A090-C216-49A3-8C69-3AB939EB89D7}"/>
    <cellStyle name="Comma 2 12 5 4" xfId="22815" xr:uid="{A4A42612-6EE4-4EF9-9B36-57748D7A8601}"/>
    <cellStyle name="Comma 2 12 6" xfId="7198" xr:uid="{00000000-0005-0000-0000-000057000000}"/>
    <cellStyle name="Comma 2 12 6 2" xfId="18744" xr:uid="{1A8030FE-7466-4D3C-9D0E-4B0C13963E9E}"/>
    <cellStyle name="Comma 2 12 6 3" xfId="29160" xr:uid="{6B669DD1-B8C8-41C4-B70A-0D6BDB320B6E}"/>
    <cellStyle name="Comma 2 12 7" xfId="4790" xr:uid="{00000000-0005-0000-0000-000058000000}"/>
    <cellStyle name="Comma 2 12 7 2" xfId="16376" xr:uid="{C38CD4ED-A1DF-423B-9B30-47468A29306A}"/>
    <cellStyle name="Comma 2 12 7 3" xfId="26792" xr:uid="{1FB55EDD-7824-4484-8CE6-4EA01A71E276}"/>
    <cellStyle name="Comma 2 12 8" xfId="12390" xr:uid="{363C1700-AE81-4319-B0C7-2C54DF283FEA}"/>
    <cellStyle name="Comma 2 12 9" xfId="22806" xr:uid="{F28B8840-92F8-41E0-ABD0-8D69C6EB05BF}"/>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2 2 2" xfId="18757" xr:uid="{4FAE3F8D-1E70-43CA-9016-D7C7752B4DD2}"/>
    <cellStyle name="Comma 2 13 2 2 2 2 3" xfId="29173" xr:uid="{352E2A61-B09B-485E-BC06-643C3A5C912C}"/>
    <cellStyle name="Comma 2 13 2 2 2 3" xfId="12403" xr:uid="{B6D0E9A6-25B2-4EB6-A28B-379415CADA10}"/>
    <cellStyle name="Comma 2 13 2 2 2 4" xfId="22819" xr:uid="{DCC674AA-B898-40E7-AA41-3E4688A45E6A}"/>
    <cellStyle name="Comma 2 13 2 2 3" xfId="7210" xr:uid="{00000000-0005-0000-0000-00005E000000}"/>
    <cellStyle name="Comma 2 13 2 2 3 2" xfId="18756" xr:uid="{B4D87365-F4F9-41E8-8CAC-4CA4BD019AA8}"/>
    <cellStyle name="Comma 2 13 2 2 3 3" xfId="29172" xr:uid="{FC8AA548-AA1A-4D03-B9BD-E1AF4BD5E001}"/>
    <cellStyle name="Comma 2 13 2 2 4" xfId="4797" xr:uid="{00000000-0005-0000-0000-00005F000000}"/>
    <cellStyle name="Comma 2 13 2 2 4 2" xfId="16383" xr:uid="{FE4DBF4D-8486-481D-B13F-C34DDE66E3B1}"/>
    <cellStyle name="Comma 2 13 2 2 4 3" xfId="26799" xr:uid="{351B6555-FA8D-42CE-A8D3-8C83C631CA32}"/>
    <cellStyle name="Comma 2 13 2 2 5" xfId="12402" xr:uid="{D3B9A33B-683E-4DAA-B5A1-68FC0CBEE4C2}"/>
    <cellStyle name="Comma 2 13 2 2 6" xfId="22818" xr:uid="{21251E62-E898-4CF8-B94E-2DCD69C7CB93}"/>
    <cellStyle name="Comma 2 13 2 3" xfId="69" xr:uid="{00000000-0005-0000-0000-000060000000}"/>
    <cellStyle name="Comma 2 13 2 3 2" xfId="7212" xr:uid="{00000000-0005-0000-0000-000061000000}"/>
    <cellStyle name="Comma 2 13 2 3 2 2" xfId="18758" xr:uid="{28DF933E-5F65-4B37-B792-39F679982802}"/>
    <cellStyle name="Comma 2 13 2 3 2 3" xfId="29174" xr:uid="{5A3436F4-C8A7-4238-99BD-DDA1C9043204}"/>
    <cellStyle name="Comma 2 13 2 3 3" xfId="12404" xr:uid="{5862EC79-DFB4-4A02-9184-AF3A97C1FAC5}"/>
    <cellStyle name="Comma 2 13 2 3 4" xfId="22820" xr:uid="{804F8CAB-C787-45E5-BCF5-BB477152A9F4}"/>
    <cellStyle name="Comma 2 13 2 4" xfId="7209" xr:uid="{00000000-0005-0000-0000-000062000000}"/>
    <cellStyle name="Comma 2 13 2 4 2" xfId="18755" xr:uid="{F52806BC-A6B9-4D3F-A387-5DFDBE1D22CA}"/>
    <cellStyle name="Comma 2 13 2 4 3" xfId="29171" xr:uid="{7D28BDC5-5456-4B77-9311-1DCBF6343F2A}"/>
    <cellStyle name="Comma 2 13 2 5" xfId="4796" xr:uid="{00000000-0005-0000-0000-000063000000}"/>
    <cellStyle name="Comma 2 13 2 5 2" xfId="16382" xr:uid="{2F1132AF-313E-4410-BAC8-F7010F30CD62}"/>
    <cellStyle name="Comma 2 13 2 5 3" xfId="26798" xr:uid="{5E9E93E4-D900-4335-A9A9-54A938347DBC}"/>
    <cellStyle name="Comma 2 13 2 6" xfId="12401" xr:uid="{7F82F42E-7696-4374-89B5-C49AC0B8B973}"/>
    <cellStyle name="Comma 2 13 2 7" xfId="22817" xr:uid="{19CA1CB5-1CA0-46BE-B163-AF4AD88801C5}"/>
    <cellStyle name="Comma 2 13 3" xfId="70" xr:uid="{00000000-0005-0000-0000-000064000000}"/>
    <cellStyle name="Comma 2 13 3 2" xfId="71" xr:uid="{00000000-0005-0000-0000-000065000000}"/>
    <cellStyle name="Comma 2 13 3 2 2" xfId="7214" xr:uid="{00000000-0005-0000-0000-000066000000}"/>
    <cellStyle name="Comma 2 13 3 2 2 2" xfId="18760" xr:uid="{85F4F6B1-2BE0-4C29-992A-BED3D024F669}"/>
    <cellStyle name="Comma 2 13 3 2 2 3" xfId="29176" xr:uid="{13F601C7-A77F-4712-AFBC-CC2FCC89221B}"/>
    <cellStyle name="Comma 2 13 3 2 3" xfId="12406" xr:uid="{D40E961E-ED0A-4A84-81F7-964731777F2C}"/>
    <cellStyle name="Comma 2 13 3 2 4" xfId="22822" xr:uid="{B056B455-548B-4386-A60C-93EDCF946397}"/>
    <cellStyle name="Comma 2 13 3 3" xfId="7213" xr:uid="{00000000-0005-0000-0000-000067000000}"/>
    <cellStyle name="Comma 2 13 3 3 2" xfId="18759" xr:uid="{09FD8613-287C-45D5-8B74-72F1B62DBD39}"/>
    <cellStyle name="Comma 2 13 3 3 3" xfId="29175" xr:uid="{8DDF7A51-668E-4000-B778-CDC6A4F67003}"/>
    <cellStyle name="Comma 2 13 3 4" xfId="4798" xr:uid="{00000000-0005-0000-0000-000068000000}"/>
    <cellStyle name="Comma 2 13 3 4 2" xfId="16384" xr:uid="{198A1BA9-7F9F-4614-BBE0-1AC4DCAFAF52}"/>
    <cellStyle name="Comma 2 13 3 4 3" xfId="26800" xr:uid="{74D5D431-3168-4CFE-B885-1D6AE0994360}"/>
    <cellStyle name="Comma 2 13 3 5" xfId="12405" xr:uid="{95721B4B-A314-4B8B-BDE5-4D789FA32E2C}"/>
    <cellStyle name="Comma 2 13 3 6" xfId="22821" xr:uid="{E2DE22A6-7462-4378-BB2A-CFC76ECB5D02}"/>
    <cellStyle name="Comma 2 13 4" xfId="72" xr:uid="{00000000-0005-0000-0000-000069000000}"/>
    <cellStyle name="Comma 2 13 4 2" xfId="73" xr:uid="{00000000-0005-0000-0000-00006A000000}"/>
    <cellStyle name="Comma 2 13 4 2 2" xfId="7216" xr:uid="{00000000-0005-0000-0000-00006B000000}"/>
    <cellStyle name="Comma 2 13 4 2 2 2" xfId="18762" xr:uid="{478952DA-25CF-4F7D-9D91-31920DAB962C}"/>
    <cellStyle name="Comma 2 13 4 2 2 3" xfId="29178" xr:uid="{FD49381F-CC3B-4275-8404-BE797328C5C4}"/>
    <cellStyle name="Comma 2 13 4 2 3" xfId="12408" xr:uid="{D2E68539-52DF-49F3-9661-6086F54C5B4B}"/>
    <cellStyle name="Comma 2 13 4 2 4" xfId="22824" xr:uid="{CDFF3ED2-490C-4889-B5E7-FE438AE4F898}"/>
    <cellStyle name="Comma 2 13 4 3" xfId="7215" xr:uid="{00000000-0005-0000-0000-00006C000000}"/>
    <cellStyle name="Comma 2 13 4 3 2" xfId="18761" xr:uid="{34012488-8A66-4534-BBC5-1E29062AE9F8}"/>
    <cellStyle name="Comma 2 13 4 3 3" xfId="29177" xr:uid="{4DDB3B5A-0FC4-49CC-BD15-9A058D13F062}"/>
    <cellStyle name="Comma 2 13 4 4" xfId="4799" xr:uid="{00000000-0005-0000-0000-00006D000000}"/>
    <cellStyle name="Comma 2 13 4 4 2" xfId="16385" xr:uid="{AFEA09D1-6D46-4327-B280-CE42DE66F8F8}"/>
    <cellStyle name="Comma 2 13 4 4 3" xfId="26801" xr:uid="{4127977E-B817-4D41-B1A6-795EF9D28ECF}"/>
    <cellStyle name="Comma 2 13 4 5" xfId="12407" xr:uid="{2A03D522-7520-45EF-BED7-4D774A9C09A3}"/>
    <cellStyle name="Comma 2 13 4 6" xfId="22823" xr:uid="{0C9DCDE3-5102-43B1-8F4A-AB8763162383}"/>
    <cellStyle name="Comma 2 13 5" xfId="74" xr:uid="{00000000-0005-0000-0000-00006E000000}"/>
    <cellStyle name="Comma 2 13 5 2" xfId="7217" xr:uid="{00000000-0005-0000-0000-00006F000000}"/>
    <cellStyle name="Comma 2 13 5 2 2" xfId="18763" xr:uid="{C18BF0C3-9C78-4C55-B7CB-2A44A53244D7}"/>
    <cellStyle name="Comma 2 13 5 2 3" xfId="29179" xr:uid="{9FEAB060-312E-4AD5-84FF-8701FEA781B0}"/>
    <cellStyle name="Comma 2 13 5 3" xfId="12409" xr:uid="{A581C9C8-0E89-433A-A345-7AAEF71DF222}"/>
    <cellStyle name="Comma 2 13 5 4" xfId="22825" xr:uid="{CBACC09A-A995-48DB-BB89-96CDD89F7E67}"/>
    <cellStyle name="Comma 2 13 6" xfId="7208" xr:uid="{00000000-0005-0000-0000-000070000000}"/>
    <cellStyle name="Comma 2 13 6 2" xfId="18754" xr:uid="{695B20E0-B7E3-4E7A-B059-EAFE3AD3F1CD}"/>
    <cellStyle name="Comma 2 13 6 3" xfId="29170" xr:uid="{AA6B6D4E-620C-4F9F-80BB-2ADD704A89F3}"/>
    <cellStyle name="Comma 2 13 7" xfId="4795" xr:uid="{00000000-0005-0000-0000-000071000000}"/>
    <cellStyle name="Comma 2 13 7 2" xfId="16381" xr:uid="{D1730E83-7A03-4919-86B1-8A9FD046BFBD}"/>
    <cellStyle name="Comma 2 13 7 3" xfId="26797" xr:uid="{04E977F3-F788-47E5-BBC7-57EE8EA045E7}"/>
    <cellStyle name="Comma 2 13 8" xfId="12400" xr:uid="{ED92D2A1-7438-4C45-9AAB-49B3C1828C43}"/>
    <cellStyle name="Comma 2 13 9" xfId="22816" xr:uid="{42CC39D3-1398-457B-B4B3-F84D46778E23}"/>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2 2 2" xfId="18766" xr:uid="{4B8CE667-FA39-4830-BE5B-A17FAB34BCC7}"/>
    <cellStyle name="Comma 2 14 2 2 2 3" xfId="29182" xr:uid="{86E87077-BFE2-4FD0-AB17-2E4A9ADDD818}"/>
    <cellStyle name="Comma 2 14 2 2 3" xfId="12412" xr:uid="{72E76982-D555-48CC-96AD-4C9DC0DD46B0}"/>
    <cellStyle name="Comma 2 14 2 2 4" xfId="22828" xr:uid="{91F492B1-9CAC-439C-91EE-55E0D00C553B}"/>
    <cellStyle name="Comma 2 14 2 3" xfId="7219" xr:uid="{00000000-0005-0000-0000-000076000000}"/>
    <cellStyle name="Comma 2 14 2 3 2" xfId="18765" xr:uid="{E01DC28F-4E5B-4F08-BE6D-D0307D3421C1}"/>
    <cellStyle name="Comma 2 14 2 3 3" xfId="29181" xr:uid="{14D3AC1E-A99F-45FC-A340-2AAF545BDF01}"/>
    <cellStyle name="Comma 2 14 2 4" xfId="4801" xr:uid="{00000000-0005-0000-0000-000077000000}"/>
    <cellStyle name="Comma 2 14 2 4 2" xfId="16387" xr:uid="{C8ACE8C1-B8D2-4FC2-9997-6EC58D45EC00}"/>
    <cellStyle name="Comma 2 14 2 4 3" xfId="26803" xr:uid="{7F066F22-1402-46B7-9B2D-D9CE17C2885F}"/>
    <cellStyle name="Comma 2 14 2 5" xfId="12411" xr:uid="{9C35C3F2-1434-47FD-A291-6D80EC16DA36}"/>
    <cellStyle name="Comma 2 14 2 6" xfId="22827" xr:uid="{C77798C3-EB03-4C1A-9546-823A08CDEC79}"/>
    <cellStyle name="Comma 2 14 3" xfId="78" xr:uid="{00000000-0005-0000-0000-000078000000}"/>
    <cellStyle name="Comma 2 14 3 2" xfId="79" xr:uid="{00000000-0005-0000-0000-000079000000}"/>
    <cellStyle name="Comma 2 14 3 2 2" xfId="7222" xr:uid="{00000000-0005-0000-0000-00007A000000}"/>
    <cellStyle name="Comma 2 14 3 2 2 2" xfId="18768" xr:uid="{53CFC6D1-5D0C-4C8C-8FCA-A2D036DF1C23}"/>
    <cellStyle name="Comma 2 14 3 2 2 3" xfId="29184" xr:uid="{26438D82-0E4A-48FB-803D-D6F4B90CB977}"/>
    <cellStyle name="Comma 2 14 3 2 3" xfId="12414" xr:uid="{6C51E7D8-5DA3-43ED-8E64-24F6350DEDBB}"/>
    <cellStyle name="Comma 2 14 3 2 4" xfId="22830" xr:uid="{2C1348BB-2193-4020-8835-BF6215E4D57F}"/>
    <cellStyle name="Comma 2 14 3 3" xfId="7221" xr:uid="{00000000-0005-0000-0000-00007B000000}"/>
    <cellStyle name="Comma 2 14 3 3 2" xfId="18767" xr:uid="{4C5F1E20-6D00-45C3-8A33-F619C8B59875}"/>
    <cellStyle name="Comma 2 14 3 3 3" xfId="29183" xr:uid="{4CF526B5-4687-43FE-BC1F-609680984B75}"/>
    <cellStyle name="Comma 2 14 3 4" xfId="4802" xr:uid="{00000000-0005-0000-0000-00007C000000}"/>
    <cellStyle name="Comma 2 14 3 4 2" xfId="16388" xr:uid="{CD0EF1C4-478B-452E-B466-B020FCE3CA13}"/>
    <cellStyle name="Comma 2 14 3 4 3" xfId="26804" xr:uid="{7CC95784-3B47-45A1-9CAA-4BDA958F7E51}"/>
    <cellStyle name="Comma 2 14 3 5" xfId="12413" xr:uid="{D92DC5B3-9D6E-420D-8A52-4E8B741D831C}"/>
    <cellStyle name="Comma 2 14 3 6" xfId="22829" xr:uid="{E9E82280-097A-4156-9D6D-9CAFC409E3B1}"/>
    <cellStyle name="Comma 2 14 4" xfId="80" xr:uid="{00000000-0005-0000-0000-00007D000000}"/>
    <cellStyle name="Comma 2 14 4 2" xfId="7223" xr:uid="{00000000-0005-0000-0000-00007E000000}"/>
    <cellStyle name="Comma 2 14 4 2 2" xfId="18769" xr:uid="{23C873E2-2B82-48FE-9A97-A2A52F5D2470}"/>
    <cellStyle name="Comma 2 14 4 2 3" xfId="29185" xr:uid="{5620897B-4B34-49D6-AE6C-B17DF04C52F9}"/>
    <cellStyle name="Comma 2 14 4 3" xfId="12415" xr:uid="{8A402E95-312E-40EA-A332-8E7F774C58C6}"/>
    <cellStyle name="Comma 2 14 4 4" xfId="22831" xr:uid="{236F29E2-A4F2-479F-916A-E0361ACF4903}"/>
    <cellStyle name="Comma 2 14 5" xfId="7218" xr:uid="{00000000-0005-0000-0000-00007F000000}"/>
    <cellStyle name="Comma 2 14 5 2" xfId="18764" xr:uid="{B2CE79AD-1710-4219-A672-EC1EB86583CB}"/>
    <cellStyle name="Comma 2 14 5 3" xfId="29180" xr:uid="{EF9346CF-FE18-4E09-A7EF-7F88065F6B5D}"/>
    <cellStyle name="Comma 2 14 6" xfId="4800" xr:uid="{00000000-0005-0000-0000-000080000000}"/>
    <cellStyle name="Comma 2 14 6 2" xfId="16386" xr:uid="{83B3519F-B8C4-40D8-9A6D-6C59675E57ED}"/>
    <cellStyle name="Comma 2 14 6 3" xfId="26802" xr:uid="{A717A774-9998-44E0-9033-1CE6A649C421}"/>
    <cellStyle name="Comma 2 14 7" xfId="12410" xr:uid="{9E021B98-569A-4185-8FB9-83DE2597E56C}"/>
    <cellStyle name="Comma 2 14 8" xfId="22826" xr:uid="{6B09B902-A515-4AFF-98DF-4F614E3F400B}"/>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2 2 2" xfId="18772" xr:uid="{DD7CC080-F6CF-43BA-AD9E-69E6728102C1}"/>
    <cellStyle name="Comma 2 15 2 2 2 3" xfId="29188" xr:uid="{D6216A6C-5D91-45BE-95FA-857102ABB48F}"/>
    <cellStyle name="Comma 2 15 2 2 3" xfId="12418" xr:uid="{292436CA-17C8-47A9-92E7-E2E6E74C698F}"/>
    <cellStyle name="Comma 2 15 2 2 4" xfId="22834" xr:uid="{D815D8BA-51C0-4323-8DC4-D3806A5F5CDB}"/>
    <cellStyle name="Comma 2 15 2 3" xfId="7225" xr:uid="{00000000-0005-0000-0000-000085000000}"/>
    <cellStyle name="Comma 2 15 2 3 2" xfId="18771" xr:uid="{A6F40BE9-A1AE-47C9-922F-C558997A16D2}"/>
    <cellStyle name="Comma 2 15 2 3 3" xfId="29187" xr:uid="{49E31326-5467-454B-B3FF-813AC4597265}"/>
    <cellStyle name="Comma 2 15 2 4" xfId="4804" xr:uid="{00000000-0005-0000-0000-000086000000}"/>
    <cellStyle name="Comma 2 15 2 4 2" xfId="16390" xr:uid="{65EF710E-D670-4DE7-AF82-C91C64063250}"/>
    <cellStyle name="Comma 2 15 2 4 3" xfId="26806" xr:uid="{98AAA3A6-CE7A-4F9F-B93E-438CD445231F}"/>
    <cellStyle name="Comma 2 15 2 5" xfId="12417" xr:uid="{64634CA5-5201-49D4-85E2-001CC33F2717}"/>
    <cellStyle name="Comma 2 15 2 6" xfId="22833" xr:uid="{9CE4E3F1-82BE-49BF-8AAA-AC28F4F3FFA9}"/>
    <cellStyle name="Comma 2 15 3" xfId="84" xr:uid="{00000000-0005-0000-0000-000087000000}"/>
    <cellStyle name="Comma 2 15 3 2" xfId="7227" xr:uid="{00000000-0005-0000-0000-000088000000}"/>
    <cellStyle name="Comma 2 15 3 2 2" xfId="18773" xr:uid="{6B29BF96-7B91-4726-A8F5-BE183597782D}"/>
    <cellStyle name="Comma 2 15 3 2 3" xfId="29189" xr:uid="{9D869B38-CB89-41B6-814A-B736679FD086}"/>
    <cellStyle name="Comma 2 15 3 3" xfId="12419" xr:uid="{8BB5A790-9705-4D85-BD6E-7FC734DB1263}"/>
    <cellStyle name="Comma 2 15 3 4" xfId="22835" xr:uid="{6AB63EBB-7D7C-49A5-9C86-0F1AD3914E18}"/>
    <cellStyle name="Comma 2 15 4" xfId="7224" xr:uid="{00000000-0005-0000-0000-000089000000}"/>
    <cellStyle name="Comma 2 15 4 2" xfId="18770" xr:uid="{4C611593-5B56-48B3-8857-0084609D4FB4}"/>
    <cellStyle name="Comma 2 15 4 3" xfId="29186" xr:uid="{7C03BACD-8BF7-4048-8978-A30D313D3021}"/>
    <cellStyle name="Comma 2 15 5" xfId="4803" xr:uid="{00000000-0005-0000-0000-00008A000000}"/>
    <cellStyle name="Comma 2 15 5 2" xfId="16389" xr:uid="{789CBE93-A35F-4D62-9E6F-295878384A03}"/>
    <cellStyle name="Comma 2 15 5 3" xfId="26805" xr:uid="{560320AD-D4ED-4092-A232-252A6127F996}"/>
    <cellStyle name="Comma 2 15 6" xfId="12416" xr:uid="{C54DECB0-A137-4907-946A-0619D9756E60}"/>
    <cellStyle name="Comma 2 15 7" xfId="22832" xr:uid="{C93FC103-F66B-4243-8D1D-732025644ACB}"/>
    <cellStyle name="Comma 2 16" xfId="85" xr:uid="{00000000-0005-0000-0000-00008B000000}"/>
    <cellStyle name="Comma 2 16 2" xfId="86" xr:uid="{00000000-0005-0000-0000-00008C000000}"/>
    <cellStyle name="Comma 2 16 2 2" xfId="7229" xr:uid="{00000000-0005-0000-0000-00008D000000}"/>
    <cellStyle name="Comma 2 16 2 2 2" xfId="18775" xr:uid="{9F284638-AF0B-4C52-8D64-7446C6C5015A}"/>
    <cellStyle name="Comma 2 16 2 2 3" xfId="29191" xr:uid="{8FE1DF05-0931-4935-A3E2-29124206ECBF}"/>
    <cellStyle name="Comma 2 16 2 3" xfId="12421" xr:uid="{96C90BE3-E7F2-4133-B72A-7878DE4FEABF}"/>
    <cellStyle name="Comma 2 16 2 4" xfId="22837" xr:uid="{E35B8D84-4BE2-424F-BE7E-F5D183B9023C}"/>
    <cellStyle name="Comma 2 16 3" xfId="7228" xr:uid="{00000000-0005-0000-0000-00008E000000}"/>
    <cellStyle name="Comma 2 16 3 2" xfId="18774" xr:uid="{68304EB7-8D47-49EF-B9B9-624AC40C9B16}"/>
    <cellStyle name="Comma 2 16 3 3" xfId="29190" xr:uid="{934C43FE-0A6D-49C0-ADF3-45C04F46059D}"/>
    <cellStyle name="Comma 2 16 4" xfId="4805" xr:uid="{00000000-0005-0000-0000-00008F000000}"/>
    <cellStyle name="Comma 2 16 4 2" xfId="16391" xr:uid="{E0C20008-C540-4629-B6F2-573FCDC67143}"/>
    <cellStyle name="Comma 2 16 4 3" xfId="26807" xr:uid="{A3E5B25C-41AD-4169-A0FD-AA29F00A4496}"/>
    <cellStyle name="Comma 2 16 5" xfId="12420" xr:uid="{DCF1739C-602F-4217-BAB9-7A3C00663227}"/>
    <cellStyle name="Comma 2 16 6" xfId="22836" xr:uid="{4E3A1FDC-798C-466E-ABEF-1CD715A39A7C}"/>
    <cellStyle name="Comma 2 17" xfId="87" xr:uid="{00000000-0005-0000-0000-000090000000}"/>
    <cellStyle name="Comma 2 17 2" xfId="88" xr:uid="{00000000-0005-0000-0000-000091000000}"/>
    <cellStyle name="Comma 2 17 2 2" xfId="7231" xr:uid="{00000000-0005-0000-0000-000092000000}"/>
    <cellStyle name="Comma 2 17 2 2 2" xfId="18777" xr:uid="{0E368EC7-384E-4370-A63A-265FE983B94C}"/>
    <cellStyle name="Comma 2 17 2 2 3" xfId="29193" xr:uid="{F53250EA-4A1A-427F-AFE3-7ABB8036571E}"/>
    <cellStyle name="Comma 2 17 2 3" xfId="12423" xr:uid="{FD8FEEAB-FBBF-4A21-B81C-AAD734102FF4}"/>
    <cellStyle name="Comma 2 17 2 4" xfId="22839" xr:uid="{D077C082-050C-49F9-B603-D94694570032}"/>
    <cellStyle name="Comma 2 17 3" xfId="7230" xr:uid="{00000000-0005-0000-0000-000093000000}"/>
    <cellStyle name="Comma 2 17 3 2" xfId="18776" xr:uid="{8BC75E5C-E7A0-47F8-8B6C-4EB92D503B9D}"/>
    <cellStyle name="Comma 2 17 3 3" xfId="29192" xr:uid="{EDB4469B-30B8-45C4-AB0A-3BEE8EDE48CE}"/>
    <cellStyle name="Comma 2 17 4" xfId="4806" xr:uid="{00000000-0005-0000-0000-000094000000}"/>
    <cellStyle name="Comma 2 17 4 2" xfId="16392" xr:uid="{AE8E8F4D-72E9-4E0F-95FF-2B1E4DB3C776}"/>
    <cellStyle name="Comma 2 17 4 3" xfId="26808" xr:uid="{1132FADA-D367-4B95-8FFB-1B952CC5997F}"/>
    <cellStyle name="Comma 2 17 5" xfId="12422" xr:uid="{B21F9CE5-D5BD-41D8-9692-5BCF75596DC7}"/>
    <cellStyle name="Comma 2 17 6" xfId="22838" xr:uid="{75F1803A-B0AC-4900-88CF-A78BD67E22DF}"/>
    <cellStyle name="Comma 2 18" xfId="89" xr:uid="{00000000-0005-0000-0000-000095000000}"/>
    <cellStyle name="Comma 2 18 2" xfId="7233" xr:uid="{00000000-0005-0000-0000-000096000000}"/>
    <cellStyle name="Comma 2 18 2 2" xfId="18779" xr:uid="{2018D9F0-8DA1-447C-8EC0-3486E3132BC1}"/>
    <cellStyle name="Comma 2 18 2 3" xfId="29195" xr:uid="{C0F4783F-157F-4EF2-9D32-183B6B1C692E}"/>
    <cellStyle name="Comma 2 18 3" xfId="7232" xr:uid="{00000000-0005-0000-0000-000097000000}"/>
    <cellStyle name="Comma 2 18 3 2" xfId="18778" xr:uid="{71A0431F-A5A0-4F0A-BAE4-FD51BFF46AE8}"/>
    <cellStyle name="Comma 2 18 3 3" xfId="29194" xr:uid="{843A62FA-B293-4B33-9A46-7BD337B757D3}"/>
    <cellStyle name="Comma 2 18 4" xfId="4807" xr:uid="{00000000-0005-0000-0000-000098000000}"/>
    <cellStyle name="Comma 2 18 4 2" xfId="16393" xr:uid="{8297135B-974D-49D1-8C4F-064A3C0308AC}"/>
    <cellStyle name="Comma 2 18 4 3" xfId="26809" xr:uid="{279120A1-8A57-44D3-ABBA-1CC386FD2CAC}"/>
    <cellStyle name="Comma 2 18 5" xfId="12424" xr:uid="{4847AAC9-45DD-4461-9346-EF9B82C699AF}"/>
    <cellStyle name="Comma 2 18 6" xfId="22840" xr:uid="{FE651012-0A9D-4B77-8E0F-909FE5692487}"/>
    <cellStyle name="Comma 2 19" xfId="34" xr:uid="{00000000-0005-0000-0000-000099000000}"/>
    <cellStyle name="Comma 2 19 2" xfId="7234" xr:uid="{00000000-0005-0000-0000-00009A000000}"/>
    <cellStyle name="Comma 2 19 2 2" xfId="18780" xr:uid="{4F65CCBE-3C26-4670-A9DB-43ACF3EAB80F}"/>
    <cellStyle name="Comma 2 19 2 3" xfId="29196" xr:uid="{22FB205D-2263-4BB1-AAEB-E18EBA9403B6}"/>
    <cellStyle name="Comma 2 19 3" xfId="12369" xr:uid="{4421DDC8-366C-4555-9E23-C4F225C86871}"/>
    <cellStyle name="Comma 2 19 4" xfId="22785" xr:uid="{0D962681-AF6F-43F8-95E3-CEA943894FAF}"/>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2 2 2" xfId="18784" xr:uid="{75C04F78-A452-47FC-9E6B-45C9C146CA97}"/>
    <cellStyle name="Comma 2 2 10 2 2 2 3" xfId="29200" xr:uid="{0F17890D-E7F0-4806-814B-721B498058A3}"/>
    <cellStyle name="Comma 2 2 10 2 2 3" xfId="12428" xr:uid="{4A86B218-EBFB-4273-BD90-3D8A061A45BD}"/>
    <cellStyle name="Comma 2 2 10 2 2 4" xfId="22844" xr:uid="{D9314469-B2E4-4491-B39F-EBA5AB0520E9}"/>
    <cellStyle name="Comma 2 2 10 2 3" xfId="7237" xr:uid="{00000000-0005-0000-0000-0000A0000000}"/>
    <cellStyle name="Comma 2 2 10 2 3 2" xfId="18783" xr:uid="{07F3053D-F3D3-4BF6-B54F-8C19A73B70F6}"/>
    <cellStyle name="Comma 2 2 10 2 3 3" xfId="29199" xr:uid="{30230CF3-8681-44D0-BBE0-DD79410E71EC}"/>
    <cellStyle name="Comma 2 2 10 2 4" xfId="4810" xr:uid="{00000000-0005-0000-0000-0000A1000000}"/>
    <cellStyle name="Comma 2 2 10 2 4 2" xfId="16396" xr:uid="{BB61EBBA-CDE7-4CA5-A4A3-4CF175957AEB}"/>
    <cellStyle name="Comma 2 2 10 2 4 3" xfId="26812" xr:uid="{AE333346-455F-4545-914A-590032B172AE}"/>
    <cellStyle name="Comma 2 2 10 2 5" xfId="12427" xr:uid="{525423BB-1391-4F14-A880-CA07C7C312A5}"/>
    <cellStyle name="Comma 2 2 10 2 6" xfId="22843" xr:uid="{605E22A6-CF11-4661-8724-CB14333C068B}"/>
    <cellStyle name="Comma 2 2 10 3" xfId="94" xr:uid="{00000000-0005-0000-0000-0000A2000000}"/>
    <cellStyle name="Comma 2 2 10 3 2" xfId="95" xr:uid="{00000000-0005-0000-0000-0000A3000000}"/>
    <cellStyle name="Comma 2 2 10 3 2 2" xfId="7240" xr:uid="{00000000-0005-0000-0000-0000A4000000}"/>
    <cellStyle name="Comma 2 2 10 3 2 2 2" xfId="18786" xr:uid="{796EBEDC-A50C-4F41-812B-F3CD4FDB0105}"/>
    <cellStyle name="Comma 2 2 10 3 2 2 3" xfId="29202" xr:uid="{A64642E7-E0C1-4FA5-9B46-8B70C92E8421}"/>
    <cellStyle name="Comma 2 2 10 3 2 3" xfId="12430" xr:uid="{69240993-51AA-402D-9D16-279ACA32807A}"/>
    <cellStyle name="Comma 2 2 10 3 2 4" xfId="22846" xr:uid="{CA056EAC-C802-4DAB-942F-E0551D34C0F9}"/>
    <cellStyle name="Comma 2 2 10 3 3" xfId="7239" xr:uid="{00000000-0005-0000-0000-0000A5000000}"/>
    <cellStyle name="Comma 2 2 10 3 3 2" xfId="18785" xr:uid="{609AF7AE-64F5-4BEC-9FB2-553C37866FA8}"/>
    <cellStyle name="Comma 2 2 10 3 3 3" xfId="29201" xr:uid="{D9165F75-CF2A-4755-9AEA-78C697E8F2EF}"/>
    <cellStyle name="Comma 2 2 10 3 4" xfId="4811" xr:uid="{00000000-0005-0000-0000-0000A6000000}"/>
    <cellStyle name="Comma 2 2 10 3 4 2" xfId="16397" xr:uid="{D1751976-8400-451B-9FA7-16B400A07E78}"/>
    <cellStyle name="Comma 2 2 10 3 4 3" xfId="26813" xr:uid="{24813142-AFAF-4528-B6B4-156E2B5CDA79}"/>
    <cellStyle name="Comma 2 2 10 3 5" xfId="12429" xr:uid="{14DA5233-CC40-4AC8-948F-243CDEE82F8A}"/>
    <cellStyle name="Comma 2 2 10 3 6" xfId="22845" xr:uid="{05496508-9CC7-41F3-8881-DFC838F5F200}"/>
    <cellStyle name="Comma 2 2 10 4" xfId="96" xr:uid="{00000000-0005-0000-0000-0000A7000000}"/>
    <cellStyle name="Comma 2 2 10 4 2" xfId="7241" xr:uid="{00000000-0005-0000-0000-0000A8000000}"/>
    <cellStyle name="Comma 2 2 10 4 2 2" xfId="18787" xr:uid="{1CFD3EEF-4B2C-4E18-B02F-2D8CCA6E1BBB}"/>
    <cellStyle name="Comma 2 2 10 4 2 3" xfId="29203" xr:uid="{8CE35CA4-24CC-4AFB-A1A3-037F3EA4DE71}"/>
    <cellStyle name="Comma 2 2 10 4 3" xfId="12431" xr:uid="{0B69F21B-B3C4-426C-AFFF-FBE49E2681B5}"/>
    <cellStyle name="Comma 2 2 10 4 4" xfId="22847" xr:uid="{E06FDDC3-165C-4C3E-B3CB-A179A3064B1E}"/>
    <cellStyle name="Comma 2 2 10 5" xfId="7236" xr:uid="{00000000-0005-0000-0000-0000A9000000}"/>
    <cellStyle name="Comma 2 2 10 5 2" xfId="18782" xr:uid="{9A437BBA-F69F-4704-A959-05E2F6510196}"/>
    <cellStyle name="Comma 2 2 10 5 3" xfId="29198" xr:uid="{195F2D8D-A4D5-4D74-9FDB-B257D35EE09F}"/>
    <cellStyle name="Comma 2 2 10 6" xfId="4809" xr:uid="{00000000-0005-0000-0000-0000AA000000}"/>
    <cellStyle name="Comma 2 2 10 6 2" xfId="16395" xr:uid="{3B7B07E7-6ACD-497D-84EC-83903F62D40C}"/>
    <cellStyle name="Comma 2 2 10 6 3" xfId="26811" xr:uid="{434D53C7-603D-4C5B-A99A-115683873696}"/>
    <cellStyle name="Comma 2 2 10 7" xfId="12426" xr:uid="{0D33B517-79E4-42E4-AC06-C5F70A7D57F2}"/>
    <cellStyle name="Comma 2 2 10 8" xfId="22842" xr:uid="{746D2673-5289-4AFC-932A-C4369274309A}"/>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2 2 2" xfId="18790" xr:uid="{2F943C46-26C2-46C1-AF83-80019E1A1EF4}"/>
    <cellStyle name="Comma 2 2 11 2 2 2 3" xfId="29206" xr:uid="{ED29DF0F-C215-4EC4-BF42-93E9AD9DF932}"/>
    <cellStyle name="Comma 2 2 11 2 2 3" xfId="12434" xr:uid="{93CEB505-5860-44B9-9A34-CDE38FAF4428}"/>
    <cellStyle name="Comma 2 2 11 2 2 4" xfId="22850" xr:uid="{B8F16759-FB5C-478B-8EAE-1D0E0BF27267}"/>
    <cellStyle name="Comma 2 2 11 2 3" xfId="7243" xr:uid="{00000000-0005-0000-0000-0000AF000000}"/>
    <cellStyle name="Comma 2 2 11 2 3 2" xfId="18789" xr:uid="{264F71A2-0BC2-4707-A9D7-2312311EA3FF}"/>
    <cellStyle name="Comma 2 2 11 2 3 3" xfId="29205" xr:uid="{C4FB4BD9-1913-4DD7-90D3-7E37C632D160}"/>
    <cellStyle name="Comma 2 2 11 2 4" xfId="4813" xr:uid="{00000000-0005-0000-0000-0000B0000000}"/>
    <cellStyle name="Comma 2 2 11 2 4 2" xfId="16399" xr:uid="{2494DF7A-49BB-4197-8175-2FD01E11A84A}"/>
    <cellStyle name="Comma 2 2 11 2 4 3" xfId="26815" xr:uid="{E47472E9-7356-4127-80E3-FE21B7CE5D22}"/>
    <cellStyle name="Comma 2 2 11 2 5" xfId="12433" xr:uid="{EE33C8C4-6A7A-4858-900B-A4737A82B845}"/>
    <cellStyle name="Comma 2 2 11 2 6" xfId="22849" xr:uid="{8952D8AA-84A3-4C95-9D70-7365C6C0DB89}"/>
    <cellStyle name="Comma 2 2 11 3" xfId="100" xr:uid="{00000000-0005-0000-0000-0000B1000000}"/>
    <cellStyle name="Comma 2 2 11 3 2" xfId="7245" xr:uid="{00000000-0005-0000-0000-0000B2000000}"/>
    <cellStyle name="Comma 2 2 11 3 2 2" xfId="18791" xr:uid="{3BAC6D09-EBF7-43DF-956C-760D749D6102}"/>
    <cellStyle name="Comma 2 2 11 3 2 3" xfId="29207" xr:uid="{13E3E1F1-3351-4EDE-875A-62FD4DD68807}"/>
    <cellStyle name="Comma 2 2 11 3 3" xfId="12435" xr:uid="{A1F925D3-284A-4D85-82FA-638A62119AEA}"/>
    <cellStyle name="Comma 2 2 11 3 4" xfId="22851" xr:uid="{3D732B44-B74D-44F8-8EA4-BB1083E0970E}"/>
    <cellStyle name="Comma 2 2 11 4" xfId="7242" xr:uid="{00000000-0005-0000-0000-0000B3000000}"/>
    <cellStyle name="Comma 2 2 11 4 2" xfId="18788" xr:uid="{CC80B6D3-9EF4-4301-9345-237C82FD20C3}"/>
    <cellStyle name="Comma 2 2 11 4 3" xfId="29204" xr:uid="{AAADC7BC-A378-47C7-B894-B4D65F57B61A}"/>
    <cellStyle name="Comma 2 2 11 5" xfId="4812" xr:uid="{00000000-0005-0000-0000-0000B4000000}"/>
    <cellStyle name="Comma 2 2 11 5 2" xfId="16398" xr:uid="{F270268B-D8FB-43ED-BC31-D01E96FA0E27}"/>
    <cellStyle name="Comma 2 2 11 5 3" xfId="26814" xr:uid="{85D66E50-6DC2-45A0-AF0D-015A04F40580}"/>
    <cellStyle name="Comma 2 2 11 6" xfId="12432" xr:uid="{AE2FBAAA-B0C3-422C-8983-F143A20551E2}"/>
    <cellStyle name="Comma 2 2 11 7" xfId="22848" xr:uid="{7D879EC9-E73D-462A-B3D3-0BCEE0580DA2}"/>
    <cellStyle name="Comma 2 2 12" xfId="101" xr:uid="{00000000-0005-0000-0000-0000B5000000}"/>
    <cellStyle name="Comma 2 2 12 2" xfId="102" xr:uid="{00000000-0005-0000-0000-0000B6000000}"/>
    <cellStyle name="Comma 2 2 12 2 2" xfId="7247" xr:uid="{00000000-0005-0000-0000-0000B7000000}"/>
    <cellStyle name="Comma 2 2 12 2 2 2" xfId="18793" xr:uid="{09E3335F-5AAC-4FF3-8F62-01CEB52CCF4B}"/>
    <cellStyle name="Comma 2 2 12 2 2 3" xfId="29209" xr:uid="{0D98C6D8-4AF8-418F-8C61-23AC59A79A59}"/>
    <cellStyle name="Comma 2 2 12 2 3" xfId="12437" xr:uid="{84AEC442-0A05-4250-B623-42F2EBBAC628}"/>
    <cellStyle name="Comma 2 2 12 2 4" xfId="22853" xr:uid="{6E9A4DF9-F4CC-4840-A83D-11BC044D4735}"/>
    <cellStyle name="Comma 2 2 12 3" xfId="7246" xr:uid="{00000000-0005-0000-0000-0000B8000000}"/>
    <cellStyle name="Comma 2 2 12 3 2" xfId="18792" xr:uid="{1A1647C7-5A6F-46A9-BFE3-2E701C212DB1}"/>
    <cellStyle name="Comma 2 2 12 3 3" xfId="29208" xr:uid="{B0AE8B5E-818A-4D2D-B585-1F5A6CCE675D}"/>
    <cellStyle name="Comma 2 2 12 4" xfId="4814" xr:uid="{00000000-0005-0000-0000-0000B9000000}"/>
    <cellStyle name="Comma 2 2 12 4 2" xfId="16400" xr:uid="{244EFF4F-E1CF-4C52-A05F-B6FCEF2E7FB2}"/>
    <cellStyle name="Comma 2 2 12 4 3" xfId="26816" xr:uid="{C767E226-68B2-4D01-9F3D-63427773315F}"/>
    <cellStyle name="Comma 2 2 12 5" xfId="12436" xr:uid="{158F0077-4A9E-4E21-809E-A48B9968376F}"/>
    <cellStyle name="Comma 2 2 12 6" xfId="22852" xr:uid="{5B4D5283-3B4F-41AF-B337-50FD627AEE59}"/>
    <cellStyle name="Comma 2 2 13" xfId="103" xr:uid="{00000000-0005-0000-0000-0000BA000000}"/>
    <cellStyle name="Comma 2 2 13 2" xfId="104" xr:uid="{00000000-0005-0000-0000-0000BB000000}"/>
    <cellStyle name="Comma 2 2 13 2 2" xfId="7249" xr:uid="{00000000-0005-0000-0000-0000BC000000}"/>
    <cellStyle name="Comma 2 2 13 2 2 2" xfId="18795" xr:uid="{DB08727F-E4F2-4783-84B4-1E5E2E25347B}"/>
    <cellStyle name="Comma 2 2 13 2 2 3" xfId="29211" xr:uid="{CE59CD07-CCB8-4254-A7B4-C656C582D3B4}"/>
    <cellStyle name="Comma 2 2 13 2 3" xfId="12439" xr:uid="{0DFFA34C-36E6-463E-B334-78DF8852CD29}"/>
    <cellStyle name="Comma 2 2 13 2 4" xfId="22855" xr:uid="{FE619371-69B3-4A33-8C95-2AC3972C32D9}"/>
    <cellStyle name="Comma 2 2 13 3" xfId="7248" xr:uid="{00000000-0005-0000-0000-0000BD000000}"/>
    <cellStyle name="Comma 2 2 13 3 2" xfId="18794" xr:uid="{8E7A1FA8-ACDE-473C-ADAA-BB4F63B116B0}"/>
    <cellStyle name="Comma 2 2 13 3 3" xfId="29210" xr:uid="{AA597BBC-A464-4C13-A988-2A52125DE176}"/>
    <cellStyle name="Comma 2 2 13 4" xfId="4815" xr:uid="{00000000-0005-0000-0000-0000BE000000}"/>
    <cellStyle name="Comma 2 2 13 4 2" xfId="16401" xr:uid="{44BC6341-87BE-4E1D-9DCB-89D3ED51D860}"/>
    <cellStyle name="Comma 2 2 13 4 3" xfId="26817" xr:uid="{2D05BAEA-158E-491A-91AF-867D34162A0C}"/>
    <cellStyle name="Comma 2 2 13 5" xfId="12438" xr:uid="{77CC7F88-66CA-47DF-977C-1D50970BAB5F}"/>
    <cellStyle name="Comma 2 2 13 6" xfId="22854" xr:uid="{046DE148-4269-41A4-9DE3-9DBF614A35A8}"/>
    <cellStyle name="Comma 2 2 14" xfId="105" xr:uid="{00000000-0005-0000-0000-0000BF000000}"/>
    <cellStyle name="Comma 2 2 14 2" xfId="7251" xr:uid="{00000000-0005-0000-0000-0000C0000000}"/>
    <cellStyle name="Comma 2 2 14 2 2" xfId="18797" xr:uid="{53EF557A-DC56-49A1-97AE-CC6D41D1E701}"/>
    <cellStyle name="Comma 2 2 14 2 3" xfId="29213" xr:uid="{543291ED-76E2-4F1C-980B-A36DF6512793}"/>
    <cellStyle name="Comma 2 2 14 3" xfId="7250" xr:uid="{00000000-0005-0000-0000-0000C1000000}"/>
    <cellStyle name="Comma 2 2 14 3 2" xfId="18796" xr:uid="{F3C466F7-F270-4867-A51B-AC04EBE3EDE3}"/>
    <cellStyle name="Comma 2 2 14 3 3" xfId="29212" xr:uid="{B7564FC5-7EEA-4544-B75C-7E0B4A737F36}"/>
    <cellStyle name="Comma 2 2 14 4" xfId="4816" xr:uid="{00000000-0005-0000-0000-0000C2000000}"/>
    <cellStyle name="Comma 2 2 14 4 2" xfId="16402" xr:uid="{21569CBF-A481-4A10-960E-78F9747C188D}"/>
    <cellStyle name="Comma 2 2 14 4 3" xfId="26818" xr:uid="{5D794D5B-01EE-4818-895E-788AC87DD5E8}"/>
    <cellStyle name="Comma 2 2 14 5" xfId="12440" xr:uid="{797BA845-E6C7-4AFC-A209-5B72E2823815}"/>
    <cellStyle name="Comma 2 2 14 6" xfId="22856" xr:uid="{24372C8E-8153-4A85-8283-6B2B17093C62}"/>
    <cellStyle name="Comma 2 2 15" xfId="90" xr:uid="{00000000-0005-0000-0000-0000C3000000}"/>
    <cellStyle name="Comma 2 2 15 2" xfId="7252" xr:uid="{00000000-0005-0000-0000-0000C4000000}"/>
    <cellStyle name="Comma 2 2 15 2 2" xfId="18798" xr:uid="{2E68D487-EEC2-41B7-B430-7C84EA1ED9D3}"/>
    <cellStyle name="Comma 2 2 15 2 3" xfId="29214" xr:uid="{B80FC5D3-4C1A-4490-836E-4E09F05FEA1D}"/>
    <cellStyle name="Comma 2 2 15 3" xfId="12425" xr:uid="{A25882A0-BA42-4D86-A790-2A02B034CEEE}"/>
    <cellStyle name="Comma 2 2 15 4" xfId="22841" xr:uid="{852459A2-FBEE-477C-8948-37872A35FB05}"/>
    <cellStyle name="Comma 2 2 16" xfId="7235" xr:uid="{00000000-0005-0000-0000-0000C5000000}"/>
    <cellStyle name="Comma 2 2 16 2" xfId="18781" xr:uid="{89938CDD-09DE-4FF9-9133-01E3991282DC}"/>
    <cellStyle name="Comma 2 2 16 3" xfId="29197" xr:uid="{7155CA60-8F18-410B-B047-80F22E8BE2BE}"/>
    <cellStyle name="Comma 2 2 17" xfId="4808" xr:uid="{00000000-0005-0000-0000-0000C6000000}"/>
    <cellStyle name="Comma 2 2 17 2" xfId="16394" xr:uid="{4EF312DE-104B-40EA-94CD-D988F090A522}"/>
    <cellStyle name="Comma 2 2 17 3" xfId="26810" xr:uid="{11D037BF-A444-4D1D-ABD3-405EC30FB302}"/>
    <cellStyle name="Comma 2 2 18" xfId="12327" xr:uid="{00000000-0005-0000-0000-0000C7000000}"/>
    <cellStyle name="Comma 2 2 18 2" xfId="22733" xr:uid="{CB7A7E18-165B-413E-A942-39F20BA80AB9}"/>
    <cellStyle name="Comma 2 2 18 3" xfId="33149" xr:uid="{03DDEC6C-3BB3-4702-9060-2B311D61465B}"/>
    <cellStyle name="Comma 2 2 19" xfId="12337" xr:uid="{00000000-0005-0000-0000-0000C8000000}"/>
    <cellStyle name="Comma 2 2 19 2" xfId="22743" xr:uid="{90635738-C167-4D20-9083-6293DF58B10C}"/>
    <cellStyle name="Comma 2 2 19 3" xfId="33159" xr:uid="{13BB090B-A2DD-4D7E-BB6C-2C6A8C560306}"/>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2 2 2" xfId="18801" xr:uid="{BC70F764-CABD-4054-A074-605FCC9ED0EA}"/>
    <cellStyle name="Comma 2 2 2 10 2 2 3" xfId="29217" xr:uid="{959B60BB-0C2D-4AF8-8C5C-BBF7011C26E1}"/>
    <cellStyle name="Comma 2 2 2 10 2 3" xfId="12443" xr:uid="{B0484BF9-E75F-4AF0-90A2-5CF0E5AA0D74}"/>
    <cellStyle name="Comma 2 2 2 10 2 4" xfId="22859" xr:uid="{99F16315-DB2E-415A-8254-064BA19445CD}"/>
    <cellStyle name="Comma 2 2 2 10 3" xfId="7254" xr:uid="{00000000-0005-0000-0000-0000CD000000}"/>
    <cellStyle name="Comma 2 2 2 10 3 2" xfId="18800" xr:uid="{C901A180-7C78-455B-8435-9D6FFE8022E0}"/>
    <cellStyle name="Comma 2 2 2 10 3 3" xfId="29216" xr:uid="{82311E3E-C472-4A39-994B-0E5E52D1C25B}"/>
    <cellStyle name="Comma 2 2 2 10 4" xfId="4818" xr:uid="{00000000-0005-0000-0000-0000CE000000}"/>
    <cellStyle name="Comma 2 2 2 10 4 2" xfId="16404" xr:uid="{7BFF64FD-17FA-400A-954A-360117F87991}"/>
    <cellStyle name="Comma 2 2 2 10 4 3" xfId="26820" xr:uid="{25770802-7DEC-4DA9-9315-4C8C72829B8E}"/>
    <cellStyle name="Comma 2 2 2 10 5" xfId="12442" xr:uid="{4E3E4D7C-4778-4B09-B26A-602E629C5563}"/>
    <cellStyle name="Comma 2 2 2 10 6" xfId="22858" xr:uid="{7A8ACB44-72BE-47C5-B33C-4D8EC8A99EC2}"/>
    <cellStyle name="Comma 2 2 2 11" xfId="109" xr:uid="{00000000-0005-0000-0000-0000CF000000}"/>
    <cellStyle name="Comma 2 2 2 11 2" xfId="7256" xr:uid="{00000000-0005-0000-0000-0000D0000000}"/>
    <cellStyle name="Comma 2 2 2 11 2 2" xfId="18802" xr:uid="{3E821287-786F-4F11-A85B-33BE7449EEE0}"/>
    <cellStyle name="Comma 2 2 2 11 2 3" xfId="29218" xr:uid="{18F570D5-B6EF-4AF1-8430-C88C1F253822}"/>
    <cellStyle name="Comma 2 2 2 11 3" xfId="12444" xr:uid="{495CE46D-DE2A-4C65-921F-D11293095D60}"/>
    <cellStyle name="Comma 2 2 2 11 4" xfId="22860" xr:uid="{C897DC92-A528-425E-A892-2A6851202DDF}"/>
    <cellStyle name="Comma 2 2 2 12" xfId="7253" xr:uid="{00000000-0005-0000-0000-0000D1000000}"/>
    <cellStyle name="Comma 2 2 2 12 2" xfId="18799" xr:uid="{BC50691B-7AFD-404C-AD27-2355DDCF4170}"/>
    <cellStyle name="Comma 2 2 2 12 3" xfId="29215" xr:uid="{A68665B6-C962-4EE4-811F-38B4674710CB}"/>
    <cellStyle name="Comma 2 2 2 13" xfId="4817" xr:uid="{00000000-0005-0000-0000-0000D2000000}"/>
    <cellStyle name="Comma 2 2 2 13 2" xfId="16403" xr:uid="{71682599-24AA-4BCB-A3E5-6630B66661AB}"/>
    <cellStyle name="Comma 2 2 2 13 3" xfId="26819" xr:uid="{DE7247B4-9562-4E29-8829-F71907E4E754}"/>
    <cellStyle name="Comma 2 2 2 14" xfId="12332" xr:uid="{00000000-0005-0000-0000-0000D3000000}"/>
    <cellStyle name="Comma 2 2 2 14 2" xfId="22738" xr:uid="{B3ED5D76-86D1-41F7-B7D3-76D754BB2B93}"/>
    <cellStyle name="Comma 2 2 2 14 3" xfId="33154" xr:uid="{8E24EE80-97DE-4823-A39F-7141B728D8ED}"/>
    <cellStyle name="Comma 2 2 2 15" xfId="12342" xr:uid="{00000000-0005-0000-0000-0000D4000000}"/>
    <cellStyle name="Comma 2 2 2 15 2" xfId="22748" xr:uid="{2B4EE961-7E1A-41A9-A34D-421EFBF9152A}"/>
    <cellStyle name="Comma 2 2 2 15 3" xfId="33164" xr:uid="{6C44B368-9959-45F9-943C-3F907361E215}"/>
    <cellStyle name="Comma 2 2 2 16" xfId="12357" xr:uid="{00000000-0005-0000-0000-0000D5000000}"/>
    <cellStyle name="Comma 2 2 2 16 2" xfId="22763" xr:uid="{9D8BBC1D-0572-4179-B296-6722CEA2B1B9}"/>
    <cellStyle name="Comma 2 2 2 16 3" xfId="33179" xr:uid="{9C5C312E-ED02-4E2C-8431-02B5E8CE6101}"/>
    <cellStyle name="Comma 2 2 2 17" xfId="12441" xr:uid="{5253E395-BA88-4F6F-8C0B-77A697A7270D}"/>
    <cellStyle name="Comma 2 2 2 18" xfId="22857" xr:uid="{A4E82A33-6CFE-4943-BC02-84F3D07B25B3}"/>
    <cellStyle name="Comma 2 2 2 2" xfId="110" xr:uid="{00000000-0005-0000-0000-0000D6000000}"/>
    <cellStyle name="Comma 2 2 2 2 10" xfId="111" xr:uid="{00000000-0005-0000-0000-0000D7000000}"/>
    <cellStyle name="Comma 2 2 2 2 10 2" xfId="7258" xr:uid="{00000000-0005-0000-0000-0000D8000000}"/>
    <cellStyle name="Comma 2 2 2 2 10 2 2" xfId="18804" xr:uid="{63AB892B-AD16-48FD-A8A3-8D43D1DDA4EB}"/>
    <cellStyle name="Comma 2 2 2 2 10 2 3" xfId="29220" xr:uid="{59E2CDE2-050F-461A-9FFE-7EF8C53C3A1E}"/>
    <cellStyle name="Comma 2 2 2 2 10 3" xfId="12446" xr:uid="{1D6AE17E-BBC7-4A8F-97B1-18EBBB309B94}"/>
    <cellStyle name="Comma 2 2 2 2 10 4" xfId="22862" xr:uid="{795F4AF7-7D54-4DDD-8929-4295320545EA}"/>
    <cellStyle name="Comma 2 2 2 2 11" xfId="7257" xr:uid="{00000000-0005-0000-0000-0000D9000000}"/>
    <cellStyle name="Comma 2 2 2 2 11 2" xfId="18803" xr:uid="{D071921F-346A-4AA1-9783-414147B57AA2}"/>
    <cellStyle name="Comma 2 2 2 2 11 3" xfId="29219" xr:uid="{71D110F1-598A-4F63-B2C6-10BEBEDD51EE}"/>
    <cellStyle name="Comma 2 2 2 2 12" xfId="4819" xr:uid="{00000000-0005-0000-0000-0000DA000000}"/>
    <cellStyle name="Comma 2 2 2 2 12 2" xfId="16405" xr:uid="{2E01EF8F-8ECC-4AFD-B193-70BF8A6617FF}"/>
    <cellStyle name="Comma 2 2 2 2 12 3" xfId="26821" xr:uid="{F1779A2B-044F-4375-9AA2-E2D87FAB31C2}"/>
    <cellStyle name="Comma 2 2 2 2 13" xfId="12445" xr:uid="{1D5BD524-017D-427B-B1F7-7C53A0AE784B}"/>
    <cellStyle name="Comma 2 2 2 2 14" xfId="22861" xr:uid="{72FEE882-CBD0-49AB-B049-6EF19F917F93}"/>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2 2 2" xfId="18808" xr:uid="{F75651FB-AC41-4E43-A137-A6DC80339E43}"/>
    <cellStyle name="Comma 2 2 2 2 2 2 2 2 2 3" xfId="29224" xr:uid="{219D7B6C-E75B-40D5-BD75-D245EB67D6BC}"/>
    <cellStyle name="Comma 2 2 2 2 2 2 2 2 3" xfId="12450" xr:uid="{DB64CB1F-2918-4776-A6BE-5E57D5D249D0}"/>
    <cellStyle name="Comma 2 2 2 2 2 2 2 2 4" xfId="22866" xr:uid="{BA2E36D0-42C5-42DA-8CEF-881A7EDA5EC2}"/>
    <cellStyle name="Comma 2 2 2 2 2 2 2 3" xfId="7261" xr:uid="{00000000-0005-0000-0000-0000E0000000}"/>
    <cellStyle name="Comma 2 2 2 2 2 2 2 3 2" xfId="18807" xr:uid="{27D47FFB-3803-419B-8448-C5AFACC38C95}"/>
    <cellStyle name="Comma 2 2 2 2 2 2 2 3 3" xfId="29223" xr:uid="{7F4BD1BD-33EC-4FE3-A6BD-6659AF75BD18}"/>
    <cellStyle name="Comma 2 2 2 2 2 2 2 4" xfId="4822" xr:uid="{00000000-0005-0000-0000-0000E1000000}"/>
    <cellStyle name="Comma 2 2 2 2 2 2 2 4 2" xfId="16408" xr:uid="{2CAB6787-9D8F-4B6D-9FFF-930D5265C056}"/>
    <cellStyle name="Comma 2 2 2 2 2 2 2 4 3" xfId="26824" xr:uid="{A0FF8018-FF2A-412C-BD2C-BA943F63129F}"/>
    <cellStyle name="Comma 2 2 2 2 2 2 2 5" xfId="12449" xr:uid="{D841B778-E363-4003-8345-AF2C1113FB67}"/>
    <cellStyle name="Comma 2 2 2 2 2 2 2 6" xfId="22865" xr:uid="{05D1F586-E765-45AD-96E4-D61C6BA5D14F}"/>
    <cellStyle name="Comma 2 2 2 2 2 2 3" xfId="116" xr:uid="{00000000-0005-0000-0000-0000E2000000}"/>
    <cellStyle name="Comma 2 2 2 2 2 2 3 2" xfId="7263" xr:uid="{00000000-0005-0000-0000-0000E3000000}"/>
    <cellStyle name="Comma 2 2 2 2 2 2 3 2 2" xfId="18809" xr:uid="{A13E377D-B3A7-4BF1-89A8-D86BFB34D98C}"/>
    <cellStyle name="Comma 2 2 2 2 2 2 3 2 3" xfId="29225" xr:uid="{382038B7-A38F-4EEC-8A0F-9793AD05B524}"/>
    <cellStyle name="Comma 2 2 2 2 2 2 3 3" xfId="12451" xr:uid="{655EF2B8-F8D3-4920-8DE1-538D3A44B29E}"/>
    <cellStyle name="Comma 2 2 2 2 2 2 3 4" xfId="22867" xr:uid="{821F7437-BF21-4E5F-B284-871D75C9D832}"/>
    <cellStyle name="Comma 2 2 2 2 2 2 4" xfId="7260" xr:uid="{00000000-0005-0000-0000-0000E4000000}"/>
    <cellStyle name="Comma 2 2 2 2 2 2 4 2" xfId="18806" xr:uid="{26A031CA-E96F-4FDB-8A0B-89F5EC29D30C}"/>
    <cellStyle name="Comma 2 2 2 2 2 2 4 3" xfId="29222" xr:uid="{2EFCD3E8-DF25-482D-836B-67C05E99F88A}"/>
    <cellStyle name="Comma 2 2 2 2 2 2 5" xfId="4821" xr:uid="{00000000-0005-0000-0000-0000E5000000}"/>
    <cellStyle name="Comma 2 2 2 2 2 2 5 2" xfId="16407" xr:uid="{CFA92014-91FF-47DC-ACE3-BA8DE49B459F}"/>
    <cellStyle name="Comma 2 2 2 2 2 2 5 3" xfId="26823" xr:uid="{2412B633-EA55-4787-B893-84AA99A6CB02}"/>
    <cellStyle name="Comma 2 2 2 2 2 2 6" xfId="12448" xr:uid="{E5C71DE9-23EC-4337-A247-879FAE55385E}"/>
    <cellStyle name="Comma 2 2 2 2 2 2 7" xfId="22864" xr:uid="{DE0715CD-48FA-44A1-B1FE-13BACE164E1B}"/>
    <cellStyle name="Comma 2 2 2 2 2 3" xfId="117" xr:uid="{00000000-0005-0000-0000-0000E6000000}"/>
    <cellStyle name="Comma 2 2 2 2 2 3 2" xfId="118" xr:uid="{00000000-0005-0000-0000-0000E7000000}"/>
    <cellStyle name="Comma 2 2 2 2 2 3 2 2" xfId="7265" xr:uid="{00000000-0005-0000-0000-0000E8000000}"/>
    <cellStyle name="Comma 2 2 2 2 2 3 2 2 2" xfId="18811" xr:uid="{25055DB8-959D-4286-B3B2-74A7E8CF263F}"/>
    <cellStyle name="Comma 2 2 2 2 2 3 2 2 3" xfId="29227" xr:uid="{3C5A5A7D-4689-4D35-B2EF-C74476CE4439}"/>
    <cellStyle name="Comma 2 2 2 2 2 3 2 3" xfId="12453" xr:uid="{0E519F3A-B24D-43C3-B3C9-AB712B01A69C}"/>
    <cellStyle name="Comma 2 2 2 2 2 3 2 4" xfId="22869" xr:uid="{C834BEE8-ED1E-489A-9379-0A6414CFFB3D}"/>
    <cellStyle name="Comma 2 2 2 2 2 3 3" xfId="7264" xr:uid="{00000000-0005-0000-0000-0000E9000000}"/>
    <cellStyle name="Comma 2 2 2 2 2 3 3 2" xfId="18810" xr:uid="{218EB45D-07A8-43F1-96D3-749115038656}"/>
    <cellStyle name="Comma 2 2 2 2 2 3 3 3" xfId="29226" xr:uid="{4D23F670-371D-4C7C-96EA-47BA3AC7C603}"/>
    <cellStyle name="Comma 2 2 2 2 2 3 4" xfId="4823" xr:uid="{00000000-0005-0000-0000-0000EA000000}"/>
    <cellStyle name="Comma 2 2 2 2 2 3 4 2" xfId="16409" xr:uid="{B5717BE5-2E11-4751-9BAF-A0D0C6D30D12}"/>
    <cellStyle name="Comma 2 2 2 2 2 3 4 3" xfId="26825" xr:uid="{613A06F7-8A16-450E-A42A-F21126925FBA}"/>
    <cellStyle name="Comma 2 2 2 2 2 3 5" xfId="12452" xr:uid="{48FD00BA-A4A4-41AD-BA1D-2D7EB0565124}"/>
    <cellStyle name="Comma 2 2 2 2 2 3 6" xfId="22868" xr:uid="{374B02EA-EE8F-4593-A099-921A9F04E398}"/>
    <cellStyle name="Comma 2 2 2 2 2 4" xfId="119" xr:uid="{00000000-0005-0000-0000-0000EB000000}"/>
    <cellStyle name="Comma 2 2 2 2 2 4 2" xfId="120" xr:uid="{00000000-0005-0000-0000-0000EC000000}"/>
    <cellStyle name="Comma 2 2 2 2 2 4 2 2" xfId="7267" xr:uid="{00000000-0005-0000-0000-0000ED000000}"/>
    <cellStyle name="Comma 2 2 2 2 2 4 2 2 2" xfId="18813" xr:uid="{7C81D37A-54CA-4345-B223-6369D1E35E56}"/>
    <cellStyle name="Comma 2 2 2 2 2 4 2 2 3" xfId="29229" xr:uid="{E48B1393-C288-46AA-9D79-CD0BEA10C144}"/>
    <cellStyle name="Comma 2 2 2 2 2 4 2 3" xfId="12455" xr:uid="{F419986A-2159-43A6-985F-D04D1052AFFE}"/>
    <cellStyle name="Comma 2 2 2 2 2 4 2 4" xfId="22871" xr:uid="{D99CF7D5-18F2-4D94-BBAA-B8B53A22C63F}"/>
    <cellStyle name="Comma 2 2 2 2 2 4 3" xfId="7266" xr:uid="{00000000-0005-0000-0000-0000EE000000}"/>
    <cellStyle name="Comma 2 2 2 2 2 4 3 2" xfId="18812" xr:uid="{F2EFD79C-A228-4EFD-BE36-F6AE1D46715B}"/>
    <cellStyle name="Comma 2 2 2 2 2 4 3 3" xfId="29228" xr:uid="{318C9847-BBF2-48EC-89F8-9FF1B004ECC8}"/>
    <cellStyle name="Comma 2 2 2 2 2 4 4" xfId="4824" xr:uid="{00000000-0005-0000-0000-0000EF000000}"/>
    <cellStyle name="Comma 2 2 2 2 2 4 4 2" xfId="16410" xr:uid="{A1F14C9C-C801-4474-8CCB-E1E1173FA3F2}"/>
    <cellStyle name="Comma 2 2 2 2 2 4 4 3" xfId="26826" xr:uid="{FB61EF8D-AD19-47AD-9C57-229224DA77E1}"/>
    <cellStyle name="Comma 2 2 2 2 2 4 5" xfId="12454" xr:uid="{83FE5338-FB4D-4918-A7F7-A18FF076C107}"/>
    <cellStyle name="Comma 2 2 2 2 2 4 6" xfId="22870" xr:uid="{7510A43A-9023-420B-B9C6-3FAC0220BBFC}"/>
    <cellStyle name="Comma 2 2 2 2 2 5" xfId="121" xr:uid="{00000000-0005-0000-0000-0000F0000000}"/>
    <cellStyle name="Comma 2 2 2 2 2 5 2" xfId="7268" xr:uid="{00000000-0005-0000-0000-0000F1000000}"/>
    <cellStyle name="Comma 2 2 2 2 2 5 2 2" xfId="18814" xr:uid="{2E9B9559-DE4D-48DE-A47E-78DA5C5D1923}"/>
    <cellStyle name="Comma 2 2 2 2 2 5 2 3" xfId="29230" xr:uid="{5DC800AC-9A68-4C53-AFA8-4FF646AC9394}"/>
    <cellStyle name="Comma 2 2 2 2 2 5 3" xfId="12456" xr:uid="{41C76D0C-06AD-4CE7-8B2E-BDFEEE81A8B9}"/>
    <cellStyle name="Comma 2 2 2 2 2 5 4" xfId="22872" xr:uid="{E402B4B9-40EB-4501-B350-779EBDBC477F}"/>
    <cellStyle name="Comma 2 2 2 2 2 6" xfId="7259" xr:uid="{00000000-0005-0000-0000-0000F2000000}"/>
    <cellStyle name="Comma 2 2 2 2 2 6 2" xfId="18805" xr:uid="{18D395F0-D5E2-4188-9C73-198CF4563E77}"/>
    <cellStyle name="Comma 2 2 2 2 2 6 3" xfId="29221" xr:uid="{29C188EB-7984-4011-9001-DA6DBCE9F727}"/>
    <cellStyle name="Comma 2 2 2 2 2 7" xfId="4820" xr:uid="{00000000-0005-0000-0000-0000F3000000}"/>
    <cellStyle name="Comma 2 2 2 2 2 7 2" xfId="16406" xr:uid="{B80B862D-C5A1-4F45-A51D-D2DF07DD6541}"/>
    <cellStyle name="Comma 2 2 2 2 2 7 3" xfId="26822" xr:uid="{0AB30CF7-05B4-4E1E-85F0-8538B08C1E95}"/>
    <cellStyle name="Comma 2 2 2 2 2 8" xfId="12447" xr:uid="{008B8716-53BD-417B-B202-AFF433F96126}"/>
    <cellStyle name="Comma 2 2 2 2 2 9" xfId="22863" xr:uid="{34929BE1-1FB5-422E-B00E-E736AC85E7E5}"/>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2 2 2" xfId="18818" xr:uid="{CACB6B11-FF88-43B5-A0C2-6C5D8D7C36BD}"/>
    <cellStyle name="Comma 2 2 2 2 3 2 2 2 2 3" xfId="29234" xr:uid="{32CE154E-483D-4205-B95A-2895F0FFC6BB}"/>
    <cellStyle name="Comma 2 2 2 2 3 2 2 2 3" xfId="12460" xr:uid="{3604C31C-2E76-42E8-AE58-394E83BA4DFB}"/>
    <cellStyle name="Comma 2 2 2 2 3 2 2 2 4" xfId="22876" xr:uid="{43F058F5-ACAF-477D-B2D5-C4E56F6038C1}"/>
    <cellStyle name="Comma 2 2 2 2 3 2 2 3" xfId="7271" xr:uid="{00000000-0005-0000-0000-0000F9000000}"/>
    <cellStyle name="Comma 2 2 2 2 3 2 2 3 2" xfId="18817" xr:uid="{0EB9C692-884F-430E-94F0-BA225ABE9BC1}"/>
    <cellStyle name="Comma 2 2 2 2 3 2 2 3 3" xfId="29233" xr:uid="{727D2C57-EBC4-426B-81C5-3CD691BAEB7A}"/>
    <cellStyle name="Comma 2 2 2 2 3 2 2 4" xfId="4827" xr:uid="{00000000-0005-0000-0000-0000FA000000}"/>
    <cellStyle name="Comma 2 2 2 2 3 2 2 4 2" xfId="16413" xr:uid="{AD68209F-7ED7-4D48-9BA7-818A3E0B587D}"/>
    <cellStyle name="Comma 2 2 2 2 3 2 2 4 3" xfId="26829" xr:uid="{A7AD6065-C09C-4700-BAA7-B99A41758EB9}"/>
    <cellStyle name="Comma 2 2 2 2 3 2 2 5" xfId="12459" xr:uid="{C046E26C-C681-47F4-8507-47D8FD90C7DE}"/>
    <cellStyle name="Comma 2 2 2 2 3 2 2 6" xfId="22875" xr:uid="{6F2C9897-46E9-4CBB-9C8F-0623188EBA10}"/>
    <cellStyle name="Comma 2 2 2 2 3 2 3" xfId="126" xr:uid="{00000000-0005-0000-0000-0000FB000000}"/>
    <cellStyle name="Comma 2 2 2 2 3 2 3 2" xfId="7273" xr:uid="{00000000-0005-0000-0000-0000FC000000}"/>
    <cellStyle name="Comma 2 2 2 2 3 2 3 2 2" xfId="18819" xr:uid="{10CB3BD9-C4EE-417F-9659-9DE3C12DE1EB}"/>
    <cellStyle name="Comma 2 2 2 2 3 2 3 2 3" xfId="29235" xr:uid="{317EE85E-4EC6-41DA-B8A6-FF6B89D014C4}"/>
    <cellStyle name="Comma 2 2 2 2 3 2 3 3" xfId="12461" xr:uid="{B9D1F54D-34DD-4621-95C1-39AD38F37C55}"/>
    <cellStyle name="Comma 2 2 2 2 3 2 3 4" xfId="22877" xr:uid="{B2227BC1-9042-4EB7-98F3-430573BC4225}"/>
    <cellStyle name="Comma 2 2 2 2 3 2 4" xfId="7270" xr:uid="{00000000-0005-0000-0000-0000FD000000}"/>
    <cellStyle name="Comma 2 2 2 2 3 2 4 2" xfId="18816" xr:uid="{5AF71409-CD61-4140-B068-CC39E6B3FFEF}"/>
    <cellStyle name="Comma 2 2 2 2 3 2 4 3" xfId="29232" xr:uid="{46EEBBB0-DD81-4983-990D-8E611B981E71}"/>
    <cellStyle name="Comma 2 2 2 2 3 2 5" xfId="4826" xr:uid="{00000000-0005-0000-0000-0000FE000000}"/>
    <cellStyle name="Comma 2 2 2 2 3 2 5 2" xfId="16412" xr:uid="{22C7AE10-5BB7-40DC-BA1C-91D6B316A773}"/>
    <cellStyle name="Comma 2 2 2 2 3 2 5 3" xfId="26828" xr:uid="{BF47BB0B-5C4B-4CA4-890E-FB413858F9F6}"/>
    <cellStyle name="Comma 2 2 2 2 3 2 6" xfId="12458" xr:uid="{D350DAD7-8725-4065-850B-E2E476552980}"/>
    <cellStyle name="Comma 2 2 2 2 3 2 7" xfId="22874" xr:uid="{91EDD698-BE65-4648-BE46-AA31B1FB245F}"/>
    <cellStyle name="Comma 2 2 2 2 3 3" xfId="127" xr:uid="{00000000-0005-0000-0000-0000FF000000}"/>
    <cellStyle name="Comma 2 2 2 2 3 3 2" xfId="128" xr:uid="{00000000-0005-0000-0000-000000010000}"/>
    <cellStyle name="Comma 2 2 2 2 3 3 2 2" xfId="7275" xr:uid="{00000000-0005-0000-0000-000001010000}"/>
    <cellStyle name="Comma 2 2 2 2 3 3 2 2 2" xfId="18821" xr:uid="{CFBF5D69-BE82-45CE-99C0-829A24AE4D80}"/>
    <cellStyle name="Comma 2 2 2 2 3 3 2 2 3" xfId="29237" xr:uid="{DC5278CD-50D2-4676-ABF4-8D1BDEC8B29A}"/>
    <cellStyle name="Comma 2 2 2 2 3 3 2 3" xfId="12463" xr:uid="{516EB41B-D83D-4444-86C1-60683B132820}"/>
    <cellStyle name="Comma 2 2 2 2 3 3 2 4" xfId="22879" xr:uid="{7ABB3F5B-A7F0-4DBF-925C-E49F3F126C70}"/>
    <cellStyle name="Comma 2 2 2 2 3 3 3" xfId="7274" xr:uid="{00000000-0005-0000-0000-000002010000}"/>
    <cellStyle name="Comma 2 2 2 2 3 3 3 2" xfId="18820" xr:uid="{26386569-BF10-4FB4-9BBB-736B3C2D26B1}"/>
    <cellStyle name="Comma 2 2 2 2 3 3 3 3" xfId="29236" xr:uid="{86530521-71DA-4D8E-9F67-EE5F7CB6C54F}"/>
    <cellStyle name="Comma 2 2 2 2 3 3 4" xfId="4828" xr:uid="{00000000-0005-0000-0000-000003010000}"/>
    <cellStyle name="Comma 2 2 2 2 3 3 4 2" xfId="16414" xr:uid="{57F744B7-CCB0-4351-A001-76FC7F2DA82C}"/>
    <cellStyle name="Comma 2 2 2 2 3 3 4 3" xfId="26830" xr:uid="{7410AE38-4691-417E-84BE-8007C079A8A8}"/>
    <cellStyle name="Comma 2 2 2 2 3 3 5" xfId="12462" xr:uid="{E89CEFE0-F5E2-4880-A890-D3C892EB7B42}"/>
    <cellStyle name="Comma 2 2 2 2 3 3 6" xfId="22878" xr:uid="{1FC330CB-D9D3-4E9A-A232-7DF743C904D2}"/>
    <cellStyle name="Comma 2 2 2 2 3 4" xfId="129" xr:uid="{00000000-0005-0000-0000-000004010000}"/>
    <cellStyle name="Comma 2 2 2 2 3 4 2" xfId="130" xr:uid="{00000000-0005-0000-0000-000005010000}"/>
    <cellStyle name="Comma 2 2 2 2 3 4 2 2" xfId="7277" xr:uid="{00000000-0005-0000-0000-000006010000}"/>
    <cellStyle name="Comma 2 2 2 2 3 4 2 2 2" xfId="18823" xr:uid="{3ACDFC29-8D23-46E2-92EF-F3F927C37DE1}"/>
    <cellStyle name="Comma 2 2 2 2 3 4 2 2 3" xfId="29239" xr:uid="{A3975964-8001-4D7A-8B19-05539E82B58F}"/>
    <cellStyle name="Comma 2 2 2 2 3 4 2 3" xfId="12465" xr:uid="{32952E9A-ACB4-47CB-AA09-FD291271EB3A}"/>
    <cellStyle name="Comma 2 2 2 2 3 4 2 4" xfId="22881" xr:uid="{2F88BF3A-F041-490E-9F27-5DAAE4E8F26B}"/>
    <cellStyle name="Comma 2 2 2 2 3 4 3" xfId="7276" xr:uid="{00000000-0005-0000-0000-000007010000}"/>
    <cellStyle name="Comma 2 2 2 2 3 4 3 2" xfId="18822" xr:uid="{B17C4737-9EA3-44FC-B68A-A97461584682}"/>
    <cellStyle name="Comma 2 2 2 2 3 4 3 3" xfId="29238" xr:uid="{84EF7776-6DB7-490A-8602-F5998C3B6422}"/>
    <cellStyle name="Comma 2 2 2 2 3 4 4" xfId="4829" xr:uid="{00000000-0005-0000-0000-000008010000}"/>
    <cellStyle name="Comma 2 2 2 2 3 4 4 2" xfId="16415" xr:uid="{A4CA42F5-48C8-4D48-BF8F-2E4640EC17E5}"/>
    <cellStyle name="Comma 2 2 2 2 3 4 4 3" xfId="26831" xr:uid="{2E3E8959-C42F-4925-A4C4-AF180E49DD0E}"/>
    <cellStyle name="Comma 2 2 2 2 3 4 5" xfId="12464" xr:uid="{15C4B06A-CDC5-4B01-B020-246759A30E60}"/>
    <cellStyle name="Comma 2 2 2 2 3 4 6" xfId="22880" xr:uid="{CDCED4D7-FFB8-4551-A74A-2C4CB18B35FE}"/>
    <cellStyle name="Comma 2 2 2 2 3 5" xfId="131" xr:uid="{00000000-0005-0000-0000-000009010000}"/>
    <cellStyle name="Comma 2 2 2 2 3 5 2" xfId="7278" xr:uid="{00000000-0005-0000-0000-00000A010000}"/>
    <cellStyle name="Comma 2 2 2 2 3 5 2 2" xfId="18824" xr:uid="{A26135F2-11FC-4FBA-A68C-5EC663D43C1C}"/>
    <cellStyle name="Comma 2 2 2 2 3 5 2 3" xfId="29240" xr:uid="{D25EBD05-157B-4EDC-B3AE-8FE4852CE5D4}"/>
    <cellStyle name="Comma 2 2 2 2 3 5 3" xfId="12466" xr:uid="{F9B808B8-9FFA-4900-B726-0C57619AC87B}"/>
    <cellStyle name="Comma 2 2 2 2 3 5 4" xfId="22882" xr:uid="{5708D3AB-911B-4703-BB08-E69AEDB2AA88}"/>
    <cellStyle name="Comma 2 2 2 2 3 6" xfId="7269" xr:uid="{00000000-0005-0000-0000-00000B010000}"/>
    <cellStyle name="Comma 2 2 2 2 3 6 2" xfId="18815" xr:uid="{2466A3C1-E917-4890-93DA-368C01E8DC9A}"/>
    <cellStyle name="Comma 2 2 2 2 3 6 3" xfId="29231" xr:uid="{41779B7B-9E3B-4031-B04A-FDD2AA4B313A}"/>
    <cellStyle name="Comma 2 2 2 2 3 7" xfId="4825" xr:uid="{00000000-0005-0000-0000-00000C010000}"/>
    <cellStyle name="Comma 2 2 2 2 3 7 2" xfId="16411" xr:uid="{09100E2C-707F-492C-8845-13AE2B17CECE}"/>
    <cellStyle name="Comma 2 2 2 2 3 7 3" xfId="26827" xr:uid="{79EDC09A-56CB-4069-AC1A-8ABBC25F289A}"/>
    <cellStyle name="Comma 2 2 2 2 3 8" xfId="12457" xr:uid="{F6EDC87C-8D14-42BC-8596-AF2811B6D8D5}"/>
    <cellStyle name="Comma 2 2 2 2 3 9" xfId="22873" xr:uid="{04375D5D-3C8D-459C-8E5E-2E133C8940BF}"/>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2 2 2" xfId="18828" xr:uid="{17764082-C435-4931-9859-4288F252922E}"/>
    <cellStyle name="Comma 2 2 2 2 4 2 2 2 2 3" xfId="29244" xr:uid="{DB688834-FEFA-4706-BD00-EEEC6D030EAD}"/>
    <cellStyle name="Comma 2 2 2 2 4 2 2 2 3" xfId="12470" xr:uid="{74C4F572-7109-4979-8F6E-C7A532DA4D96}"/>
    <cellStyle name="Comma 2 2 2 2 4 2 2 2 4" xfId="22886" xr:uid="{18641E0E-347D-45C4-8FFE-D7CDC2F550D8}"/>
    <cellStyle name="Comma 2 2 2 2 4 2 2 3" xfId="7281" xr:uid="{00000000-0005-0000-0000-000012010000}"/>
    <cellStyle name="Comma 2 2 2 2 4 2 2 3 2" xfId="18827" xr:uid="{F772C9E6-D166-4BEA-9C7E-616D4C95B14D}"/>
    <cellStyle name="Comma 2 2 2 2 4 2 2 3 3" xfId="29243" xr:uid="{F121508C-F8F8-47EA-83BA-AAC125267C7C}"/>
    <cellStyle name="Comma 2 2 2 2 4 2 2 4" xfId="4832" xr:uid="{00000000-0005-0000-0000-000013010000}"/>
    <cellStyle name="Comma 2 2 2 2 4 2 2 4 2" xfId="16418" xr:uid="{03BE698D-E03F-470D-AC9F-0F51E3A00719}"/>
    <cellStyle name="Comma 2 2 2 2 4 2 2 4 3" xfId="26834" xr:uid="{A1825F0B-DA08-4C23-AC93-8C7E1E60AB70}"/>
    <cellStyle name="Comma 2 2 2 2 4 2 2 5" xfId="12469" xr:uid="{7A5CA25F-C589-4F6F-A808-80E60DBCF2EC}"/>
    <cellStyle name="Comma 2 2 2 2 4 2 2 6" xfId="22885" xr:uid="{5B4FBB14-8F68-45E2-85CC-C47BCA1F343B}"/>
    <cellStyle name="Comma 2 2 2 2 4 2 3" xfId="136" xr:uid="{00000000-0005-0000-0000-000014010000}"/>
    <cellStyle name="Comma 2 2 2 2 4 2 3 2" xfId="7283" xr:uid="{00000000-0005-0000-0000-000015010000}"/>
    <cellStyle name="Comma 2 2 2 2 4 2 3 2 2" xfId="18829" xr:uid="{8D041007-4B89-4367-91A7-5F460A2C2D70}"/>
    <cellStyle name="Comma 2 2 2 2 4 2 3 2 3" xfId="29245" xr:uid="{4AD7165C-143C-4760-B799-899C5EF8072F}"/>
    <cellStyle name="Comma 2 2 2 2 4 2 3 3" xfId="12471" xr:uid="{76D749B9-888E-4C7D-BE64-2EC642349BBD}"/>
    <cellStyle name="Comma 2 2 2 2 4 2 3 4" xfId="22887" xr:uid="{61F24484-A925-4CBC-8E57-3C602170896A}"/>
    <cellStyle name="Comma 2 2 2 2 4 2 4" xfId="7280" xr:uid="{00000000-0005-0000-0000-000016010000}"/>
    <cellStyle name="Comma 2 2 2 2 4 2 4 2" xfId="18826" xr:uid="{E8C236E1-51D1-48DB-B44A-DC675D0AC86D}"/>
    <cellStyle name="Comma 2 2 2 2 4 2 4 3" xfId="29242" xr:uid="{D65064B6-5E47-4C1F-9DCA-D8AB98EA10ED}"/>
    <cellStyle name="Comma 2 2 2 2 4 2 5" xfId="4831" xr:uid="{00000000-0005-0000-0000-000017010000}"/>
    <cellStyle name="Comma 2 2 2 2 4 2 5 2" xfId="16417" xr:uid="{30B16CCE-5012-41D1-BBED-74FBC18DC744}"/>
    <cellStyle name="Comma 2 2 2 2 4 2 5 3" xfId="26833" xr:uid="{459D48C6-48B7-4056-9EDA-A32AF263B8D1}"/>
    <cellStyle name="Comma 2 2 2 2 4 2 6" xfId="12468" xr:uid="{6BE24BC8-3C02-4AAA-8974-579B3BBBD381}"/>
    <cellStyle name="Comma 2 2 2 2 4 2 7" xfId="22884" xr:uid="{21692304-17E0-4D7F-B33D-7017CD164BEB}"/>
    <cellStyle name="Comma 2 2 2 2 4 3" xfId="137" xr:uid="{00000000-0005-0000-0000-000018010000}"/>
    <cellStyle name="Comma 2 2 2 2 4 3 2" xfId="138" xr:uid="{00000000-0005-0000-0000-000019010000}"/>
    <cellStyle name="Comma 2 2 2 2 4 3 2 2" xfId="7285" xr:uid="{00000000-0005-0000-0000-00001A010000}"/>
    <cellStyle name="Comma 2 2 2 2 4 3 2 2 2" xfId="18831" xr:uid="{C96D8601-80EA-460A-8978-7353B796685F}"/>
    <cellStyle name="Comma 2 2 2 2 4 3 2 2 3" xfId="29247" xr:uid="{B9A02D04-D31D-4B20-A7D4-F5122A90D4C3}"/>
    <cellStyle name="Comma 2 2 2 2 4 3 2 3" xfId="12473" xr:uid="{F3DFD6DC-FBB7-4D68-8F30-63C39AF6662D}"/>
    <cellStyle name="Comma 2 2 2 2 4 3 2 4" xfId="22889" xr:uid="{850358AF-DFD3-441B-AD95-1DEFDE686669}"/>
    <cellStyle name="Comma 2 2 2 2 4 3 3" xfId="7284" xr:uid="{00000000-0005-0000-0000-00001B010000}"/>
    <cellStyle name="Comma 2 2 2 2 4 3 3 2" xfId="18830" xr:uid="{082AF480-D3C1-46A8-90F9-59E60693491F}"/>
    <cellStyle name="Comma 2 2 2 2 4 3 3 3" xfId="29246" xr:uid="{A4DB2421-5574-4190-85C0-F9E13A723022}"/>
    <cellStyle name="Comma 2 2 2 2 4 3 4" xfId="4833" xr:uid="{00000000-0005-0000-0000-00001C010000}"/>
    <cellStyle name="Comma 2 2 2 2 4 3 4 2" xfId="16419" xr:uid="{4B2D4A0C-BC5D-4F70-BA09-2B63DABDAD06}"/>
    <cellStyle name="Comma 2 2 2 2 4 3 4 3" xfId="26835" xr:uid="{9AC9EEF0-CF7E-49AD-9878-E45D2AE3F4BD}"/>
    <cellStyle name="Comma 2 2 2 2 4 3 5" xfId="12472" xr:uid="{2874B901-F443-41BB-9BD0-8C12A3CCFD4A}"/>
    <cellStyle name="Comma 2 2 2 2 4 3 6" xfId="22888" xr:uid="{903AD877-DA38-4869-B244-A5ABD39A3D9F}"/>
    <cellStyle name="Comma 2 2 2 2 4 4" xfId="139" xr:uid="{00000000-0005-0000-0000-00001D010000}"/>
    <cellStyle name="Comma 2 2 2 2 4 4 2" xfId="140" xr:uid="{00000000-0005-0000-0000-00001E010000}"/>
    <cellStyle name="Comma 2 2 2 2 4 4 2 2" xfId="7287" xr:uid="{00000000-0005-0000-0000-00001F010000}"/>
    <cellStyle name="Comma 2 2 2 2 4 4 2 2 2" xfId="18833" xr:uid="{F99FD5C3-438D-4D01-9F20-0ECA09AAAFA6}"/>
    <cellStyle name="Comma 2 2 2 2 4 4 2 2 3" xfId="29249" xr:uid="{362DAED6-5C7A-40EE-916B-5A64534B8C77}"/>
    <cellStyle name="Comma 2 2 2 2 4 4 2 3" xfId="12475" xr:uid="{DDDB4F8D-11BD-4210-AA4F-AA3703D1AC9E}"/>
    <cellStyle name="Comma 2 2 2 2 4 4 2 4" xfId="22891" xr:uid="{A7223C14-C24B-45BF-BA97-EE8D9A823D94}"/>
    <cellStyle name="Comma 2 2 2 2 4 4 3" xfId="7286" xr:uid="{00000000-0005-0000-0000-000020010000}"/>
    <cellStyle name="Comma 2 2 2 2 4 4 3 2" xfId="18832" xr:uid="{053AB4CB-8389-48E6-910C-90B2BE31EC42}"/>
    <cellStyle name="Comma 2 2 2 2 4 4 3 3" xfId="29248" xr:uid="{D3D1CFD2-3A8F-49C0-818D-CB99EBAEF74C}"/>
    <cellStyle name="Comma 2 2 2 2 4 4 4" xfId="4834" xr:uid="{00000000-0005-0000-0000-000021010000}"/>
    <cellStyle name="Comma 2 2 2 2 4 4 4 2" xfId="16420" xr:uid="{7565D6AC-BF42-477E-9B83-53ABE57FA384}"/>
    <cellStyle name="Comma 2 2 2 2 4 4 4 3" xfId="26836" xr:uid="{FCA70F4A-5879-4317-900D-3C949F27FF2D}"/>
    <cellStyle name="Comma 2 2 2 2 4 4 5" xfId="12474" xr:uid="{BF452833-05AC-47BE-B949-576652336BCB}"/>
    <cellStyle name="Comma 2 2 2 2 4 4 6" xfId="22890" xr:uid="{AD51A5F8-3BC5-4214-A0E9-D8508AD07820}"/>
    <cellStyle name="Comma 2 2 2 2 4 5" xfId="141" xr:uid="{00000000-0005-0000-0000-000022010000}"/>
    <cellStyle name="Comma 2 2 2 2 4 5 2" xfId="7288" xr:uid="{00000000-0005-0000-0000-000023010000}"/>
    <cellStyle name="Comma 2 2 2 2 4 5 2 2" xfId="18834" xr:uid="{551BC316-2732-46EE-B50A-600C0258F730}"/>
    <cellStyle name="Comma 2 2 2 2 4 5 2 3" xfId="29250" xr:uid="{9C50E0C0-3FB0-422A-8215-9CA56B6B3C3F}"/>
    <cellStyle name="Comma 2 2 2 2 4 5 3" xfId="12476" xr:uid="{4D107058-F178-46D0-9FAD-1B13CAC2481A}"/>
    <cellStyle name="Comma 2 2 2 2 4 5 4" xfId="22892" xr:uid="{ECE7CC2E-A32A-4E44-B38D-DDBE057074A1}"/>
    <cellStyle name="Comma 2 2 2 2 4 6" xfId="7279" xr:uid="{00000000-0005-0000-0000-000024010000}"/>
    <cellStyle name="Comma 2 2 2 2 4 6 2" xfId="18825" xr:uid="{52011638-ABBF-4F5D-B4DC-CB5DA7F20376}"/>
    <cellStyle name="Comma 2 2 2 2 4 6 3" xfId="29241" xr:uid="{12A7A287-0122-4667-8AFA-D7588A22AC38}"/>
    <cellStyle name="Comma 2 2 2 2 4 7" xfId="4830" xr:uid="{00000000-0005-0000-0000-000025010000}"/>
    <cellStyle name="Comma 2 2 2 2 4 7 2" xfId="16416" xr:uid="{9A86B274-F236-4518-AC93-886D9C7D4CD9}"/>
    <cellStyle name="Comma 2 2 2 2 4 7 3" xfId="26832" xr:uid="{C6C17447-5DD3-4E54-AEC2-1C413F459940}"/>
    <cellStyle name="Comma 2 2 2 2 4 8" xfId="12467" xr:uid="{107EEF77-91AA-46D1-8906-6991D805CA0A}"/>
    <cellStyle name="Comma 2 2 2 2 4 9" xfId="22883" xr:uid="{2674BB63-2BA2-4B0F-A3D2-247535B0076E}"/>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2 2 2" xfId="18838" xr:uid="{77A737CF-618B-47AE-8FFC-050E77FB344D}"/>
    <cellStyle name="Comma 2 2 2 2 5 2 2 2 2 3" xfId="29254" xr:uid="{5A7B50AA-B01C-4145-B661-C167CDA22883}"/>
    <cellStyle name="Comma 2 2 2 2 5 2 2 2 3" xfId="12480" xr:uid="{401E8606-0261-4B43-B9C0-B6002F55D0AE}"/>
    <cellStyle name="Comma 2 2 2 2 5 2 2 2 4" xfId="22896" xr:uid="{B66816F7-8BCD-4ABB-897D-292B16B43515}"/>
    <cellStyle name="Comma 2 2 2 2 5 2 2 3" xfId="7291" xr:uid="{00000000-0005-0000-0000-00002B010000}"/>
    <cellStyle name="Comma 2 2 2 2 5 2 2 3 2" xfId="18837" xr:uid="{1BF96935-73FF-4AAA-B9C5-4AF8FBBB063C}"/>
    <cellStyle name="Comma 2 2 2 2 5 2 2 3 3" xfId="29253" xr:uid="{A1B07ECE-E230-4754-AFC3-69C01FB076DF}"/>
    <cellStyle name="Comma 2 2 2 2 5 2 2 4" xfId="4837" xr:uid="{00000000-0005-0000-0000-00002C010000}"/>
    <cellStyle name="Comma 2 2 2 2 5 2 2 4 2" xfId="16423" xr:uid="{1266CC93-128B-4088-B14F-BBC6FD3B023A}"/>
    <cellStyle name="Comma 2 2 2 2 5 2 2 4 3" xfId="26839" xr:uid="{D3345BB1-D807-4DFC-AE3B-ECEFE4FBD45C}"/>
    <cellStyle name="Comma 2 2 2 2 5 2 2 5" xfId="12479" xr:uid="{71A011EF-4857-4CB5-BD22-6A168FC0E5C2}"/>
    <cellStyle name="Comma 2 2 2 2 5 2 2 6" xfId="22895" xr:uid="{070B4D94-1A5A-4C14-83F9-9B466552E372}"/>
    <cellStyle name="Comma 2 2 2 2 5 2 3" xfId="146" xr:uid="{00000000-0005-0000-0000-00002D010000}"/>
    <cellStyle name="Comma 2 2 2 2 5 2 3 2" xfId="7293" xr:uid="{00000000-0005-0000-0000-00002E010000}"/>
    <cellStyle name="Comma 2 2 2 2 5 2 3 2 2" xfId="18839" xr:uid="{9B324298-749B-40F6-A834-E81E1161D29E}"/>
    <cellStyle name="Comma 2 2 2 2 5 2 3 2 3" xfId="29255" xr:uid="{BB14CA99-2F94-4B7C-B7BD-DA0E79A35594}"/>
    <cellStyle name="Comma 2 2 2 2 5 2 3 3" xfId="12481" xr:uid="{66C89F87-253C-499F-BDBF-427A01564AF9}"/>
    <cellStyle name="Comma 2 2 2 2 5 2 3 4" xfId="22897" xr:uid="{581CA0A0-B4B6-49E3-80C5-75D326D89CE0}"/>
    <cellStyle name="Comma 2 2 2 2 5 2 4" xfId="7290" xr:uid="{00000000-0005-0000-0000-00002F010000}"/>
    <cellStyle name="Comma 2 2 2 2 5 2 4 2" xfId="18836" xr:uid="{EC5864D7-3291-4D4A-8944-C50D3B8EA5AD}"/>
    <cellStyle name="Comma 2 2 2 2 5 2 4 3" xfId="29252" xr:uid="{169EA59D-3088-4E9C-B059-14214A2D0A37}"/>
    <cellStyle name="Comma 2 2 2 2 5 2 5" xfId="4836" xr:uid="{00000000-0005-0000-0000-000030010000}"/>
    <cellStyle name="Comma 2 2 2 2 5 2 5 2" xfId="16422" xr:uid="{38A3A1E7-38BB-486F-9996-2A0215C1E2F4}"/>
    <cellStyle name="Comma 2 2 2 2 5 2 5 3" xfId="26838" xr:uid="{E488E89A-438B-4B6A-8E85-1A4C8780F3AC}"/>
    <cellStyle name="Comma 2 2 2 2 5 2 6" xfId="12478" xr:uid="{456498CA-4008-4370-91F8-313E4589176B}"/>
    <cellStyle name="Comma 2 2 2 2 5 2 7" xfId="22894" xr:uid="{E863F756-0536-42E2-900E-155D3B0B8925}"/>
    <cellStyle name="Comma 2 2 2 2 5 3" xfId="147" xr:uid="{00000000-0005-0000-0000-000031010000}"/>
    <cellStyle name="Comma 2 2 2 2 5 3 2" xfId="148" xr:uid="{00000000-0005-0000-0000-000032010000}"/>
    <cellStyle name="Comma 2 2 2 2 5 3 2 2" xfId="7295" xr:uid="{00000000-0005-0000-0000-000033010000}"/>
    <cellStyle name="Comma 2 2 2 2 5 3 2 2 2" xfId="18841" xr:uid="{BF387D3C-2137-451E-8E53-1955F2065B22}"/>
    <cellStyle name="Comma 2 2 2 2 5 3 2 2 3" xfId="29257" xr:uid="{FE325944-490F-4225-B810-93D5EF941AB1}"/>
    <cellStyle name="Comma 2 2 2 2 5 3 2 3" xfId="12483" xr:uid="{07CB6914-DB4C-4FB7-ADD6-F38A9E23C351}"/>
    <cellStyle name="Comma 2 2 2 2 5 3 2 4" xfId="22899" xr:uid="{D9391AAA-8235-4FCC-AC56-93F228B9BFE9}"/>
    <cellStyle name="Comma 2 2 2 2 5 3 3" xfId="7294" xr:uid="{00000000-0005-0000-0000-000034010000}"/>
    <cellStyle name="Comma 2 2 2 2 5 3 3 2" xfId="18840" xr:uid="{065D5104-DC31-4B39-BCC2-5C6125C55F9B}"/>
    <cellStyle name="Comma 2 2 2 2 5 3 3 3" xfId="29256" xr:uid="{555A8BC5-0BB7-426B-AE6D-D781636AB2F0}"/>
    <cellStyle name="Comma 2 2 2 2 5 3 4" xfId="4838" xr:uid="{00000000-0005-0000-0000-000035010000}"/>
    <cellStyle name="Comma 2 2 2 2 5 3 4 2" xfId="16424" xr:uid="{2C49B06F-ACB3-46DD-9EF3-59B10B0DFBD3}"/>
    <cellStyle name="Comma 2 2 2 2 5 3 4 3" xfId="26840" xr:uid="{2530ADBF-456F-4370-A5D2-7F98550FF981}"/>
    <cellStyle name="Comma 2 2 2 2 5 3 5" xfId="12482" xr:uid="{FEFD29C8-755E-4120-8647-46A2E76334C6}"/>
    <cellStyle name="Comma 2 2 2 2 5 3 6" xfId="22898" xr:uid="{59B5A143-7013-4AED-A647-4215F97146D2}"/>
    <cellStyle name="Comma 2 2 2 2 5 4" xfId="149" xr:uid="{00000000-0005-0000-0000-000036010000}"/>
    <cellStyle name="Comma 2 2 2 2 5 4 2" xfId="150" xr:uid="{00000000-0005-0000-0000-000037010000}"/>
    <cellStyle name="Comma 2 2 2 2 5 4 2 2" xfId="7297" xr:uid="{00000000-0005-0000-0000-000038010000}"/>
    <cellStyle name="Comma 2 2 2 2 5 4 2 2 2" xfId="18843" xr:uid="{F3E23535-62F7-43E7-8F05-4A9148AA8514}"/>
    <cellStyle name="Comma 2 2 2 2 5 4 2 2 3" xfId="29259" xr:uid="{AEA94ABA-9477-452F-B5F2-1D7BAFCC9DC8}"/>
    <cellStyle name="Comma 2 2 2 2 5 4 2 3" xfId="12485" xr:uid="{7095F721-C76F-4BB9-BF9F-4B8340B87A91}"/>
    <cellStyle name="Comma 2 2 2 2 5 4 2 4" xfId="22901" xr:uid="{C91ABDE9-021E-427A-B2DC-C3144C39AE33}"/>
    <cellStyle name="Comma 2 2 2 2 5 4 3" xfId="7296" xr:uid="{00000000-0005-0000-0000-000039010000}"/>
    <cellStyle name="Comma 2 2 2 2 5 4 3 2" xfId="18842" xr:uid="{41211FA8-FCF1-43AC-9C70-D4A69C92318E}"/>
    <cellStyle name="Comma 2 2 2 2 5 4 3 3" xfId="29258" xr:uid="{734EC148-5EF5-4957-8DAF-B8B90E3F7AC2}"/>
    <cellStyle name="Comma 2 2 2 2 5 4 4" xfId="4839" xr:uid="{00000000-0005-0000-0000-00003A010000}"/>
    <cellStyle name="Comma 2 2 2 2 5 4 4 2" xfId="16425" xr:uid="{4C190D98-4ED0-4ED3-ABF9-8E4568618571}"/>
    <cellStyle name="Comma 2 2 2 2 5 4 4 3" xfId="26841" xr:uid="{F6677A04-D2BE-4E70-AC2D-40EDDD12253D}"/>
    <cellStyle name="Comma 2 2 2 2 5 4 5" xfId="12484" xr:uid="{FA697F72-EA8B-49D0-AACE-DFD591260B51}"/>
    <cellStyle name="Comma 2 2 2 2 5 4 6" xfId="22900" xr:uid="{F8D984B4-6E36-4AFE-B809-115CDB87E7C3}"/>
    <cellStyle name="Comma 2 2 2 2 5 5" xfId="151" xr:uid="{00000000-0005-0000-0000-00003B010000}"/>
    <cellStyle name="Comma 2 2 2 2 5 5 2" xfId="7298" xr:uid="{00000000-0005-0000-0000-00003C010000}"/>
    <cellStyle name="Comma 2 2 2 2 5 5 2 2" xfId="18844" xr:uid="{8FCA2475-9416-484E-985C-DA01745374DC}"/>
    <cellStyle name="Comma 2 2 2 2 5 5 2 3" xfId="29260" xr:uid="{6D34CFCE-C73C-4122-9177-7FA999D51F95}"/>
    <cellStyle name="Comma 2 2 2 2 5 5 3" xfId="12486" xr:uid="{EA85A55F-D0DF-4DF8-B714-6ACAA06B782B}"/>
    <cellStyle name="Comma 2 2 2 2 5 5 4" xfId="22902" xr:uid="{77E7635F-1F33-44BE-A429-95FC16277252}"/>
    <cellStyle name="Comma 2 2 2 2 5 6" xfId="7289" xr:uid="{00000000-0005-0000-0000-00003D010000}"/>
    <cellStyle name="Comma 2 2 2 2 5 6 2" xfId="18835" xr:uid="{9B72AA0F-305F-46FF-B033-538950B97E5F}"/>
    <cellStyle name="Comma 2 2 2 2 5 6 3" xfId="29251" xr:uid="{360A9E1C-0893-4340-904A-A92D01F84E42}"/>
    <cellStyle name="Comma 2 2 2 2 5 7" xfId="4835" xr:uid="{00000000-0005-0000-0000-00003E010000}"/>
    <cellStyle name="Comma 2 2 2 2 5 7 2" xfId="16421" xr:uid="{078FBA5B-841C-44F9-9BA4-B2589C1F84ED}"/>
    <cellStyle name="Comma 2 2 2 2 5 7 3" xfId="26837" xr:uid="{7EBCAF2F-86C0-4339-81A5-ADF04CBA1D11}"/>
    <cellStyle name="Comma 2 2 2 2 5 8" xfId="12477" xr:uid="{5AA7FF67-BE17-4402-9C78-B5BDAC804369}"/>
    <cellStyle name="Comma 2 2 2 2 5 9" xfId="22893" xr:uid="{821D0C08-22CD-4296-97E5-CC48598E9D4D}"/>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2 2 2" xfId="18847" xr:uid="{1EE9059D-A827-4CF8-937B-8D6B414A8C05}"/>
    <cellStyle name="Comma 2 2 2 2 6 2 2 2 3" xfId="29263" xr:uid="{49AE716E-37C1-4E20-BA85-EAC9C7BF0DED}"/>
    <cellStyle name="Comma 2 2 2 2 6 2 2 3" xfId="12489" xr:uid="{A35B7189-8B45-417E-9AAC-A1E279027ECB}"/>
    <cellStyle name="Comma 2 2 2 2 6 2 2 4" xfId="22905" xr:uid="{8DD5FECB-0625-47DD-A8C0-DF2E2DF0AA10}"/>
    <cellStyle name="Comma 2 2 2 2 6 2 3" xfId="7300" xr:uid="{00000000-0005-0000-0000-000043010000}"/>
    <cellStyle name="Comma 2 2 2 2 6 2 3 2" xfId="18846" xr:uid="{093E09E8-E615-4401-BCE8-D5FED3294788}"/>
    <cellStyle name="Comma 2 2 2 2 6 2 3 3" xfId="29262" xr:uid="{88C082DB-2950-44C5-8730-95AAAB300EC8}"/>
    <cellStyle name="Comma 2 2 2 2 6 2 4" xfId="4841" xr:uid="{00000000-0005-0000-0000-000044010000}"/>
    <cellStyle name="Comma 2 2 2 2 6 2 4 2" xfId="16427" xr:uid="{05E84D3C-F72D-418E-9732-21EB45DA30A5}"/>
    <cellStyle name="Comma 2 2 2 2 6 2 4 3" xfId="26843" xr:uid="{6B741A10-A446-4D2F-8D27-96CB8DBB6B8F}"/>
    <cellStyle name="Comma 2 2 2 2 6 2 5" xfId="12488" xr:uid="{6579BCB4-A8FB-4DD3-9487-4B2D9EC1FD64}"/>
    <cellStyle name="Comma 2 2 2 2 6 2 6" xfId="22904" xr:uid="{B6E90C42-96BC-45EA-B642-2DA69DD1F79E}"/>
    <cellStyle name="Comma 2 2 2 2 6 3" xfId="155" xr:uid="{00000000-0005-0000-0000-000045010000}"/>
    <cellStyle name="Comma 2 2 2 2 6 3 2" xfId="156" xr:uid="{00000000-0005-0000-0000-000046010000}"/>
    <cellStyle name="Comma 2 2 2 2 6 3 2 2" xfId="7303" xr:uid="{00000000-0005-0000-0000-000047010000}"/>
    <cellStyle name="Comma 2 2 2 2 6 3 2 2 2" xfId="18849" xr:uid="{513D8987-E166-4327-8E1A-EAEFBC0138DF}"/>
    <cellStyle name="Comma 2 2 2 2 6 3 2 2 3" xfId="29265" xr:uid="{211936F0-59BB-4AA2-AA9B-D48F739AAEFF}"/>
    <cellStyle name="Comma 2 2 2 2 6 3 2 3" xfId="12491" xr:uid="{E2327CD2-37DD-441F-BA2C-A5FFAA6B6C22}"/>
    <cellStyle name="Comma 2 2 2 2 6 3 2 4" xfId="22907" xr:uid="{199652CC-D14A-40F1-94FB-83710B149494}"/>
    <cellStyle name="Comma 2 2 2 2 6 3 3" xfId="7302" xr:uid="{00000000-0005-0000-0000-000048010000}"/>
    <cellStyle name="Comma 2 2 2 2 6 3 3 2" xfId="18848" xr:uid="{B59D9DFD-01BC-4119-882C-11EB55C27EDF}"/>
    <cellStyle name="Comma 2 2 2 2 6 3 3 3" xfId="29264" xr:uid="{8B8FDB1F-145E-41E3-BF0F-3EBD59735583}"/>
    <cellStyle name="Comma 2 2 2 2 6 3 4" xfId="4842" xr:uid="{00000000-0005-0000-0000-000049010000}"/>
    <cellStyle name="Comma 2 2 2 2 6 3 4 2" xfId="16428" xr:uid="{486CF906-1FB8-4960-9B38-C4688130B92F}"/>
    <cellStyle name="Comma 2 2 2 2 6 3 4 3" xfId="26844" xr:uid="{C2D6B5DB-BA25-4AB1-A4ED-640F58349866}"/>
    <cellStyle name="Comma 2 2 2 2 6 3 5" xfId="12490" xr:uid="{170E64BA-3C0E-4D73-8122-9F22E06B364C}"/>
    <cellStyle name="Comma 2 2 2 2 6 3 6" xfId="22906" xr:uid="{068DC31B-7DD9-4515-9A21-3EB76E531996}"/>
    <cellStyle name="Comma 2 2 2 2 6 4" xfId="157" xr:uid="{00000000-0005-0000-0000-00004A010000}"/>
    <cellStyle name="Comma 2 2 2 2 6 4 2" xfId="7304" xr:uid="{00000000-0005-0000-0000-00004B010000}"/>
    <cellStyle name="Comma 2 2 2 2 6 4 2 2" xfId="18850" xr:uid="{65400917-0429-4C69-A3A7-1632C55CC119}"/>
    <cellStyle name="Comma 2 2 2 2 6 4 2 3" xfId="29266" xr:uid="{900A1144-4B7F-40F5-A719-DC57EA44B89B}"/>
    <cellStyle name="Comma 2 2 2 2 6 4 3" xfId="12492" xr:uid="{E128DDEA-FFB1-41F7-9948-371B82C1FD18}"/>
    <cellStyle name="Comma 2 2 2 2 6 4 4" xfId="22908" xr:uid="{D5C06135-4317-4A1D-82DD-4781CC2B36BC}"/>
    <cellStyle name="Comma 2 2 2 2 6 5" xfId="7299" xr:uid="{00000000-0005-0000-0000-00004C010000}"/>
    <cellStyle name="Comma 2 2 2 2 6 5 2" xfId="18845" xr:uid="{E5796D01-7D57-439A-AA49-26599D89F14B}"/>
    <cellStyle name="Comma 2 2 2 2 6 5 3" xfId="29261" xr:uid="{7527BE77-A275-4E67-95CC-8EB84E71A5CF}"/>
    <cellStyle name="Comma 2 2 2 2 6 6" xfId="4840" xr:uid="{00000000-0005-0000-0000-00004D010000}"/>
    <cellStyle name="Comma 2 2 2 2 6 6 2" xfId="16426" xr:uid="{4451D0C4-F4D4-48E7-9F6A-8E07C4D8B8FA}"/>
    <cellStyle name="Comma 2 2 2 2 6 6 3" xfId="26842" xr:uid="{DB12CFA0-37F3-4655-BF1A-4F43707F9E60}"/>
    <cellStyle name="Comma 2 2 2 2 6 7" xfId="12487" xr:uid="{48C0F851-C1FA-426C-934C-14DCBA69F9C9}"/>
    <cellStyle name="Comma 2 2 2 2 6 8" xfId="22903" xr:uid="{9FAC51F1-A0FD-4B28-98A3-55149D7B03EF}"/>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2 2 2" xfId="18853" xr:uid="{CB5BBAC1-8C0B-4FB8-822A-8F9882D613EC}"/>
    <cellStyle name="Comma 2 2 2 2 7 2 2 2 3" xfId="29269" xr:uid="{57E147F1-E679-4F88-BD2D-C810232F33F2}"/>
    <cellStyle name="Comma 2 2 2 2 7 2 2 3" xfId="12495" xr:uid="{9E87B89B-CE38-436D-A5FD-B86526A20775}"/>
    <cellStyle name="Comma 2 2 2 2 7 2 2 4" xfId="22911" xr:uid="{0F25112D-4E04-4050-A500-4776F426CD85}"/>
    <cellStyle name="Comma 2 2 2 2 7 2 3" xfId="7306" xr:uid="{00000000-0005-0000-0000-000052010000}"/>
    <cellStyle name="Comma 2 2 2 2 7 2 3 2" xfId="18852" xr:uid="{A379AABE-8975-4ACF-A437-BE4617E28B85}"/>
    <cellStyle name="Comma 2 2 2 2 7 2 3 3" xfId="29268" xr:uid="{966A1365-0F8B-4D21-97D4-D9B1D88085FD}"/>
    <cellStyle name="Comma 2 2 2 2 7 2 4" xfId="4844" xr:uid="{00000000-0005-0000-0000-000053010000}"/>
    <cellStyle name="Comma 2 2 2 2 7 2 4 2" xfId="16430" xr:uid="{3B061E3D-EF2A-4089-B3DC-4423F5420AC2}"/>
    <cellStyle name="Comma 2 2 2 2 7 2 4 3" xfId="26846" xr:uid="{7059B051-9FF1-40E6-A4BC-CC6D8BB2F0B6}"/>
    <cellStyle name="Comma 2 2 2 2 7 2 5" xfId="12494" xr:uid="{42AAA410-16EF-43C0-9ED4-63CA05A28320}"/>
    <cellStyle name="Comma 2 2 2 2 7 2 6" xfId="22910" xr:uid="{C12B063C-CCD5-48A4-BDCD-4C8B83DA8206}"/>
    <cellStyle name="Comma 2 2 2 2 7 3" xfId="161" xr:uid="{00000000-0005-0000-0000-000054010000}"/>
    <cellStyle name="Comma 2 2 2 2 7 3 2" xfId="7308" xr:uid="{00000000-0005-0000-0000-000055010000}"/>
    <cellStyle name="Comma 2 2 2 2 7 3 2 2" xfId="18854" xr:uid="{D9BB950E-CC54-4B09-9AB6-E3A18D274C18}"/>
    <cellStyle name="Comma 2 2 2 2 7 3 2 3" xfId="29270" xr:uid="{2E4C0541-3790-41C0-A4EA-8F0CCDE3F7A5}"/>
    <cellStyle name="Comma 2 2 2 2 7 3 3" xfId="12496" xr:uid="{AAB4E1CF-638E-480B-B3FA-72359A06A7CF}"/>
    <cellStyle name="Comma 2 2 2 2 7 3 4" xfId="22912" xr:uid="{6F90E72C-AC5D-4781-8FCF-C7D4067127EC}"/>
    <cellStyle name="Comma 2 2 2 2 7 4" xfId="7305" xr:uid="{00000000-0005-0000-0000-000056010000}"/>
    <cellStyle name="Comma 2 2 2 2 7 4 2" xfId="18851" xr:uid="{AE8B4CFD-4581-4ACD-8059-6EF02C90569C}"/>
    <cellStyle name="Comma 2 2 2 2 7 4 3" xfId="29267" xr:uid="{E342B997-91B4-4A79-BBD2-D6F8258255FD}"/>
    <cellStyle name="Comma 2 2 2 2 7 5" xfId="4843" xr:uid="{00000000-0005-0000-0000-000057010000}"/>
    <cellStyle name="Comma 2 2 2 2 7 5 2" xfId="16429" xr:uid="{E5EE138C-8140-4574-AD7F-B46665323BE0}"/>
    <cellStyle name="Comma 2 2 2 2 7 5 3" xfId="26845" xr:uid="{1B1CD072-756D-4875-9A2B-7DAC52300DCD}"/>
    <cellStyle name="Comma 2 2 2 2 7 6" xfId="12493" xr:uid="{BFEA9D44-5504-4BD7-806C-367C80B8F79E}"/>
    <cellStyle name="Comma 2 2 2 2 7 7" xfId="22909" xr:uid="{3083A941-D1A8-4A38-99AE-A20C34C52BA3}"/>
    <cellStyle name="Comma 2 2 2 2 8" xfId="162" xr:uid="{00000000-0005-0000-0000-000058010000}"/>
    <cellStyle name="Comma 2 2 2 2 8 2" xfId="163" xr:uid="{00000000-0005-0000-0000-000059010000}"/>
    <cellStyle name="Comma 2 2 2 2 8 2 2" xfId="7310" xr:uid="{00000000-0005-0000-0000-00005A010000}"/>
    <cellStyle name="Comma 2 2 2 2 8 2 2 2" xfId="18856" xr:uid="{721C7745-5A0C-4CC6-A961-456F1FEC680D}"/>
    <cellStyle name="Comma 2 2 2 2 8 2 2 3" xfId="29272" xr:uid="{FA0B79CE-AEAC-4D73-A565-3449EF886868}"/>
    <cellStyle name="Comma 2 2 2 2 8 2 3" xfId="12498" xr:uid="{D9EDE9F5-94B6-4D85-9FE4-BE66E0D61276}"/>
    <cellStyle name="Comma 2 2 2 2 8 2 4" xfId="22914" xr:uid="{A90F03B7-1A7A-4ABF-B856-2F8144F87152}"/>
    <cellStyle name="Comma 2 2 2 2 8 3" xfId="7309" xr:uid="{00000000-0005-0000-0000-00005B010000}"/>
    <cellStyle name="Comma 2 2 2 2 8 3 2" xfId="18855" xr:uid="{411DA325-081B-433C-9700-73C4F33A599F}"/>
    <cellStyle name="Comma 2 2 2 2 8 3 3" xfId="29271" xr:uid="{0BDED8A3-C7EA-4BBB-B273-63990178EB5C}"/>
    <cellStyle name="Comma 2 2 2 2 8 4" xfId="4845" xr:uid="{00000000-0005-0000-0000-00005C010000}"/>
    <cellStyle name="Comma 2 2 2 2 8 4 2" xfId="16431" xr:uid="{ACA8C2A4-3B7A-4CBD-ABE2-5FE42E9AFB81}"/>
    <cellStyle name="Comma 2 2 2 2 8 4 3" xfId="26847" xr:uid="{B446EBE8-A0A0-45C2-8E5D-F192652461E8}"/>
    <cellStyle name="Comma 2 2 2 2 8 5" xfId="12497" xr:uid="{D1FB8474-B977-4886-B75B-540AD025FF0D}"/>
    <cellStyle name="Comma 2 2 2 2 8 6" xfId="22913" xr:uid="{8DB9E412-AD3C-4CEA-A985-8A886553B511}"/>
    <cellStyle name="Comma 2 2 2 2 9" xfId="164" xr:uid="{00000000-0005-0000-0000-00005D010000}"/>
    <cellStyle name="Comma 2 2 2 2 9 2" xfId="165" xr:uid="{00000000-0005-0000-0000-00005E010000}"/>
    <cellStyle name="Comma 2 2 2 2 9 2 2" xfId="7312" xr:uid="{00000000-0005-0000-0000-00005F010000}"/>
    <cellStyle name="Comma 2 2 2 2 9 2 2 2" xfId="18858" xr:uid="{D3A0FAF8-F8F3-4390-9F3D-77EE7772E12E}"/>
    <cellStyle name="Comma 2 2 2 2 9 2 2 3" xfId="29274" xr:uid="{6542F2A8-8A59-4049-A88E-743170C4F00C}"/>
    <cellStyle name="Comma 2 2 2 2 9 2 3" xfId="12500" xr:uid="{EE5113CB-6F87-45E7-88A2-DDBF86E797CD}"/>
    <cellStyle name="Comma 2 2 2 2 9 2 4" xfId="22916" xr:uid="{59304828-DCAA-4D05-A290-13E17D21C61A}"/>
    <cellStyle name="Comma 2 2 2 2 9 3" xfId="7311" xr:uid="{00000000-0005-0000-0000-000060010000}"/>
    <cellStyle name="Comma 2 2 2 2 9 3 2" xfId="18857" xr:uid="{AF91DF1B-6967-4028-9BCC-17257C6D5359}"/>
    <cellStyle name="Comma 2 2 2 2 9 3 3" xfId="29273" xr:uid="{2BFA5FC0-79C4-427C-809F-F5E80FBDC807}"/>
    <cellStyle name="Comma 2 2 2 2 9 4" xfId="4846" xr:uid="{00000000-0005-0000-0000-000061010000}"/>
    <cellStyle name="Comma 2 2 2 2 9 4 2" xfId="16432" xr:uid="{FB764B71-9DBE-48C0-802C-07791F91D990}"/>
    <cellStyle name="Comma 2 2 2 2 9 4 3" xfId="26848" xr:uid="{1AF5EC6F-E2B9-49CE-91BC-6351CF1129B7}"/>
    <cellStyle name="Comma 2 2 2 2 9 5" xfId="12499" xr:uid="{879F3EAC-555F-4761-AB6A-77C7891BC3F6}"/>
    <cellStyle name="Comma 2 2 2 2 9 6" xfId="22915" xr:uid="{849F7580-2213-4E5E-B49E-E66AEC906ABD}"/>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2 2 2" xfId="18862" xr:uid="{5C2F256C-2EC1-4BF7-9DA2-8A2F8660A99A}"/>
    <cellStyle name="Comma 2 2 2 3 2 2 2 2 3" xfId="29278" xr:uid="{60F32450-8AFC-44AF-89BF-5F42FF8014DB}"/>
    <cellStyle name="Comma 2 2 2 3 2 2 2 3" xfId="12504" xr:uid="{C9E39FD4-219C-4C49-892E-415897517335}"/>
    <cellStyle name="Comma 2 2 2 3 2 2 2 4" xfId="22920" xr:uid="{C66F597E-A2D5-49B9-830E-A9EA7D5CB4B2}"/>
    <cellStyle name="Comma 2 2 2 3 2 2 3" xfId="7315" xr:uid="{00000000-0005-0000-0000-000067010000}"/>
    <cellStyle name="Comma 2 2 2 3 2 2 3 2" xfId="18861" xr:uid="{145C6AAE-99CB-41E6-BA26-9212A9FC0B5E}"/>
    <cellStyle name="Comma 2 2 2 3 2 2 3 3" xfId="29277" xr:uid="{60C45EB5-817D-4DF3-A024-2899B1C78B1B}"/>
    <cellStyle name="Comma 2 2 2 3 2 2 4" xfId="4849" xr:uid="{00000000-0005-0000-0000-000068010000}"/>
    <cellStyle name="Comma 2 2 2 3 2 2 4 2" xfId="16435" xr:uid="{2B40C465-8E1E-4FC5-A334-D2655EF6847B}"/>
    <cellStyle name="Comma 2 2 2 3 2 2 4 3" xfId="26851" xr:uid="{957214AA-24FE-4670-80A2-AE364144147F}"/>
    <cellStyle name="Comma 2 2 2 3 2 2 5" xfId="12503" xr:uid="{E308AF60-697D-4404-ABA7-A490D261BE85}"/>
    <cellStyle name="Comma 2 2 2 3 2 2 6" xfId="22919" xr:uid="{034A08CC-A097-4C2E-8474-E1FF824E55F7}"/>
    <cellStyle name="Comma 2 2 2 3 2 3" xfId="170" xr:uid="{00000000-0005-0000-0000-000069010000}"/>
    <cellStyle name="Comma 2 2 2 3 2 3 2" xfId="7317" xr:uid="{00000000-0005-0000-0000-00006A010000}"/>
    <cellStyle name="Comma 2 2 2 3 2 3 2 2" xfId="18863" xr:uid="{8B25DFEA-E4C3-4E0D-B5A1-D44221753DAA}"/>
    <cellStyle name="Comma 2 2 2 3 2 3 2 3" xfId="29279" xr:uid="{E730CC3E-E2B3-4C52-812B-6B5EEB7E1FBC}"/>
    <cellStyle name="Comma 2 2 2 3 2 3 3" xfId="12505" xr:uid="{4F6541C5-BE65-4F99-B4FA-9F933C304841}"/>
    <cellStyle name="Comma 2 2 2 3 2 3 4" xfId="22921" xr:uid="{30A67822-E702-4184-BB69-CE9E1D0AFDDC}"/>
    <cellStyle name="Comma 2 2 2 3 2 4" xfId="7314" xr:uid="{00000000-0005-0000-0000-00006B010000}"/>
    <cellStyle name="Comma 2 2 2 3 2 4 2" xfId="18860" xr:uid="{CD5411BD-1E02-4B0C-84BE-3E49DDB45C25}"/>
    <cellStyle name="Comma 2 2 2 3 2 4 3" xfId="29276" xr:uid="{3F2862D3-C43E-4F4A-BB6F-2F9D68347A85}"/>
    <cellStyle name="Comma 2 2 2 3 2 5" xfId="4848" xr:uid="{00000000-0005-0000-0000-00006C010000}"/>
    <cellStyle name="Comma 2 2 2 3 2 5 2" xfId="16434" xr:uid="{A24B8016-9E07-41E1-A7BD-567FD512B4C2}"/>
    <cellStyle name="Comma 2 2 2 3 2 5 3" xfId="26850" xr:uid="{E90575C1-7DE8-4554-ABC9-9D06CEAFF260}"/>
    <cellStyle name="Comma 2 2 2 3 2 6" xfId="12502" xr:uid="{36E25F90-48DA-4454-B67B-FB7CEE2350B0}"/>
    <cellStyle name="Comma 2 2 2 3 2 7" xfId="22918" xr:uid="{219748BE-C809-4F15-8E31-B136D4C01BCE}"/>
    <cellStyle name="Comma 2 2 2 3 3" xfId="171" xr:uid="{00000000-0005-0000-0000-00006D010000}"/>
    <cellStyle name="Comma 2 2 2 3 3 2" xfId="172" xr:uid="{00000000-0005-0000-0000-00006E010000}"/>
    <cellStyle name="Comma 2 2 2 3 3 2 2" xfId="7319" xr:uid="{00000000-0005-0000-0000-00006F010000}"/>
    <cellStyle name="Comma 2 2 2 3 3 2 2 2" xfId="18865" xr:uid="{A5FFBBE0-9199-433B-AA1C-80814987982C}"/>
    <cellStyle name="Comma 2 2 2 3 3 2 2 3" xfId="29281" xr:uid="{66EFB4E1-B1BA-4DBA-9594-35FFF1E67649}"/>
    <cellStyle name="Comma 2 2 2 3 3 2 3" xfId="12507" xr:uid="{490463DD-E1A2-4C4D-BF2E-373031E912D6}"/>
    <cellStyle name="Comma 2 2 2 3 3 2 4" xfId="22923" xr:uid="{1723ACE9-3642-42CB-BE7F-C4A0AA20F72D}"/>
    <cellStyle name="Comma 2 2 2 3 3 3" xfId="7318" xr:uid="{00000000-0005-0000-0000-000070010000}"/>
    <cellStyle name="Comma 2 2 2 3 3 3 2" xfId="18864" xr:uid="{C2618249-4957-4DF1-8992-3285F1E58FC6}"/>
    <cellStyle name="Comma 2 2 2 3 3 3 3" xfId="29280" xr:uid="{41755C63-369B-4CB7-AE40-7645FA41981E}"/>
    <cellStyle name="Comma 2 2 2 3 3 4" xfId="4850" xr:uid="{00000000-0005-0000-0000-000071010000}"/>
    <cellStyle name="Comma 2 2 2 3 3 4 2" xfId="16436" xr:uid="{D35259F6-A4E0-472F-8670-173F7E0E9B8B}"/>
    <cellStyle name="Comma 2 2 2 3 3 4 3" xfId="26852" xr:uid="{9ED96476-ADEC-4BF1-9369-DA0AF43AA25F}"/>
    <cellStyle name="Comma 2 2 2 3 3 5" xfId="12506" xr:uid="{3A60D322-6BF6-468D-A243-6EC51342B90D}"/>
    <cellStyle name="Comma 2 2 2 3 3 6" xfId="22922" xr:uid="{2E8EEB72-BDDA-4CBC-8726-A4C631A9F585}"/>
    <cellStyle name="Comma 2 2 2 3 4" xfId="173" xr:uid="{00000000-0005-0000-0000-000072010000}"/>
    <cellStyle name="Comma 2 2 2 3 4 2" xfId="174" xr:uid="{00000000-0005-0000-0000-000073010000}"/>
    <cellStyle name="Comma 2 2 2 3 4 2 2" xfId="7321" xr:uid="{00000000-0005-0000-0000-000074010000}"/>
    <cellStyle name="Comma 2 2 2 3 4 2 2 2" xfId="18867" xr:uid="{85024A50-23AB-432C-8FA8-F82FB0DC2847}"/>
    <cellStyle name="Comma 2 2 2 3 4 2 2 3" xfId="29283" xr:uid="{9F9BA9B5-1AD9-4A4C-9EE5-744B9116BFE7}"/>
    <cellStyle name="Comma 2 2 2 3 4 2 3" xfId="12509" xr:uid="{913DA835-475A-4D2A-85B9-DA487C94211A}"/>
    <cellStyle name="Comma 2 2 2 3 4 2 4" xfId="22925" xr:uid="{7FDD08BB-CD1B-4256-952C-F218AC062CD0}"/>
    <cellStyle name="Comma 2 2 2 3 4 3" xfId="7320" xr:uid="{00000000-0005-0000-0000-000075010000}"/>
    <cellStyle name="Comma 2 2 2 3 4 3 2" xfId="18866" xr:uid="{6865EB84-2B2F-4D00-952C-29B1D86FF566}"/>
    <cellStyle name="Comma 2 2 2 3 4 3 3" xfId="29282" xr:uid="{A2817396-2DD6-48B2-B832-96FF7D751FC5}"/>
    <cellStyle name="Comma 2 2 2 3 4 4" xfId="4851" xr:uid="{00000000-0005-0000-0000-000076010000}"/>
    <cellStyle name="Comma 2 2 2 3 4 4 2" xfId="16437" xr:uid="{8061EDCC-1261-479F-B968-76380460910F}"/>
    <cellStyle name="Comma 2 2 2 3 4 4 3" xfId="26853" xr:uid="{BB4E53AA-AD36-4D6B-9C36-6572FAA46129}"/>
    <cellStyle name="Comma 2 2 2 3 4 5" xfId="12508" xr:uid="{07F42739-7C1C-47F7-9A31-071199DA5543}"/>
    <cellStyle name="Comma 2 2 2 3 4 6" xfId="22924" xr:uid="{750CFB76-5B2A-427B-81A8-B2A14712F060}"/>
    <cellStyle name="Comma 2 2 2 3 5" xfId="175" xr:uid="{00000000-0005-0000-0000-000077010000}"/>
    <cellStyle name="Comma 2 2 2 3 5 2" xfId="7322" xr:uid="{00000000-0005-0000-0000-000078010000}"/>
    <cellStyle name="Comma 2 2 2 3 5 2 2" xfId="18868" xr:uid="{0B8005E2-C33B-46C9-BB19-54FDE605EB4E}"/>
    <cellStyle name="Comma 2 2 2 3 5 2 3" xfId="29284" xr:uid="{00BB1B5F-0202-416A-BECF-ACF0E342FF94}"/>
    <cellStyle name="Comma 2 2 2 3 5 3" xfId="12510" xr:uid="{6C51ED65-0DCB-487A-A061-4B34BFB755CD}"/>
    <cellStyle name="Comma 2 2 2 3 5 4" xfId="22926" xr:uid="{8C939F5C-7A75-4EEA-BFB1-996B9FA7DF48}"/>
    <cellStyle name="Comma 2 2 2 3 6" xfId="7313" xr:uid="{00000000-0005-0000-0000-000079010000}"/>
    <cellStyle name="Comma 2 2 2 3 6 2" xfId="18859" xr:uid="{95ADCA63-4753-492C-91FE-7120E704364E}"/>
    <cellStyle name="Comma 2 2 2 3 6 3" xfId="29275" xr:uid="{5DCB466C-75C5-418B-A80E-3432925B6FAB}"/>
    <cellStyle name="Comma 2 2 2 3 7" xfId="4847" xr:uid="{00000000-0005-0000-0000-00007A010000}"/>
    <cellStyle name="Comma 2 2 2 3 7 2" xfId="16433" xr:uid="{ACBC5A2B-4A0F-4D3D-858B-E47489ABA3AA}"/>
    <cellStyle name="Comma 2 2 2 3 7 3" xfId="26849" xr:uid="{672A3BAC-939B-4B74-8BB8-0E8FC3CAC17D}"/>
    <cellStyle name="Comma 2 2 2 3 8" xfId="12501" xr:uid="{FD8960C4-E4AB-4359-8D94-F7F193912EBB}"/>
    <cellStyle name="Comma 2 2 2 3 9" xfId="22917" xr:uid="{3D0EE950-7F08-48DA-94E3-3D46A2AF1A13}"/>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2 2 2" xfId="18872" xr:uid="{84CD64E2-133E-426F-9239-268177527234}"/>
    <cellStyle name="Comma 2 2 2 4 2 2 2 2 3" xfId="29288" xr:uid="{A37B595D-273A-4205-8288-5420AB5B6710}"/>
    <cellStyle name="Comma 2 2 2 4 2 2 2 3" xfId="12514" xr:uid="{B1491863-E989-4A72-9DD8-6C95A2CFF7AA}"/>
    <cellStyle name="Comma 2 2 2 4 2 2 2 4" xfId="22930" xr:uid="{18DBC885-6C0A-4654-AE05-2A4C75C3DB94}"/>
    <cellStyle name="Comma 2 2 2 4 2 2 3" xfId="7325" xr:uid="{00000000-0005-0000-0000-000080010000}"/>
    <cellStyle name="Comma 2 2 2 4 2 2 3 2" xfId="18871" xr:uid="{FEE28512-4ABE-4BE5-8C36-1682AC472AD9}"/>
    <cellStyle name="Comma 2 2 2 4 2 2 3 3" xfId="29287" xr:uid="{FF975D85-3E43-4852-AB92-5CE5A6FC6336}"/>
    <cellStyle name="Comma 2 2 2 4 2 2 4" xfId="4854" xr:uid="{00000000-0005-0000-0000-000081010000}"/>
    <cellStyle name="Comma 2 2 2 4 2 2 4 2" xfId="16440" xr:uid="{0D724C81-03EE-48E9-B3D5-1E8C96114D9A}"/>
    <cellStyle name="Comma 2 2 2 4 2 2 4 3" xfId="26856" xr:uid="{17EF4077-AFF7-496E-9A83-CC1863BD02D2}"/>
    <cellStyle name="Comma 2 2 2 4 2 2 5" xfId="12513" xr:uid="{3E6D2A90-F293-4C04-8BB9-F1B740BE2BC2}"/>
    <cellStyle name="Comma 2 2 2 4 2 2 6" xfId="22929" xr:uid="{559F072B-46F5-4D60-B3A6-8EF6E80E095B}"/>
    <cellStyle name="Comma 2 2 2 4 2 3" xfId="180" xr:uid="{00000000-0005-0000-0000-000082010000}"/>
    <cellStyle name="Comma 2 2 2 4 2 3 2" xfId="7327" xr:uid="{00000000-0005-0000-0000-000083010000}"/>
    <cellStyle name="Comma 2 2 2 4 2 3 2 2" xfId="18873" xr:uid="{D24BB45C-4A77-4177-A7DE-1EB384C3B235}"/>
    <cellStyle name="Comma 2 2 2 4 2 3 2 3" xfId="29289" xr:uid="{140ABDDA-DDAE-410E-A3FF-2A4E7DBD199A}"/>
    <cellStyle name="Comma 2 2 2 4 2 3 3" xfId="12515" xr:uid="{72B6CD4C-086D-4ACD-91BD-C169C207F8D0}"/>
    <cellStyle name="Comma 2 2 2 4 2 3 4" xfId="22931" xr:uid="{5E6A3C08-CF24-44D1-A9A6-1DECB76CD789}"/>
    <cellStyle name="Comma 2 2 2 4 2 4" xfId="7324" xr:uid="{00000000-0005-0000-0000-000084010000}"/>
    <cellStyle name="Comma 2 2 2 4 2 4 2" xfId="18870" xr:uid="{48CF86CD-B6EF-482E-9855-DF3D86FCD098}"/>
    <cellStyle name="Comma 2 2 2 4 2 4 3" xfId="29286" xr:uid="{AA4F792C-CCC7-4FF9-A601-7D93C400DB9A}"/>
    <cellStyle name="Comma 2 2 2 4 2 5" xfId="4853" xr:uid="{00000000-0005-0000-0000-000085010000}"/>
    <cellStyle name="Comma 2 2 2 4 2 5 2" xfId="16439" xr:uid="{C343EF77-E8B9-47BA-9584-8EE8FA6F840B}"/>
    <cellStyle name="Comma 2 2 2 4 2 5 3" xfId="26855" xr:uid="{48779603-D259-477F-B528-AED9D68249BA}"/>
    <cellStyle name="Comma 2 2 2 4 2 6" xfId="12512" xr:uid="{2ABBBCAA-108F-4483-9571-2F2903C4FAEF}"/>
    <cellStyle name="Comma 2 2 2 4 2 7" xfId="22928" xr:uid="{66A4DACE-9F11-4F6C-83B9-A30297D3F3D3}"/>
    <cellStyle name="Comma 2 2 2 4 3" xfId="181" xr:uid="{00000000-0005-0000-0000-000086010000}"/>
    <cellStyle name="Comma 2 2 2 4 3 2" xfId="182" xr:uid="{00000000-0005-0000-0000-000087010000}"/>
    <cellStyle name="Comma 2 2 2 4 3 2 2" xfId="7329" xr:uid="{00000000-0005-0000-0000-000088010000}"/>
    <cellStyle name="Comma 2 2 2 4 3 2 2 2" xfId="18875" xr:uid="{C589BACE-DE7D-40E7-AFB6-DA76B027542D}"/>
    <cellStyle name="Comma 2 2 2 4 3 2 2 3" xfId="29291" xr:uid="{B0B6EE68-ABB3-4BE6-995B-50CC37DD4EDE}"/>
    <cellStyle name="Comma 2 2 2 4 3 2 3" xfId="12517" xr:uid="{88BB6D2A-621F-49CE-86C8-2A5832BF857B}"/>
    <cellStyle name="Comma 2 2 2 4 3 2 4" xfId="22933" xr:uid="{53AFB48B-F4E0-4BCA-A34D-332842985C0E}"/>
    <cellStyle name="Comma 2 2 2 4 3 3" xfId="7328" xr:uid="{00000000-0005-0000-0000-000089010000}"/>
    <cellStyle name="Comma 2 2 2 4 3 3 2" xfId="18874" xr:uid="{51D4B06F-8294-4BAE-9CDE-358F87E99002}"/>
    <cellStyle name="Comma 2 2 2 4 3 3 3" xfId="29290" xr:uid="{1B2953CF-0ACC-47DB-AD3F-8B25B052AA41}"/>
    <cellStyle name="Comma 2 2 2 4 3 4" xfId="4855" xr:uid="{00000000-0005-0000-0000-00008A010000}"/>
    <cellStyle name="Comma 2 2 2 4 3 4 2" xfId="16441" xr:uid="{10C7C3CC-92A5-43A8-8905-9AD5B9EF6D6F}"/>
    <cellStyle name="Comma 2 2 2 4 3 4 3" xfId="26857" xr:uid="{0ED5D285-9DDE-4962-8742-B7707F14E0B8}"/>
    <cellStyle name="Comma 2 2 2 4 3 5" xfId="12516" xr:uid="{882EDCC1-565A-4085-B544-1987639F8025}"/>
    <cellStyle name="Comma 2 2 2 4 3 6" xfId="22932" xr:uid="{449D6D2E-5481-4965-816C-8D493EB047D4}"/>
    <cellStyle name="Comma 2 2 2 4 4" xfId="183" xr:uid="{00000000-0005-0000-0000-00008B010000}"/>
    <cellStyle name="Comma 2 2 2 4 4 2" xfId="184" xr:uid="{00000000-0005-0000-0000-00008C010000}"/>
    <cellStyle name="Comma 2 2 2 4 4 2 2" xfId="7331" xr:uid="{00000000-0005-0000-0000-00008D010000}"/>
    <cellStyle name="Comma 2 2 2 4 4 2 2 2" xfId="18877" xr:uid="{133FD8A6-AB80-4AEA-A613-F09810B3D6CF}"/>
    <cellStyle name="Comma 2 2 2 4 4 2 2 3" xfId="29293" xr:uid="{9F5B2A55-FB41-4475-91CF-71F834CA99C4}"/>
    <cellStyle name="Comma 2 2 2 4 4 2 3" xfId="12519" xr:uid="{2E8AAFD6-6F2C-43AD-AC3F-7C2703312B46}"/>
    <cellStyle name="Comma 2 2 2 4 4 2 4" xfId="22935" xr:uid="{10BE4350-33E0-4BD1-9093-3E8D4C65C522}"/>
    <cellStyle name="Comma 2 2 2 4 4 3" xfId="7330" xr:uid="{00000000-0005-0000-0000-00008E010000}"/>
    <cellStyle name="Comma 2 2 2 4 4 3 2" xfId="18876" xr:uid="{ED5ACD60-6B83-40F5-AEDC-E06E0C855DF2}"/>
    <cellStyle name="Comma 2 2 2 4 4 3 3" xfId="29292" xr:uid="{6D04F246-E9FD-47CD-A28B-FE2B5354D3E6}"/>
    <cellStyle name="Comma 2 2 2 4 4 4" xfId="4856" xr:uid="{00000000-0005-0000-0000-00008F010000}"/>
    <cellStyle name="Comma 2 2 2 4 4 4 2" xfId="16442" xr:uid="{03F28B78-E468-4F80-8B68-1B0D158B21D8}"/>
    <cellStyle name="Comma 2 2 2 4 4 4 3" xfId="26858" xr:uid="{D6A4DBF0-28B3-4C2F-9792-CA7D01BE5D24}"/>
    <cellStyle name="Comma 2 2 2 4 4 5" xfId="12518" xr:uid="{F0D4361C-93CD-4F8F-8400-852293879477}"/>
    <cellStyle name="Comma 2 2 2 4 4 6" xfId="22934" xr:uid="{F9A48C6B-898D-45DB-8B80-4B636E83D157}"/>
    <cellStyle name="Comma 2 2 2 4 5" xfId="185" xr:uid="{00000000-0005-0000-0000-000090010000}"/>
    <cellStyle name="Comma 2 2 2 4 5 2" xfId="7332" xr:uid="{00000000-0005-0000-0000-000091010000}"/>
    <cellStyle name="Comma 2 2 2 4 5 2 2" xfId="18878" xr:uid="{83D6ED4B-6DFF-4020-BA9D-7EA246D6C92E}"/>
    <cellStyle name="Comma 2 2 2 4 5 2 3" xfId="29294" xr:uid="{47C8FC92-176A-4C29-A7AE-32DBD5F15F53}"/>
    <cellStyle name="Comma 2 2 2 4 5 3" xfId="12520" xr:uid="{B202597C-72CF-42A5-848D-506138264A2F}"/>
    <cellStyle name="Comma 2 2 2 4 5 4" xfId="22936" xr:uid="{E29E4E43-938D-4DE3-A2FD-33F66907AE7E}"/>
    <cellStyle name="Comma 2 2 2 4 6" xfId="7323" xr:uid="{00000000-0005-0000-0000-000092010000}"/>
    <cellStyle name="Comma 2 2 2 4 6 2" xfId="18869" xr:uid="{6A2B6290-5E56-4E1F-8749-95EBAEAC6D81}"/>
    <cellStyle name="Comma 2 2 2 4 6 3" xfId="29285" xr:uid="{9DD2BDDB-A873-4D72-A4E3-B85AC8CE6C8D}"/>
    <cellStyle name="Comma 2 2 2 4 7" xfId="4852" xr:uid="{00000000-0005-0000-0000-000093010000}"/>
    <cellStyle name="Comma 2 2 2 4 7 2" xfId="16438" xr:uid="{2FE8B6F2-90A7-4A66-AECE-98AF88CC8749}"/>
    <cellStyle name="Comma 2 2 2 4 7 3" xfId="26854" xr:uid="{37CCEB43-278E-4B11-8CC1-97A00129A2A5}"/>
    <cellStyle name="Comma 2 2 2 4 8" xfId="12511" xr:uid="{1C21DF78-A7B2-4FDD-AF70-34AA9DF9A94C}"/>
    <cellStyle name="Comma 2 2 2 4 9" xfId="22927" xr:uid="{ED75E5ED-5EE0-461B-95E8-1CD2677810CC}"/>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2 2 2" xfId="18882" xr:uid="{A7035051-7D08-4B39-876E-85A629A5E2C3}"/>
    <cellStyle name="Comma 2 2 2 5 2 2 2 2 3" xfId="29298" xr:uid="{8C851643-14B3-4A57-B44B-986565333DA2}"/>
    <cellStyle name="Comma 2 2 2 5 2 2 2 3" xfId="12524" xr:uid="{6C6A41B0-C320-4223-9FB7-ACFC844D7B4A}"/>
    <cellStyle name="Comma 2 2 2 5 2 2 2 4" xfId="22940" xr:uid="{96F92BCE-10C9-46A2-BBDF-C021050D5F85}"/>
    <cellStyle name="Comma 2 2 2 5 2 2 3" xfId="7335" xr:uid="{00000000-0005-0000-0000-000099010000}"/>
    <cellStyle name="Comma 2 2 2 5 2 2 3 2" xfId="18881" xr:uid="{A8EE260B-D078-4BDA-8FF7-45DE317EBFA6}"/>
    <cellStyle name="Comma 2 2 2 5 2 2 3 3" xfId="29297" xr:uid="{02308152-FA82-4AC1-85B7-DA527BC4AA3D}"/>
    <cellStyle name="Comma 2 2 2 5 2 2 4" xfId="4859" xr:uid="{00000000-0005-0000-0000-00009A010000}"/>
    <cellStyle name="Comma 2 2 2 5 2 2 4 2" xfId="16445" xr:uid="{18A906A9-F4F6-419C-8F1D-DDE7BC8E3CFA}"/>
    <cellStyle name="Comma 2 2 2 5 2 2 4 3" xfId="26861" xr:uid="{66311619-0C5B-4EA3-B0BF-EC3161154B76}"/>
    <cellStyle name="Comma 2 2 2 5 2 2 5" xfId="12523" xr:uid="{8C33F4CB-ECDB-4DBE-8A24-CA0911C7A73A}"/>
    <cellStyle name="Comma 2 2 2 5 2 2 6" xfId="22939" xr:uid="{3E912F06-8177-4C7C-A6D5-63B22AA61DE8}"/>
    <cellStyle name="Comma 2 2 2 5 2 3" xfId="190" xr:uid="{00000000-0005-0000-0000-00009B010000}"/>
    <cellStyle name="Comma 2 2 2 5 2 3 2" xfId="7337" xr:uid="{00000000-0005-0000-0000-00009C010000}"/>
    <cellStyle name="Comma 2 2 2 5 2 3 2 2" xfId="18883" xr:uid="{9B8C3DDE-681E-4854-B2BF-7A4C7734B78D}"/>
    <cellStyle name="Comma 2 2 2 5 2 3 2 3" xfId="29299" xr:uid="{49266994-EEB8-4CBB-86E4-570CC2BF31F7}"/>
    <cellStyle name="Comma 2 2 2 5 2 3 3" xfId="12525" xr:uid="{065CFB4E-6B66-4167-9B0C-9A1F5221E614}"/>
    <cellStyle name="Comma 2 2 2 5 2 3 4" xfId="22941" xr:uid="{F02F5A43-790C-41C5-83DB-6071D915FB03}"/>
    <cellStyle name="Comma 2 2 2 5 2 4" xfId="7334" xr:uid="{00000000-0005-0000-0000-00009D010000}"/>
    <cellStyle name="Comma 2 2 2 5 2 4 2" xfId="18880" xr:uid="{CDFC90D4-5DFA-418F-A535-B9A12CBE1F2D}"/>
    <cellStyle name="Comma 2 2 2 5 2 4 3" xfId="29296" xr:uid="{F35F21F5-8E5D-4ABD-B028-DA6C33E89226}"/>
    <cellStyle name="Comma 2 2 2 5 2 5" xfId="4858" xr:uid="{00000000-0005-0000-0000-00009E010000}"/>
    <cellStyle name="Comma 2 2 2 5 2 5 2" xfId="16444" xr:uid="{D4FF9866-23F6-466E-9141-6A1234C53845}"/>
    <cellStyle name="Comma 2 2 2 5 2 5 3" xfId="26860" xr:uid="{38ECCAA9-72BD-4A28-9F3B-029F2D9298B6}"/>
    <cellStyle name="Comma 2 2 2 5 2 6" xfId="12522" xr:uid="{AD0BBBFC-C20E-495C-AC27-237ACF08D7CF}"/>
    <cellStyle name="Comma 2 2 2 5 2 7" xfId="22938" xr:uid="{B9D5C89C-073B-4EAF-BFD7-FC30CBE230F4}"/>
    <cellStyle name="Comma 2 2 2 5 3" xfId="191" xr:uid="{00000000-0005-0000-0000-00009F010000}"/>
    <cellStyle name="Comma 2 2 2 5 3 2" xfId="192" xr:uid="{00000000-0005-0000-0000-0000A0010000}"/>
    <cellStyle name="Comma 2 2 2 5 3 2 2" xfId="7339" xr:uid="{00000000-0005-0000-0000-0000A1010000}"/>
    <cellStyle name="Comma 2 2 2 5 3 2 2 2" xfId="18885" xr:uid="{00099F5D-AE13-411F-B6A2-82F45B17909B}"/>
    <cellStyle name="Comma 2 2 2 5 3 2 2 3" xfId="29301" xr:uid="{47A2F0DF-873E-43F5-830A-7D1E0AFB1753}"/>
    <cellStyle name="Comma 2 2 2 5 3 2 3" xfId="12527" xr:uid="{72502E00-950A-45D7-A595-6B2EC450CB2A}"/>
    <cellStyle name="Comma 2 2 2 5 3 2 4" xfId="22943" xr:uid="{97065488-1D3F-4764-8DFC-6B74F061C67D}"/>
    <cellStyle name="Comma 2 2 2 5 3 3" xfId="7338" xr:uid="{00000000-0005-0000-0000-0000A2010000}"/>
    <cellStyle name="Comma 2 2 2 5 3 3 2" xfId="18884" xr:uid="{F180AC0D-585B-4BD9-B85E-04A4A8D516D6}"/>
    <cellStyle name="Comma 2 2 2 5 3 3 3" xfId="29300" xr:uid="{805B2960-87BD-473B-B302-99D0F7B0F33A}"/>
    <cellStyle name="Comma 2 2 2 5 3 4" xfId="4860" xr:uid="{00000000-0005-0000-0000-0000A3010000}"/>
    <cellStyle name="Comma 2 2 2 5 3 4 2" xfId="16446" xr:uid="{1A322A46-EA0F-43ED-B13B-66A2A75017A0}"/>
    <cellStyle name="Comma 2 2 2 5 3 4 3" xfId="26862" xr:uid="{11957677-C2A2-44B7-BC36-47265B7CB3E0}"/>
    <cellStyle name="Comma 2 2 2 5 3 5" xfId="12526" xr:uid="{1A517654-F26A-4D76-9582-D8654CA17F1C}"/>
    <cellStyle name="Comma 2 2 2 5 3 6" xfId="22942" xr:uid="{5C96197D-863E-458B-BA0E-0B8FCB4D2F37}"/>
    <cellStyle name="Comma 2 2 2 5 4" xfId="193" xr:uid="{00000000-0005-0000-0000-0000A4010000}"/>
    <cellStyle name="Comma 2 2 2 5 4 2" xfId="194" xr:uid="{00000000-0005-0000-0000-0000A5010000}"/>
    <cellStyle name="Comma 2 2 2 5 4 2 2" xfId="7341" xr:uid="{00000000-0005-0000-0000-0000A6010000}"/>
    <cellStyle name="Comma 2 2 2 5 4 2 2 2" xfId="18887" xr:uid="{A27E9D21-9060-4D95-AE33-D3999CEB03FC}"/>
    <cellStyle name="Comma 2 2 2 5 4 2 2 3" xfId="29303" xr:uid="{56993152-3FDA-406C-A95D-AA62C2D25BD9}"/>
    <cellStyle name="Comma 2 2 2 5 4 2 3" xfId="12529" xr:uid="{F6BDAEE2-4A72-440A-A27F-A34BCBA231E0}"/>
    <cellStyle name="Comma 2 2 2 5 4 2 4" xfId="22945" xr:uid="{F1464E09-5B7A-41A6-BB04-72A8DE7F2D46}"/>
    <cellStyle name="Comma 2 2 2 5 4 3" xfId="7340" xr:uid="{00000000-0005-0000-0000-0000A7010000}"/>
    <cellStyle name="Comma 2 2 2 5 4 3 2" xfId="18886" xr:uid="{72B49429-A128-49C5-AA3F-2EB9023FD7EE}"/>
    <cellStyle name="Comma 2 2 2 5 4 3 3" xfId="29302" xr:uid="{60DAC24F-3C28-4533-AF68-67ADD6EE7166}"/>
    <cellStyle name="Comma 2 2 2 5 4 4" xfId="4861" xr:uid="{00000000-0005-0000-0000-0000A8010000}"/>
    <cellStyle name="Comma 2 2 2 5 4 4 2" xfId="16447" xr:uid="{7FE3967B-B7E4-432C-91D7-38DB2C71A0E4}"/>
    <cellStyle name="Comma 2 2 2 5 4 4 3" xfId="26863" xr:uid="{C6A90CDF-B311-4FF5-9545-5E77861CCB66}"/>
    <cellStyle name="Comma 2 2 2 5 4 5" xfId="12528" xr:uid="{AA86705B-F8AE-4D00-9866-D2B16CFE66B3}"/>
    <cellStyle name="Comma 2 2 2 5 4 6" xfId="22944" xr:uid="{F891CDF8-C9C0-4BCF-ABAD-25BF2C275F46}"/>
    <cellStyle name="Comma 2 2 2 5 5" xfId="195" xr:uid="{00000000-0005-0000-0000-0000A9010000}"/>
    <cellStyle name="Comma 2 2 2 5 5 2" xfId="7342" xr:uid="{00000000-0005-0000-0000-0000AA010000}"/>
    <cellStyle name="Comma 2 2 2 5 5 2 2" xfId="18888" xr:uid="{1B7A9C52-7038-405A-993D-F4567060EE28}"/>
    <cellStyle name="Comma 2 2 2 5 5 2 3" xfId="29304" xr:uid="{5AC88779-B6DB-4807-A8C9-A142B1F864F0}"/>
    <cellStyle name="Comma 2 2 2 5 5 3" xfId="12530" xr:uid="{85E9B256-E291-4EC9-A82B-AD9B968653FB}"/>
    <cellStyle name="Comma 2 2 2 5 5 4" xfId="22946" xr:uid="{3E0B06CB-F348-49C0-A330-656B70EEAE05}"/>
    <cellStyle name="Comma 2 2 2 5 6" xfId="7333" xr:uid="{00000000-0005-0000-0000-0000AB010000}"/>
    <cellStyle name="Comma 2 2 2 5 6 2" xfId="18879" xr:uid="{D2D09442-1C1D-454A-9E50-F941F54ECA96}"/>
    <cellStyle name="Comma 2 2 2 5 6 3" xfId="29295" xr:uid="{A9884BFD-CCBB-4D67-914C-701A00AE8E46}"/>
    <cellStyle name="Comma 2 2 2 5 7" xfId="4857" xr:uid="{00000000-0005-0000-0000-0000AC010000}"/>
    <cellStyle name="Comma 2 2 2 5 7 2" xfId="16443" xr:uid="{0E3B5B83-CC01-4F0C-A6D5-89E38A66EADD}"/>
    <cellStyle name="Comma 2 2 2 5 7 3" xfId="26859" xr:uid="{176FC510-44B7-41F2-8EA8-0E8321264077}"/>
    <cellStyle name="Comma 2 2 2 5 8" xfId="12521" xr:uid="{759C86D1-E1CA-46A1-9FB6-F98DFF8F056D}"/>
    <cellStyle name="Comma 2 2 2 5 9" xfId="22937" xr:uid="{18B0F870-9C24-4FF7-A4AD-4ED9EBD4B2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2 2 2" xfId="18892" xr:uid="{21487F55-6D1A-4F4F-8FFC-58F8DF217EDF}"/>
    <cellStyle name="Comma 2 2 2 6 2 2 2 2 3" xfId="29308" xr:uid="{B435CE4D-0750-4F54-A43B-0279D2F528B1}"/>
    <cellStyle name="Comma 2 2 2 6 2 2 2 3" xfId="12534" xr:uid="{BA53979F-069F-4759-90F8-3EA87410C83F}"/>
    <cellStyle name="Comma 2 2 2 6 2 2 2 4" xfId="22950" xr:uid="{BA406DB3-63FF-4396-87BA-75909EC510FA}"/>
    <cellStyle name="Comma 2 2 2 6 2 2 3" xfId="7345" xr:uid="{00000000-0005-0000-0000-0000B2010000}"/>
    <cellStyle name="Comma 2 2 2 6 2 2 3 2" xfId="18891" xr:uid="{37E69779-5633-430A-BC8C-E4E6063CA912}"/>
    <cellStyle name="Comma 2 2 2 6 2 2 3 3" xfId="29307" xr:uid="{0DD295FB-C416-4085-A9A9-2C0B21326FE8}"/>
    <cellStyle name="Comma 2 2 2 6 2 2 4" xfId="4864" xr:uid="{00000000-0005-0000-0000-0000B3010000}"/>
    <cellStyle name="Comma 2 2 2 6 2 2 4 2" xfId="16450" xr:uid="{042E0B4B-8278-4699-8F40-4B5E98A150BC}"/>
    <cellStyle name="Comma 2 2 2 6 2 2 4 3" xfId="26866" xr:uid="{CB1FDC7E-6F3D-48E4-B151-266EE588C371}"/>
    <cellStyle name="Comma 2 2 2 6 2 2 5" xfId="12533" xr:uid="{160B4AD6-4DDC-49C5-AAD5-24366D8AE33B}"/>
    <cellStyle name="Comma 2 2 2 6 2 2 6" xfId="22949" xr:uid="{CA2965A0-9A94-439C-8EB4-1F3B37949557}"/>
    <cellStyle name="Comma 2 2 2 6 2 3" xfId="200" xr:uid="{00000000-0005-0000-0000-0000B4010000}"/>
    <cellStyle name="Comma 2 2 2 6 2 3 2" xfId="7347" xr:uid="{00000000-0005-0000-0000-0000B5010000}"/>
    <cellStyle name="Comma 2 2 2 6 2 3 2 2" xfId="18893" xr:uid="{466EFA45-B497-435E-826C-CDBDD5DA85A4}"/>
    <cellStyle name="Comma 2 2 2 6 2 3 2 3" xfId="29309" xr:uid="{01B8E742-6C7D-4D30-9A85-5D5F5F81C5E2}"/>
    <cellStyle name="Comma 2 2 2 6 2 3 3" xfId="12535" xr:uid="{F31199EF-5851-4415-BCB4-FDEB774E7A86}"/>
    <cellStyle name="Comma 2 2 2 6 2 3 4" xfId="22951" xr:uid="{9A5DA074-5A9E-4FFC-8448-EB5F64ED009F}"/>
    <cellStyle name="Comma 2 2 2 6 2 4" xfId="7344" xr:uid="{00000000-0005-0000-0000-0000B6010000}"/>
    <cellStyle name="Comma 2 2 2 6 2 4 2" xfId="18890" xr:uid="{649E8750-1601-4E09-9608-F9B890E68243}"/>
    <cellStyle name="Comma 2 2 2 6 2 4 3" xfId="29306" xr:uid="{0E146071-DBEE-48D5-BA50-045650C2FEA7}"/>
    <cellStyle name="Comma 2 2 2 6 2 5" xfId="4863" xr:uid="{00000000-0005-0000-0000-0000B7010000}"/>
    <cellStyle name="Comma 2 2 2 6 2 5 2" xfId="16449" xr:uid="{76F4ACCE-FA21-44E7-908E-0D2D81161D08}"/>
    <cellStyle name="Comma 2 2 2 6 2 5 3" xfId="26865" xr:uid="{72BA084C-BFCB-4D49-93C5-E16838A5B246}"/>
    <cellStyle name="Comma 2 2 2 6 2 6" xfId="12532" xr:uid="{EA07898F-F2F1-46A6-A0E2-116BEA4B7ACC}"/>
    <cellStyle name="Comma 2 2 2 6 2 7" xfId="22948" xr:uid="{31E5BF8E-5CB3-4842-AC1F-9C1CAA664713}"/>
    <cellStyle name="Comma 2 2 2 6 3" xfId="201" xr:uid="{00000000-0005-0000-0000-0000B8010000}"/>
    <cellStyle name="Comma 2 2 2 6 3 2" xfId="202" xr:uid="{00000000-0005-0000-0000-0000B9010000}"/>
    <cellStyle name="Comma 2 2 2 6 3 2 2" xfId="7349" xr:uid="{00000000-0005-0000-0000-0000BA010000}"/>
    <cellStyle name="Comma 2 2 2 6 3 2 2 2" xfId="18895" xr:uid="{3455B74E-4966-47B3-95EB-7740F18B8CCD}"/>
    <cellStyle name="Comma 2 2 2 6 3 2 2 3" xfId="29311" xr:uid="{9FC203D6-8D10-49A5-8AB1-7CB5ED386297}"/>
    <cellStyle name="Comma 2 2 2 6 3 2 3" xfId="12537" xr:uid="{66BBF81D-97B3-41F9-969D-2E42726AB7A8}"/>
    <cellStyle name="Comma 2 2 2 6 3 2 4" xfId="22953" xr:uid="{71383A04-C303-434C-8767-864B8FC247C8}"/>
    <cellStyle name="Comma 2 2 2 6 3 3" xfId="7348" xr:uid="{00000000-0005-0000-0000-0000BB010000}"/>
    <cellStyle name="Comma 2 2 2 6 3 3 2" xfId="18894" xr:uid="{4FAACFE7-E9B5-43BE-9E82-1AF4469EBF0D}"/>
    <cellStyle name="Comma 2 2 2 6 3 3 3" xfId="29310" xr:uid="{E6B7363E-2D2D-458C-A2A6-D7151830A601}"/>
    <cellStyle name="Comma 2 2 2 6 3 4" xfId="4865" xr:uid="{00000000-0005-0000-0000-0000BC010000}"/>
    <cellStyle name="Comma 2 2 2 6 3 4 2" xfId="16451" xr:uid="{D75C6782-3431-4A2E-95B2-245F173745AC}"/>
    <cellStyle name="Comma 2 2 2 6 3 4 3" xfId="26867" xr:uid="{AAA64CCD-7386-4B48-8C6A-71CE70147E1C}"/>
    <cellStyle name="Comma 2 2 2 6 3 5" xfId="12536" xr:uid="{B0B40F7A-4F8F-4573-AB4D-6D7976D48E60}"/>
    <cellStyle name="Comma 2 2 2 6 3 6" xfId="22952" xr:uid="{A3AFD474-5214-4019-9498-C7A22513AB78}"/>
    <cellStyle name="Comma 2 2 2 6 4" xfId="203" xr:uid="{00000000-0005-0000-0000-0000BD010000}"/>
    <cellStyle name="Comma 2 2 2 6 4 2" xfId="204" xr:uid="{00000000-0005-0000-0000-0000BE010000}"/>
    <cellStyle name="Comma 2 2 2 6 4 2 2" xfId="7351" xr:uid="{00000000-0005-0000-0000-0000BF010000}"/>
    <cellStyle name="Comma 2 2 2 6 4 2 2 2" xfId="18897" xr:uid="{CB8C1434-CD3F-4BD8-8BF1-A89DCA1E1E32}"/>
    <cellStyle name="Comma 2 2 2 6 4 2 2 3" xfId="29313" xr:uid="{68E1A7B9-E028-4AA5-83CC-CF5F94871946}"/>
    <cellStyle name="Comma 2 2 2 6 4 2 3" xfId="12539" xr:uid="{1E211B29-41D8-48A8-8BBF-574F370244ED}"/>
    <cellStyle name="Comma 2 2 2 6 4 2 4" xfId="22955" xr:uid="{01E2CC46-FA9D-4B6D-BE1A-DCF41E502467}"/>
    <cellStyle name="Comma 2 2 2 6 4 3" xfId="7350" xr:uid="{00000000-0005-0000-0000-0000C0010000}"/>
    <cellStyle name="Comma 2 2 2 6 4 3 2" xfId="18896" xr:uid="{A8DACEC9-0419-4231-94D3-DC19C47D49A6}"/>
    <cellStyle name="Comma 2 2 2 6 4 3 3" xfId="29312" xr:uid="{8D986AFB-3757-4862-9AC9-3477B6982D9E}"/>
    <cellStyle name="Comma 2 2 2 6 4 4" xfId="4866" xr:uid="{00000000-0005-0000-0000-0000C1010000}"/>
    <cellStyle name="Comma 2 2 2 6 4 4 2" xfId="16452" xr:uid="{5AC94E5B-8223-45B1-9390-8896838DEA42}"/>
    <cellStyle name="Comma 2 2 2 6 4 4 3" xfId="26868" xr:uid="{0738A598-EF1C-4F20-ABE1-5CD870EC1934}"/>
    <cellStyle name="Comma 2 2 2 6 4 5" xfId="12538" xr:uid="{CF198932-6016-4121-9046-7D0823980054}"/>
    <cellStyle name="Comma 2 2 2 6 4 6" xfId="22954" xr:uid="{79A6FA98-AF39-4D91-B6A4-318E67494607}"/>
    <cellStyle name="Comma 2 2 2 6 5" xfId="205" xr:uid="{00000000-0005-0000-0000-0000C2010000}"/>
    <cellStyle name="Comma 2 2 2 6 5 2" xfId="7352" xr:uid="{00000000-0005-0000-0000-0000C3010000}"/>
    <cellStyle name="Comma 2 2 2 6 5 2 2" xfId="18898" xr:uid="{614F7A08-1CCE-41B8-B2EB-25A3EA31B6CA}"/>
    <cellStyle name="Comma 2 2 2 6 5 2 3" xfId="29314" xr:uid="{53653A72-266D-450C-B86F-BEAB72B0AFE9}"/>
    <cellStyle name="Comma 2 2 2 6 5 3" xfId="12540" xr:uid="{CE769534-6281-4D10-8759-DC7A99D96711}"/>
    <cellStyle name="Comma 2 2 2 6 5 4" xfId="22956" xr:uid="{C9A5E231-B5E0-4AEC-9212-D2A7512C94AF}"/>
    <cellStyle name="Comma 2 2 2 6 6" xfId="7343" xr:uid="{00000000-0005-0000-0000-0000C4010000}"/>
    <cellStyle name="Comma 2 2 2 6 6 2" xfId="18889" xr:uid="{ABA33CAF-FE0F-40F2-A98A-D360676C58F5}"/>
    <cellStyle name="Comma 2 2 2 6 6 3" xfId="29305" xr:uid="{A2F69572-8FC0-4A15-AB74-19F46BD4D69A}"/>
    <cellStyle name="Comma 2 2 2 6 7" xfId="4862" xr:uid="{00000000-0005-0000-0000-0000C5010000}"/>
    <cellStyle name="Comma 2 2 2 6 7 2" xfId="16448" xr:uid="{2DCF51ED-0A0F-4A20-A2A5-A631709258D9}"/>
    <cellStyle name="Comma 2 2 2 6 7 3" xfId="26864" xr:uid="{6D03FEFB-1F33-4F04-B0BB-F8FB9E2DE2F1}"/>
    <cellStyle name="Comma 2 2 2 6 8" xfId="12531" xr:uid="{71E86DC0-64C9-4EB1-8E71-93BE85396867}"/>
    <cellStyle name="Comma 2 2 2 6 9" xfId="22947" xr:uid="{281B1199-3EF8-4294-973C-7CBA462BBC53}"/>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2 2 2" xfId="18901" xr:uid="{E44ABCC1-00F4-4379-BB3D-83C95A5584D6}"/>
    <cellStyle name="Comma 2 2 2 7 2 2 2 3" xfId="29317" xr:uid="{15D8A7B8-3EB2-406F-B584-A3C996B9A9C1}"/>
    <cellStyle name="Comma 2 2 2 7 2 2 3" xfId="12543" xr:uid="{C95437EF-6844-4B0C-8565-8962B172EC71}"/>
    <cellStyle name="Comma 2 2 2 7 2 2 4" xfId="22959" xr:uid="{3D826354-10DE-4107-BEA9-48DBCBB6BA80}"/>
    <cellStyle name="Comma 2 2 2 7 2 3" xfId="7354" xr:uid="{00000000-0005-0000-0000-0000CA010000}"/>
    <cellStyle name="Comma 2 2 2 7 2 3 2" xfId="18900" xr:uid="{A34EA532-2A3D-4132-8646-9D773E9FB618}"/>
    <cellStyle name="Comma 2 2 2 7 2 3 3" xfId="29316" xr:uid="{2BC1268C-B7DE-40A2-B509-A4285D671529}"/>
    <cellStyle name="Comma 2 2 2 7 2 4" xfId="4868" xr:uid="{00000000-0005-0000-0000-0000CB010000}"/>
    <cellStyle name="Comma 2 2 2 7 2 4 2" xfId="16454" xr:uid="{C0DD6AB2-DAA0-4E01-9D96-9378D31842EF}"/>
    <cellStyle name="Comma 2 2 2 7 2 4 3" xfId="26870" xr:uid="{D453B321-9549-41F6-A305-8F8C932DDFCB}"/>
    <cellStyle name="Comma 2 2 2 7 2 5" xfId="12542" xr:uid="{0D2043FC-2E98-462F-8759-3CFF8B63AD02}"/>
    <cellStyle name="Comma 2 2 2 7 2 6" xfId="22958" xr:uid="{430E8C6C-488A-494C-A5CE-83355A67E88F}"/>
    <cellStyle name="Comma 2 2 2 7 3" xfId="209" xr:uid="{00000000-0005-0000-0000-0000CC010000}"/>
    <cellStyle name="Comma 2 2 2 7 3 2" xfId="210" xr:uid="{00000000-0005-0000-0000-0000CD010000}"/>
    <cellStyle name="Comma 2 2 2 7 3 2 2" xfId="7357" xr:uid="{00000000-0005-0000-0000-0000CE010000}"/>
    <cellStyle name="Comma 2 2 2 7 3 2 2 2" xfId="18903" xr:uid="{08CA511E-F1E8-4C42-BBD8-3DC517BBF7D5}"/>
    <cellStyle name="Comma 2 2 2 7 3 2 2 3" xfId="29319" xr:uid="{255C7A12-D227-490C-8FB9-B062471A38E3}"/>
    <cellStyle name="Comma 2 2 2 7 3 2 3" xfId="12545" xr:uid="{668255C0-69FA-48D2-BE94-479EB31A292C}"/>
    <cellStyle name="Comma 2 2 2 7 3 2 4" xfId="22961" xr:uid="{A2249645-8630-4C02-A493-6FECF9A23A5B}"/>
    <cellStyle name="Comma 2 2 2 7 3 3" xfId="7356" xr:uid="{00000000-0005-0000-0000-0000CF010000}"/>
    <cellStyle name="Comma 2 2 2 7 3 3 2" xfId="18902" xr:uid="{4E8CB7FF-CAA5-414F-96C4-C318E63E406E}"/>
    <cellStyle name="Comma 2 2 2 7 3 3 3" xfId="29318" xr:uid="{F964DF92-A205-4742-B573-B4B502D0D28D}"/>
    <cellStyle name="Comma 2 2 2 7 3 4" xfId="4869" xr:uid="{00000000-0005-0000-0000-0000D0010000}"/>
    <cellStyle name="Comma 2 2 2 7 3 4 2" xfId="16455" xr:uid="{270F10D8-DDA7-47A1-8112-B698770BA30A}"/>
    <cellStyle name="Comma 2 2 2 7 3 4 3" xfId="26871" xr:uid="{F416E27F-523D-42BD-9455-F343D783DEAB}"/>
    <cellStyle name="Comma 2 2 2 7 3 5" xfId="12544" xr:uid="{966DED23-0248-417D-9545-1C7E9E67FF4C}"/>
    <cellStyle name="Comma 2 2 2 7 3 6" xfId="22960" xr:uid="{8FB194E0-D526-47A0-A2FE-6EB9F6A5CC94}"/>
    <cellStyle name="Comma 2 2 2 7 4" xfId="211" xr:uid="{00000000-0005-0000-0000-0000D1010000}"/>
    <cellStyle name="Comma 2 2 2 7 4 2" xfId="7358" xr:uid="{00000000-0005-0000-0000-0000D2010000}"/>
    <cellStyle name="Comma 2 2 2 7 4 2 2" xfId="18904" xr:uid="{D78F4E96-5F53-46FC-B1E2-2B9DD41C9B1E}"/>
    <cellStyle name="Comma 2 2 2 7 4 2 3" xfId="29320" xr:uid="{8F68CE4A-40BB-4E8C-8A33-57FDC7CDA394}"/>
    <cellStyle name="Comma 2 2 2 7 4 3" xfId="12546" xr:uid="{F19961BD-3AB7-4A23-B880-4F867D4F226D}"/>
    <cellStyle name="Comma 2 2 2 7 4 4" xfId="22962" xr:uid="{1A838A85-F6BE-4E56-8E1D-937633AB2A2A}"/>
    <cellStyle name="Comma 2 2 2 7 5" xfId="7353" xr:uid="{00000000-0005-0000-0000-0000D3010000}"/>
    <cellStyle name="Comma 2 2 2 7 5 2" xfId="18899" xr:uid="{C1247D23-3B69-4B02-94D5-488D882F9CF2}"/>
    <cellStyle name="Comma 2 2 2 7 5 3" xfId="29315" xr:uid="{5E20F6A4-F510-4A0A-95D8-7DD05DCE3222}"/>
    <cellStyle name="Comma 2 2 2 7 6" xfId="4867" xr:uid="{00000000-0005-0000-0000-0000D4010000}"/>
    <cellStyle name="Comma 2 2 2 7 6 2" xfId="16453" xr:uid="{374234E7-C026-4DC8-8C3C-52D5DC8D7B25}"/>
    <cellStyle name="Comma 2 2 2 7 6 3" xfId="26869" xr:uid="{AEFF0B90-1362-4A15-8B58-4FEFBBEE4AE5}"/>
    <cellStyle name="Comma 2 2 2 7 7" xfId="12541" xr:uid="{279434C1-8886-4E23-8030-9EDB6969FECF}"/>
    <cellStyle name="Comma 2 2 2 7 8" xfId="22957" xr:uid="{21788162-DDE5-479F-9458-738BA5E9A93F}"/>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2 2 2" xfId="18907" xr:uid="{95629321-34DC-499B-B94F-29446925FB84}"/>
    <cellStyle name="Comma 2 2 2 8 2 2 2 3" xfId="29323" xr:uid="{C974493A-24C0-4F32-953C-9B4F2ADB71F6}"/>
    <cellStyle name="Comma 2 2 2 8 2 2 3" xfId="12549" xr:uid="{841EB786-A091-472E-93AC-FC47FD5795E1}"/>
    <cellStyle name="Comma 2 2 2 8 2 2 4" xfId="22965" xr:uid="{F941C743-FC0B-49AE-8EFB-E1EA9C2ADA00}"/>
    <cellStyle name="Comma 2 2 2 8 2 3" xfId="7360" xr:uid="{00000000-0005-0000-0000-0000D9010000}"/>
    <cellStyle name="Comma 2 2 2 8 2 3 2" xfId="18906" xr:uid="{0FF7B1F5-4F27-4054-9B00-8DE67A5D5FE1}"/>
    <cellStyle name="Comma 2 2 2 8 2 3 3" xfId="29322" xr:uid="{7DDBF7A8-3F91-4DD0-B10F-D436056040CE}"/>
    <cellStyle name="Comma 2 2 2 8 2 4" xfId="4871" xr:uid="{00000000-0005-0000-0000-0000DA010000}"/>
    <cellStyle name="Comma 2 2 2 8 2 4 2" xfId="16457" xr:uid="{E967C7E2-8F4A-4C44-BC3C-879F2A7990BC}"/>
    <cellStyle name="Comma 2 2 2 8 2 4 3" xfId="26873" xr:uid="{24C74C87-35AC-4A8E-83BE-03ABF6C6B07A}"/>
    <cellStyle name="Comma 2 2 2 8 2 5" xfId="12548" xr:uid="{F59593FF-C062-43B2-A9DB-FF51800282CD}"/>
    <cellStyle name="Comma 2 2 2 8 2 6" xfId="22964" xr:uid="{1A2EA09D-66AB-418F-8593-75C54319F15B}"/>
    <cellStyle name="Comma 2 2 2 8 3" xfId="215" xr:uid="{00000000-0005-0000-0000-0000DB010000}"/>
    <cellStyle name="Comma 2 2 2 8 3 2" xfId="7362" xr:uid="{00000000-0005-0000-0000-0000DC010000}"/>
    <cellStyle name="Comma 2 2 2 8 3 2 2" xfId="18908" xr:uid="{45853F9C-686B-4251-9B03-7AC5D5013208}"/>
    <cellStyle name="Comma 2 2 2 8 3 2 3" xfId="29324" xr:uid="{062EC75E-11BE-4A5D-92AF-1773BA98A765}"/>
    <cellStyle name="Comma 2 2 2 8 3 3" xfId="12550" xr:uid="{481F8053-72BA-4938-91D1-D773A0C4AB79}"/>
    <cellStyle name="Comma 2 2 2 8 3 4" xfId="22966" xr:uid="{A22DECBF-5A8F-490E-A8F8-92F8E441356A}"/>
    <cellStyle name="Comma 2 2 2 8 4" xfId="7359" xr:uid="{00000000-0005-0000-0000-0000DD010000}"/>
    <cellStyle name="Comma 2 2 2 8 4 2" xfId="18905" xr:uid="{1789A8AF-C2FC-4905-BA76-08173F3ED0D6}"/>
    <cellStyle name="Comma 2 2 2 8 4 3" xfId="29321" xr:uid="{B643522C-FDB6-443B-AA48-009293B9EB02}"/>
    <cellStyle name="Comma 2 2 2 8 5" xfId="4870" xr:uid="{00000000-0005-0000-0000-0000DE010000}"/>
    <cellStyle name="Comma 2 2 2 8 5 2" xfId="16456" xr:uid="{DA158E45-1F62-49E1-8A5D-26EB71067D54}"/>
    <cellStyle name="Comma 2 2 2 8 5 3" xfId="26872" xr:uid="{A6B848D1-9A84-49BC-9686-FDC9D7C94C7E}"/>
    <cellStyle name="Comma 2 2 2 8 6" xfId="12547" xr:uid="{A1D38487-2425-42FC-A04B-B09ED261C728}"/>
    <cellStyle name="Comma 2 2 2 8 7" xfId="22963" xr:uid="{6168CF14-A539-4235-A02E-5346AE059E41}"/>
    <cellStyle name="Comma 2 2 2 9" xfId="216" xr:uid="{00000000-0005-0000-0000-0000DF010000}"/>
    <cellStyle name="Comma 2 2 2 9 2" xfId="217" xr:uid="{00000000-0005-0000-0000-0000E0010000}"/>
    <cellStyle name="Comma 2 2 2 9 2 2" xfId="7364" xr:uid="{00000000-0005-0000-0000-0000E1010000}"/>
    <cellStyle name="Comma 2 2 2 9 2 2 2" xfId="18910" xr:uid="{92DC30EB-AD5F-4B24-AC62-EFEACF66E67D}"/>
    <cellStyle name="Comma 2 2 2 9 2 2 3" xfId="29326" xr:uid="{24A6DE08-B07E-4575-8164-DD94EA5C90B5}"/>
    <cellStyle name="Comma 2 2 2 9 2 3" xfId="12552" xr:uid="{B3C380A3-6EC4-4260-955A-D6CBD7FD1396}"/>
    <cellStyle name="Comma 2 2 2 9 2 4" xfId="22968" xr:uid="{9C9BD1CB-5FDE-4B83-A310-265F8358645D}"/>
    <cellStyle name="Comma 2 2 2 9 3" xfId="7363" xr:uid="{00000000-0005-0000-0000-0000E2010000}"/>
    <cellStyle name="Comma 2 2 2 9 3 2" xfId="18909" xr:uid="{1461C807-27FC-4052-9B91-68A9F22C8F80}"/>
    <cellStyle name="Comma 2 2 2 9 3 3" xfId="29325" xr:uid="{777661A9-2F7B-4658-8AB9-3C2BA4AD3406}"/>
    <cellStyle name="Comma 2 2 2 9 4" xfId="4872" xr:uid="{00000000-0005-0000-0000-0000E3010000}"/>
    <cellStyle name="Comma 2 2 2 9 4 2" xfId="16458" xr:uid="{47370BA0-8B5D-4DCF-9D19-1271ED80B718}"/>
    <cellStyle name="Comma 2 2 2 9 4 3" xfId="26874" xr:uid="{B8858E51-DA18-4A1E-AFF7-0FCE73E3971E}"/>
    <cellStyle name="Comma 2 2 2 9 5" xfId="12551" xr:uid="{A39A845E-480F-4123-ADF5-05496FE1ACE4}"/>
    <cellStyle name="Comma 2 2 2 9 6" xfId="22967" xr:uid="{1B6BA6E7-C45F-4030-BACA-DE6E0374C635}"/>
    <cellStyle name="Comma 2 2 20" xfId="12352" xr:uid="{00000000-0005-0000-0000-0000E4010000}"/>
    <cellStyle name="Comma 2 2 20 2" xfId="22758" xr:uid="{9B8AB302-E20E-4274-83C1-8D14FF0030CE}"/>
    <cellStyle name="Comma 2 2 20 3" xfId="33174" xr:uid="{5AB1C9A8-7AE6-4A23-A273-57BA7B94DE6A}"/>
    <cellStyle name="Comma 2 2 21" xfId="12367" xr:uid="{121CD136-1FD1-4BA0-9D49-BE067E474524}"/>
    <cellStyle name="Comma 2 2 22" xfId="22783" xr:uid="{6C60F8F8-41DA-439C-B875-BABCCCDE5C84}"/>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2 2 2" xfId="18913" xr:uid="{0965465F-1E89-4275-BF4F-3D4A93D4D6B1}"/>
    <cellStyle name="Comma 2 2 3 10 2 2 3" xfId="29329" xr:uid="{451393F5-A335-4745-9E57-0572FA3E54AC}"/>
    <cellStyle name="Comma 2 2 3 10 2 3" xfId="12555" xr:uid="{BC470A7B-702F-4F01-84FC-51824A88FFED}"/>
    <cellStyle name="Comma 2 2 3 10 2 4" xfId="22971" xr:uid="{8EA92B7B-EDF9-496B-931E-91BD2022ACD8}"/>
    <cellStyle name="Comma 2 2 3 10 3" xfId="7366" xr:uid="{00000000-0005-0000-0000-0000E9010000}"/>
    <cellStyle name="Comma 2 2 3 10 3 2" xfId="18912" xr:uid="{1E68DAF7-8E9F-474F-9600-D0438B8F7AE9}"/>
    <cellStyle name="Comma 2 2 3 10 3 3" xfId="29328" xr:uid="{6B08623C-B7EC-418F-AC2F-2AA578C09786}"/>
    <cellStyle name="Comma 2 2 3 10 4" xfId="4874" xr:uid="{00000000-0005-0000-0000-0000EA010000}"/>
    <cellStyle name="Comma 2 2 3 10 4 2" xfId="16460" xr:uid="{8929AAFD-4B26-44DF-AEE4-57D6B6A9203C}"/>
    <cellStyle name="Comma 2 2 3 10 4 3" xfId="26876" xr:uid="{65577B98-9DA7-4225-9171-FFA44EA922FB}"/>
    <cellStyle name="Comma 2 2 3 10 5" xfId="12554" xr:uid="{B3FB36E8-8902-4D2D-AECB-0C4B287E7153}"/>
    <cellStyle name="Comma 2 2 3 10 6" xfId="22970" xr:uid="{6ACFC83D-218C-42CB-B1E7-3549C3AA56F2}"/>
    <cellStyle name="Comma 2 2 3 11" xfId="221" xr:uid="{00000000-0005-0000-0000-0000EB010000}"/>
    <cellStyle name="Comma 2 2 3 11 2" xfId="7368" xr:uid="{00000000-0005-0000-0000-0000EC010000}"/>
    <cellStyle name="Comma 2 2 3 11 2 2" xfId="18914" xr:uid="{E142A0D2-2908-4E65-B5E6-C462A11C76C8}"/>
    <cellStyle name="Comma 2 2 3 11 2 3" xfId="29330" xr:uid="{D3ACAE5D-7F87-4AAF-80E2-0CC02E47929E}"/>
    <cellStyle name="Comma 2 2 3 11 3" xfId="12556" xr:uid="{381E159C-C7AE-415E-9579-DF5125CAECE1}"/>
    <cellStyle name="Comma 2 2 3 11 4" xfId="22972" xr:uid="{33A1AEBF-B990-4214-A77A-4D9E6CCB1A89}"/>
    <cellStyle name="Comma 2 2 3 12" xfId="7365" xr:uid="{00000000-0005-0000-0000-0000ED010000}"/>
    <cellStyle name="Comma 2 2 3 12 2" xfId="18911" xr:uid="{DC06E127-7A1A-4011-8385-E306663379EB}"/>
    <cellStyle name="Comma 2 2 3 12 3" xfId="29327" xr:uid="{C0E634A0-2A75-4AC1-994D-A4F4F6D7EABD}"/>
    <cellStyle name="Comma 2 2 3 13" xfId="4873" xr:uid="{00000000-0005-0000-0000-0000EE010000}"/>
    <cellStyle name="Comma 2 2 3 13 2" xfId="16459" xr:uid="{2A836FEA-D668-4542-8098-75FE7AD92FA9}"/>
    <cellStyle name="Comma 2 2 3 13 3" xfId="26875" xr:uid="{8E1610C7-5F07-4C6C-8F48-A5CEF7A82BA9}"/>
    <cellStyle name="Comma 2 2 3 14" xfId="12347" xr:uid="{00000000-0005-0000-0000-0000EF010000}"/>
    <cellStyle name="Comma 2 2 3 14 2" xfId="22753" xr:uid="{8D6C33D0-B509-4735-95AB-E4D5F52CC6CD}"/>
    <cellStyle name="Comma 2 2 3 14 3" xfId="33169" xr:uid="{8EDC308D-4945-44A6-848E-A5C44F9CB7AF}"/>
    <cellStyle name="Comma 2 2 3 15" xfId="12362" xr:uid="{00000000-0005-0000-0000-0000F0010000}"/>
    <cellStyle name="Comma 2 2 3 15 2" xfId="22768" xr:uid="{73CCE885-60E7-4D3F-BA88-704CED135A36}"/>
    <cellStyle name="Comma 2 2 3 15 3" xfId="33184" xr:uid="{796680D0-5CB2-4641-A51C-01006EA37220}"/>
    <cellStyle name="Comma 2 2 3 16" xfId="12553" xr:uid="{DA50DD84-B4B2-4B63-B25B-C8D606703B65}"/>
    <cellStyle name="Comma 2 2 3 17" xfId="22969" xr:uid="{C0DD1DD5-5600-40FA-AAA8-54FAD5455F68}"/>
    <cellStyle name="Comma 2 2 3 2" xfId="222" xr:uid="{00000000-0005-0000-0000-0000F1010000}"/>
    <cellStyle name="Comma 2 2 3 2 10" xfId="223" xr:uid="{00000000-0005-0000-0000-0000F2010000}"/>
    <cellStyle name="Comma 2 2 3 2 10 2" xfId="7370" xr:uid="{00000000-0005-0000-0000-0000F3010000}"/>
    <cellStyle name="Comma 2 2 3 2 10 2 2" xfId="18916" xr:uid="{10ED21F2-1A4F-41D6-B708-581F377E6AB0}"/>
    <cellStyle name="Comma 2 2 3 2 10 2 3" xfId="29332" xr:uid="{1A57BB3A-7D83-4B93-8067-DC96038C6EA0}"/>
    <cellStyle name="Comma 2 2 3 2 10 3" xfId="12558" xr:uid="{3008E5AF-9383-4C25-9E37-C3D2EC0F3C6B}"/>
    <cellStyle name="Comma 2 2 3 2 10 4" xfId="22974" xr:uid="{99BEBBA2-4320-4997-8586-CFE6319F782B}"/>
    <cellStyle name="Comma 2 2 3 2 11" xfId="7369" xr:uid="{00000000-0005-0000-0000-0000F4010000}"/>
    <cellStyle name="Comma 2 2 3 2 11 2" xfId="18915" xr:uid="{6F710445-32FE-43FC-88BD-2B513BCE9618}"/>
    <cellStyle name="Comma 2 2 3 2 11 3" xfId="29331" xr:uid="{2D9A25AC-0161-44E4-88B7-6F98D2FC7AE4}"/>
    <cellStyle name="Comma 2 2 3 2 12" xfId="4875" xr:uid="{00000000-0005-0000-0000-0000F5010000}"/>
    <cellStyle name="Comma 2 2 3 2 12 2" xfId="16461" xr:uid="{AA354273-A31B-4E94-A881-AF0A1309D70E}"/>
    <cellStyle name="Comma 2 2 3 2 12 3" xfId="26877" xr:uid="{39037D4A-4586-4391-9780-6215D3A6A6E2}"/>
    <cellStyle name="Comma 2 2 3 2 13" xfId="12557" xr:uid="{BB3663A5-92A9-46CB-9384-DC131F28991E}"/>
    <cellStyle name="Comma 2 2 3 2 14" xfId="22973" xr:uid="{C6674AA3-B1DE-4731-8A58-0567C18A67CE}"/>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2 2 2" xfId="18920" xr:uid="{C67B8D27-E9FA-4D9E-8062-995FEDB3BFD3}"/>
    <cellStyle name="Comma 2 2 3 2 2 2 2 2 2 3" xfId="29336" xr:uid="{A67E8FCF-8B48-4A2F-9EFA-C327C2E16980}"/>
    <cellStyle name="Comma 2 2 3 2 2 2 2 2 3" xfId="12562" xr:uid="{DE3F49A9-38E7-4464-8940-78282E0046FE}"/>
    <cellStyle name="Comma 2 2 3 2 2 2 2 2 4" xfId="22978" xr:uid="{2C0E1E51-472F-4965-8BE3-EB4A421AE183}"/>
    <cellStyle name="Comma 2 2 3 2 2 2 2 3" xfId="7373" xr:uid="{00000000-0005-0000-0000-0000FB010000}"/>
    <cellStyle name="Comma 2 2 3 2 2 2 2 3 2" xfId="18919" xr:uid="{818CA79D-3155-44D5-95D3-0A1D8D4D411E}"/>
    <cellStyle name="Comma 2 2 3 2 2 2 2 3 3" xfId="29335" xr:uid="{53EEE075-3C5C-4555-A235-2DE6F7D1D515}"/>
    <cellStyle name="Comma 2 2 3 2 2 2 2 4" xfId="4878" xr:uid="{00000000-0005-0000-0000-0000FC010000}"/>
    <cellStyle name="Comma 2 2 3 2 2 2 2 4 2" xfId="16464" xr:uid="{A2DEAC86-5F2B-47F1-A6BD-3A94379AB464}"/>
    <cellStyle name="Comma 2 2 3 2 2 2 2 4 3" xfId="26880" xr:uid="{84A77F18-0BAA-4700-A3EB-3D92B7E151D8}"/>
    <cellStyle name="Comma 2 2 3 2 2 2 2 5" xfId="12561" xr:uid="{A70AA84F-9929-4F58-B739-9E1094A667EA}"/>
    <cellStyle name="Comma 2 2 3 2 2 2 2 6" xfId="22977" xr:uid="{F90937E5-9853-4D6B-AED9-57BA9F38B6CF}"/>
    <cellStyle name="Comma 2 2 3 2 2 2 3" xfId="228" xr:uid="{00000000-0005-0000-0000-0000FD010000}"/>
    <cellStyle name="Comma 2 2 3 2 2 2 3 2" xfId="7375" xr:uid="{00000000-0005-0000-0000-0000FE010000}"/>
    <cellStyle name="Comma 2 2 3 2 2 2 3 2 2" xfId="18921" xr:uid="{3A21D9C3-026A-4806-95ED-591A39108A7D}"/>
    <cellStyle name="Comma 2 2 3 2 2 2 3 2 3" xfId="29337" xr:uid="{E02B612B-8527-4CA3-899A-88BEA0B08023}"/>
    <cellStyle name="Comma 2 2 3 2 2 2 3 3" xfId="12563" xr:uid="{8092DBDA-0266-4BBE-BA67-9FB575434690}"/>
    <cellStyle name="Comma 2 2 3 2 2 2 3 4" xfId="22979" xr:uid="{6F885B40-FB48-4DE0-9E8C-CA4E0514688D}"/>
    <cellStyle name="Comma 2 2 3 2 2 2 4" xfId="7372" xr:uid="{00000000-0005-0000-0000-0000FF010000}"/>
    <cellStyle name="Comma 2 2 3 2 2 2 4 2" xfId="18918" xr:uid="{E94C32CB-6C08-431C-AFC7-EBCBE7BA3294}"/>
    <cellStyle name="Comma 2 2 3 2 2 2 4 3" xfId="29334" xr:uid="{58819623-6291-4162-9F7A-82F4D84A5B00}"/>
    <cellStyle name="Comma 2 2 3 2 2 2 5" xfId="4877" xr:uid="{00000000-0005-0000-0000-000000020000}"/>
    <cellStyle name="Comma 2 2 3 2 2 2 5 2" xfId="16463" xr:uid="{52E69AEB-E378-41BD-B6BC-C22677EE4BFC}"/>
    <cellStyle name="Comma 2 2 3 2 2 2 5 3" xfId="26879" xr:uid="{2A73B8D2-0A1E-41DC-BB50-F54D99A5D414}"/>
    <cellStyle name="Comma 2 2 3 2 2 2 6" xfId="12560" xr:uid="{1DFEFC54-9312-4039-A0C9-B66C0C66BA01}"/>
    <cellStyle name="Comma 2 2 3 2 2 2 7" xfId="22976" xr:uid="{9FF25368-4856-4DD7-B097-438A4CA1B1A1}"/>
    <cellStyle name="Comma 2 2 3 2 2 3" xfId="229" xr:uid="{00000000-0005-0000-0000-000001020000}"/>
    <cellStyle name="Comma 2 2 3 2 2 3 2" xfId="230" xr:uid="{00000000-0005-0000-0000-000002020000}"/>
    <cellStyle name="Comma 2 2 3 2 2 3 2 2" xfId="7377" xr:uid="{00000000-0005-0000-0000-000003020000}"/>
    <cellStyle name="Comma 2 2 3 2 2 3 2 2 2" xfId="18923" xr:uid="{25F7A135-E8BE-4618-8B2C-8CCB692B917D}"/>
    <cellStyle name="Comma 2 2 3 2 2 3 2 2 3" xfId="29339" xr:uid="{64C9AE9F-927E-48B8-B146-F4CAA5667A3D}"/>
    <cellStyle name="Comma 2 2 3 2 2 3 2 3" xfId="12565" xr:uid="{7F7AF8BD-B846-41A4-8271-F506ED1E86A6}"/>
    <cellStyle name="Comma 2 2 3 2 2 3 2 4" xfId="22981" xr:uid="{9BCC54C2-D2AB-4BD9-BA85-64A2E41275F4}"/>
    <cellStyle name="Comma 2 2 3 2 2 3 3" xfId="7376" xr:uid="{00000000-0005-0000-0000-000004020000}"/>
    <cellStyle name="Comma 2 2 3 2 2 3 3 2" xfId="18922" xr:uid="{A05F243B-156F-48CE-AB55-A36BEB54C48B}"/>
    <cellStyle name="Comma 2 2 3 2 2 3 3 3" xfId="29338" xr:uid="{13E52F9A-EE08-4D0E-8689-49327B884E07}"/>
    <cellStyle name="Comma 2 2 3 2 2 3 4" xfId="4879" xr:uid="{00000000-0005-0000-0000-000005020000}"/>
    <cellStyle name="Comma 2 2 3 2 2 3 4 2" xfId="16465" xr:uid="{7F405774-B262-4578-966B-9294347EDECC}"/>
    <cellStyle name="Comma 2 2 3 2 2 3 4 3" xfId="26881" xr:uid="{07C54597-434A-47E0-8729-5683EBFE2DC7}"/>
    <cellStyle name="Comma 2 2 3 2 2 3 5" xfId="12564" xr:uid="{309775F7-13EF-4290-A8A3-CFB53D851C20}"/>
    <cellStyle name="Comma 2 2 3 2 2 3 6" xfId="22980" xr:uid="{26F8A86B-E282-463A-974C-A17C6BE4341E}"/>
    <cellStyle name="Comma 2 2 3 2 2 4" xfId="231" xr:uid="{00000000-0005-0000-0000-000006020000}"/>
    <cellStyle name="Comma 2 2 3 2 2 4 2" xfId="232" xr:uid="{00000000-0005-0000-0000-000007020000}"/>
    <cellStyle name="Comma 2 2 3 2 2 4 2 2" xfId="7379" xr:uid="{00000000-0005-0000-0000-000008020000}"/>
    <cellStyle name="Comma 2 2 3 2 2 4 2 2 2" xfId="18925" xr:uid="{1E9EF36E-02FE-4592-9375-55679B769493}"/>
    <cellStyle name="Comma 2 2 3 2 2 4 2 2 3" xfId="29341" xr:uid="{719A26FE-A25F-467C-AE5C-5C7CD3FBE6BD}"/>
    <cellStyle name="Comma 2 2 3 2 2 4 2 3" xfId="12567" xr:uid="{C6515CF1-BC66-4638-BDBC-8D7A5FC0017C}"/>
    <cellStyle name="Comma 2 2 3 2 2 4 2 4" xfId="22983" xr:uid="{6647F0E5-9CB1-4DB9-8297-2CA319A51613}"/>
    <cellStyle name="Comma 2 2 3 2 2 4 3" xfId="7378" xr:uid="{00000000-0005-0000-0000-000009020000}"/>
    <cellStyle name="Comma 2 2 3 2 2 4 3 2" xfId="18924" xr:uid="{ED5E36C4-7409-4285-A304-F3945D3DD81C}"/>
    <cellStyle name="Comma 2 2 3 2 2 4 3 3" xfId="29340" xr:uid="{23B3C325-3DD7-45D8-8B39-733AE2BD174B}"/>
    <cellStyle name="Comma 2 2 3 2 2 4 4" xfId="4880" xr:uid="{00000000-0005-0000-0000-00000A020000}"/>
    <cellStyle name="Comma 2 2 3 2 2 4 4 2" xfId="16466" xr:uid="{3E7B7CDE-1A7F-421A-8E85-0246F8E93FCD}"/>
    <cellStyle name="Comma 2 2 3 2 2 4 4 3" xfId="26882" xr:uid="{F97AB823-DC8D-485C-BD5F-169159CDD1E0}"/>
    <cellStyle name="Comma 2 2 3 2 2 4 5" xfId="12566" xr:uid="{78FFFD19-E95E-4CFB-8884-1CE4F8CF5F49}"/>
    <cellStyle name="Comma 2 2 3 2 2 4 6" xfId="22982" xr:uid="{F38E8D04-2B1A-4D4A-9484-10CCC0706530}"/>
    <cellStyle name="Comma 2 2 3 2 2 5" xfId="233" xr:uid="{00000000-0005-0000-0000-00000B020000}"/>
    <cellStyle name="Comma 2 2 3 2 2 5 2" xfId="7380" xr:uid="{00000000-0005-0000-0000-00000C020000}"/>
    <cellStyle name="Comma 2 2 3 2 2 5 2 2" xfId="18926" xr:uid="{5C969701-39BF-4878-84F3-43F444392809}"/>
    <cellStyle name="Comma 2 2 3 2 2 5 2 3" xfId="29342" xr:uid="{D958DB36-4876-4186-9FC6-1805C5D14CFA}"/>
    <cellStyle name="Comma 2 2 3 2 2 5 3" xfId="12568" xr:uid="{0F9591E2-06DF-4BDE-89E9-CBC5A500B0AC}"/>
    <cellStyle name="Comma 2 2 3 2 2 5 4" xfId="22984" xr:uid="{23CD67DB-7513-4852-8976-FDB30531E579}"/>
    <cellStyle name="Comma 2 2 3 2 2 6" xfId="7371" xr:uid="{00000000-0005-0000-0000-00000D020000}"/>
    <cellStyle name="Comma 2 2 3 2 2 6 2" xfId="18917" xr:uid="{2844C19F-2986-4354-A71E-04A6773414C1}"/>
    <cellStyle name="Comma 2 2 3 2 2 6 3" xfId="29333" xr:uid="{D67A773F-7379-4D6B-A4D9-8A1DDB2A910A}"/>
    <cellStyle name="Comma 2 2 3 2 2 7" xfId="4876" xr:uid="{00000000-0005-0000-0000-00000E020000}"/>
    <cellStyle name="Comma 2 2 3 2 2 7 2" xfId="16462" xr:uid="{E127C3AE-E3B1-4B52-84D4-6FA1E4A96472}"/>
    <cellStyle name="Comma 2 2 3 2 2 7 3" xfId="26878" xr:uid="{4951FE8A-1B7F-4F89-8083-9751BD641C19}"/>
    <cellStyle name="Comma 2 2 3 2 2 8" xfId="12559" xr:uid="{A86A1493-A600-4BB0-8247-11DD02940CB7}"/>
    <cellStyle name="Comma 2 2 3 2 2 9" xfId="22975" xr:uid="{090E652C-6BBD-4D2D-AE58-B0C13FC2A6C6}"/>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2 2 2" xfId="18930" xr:uid="{A0E204C4-1522-4EF5-8221-85929A6E5E73}"/>
    <cellStyle name="Comma 2 2 3 2 3 2 2 2 2 3" xfId="29346" xr:uid="{E040C970-49C0-4369-BA75-25FD7B8BC16F}"/>
    <cellStyle name="Comma 2 2 3 2 3 2 2 2 3" xfId="12572" xr:uid="{7982D2BD-193F-4096-A718-1562DB2B1E46}"/>
    <cellStyle name="Comma 2 2 3 2 3 2 2 2 4" xfId="22988" xr:uid="{EE0F3B82-42C5-4911-9F0F-7E94C4E9A81F}"/>
    <cellStyle name="Comma 2 2 3 2 3 2 2 3" xfId="7383" xr:uid="{00000000-0005-0000-0000-000014020000}"/>
    <cellStyle name="Comma 2 2 3 2 3 2 2 3 2" xfId="18929" xr:uid="{144056BB-7021-49C3-B917-5E2C1353B05C}"/>
    <cellStyle name="Comma 2 2 3 2 3 2 2 3 3" xfId="29345" xr:uid="{7C166641-09B8-4238-998E-A17C17232F24}"/>
    <cellStyle name="Comma 2 2 3 2 3 2 2 4" xfId="4883" xr:uid="{00000000-0005-0000-0000-000015020000}"/>
    <cellStyle name="Comma 2 2 3 2 3 2 2 4 2" xfId="16469" xr:uid="{3ED0BE55-8D6A-4767-AC37-7ED0D0396EEC}"/>
    <cellStyle name="Comma 2 2 3 2 3 2 2 4 3" xfId="26885" xr:uid="{49FC7A4B-86F5-44C3-B3C7-3C07FE3057AD}"/>
    <cellStyle name="Comma 2 2 3 2 3 2 2 5" xfId="12571" xr:uid="{D5D65A76-6A91-499A-85B0-C41ACDDEE812}"/>
    <cellStyle name="Comma 2 2 3 2 3 2 2 6" xfId="22987" xr:uid="{5184517E-A822-414A-B39D-6A2392E5A32F}"/>
    <cellStyle name="Comma 2 2 3 2 3 2 3" xfId="238" xr:uid="{00000000-0005-0000-0000-000016020000}"/>
    <cellStyle name="Comma 2 2 3 2 3 2 3 2" xfId="7385" xr:uid="{00000000-0005-0000-0000-000017020000}"/>
    <cellStyle name="Comma 2 2 3 2 3 2 3 2 2" xfId="18931" xr:uid="{8D86F63B-DE1E-4068-8E36-700A557377B9}"/>
    <cellStyle name="Comma 2 2 3 2 3 2 3 2 3" xfId="29347" xr:uid="{819EA9C0-2E25-48E0-8047-86E3AF2EA7A5}"/>
    <cellStyle name="Comma 2 2 3 2 3 2 3 3" xfId="12573" xr:uid="{DC404DDE-552B-4282-B5D9-7A9546E35A07}"/>
    <cellStyle name="Comma 2 2 3 2 3 2 3 4" xfId="22989" xr:uid="{8DD4A4C6-64EB-4AEF-91A1-F0826589954D}"/>
    <cellStyle name="Comma 2 2 3 2 3 2 4" xfId="7382" xr:uid="{00000000-0005-0000-0000-000018020000}"/>
    <cellStyle name="Comma 2 2 3 2 3 2 4 2" xfId="18928" xr:uid="{478BA794-2301-4AD3-AAAC-89D3E1BDC177}"/>
    <cellStyle name="Comma 2 2 3 2 3 2 4 3" xfId="29344" xr:uid="{9A03A8AB-8BE5-4D35-A65F-C5B09F15A83B}"/>
    <cellStyle name="Comma 2 2 3 2 3 2 5" xfId="4882" xr:uid="{00000000-0005-0000-0000-000019020000}"/>
    <cellStyle name="Comma 2 2 3 2 3 2 5 2" xfId="16468" xr:uid="{8C42C1D3-B670-4EA1-AB91-EA1C31F564EC}"/>
    <cellStyle name="Comma 2 2 3 2 3 2 5 3" xfId="26884" xr:uid="{BE9D07C8-52A6-463E-87CF-89AF5A806B47}"/>
    <cellStyle name="Comma 2 2 3 2 3 2 6" xfId="12570" xr:uid="{EBFD195A-B295-435A-BDF6-753754FE54BA}"/>
    <cellStyle name="Comma 2 2 3 2 3 2 7" xfId="22986" xr:uid="{F44D06F9-E798-4BF8-A95F-888D4A59DB3D}"/>
    <cellStyle name="Comma 2 2 3 2 3 3" xfId="239" xr:uid="{00000000-0005-0000-0000-00001A020000}"/>
    <cellStyle name="Comma 2 2 3 2 3 3 2" xfId="240" xr:uid="{00000000-0005-0000-0000-00001B020000}"/>
    <cellStyle name="Comma 2 2 3 2 3 3 2 2" xfId="7387" xr:uid="{00000000-0005-0000-0000-00001C020000}"/>
    <cellStyle name="Comma 2 2 3 2 3 3 2 2 2" xfId="18933" xr:uid="{FC2843B7-EF66-4E12-A06E-98312173DC49}"/>
    <cellStyle name="Comma 2 2 3 2 3 3 2 2 3" xfId="29349" xr:uid="{46FBF156-E007-4AAF-AE09-D5A60B4C3608}"/>
    <cellStyle name="Comma 2 2 3 2 3 3 2 3" xfId="12575" xr:uid="{FC9A1C66-28A3-4189-896D-DD40A39F9C6E}"/>
    <cellStyle name="Comma 2 2 3 2 3 3 2 4" xfId="22991" xr:uid="{83F6F23A-9143-4490-96C9-1DABB9C3D32E}"/>
    <cellStyle name="Comma 2 2 3 2 3 3 3" xfId="7386" xr:uid="{00000000-0005-0000-0000-00001D020000}"/>
    <cellStyle name="Comma 2 2 3 2 3 3 3 2" xfId="18932" xr:uid="{43196C33-7BA0-459E-816A-94752D1A0952}"/>
    <cellStyle name="Comma 2 2 3 2 3 3 3 3" xfId="29348" xr:uid="{6E6DBF59-9ACB-4F98-8835-D273BDFCCA46}"/>
    <cellStyle name="Comma 2 2 3 2 3 3 4" xfId="4884" xr:uid="{00000000-0005-0000-0000-00001E020000}"/>
    <cellStyle name="Comma 2 2 3 2 3 3 4 2" xfId="16470" xr:uid="{01A1ED27-ACED-42C0-99F2-DE3F72E138E4}"/>
    <cellStyle name="Comma 2 2 3 2 3 3 4 3" xfId="26886" xr:uid="{ED9CE216-0861-460F-A15B-9F8725D793DA}"/>
    <cellStyle name="Comma 2 2 3 2 3 3 5" xfId="12574" xr:uid="{E18EE0BD-BC68-439B-BCA5-DADB5ED94FF5}"/>
    <cellStyle name="Comma 2 2 3 2 3 3 6" xfId="22990" xr:uid="{46D8D14E-C51B-4519-BADB-8AB442CCB543}"/>
    <cellStyle name="Comma 2 2 3 2 3 4" xfId="241" xr:uid="{00000000-0005-0000-0000-00001F020000}"/>
    <cellStyle name="Comma 2 2 3 2 3 4 2" xfId="242" xr:uid="{00000000-0005-0000-0000-000020020000}"/>
    <cellStyle name="Comma 2 2 3 2 3 4 2 2" xfId="7389" xr:uid="{00000000-0005-0000-0000-000021020000}"/>
    <cellStyle name="Comma 2 2 3 2 3 4 2 2 2" xfId="18935" xr:uid="{06B7CCA5-BBD3-427F-8201-3DA5689AD4F6}"/>
    <cellStyle name="Comma 2 2 3 2 3 4 2 2 3" xfId="29351" xr:uid="{28CB1BF8-431C-480B-9EC4-8C8A9615ED73}"/>
    <cellStyle name="Comma 2 2 3 2 3 4 2 3" xfId="12577" xr:uid="{809DAA0D-7D34-43FB-8F96-CA8BC5D474B9}"/>
    <cellStyle name="Comma 2 2 3 2 3 4 2 4" xfId="22993" xr:uid="{4498ADFE-B0A7-4F17-9AD5-347E1C4916B3}"/>
    <cellStyle name="Comma 2 2 3 2 3 4 3" xfId="7388" xr:uid="{00000000-0005-0000-0000-000022020000}"/>
    <cellStyle name="Comma 2 2 3 2 3 4 3 2" xfId="18934" xr:uid="{8F8302F7-39E1-4741-8BFF-8AC00B2829FD}"/>
    <cellStyle name="Comma 2 2 3 2 3 4 3 3" xfId="29350" xr:uid="{56D4C10D-9704-4C09-ACE0-9E669E078841}"/>
    <cellStyle name="Comma 2 2 3 2 3 4 4" xfId="4885" xr:uid="{00000000-0005-0000-0000-000023020000}"/>
    <cellStyle name="Comma 2 2 3 2 3 4 4 2" xfId="16471" xr:uid="{F35294B0-16BE-483F-8AD6-39D805F4A3A5}"/>
    <cellStyle name="Comma 2 2 3 2 3 4 4 3" xfId="26887" xr:uid="{56DF8393-3829-4447-871A-217C437AE0A4}"/>
    <cellStyle name="Comma 2 2 3 2 3 4 5" xfId="12576" xr:uid="{B50F2720-752E-4496-80B3-E84AADCFE498}"/>
    <cellStyle name="Comma 2 2 3 2 3 4 6" xfId="22992" xr:uid="{AC4350D4-7C07-4F6F-899B-E2A2C13B3477}"/>
    <cellStyle name="Comma 2 2 3 2 3 5" xfId="243" xr:uid="{00000000-0005-0000-0000-000024020000}"/>
    <cellStyle name="Comma 2 2 3 2 3 5 2" xfId="7390" xr:uid="{00000000-0005-0000-0000-000025020000}"/>
    <cellStyle name="Comma 2 2 3 2 3 5 2 2" xfId="18936" xr:uid="{800F3C7D-E665-41F0-87B8-39AAAAEEB6C7}"/>
    <cellStyle name="Comma 2 2 3 2 3 5 2 3" xfId="29352" xr:uid="{A9DD88E6-FC88-494D-9AAA-4299C36CD9CF}"/>
    <cellStyle name="Comma 2 2 3 2 3 5 3" xfId="12578" xr:uid="{3BD49524-62DC-4B7B-B2CA-01B7C50137D5}"/>
    <cellStyle name="Comma 2 2 3 2 3 5 4" xfId="22994" xr:uid="{CCF87EA4-94E3-4681-98D7-4B93083B9FAD}"/>
    <cellStyle name="Comma 2 2 3 2 3 6" xfId="7381" xr:uid="{00000000-0005-0000-0000-000026020000}"/>
    <cellStyle name="Comma 2 2 3 2 3 6 2" xfId="18927" xr:uid="{D75C52B5-2613-4C5D-BD19-811D2475643B}"/>
    <cellStyle name="Comma 2 2 3 2 3 6 3" xfId="29343" xr:uid="{674280F9-7F4B-4101-813C-03F85546F9F0}"/>
    <cellStyle name="Comma 2 2 3 2 3 7" xfId="4881" xr:uid="{00000000-0005-0000-0000-000027020000}"/>
    <cellStyle name="Comma 2 2 3 2 3 7 2" xfId="16467" xr:uid="{F6FA10B7-3133-40B3-A24A-BB4B3AD8EFD3}"/>
    <cellStyle name="Comma 2 2 3 2 3 7 3" xfId="26883" xr:uid="{7A38A68B-92AC-44B6-861C-467FA7F99C04}"/>
    <cellStyle name="Comma 2 2 3 2 3 8" xfId="12569" xr:uid="{FCADA7B5-1761-485B-9EFF-3F676AECBBF5}"/>
    <cellStyle name="Comma 2 2 3 2 3 9" xfId="22985" xr:uid="{49BC89A8-943C-469F-8A2F-243096D49E27}"/>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2 2 2" xfId="18940" xr:uid="{FFB90F1E-BC1B-4985-A8F3-8145AB0B5C65}"/>
    <cellStyle name="Comma 2 2 3 2 4 2 2 2 2 3" xfId="29356" xr:uid="{3FBD6A61-AA56-4A89-82BC-3405DDE883D2}"/>
    <cellStyle name="Comma 2 2 3 2 4 2 2 2 3" xfId="12582" xr:uid="{05CAD338-4251-4AEB-98FE-8430AD4D99D6}"/>
    <cellStyle name="Comma 2 2 3 2 4 2 2 2 4" xfId="22998" xr:uid="{0B4A85BE-0158-40A1-BAB2-09517D7E1710}"/>
    <cellStyle name="Comma 2 2 3 2 4 2 2 3" xfId="7393" xr:uid="{00000000-0005-0000-0000-00002D020000}"/>
    <cellStyle name="Comma 2 2 3 2 4 2 2 3 2" xfId="18939" xr:uid="{AC26AB92-42C4-421F-AC40-D5956C1A0021}"/>
    <cellStyle name="Comma 2 2 3 2 4 2 2 3 3" xfId="29355" xr:uid="{0760C838-212B-4F44-B151-9996DE425EC1}"/>
    <cellStyle name="Comma 2 2 3 2 4 2 2 4" xfId="4888" xr:uid="{00000000-0005-0000-0000-00002E020000}"/>
    <cellStyle name="Comma 2 2 3 2 4 2 2 4 2" xfId="16474" xr:uid="{F3853AA7-E47F-4EA2-AACF-4331EB0C1C8D}"/>
    <cellStyle name="Comma 2 2 3 2 4 2 2 4 3" xfId="26890" xr:uid="{AEF495EA-FEFE-4E12-81CE-24F0D49B7652}"/>
    <cellStyle name="Comma 2 2 3 2 4 2 2 5" xfId="12581" xr:uid="{8F2500C1-5357-4F87-B6A0-6CEA3316A4DC}"/>
    <cellStyle name="Comma 2 2 3 2 4 2 2 6" xfId="22997" xr:uid="{B2537B0C-0664-4442-AA08-C8E333DAB880}"/>
    <cellStyle name="Comma 2 2 3 2 4 2 3" xfId="248" xr:uid="{00000000-0005-0000-0000-00002F020000}"/>
    <cellStyle name="Comma 2 2 3 2 4 2 3 2" xfId="7395" xr:uid="{00000000-0005-0000-0000-000030020000}"/>
    <cellStyle name="Comma 2 2 3 2 4 2 3 2 2" xfId="18941" xr:uid="{00B4C297-6B68-4ED4-A1F5-3B6F2C7280F4}"/>
    <cellStyle name="Comma 2 2 3 2 4 2 3 2 3" xfId="29357" xr:uid="{15DED839-EEFF-4219-B2FB-7DB5A3C0ED9A}"/>
    <cellStyle name="Comma 2 2 3 2 4 2 3 3" xfId="12583" xr:uid="{454A4119-0DE5-49D1-B995-222D1E6578AF}"/>
    <cellStyle name="Comma 2 2 3 2 4 2 3 4" xfId="22999" xr:uid="{0EBC5990-A761-4B70-A266-AC3F274C634D}"/>
    <cellStyle name="Comma 2 2 3 2 4 2 4" xfId="7392" xr:uid="{00000000-0005-0000-0000-000031020000}"/>
    <cellStyle name="Comma 2 2 3 2 4 2 4 2" xfId="18938" xr:uid="{FFF2529F-E7D5-42FF-BB87-B71F4C2CF229}"/>
    <cellStyle name="Comma 2 2 3 2 4 2 4 3" xfId="29354" xr:uid="{5532FA0D-32B4-41B1-8784-9A7779A97130}"/>
    <cellStyle name="Comma 2 2 3 2 4 2 5" xfId="4887" xr:uid="{00000000-0005-0000-0000-000032020000}"/>
    <cellStyle name="Comma 2 2 3 2 4 2 5 2" xfId="16473" xr:uid="{A341BDC4-9461-496C-AB46-94AD90FC7448}"/>
    <cellStyle name="Comma 2 2 3 2 4 2 5 3" xfId="26889" xr:uid="{6A398834-C327-4D62-85C0-50F5FB9CC368}"/>
    <cellStyle name="Comma 2 2 3 2 4 2 6" xfId="12580" xr:uid="{898A0EF6-28B2-4646-8350-1126AE89A6AD}"/>
    <cellStyle name="Comma 2 2 3 2 4 2 7" xfId="22996" xr:uid="{3ACF429C-E0B6-42BC-BF42-4414A22E96FE}"/>
    <cellStyle name="Comma 2 2 3 2 4 3" xfId="249" xr:uid="{00000000-0005-0000-0000-000033020000}"/>
    <cellStyle name="Comma 2 2 3 2 4 3 2" xfId="250" xr:uid="{00000000-0005-0000-0000-000034020000}"/>
    <cellStyle name="Comma 2 2 3 2 4 3 2 2" xfId="7397" xr:uid="{00000000-0005-0000-0000-000035020000}"/>
    <cellStyle name="Comma 2 2 3 2 4 3 2 2 2" xfId="18943" xr:uid="{8B8F7562-96B7-411E-BD8D-885D738EE5C7}"/>
    <cellStyle name="Comma 2 2 3 2 4 3 2 2 3" xfId="29359" xr:uid="{BD96D32E-5AFA-4680-AA3F-1D949450A234}"/>
    <cellStyle name="Comma 2 2 3 2 4 3 2 3" xfId="12585" xr:uid="{BD004258-2126-43F6-99A7-2BE46EBFE745}"/>
    <cellStyle name="Comma 2 2 3 2 4 3 2 4" xfId="23001" xr:uid="{DDDF8EEF-8CF7-4DF6-8762-0C11B742BA1D}"/>
    <cellStyle name="Comma 2 2 3 2 4 3 3" xfId="7396" xr:uid="{00000000-0005-0000-0000-000036020000}"/>
    <cellStyle name="Comma 2 2 3 2 4 3 3 2" xfId="18942" xr:uid="{4E76D431-173D-4F14-87A4-9ACE01DB0A27}"/>
    <cellStyle name="Comma 2 2 3 2 4 3 3 3" xfId="29358" xr:uid="{5DA92E85-E60E-4F71-9888-A8F68E5CE681}"/>
    <cellStyle name="Comma 2 2 3 2 4 3 4" xfId="4889" xr:uid="{00000000-0005-0000-0000-000037020000}"/>
    <cellStyle name="Comma 2 2 3 2 4 3 4 2" xfId="16475" xr:uid="{FC868CA3-DE7A-404A-AA30-55D51FE04362}"/>
    <cellStyle name="Comma 2 2 3 2 4 3 4 3" xfId="26891" xr:uid="{DFFAAD94-A233-4457-9336-4927E3E9A409}"/>
    <cellStyle name="Comma 2 2 3 2 4 3 5" xfId="12584" xr:uid="{86DFB3BF-E1C4-4E2C-96DF-38E2D2E7B941}"/>
    <cellStyle name="Comma 2 2 3 2 4 3 6" xfId="23000" xr:uid="{092F1336-2CFD-4E2A-A0F1-05A5E54494B9}"/>
    <cellStyle name="Comma 2 2 3 2 4 4" xfId="251" xr:uid="{00000000-0005-0000-0000-000038020000}"/>
    <cellStyle name="Comma 2 2 3 2 4 4 2" xfId="252" xr:uid="{00000000-0005-0000-0000-000039020000}"/>
    <cellStyle name="Comma 2 2 3 2 4 4 2 2" xfId="7399" xr:uid="{00000000-0005-0000-0000-00003A020000}"/>
    <cellStyle name="Comma 2 2 3 2 4 4 2 2 2" xfId="18945" xr:uid="{B37AE85B-B5F4-422D-9564-405546B577BC}"/>
    <cellStyle name="Comma 2 2 3 2 4 4 2 2 3" xfId="29361" xr:uid="{62A74104-48ED-4E8A-BD72-679AC1262CE7}"/>
    <cellStyle name="Comma 2 2 3 2 4 4 2 3" xfId="12587" xr:uid="{2A3A3B41-10C4-4020-8837-C6EB71849B02}"/>
    <cellStyle name="Comma 2 2 3 2 4 4 2 4" xfId="23003" xr:uid="{E948A0E2-BC01-4523-B9D9-DCFDBE33A1D5}"/>
    <cellStyle name="Comma 2 2 3 2 4 4 3" xfId="7398" xr:uid="{00000000-0005-0000-0000-00003B020000}"/>
    <cellStyle name="Comma 2 2 3 2 4 4 3 2" xfId="18944" xr:uid="{4B4CE2A1-337F-4231-A602-2AF692CA2E7D}"/>
    <cellStyle name="Comma 2 2 3 2 4 4 3 3" xfId="29360" xr:uid="{5E31FBB7-DE81-4E57-AE00-2427CC212037}"/>
    <cellStyle name="Comma 2 2 3 2 4 4 4" xfId="4890" xr:uid="{00000000-0005-0000-0000-00003C020000}"/>
    <cellStyle name="Comma 2 2 3 2 4 4 4 2" xfId="16476" xr:uid="{164E4780-4D36-45E8-83E7-7E1AC7A8C28F}"/>
    <cellStyle name="Comma 2 2 3 2 4 4 4 3" xfId="26892" xr:uid="{0FF3E3A5-17A9-4820-B358-87DA29D47B79}"/>
    <cellStyle name="Comma 2 2 3 2 4 4 5" xfId="12586" xr:uid="{1ACD4A09-01DA-4509-AB9E-80D816FEC254}"/>
    <cellStyle name="Comma 2 2 3 2 4 4 6" xfId="23002" xr:uid="{B20A8DB2-584E-4512-875F-C73D99EBBD48}"/>
    <cellStyle name="Comma 2 2 3 2 4 5" xfId="253" xr:uid="{00000000-0005-0000-0000-00003D020000}"/>
    <cellStyle name="Comma 2 2 3 2 4 5 2" xfId="7400" xr:uid="{00000000-0005-0000-0000-00003E020000}"/>
    <cellStyle name="Comma 2 2 3 2 4 5 2 2" xfId="18946" xr:uid="{E18067FE-BC8C-42BC-B8D2-0F8E24E846BC}"/>
    <cellStyle name="Comma 2 2 3 2 4 5 2 3" xfId="29362" xr:uid="{DCB29CE8-28BD-431D-8C72-39942AEC6373}"/>
    <cellStyle name="Comma 2 2 3 2 4 5 3" xfId="12588" xr:uid="{8F165434-D447-405F-8578-6E5EF314B470}"/>
    <cellStyle name="Comma 2 2 3 2 4 5 4" xfId="23004" xr:uid="{9DA59368-7D91-4324-8F7B-CB0BB8A9A2D5}"/>
    <cellStyle name="Comma 2 2 3 2 4 6" xfId="7391" xr:uid="{00000000-0005-0000-0000-00003F020000}"/>
    <cellStyle name="Comma 2 2 3 2 4 6 2" xfId="18937" xr:uid="{554D3491-4B68-42A0-B720-D6D8FA08E611}"/>
    <cellStyle name="Comma 2 2 3 2 4 6 3" xfId="29353" xr:uid="{7CC1AEDC-A311-45B2-BD0B-7A52CA12FDAF}"/>
    <cellStyle name="Comma 2 2 3 2 4 7" xfId="4886" xr:uid="{00000000-0005-0000-0000-000040020000}"/>
    <cellStyle name="Comma 2 2 3 2 4 7 2" xfId="16472" xr:uid="{43C15833-C428-4D58-9A7F-6BC4B3724800}"/>
    <cellStyle name="Comma 2 2 3 2 4 7 3" xfId="26888" xr:uid="{A7A9809A-E23E-4DAD-B9FA-B47AEC1C8E2E}"/>
    <cellStyle name="Comma 2 2 3 2 4 8" xfId="12579" xr:uid="{3E4D9A45-2B54-47F3-A324-788946E74F87}"/>
    <cellStyle name="Comma 2 2 3 2 4 9" xfId="22995" xr:uid="{02CF214C-859E-4D60-99FB-3DFA91E43A09}"/>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2 2 2" xfId="18950" xr:uid="{56EB6EF3-0C39-495F-ACF1-3A7EBBDE832F}"/>
    <cellStyle name="Comma 2 2 3 2 5 2 2 2 2 3" xfId="29366" xr:uid="{EACA1B96-FBB2-44AB-835D-7F8DA596FE1C}"/>
    <cellStyle name="Comma 2 2 3 2 5 2 2 2 3" xfId="12592" xr:uid="{694C123F-B78E-4794-A0B1-3254483E0FE4}"/>
    <cellStyle name="Comma 2 2 3 2 5 2 2 2 4" xfId="23008" xr:uid="{54AE26D5-8B22-4C97-819D-0B9A7C1534A7}"/>
    <cellStyle name="Comma 2 2 3 2 5 2 2 3" xfId="7403" xr:uid="{00000000-0005-0000-0000-000046020000}"/>
    <cellStyle name="Comma 2 2 3 2 5 2 2 3 2" xfId="18949" xr:uid="{A0DFEDEE-2842-488A-A8F0-C9C659BD82A8}"/>
    <cellStyle name="Comma 2 2 3 2 5 2 2 3 3" xfId="29365" xr:uid="{91DB4840-D614-4E76-8D84-AB25D8B63F80}"/>
    <cellStyle name="Comma 2 2 3 2 5 2 2 4" xfId="4893" xr:uid="{00000000-0005-0000-0000-000047020000}"/>
    <cellStyle name="Comma 2 2 3 2 5 2 2 4 2" xfId="16479" xr:uid="{BFCA44F6-253A-462A-86FE-86BFC4EB3E45}"/>
    <cellStyle name="Comma 2 2 3 2 5 2 2 4 3" xfId="26895" xr:uid="{CADDC1E2-AD19-4963-8EFF-BA5D249503EB}"/>
    <cellStyle name="Comma 2 2 3 2 5 2 2 5" xfId="12591" xr:uid="{886C9740-3D97-47F0-9A44-86C111258C43}"/>
    <cellStyle name="Comma 2 2 3 2 5 2 2 6" xfId="23007" xr:uid="{CF0948E6-C17B-4FB3-A884-14C4BFB28B9A}"/>
    <cellStyle name="Comma 2 2 3 2 5 2 3" xfId="258" xr:uid="{00000000-0005-0000-0000-000048020000}"/>
    <cellStyle name="Comma 2 2 3 2 5 2 3 2" xfId="7405" xr:uid="{00000000-0005-0000-0000-000049020000}"/>
    <cellStyle name="Comma 2 2 3 2 5 2 3 2 2" xfId="18951" xr:uid="{15B42470-6E97-46AC-8EE0-46F883ABAA00}"/>
    <cellStyle name="Comma 2 2 3 2 5 2 3 2 3" xfId="29367" xr:uid="{553B5F03-FFAA-46C7-87A1-EE760C416C3A}"/>
    <cellStyle name="Comma 2 2 3 2 5 2 3 3" xfId="12593" xr:uid="{15F846C1-38F6-4C77-BCE2-4FA9BB07A9FB}"/>
    <cellStyle name="Comma 2 2 3 2 5 2 3 4" xfId="23009" xr:uid="{FCE60C7D-4905-4D7A-B40D-3BF2914890F2}"/>
    <cellStyle name="Comma 2 2 3 2 5 2 4" xfId="7402" xr:uid="{00000000-0005-0000-0000-00004A020000}"/>
    <cellStyle name="Comma 2 2 3 2 5 2 4 2" xfId="18948" xr:uid="{8A5FDC10-244A-4F79-9FB7-0D8AED29D60B}"/>
    <cellStyle name="Comma 2 2 3 2 5 2 4 3" xfId="29364" xr:uid="{959EAA86-4B23-467E-844D-44478108DCE5}"/>
    <cellStyle name="Comma 2 2 3 2 5 2 5" xfId="4892" xr:uid="{00000000-0005-0000-0000-00004B020000}"/>
    <cellStyle name="Comma 2 2 3 2 5 2 5 2" xfId="16478" xr:uid="{07CE790F-F879-470F-95B9-4B0AD1AFA61E}"/>
    <cellStyle name="Comma 2 2 3 2 5 2 5 3" xfId="26894" xr:uid="{5D4AC982-A158-4409-A3ED-E96C5B08B2BF}"/>
    <cellStyle name="Comma 2 2 3 2 5 2 6" xfId="12590" xr:uid="{090CAF5E-2F32-4C57-81F4-862F1F67D705}"/>
    <cellStyle name="Comma 2 2 3 2 5 2 7" xfId="23006" xr:uid="{132992A7-1E84-4D9C-8F15-E2530747E714}"/>
    <cellStyle name="Comma 2 2 3 2 5 3" xfId="259" xr:uid="{00000000-0005-0000-0000-00004C020000}"/>
    <cellStyle name="Comma 2 2 3 2 5 3 2" xfId="260" xr:uid="{00000000-0005-0000-0000-00004D020000}"/>
    <cellStyle name="Comma 2 2 3 2 5 3 2 2" xfId="7407" xr:uid="{00000000-0005-0000-0000-00004E020000}"/>
    <cellStyle name="Comma 2 2 3 2 5 3 2 2 2" xfId="18953" xr:uid="{00DA8806-7465-4A52-9D44-491026E59C75}"/>
    <cellStyle name="Comma 2 2 3 2 5 3 2 2 3" xfId="29369" xr:uid="{FBFA008D-3633-4863-B936-9021A5A71145}"/>
    <cellStyle name="Comma 2 2 3 2 5 3 2 3" xfId="12595" xr:uid="{8F7DE088-E417-4E05-94B6-CE00792BED20}"/>
    <cellStyle name="Comma 2 2 3 2 5 3 2 4" xfId="23011" xr:uid="{EE20FD6F-DFBC-4626-AC36-EDF7353EF522}"/>
    <cellStyle name="Comma 2 2 3 2 5 3 3" xfId="7406" xr:uid="{00000000-0005-0000-0000-00004F020000}"/>
    <cellStyle name="Comma 2 2 3 2 5 3 3 2" xfId="18952" xr:uid="{97B7AEF0-D78D-4125-A341-68A466DA3FFC}"/>
    <cellStyle name="Comma 2 2 3 2 5 3 3 3" xfId="29368" xr:uid="{EECA8B6A-2617-4781-A67B-6F6BC499D5C4}"/>
    <cellStyle name="Comma 2 2 3 2 5 3 4" xfId="4894" xr:uid="{00000000-0005-0000-0000-000050020000}"/>
    <cellStyle name="Comma 2 2 3 2 5 3 4 2" xfId="16480" xr:uid="{5D38BA81-F86E-4C25-82FA-2C331E22765B}"/>
    <cellStyle name="Comma 2 2 3 2 5 3 4 3" xfId="26896" xr:uid="{E0B9BABB-5621-455A-863C-DF0EAA0814F2}"/>
    <cellStyle name="Comma 2 2 3 2 5 3 5" xfId="12594" xr:uid="{C0D792B9-071E-47AE-A13E-AFA24D4EDB90}"/>
    <cellStyle name="Comma 2 2 3 2 5 3 6" xfId="23010" xr:uid="{DD5180E2-CB8E-46D4-AF0E-DF5A776A04C6}"/>
    <cellStyle name="Comma 2 2 3 2 5 4" xfId="261" xr:uid="{00000000-0005-0000-0000-000051020000}"/>
    <cellStyle name="Comma 2 2 3 2 5 4 2" xfId="262" xr:uid="{00000000-0005-0000-0000-000052020000}"/>
    <cellStyle name="Comma 2 2 3 2 5 4 2 2" xfId="7409" xr:uid="{00000000-0005-0000-0000-000053020000}"/>
    <cellStyle name="Comma 2 2 3 2 5 4 2 2 2" xfId="18955" xr:uid="{9E785185-6FAC-4E88-A8FC-E1318FD97F48}"/>
    <cellStyle name="Comma 2 2 3 2 5 4 2 2 3" xfId="29371" xr:uid="{ED466848-1BFF-4F95-95D8-DE2899126A1E}"/>
    <cellStyle name="Comma 2 2 3 2 5 4 2 3" xfId="12597" xr:uid="{00F5E257-0628-4E80-BAA6-C993E3AFAD31}"/>
    <cellStyle name="Comma 2 2 3 2 5 4 2 4" xfId="23013" xr:uid="{1CBC09C5-B0E7-43B4-89EC-436FB75FD7FF}"/>
    <cellStyle name="Comma 2 2 3 2 5 4 3" xfId="7408" xr:uid="{00000000-0005-0000-0000-000054020000}"/>
    <cellStyle name="Comma 2 2 3 2 5 4 3 2" xfId="18954" xr:uid="{39D349BB-F25C-4CCC-A815-568FB5349B8B}"/>
    <cellStyle name="Comma 2 2 3 2 5 4 3 3" xfId="29370" xr:uid="{2336C43A-0E56-4F6D-8E64-5C38354F8793}"/>
    <cellStyle name="Comma 2 2 3 2 5 4 4" xfId="4895" xr:uid="{00000000-0005-0000-0000-000055020000}"/>
    <cellStyle name="Comma 2 2 3 2 5 4 4 2" xfId="16481" xr:uid="{D916AAEC-77CD-4E57-9A2D-42B9CA7780D5}"/>
    <cellStyle name="Comma 2 2 3 2 5 4 4 3" xfId="26897" xr:uid="{389B0B1E-5804-43BF-8711-430407C83A28}"/>
    <cellStyle name="Comma 2 2 3 2 5 4 5" xfId="12596" xr:uid="{DABF4C91-879B-4055-82A0-7715D3933B70}"/>
    <cellStyle name="Comma 2 2 3 2 5 4 6" xfId="23012" xr:uid="{8F8057F8-D56E-4447-89D7-B0FC4CEA8E44}"/>
    <cellStyle name="Comma 2 2 3 2 5 5" xfId="263" xr:uid="{00000000-0005-0000-0000-000056020000}"/>
    <cellStyle name="Comma 2 2 3 2 5 5 2" xfId="7410" xr:uid="{00000000-0005-0000-0000-000057020000}"/>
    <cellStyle name="Comma 2 2 3 2 5 5 2 2" xfId="18956" xr:uid="{BE9D7BC0-7A8C-4517-BF4F-471D33E75B99}"/>
    <cellStyle name="Comma 2 2 3 2 5 5 2 3" xfId="29372" xr:uid="{421D28C6-3D82-4E99-858B-B5F04947D319}"/>
    <cellStyle name="Comma 2 2 3 2 5 5 3" xfId="12598" xr:uid="{2C2730C6-274A-4ABF-AC0A-35C2EAA2623D}"/>
    <cellStyle name="Comma 2 2 3 2 5 5 4" xfId="23014" xr:uid="{46BFEDBC-54E7-4913-8949-2BB207EC18A9}"/>
    <cellStyle name="Comma 2 2 3 2 5 6" xfId="7401" xr:uid="{00000000-0005-0000-0000-000058020000}"/>
    <cellStyle name="Comma 2 2 3 2 5 6 2" xfId="18947" xr:uid="{69301515-DD18-4599-8230-8F9A081A7B9D}"/>
    <cellStyle name="Comma 2 2 3 2 5 6 3" xfId="29363" xr:uid="{7ADCFB48-12EC-4C55-B25D-A3863192A17A}"/>
    <cellStyle name="Comma 2 2 3 2 5 7" xfId="4891" xr:uid="{00000000-0005-0000-0000-000059020000}"/>
    <cellStyle name="Comma 2 2 3 2 5 7 2" xfId="16477" xr:uid="{815ABF25-D03C-4A5A-B863-519208D1A6EF}"/>
    <cellStyle name="Comma 2 2 3 2 5 7 3" xfId="26893" xr:uid="{8557EE2E-5361-4CAB-A5D5-689AACD4A096}"/>
    <cellStyle name="Comma 2 2 3 2 5 8" xfId="12589" xr:uid="{1F50722A-2684-4724-8645-C353BCF66B85}"/>
    <cellStyle name="Comma 2 2 3 2 5 9" xfId="23005" xr:uid="{C5B1CFD6-C03C-4679-B27A-0BFBEBE4D3AC}"/>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2 2 2" xfId="18959" xr:uid="{E01C89B2-E7AC-49B4-BBFB-2B2BCA3B314C}"/>
    <cellStyle name="Comma 2 2 3 2 6 2 2 2 3" xfId="29375" xr:uid="{1FF10D91-D0E4-4D91-ADC6-9A8F3DA835E6}"/>
    <cellStyle name="Comma 2 2 3 2 6 2 2 3" xfId="12601" xr:uid="{96EAED3A-13B9-4E4F-B792-8D2F9A353469}"/>
    <cellStyle name="Comma 2 2 3 2 6 2 2 4" xfId="23017" xr:uid="{71E803ED-5CF5-4F8A-AE91-6EF7202000B7}"/>
    <cellStyle name="Comma 2 2 3 2 6 2 3" xfId="7412" xr:uid="{00000000-0005-0000-0000-00005E020000}"/>
    <cellStyle name="Comma 2 2 3 2 6 2 3 2" xfId="18958" xr:uid="{B9E08393-F7F6-4D2B-8AB3-594B2D17213D}"/>
    <cellStyle name="Comma 2 2 3 2 6 2 3 3" xfId="29374" xr:uid="{83C7301F-7B11-41CF-AE10-86D1A0FFD8C5}"/>
    <cellStyle name="Comma 2 2 3 2 6 2 4" xfId="4897" xr:uid="{00000000-0005-0000-0000-00005F020000}"/>
    <cellStyle name="Comma 2 2 3 2 6 2 4 2" xfId="16483" xr:uid="{6B6A1F68-D9F6-4519-BB98-D5F9850A60D6}"/>
    <cellStyle name="Comma 2 2 3 2 6 2 4 3" xfId="26899" xr:uid="{9A7750A7-8DDC-4671-BC68-8A5494BD93EA}"/>
    <cellStyle name="Comma 2 2 3 2 6 2 5" xfId="12600" xr:uid="{E24ACEC3-8D9D-49EE-8938-D7A18C33597F}"/>
    <cellStyle name="Comma 2 2 3 2 6 2 6" xfId="23016" xr:uid="{285C1D8F-1E94-46EE-866A-2C13708B026B}"/>
    <cellStyle name="Comma 2 2 3 2 6 3" xfId="267" xr:uid="{00000000-0005-0000-0000-000060020000}"/>
    <cellStyle name="Comma 2 2 3 2 6 3 2" xfId="268" xr:uid="{00000000-0005-0000-0000-000061020000}"/>
    <cellStyle name="Comma 2 2 3 2 6 3 2 2" xfId="7415" xr:uid="{00000000-0005-0000-0000-000062020000}"/>
    <cellStyle name="Comma 2 2 3 2 6 3 2 2 2" xfId="18961" xr:uid="{EAEAD13A-0ABD-423B-90EF-52C8236155AB}"/>
    <cellStyle name="Comma 2 2 3 2 6 3 2 2 3" xfId="29377" xr:uid="{D726CAED-1CAD-4D8F-81B4-34470526CE19}"/>
    <cellStyle name="Comma 2 2 3 2 6 3 2 3" xfId="12603" xr:uid="{2E83CA11-E99C-4EF0-9486-C047704EE186}"/>
    <cellStyle name="Comma 2 2 3 2 6 3 2 4" xfId="23019" xr:uid="{02ED110D-8FCC-4CE1-AB84-8DDE46741694}"/>
    <cellStyle name="Comma 2 2 3 2 6 3 3" xfId="7414" xr:uid="{00000000-0005-0000-0000-000063020000}"/>
    <cellStyle name="Comma 2 2 3 2 6 3 3 2" xfId="18960" xr:uid="{F21CC59C-839E-4B15-BEC8-9713EB478A94}"/>
    <cellStyle name="Comma 2 2 3 2 6 3 3 3" xfId="29376" xr:uid="{8A3B45A1-B87C-4A10-8CBF-83CB16DB12BE}"/>
    <cellStyle name="Comma 2 2 3 2 6 3 4" xfId="4898" xr:uid="{00000000-0005-0000-0000-000064020000}"/>
    <cellStyle name="Comma 2 2 3 2 6 3 4 2" xfId="16484" xr:uid="{E1417FC1-E597-40F7-BA70-88C9ADF62B90}"/>
    <cellStyle name="Comma 2 2 3 2 6 3 4 3" xfId="26900" xr:uid="{ABBD6A88-09B3-4959-8945-F00ECFC1E4F2}"/>
    <cellStyle name="Comma 2 2 3 2 6 3 5" xfId="12602" xr:uid="{F36989C9-E637-4FCD-9AAB-95C5ACAEC1FE}"/>
    <cellStyle name="Comma 2 2 3 2 6 3 6" xfId="23018" xr:uid="{4BC4C7C2-D734-4A68-B83E-A20842DFB864}"/>
    <cellStyle name="Comma 2 2 3 2 6 4" xfId="269" xr:uid="{00000000-0005-0000-0000-000065020000}"/>
    <cellStyle name="Comma 2 2 3 2 6 4 2" xfId="7416" xr:uid="{00000000-0005-0000-0000-000066020000}"/>
    <cellStyle name="Comma 2 2 3 2 6 4 2 2" xfId="18962" xr:uid="{0CB3F849-F477-48BE-999E-27A127BE2890}"/>
    <cellStyle name="Comma 2 2 3 2 6 4 2 3" xfId="29378" xr:uid="{18EEB8D1-F67B-47AB-BCB6-3E75BE984BCD}"/>
    <cellStyle name="Comma 2 2 3 2 6 4 3" xfId="12604" xr:uid="{810ABF8E-CB77-4C8D-BDAB-E2EC2501B2FA}"/>
    <cellStyle name="Comma 2 2 3 2 6 4 4" xfId="23020" xr:uid="{1C8C6311-4488-40C6-BA2C-B35D66F24621}"/>
    <cellStyle name="Comma 2 2 3 2 6 5" xfId="7411" xr:uid="{00000000-0005-0000-0000-000067020000}"/>
    <cellStyle name="Comma 2 2 3 2 6 5 2" xfId="18957" xr:uid="{55DB9D1A-0DF7-44A1-BA67-8A97116BD90D}"/>
    <cellStyle name="Comma 2 2 3 2 6 5 3" xfId="29373" xr:uid="{6A46591E-5D13-49BD-8BED-CC455CCCD4A2}"/>
    <cellStyle name="Comma 2 2 3 2 6 6" xfId="4896" xr:uid="{00000000-0005-0000-0000-000068020000}"/>
    <cellStyle name="Comma 2 2 3 2 6 6 2" xfId="16482" xr:uid="{1BAF6831-DAF5-4589-87BF-E2C1A102434F}"/>
    <cellStyle name="Comma 2 2 3 2 6 6 3" xfId="26898" xr:uid="{37CFE5B1-B895-4C71-931F-39C6829265CA}"/>
    <cellStyle name="Comma 2 2 3 2 6 7" xfId="12599" xr:uid="{325D00A0-BE47-4F43-B069-513B991F456F}"/>
    <cellStyle name="Comma 2 2 3 2 6 8" xfId="23015" xr:uid="{394878C2-0372-42AE-8162-A98B4CF4A43A}"/>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2 2 2" xfId="18965" xr:uid="{E576E712-69CB-4DB7-96EC-FDD414832C0F}"/>
    <cellStyle name="Comma 2 2 3 2 7 2 2 2 3" xfId="29381" xr:uid="{3AD7CE91-B7BC-4D94-9648-9930D5491D1A}"/>
    <cellStyle name="Comma 2 2 3 2 7 2 2 3" xfId="12607" xr:uid="{FE08EE85-351D-4064-9A02-2F3A9A857E17}"/>
    <cellStyle name="Comma 2 2 3 2 7 2 2 4" xfId="23023" xr:uid="{C8A9A0D6-8617-4CB3-ACF5-6FE9F43ECAA3}"/>
    <cellStyle name="Comma 2 2 3 2 7 2 3" xfId="7418" xr:uid="{00000000-0005-0000-0000-00006D020000}"/>
    <cellStyle name="Comma 2 2 3 2 7 2 3 2" xfId="18964" xr:uid="{19E267C6-5F07-4CC4-8494-549F0C61EFD1}"/>
    <cellStyle name="Comma 2 2 3 2 7 2 3 3" xfId="29380" xr:uid="{64F6E276-2AE4-448C-953C-536A520F774A}"/>
    <cellStyle name="Comma 2 2 3 2 7 2 4" xfId="4900" xr:uid="{00000000-0005-0000-0000-00006E020000}"/>
    <cellStyle name="Comma 2 2 3 2 7 2 4 2" xfId="16486" xr:uid="{84289EEC-5029-44CB-A23D-D7D6CAA9DF3D}"/>
    <cellStyle name="Comma 2 2 3 2 7 2 4 3" xfId="26902" xr:uid="{0FFDCACB-0F88-45BC-A168-934ECD710339}"/>
    <cellStyle name="Comma 2 2 3 2 7 2 5" xfId="12606" xr:uid="{6FC69E57-7EDB-432C-A537-3FF23DD9CB46}"/>
    <cellStyle name="Comma 2 2 3 2 7 2 6" xfId="23022" xr:uid="{FFAE425C-1466-4714-A394-E1AA32B2955A}"/>
    <cellStyle name="Comma 2 2 3 2 7 3" xfId="273" xr:uid="{00000000-0005-0000-0000-00006F020000}"/>
    <cellStyle name="Comma 2 2 3 2 7 3 2" xfId="7420" xr:uid="{00000000-0005-0000-0000-000070020000}"/>
    <cellStyle name="Comma 2 2 3 2 7 3 2 2" xfId="18966" xr:uid="{9FE9148E-1223-4E01-A684-506CAFE6AC74}"/>
    <cellStyle name="Comma 2 2 3 2 7 3 2 3" xfId="29382" xr:uid="{A30A41F8-BB77-4071-A060-6735D0B3E1CE}"/>
    <cellStyle name="Comma 2 2 3 2 7 3 3" xfId="12608" xr:uid="{76408AB7-AF2A-4781-AE4F-FCF5098DEA8E}"/>
    <cellStyle name="Comma 2 2 3 2 7 3 4" xfId="23024" xr:uid="{77DB070A-809E-4223-8B87-DD8E7E2CE8DA}"/>
    <cellStyle name="Comma 2 2 3 2 7 4" xfId="7417" xr:uid="{00000000-0005-0000-0000-000071020000}"/>
    <cellStyle name="Comma 2 2 3 2 7 4 2" xfId="18963" xr:uid="{F82F47F3-BC04-4874-9BD0-6107AA3B3258}"/>
    <cellStyle name="Comma 2 2 3 2 7 4 3" xfId="29379" xr:uid="{6EED2C6B-B277-411C-9D95-DB2777384454}"/>
    <cellStyle name="Comma 2 2 3 2 7 5" xfId="4899" xr:uid="{00000000-0005-0000-0000-000072020000}"/>
    <cellStyle name="Comma 2 2 3 2 7 5 2" xfId="16485" xr:uid="{7EB9B895-548F-4C2B-9D00-626602E4FC69}"/>
    <cellStyle name="Comma 2 2 3 2 7 5 3" xfId="26901" xr:uid="{EC935A2C-3259-4419-B127-99DE03D940E0}"/>
    <cellStyle name="Comma 2 2 3 2 7 6" xfId="12605" xr:uid="{CB2EDA1C-E34B-4D34-9577-A6DAA4392E62}"/>
    <cellStyle name="Comma 2 2 3 2 7 7" xfId="23021" xr:uid="{C8719F18-1796-4E4E-AA9E-A6383BEF607B}"/>
    <cellStyle name="Comma 2 2 3 2 8" xfId="274" xr:uid="{00000000-0005-0000-0000-000073020000}"/>
    <cellStyle name="Comma 2 2 3 2 8 2" xfId="275" xr:uid="{00000000-0005-0000-0000-000074020000}"/>
    <cellStyle name="Comma 2 2 3 2 8 2 2" xfId="7422" xr:uid="{00000000-0005-0000-0000-000075020000}"/>
    <cellStyle name="Comma 2 2 3 2 8 2 2 2" xfId="18968" xr:uid="{542B5886-C835-48BE-B389-027C86D75234}"/>
    <cellStyle name="Comma 2 2 3 2 8 2 2 3" xfId="29384" xr:uid="{1A946EE0-F5C8-428C-8DDF-79D23097DAFF}"/>
    <cellStyle name="Comma 2 2 3 2 8 2 3" xfId="12610" xr:uid="{2247DD2F-9FD0-4A1A-97F8-F7EC1B937154}"/>
    <cellStyle name="Comma 2 2 3 2 8 2 4" xfId="23026" xr:uid="{B9908567-CAD0-475E-9907-55B7D31FB2DF}"/>
    <cellStyle name="Comma 2 2 3 2 8 3" xfId="7421" xr:uid="{00000000-0005-0000-0000-000076020000}"/>
    <cellStyle name="Comma 2 2 3 2 8 3 2" xfId="18967" xr:uid="{7CEDD5B6-68FB-4C41-912F-2A0CBD280D7E}"/>
    <cellStyle name="Comma 2 2 3 2 8 3 3" xfId="29383" xr:uid="{59B7F898-4660-4709-AAF4-B144D905B61C}"/>
    <cellStyle name="Comma 2 2 3 2 8 4" xfId="4901" xr:uid="{00000000-0005-0000-0000-000077020000}"/>
    <cellStyle name="Comma 2 2 3 2 8 4 2" xfId="16487" xr:uid="{99FB1BA5-A751-4191-80A3-3FA74099BCB3}"/>
    <cellStyle name="Comma 2 2 3 2 8 4 3" xfId="26903" xr:uid="{CDC3B0A9-B67B-40E6-BF54-C3CCE7655ABF}"/>
    <cellStyle name="Comma 2 2 3 2 8 5" xfId="12609" xr:uid="{C9399DB2-5E01-499D-93B5-037BDCDC176F}"/>
    <cellStyle name="Comma 2 2 3 2 8 6" xfId="23025" xr:uid="{691A0C3D-F0FE-481C-953B-8FA3481B951C}"/>
    <cellStyle name="Comma 2 2 3 2 9" xfId="276" xr:uid="{00000000-0005-0000-0000-000078020000}"/>
    <cellStyle name="Comma 2 2 3 2 9 2" xfId="277" xr:uid="{00000000-0005-0000-0000-000079020000}"/>
    <cellStyle name="Comma 2 2 3 2 9 2 2" xfId="7424" xr:uid="{00000000-0005-0000-0000-00007A020000}"/>
    <cellStyle name="Comma 2 2 3 2 9 2 2 2" xfId="18970" xr:uid="{2AA2F740-29EA-4EDB-8014-CEC83DB602F0}"/>
    <cellStyle name="Comma 2 2 3 2 9 2 2 3" xfId="29386" xr:uid="{ECFCCA11-7597-46FD-A5B2-8303BFAB36DE}"/>
    <cellStyle name="Comma 2 2 3 2 9 2 3" xfId="12612" xr:uid="{6207CB83-C69F-491F-8770-3592CB918653}"/>
    <cellStyle name="Comma 2 2 3 2 9 2 4" xfId="23028" xr:uid="{274620F1-215E-4019-AE13-51CB60EB1C5A}"/>
    <cellStyle name="Comma 2 2 3 2 9 3" xfId="7423" xr:uid="{00000000-0005-0000-0000-00007B020000}"/>
    <cellStyle name="Comma 2 2 3 2 9 3 2" xfId="18969" xr:uid="{EE3D4959-387B-41DA-926B-924FEECF87D3}"/>
    <cellStyle name="Comma 2 2 3 2 9 3 3" xfId="29385" xr:uid="{5AB403E2-18EC-4F8A-ABA6-71B03AE921F6}"/>
    <cellStyle name="Comma 2 2 3 2 9 4" xfId="4902" xr:uid="{00000000-0005-0000-0000-00007C020000}"/>
    <cellStyle name="Comma 2 2 3 2 9 4 2" xfId="16488" xr:uid="{34B1F051-CBD1-426E-BD35-345F4AD0C628}"/>
    <cellStyle name="Comma 2 2 3 2 9 4 3" xfId="26904" xr:uid="{05D719C9-1C9B-4735-BCFA-0E67D28B0AEE}"/>
    <cellStyle name="Comma 2 2 3 2 9 5" xfId="12611" xr:uid="{3D499F9A-D122-476C-AB19-8E1344F6A6C5}"/>
    <cellStyle name="Comma 2 2 3 2 9 6" xfId="23027" xr:uid="{B31F9897-7430-41AB-97AE-CC6F9DE8C219}"/>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2 2 2" xfId="18974" xr:uid="{81305656-A71B-4D02-8812-8ACBC50622F7}"/>
    <cellStyle name="Comma 2 2 3 3 2 2 2 2 3" xfId="29390" xr:uid="{3CE6F00E-06CC-4B75-AD38-12338A15AB35}"/>
    <cellStyle name="Comma 2 2 3 3 2 2 2 3" xfId="12616" xr:uid="{E050AE8F-71EC-42D4-A309-FA7B7BE9F74C}"/>
    <cellStyle name="Comma 2 2 3 3 2 2 2 4" xfId="23032" xr:uid="{D6B13AE7-05E3-4925-A9A4-E10FACD1F46A}"/>
    <cellStyle name="Comma 2 2 3 3 2 2 3" xfId="7427" xr:uid="{00000000-0005-0000-0000-000082020000}"/>
    <cellStyle name="Comma 2 2 3 3 2 2 3 2" xfId="18973" xr:uid="{949A97BD-5628-4688-8327-EA7C972ADF6E}"/>
    <cellStyle name="Comma 2 2 3 3 2 2 3 3" xfId="29389" xr:uid="{6316B1DB-10A5-43A4-ACE3-3CAEB6F3CB1C}"/>
    <cellStyle name="Comma 2 2 3 3 2 2 4" xfId="4905" xr:uid="{00000000-0005-0000-0000-000083020000}"/>
    <cellStyle name="Comma 2 2 3 3 2 2 4 2" xfId="16491" xr:uid="{9BA6FFDF-6979-4720-9E52-57435B365462}"/>
    <cellStyle name="Comma 2 2 3 3 2 2 4 3" xfId="26907" xr:uid="{A55C13A8-8D59-4051-84C4-CA132EA0FFF3}"/>
    <cellStyle name="Comma 2 2 3 3 2 2 5" xfId="12615" xr:uid="{50B1798F-432B-408B-81DD-24ED59889229}"/>
    <cellStyle name="Comma 2 2 3 3 2 2 6" xfId="23031" xr:uid="{EBCC681F-0E13-42FA-BDC0-3CD4DF5552A8}"/>
    <cellStyle name="Comma 2 2 3 3 2 3" xfId="282" xr:uid="{00000000-0005-0000-0000-000084020000}"/>
    <cellStyle name="Comma 2 2 3 3 2 3 2" xfId="7429" xr:uid="{00000000-0005-0000-0000-000085020000}"/>
    <cellStyle name="Comma 2 2 3 3 2 3 2 2" xfId="18975" xr:uid="{69307996-DDCE-4636-9FFC-910D0A705311}"/>
    <cellStyle name="Comma 2 2 3 3 2 3 2 3" xfId="29391" xr:uid="{2A7D2C4A-9F0F-49CC-8B2A-02493982E272}"/>
    <cellStyle name="Comma 2 2 3 3 2 3 3" xfId="12617" xr:uid="{EDB04A0F-32DA-4930-B2DA-C0A1F6FD909D}"/>
    <cellStyle name="Comma 2 2 3 3 2 3 4" xfId="23033" xr:uid="{DD79E127-FAD6-4673-81F0-E917F1613AF0}"/>
    <cellStyle name="Comma 2 2 3 3 2 4" xfId="7426" xr:uid="{00000000-0005-0000-0000-000086020000}"/>
    <cellStyle name="Comma 2 2 3 3 2 4 2" xfId="18972" xr:uid="{19AE5D0F-8237-45F7-8408-42543A2D7994}"/>
    <cellStyle name="Comma 2 2 3 3 2 4 3" xfId="29388" xr:uid="{443B3128-B377-4BCE-A133-73910C8C8107}"/>
    <cellStyle name="Comma 2 2 3 3 2 5" xfId="4904" xr:uid="{00000000-0005-0000-0000-000087020000}"/>
    <cellStyle name="Comma 2 2 3 3 2 5 2" xfId="16490" xr:uid="{0D9A9700-1727-4BFE-940C-06F0FB7A682D}"/>
    <cellStyle name="Comma 2 2 3 3 2 5 3" xfId="26906" xr:uid="{BEAC36BE-82DD-4099-B38A-81DC8FFE3444}"/>
    <cellStyle name="Comma 2 2 3 3 2 6" xfId="12614" xr:uid="{555C66E2-35D8-45C8-8222-D7EC51DA5DF6}"/>
    <cellStyle name="Comma 2 2 3 3 2 7" xfId="23030" xr:uid="{A6B96942-BC92-4DA2-85DD-E9647596DD8E}"/>
    <cellStyle name="Comma 2 2 3 3 3" xfId="283" xr:uid="{00000000-0005-0000-0000-000088020000}"/>
    <cellStyle name="Comma 2 2 3 3 3 2" xfId="284" xr:uid="{00000000-0005-0000-0000-000089020000}"/>
    <cellStyle name="Comma 2 2 3 3 3 2 2" xfId="7431" xr:uid="{00000000-0005-0000-0000-00008A020000}"/>
    <cellStyle name="Comma 2 2 3 3 3 2 2 2" xfId="18977" xr:uid="{A65B7BB5-DB26-461D-BADC-E168E64E77A4}"/>
    <cellStyle name="Comma 2 2 3 3 3 2 2 3" xfId="29393" xr:uid="{F6C04F23-CF5E-4F96-BA33-DF6AE0F60263}"/>
    <cellStyle name="Comma 2 2 3 3 3 2 3" xfId="12619" xr:uid="{73CA75A8-129C-4C8E-A382-A9E6B2F973C2}"/>
    <cellStyle name="Comma 2 2 3 3 3 2 4" xfId="23035" xr:uid="{FE61C1D7-1293-4FAC-A6C5-E8491CC3BFB7}"/>
    <cellStyle name="Comma 2 2 3 3 3 3" xfId="7430" xr:uid="{00000000-0005-0000-0000-00008B020000}"/>
    <cellStyle name="Comma 2 2 3 3 3 3 2" xfId="18976" xr:uid="{D5C1BB74-5C86-4026-AE84-5334F437FB8C}"/>
    <cellStyle name="Comma 2 2 3 3 3 3 3" xfId="29392" xr:uid="{36045430-D4E0-44A0-89FF-01C5F5B0142D}"/>
    <cellStyle name="Comma 2 2 3 3 3 4" xfId="4906" xr:uid="{00000000-0005-0000-0000-00008C020000}"/>
    <cellStyle name="Comma 2 2 3 3 3 4 2" xfId="16492" xr:uid="{2AAB7712-E1CC-4324-81E7-748108C81BE3}"/>
    <cellStyle name="Comma 2 2 3 3 3 4 3" xfId="26908" xr:uid="{337E0CD4-DC6B-474A-9C70-B8A19DB31499}"/>
    <cellStyle name="Comma 2 2 3 3 3 5" xfId="12618" xr:uid="{9E03F26F-AE59-4F1D-AD98-3D91FC5150EA}"/>
    <cellStyle name="Comma 2 2 3 3 3 6" xfId="23034" xr:uid="{2576F136-A4DC-4CD3-AE9F-2E2CBD5D4D8E}"/>
    <cellStyle name="Comma 2 2 3 3 4" xfId="285" xr:uid="{00000000-0005-0000-0000-00008D020000}"/>
    <cellStyle name="Comma 2 2 3 3 4 2" xfId="286" xr:uid="{00000000-0005-0000-0000-00008E020000}"/>
    <cellStyle name="Comma 2 2 3 3 4 2 2" xfId="7433" xr:uid="{00000000-0005-0000-0000-00008F020000}"/>
    <cellStyle name="Comma 2 2 3 3 4 2 2 2" xfId="18979" xr:uid="{7E13CD9D-66CA-4FB0-A8DA-B520B9F2C0F9}"/>
    <cellStyle name="Comma 2 2 3 3 4 2 2 3" xfId="29395" xr:uid="{E0068695-76D1-4F7E-98CE-2CDDFD3DB238}"/>
    <cellStyle name="Comma 2 2 3 3 4 2 3" xfId="12621" xr:uid="{CCBB1410-685E-4836-AFE8-E35051EE0523}"/>
    <cellStyle name="Comma 2 2 3 3 4 2 4" xfId="23037" xr:uid="{BC5DDBA8-9FEF-4967-A40D-ECE07D637C89}"/>
    <cellStyle name="Comma 2 2 3 3 4 3" xfId="7432" xr:uid="{00000000-0005-0000-0000-000090020000}"/>
    <cellStyle name="Comma 2 2 3 3 4 3 2" xfId="18978" xr:uid="{BA0A604C-A94B-48FF-ACE1-4FD7648C736C}"/>
    <cellStyle name="Comma 2 2 3 3 4 3 3" xfId="29394" xr:uid="{672467A6-B27C-43FB-A025-B9FF1D078A0C}"/>
    <cellStyle name="Comma 2 2 3 3 4 4" xfId="4907" xr:uid="{00000000-0005-0000-0000-000091020000}"/>
    <cellStyle name="Comma 2 2 3 3 4 4 2" xfId="16493" xr:uid="{807150EC-2145-415F-A99B-717A9C897F01}"/>
    <cellStyle name="Comma 2 2 3 3 4 4 3" xfId="26909" xr:uid="{7B51D076-7D0E-4EF1-85F0-5387DC4E490C}"/>
    <cellStyle name="Comma 2 2 3 3 4 5" xfId="12620" xr:uid="{E9F84C8E-2244-47C4-B635-4CA0BBDC0623}"/>
    <cellStyle name="Comma 2 2 3 3 4 6" xfId="23036" xr:uid="{CB667F76-0B04-4799-A280-189CBE30A438}"/>
    <cellStyle name="Comma 2 2 3 3 5" xfId="287" xr:uid="{00000000-0005-0000-0000-000092020000}"/>
    <cellStyle name="Comma 2 2 3 3 5 2" xfId="7434" xr:uid="{00000000-0005-0000-0000-000093020000}"/>
    <cellStyle name="Comma 2 2 3 3 5 2 2" xfId="18980" xr:uid="{2E4A80B9-C844-40A2-AE72-D830EF62FC40}"/>
    <cellStyle name="Comma 2 2 3 3 5 2 3" xfId="29396" xr:uid="{4F3F6D91-BF62-4392-9FB1-94D495F92A49}"/>
    <cellStyle name="Comma 2 2 3 3 5 3" xfId="12622" xr:uid="{CA0FF14C-854C-47BE-AE90-E1BBDDCCD3B9}"/>
    <cellStyle name="Comma 2 2 3 3 5 4" xfId="23038" xr:uid="{7FD3A2C2-C8C5-4340-8D59-3F90FA6C80DC}"/>
    <cellStyle name="Comma 2 2 3 3 6" xfId="7425" xr:uid="{00000000-0005-0000-0000-000094020000}"/>
    <cellStyle name="Comma 2 2 3 3 6 2" xfId="18971" xr:uid="{EB97E61F-035C-40A5-AB7E-6B2F50A823F8}"/>
    <cellStyle name="Comma 2 2 3 3 6 3" xfId="29387" xr:uid="{A83FE067-4588-4D24-A092-F1EA1BA7AC34}"/>
    <cellStyle name="Comma 2 2 3 3 7" xfId="4903" xr:uid="{00000000-0005-0000-0000-000095020000}"/>
    <cellStyle name="Comma 2 2 3 3 7 2" xfId="16489" xr:uid="{863F4C79-3595-4DB7-A28E-ED2F4B25CCEE}"/>
    <cellStyle name="Comma 2 2 3 3 7 3" xfId="26905" xr:uid="{1B45EE8E-9D98-4698-8C95-C5A7B470356A}"/>
    <cellStyle name="Comma 2 2 3 3 8" xfId="12613" xr:uid="{977577EB-E33A-4742-8797-035BA2598628}"/>
    <cellStyle name="Comma 2 2 3 3 9" xfId="23029" xr:uid="{AA798557-7A1E-4FD5-BBF2-8E2352789383}"/>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2 2 2" xfId="18984" xr:uid="{25B12CEF-FE86-4DE0-9EF5-53BF0BAB4684}"/>
    <cellStyle name="Comma 2 2 3 4 2 2 2 2 3" xfId="29400" xr:uid="{A1F55CF0-949E-4E97-BB7D-A0AE183BA8FA}"/>
    <cellStyle name="Comma 2 2 3 4 2 2 2 3" xfId="12626" xr:uid="{28B8B144-C0DB-4D94-AB6F-E0351A2895FB}"/>
    <cellStyle name="Comma 2 2 3 4 2 2 2 4" xfId="23042" xr:uid="{B6871D63-7C8F-4F7E-991E-B0852FF7B103}"/>
    <cellStyle name="Comma 2 2 3 4 2 2 3" xfId="7437" xr:uid="{00000000-0005-0000-0000-00009B020000}"/>
    <cellStyle name="Comma 2 2 3 4 2 2 3 2" xfId="18983" xr:uid="{81B054D8-FF7D-405D-A3D0-AFB6944695D5}"/>
    <cellStyle name="Comma 2 2 3 4 2 2 3 3" xfId="29399" xr:uid="{461932BB-2DC8-4462-B384-AC62995AA796}"/>
    <cellStyle name="Comma 2 2 3 4 2 2 4" xfId="4910" xr:uid="{00000000-0005-0000-0000-00009C020000}"/>
    <cellStyle name="Comma 2 2 3 4 2 2 4 2" xfId="16496" xr:uid="{6D60881C-48A6-45C0-8439-86D1EA947F22}"/>
    <cellStyle name="Comma 2 2 3 4 2 2 4 3" xfId="26912" xr:uid="{5221FBFA-C900-46F3-A4B6-6FD551605484}"/>
    <cellStyle name="Comma 2 2 3 4 2 2 5" xfId="12625" xr:uid="{9E44FFC8-23C2-4564-B920-0A499B3E5AEC}"/>
    <cellStyle name="Comma 2 2 3 4 2 2 6" xfId="23041" xr:uid="{8F8780F6-5B2A-4762-9488-C8E24541C2D6}"/>
    <cellStyle name="Comma 2 2 3 4 2 3" xfId="292" xr:uid="{00000000-0005-0000-0000-00009D020000}"/>
    <cellStyle name="Comma 2 2 3 4 2 3 2" xfId="7439" xr:uid="{00000000-0005-0000-0000-00009E020000}"/>
    <cellStyle name="Comma 2 2 3 4 2 3 2 2" xfId="18985" xr:uid="{33F51A4C-F92A-4902-81C2-276A7D057034}"/>
    <cellStyle name="Comma 2 2 3 4 2 3 2 3" xfId="29401" xr:uid="{0DC7748A-7ABC-449F-9D85-CB93948D7633}"/>
    <cellStyle name="Comma 2 2 3 4 2 3 3" xfId="12627" xr:uid="{F317AAF0-E85E-4BC4-AF16-8B9CFEAB070D}"/>
    <cellStyle name="Comma 2 2 3 4 2 3 4" xfId="23043" xr:uid="{4DD9F662-4819-4333-8AD6-3274FF484490}"/>
    <cellStyle name="Comma 2 2 3 4 2 4" xfId="7436" xr:uid="{00000000-0005-0000-0000-00009F020000}"/>
    <cellStyle name="Comma 2 2 3 4 2 4 2" xfId="18982" xr:uid="{C90F9966-5927-4C2E-BC0B-ACC1A9E434C2}"/>
    <cellStyle name="Comma 2 2 3 4 2 4 3" xfId="29398" xr:uid="{52FFD096-9B2A-488A-92B4-8C62024CCCC2}"/>
    <cellStyle name="Comma 2 2 3 4 2 5" xfId="4909" xr:uid="{00000000-0005-0000-0000-0000A0020000}"/>
    <cellStyle name="Comma 2 2 3 4 2 5 2" xfId="16495" xr:uid="{8B31554B-F18D-4680-BF2B-FD783C1C431E}"/>
    <cellStyle name="Comma 2 2 3 4 2 5 3" xfId="26911" xr:uid="{6D1ACBDC-D089-4CD4-965A-2EF0CE202B90}"/>
    <cellStyle name="Comma 2 2 3 4 2 6" xfId="12624" xr:uid="{EAFCC049-1029-44D3-B8C1-9460805ACACC}"/>
    <cellStyle name="Comma 2 2 3 4 2 7" xfId="23040" xr:uid="{75288D59-94AD-4E46-83F4-503467192548}"/>
    <cellStyle name="Comma 2 2 3 4 3" xfId="293" xr:uid="{00000000-0005-0000-0000-0000A1020000}"/>
    <cellStyle name="Comma 2 2 3 4 3 2" xfId="294" xr:uid="{00000000-0005-0000-0000-0000A2020000}"/>
    <cellStyle name="Comma 2 2 3 4 3 2 2" xfId="7441" xr:uid="{00000000-0005-0000-0000-0000A3020000}"/>
    <cellStyle name="Comma 2 2 3 4 3 2 2 2" xfId="18987" xr:uid="{D104B4C2-70D1-486F-9ECA-53BEA94038BB}"/>
    <cellStyle name="Comma 2 2 3 4 3 2 2 3" xfId="29403" xr:uid="{2FAE4B4B-E291-471A-8D21-8AAAE3E4EB8D}"/>
    <cellStyle name="Comma 2 2 3 4 3 2 3" xfId="12629" xr:uid="{E8E9D81B-E318-4C48-8480-0E0607FF8446}"/>
    <cellStyle name="Comma 2 2 3 4 3 2 4" xfId="23045" xr:uid="{73A67217-81AD-4791-995D-555775E44ECC}"/>
    <cellStyle name="Comma 2 2 3 4 3 3" xfId="7440" xr:uid="{00000000-0005-0000-0000-0000A4020000}"/>
    <cellStyle name="Comma 2 2 3 4 3 3 2" xfId="18986" xr:uid="{7313FD18-9392-4750-AB6B-17D67AD24838}"/>
    <cellStyle name="Comma 2 2 3 4 3 3 3" xfId="29402" xr:uid="{6908ABEA-6CD9-4603-BEC6-75A8C6E8ED20}"/>
    <cellStyle name="Comma 2 2 3 4 3 4" xfId="4911" xr:uid="{00000000-0005-0000-0000-0000A5020000}"/>
    <cellStyle name="Comma 2 2 3 4 3 4 2" xfId="16497" xr:uid="{3349F0C4-539A-489C-B8C9-8271C2F7B6DC}"/>
    <cellStyle name="Comma 2 2 3 4 3 4 3" xfId="26913" xr:uid="{1639540D-1B24-4D82-91BE-4148722D774A}"/>
    <cellStyle name="Comma 2 2 3 4 3 5" xfId="12628" xr:uid="{E0BAFB87-A336-435C-A3E8-89F39F72C919}"/>
    <cellStyle name="Comma 2 2 3 4 3 6" xfId="23044" xr:uid="{38C48EAC-C4B7-4547-A2F6-95BF13DDA26B}"/>
    <cellStyle name="Comma 2 2 3 4 4" xfId="295" xr:uid="{00000000-0005-0000-0000-0000A6020000}"/>
    <cellStyle name="Comma 2 2 3 4 4 2" xfId="296" xr:uid="{00000000-0005-0000-0000-0000A7020000}"/>
    <cellStyle name="Comma 2 2 3 4 4 2 2" xfId="7443" xr:uid="{00000000-0005-0000-0000-0000A8020000}"/>
    <cellStyle name="Comma 2 2 3 4 4 2 2 2" xfId="18989" xr:uid="{303C60D3-C310-445B-A6B3-B9809AA8BA9B}"/>
    <cellStyle name="Comma 2 2 3 4 4 2 2 3" xfId="29405" xr:uid="{DC312B97-3E6C-45B3-8205-C00171B30704}"/>
    <cellStyle name="Comma 2 2 3 4 4 2 3" xfId="12631" xr:uid="{78A2D7A3-E8BC-4EF8-9A84-B9A47F715214}"/>
    <cellStyle name="Comma 2 2 3 4 4 2 4" xfId="23047" xr:uid="{8B57727E-D3C4-49CB-9FC6-5A51D43C22D5}"/>
    <cellStyle name="Comma 2 2 3 4 4 3" xfId="7442" xr:uid="{00000000-0005-0000-0000-0000A9020000}"/>
    <cellStyle name="Comma 2 2 3 4 4 3 2" xfId="18988" xr:uid="{C5679894-9840-4F27-A7CE-ACA98F9DA887}"/>
    <cellStyle name="Comma 2 2 3 4 4 3 3" xfId="29404" xr:uid="{BE844449-CE18-4485-8EBF-7360A1F03038}"/>
    <cellStyle name="Comma 2 2 3 4 4 4" xfId="4912" xr:uid="{00000000-0005-0000-0000-0000AA020000}"/>
    <cellStyle name="Comma 2 2 3 4 4 4 2" xfId="16498" xr:uid="{F651E6BA-D84B-43BF-855B-1E1C619721C4}"/>
    <cellStyle name="Comma 2 2 3 4 4 4 3" xfId="26914" xr:uid="{59D64EB8-190A-43A0-895B-A9363540F418}"/>
    <cellStyle name="Comma 2 2 3 4 4 5" xfId="12630" xr:uid="{343CA95E-2697-465C-9B1D-9A3651A0FD3E}"/>
    <cellStyle name="Comma 2 2 3 4 4 6" xfId="23046" xr:uid="{0C68DE13-3FE4-44BE-8FC6-7BBBC4871BF8}"/>
    <cellStyle name="Comma 2 2 3 4 5" xfId="297" xr:uid="{00000000-0005-0000-0000-0000AB020000}"/>
    <cellStyle name="Comma 2 2 3 4 5 2" xfId="7444" xr:uid="{00000000-0005-0000-0000-0000AC020000}"/>
    <cellStyle name="Comma 2 2 3 4 5 2 2" xfId="18990" xr:uid="{40452EF1-497C-4356-A88C-683A5C2256A2}"/>
    <cellStyle name="Comma 2 2 3 4 5 2 3" xfId="29406" xr:uid="{78F3BB16-E267-4238-BE24-B1CAE47FAC41}"/>
    <cellStyle name="Comma 2 2 3 4 5 3" xfId="12632" xr:uid="{933823C9-45AB-425D-A55C-A44F2E3E2061}"/>
    <cellStyle name="Comma 2 2 3 4 5 4" xfId="23048" xr:uid="{967B7183-5312-49FD-BD56-2CAF82222208}"/>
    <cellStyle name="Comma 2 2 3 4 6" xfId="7435" xr:uid="{00000000-0005-0000-0000-0000AD020000}"/>
    <cellStyle name="Comma 2 2 3 4 6 2" xfId="18981" xr:uid="{5D38DD61-921C-45DD-9FD4-FB39CAE6ECEC}"/>
    <cellStyle name="Comma 2 2 3 4 6 3" xfId="29397" xr:uid="{F53F769D-1E8B-4B86-A8F6-6CF83487FA8E}"/>
    <cellStyle name="Comma 2 2 3 4 7" xfId="4908" xr:uid="{00000000-0005-0000-0000-0000AE020000}"/>
    <cellStyle name="Comma 2 2 3 4 7 2" xfId="16494" xr:uid="{1D4CC39B-5218-4078-8ABF-275EF0B05517}"/>
    <cellStyle name="Comma 2 2 3 4 7 3" xfId="26910" xr:uid="{93CC1BBC-9265-4917-868E-525CF3BE5B1B}"/>
    <cellStyle name="Comma 2 2 3 4 8" xfId="12623" xr:uid="{06EA4AD2-0958-4C4D-A5DD-724C7CDC22DA}"/>
    <cellStyle name="Comma 2 2 3 4 9" xfId="23039" xr:uid="{661C4E7E-5D02-40CC-ABEA-A3B27EF8FF3A}"/>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2 2 2" xfId="18994" xr:uid="{C5437DE7-1870-4523-AC51-CF7058A5A37E}"/>
    <cellStyle name="Comma 2 2 3 5 2 2 2 2 3" xfId="29410" xr:uid="{5925EA45-20B3-4721-B34F-384AECDBCC9F}"/>
    <cellStyle name="Comma 2 2 3 5 2 2 2 3" xfId="12636" xr:uid="{1ADD45A0-7A2B-4407-9975-3031B431ECA9}"/>
    <cellStyle name="Comma 2 2 3 5 2 2 2 4" xfId="23052" xr:uid="{180B2D12-BD17-4D89-B626-8D8BFD900AA2}"/>
    <cellStyle name="Comma 2 2 3 5 2 2 3" xfId="7447" xr:uid="{00000000-0005-0000-0000-0000B4020000}"/>
    <cellStyle name="Comma 2 2 3 5 2 2 3 2" xfId="18993" xr:uid="{F6000B55-1ED5-442C-8530-815FF947C660}"/>
    <cellStyle name="Comma 2 2 3 5 2 2 3 3" xfId="29409" xr:uid="{9ECFBFE2-6FAA-4AD3-B593-542B17A1B180}"/>
    <cellStyle name="Comma 2 2 3 5 2 2 4" xfId="4915" xr:uid="{00000000-0005-0000-0000-0000B5020000}"/>
    <cellStyle name="Comma 2 2 3 5 2 2 4 2" xfId="16501" xr:uid="{BABF60A8-EA7E-462C-A96D-5D7FBAD7FAB4}"/>
    <cellStyle name="Comma 2 2 3 5 2 2 4 3" xfId="26917" xr:uid="{623D21BD-6EEB-4EE6-8275-F3660D6F234C}"/>
    <cellStyle name="Comma 2 2 3 5 2 2 5" xfId="12635" xr:uid="{90F8D3BB-34DB-4600-8B42-054ED8B91012}"/>
    <cellStyle name="Comma 2 2 3 5 2 2 6" xfId="23051" xr:uid="{AFF2821F-5CB2-4525-8F35-C69A3AFE1F87}"/>
    <cellStyle name="Comma 2 2 3 5 2 3" xfId="302" xr:uid="{00000000-0005-0000-0000-0000B6020000}"/>
    <cellStyle name="Comma 2 2 3 5 2 3 2" xfId="7449" xr:uid="{00000000-0005-0000-0000-0000B7020000}"/>
    <cellStyle name="Comma 2 2 3 5 2 3 2 2" xfId="18995" xr:uid="{3128EDE0-C742-4573-A29D-4096E50106CD}"/>
    <cellStyle name="Comma 2 2 3 5 2 3 2 3" xfId="29411" xr:uid="{AEDEBAB5-BEA9-49FF-B3E1-9113E345CA3E}"/>
    <cellStyle name="Comma 2 2 3 5 2 3 3" xfId="12637" xr:uid="{87142F22-27CA-4891-88CC-F6D8DE609DDF}"/>
    <cellStyle name="Comma 2 2 3 5 2 3 4" xfId="23053" xr:uid="{9A1923CA-2D7A-4FA1-96FE-17CC50E74423}"/>
    <cellStyle name="Comma 2 2 3 5 2 4" xfId="7446" xr:uid="{00000000-0005-0000-0000-0000B8020000}"/>
    <cellStyle name="Comma 2 2 3 5 2 4 2" xfId="18992" xr:uid="{A164FEE4-8B67-472D-9E57-95781FEB38B8}"/>
    <cellStyle name="Comma 2 2 3 5 2 4 3" xfId="29408" xr:uid="{F87C5094-049E-4C1D-870A-3C9AC8770295}"/>
    <cellStyle name="Comma 2 2 3 5 2 5" xfId="4914" xr:uid="{00000000-0005-0000-0000-0000B9020000}"/>
    <cellStyle name="Comma 2 2 3 5 2 5 2" xfId="16500" xr:uid="{C3EC70F0-28CF-4284-AC3A-83B7582B898A}"/>
    <cellStyle name="Comma 2 2 3 5 2 5 3" xfId="26916" xr:uid="{C6378A18-2E5C-454C-946F-175A2BA0FDD5}"/>
    <cellStyle name="Comma 2 2 3 5 2 6" xfId="12634" xr:uid="{1FCCC78E-1F4B-4690-8F01-57DA4F26EDC3}"/>
    <cellStyle name="Comma 2 2 3 5 2 7" xfId="23050" xr:uid="{FCB46E54-ED53-47FA-8362-05361FC5CF48}"/>
    <cellStyle name="Comma 2 2 3 5 3" xfId="303" xr:uid="{00000000-0005-0000-0000-0000BA020000}"/>
    <cellStyle name="Comma 2 2 3 5 3 2" xfId="304" xr:uid="{00000000-0005-0000-0000-0000BB020000}"/>
    <cellStyle name="Comma 2 2 3 5 3 2 2" xfId="7451" xr:uid="{00000000-0005-0000-0000-0000BC020000}"/>
    <cellStyle name="Comma 2 2 3 5 3 2 2 2" xfId="18997" xr:uid="{05E2451B-BB61-40E2-9FF7-7F4C37496744}"/>
    <cellStyle name="Comma 2 2 3 5 3 2 2 3" xfId="29413" xr:uid="{EA624593-31DD-4B83-A6B0-BABA356FF7BD}"/>
    <cellStyle name="Comma 2 2 3 5 3 2 3" xfId="12639" xr:uid="{0D2484B6-8CCE-469F-82D6-EAFF1D1ACB1E}"/>
    <cellStyle name="Comma 2 2 3 5 3 2 4" xfId="23055" xr:uid="{B059EF1A-0122-4890-8F6B-7CEFDF25C2C0}"/>
    <cellStyle name="Comma 2 2 3 5 3 3" xfId="7450" xr:uid="{00000000-0005-0000-0000-0000BD020000}"/>
    <cellStyle name="Comma 2 2 3 5 3 3 2" xfId="18996" xr:uid="{B33445AC-8F90-4D5F-A02D-BD353E2CB94D}"/>
    <cellStyle name="Comma 2 2 3 5 3 3 3" xfId="29412" xr:uid="{BA4365CA-3939-473E-9BB7-F99FD07DD030}"/>
    <cellStyle name="Comma 2 2 3 5 3 4" xfId="4916" xr:uid="{00000000-0005-0000-0000-0000BE020000}"/>
    <cellStyle name="Comma 2 2 3 5 3 4 2" xfId="16502" xr:uid="{CA90C6A5-99AB-494C-92E6-CE81F4A99767}"/>
    <cellStyle name="Comma 2 2 3 5 3 4 3" xfId="26918" xr:uid="{1648B419-DD7E-48AE-B7FA-093CF06BE085}"/>
    <cellStyle name="Comma 2 2 3 5 3 5" xfId="12638" xr:uid="{EE3D3410-AA4E-4042-99D5-1DD8720E8F77}"/>
    <cellStyle name="Comma 2 2 3 5 3 6" xfId="23054" xr:uid="{F220E91A-1F95-4054-8D7C-02F71DFF52CB}"/>
    <cellStyle name="Comma 2 2 3 5 4" xfId="305" xr:uid="{00000000-0005-0000-0000-0000BF020000}"/>
    <cellStyle name="Comma 2 2 3 5 4 2" xfId="306" xr:uid="{00000000-0005-0000-0000-0000C0020000}"/>
    <cellStyle name="Comma 2 2 3 5 4 2 2" xfId="7453" xr:uid="{00000000-0005-0000-0000-0000C1020000}"/>
    <cellStyle name="Comma 2 2 3 5 4 2 2 2" xfId="18999" xr:uid="{E1D48CD9-6F64-4581-9238-1C42DEA4DAD5}"/>
    <cellStyle name="Comma 2 2 3 5 4 2 2 3" xfId="29415" xr:uid="{998F7DC6-44BE-4033-9796-4E69500BF319}"/>
    <cellStyle name="Comma 2 2 3 5 4 2 3" xfId="12641" xr:uid="{F93960B6-A33E-4E52-8A94-2B68115907E6}"/>
    <cellStyle name="Comma 2 2 3 5 4 2 4" xfId="23057" xr:uid="{5E4D46DA-EC40-4443-B213-A56DFAE4C69D}"/>
    <cellStyle name="Comma 2 2 3 5 4 3" xfId="7452" xr:uid="{00000000-0005-0000-0000-0000C2020000}"/>
    <cellStyle name="Comma 2 2 3 5 4 3 2" xfId="18998" xr:uid="{416DE9DA-70E8-4E4B-9B70-300FD048AF51}"/>
    <cellStyle name="Comma 2 2 3 5 4 3 3" xfId="29414" xr:uid="{8AB671B4-7B0E-483D-8B71-208C8BD4842D}"/>
    <cellStyle name="Comma 2 2 3 5 4 4" xfId="4917" xr:uid="{00000000-0005-0000-0000-0000C3020000}"/>
    <cellStyle name="Comma 2 2 3 5 4 4 2" xfId="16503" xr:uid="{24D1A71F-29D8-4989-AB53-FCD8624B11FF}"/>
    <cellStyle name="Comma 2 2 3 5 4 4 3" xfId="26919" xr:uid="{4F9AB287-021B-4A32-AECC-8A08550BA9C7}"/>
    <cellStyle name="Comma 2 2 3 5 4 5" xfId="12640" xr:uid="{4CFD410A-7606-4D87-9518-A25F420C30A7}"/>
    <cellStyle name="Comma 2 2 3 5 4 6" xfId="23056" xr:uid="{8D6A7091-0A3F-4CBE-8F46-0B208D571857}"/>
    <cellStyle name="Comma 2 2 3 5 5" xfId="307" xr:uid="{00000000-0005-0000-0000-0000C4020000}"/>
    <cellStyle name="Comma 2 2 3 5 5 2" xfId="7454" xr:uid="{00000000-0005-0000-0000-0000C5020000}"/>
    <cellStyle name="Comma 2 2 3 5 5 2 2" xfId="19000" xr:uid="{5CA8925E-6509-40F4-90BB-0775710C7F3F}"/>
    <cellStyle name="Comma 2 2 3 5 5 2 3" xfId="29416" xr:uid="{64EE2090-1AA5-4E65-A777-8B0AC45063CF}"/>
    <cellStyle name="Comma 2 2 3 5 5 3" xfId="12642" xr:uid="{4595DF24-09CA-4611-877C-12EE2647E06E}"/>
    <cellStyle name="Comma 2 2 3 5 5 4" xfId="23058" xr:uid="{2313854C-BA6C-46A0-9824-20E6A39A1510}"/>
    <cellStyle name="Comma 2 2 3 5 6" xfId="7445" xr:uid="{00000000-0005-0000-0000-0000C6020000}"/>
    <cellStyle name="Comma 2 2 3 5 6 2" xfId="18991" xr:uid="{EE4512E4-5F3B-487D-B432-5D5B8211C8AF}"/>
    <cellStyle name="Comma 2 2 3 5 6 3" xfId="29407" xr:uid="{2D3319EE-4FBD-4C07-AA47-98A30C846D1C}"/>
    <cellStyle name="Comma 2 2 3 5 7" xfId="4913" xr:uid="{00000000-0005-0000-0000-0000C7020000}"/>
    <cellStyle name="Comma 2 2 3 5 7 2" xfId="16499" xr:uid="{5F7BEC6A-CA03-4AFE-94E4-2DE2B547FE61}"/>
    <cellStyle name="Comma 2 2 3 5 7 3" xfId="26915" xr:uid="{53F454EF-2108-4096-9300-969CCEEADE68}"/>
    <cellStyle name="Comma 2 2 3 5 8" xfId="12633" xr:uid="{DDB8C562-3B53-4F08-85FD-85E0ED16B259}"/>
    <cellStyle name="Comma 2 2 3 5 9" xfId="23049" xr:uid="{ED4F15D0-72C4-42E7-A597-494591E3B9EE}"/>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2 2 2" xfId="19004" xr:uid="{D72265BC-D0F2-49B5-98E6-1B788932F431}"/>
    <cellStyle name="Comma 2 2 3 6 2 2 2 2 3" xfId="29420" xr:uid="{44FB9E6D-9933-4E6A-9B08-CBE98CAE3F06}"/>
    <cellStyle name="Comma 2 2 3 6 2 2 2 3" xfId="12646" xr:uid="{83B5CEA7-DA29-43BC-8E4D-06D8B6D5AFC1}"/>
    <cellStyle name="Comma 2 2 3 6 2 2 2 4" xfId="23062" xr:uid="{5FFB448D-C2E7-4CF1-81EF-B7A6683AEE61}"/>
    <cellStyle name="Comma 2 2 3 6 2 2 3" xfId="7457" xr:uid="{00000000-0005-0000-0000-0000CD020000}"/>
    <cellStyle name="Comma 2 2 3 6 2 2 3 2" xfId="19003" xr:uid="{4EAEEF10-3A55-479F-ADD8-A7DFF1F23F38}"/>
    <cellStyle name="Comma 2 2 3 6 2 2 3 3" xfId="29419" xr:uid="{AACB6766-21EC-49C0-81F5-2C85B8A5DAB6}"/>
    <cellStyle name="Comma 2 2 3 6 2 2 4" xfId="4920" xr:uid="{00000000-0005-0000-0000-0000CE020000}"/>
    <cellStyle name="Comma 2 2 3 6 2 2 4 2" xfId="16506" xr:uid="{7A50A3B2-0206-4D25-A1CF-BD3D72F405A4}"/>
    <cellStyle name="Comma 2 2 3 6 2 2 4 3" xfId="26922" xr:uid="{25A558A0-EC55-4773-A06E-24DB7D3624A1}"/>
    <cellStyle name="Comma 2 2 3 6 2 2 5" xfId="12645" xr:uid="{1DAD7FD3-13FC-4093-87C5-BA0DB6FDC58B}"/>
    <cellStyle name="Comma 2 2 3 6 2 2 6" xfId="23061" xr:uid="{2F88F685-5F35-412B-BE42-6F6F83C73098}"/>
    <cellStyle name="Comma 2 2 3 6 2 3" xfId="312" xr:uid="{00000000-0005-0000-0000-0000CF020000}"/>
    <cellStyle name="Comma 2 2 3 6 2 3 2" xfId="7459" xr:uid="{00000000-0005-0000-0000-0000D0020000}"/>
    <cellStyle name="Comma 2 2 3 6 2 3 2 2" xfId="19005" xr:uid="{FB550C4A-A775-438F-BD49-A1A89BEA6F08}"/>
    <cellStyle name="Comma 2 2 3 6 2 3 2 3" xfId="29421" xr:uid="{5BD1A28C-7DD0-48A6-9058-87E101C74C8E}"/>
    <cellStyle name="Comma 2 2 3 6 2 3 3" xfId="12647" xr:uid="{2C3E00EE-4859-4680-8EDA-BD325AEB6946}"/>
    <cellStyle name="Comma 2 2 3 6 2 3 4" xfId="23063" xr:uid="{23A8D35D-6BE3-4E9E-8109-DCD9B6BF7F4A}"/>
    <cellStyle name="Comma 2 2 3 6 2 4" xfId="7456" xr:uid="{00000000-0005-0000-0000-0000D1020000}"/>
    <cellStyle name="Comma 2 2 3 6 2 4 2" xfId="19002" xr:uid="{D1F20C0F-EE91-4D80-AF59-7829F12A796C}"/>
    <cellStyle name="Comma 2 2 3 6 2 4 3" xfId="29418" xr:uid="{8D2E7E71-7D76-42F1-8ABB-24B6F5C45ECE}"/>
    <cellStyle name="Comma 2 2 3 6 2 5" xfId="4919" xr:uid="{00000000-0005-0000-0000-0000D2020000}"/>
    <cellStyle name="Comma 2 2 3 6 2 5 2" xfId="16505" xr:uid="{5536C838-5DE3-489C-BCE2-97076F2725E2}"/>
    <cellStyle name="Comma 2 2 3 6 2 5 3" xfId="26921" xr:uid="{8FBD648D-CC3D-41AA-805E-6276728A1E92}"/>
    <cellStyle name="Comma 2 2 3 6 2 6" xfId="12644" xr:uid="{B12F4FE5-2FDB-480E-90B3-87EC836B478F}"/>
    <cellStyle name="Comma 2 2 3 6 2 7" xfId="23060" xr:uid="{C8399B06-A227-49D4-82C6-5CB2915998B2}"/>
    <cellStyle name="Comma 2 2 3 6 3" xfId="313" xr:uid="{00000000-0005-0000-0000-0000D3020000}"/>
    <cellStyle name="Comma 2 2 3 6 3 2" xfId="314" xr:uid="{00000000-0005-0000-0000-0000D4020000}"/>
    <cellStyle name="Comma 2 2 3 6 3 2 2" xfId="7461" xr:uid="{00000000-0005-0000-0000-0000D5020000}"/>
    <cellStyle name="Comma 2 2 3 6 3 2 2 2" xfId="19007" xr:uid="{4AF33A48-0E06-4B4B-9226-6E99A3204A17}"/>
    <cellStyle name="Comma 2 2 3 6 3 2 2 3" xfId="29423" xr:uid="{06B10010-D6F0-405F-BDF8-341A0B01F4CE}"/>
    <cellStyle name="Comma 2 2 3 6 3 2 3" xfId="12649" xr:uid="{B0BECB8B-817D-48E5-A157-6BD9DA62C3E2}"/>
    <cellStyle name="Comma 2 2 3 6 3 2 4" xfId="23065" xr:uid="{8EF71273-7E15-4679-B370-A04944CCF3BC}"/>
    <cellStyle name="Comma 2 2 3 6 3 3" xfId="7460" xr:uid="{00000000-0005-0000-0000-0000D6020000}"/>
    <cellStyle name="Comma 2 2 3 6 3 3 2" xfId="19006" xr:uid="{1F94A98E-9F16-4AC5-9880-93B9DA718BE2}"/>
    <cellStyle name="Comma 2 2 3 6 3 3 3" xfId="29422" xr:uid="{DD615F2D-C8C8-4AE6-BB7C-DE49751256BB}"/>
    <cellStyle name="Comma 2 2 3 6 3 4" xfId="4921" xr:uid="{00000000-0005-0000-0000-0000D7020000}"/>
    <cellStyle name="Comma 2 2 3 6 3 4 2" xfId="16507" xr:uid="{397F67F0-0F3B-4856-980F-89E0D7319B6E}"/>
    <cellStyle name="Comma 2 2 3 6 3 4 3" xfId="26923" xr:uid="{1571F3AF-8254-473C-9775-7DAE91CFFE90}"/>
    <cellStyle name="Comma 2 2 3 6 3 5" xfId="12648" xr:uid="{E2F8E75A-9F37-44F4-9124-F9C85CD84B62}"/>
    <cellStyle name="Comma 2 2 3 6 3 6" xfId="23064" xr:uid="{382534F5-6716-4E3E-BB08-D6C343EB2BBC}"/>
    <cellStyle name="Comma 2 2 3 6 4" xfId="315" xr:uid="{00000000-0005-0000-0000-0000D8020000}"/>
    <cellStyle name="Comma 2 2 3 6 4 2" xfId="316" xr:uid="{00000000-0005-0000-0000-0000D9020000}"/>
    <cellStyle name="Comma 2 2 3 6 4 2 2" xfId="7463" xr:uid="{00000000-0005-0000-0000-0000DA020000}"/>
    <cellStyle name="Comma 2 2 3 6 4 2 2 2" xfId="19009" xr:uid="{4BA02E4F-3792-4F21-A981-B9BF32F5800B}"/>
    <cellStyle name="Comma 2 2 3 6 4 2 2 3" xfId="29425" xr:uid="{BBB22108-3172-4071-B6C9-2A7DEF2F14C4}"/>
    <cellStyle name="Comma 2 2 3 6 4 2 3" xfId="12651" xr:uid="{3A733E9B-D814-4BEC-BDF7-94926712324A}"/>
    <cellStyle name="Comma 2 2 3 6 4 2 4" xfId="23067" xr:uid="{71A32E4E-3947-4F5D-AD69-31CB41EA76BB}"/>
    <cellStyle name="Comma 2 2 3 6 4 3" xfId="7462" xr:uid="{00000000-0005-0000-0000-0000DB020000}"/>
    <cellStyle name="Comma 2 2 3 6 4 3 2" xfId="19008" xr:uid="{99A4DBA2-51CF-4721-A4EA-3CDD816365E3}"/>
    <cellStyle name="Comma 2 2 3 6 4 3 3" xfId="29424" xr:uid="{E33E7C9F-9285-4778-8DFC-ECD792745BC8}"/>
    <cellStyle name="Comma 2 2 3 6 4 4" xfId="4922" xr:uid="{00000000-0005-0000-0000-0000DC020000}"/>
    <cellStyle name="Comma 2 2 3 6 4 4 2" xfId="16508" xr:uid="{74757D7A-BBA1-416A-A23E-3CA35D439D32}"/>
    <cellStyle name="Comma 2 2 3 6 4 4 3" xfId="26924" xr:uid="{B67EDC93-BB3C-48AF-9FB6-B912D597DA21}"/>
    <cellStyle name="Comma 2 2 3 6 4 5" xfId="12650" xr:uid="{88AAD826-7D9F-4B2D-A9D0-C851D8C737D9}"/>
    <cellStyle name="Comma 2 2 3 6 4 6" xfId="23066" xr:uid="{7A18EF28-7659-4C3A-8EFB-0A5E98E72747}"/>
    <cellStyle name="Comma 2 2 3 6 5" xfId="317" xr:uid="{00000000-0005-0000-0000-0000DD020000}"/>
    <cellStyle name="Comma 2 2 3 6 5 2" xfId="7464" xr:uid="{00000000-0005-0000-0000-0000DE020000}"/>
    <cellStyle name="Comma 2 2 3 6 5 2 2" xfId="19010" xr:uid="{445D33CC-57F5-468C-962B-DF1BE0B0594F}"/>
    <cellStyle name="Comma 2 2 3 6 5 2 3" xfId="29426" xr:uid="{1DE70DEA-F45F-4806-82FD-2018E2850BF3}"/>
    <cellStyle name="Comma 2 2 3 6 5 3" xfId="12652" xr:uid="{029B01AB-866C-4A5E-85F3-917C6B9CAAC6}"/>
    <cellStyle name="Comma 2 2 3 6 5 4" xfId="23068" xr:uid="{700324C5-756C-4A44-AD42-FD772433E3D0}"/>
    <cellStyle name="Comma 2 2 3 6 6" xfId="7455" xr:uid="{00000000-0005-0000-0000-0000DF020000}"/>
    <cellStyle name="Comma 2 2 3 6 6 2" xfId="19001" xr:uid="{4842782A-4825-4DDD-9333-88C7BEDFD635}"/>
    <cellStyle name="Comma 2 2 3 6 6 3" xfId="29417" xr:uid="{9AF6785D-600B-4253-9D3B-4E80EDB2EEF7}"/>
    <cellStyle name="Comma 2 2 3 6 7" xfId="4918" xr:uid="{00000000-0005-0000-0000-0000E0020000}"/>
    <cellStyle name="Comma 2 2 3 6 7 2" xfId="16504" xr:uid="{A76E9FDE-C097-4268-A96B-EE60EB86244A}"/>
    <cellStyle name="Comma 2 2 3 6 7 3" xfId="26920" xr:uid="{E58355D0-2320-4409-A728-9C22B782626E}"/>
    <cellStyle name="Comma 2 2 3 6 8" xfId="12643" xr:uid="{E365D17B-8192-427E-943E-AD4D7C06596C}"/>
    <cellStyle name="Comma 2 2 3 6 9" xfId="23059" xr:uid="{A476A032-A53C-4336-BEB0-4BB9BF6B5D64}"/>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2 2 2" xfId="19013" xr:uid="{9E72D75C-7CFF-4204-9227-2CF6AFF3C318}"/>
    <cellStyle name="Comma 2 2 3 7 2 2 2 3" xfId="29429" xr:uid="{27210476-075B-4056-B265-9DB7353070D6}"/>
    <cellStyle name="Comma 2 2 3 7 2 2 3" xfId="12655" xr:uid="{448D1886-114C-42A8-9E69-7FA424C6770F}"/>
    <cellStyle name="Comma 2 2 3 7 2 2 4" xfId="23071" xr:uid="{257D4B84-2467-4592-9EAB-54A6E7E1E169}"/>
    <cellStyle name="Comma 2 2 3 7 2 3" xfId="7466" xr:uid="{00000000-0005-0000-0000-0000E5020000}"/>
    <cellStyle name="Comma 2 2 3 7 2 3 2" xfId="19012" xr:uid="{3EFE6F28-7AB0-42D7-8CE9-5E93DA18912F}"/>
    <cellStyle name="Comma 2 2 3 7 2 3 3" xfId="29428" xr:uid="{DDA27A5E-00F7-44B5-8440-FBBE86F2EB59}"/>
    <cellStyle name="Comma 2 2 3 7 2 4" xfId="4924" xr:uid="{00000000-0005-0000-0000-0000E6020000}"/>
    <cellStyle name="Comma 2 2 3 7 2 4 2" xfId="16510" xr:uid="{AB6127C9-9AAF-46D6-BCFB-1720B9D142E5}"/>
    <cellStyle name="Comma 2 2 3 7 2 4 3" xfId="26926" xr:uid="{962DBE70-AEA5-419B-8AED-77B59E692920}"/>
    <cellStyle name="Comma 2 2 3 7 2 5" xfId="12654" xr:uid="{4F14963C-AE18-4502-A9FD-880AFF6C8088}"/>
    <cellStyle name="Comma 2 2 3 7 2 6" xfId="23070" xr:uid="{2A158446-CC0B-4967-B346-2E72E617F664}"/>
    <cellStyle name="Comma 2 2 3 7 3" xfId="321" xr:uid="{00000000-0005-0000-0000-0000E7020000}"/>
    <cellStyle name="Comma 2 2 3 7 3 2" xfId="322" xr:uid="{00000000-0005-0000-0000-0000E8020000}"/>
    <cellStyle name="Comma 2 2 3 7 3 2 2" xfId="7469" xr:uid="{00000000-0005-0000-0000-0000E9020000}"/>
    <cellStyle name="Comma 2 2 3 7 3 2 2 2" xfId="19015" xr:uid="{9DD37481-742B-4FBD-BCDA-7791975353DA}"/>
    <cellStyle name="Comma 2 2 3 7 3 2 2 3" xfId="29431" xr:uid="{FBDC8AF4-EDEC-4B9C-9541-F297EDE7A433}"/>
    <cellStyle name="Comma 2 2 3 7 3 2 3" xfId="12657" xr:uid="{EA3D7562-1C9B-4F81-B9E5-11B470922381}"/>
    <cellStyle name="Comma 2 2 3 7 3 2 4" xfId="23073" xr:uid="{5D9D7268-A280-45E6-9133-C6DD792A5099}"/>
    <cellStyle name="Comma 2 2 3 7 3 3" xfId="7468" xr:uid="{00000000-0005-0000-0000-0000EA020000}"/>
    <cellStyle name="Comma 2 2 3 7 3 3 2" xfId="19014" xr:uid="{78AF548B-CAAC-4EB7-B076-1D98FC94808D}"/>
    <cellStyle name="Comma 2 2 3 7 3 3 3" xfId="29430" xr:uid="{B0F45246-D103-43F4-94D8-0618B46F0AA3}"/>
    <cellStyle name="Comma 2 2 3 7 3 4" xfId="4925" xr:uid="{00000000-0005-0000-0000-0000EB020000}"/>
    <cellStyle name="Comma 2 2 3 7 3 4 2" xfId="16511" xr:uid="{33D1E0FC-A843-426B-BF99-2A537F9B1E36}"/>
    <cellStyle name="Comma 2 2 3 7 3 4 3" xfId="26927" xr:uid="{58CCC57A-B2DC-42E2-8C9C-BAC689681C91}"/>
    <cellStyle name="Comma 2 2 3 7 3 5" xfId="12656" xr:uid="{27D7C357-3614-4975-9C43-6375DB2CA1FF}"/>
    <cellStyle name="Comma 2 2 3 7 3 6" xfId="23072" xr:uid="{365FF04B-A70E-41FB-A4DA-28D2C01F385F}"/>
    <cellStyle name="Comma 2 2 3 7 4" xfId="323" xr:uid="{00000000-0005-0000-0000-0000EC020000}"/>
    <cellStyle name="Comma 2 2 3 7 4 2" xfId="7470" xr:uid="{00000000-0005-0000-0000-0000ED020000}"/>
    <cellStyle name="Comma 2 2 3 7 4 2 2" xfId="19016" xr:uid="{4D02AE68-D491-40D3-9490-AEEA82BA88D4}"/>
    <cellStyle name="Comma 2 2 3 7 4 2 3" xfId="29432" xr:uid="{900ED03A-33E8-4EE2-BD3E-EE8A9159DFCC}"/>
    <cellStyle name="Comma 2 2 3 7 4 3" xfId="12658" xr:uid="{D30BA56B-C11B-48B8-979E-859E93016813}"/>
    <cellStyle name="Comma 2 2 3 7 4 4" xfId="23074" xr:uid="{6FE8F2F9-8E0D-4A9F-A992-18EE7DE58E84}"/>
    <cellStyle name="Comma 2 2 3 7 5" xfId="7465" xr:uid="{00000000-0005-0000-0000-0000EE020000}"/>
    <cellStyle name="Comma 2 2 3 7 5 2" xfId="19011" xr:uid="{B9FA30DD-F473-48F6-B586-AA0ECD8B98A8}"/>
    <cellStyle name="Comma 2 2 3 7 5 3" xfId="29427" xr:uid="{C15734B0-6629-45C8-9546-921BDA5246FF}"/>
    <cellStyle name="Comma 2 2 3 7 6" xfId="4923" xr:uid="{00000000-0005-0000-0000-0000EF020000}"/>
    <cellStyle name="Comma 2 2 3 7 6 2" xfId="16509" xr:uid="{BEAA4F04-30C0-4AE7-A981-A6FC0A687129}"/>
    <cellStyle name="Comma 2 2 3 7 6 3" xfId="26925" xr:uid="{6BB53249-8023-42FB-A17E-DE62F55D2D75}"/>
    <cellStyle name="Comma 2 2 3 7 7" xfId="12653" xr:uid="{EBDBE8B0-A308-4BA1-A352-2FC4A7D758F0}"/>
    <cellStyle name="Comma 2 2 3 7 8" xfId="23069" xr:uid="{A238B0F0-4847-4DD2-939A-0D7A810AF1E8}"/>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2 2 2" xfId="19019" xr:uid="{82952B15-1FF1-4B05-86FD-A84086015C6E}"/>
    <cellStyle name="Comma 2 2 3 8 2 2 2 3" xfId="29435" xr:uid="{BD343425-79D5-4AF2-A8EA-E130361A804D}"/>
    <cellStyle name="Comma 2 2 3 8 2 2 3" xfId="12661" xr:uid="{8D5483F1-B772-4FC6-BDB0-528DA860467C}"/>
    <cellStyle name="Comma 2 2 3 8 2 2 4" xfId="23077" xr:uid="{431727EB-C9D2-4219-8F64-14CA2143D27C}"/>
    <cellStyle name="Comma 2 2 3 8 2 3" xfId="7472" xr:uid="{00000000-0005-0000-0000-0000F4020000}"/>
    <cellStyle name="Comma 2 2 3 8 2 3 2" xfId="19018" xr:uid="{6FBC3CB5-35E8-436B-99A7-5B763CD2317A}"/>
    <cellStyle name="Comma 2 2 3 8 2 3 3" xfId="29434" xr:uid="{B98C4937-28FA-4A31-BE00-C4D98941C8CB}"/>
    <cellStyle name="Comma 2 2 3 8 2 4" xfId="4927" xr:uid="{00000000-0005-0000-0000-0000F5020000}"/>
    <cellStyle name="Comma 2 2 3 8 2 4 2" xfId="16513" xr:uid="{674EDCA5-1193-4FE2-B752-F9A6C437BF3E}"/>
    <cellStyle name="Comma 2 2 3 8 2 4 3" xfId="26929" xr:uid="{315F9956-38D1-4B77-BB44-9E059198155E}"/>
    <cellStyle name="Comma 2 2 3 8 2 5" xfId="12660" xr:uid="{8519D5B7-155F-4F88-A2A0-43C8C82F2AB4}"/>
    <cellStyle name="Comma 2 2 3 8 2 6" xfId="23076" xr:uid="{7B0A2428-9C10-40A0-86D3-3D34158F255E}"/>
    <cellStyle name="Comma 2 2 3 8 3" xfId="327" xr:uid="{00000000-0005-0000-0000-0000F6020000}"/>
    <cellStyle name="Comma 2 2 3 8 3 2" xfId="7474" xr:uid="{00000000-0005-0000-0000-0000F7020000}"/>
    <cellStyle name="Comma 2 2 3 8 3 2 2" xfId="19020" xr:uid="{E048F6B8-1317-452B-B18E-8BDCD791EA6C}"/>
    <cellStyle name="Comma 2 2 3 8 3 2 3" xfId="29436" xr:uid="{0ABF97F2-3AC2-4CBC-8FE1-06B389050DF7}"/>
    <cellStyle name="Comma 2 2 3 8 3 3" xfId="12662" xr:uid="{BAF3016F-F77A-4CB0-B101-BA07CDE37C6F}"/>
    <cellStyle name="Comma 2 2 3 8 3 4" xfId="23078" xr:uid="{5DECD497-6727-4385-8F08-9C4727D2437A}"/>
    <cellStyle name="Comma 2 2 3 8 4" xfId="7471" xr:uid="{00000000-0005-0000-0000-0000F8020000}"/>
    <cellStyle name="Comma 2 2 3 8 4 2" xfId="19017" xr:uid="{53880FA7-4B7B-4D77-925C-D5AFB7705762}"/>
    <cellStyle name="Comma 2 2 3 8 4 3" xfId="29433" xr:uid="{08C0B151-3D9C-4596-B289-ECFDF8F1B2A7}"/>
    <cellStyle name="Comma 2 2 3 8 5" xfId="4926" xr:uid="{00000000-0005-0000-0000-0000F9020000}"/>
    <cellStyle name="Comma 2 2 3 8 5 2" xfId="16512" xr:uid="{AC30AAAD-E031-4B5A-A9C5-8FC32C72716D}"/>
    <cellStyle name="Comma 2 2 3 8 5 3" xfId="26928" xr:uid="{460E5E49-780A-480A-AD2B-091908C1C932}"/>
    <cellStyle name="Comma 2 2 3 8 6" xfId="12659" xr:uid="{8585BD6D-6C1F-406F-BB24-02D2BF36EA61}"/>
    <cellStyle name="Comma 2 2 3 8 7" xfId="23075" xr:uid="{4EF26D6B-2352-45F4-81B0-7FC05AB3F9D3}"/>
    <cellStyle name="Comma 2 2 3 9" xfId="328" xr:uid="{00000000-0005-0000-0000-0000FA020000}"/>
    <cellStyle name="Comma 2 2 3 9 2" xfId="329" xr:uid="{00000000-0005-0000-0000-0000FB020000}"/>
    <cellStyle name="Comma 2 2 3 9 2 2" xfId="7476" xr:uid="{00000000-0005-0000-0000-0000FC020000}"/>
    <cellStyle name="Comma 2 2 3 9 2 2 2" xfId="19022" xr:uid="{A751D833-128B-4E5C-B300-CBE74F606342}"/>
    <cellStyle name="Comma 2 2 3 9 2 2 3" xfId="29438" xr:uid="{D033FF8F-5111-4C30-B82D-8EEFECD8B64B}"/>
    <cellStyle name="Comma 2 2 3 9 2 3" xfId="12664" xr:uid="{E0098645-89F3-4794-86FC-5E71CA62A183}"/>
    <cellStyle name="Comma 2 2 3 9 2 4" xfId="23080" xr:uid="{C6EDB239-E11F-47FC-8551-21912201D731}"/>
    <cellStyle name="Comma 2 2 3 9 3" xfId="7475" xr:uid="{00000000-0005-0000-0000-0000FD020000}"/>
    <cellStyle name="Comma 2 2 3 9 3 2" xfId="19021" xr:uid="{289737A0-1DB8-43A4-9CFF-49442514DB3B}"/>
    <cellStyle name="Comma 2 2 3 9 3 3" xfId="29437" xr:uid="{1472BDF8-BBBD-4897-B23E-01A6FF323592}"/>
    <cellStyle name="Comma 2 2 3 9 4" xfId="4928" xr:uid="{00000000-0005-0000-0000-0000FE020000}"/>
    <cellStyle name="Comma 2 2 3 9 4 2" xfId="16514" xr:uid="{5AAE84B3-BC32-4B76-A6E1-82A64896793A}"/>
    <cellStyle name="Comma 2 2 3 9 4 3" xfId="26930" xr:uid="{E781A8FC-0AAC-4448-988B-EFED90DEA5A9}"/>
    <cellStyle name="Comma 2 2 3 9 5" xfId="12663" xr:uid="{E882758D-736B-4BD9-B076-B5656095F42C}"/>
    <cellStyle name="Comma 2 2 3 9 6" xfId="23079" xr:uid="{CF5F764C-B4B3-42B0-9320-848E509F44B8}"/>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2 2 2" xfId="19025" xr:uid="{605F7A0C-5438-46A7-94DB-CB413C21449E}"/>
    <cellStyle name="Comma 2 2 4 10 2 2 3" xfId="29441" xr:uid="{78C8D947-5005-4249-9FA2-CF4D41D53651}"/>
    <cellStyle name="Comma 2 2 4 10 2 3" xfId="12667" xr:uid="{2661633B-8938-45C2-BBF8-B5C2752C4571}"/>
    <cellStyle name="Comma 2 2 4 10 2 4" xfId="23083" xr:uid="{A07D76D0-D518-4169-848B-4998990F4424}"/>
    <cellStyle name="Comma 2 2 4 10 3" xfId="7478" xr:uid="{00000000-0005-0000-0000-000003030000}"/>
    <cellStyle name="Comma 2 2 4 10 3 2" xfId="19024" xr:uid="{CBEB6733-C770-4F28-B0A8-FDC28FE9385A}"/>
    <cellStyle name="Comma 2 2 4 10 3 3" xfId="29440" xr:uid="{F3E226B0-58DD-40F5-B53D-B85BB2435955}"/>
    <cellStyle name="Comma 2 2 4 10 4" xfId="4930" xr:uid="{00000000-0005-0000-0000-000004030000}"/>
    <cellStyle name="Comma 2 2 4 10 4 2" xfId="16516" xr:uid="{A8503850-1CE4-44CD-BFFF-58BFA7F06566}"/>
    <cellStyle name="Comma 2 2 4 10 4 3" xfId="26932" xr:uid="{363A3B62-F6C5-42DB-AB73-E61D9625A0B2}"/>
    <cellStyle name="Comma 2 2 4 10 5" xfId="12666" xr:uid="{4EC810DC-5231-4EF3-A22A-832EB9A42E5D}"/>
    <cellStyle name="Comma 2 2 4 10 6" xfId="23082" xr:uid="{294136E4-439E-43FA-AA3D-6A26B2FDF8A1}"/>
    <cellStyle name="Comma 2 2 4 11" xfId="333" xr:uid="{00000000-0005-0000-0000-000005030000}"/>
    <cellStyle name="Comma 2 2 4 11 2" xfId="7480" xr:uid="{00000000-0005-0000-0000-000006030000}"/>
    <cellStyle name="Comma 2 2 4 11 2 2" xfId="19026" xr:uid="{35AE1028-37C9-4639-948D-7DB366756ED5}"/>
    <cellStyle name="Comma 2 2 4 11 2 3" xfId="29442" xr:uid="{09AF80E7-DA6C-411D-A695-CC5D8DF25EA4}"/>
    <cellStyle name="Comma 2 2 4 11 3" xfId="12668" xr:uid="{8040CFE5-698D-4570-946F-9FC9D9B3FCC9}"/>
    <cellStyle name="Comma 2 2 4 11 4" xfId="23084" xr:uid="{768D2CE1-BE40-41E4-8B99-B809C398CE7E}"/>
    <cellStyle name="Comma 2 2 4 12" xfId="7477" xr:uid="{00000000-0005-0000-0000-000007030000}"/>
    <cellStyle name="Comma 2 2 4 12 2" xfId="19023" xr:uid="{01D41774-A17B-4938-91F1-D1C6F55699F1}"/>
    <cellStyle name="Comma 2 2 4 12 3" xfId="29439" xr:uid="{E5E77565-FB0D-40A8-8522-5726845956B6}"/>
    <cellStyle name="Comma 2 2 4 13" xfId="4929" xr:uid="{00000000-0005-0000-0000-000008030000}"/>
    <cellStyle name="Comma 2 2 4 13 2" xfId="16515" xr:uid="{C0433901-C14A-478B-83A8-C86F49971401}"/>
    <cellStyle name="Comma 2 2 4 13 3" xfId="26931" xr:uid="{B8BE0885-4BC4-4402-981A-13BB2BF19479}"/>
    <cellStyle name="Comma 2 2 4 14" xfId="12665" xr:uid="{C0729D46-489C-49B9-A44D-0286090208C9}"/>
    <cellStyle name="Comma 2 2 4 15" xfId="23081" xr:uid="{82262D60-7652-44FC-8BF7-41E21FE71E69}"/>
    <cellStyle name="Comma 2 2 4 2" xfId="334" xr:uid="{00000000-0005-0000-0000-000009030000}"/>
    <cellStyle name="Comma 2 2 4 2 10" xfId="335" xr:uid="{00000000-0005-0000-0000-00000A030000}"/>
    <cellStyle name="Comma 2 2 4 2 10 2" xfId="7482" xr:uid="{00000000-0005-0000-0000-00000B030000}"/>
    <cellStyle name="Comma 2 2 4 2 10 2 2" xfId="19028" xr:uid="{DFC33746-E24B-4FF1-AF9C-7E1B8B2ED24C}"/>
    <cellStyle name="Comma 2 2 4 2 10 2 3" xfId="29444" xr:uid="{7420977D-34C0-4269-87CD-6F26B6881B11}"/>
    <cellStyle name="Comma 2 2 4 2 10 3" xfId="12670" xr:uid="{F95FFFE1-E764-4970-A699-30498CC1890C}"/>
    <cellStyle name="Comma 2 2 4 2 10 4" xfId="23086" xr:uid="{8F732A4D-00B2-44C5-9BFD-A56018A3748E}"/>
    <cellStyle name="Comma 2 2 4 2 11" xfId="7481" xr:uid="{00000000-0005-0000-0000-00000C030000}"/>
    <cellStyle name="Comma 2 2 4 2 11 2" xfId="19027" xr:uid="{C36264AE-133E-4E00-BAF5-BA6572AFCAB7}"/>
    <cellStyle name="Comma 2 2 4 2 11 3" xfId="29443" xr:uid="{EEE55353-E1F5-40E1-A331-E0F71F840B11}"/>
    <cellStyle name="Comma 2 2 4 2 12" xfId="4931" xr:uid="{00000000-0005-0000-0000-00000D030000}"/>
    <cellStyle name="Comma 2 2 4 2 12 2" xfId="16517" xr:uid="{81B38B4C-E0DA-47A0-B39A-E11CAE15B05A}"/>
    <cellStyle name="Comma 2 2 4 2 12 3" xfId="26933" xr:uid="{E9EBDAE3-2F3B-4307-A759-FA1CBDE09E30}"/>
    <cellStyle name="Comma 2 2 4 2 13" xfId="12669" xr:uid="{97B9B7EC-6C0E-403D-B500-C0CDA6200DB1}"/>
    <cellStyle name="Comma 2 2 4 2 14" xfId="23085" xr:uid="{A76AE573-3C7C-4068-B009-8471264FF71C}"/>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2 2 2" xfId="19032" xr:uid="{8C4E54C0-1C7D-4D60-BCC3-4B1FB6088BDD}"/>
    <cellStyle name="Comma 2 2 4 2 2 2 2 2 2 3" xfId="29448" xr:uid="{9218A9BD-562E-4F1B-98A2-0D94DFA871C2}"/>
    <cellStyle name="Comma 2 2 4 2 2 2 2 2 3" xfId="12674" xr:uid="{CB58FFC1-3583-4884-AEF9-264E2C596448}"/>
    <cellStyle name="Comma 2 2 4 2 2 2 2 2 4" xfId="23090" xr:uid="{2D57D526-1768-47B8-BBE6-497C76E622AF}"/>
    <cellStyle name="Comma 2 2 4 2 2 2 2 3" xfId="7485" xr:uid="{00000000-0005-0000-0000-000013030000}"/>
    <cellStyle name="Comma 2 2 4 2 2 2 2 3 2" xfId="19031" xr:uid="{15D5C3A9-DC78-440F-A952-717D43D2FE16}"/>
    <cellStyle name="Comma 2 2 4 2 2 2 2 3 3" xfId="29447" xr:uid="{E3E7C361-B68C-4A0D-BA1A-F9D18D49F67B}"/>
    <cellStyle name="Comma 2 2 4 2 2 2 2 4" xfId="4934" xr:uid="{00000000-0005-0000-0000-000014030000}"/>
    <cellStyle name="Comma 2 2 4 2 2 2 2 4 2" xfId="16520" xr:uid="{0E1E8B20-DA18-4144-B4E3-DCAF51909D59}"/>
    <cellStyle name="Comma 2 2 4 2 2 2 2 4 3" xfId="26936" xr:uid="{E89893C2-9DE4-4218-8BC9-784B42460F2C}"/>
    <cellStyle name="Comma 2 2 4 2 2 2 2 5" xfId="12673" xr:uid="{7A6692BC-A6DA-4FA5-8C93-6507DF34EF5A}"/>
    <cellStyle name="Comma 2 2 4 2 2 2 2 6" xfId="23089" xr:uid="{56108A93-C16D-4D3E-AAFD-9E7C2F09C2C5}"/>
    <cellStyle name="Comma 2 2 4 2 2 2 3" xfId="340" xr:uid="{00000000-0005-0000-0000-000015030000}"/>
    <cellStyle name="Comma 2 2 4 2 2 2 3 2" xfId="7487" xr:uid="{00000000-0005-0000-0000-000016030000}"/>
    <cellStyle name="Comma 2 2 4 2 2 2 3 2 2" xfId="19033" xr:uid="{5AB55F68-37EF-4FB4-A977-39C4440E2333}"/>
    <cellStyle name="Comma 2 2 4 2 2 2 3 2 3" xfId="29449" xr:uid="{085D0277-9E9A-404B-9643-7C90DF440BFF}"/>
    <cellStyle name="Comma 2 2 4 2 2 2 3 3" xfId="12675" xr:uid="{98BD2D19-FD61-4431-9DFB-349E2FD9CC58}"/>
    <cellStyle name="Comma 2 2 4 2 2 2 3 4" xfId="23091" xr:uid="{DA31F55D-4BB7-4ECF-A21A-0AC14AF4750A}"/>
    <cellStyle name="Comma 2 2 4 2 2 2 4" xfId="7484" xr:uid="{00000000-0005-0000-0000-000017030000}"/>
    <cellStyle name="Comma 2 2 4 2 2 2 4 2" xfId="19030" xr:uid="{890ABDDF-B195-4514-8538-989B2F838125}"/>
    <cellStyle name="Comma 2 2 4 2 2 2 4 3" xfId="29446" xr:uid="{7202D96F-556D-4351-B83D-46E7E6C4EB72}"/>
    <cellStyle name="Comma 2 2 4 2 2 2 5" xfId="4933" xr:uid="{00000000-0005-0000-0000-000018030000}"/>
    <cellStyle name="Comma 2 2 4 2 2 2 5 2" xfId="16519" xr:uid="{DAA0FE02-AEE7-4E0C-8545-0599CAB767CA}"/>
    <cellStyle name="Comma 2 2 4 2 2 2 5 3" xfId="26935" xr:uid="{4BE74B35-D7CF-460E-BE20-AA857DA5BECB}"/>
    <cellStyle name="Comma 2 2 4 2 2 2 6" xfId="12672" xr:uid="{7762A6DA-3BC4-46A3-B058-CCCBD609B71A}"/>
    <cellStyle name="Comma 2 2 4 2 2 2 7" xfId="23088" xr:uid="{9E320D6E-A842-4EA4-B4B6-5046761CBA2E}"/>
    <cellStyle name="Comma 2 2 4 2 2 3" xfId="341" xr:uid="{00000000-0005-0000-0000-000019030000}"/>
    <cellStyle name="Comma 2 2 4 2 2 3 2" xfId="342" xr:uid="{00000000-0005-0000-0000-00001A030000}"/>
    <cellStyle name="Comma 2 2 4 2 2 3 2 2" xfId="7489" xr:uid="{00000000-0005-0000-0000-00001B030000}"/>
    <cellStyle name="Comma 2 2 4 2 2 3 2 2 2" xfId="19035" xr:uid="{5300D198-A3E5-4F9F-8C50-461A605114AE}"/>
    <cellStyle name="Comma 2 2 4 2 2 3 2 2 3" xfId="29451" xr:uid="{8C216437-DCE0-4A0F-AB32-2AEA3BF06C91}"/>
    <cellStyle name="Comma 2 2 4 2 2 3 2 3" xfId="12677" xr:uid="{B8CBB423-2822-45C3-AB1D-FEC8BF76D71E}"/>
    <cellStyle name="Comma 2 2 4 2 2 3 2 4" xfId="23093" xr:uid="{BE96C4BC-2200-4E61-89B2-B4783DA69165}"/>
    <cellStyle name="Comma 2 2 4 2 2 3 3" xfId="7488" xr:uid="{00000000-0005-0000-0000-00001C030000}"/>
    <cellStyle name="Comma 2 2 4 2 2 3 3 2" xfId="19034" xr:uid="{4019BBD1-67C8-4BD6-8B67-CC2D20971025}"/>
    <cellStyle name="Comma 2 2 4 2 2 3 3 3" xfId="29450" xr:uid="{FF0512EE-BF11-4427-B4ED-6061293323A1}"/>
    <cellStyle name="Comma 2 2 4 2 2 3 4" xfId="4935" xr:uid="{00000000-0005-0000-0000-00001D030000}"/>
    <cellStyle name="Comma 2 2 4 2 2 3 4 2" xfId="16521" xr:uid="{280E6116-130B-4888-A1A3-0E8FACFCB05E}"/>
    <cellStyle name="Comma 2 2 4 2 2 3 4 3" xfId="26937" xr:uid="{44ADEADE-7DF0-46D0-9CAC-61D6A1B8DF30}"/>
    <cellStyle name="Comma 2 2 4 2 2 3 5" xfId="12676" xr:uid="{2FD99591-722A-486D-AD33-14C2A1C8F019}"/>
    <cellStyle name="Comma 2 2 4 2 2 3 6" xfId="23092" xr:uid="{EED78F96-350F-47C4-B1E8-1940845F8119}"/>
    <cellStyle name="Comma 2 2 4 2 2 4" xfId="343" xr:uid="{00000000-0005-0000-0000-00001E030000}"/>
    <cellStyle name="Comma 2 2 4 2 2 4 2" xfId="344" xr:uid="{00000000-0005-0000-0000-00001F030000}"/>
    <cellStyle name="Comma 2 2 4 2 2 4 2 2" xfId="7491" xr:uid="{00000000-0005-0000-0000-000020030000}"/>
    <cellStyle name="Comma 2 2 4 2 2 4 2 2 2" xfId="19037" xr:uid="{A1910888-30CA-4BDA-96ED-F9C0AC9D35CD}"/>
    <cellStyle name="Comma 2 2 4 2 2 4 2 2 3" xfId="29453" xr:uid="{441B1E78-7960-425C-84AE-C597F4027764}"/>
    <cellStyle name="Comma 2 2 4 2 2 4 2 3" xfId="12679" xr:uid="{8288BCA7-3E5B-43FE-9E5C-DEFDC0EE69C5}"/>
    <cellStyle name="Comma 2 2 4 2 2 4 2 4" xfId="23095" xr:uid="{5B519CE2-0D14-4935-8FB8-1413B536EE1B}"/>
    <cellStyle name="Comma 2 2 4 2 2 4 3" xfId="7490" xr:uid="{00000000-0005-0000-0000-000021030000}"/>
    <cellStyle name="Comma 2 2 4 2 2 4 3 2" xfId="19036" xr:uid="{7D0632E9-B8D8-460C-A795-13E0B1D6BBF4}"/>
    <cellStyle name="Comma 2 2 4 2 2 4 3 3" xfId="29452" xr:uid="{F60246A0-41FA-45AA-92C7-29943131C730}"/>
    <cellStyle name="Comma 2 2 4 2 2 4 4" xfId="4936" xr:uid="{00000000-0005-0000-0000-000022030000}"/>
    <cellStyle name="Comma 2 2 4 2 2 4 4 2" xfId="16522" xr:uid="{C6E1C7ED-EEE3-4EE9-B691-3DCEFD83C814}"/>
    <cellStyle name="Comma 2 2 4 2 2 4 4 3" xfId="26938" xr:uid="{B0934424-0F8D-43E4-B0FF-E7E28191BE43}"/>
    <cellStyle name="Comma 2 2 4 2 2 4 5" xfId="12678" xr:uid="{11ACAB5C-8217-4F96-97C6-FE11333C7B2E}"/>
    <cellStyle name="Comma 2 2 4 2 2 4 6" xfId="23094" xr:uid="{D1F7F5B3-F80D-4084-8EFA-79E99C8070C9}"/>
    <cellStyle name="Comma 2 2 4 2 2 5" xfId="345" xr:uid="{00000000-0005-0000-0000-000023030000}"/>
    <cellStyle name="Comma 2 2 4 2 2 5 2" xfId="7492" xr:uid="{00000000-0005-0000-0000-000024030000}"/>
    <cellStyle name="Comma 2 2 4 2 2 5 2 2" xfId="19038" xr:uid="{708D88BE-3A4E-4372-9281-498609EC0C34}"/>
    <cellStyle name="Comma 2 2 4 2 2 5 2 3" xfId="29454" xr:uid="{4ABA76CC-0809-4EC8-A022-9C9D4F016776}"/>
    <cellStyle name="Comma 2 2 4 2 2 5 3" xfId="12680" xr:uid="{1B43296C-CFB1-4503-A375-58DCC62D2E24}"/>
    <cellStyle name="Comma 2 2 4 2 2 5 4" xfId="23096" xr:uid="{DB055FDD-0EAD-4F56-BB62-D0CF8E680B02}"/>
    <cellStyle name="Comma 2 2 4 2 2 6" xfId="7483" xr:uid="{00000000-0005-0000-0000-000025030000}"/>
    <cellStyle name="Comma 2 2 4 2 2 6 2" xfId="19029" xr:uid="{160F82A1-97A2-49A6-97E0-BAAB552347A1}"/>
    <cellStyle name="Comma 2 2 4 2 2 6 3" xfId="29445" xr:uid="{55337E01-F168-4EA0-B254-87D990F0CBF5}"/>
    <cellStyle name="Comma 2 2 4 2 2 7" xfId="4932" xr:uid="{00000000-0005-0000-0000-000026030000}"/>
    <cellStyle name="Comma 2 2 4 2 2 7 2" xfId="16518" xr:uid="{653D1C77-015C-4D98-8BD9-03844DDD9B9F}"/>
    <cellStyle name="Comma 2 2 4 2 2 7 3" xfId="26934" xr:uid="{C4C1ED9A-106C-4382-A480-29E497428ADA}"/>
    <cellStyle name="Comma 2 2 4 2 2 8" xfId="12671" xr:uid="{D35F7919-B837-4849-A05B-C9F9E9EE42CF}"/>
    <cellStyle name="Comma 2 2 4 2 2 9" xfId="23087" xr:uid="{AAA53D15-9180-4B25-9CE5-DF5148B68F39}"/>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2 2 2" xfId="19042" xr:uid="{A2115E39-F961-4728-9861-4BC1A8E56660}"/>
    <cellStyle name="Comma 2 2 4 2 3 2 2 2 2 3" xfId="29458" xr:uid="{341D7F43-B792-4173-B444-7C255FE3FC5D}"/>
    <cellStyle name="Comma 2 2 4 2 3 2 2 2 3" xfId="12684" xr:uid="{FD98C465-0F0F-4C25-BBBA-43E17A7B7355}"/>
    <cellStyle name="Comma 2 2 4 2 3 2 2 2 4" xfId="23100" xr:uid="{24E3F77A-1991-46BA-AE56-F6BD7BBDA9D6}"/>
    <cellStyle name="Comma 2 2 4 2 3 2 2 3" xfId="7495" xr:uid="{00000000-0005-0000-0000-00002C030000}"/>
    <cellStyle name="Comma 2 2 4 2 3 2 2 3 2" xfId="19041" xr:uid="{D1666E53-E8BA-4BFE-81DA-DCE28633BE64}"/>
    <cellStyle name="Comma 2 2 4 2 3 2 2 3 3" xfId="29457" xr:uid="{FD97EFB2-3CB9-4BCE-85EA-032089DC7989}"/>
    <cellStyle name="Comma 2 2 4 2 3 2 2 4" xfId="4939" xr:uid="{00000000-0005-0000-0000-00002D030000}"/>
    <cellStyle name="Comma 2 2 4 2 3 2 2 4 2" xfId="16525" xr:uid="{0B67382F-CFA4-4AB8-A69B-8B0B80DE99BF}"/>
    <cellStyle name="Comma 2 2 4 2 3 2 2 4 3" xfId="26941" xr:uid="{B9089E07-0C42-454D-A62B-D3A005182C0D}"/>
    <cellStyle name="Comma 2 2 4 2 3 2 2 5" xfId="12683" xr:uid="{23CEBA16-DAD8-461C-811E-1BC9CD25E83A}"/>
    <cellStyle name="Comma 2 2 4 2 3 2 2 6" xfId="23099" xr:uid="{71471A12-0C66-45CA-9FAF-92F6C8A3B9B1}"/>
    <cellStyle name="Comma 2 2 4 2 3 2 3" xfId="350" xr:uid="{00000000-0005-0000-0000-00002E030000}"/>
    <cellStyle name="Comma 2 2 4 2 3 2 3 2" xfId="7497" xr:uid="{00000000-0005-0000-0000-00002F030000}"/>
    <cellStyle name="Comma 2 2 4 2 3 2 3 2 2" xfId="19043" xr:uid="{BAB6A97F-E5DA-4E81-9B0C-ECE81BCF4C7B}"/>
    <cellStyle name="Comma 2 2 4 2 3 2 3 2 3" xfId="29459" xr:uid="{C7B06002-D176-4DFA-BCDF-545CFEC00AB7}"/>
    <cellStyle name="Comma 2 2 4 2 3 2 3 3" xfId="12685" xr:uid="{A211CF29-CB24-4A58-892F-0842CE6823C0}"/>
    <cellStyle name="Comma 2 2 4 2 3 2 3 4" xfId="23101" xr:uid="{9C483129-2D76-4AB4-B438-BC5AEC62296E}"/>
    <cellStyle name="Comma 2 2 4 2 3 2 4" xfId="7494" xr:uid="{00000000-0005-0000-0000-000030030000}"/>
    <cellStyle name="Comma 2 2 4 2 3 2 4 2" xfId="19040" xr:uid="{5404D03F-F0F8-4A3D-964F-A56428C708F8}"/>
    <cellStyle name="Comma 2 2 4 2 3 2 4 3" xfId="29456" xr:uid="{84C2DCAE-5B5E-47BF-B1A8-69AD66BAA1DD}"/>
    <cellStyle name="Comma 2 2 4 2 3 2 5" xfId="4938" xr:uid="{00000000-0005-0000-0000-000031030000}"/>
    <cellStyle name="Comma 2 2 4 2 3 2 5 2" xfId="16524" xr:uid="{A373C716-7F27-4F05-AFE1-E194760545B8}"/>
    <cellStyle name="Comma 2 2 4 2 3 2 5 3" xfId="26940" xr:uid="{D575988C-AA64-47D5-B8FB-F772A12E5545}"/>
    <cellStyle name="Comma 2 2 4 2 3 2 6" xfId="12682" xr:uid="{D725D9C2-3A01-44B1-A6D0-9CDC6412714F}"/>
    <cellStyle name="Comma 2 2 4 2 3 2 7" xfId="23098" xr:uid="{91ACB21A-65D7-4422-8824-E5C2DFE99147}"/>
    <cellStyle name="Comma 2 2 4 2 3 3" xfId="351" xr:uid="{00000000-0005-0000-0000-000032030000}"/>
    <cellStyle name="Comma 2 2 4 2 3 3 2" xfId="352" xr:uid="{00000000-0005-0000-0000-000033030000}"/>
    <cellStyle name="Comma 2 2 4 2 3 3 2 2" xfId="7499" xr:uid="{00000000-0005-0000-0000-000034030000}"/>
    <cellStyle name="Comma 2 2 4 2 3 3 2 2 2" xfId="19045" xr:uid="{477A3CF5-173F-42B4-98EA-27DD5134C6D7}"/>
    <cellStyle name="Comma 2 2 4 2 3 3 2 2 3" xfId="29461" xr:uid="{11E70E86-D3CF-4480-B988-0DDAE97F932C}"/>
    <cellStyle name="Comma 2 2 4 2 3 3 2 3" xfId="12687" xr:uid="{9A322D4B-BAC1-4AE4-BB21-BDBDF46EC78C}"/>
    <cellStyle name="Comma 2 2 4 2 3 3 2 4" xfId="23103" xr:uid="{21281D4A-A68A-4568-97D3-A7C4EB74D096}"/>
    <cellStyle name="Comma 2 2 4 2 3 3 3" xfId="7498" xr:uid="{00000000-0005-0000-0000-000035030000}"/>
    <cellStyle name="Comma 2 2 4 2 3 3 3 2" xfId="19044" xr:uid="{9D765A2B-79C3-4053-8FD4-6DC271C99417}"/>
    <cellStyle name="Comma 2 2 4 2 3 3 3 3" xfId="29460" xr:uid="{387D5A75-14A6-4408-B6C6-9F66A759B023}"/>
    <cellStyle name="Comma 2 2 4 2 3 3 4" xfId="4940" xr:uid="{00000000-0005-0000-0000-000036030000}"/>
    <cellStyle name="Comma 2 2 4 2 3 3 4 2" xfId="16526" xr:uid="{DCD38310-EBBD-497B-AAE7-CADFAEDBE110}"/>
    <cellStyle name="Comma 2 2 4 2 3 3 4 3" xfId="26942" xr:uid="{F296173C-708E-49E1-A622-D7FDD0FF8CF4}"/>
    <cellStyle name="Comma 2 2 4 2 3 3 5" xfId="12686" xr:uid="{EA54D322-3495-42C0-B6F3-C6841AA28577}"/>
    <cellStyle name="Comma 2 2 4 2 3 3 6" xfId="23102" xr:uid="{E89EF2A8-2074-4B65-A912-090D8FD18551}"/>
    <cellStyle name="Comma 2 2 4 2 3 4" xfId="353" xr:uid="{00000000-0005-0000-0000-000037030000}"/>
    <cellStyle name="Comma 2 2 4 2 3 4 2" xfId="354" xr:uid="{00000000-0005-0000-0000-000038030000}"/>
    <cellStyle name="Comma 2 2 4 2 3 4 2 2" xfId="7501" xr:uid="{00000000-0005-0000-0000-000039030000}"/>
    <cellStyle name="Comma 2 2 4 2 3 4 2 2 2" xfId="19047" xr:uid="{034A8F47-913A-4F49-8CA6-1C6058C751C0}"/>
    <cellStyle name="Comma 2 2 4 2 3 4 2 2 3" xfId="29463" xr:uid="{50BFDA6D-980E-4C28-B22D-01E274615574}"/>
    <cellStyle name="Comma 2 2 4 2 3 4 2 3" xfId="12689" xr:uid="{110E2C90-35E2-40C6-91F4-6D50663ACD81}"/>
    <cellStyle name="Comma 2 2 4 2 3 4 2 4" xfId="23105" xr:uid="{9F21D54E-8111-488D-BCAD-8E7AE2E13D6A}"/>
    <cellStyle name="Comma 2 2 4 2 3 4 3" xfId="7500" xr:uid="{00000000-0005-0000-0000-00003A030000}"/>
    <cellStyle name="Comma 2 2 4 2 3 4 3 2" xfId="19046" xr:uid="{F7974136-9EDE-457A-9A87-EC72D78AA422}"/>
    <cellStyle name="Comma 2 2 4 2 3 4 3 3" xfId="29462" xr:uid="{04C31F26-985C-47E7-AF84-BD0362E74713}"/>
    <cellStyle name="Comma 2 2 4 2 3 4 4" xfId="4941" xr:uid="{00000000-0005-0000-0000-00003B030000}"/>
    <cellStyle name="Comma 2 2 4 2 3 4 4 2" xfId="16527" xr:uid="{35EE9658-5F43-426B-85F4-54E2BCC0B2FA}"/>
    <cellStyle name="Comma 2 2 4 2 3 4 4 3" xfId="26943" xr:uid="{307C44AA-DAC1-475E-BEFB-EE584DF1AB28}"/>
    <cellStyle name="Comma 2 2 4 2 3 4 5" xfId="12688" xr:uid="{606D88B3-55A3-4270-8F7F-BA8A730AC3B4}"/>
    <cellStyle name="Comma 2 2 4 2 3 4 6" xfId="23104" xr:uid="{62AF2EA2-8047-4C68-AFC7-3F41B784AD2F}"/>
    <cellStyle name="Comma 2 2 4 2 3 5" xfId="355" xr:uid="{00000000-0005-0000-0000-00003C030000}"/>
    <cellStyle name="Comma 2 2 4 2 3 5 2" xfId="7502" xr:uid="{00000000-0005-0000-0000-00003D030000}"/>
    <cellStyle name="Comma 2 2 4 2 3 5 2 2" xfId="19048" xr:uid="{207C6B4F-6FEC-4DCE-B495-E75F5B36096F}"/>
    <cellStyle name="Comma 2 2 4 2 3 5 2 3" xfId="29464" xr:uid="{70B67B4D-A5F7-4586-82F3-D5F89AE8E186}"/>
    <cellStyle name="Comma 2 2 4 2 3 5 3" xfId="12690" xr:uid="{A00F0A8E-2653-49C4-8858-FFF6859AB7EC}"/>
    <cellStyle name="Comma 2 2 4 2 3 5 4" xfId="23106" xr:uid="{03FE7DDC-94C1-496B-BF0F-EBEDCFB76448}"/>
    <cellStyle name="Comma 2 2 4 2 3 6" xfId="7493" xr:uid="{00000000-0005-0000-0000-00003E030000}"/>
    <cellStyle name="Comma 2 2 4 2 3 6 2" xfId="19039" xr:uid="{6C4F5DEA-544F-46F9-A69B-23277B205CA7}"/>
    <cellStyle name="Comma 2 2 4 2 3 6 3" xfId="29455" xr:uid="{B31B884C-3761-47BB-8DCE-125356D01FBE}"/>
    <cellStyle name="Comma 2 2 4 2 3 7" xfId="4937" xr:uid="{00000000-0005-0000-0000-00003F030000}"/>
    <cellStyle name="Comma 2 2 4 2 3 7 2" xfId="16523" xr:uid="{B995E977-CEB1-4047-BAD5-4FD5241488CC}"/>
    <cellStyle name="Comma 2 2 4 2 3 7 3" xfId="26939" xr:uid="{94921084-2EB3-4542-8F97-722268699A74}"/>
    <cellStyle name="Comma 2 2 4 2 3 8" xfId="12681" xr:uid="{6EAF8E10-817C-49B2-8C2E-76437AE91790}"/>
    <cellStyle name="Comma 2 2 4 2 3 9" xfId="23097" xr:uid="{5E0FFD50-6BE7-4B75-B7D7-724FD325D119}"/>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2 2 2" xfId="19052" xr:uid="{5EE3CC02-A664-45B1-89D8-A197F8F5D86A}"/>
    <cellStyle name="Comma 2 2 4 2 4 2 2 2 2 3" xfId="29468" xr:uid="{783EE656-74E1-41D6-8060-50B9971892D1}"/>
    <cellStyle name="Comma 2 2 4 2 4 2 2 2 3" xfId="12694" xr:uid="{425CA186-7728-4597-B54B-DEF665CF98D5}"/>
    <cellStyle name="Comma 2 2 4 2 4 2 2 2 4" xfId="23110" xr:uid="{F4F7B077-8A3C-4507-BE99-AF961C44EF16}"/>
    <cellStyle name="Comma 2 2 4 2 4 2 2 3" xfId="7505" xr:uid="{00000000-0005-0000-0000-000045030000}"/>
    <cellStyle name="Comma 2 2 4 2 4 2 2 3 2" xfId="19051" xr:uid="{E8E3D272-B1B7-455D-BF4C-23C0799450E9}"/>
    <cellStyle name="Comma 2 2 4 2 4 2 2 3 3" xfId="29467" xr:uid="{D3861C4C-AAE6-456C-B1AD-CFA60441B271}"/>
    <cellStyle name="Comma 2 2 4 2 4 2 2 4" xfId="4944" xr:uid="{00000000-0005-0000-0000-000046030000}"/>
    <cellStyle name="Comma 2 2 4 2 4 2 2 4 2" xfId="16530" xr:uid="{4F91A546-FB60-4DB0-988C-06A53BDDB716}"/>
    <cellStyle name="Comma 2 2 4 2 4 2 2 4 3" xfId="26946" xr:uid="{CAD080B7-D35C-4562-83F1-A0433D53D554}"/>
    <cellStyle name="Comma 2 2 4 2 4 2 2 5" xfId="12693" xr:uid="{5447EA22-3A3F-48BF-8B57-CB99E9F796D0}"/>
    <cellStyle name="Comma 2 2 4 2 4 2 2 6" xfId="23109" xr:uid="{6B9A86CA-6739-4BB1-B2BD-F2BC06C97EBA}"/>
    <cellStyle name="Comma 2 2 4 2 4 2 3" xfId="360" xr:uid="{00000000-0005-0000-0000-000047030000}"/>
    <cellStyle name="Comma 2 2 4 2 4 2 3 2" xfId="7507" xr:uid="{00000000-0005-0000-0000-000048030000}"/>
    <cellStyle name="Comma 2 2 4 2 4 2 3 2 2" xfId="19053" xr:uid="{65C83826-6FF6-488D-A916-A5143E2ACB9C}"/>
    <cellStyle name="Comma 2 2 4 2 4 2 3 2 3" xfId="29469" xr:uid="{9C0D2526-FE8C-4C7D-AFDD-119FF7ED2913}"/>
    <cellStyle name="Comma 2 2 4 2 4 2 3 3" xfId="12695" xr:uid="{7FE6CA14-C957-4601-A0CF-CFCBEE7A7F98}"/>
    <cellStyle name="Comma 2 2 4 2 4 2 3 4" xfId="23111" xr:uid="{0AD73373-8257-4DF3-9860-7E1FA4F57730}"/>
    <cellStyle name="Comma 2 2 4 2 4 2 4" xfId="7504" xr:uid="{00000000-0005-0000-0000-000049030000}"/>
    <cellStyle name="Comma 2 2 4 2 4 2 4 2" xfId="19050" xr:uid="{4D03EA7E-DCF5-4C19-B7B3-B8954D45F42C}"/>
    <cellStyle name="Comma 2 2 4 2 4 2 4 3" xfId="29466" xr:uid="{3D262259-318F-4A4C-82AF-0CF6E00BE6F9}"/>
    <cellStyle name="Comma 2 2 4 2 4 2 5" xfId="4943" xr:uid="{00000000-0005-0000-0000-00004A030000}"/>
    <cellStyle name="Comma 2 2 4 2 4 2 5 2" xfId="16529" xr:uid="{0D08C257-E76A-4840-B445-AEE0F8DC44CF}"/>
    <cellStyle name="Comma 2 2 4 2 4 2 5 3" xfId="26945" xr:uid="{02E94B84-A91A-45F2-A94F-3F8F91D9C45F}"/>
    <cellStyle name="Comma 2 2 4 2 4 2 6" xfId="12692" xr:uid="{F05C6989-4FFC-473E-A313-2F4F11B93078}"/>
    <cellStyle name="Comma 2 2 4 2 4 2 7" xfId="23108" xr:uid="{F72364D1-DDDF-4C36-9791-01E112D41A22}"/>
    <cellStyle name="Comma 2 2 4 2 4 3" xfId="361" xr:uid="{00000000-0005-0000-0000-00004B030000}"/>
    <cellStyle name="Comma 2 2 4 2 4 3 2" xfId="362" xr:uid="{00000000-0005-0000-0000-00004C030000}"/>
    <cellStyle name="Comma 2 2 4 2 4 3 2 2" xfId="7509" xr:uid="{00000000-0005-0000-0000-00004D030000}"/>
    <cellStyle name="Comma 2 2 4 2 4 3 2 2 2" xfId="19055" xr:uid="{13E4351E-37E2-4A5E-BA5C-EDBE9CCA1FCF}"/>
    <cellStyle name="Comma 2 2 4 2 4 3 2 2 3" xfId="29471" xr:uid="{AA18CB0A-13CC-4ABB-A6DD-3FD4316BD9F4}"/>
    <cellStyle name="Comma 2 2 4 2 4 3 2 3" xfId="12697" xr:uid="{DC2FC50E-4F1F-4332-9DE1-995B2E69D119}"/>
    <cellStyle name="Comma 2 2 4 2 4 3 2 4" xfId="23113" xr:uid="{A1D096D3-C476-47C4-B2E9-C14111265597}"/>
    <cellStyle name="Comma 2 2 4 2 4 3 3" xfId="7508" xr:uid="{00000000-0005-0000-0000-00004E030000}"/>
    <cellStyle name="Comma 2 2 4 2 4 3 3 2" xfId="19054" xr:uid="{CAEB18C1-B6FE-42EC-92C1-412E50A10258}"/>
    <cellStyle name="Comma 2 2 4 2 4 3 3 3" xfId="29470" xr:uid="{6524BD51-9466-4CEC-8C78-59987858F45D}"/>
    <cellStyle name="Comma 2 2 4 2 4 3 4" xfId="4945" xr:uid="{00000000-0005-0000-0000-00004F030000}"/>
    <cellStyle name="Comma 2 2 4 2 4 3 4 2" xfId="16531" xr:uid="{C293F8AC-F987-4821-ADF8-1B75334D36D2}"/>
    <cellStyle name="Comma 2 2 4 2 4 3 4 3" xfId="26947" xr:uid="{E0712B2A-CF6A-45B3-845A-035F46B4B85F}"/>
    <cellStyle name="Comma 2 2 4 2 4 3 5" xfId="12696" xr:uid="{D78FF686-6623-4A4E-9305-28A3943AE633}"/>
    <cellStyle name="Comma 2 2 4 2 4 3 6" xfId="23112" xr:uid="{1C344DC4-0B52-4832-9579-B435BE9FC120}"/>
    <cellStyle name="Comma 2 2 4 2 4 4" xfId="363" xr:uid="{00000000-0005-0000-0000-000050030000}"/>
    <cellStyle name="Comma 2 2 4 2 4 4 2" xfId="364" xr:uid="{00000000-0005-0000-0000-000051030000}"/>
    <cellStyle name="Comma 2 2 4 2 4 4 2 2" xfId="7511" xr:uid="{00000000-0005-0000-0000-000052030000}"/>
    <cellStyle name="Comma 2 2 4 2 4 4 2 2 2" xfId="19057" xr:uid="{CFA72D08-E94C-4F56-B53C-2CBFFA6AE61D}"/>
    <cellStyle name="Comma 2 2 4 2 4 4 2 2 3" xfId="29473" xr:uid="{0FE040DB-82A9-4B86-91A3-A9349C3998DC}"/>
    <cellStyle name="Comma 2 2 4 2 4 4 2 3" xfId="12699" xr:uid="{B5C8C8C6-B0AF-47EC-AC13-B5607C3E5534}"/>
    <cellStyle name="Comma 2 2 4 2 4 4 2 4" xfId="23115" xr:uid="{F124839F-99C2-4740-BBBB-E39F2ACBB2BF}"/>
    <cellStyle name="Comma 2 2 4 2 4 4 3" xfId="7510" xr:uid="{00000000-0005-0000-0000-000053030000}"/>
    <cellStyle name="Comma 2 2 4 2 4 4 3 2" xfId="19056" xr:uid="{725BADA2-21C6-4497-BD21-E2F272822E82}"/>
    <cellStyle name="Comma 2 2 4 2 4 4 3 3" xfId="29472" xr:uid="{1CC40D26-39D2-403D-A9B4-3EBF1780C526}"/>
    <cellStyle name="Comma 2 2 4 2 4 4 4" xfId="4946" xr:uid="{00000000-0005-0000-0000-000054030000}"/>
    <cellStyle name="Comma 2 2 4 2 4 4 4 2" xfId="16532" xr:uid="{FC9A2973-FC14-4D98-A369-31DEF9C5BCDD}"/>
    <cellStyle name="Comma 2 2 4 2 4 4 4 3" xfId="26948" xr:uid="{135254E8-2B76-4750-949E-C63F482D3630}"/>
    <cellStyle name="Comma 2 2 4 2 4 4 5" xfId="12698" xr:uid="{59C5A26F-961D-4AA0-A575-E9C1B533E281}"/>
    <cellStyle name="Comma 2 2 4 2 4 4 6" xfId="23114" xr:uid="{54E72DC3-6FB1-4206-8736-6B203255E3C0}"/>
    <cellStyle name="Comma 2 2 4 2 4 5" xfId="365" xr:uid="{00000000-0005-0000-0000-000055030000}"/>
    <cellStyle name="Comma 2 2 4 2 4 5 2" xfId="7512" xr:uid="{00000000-0005-0000-0000-000056030000}"/>
    <cellStyle name="Comma 2 2 4 2 4 5 2 2" xfId="19058" xr:uid="{CEA21859-22A5-4A1F-8753-D28B3A93045D}"/>
    <cellStyle name="Comma 2 2 4 2 4 5 2 3" xfId="29474" xr:uid="{646A297B-A053-4F44-9138-231942DC227F}"/>
    <cellStyle name="Comma 2 2 4 2 4 5 3" xfId="12700" xr:uid="{7AE3868E-18BA-46ED-99CC-323A5617232C}"/>
    <cellStyle name="Comma 2 2 4 2 4 5 4" xfId="23116" xr:uid="{A39991D7-8699-4D18-B0F7-EE4B0E5FEE81}"/>
    <cellStyle name="Comma 2 2 4 2 4 6" xfId="7503" xr:uid="{00000000-0005-0000-0000-000057030000}"/>
    <cellStyle name="Comma 2 2 4 2 4 6 2" xfId="19049" xr:uid="{A614AC7B-97B9-4E54-A47B-BEF46F13904F}"/>
    <cellStyle name="Comma 2 2 4 2 4 6 3" xfId="29465" xr:uid="{09810BC4-E8B6-4D6D-B645-8581926DA621}"/>
    <cellStyle name="Comma 2 2 4 2 4 7" xfId="4942" xr:uid="{00000000-0005-0000-0000-000058030000}"/>
    <cellStyle name="Comma 2 2 4 2 4 7 2" xfId="16528" xr:uid="{92115F08-8BE8-4B93-869F-F8EF6F9C752C}"/>
    <cellStyle name="Comma 2 2 4 2 4 7 3" xfId="26944" xr:uid="{AD6DA186-885F-4F45-8AF6-3C7D573D8B31}"/>
    <cellStyle name="Comma 2 2 4 2 4 8" xfId="12691" xr:uid="{7E151888-DF97-440C-BA7F-8F2B37B979D3}"/>
    <cellStyle name="Comma 2 2 4 2 4 9" xfId="23107" xr:uid="{20A8BD1F-DA47-4A03-B9F3-9EB03EA98FE2}"/>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2 2 2" xfId="19062" xr:uid="{C85164F9-A569-494F-9972-2631C663D0B6}"/>
    <cellStyle name="Comma 2 2 4 2 5 2 2 2 2 3" xfId="29478" xr:uid="{D74D9FAC-ACF1-46E0-90CD-52BC473BDC6F}"/>
    <cellStyle name="Comma 2 2 4 2 5 2 2 2 3" xfId="12704" xr:uid="{4D74E6F5-3DFE-437F-A568-BD592AFB107F}"/>
    <cellStyle name="Comma 2 2 4 2 5 2 2 2 4" xfId="23120" xr:uid="{7A416119-01D8-4DD0-B4DA-26DC613AA58B}"/>
    <cellStyle name="Comma 2 2 4 2 5 2 2 3" xfId="7515" xr:uid="{00000000-0005-0000-0000-00005E030000}"/>
    <cellStyle name="Comma 2 2 4 2 5 2 2 3 2" xfId="19061" xr:uid="{BE60741B-DFA6-4CEA-BD6D-A0548BFAD469}"/>
    <cellStyle name="Comma 2 2 4 2 5 2 2 3 3" xfId="29477" xr:uid="{8F54D756-C9F7-4D2A-B85D-E0433394B688}"/>
    <cellStyle name="Comma 2 2 4 2 5 2 2 4" xfId="4949" xr:uid="{00000000-0005-0000-0000-00005F030000}"/>
    <cellStyle name="Comma 2 2 4 2 5 2 2 4 2" xfId="16535" xr:uid="{FC6AA490-02A6-4069-BADB-02FFA78536C8}"/>
    <cellStyle name="Comma 2 2 4 2 5 2 2 4 3" xfId="26951" xr:uid="{D089E749-0F2F-467C-8300-856CB2EB730A}"/>
    <cellStyle name="Comma 2 2 4 2 5 2 2 5" xfId="12703" xr:uid="{F38F0931-FD02-4597-B66C-EEDCD4453847}"/>
    <cellStyle name="Comma 2 2 4 2 5 2 2 6" xfId="23119" xr:uid="{0FE8FE6B-F3F1-44DB-AB76-6EEEDFD5EB33}"/>
    <cellStyle name="Comma 2 2 4 2 5 2 3" xfId="370" xr:uid="{00000000-0005-0000-0000-000060030000}"/>
    <cellStyle name="Comma 2 2 4 2 5 2 3 2" xfId="7517" xr:uid="{00000000-0005-0000-0000-000061030000}"/>
    <cellStyle name="Comma 2 2 4 2 5 2 3 2 2" xfId="19063" xr:uid="{26D24026-71E5-4FEA-9BBE-BA9A5CB1CD5D}"/>
    <cellStyle name="Comma 2 2 4 2 5 2 3 2 3" xfId="29479" xr:uid="{02C03A74-70B6-49AD-940B-891ED53B385B}"/>
    <cellStyle name="Comma 2 2 4 2 5 2 3 3" xfId="12705" xr:uid="{20FBADFB-FC1F-4C49-9A75-53AF9E2ADB6F}"/>
    <cellStyle name="Comma 2 2 4 2 5 2 3 4" xfId="23121" xr:uid="{D77D48A5-92FE-4F1D-9D0E-B46B8032F00F}"/>
    <cellStyle name="Comma 2 2 4 2 5 2 4" xfId="7514" xr:uid="{00000000-0005-0000-0000-000062030000}"/>
    <cellStyle name="Comma 2 2 4 2 5 2 4 2" xfId="19060" xr:uid="{8F2A2337-9F0D-482B-93C0-132E1AFDDFD1}"/>
    <cellStyle name="Comma 2 2 4 2 5 2 4 3" xfId="29476" xr:uid="{EF441116-C465-4968-9F12-EB60C5A92DC2}"/>
    <cellStyle name="Comma 2 2 4 2 5 2 5" xfId="4948" xr:uid="{00000000-0005-0000-0000-000063030000}"/>
    <cellStyle name="Comma 2 2 4 2 5 2 5 2" xfId="16534" xr:uid="{636B5014-9852-42F2-BF4F-34BA40BC5437}"/>
    <cellStyle name="Comma 2 2 4 2 5 2 5 3" xfId="26950" xr:uid="{B195128A-A7D3-4B7C-BE2D-1DAAC3532DDB}"/>
    <cellStyle name="Comma 2 2 4 2 5 2 6" xfId="12702" xr:uid="{8D4D0A94-C61D-40D2-9076-9E3A486D893A}"/>
    <cellStyle name="Comma 2 2 4 2 5 2 7" xfId="23118" xr:uid="{D473D905-ED37-4961-B953-273FF20FC075}"/>
    <cellStyle name="Comma 2 2 4 2 5 3" xfId="371" xr:uid="{00000000-0005-0000-0000-000064030000}"/>
    <cellStyle name="Comma 2 2 4 2 5 3 2" xfId="372" xr:uid="{00000000-0005-0000-0000-000065030000}"/>
    <cellStyle name="Comma 2 2 4 2 5 3 2 2" xfId="7519" xr:uid="{00000000-0005-0000-0000-000066030000}"/>
    <cellStyle name="Comma 2 2 4 2 5 3 2 2 2" xfId="19065" xr:uid="{60DE12A0-B386-43B4-B34E-51AD1902C575}"/>
    <cellStyle name="Comma 2 2 4 2 5 3 2 2 3" xfId="29481" xr:uid="{2FD9D979-6CC7-4864-84CB-8D1FD3629E1D}"/>
    <cellStyle name="Comma 2 2 4 2 5 3 2 3" xfId="12707" xr:uid="{EC76D820-5B39-4642-A058-F56F6DF2D268}"/>
    <cellStyle name="Comma 2 2 4 2 5 3 2 4" xfId="23123" xr:uid="{9256BF97-C9C8-4CC1-A86A-10575CED4E58}"/>
    <cellStyle name="Comma 2 2 4 2 5 3 3" xfId="7518" xr:uid="{00000000-0005-0000-0000-000067030000}"/>
    <cellStyle name="Comma 2 2 4 2 5 3 3 2" xfId="19064" xr:uid="{26886954-9EF1-451C-BA2F-A5D301340057}"/>
    <cellStyle name="Comma 2 2 4 2 5 3 3 3" xfId="29480" xr:uid="{24FA8207-CC4C-4F5D-A1FB-470608D1888B}"/>
    <cellStyle name="Comma 2 2 4 2 5 3 4" xfId="4950" xr:uid="{00000000-0005-0000-0000-000068030000}"/>
    <cellStyle name="Comma 2 2 4 2 5 3 4 2" xfId="16536" xr:uid="{903268A3-3C8D-414B-B486-729D62FA0AF7}"/>
    <cellStyle name="Comma 2 2 4 2 5 3 4 3" xfId="26952" xr:uid="{24BC316C-CEB9-45DE-BC4B-FAF72D96D8CB}"/>
    <cellStyle name="Comma 2 2 4 2 5 3 5" xfId="12706" xr:uid="{8606A71B-BB49-4583-A3D9-D963E9049E75}"/>
    <cellStyle name="Comma 2 2 4 2 5 3 6" xfId="23122" xr:uid="{AB41C914-38CB-4691-BBB7-6B9A38DF7460}"/>
    <cellStyle name="Comma 2 2 4 2 5 4" xfId="373" xr:uid="{00000000-0005-0000-0000-000069030000}"/>
    <cellStyle name="Comma 2 2 4 2 5 4 2" xfId="374" xr:uid="{00000000-0005-0000-0000-00006A030000}"/>
    <cellStyle name="Comma 2 2 4 2 5 4 2 2" xfId="7521" xr:uid="{00000000-0005-0000-0000-00006B030000}"/>
    <cellStyle name="Comma 2 2 4 2 5 4 2 2 2" xfId="19067" xr:uid="{D9282645-E29A-47BF-A88D-7E0C87C360B4}"/>
    <cellStyle name="Comma 2 2 4 2 5 4 2 2 3" xfId="29483" xr:uid="{E0338704-58B6-498C-BAC8-30778EE3DABF}"/>
    <cellStyle name="Comma 2 2 4 2 5 4 2 3" xfId="12709" xr:uid="{BC5CBBE7-ACFE-41FF-B792-49585CECD9AF}"/>
    <cellStyle name="Comma 2 2 4 2 5 4 2 4" xfId="23125" xr:uid="{4E88DC42-62BB-4CB8-99D5-18A0E2E91BF4}"/>
    <cellStyle name="Comma 2 2 4 2 5 4 3" xfId="7520" xr:uid="{00000000-0005-0000-0000-00006C030000}"/>
    <cellStyle name="Comma 2 2 4 2 5 4 3 2" xfId="19066" xr:uid="{D24892D5-CC14-4F9F-B1CA-5B1916B82E5A}"/>
    <cellStyle name="Comma 2 2 4 2 5 4 3 3" xfId="29482" xr:uid="{590CB5BE-CC50-4FB5-92D7-099952D7C339}"/>
    <cellStyle name="Comma 2 2 4 2 5 4 4" xfId="4951" xr:uid="{00000000-0005-0000-0000-00006D030000}"/>
    <cellStyle name="Comma 2 2 4 2 5 4 4 2" xfId="16537" xr:uid="{4E7ECB22-ECA0-4EDB-B242-F250C41BDBEC}"/>
    <cellStyle name="Comma 2 2 4 2 5 4 4 3" xfId="26953" xr:uid="{7AE5774B-5EEB-4DEB-B93B-355EE87613CC}"/>
    <cellStyle name="Comma 2 2 4 2 5 4 5" xfId="12708" xr:uid="{D45A0465-D425-4432-B58E-6F91A078BE97}"/>
    <cellStyle name="Comma 2 2 4 2 5 4 6" xfId="23124" xr:uid="{C34BF144-B5FA-440C-AAC1-E3A03219D52E}"/>
    <cellStyle name="Comma 2 2 4 2 5 5" xfId="375" xr:uid="{00000000-0005-0000-0000-00006E030000}"/>
    <cellStyle name="Comma 2 2 4 2 5 5 2" xfId="7522" xr:uid="{00000000-0005-0000-0000-00006F030000}"/>
    <cellStyle name="Comma 2 2 4 2 5 5 2 2" xfId="19068" xr:uid="{A4CE61F7-89C4-4DA3-8A38-9349F8E5A015}"/>
    <cellStyle name="Comma 2 2 4 2 5 5 2 3" xfId="29484" xr:uid="{493A7385-A408-402E-A0AD-82C779C11B46}"/>
    <cellStyle name="Comma 2 2 4 2 5 5 3" xfId="12710" xr:uid="{2F44E809-8D17-4C9B-8945-2887B4BF7731}"/>
    <cellStyle name="Comma 2 2 4 2 5 5 4" xfId="23126" xr:uid="{6833EF66-4161-4E35-8667-480A7C118D01}"/>
    <cellStyle name="Comma 2 2 4 2 5 6" xfId="7513" xr:uid="{00000000-0005-0000-0000-000070030000}"/>
    <cellStyle name="Comma 2 2 4 2 5 6 2" xfId="19059" xr:uid="{4D680C1B-E832-46DF-B6BE-8F7A5472C4E0}"/>
    <cellStyle name="Comma 2 2 4 2 5 6 3" xfId="29475" xr:uid="{BF82415D-99AD-4157-89B5-F5CE53D673A0}"/>
    <cellStyle name="Comma 2 2 4 2 5 7" xfId="4947" xr:uid="{00000000-0005-0000-0000-000071030000}"/>
    <cellStyle name="Comma 2 2 4 2 5 7 2" xfId="16533" xr:uid="{8399F543-8129-477B-B78A-FCB693713364}"/>
    <cellStyle name="Comma 2 2 4 2 5 7 3" xfId="26949" xr:uid="{34565E7E-8502-4AD8-AE5E-1DFF321BF92C}"/>
    <cellStyle name="Comma 2 2 4 2 5 8" xfId="12701" xr:uid="{B16B123C-B4D9-4D17-A322-BB18D7A55978}"/>
    <cellStyle name="Comma 2 2 4 2 5 9" xfId="23117" xr:uid="{7CC484BD-069A-4BCA-8B3A-85422FE4D051}"/>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2 2 2" xfId="19071" xr:uid="{B7EE8E4E-0B1A-458C-A515-B06C13CC368D}"/>
    <cellStyle name="Comma 2 2 4 2 6 2 2 2 3" xfId="29487" xr:uid="{4E48A827-C33C-4D88-BD47-DB0DAFD79E2D}"/>
    <cellStyle name="Comma 2 2 4 2 6 2 2 3" xfId="12713" xr:uid="{25661174-8773-4604-9B01-7BFCB07A86EB}"/>
    <cellStyle name="Comma 2 2 4 2 6 2 2 4" xfId="23129" xr:uid="{40A55DC0-62A6-48BE-960D-C4700B758F75}"/>
    <cellStyle name="Comma 2 2 4 2 6 2 3" xfId="7524" xr:uid="{00000000-0005-0000-0000-000076030000}"/>
    <cellStyle name="Comma 2 2 4 2 6 2 3 2" xfId="19070" xr:uid="{1D7C2253-8A7E-4388-AA99-7C1132D6E592}"/>
    <cellStyle name="Comma 2 2 4 2 6 2 3 3" xfId="29486" xr:uid="{8A6F50ED-74A9-437C-BF6A-64CC6C1684B3}"/>
    <cellStyle name="Comma 2 2 4 2 6 2 4" xfId="4953" xr:uid="{00000000-0005-0000-0000-000077030000}"/>
    <cellStyle name="Comma 2 2 4 2 6 2 4 2" xfId="16539" xr:uid="{AF3797BD-EAF7-471D-9B9E-F7C00D783976}"/>
    <cellStyle name="Comma 2 2 4 2 6 2 4 3" xfId="26955" xr:uid="{A16F761C-21DB-4CB1-88FC-E5F7A0EF28DD}"/>
    <cellStyle name="Comma 2 2 4 2 6 2 5" xfId="12712" xr:uid="{36BA7F3F-CAB0-47F4-93B8-4FBF5343ABD2}"/>
    <cellStyle name="Comma 2 2 4 2 6 2 6" xfId="23128" xr:uid="{6ADFF14D-C85D-4DD5-AAB0-D90E3D595DDD}"/>
    <cellStyle name="Comma 2 2 4 2 6 3" xfId="379" xr:uid="{00000000-0005-0000-0000-000078030000}"/>
    <cellStyle name="Comma 2 2 4 2 6 3 2" xfId="380" xr:uid="{00000000-0005-0000-0000-000079030000}"/>
    <cellStyle name="Comma 2 2 4 2 6 3 2 2" xfId="7527" xr:uid="{00000000-0005-0000-0000-00007A030000}"/>
    <cellStyle name="Comma 2 2 4 2 6 3 2 2 2" xfId="19073" xr:uid="{9EE606D5-B8CB-4A66-93BA-AAB48CF62C84}"/>
    <cellStyle name="Comma 2 2 4 2 6 3 2 2 3" xfId="29489" xr:uid="{F7782A2C-39AE-404C-A9DD-99C38FD6F449}"/>
    <cellStyle name="Comma 2 2 4 2 6 3 2 3" xfId="12715" xr:uid="{0ABE0363-63D7-449D-BFEA-B901C8F99634}"/>
    <cellStyle name="Comma 2 2 4 2 6 3 2 4" xfId="23131" xr:uid="{4B32994B-1D7B-472E-9061-973703E1C4D0}"/>
    <cellStyle name="Comma 2 2 4 2 6 3 3" xfId="7526" xr:uid="{00000000-0005-0000-0000-00007B030000}"/>
    <cellStyle name="Comma 2 2 4 2 6 3 3 2" xfId="19072" xr:uid="{FDFAA0EE-BFD5-40B4-82F1-12D7B3A7ACB9}"/>
    <cellStyle name="Comma 2 2 4 2 6 3 3 3" xfId="29488" xr:uid="{DC8F968C-7587-4CE2-9ADF-974CE57F05C5}"/>
    <cellStyle name="Comma 2 2 4 2 6 3 4" xfId="4954" xr:uid="{00000000-0005-0000-0000-00007C030000}"/>
    <cellStyle name="Comma 2 2 4 2 6 3 4 2" xfId="16540" xr:uid="{1A976923-161C-478B-8AE1-949713E1D081}"/>
    <cellStyle name="Comma 2 2 4 2 6 3 4 3" xfId="26956" xr:uid="{01059F12-8942-4755-B911-9C698F21AEE2}"/>
    <cellStyle name="Comma 2 2 4 2 6 3 5" xfId="12714" xr:uid="{0F36ECEC-2F33-4089-8A5F-BDBB5555E9BC}"/>
    <cellStyle name="Comma 2 2 4 2 6 3 6" xfId="23130" xr:uid="{2AD79CF6-54A7-4E73-AC8A-1D3468138257}"/>
    <cellStyle name="Comma 2 2 4 2 6 4" xfId="381" xr:uid="{00000000-0005-0000-0000-00007D030000}"/>
    <cellStyle name="Comma 2 2 4 2 6 4 2" xfId="7528" xr:uid="{00000000-0005-0000-0000-00007E030000}"/>
    <cellStyle name="Comma 2 2 4 2 6 4 2 2" xfId="19074" xr:uid="{4079E0DD-6050-4B4E-9D81-4A6537954EB6}"/>
    <cellStyle name="Comma 2 2 4 2 6 4 2 3" xfId="29490" xr:uid="{843858E9-E3E2-45A4-A509-B976777F9FA7}"/>
    <cellStyle name="Comma 2 2 4 2 6 4 3" xfId="12716" xr:uid="{8A6F8864-E365-40FD-8F51-6F954620A936}"/>
    <cellStyle name="Comma 2 2 4 2 6 4 4" xfId="23132" xr:uid="{4D791CD1-0CE1-4592-BBE8-436613FC80DA}"/>
    <cellStyle name="Comma 2 2 4 2 6 5" xfId="7523" xr:uid="{00000000-0005-0000-0000-00007F030000}"/>
    <cellStyle name="Comma 2 2 4 2 6 5 2" xfId="19069" xr:uid="{766BE98D-E209-4054-AA50-B9C0823A7BDF}"/>
    <cellStyle name="Comma 2 2 4 2 6 5 3" xfId="29485" xr:uid="{672C9F7F-6A85-4060-A2B3-2EAF34134583}"/>
    <cellStyle name="Comma 2 2 4 2 6 6" xfId="4952" xr:uid="{00000000-0005-0000-0000-000080030000}"/>
    <cellStyle name="Comma 2 2 4 2 6 6 2" xfId="16538" xr:uid="{F88C068A-F727-4E21-AD30-C3F09E81A921}"/>
    <cellStyle name="Comma 2 2 4 2 6 6 3" xfId="26954" xr:uid="{B93C2B33-86E3-4AA7-8C56-4AB32CBD6985}"/>
    <cellStyle name="Comma 2 2 4 2 6 7" xfId="12711" xr:uid="{C5A12692-50FE-4FC4-81BB-A66A1D2C3D60}"/>
    <cellStyle name="Comma 2 2 4 2 6 8" xfId="23127" xr:uid="{01541BC9-D0DA-4116-BFBD-D53306386FF1}"/>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2 2 2" xfId="19077" xr:uid="{6B7969B6-D40D-43AE-8E1B-F1AA454573AA}"/>
    <cellStyle name="Comma 2 2 4 2 7 2 2 2 3" xfId="29493" xr:uid="{1935454D-1775-4BC6-BB2A-6901A5A0D16A}"/>
    <cellStyle name="Comma 2 2 4 2 7 2 2 3" xfId="12719" xr:uid="{566DAF2E-5714-4843-853C-AEF6B6FF25E8}"/>
    <cellStyle name="Comma 2 2 4 2 7 2 2 4" xfId="23135" xr:uid="{CC8DD7DE-8E21-49FC-BAFA-E9E34E1FCA52}"/>
    <cellStyle name="Comma 2 2 4 2 7 2 3" xfId="7530" xr:uid="{00000000-0005-0000-0000-000085030000}"/>
    <cellStyle name="Comma 2 2 4 2 7 2 3 2" xfId="19076" xr:uid="{9EF3C240-97B1-4BA3-ADFD-86E480CDB781}"/>
    <cellStyle name="Comma 2 2 4 2 7 2 3 3" xfId="29492" xr:uid="{89D1E388-F514-4547-9438-8931DA1B3AE7}"/>
    <cellStyle name="Comma 2 2 4 2 7 2 4" xfId="4956" xr:uid="{00000000-0005-0000-0000-000086030000}"/>
    <cellStyle name="Comma 2 2 4 2 7 2 4 2" xfId="16542" xr:uid="{C2A8F27D-62AB-4842-8466-158AD47F44A4}"/>
    <cellStyle name="Comma 2 2 4 2 7 2 4 3" xfId="26958" xr:uid="{2471C300-E435-4519-9C47-157C84402CBD}"/>
    <cellStyle name="Comma 2 2 4 2 7 2 5" xfId="12718" xr:uid="{BB51F96C-150A-43C4-BBD9-5AD8CDC987F0}"/>
    <cellStyle name="Comma 2 2 4 2 7 2 6" xfId="23134" xr:uid="{EE402802-A82F-43D1-8EA0-EA62967A20F0}"/>
    <cellStyle name="Comma 2 2 4 2 7 3" xfId="385" xr:uid="{00000000-0005-0000-0000-000087030000}"/>
    <cellStyle name="Comma 2 2 4 2 7 3 2" xfId="7532" xr:uid="{00000000-0005-0000-0000-000088030000}"/>
    <cellStyle name="Comma 2 2 4 2 7 3 2 2" xfId="19078" xr:uid="{EC661532-83F9-4990-AA7C-0DE2AC626002}"/>
    <cellStyle name="Comma 2 2 4 2 7 3 2 3" xfId="29494" xr:uid="{C8A442CA-E62B-446D-88DB-F1AAF44FB9C4}"/>
    <cellStyle name="Comma 2 2 4 2 7 3 3" xfId="12720" xr:uid="{712007E5-98D0-4BB6-9839-DA7C8EDF5C88}"/>
    <cellStyle name="Comma 2 2 4 2 7 3 4" xfId="23136" xr:uid="{96FBB86D-DB45-4210-B45F-F2DD7564B9E8}"/>
    <cellStyle name="Comma 2 2 4 2 7 4" xfId="7529" xr:uid="{00000000-0005-0000-0000-000089030000}"/>
    <cellStyle name="Comma 2 2 4 2 7 4 2" xfId="19075" xr:uid="{642A8560-1F4B-4DB6-96C3-48B6115A7DDF}"/>
    <cellStyle name="Comma 2 2 4 2 7 4 3" xfId="29491" xr:uid="{CDB9B690-2747-4148-B41A-1F95D4B1074E}"/>
    <cellStyle name="Comma 2 2 4 2 7 5" xfId="4955" xr:uid="{00000000-0005-0000-0000-00008A030000}"/>
    <cellStyle name="Comma 2 2 4 2 7 5 2" xfId="16541" xr:uid="{A99E9B30-124A-4345-BE00-B51AC90475C7}"/>
    <cellStyle name="Comma 2 2 4 2 7 5 3" xfId="26957" xr:uid="{BDC5CA6E-2CDC-4E44-87B7-4802E47E8622}"/>
    <cellStyle name="Comma 2 2 4 2 7 6" xfId="12717" xr:uid="{32B71DBC-A707-423F-A736-F265F3F52175}"/>
    <cellStyle name="Comma 2 2 4 2 7 7" xfId="23133" xr:uid="{2844F223-394B-437A-9A15-953BEEBC0B7F}"/>
    <cellStyle name="Comma 2 2 4 2 8" xfId="386" xr:uid="{00000000-0005-0000-0000-00008B030000}"/>
    <cellStyle name="Comma 2 2 4 2 8 2" xfId="387" xr:uid="{00000000-0005-0000-0000-00008C030000}"/>
    <cellStyle name="Comma 2 2 4 2 8 2 2" xfId="7534" xr:uid="{00000000-0005-0000-0000-00008D030000}"/>
    <cellStyle name="Comma 2 2 4 2 8 2 2 2" xfId="19080" xr:uid="{71D5260A-0920-47E4-91D0-EDD60BDDD027}"/>
    <cellStyle name="Comma 2 2 4 2 8 2 2 3" xfId="29496" xr:uid="{E06F41DB-445E-45DD-A67A-44D21E96EEBF}"/>
    <cellStyle name="Comma 2 2 4 2 8 2 3" xfId="12722" xr:uid="{D952B305-B81F-43D9-B704-DE27D72B88D3}"/>
    <cellStyle name="Comma 2 2 4 2 8 2 4" xfId="23138" xr:uid="{CEB886E9-3E3E-4509-9842-F943AEB48872}"/>
    <cellStyle name="Comma 2 2 4 2 8 3" xfId="7533" xr:uid="{00000000-0005-0000-0000-00008E030000}"/>
    <cellStyle name="Comma 2 2 4 2 8 3 2" xfId="19079" xr:uid="{C337F957-9D16-4942-8978-7BB6F4A392FD}"/>
    <cellStyle name="Comma 2 2 4 2 8 3 3" xfId="29495" xr:uid="{27DF2EB5-5ED5-4206-8082-DD86550AC9EF}"/>
    <cellStyle name="Comma 2 2 4 2 8 4" xfId="4957" xr:uid="{00000000-0005-0000-0000-00008F030000}"/>
    <cellStyle name="Comma 2 2 4 2 8 4 2" xfId="16543" xr:uid="{9CF0F070-46C0-4F99-923D-6E6807953D9D}"/>
    <cellStyle name="Comma 2 2 4 2 8 4 3" xfId="26959" xr:uid="{4DC09B27-B27E-408F-9AB5-D1ABA1A476C9}"/>
    <cellStyle name="Comma 2 2 4 2 8 5" xfId="12721" xr:uid="{1BAD46E7-D7FC-4F18-8A78-F27D2847B426}"/>
    <cellStyle name="Comma 2 2 4 2 8 6" xfId="23137" xr:uid="{AABBB8D2-A994-45D4-BF55-DD249016E192}"/>
    <cellStyle name="Comma 2 2 4 2 9" xfId="388" xr:uid="{00000000-0005-0000-0000-000090030000}"/>
    <cellStyle name="Comma 2 2 4 2 9 2" xfId="389" xr:uid="{00000000-0005-0000-0000-000091030000}"/>
    <cellStyle name="Comma 2 2 4 2 9 2 2" xfId="7536" xr:uid="{00000000-0005-0000-0000-000092030000}"/>
    <cellStyle name="Comma 2 2 4 2 9 2 2 2" xfId="19082" xr:uid="{EE16E361-993A-4813-B676-6216313B52EF}"/>
    <cellStyle name="Comma 2 2 4 2 9 2 2 3" xfId="29498" xr:uid="{C81E4399-3BB9-4707-A33E-BED3D10E1697}"/>
    <cellStyle name="Comma 2 2 4 2 9 2 3" xfId="12724" xr:uid="{152FD046-F732-4C01-A5DF-9A9EBA92CBED}"/>
    <cellStyle name="Comma 2 2 4 2 9 2 4" xfId="23140" xr:uid="{A9AF4AE8-B1B5-4844-B1D9-27DD06334765}"/>
    <cellStyle name="Comma 2 2 4 2 9 3" xfId="7535" xr:uid="{00000000-0005-0000-0000-000093030000}"/>
    <cellStyle name="Comma 2 2 4 2 9 3 2" xfId="19081" xr:uid="{8CCCCDFB-A68F-4180-8E3E-5DC37969B32F}"/>
    <cellStyle name="Comma 2 2 4 2 9 3 3" xfId="29497" xr:uid="{BA4CEEDE-0389-4BF4-8D69-1FE5A6E2D329}"/>
    <cellStyle name="Comma 2 2 4 2 9 4" xfId="4958" xr:uid="{00000000-0005-0000-0000-000094030000}"/>
    <cellStyle name="Comma 2 2 4 2 9 4 2" xfId="16544" xr:uid="{23F21B80-0D12-4F76-92A2-CDF9921EBF08}"/>
    <cellStyle name="Comma 2 2 4 2 9 4 3" xfId="26960" xr:uid="{63C98024-716E-4073-A3B4-1FCFBEE22A1E}"/>
    <cellStyle name="Comma 2 2 4 2 9 5" xfId="12723" xr:uid="{83F9E96D-B81B-45E6-B8D4-8324E644D13A}"/>
    <cellStyle name="Comma 2 2 4 2 9 6" xfId="23139" xr:uid="{15CF7BF2-CDC7-41AD-8114-1B9E5796AA3E}"/>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2 2 2" xfId="19086" xr:uid="{5EC8CF49-4DC0-4BEE-A9D7-A4219A44E98F}"/>
    <cellStyle name="Comma 2 2 4 3 2 2 2 2 3" xfId="29502" xr:uid="{88F4D225-3715-45AE-8029-026FCF4F6D53}"/>
    <cellStyle name="Comma 2 2 4 3 2 2 2 3" xfId="12728" xr:uid="{C89CF9A8-72EF-4A15-BCEB-172642EA89A9}"/>
    <cellStyle name="Comma 2 2 4 3 2 2 2 4" xfId="23144" xr:uid="{AFF2C733-FD87-4387-9E18-1B5592B302B0}"/>
    <cellStyle name="Comma 2 2 4 3 2 2 3" xfId="7539" xr:uid="{00000000-0005-0000-0000-00009A030000}"/>
    <cellStyle name="Comma 2 2 4 3 2 2 3 2" xfId="19085" xr:uid="{06AF2932-D0BA-4E00-9F93-7BF1FFAE8DC4}"/>
    <cellStyle name="Comma 2 2 4 3 2 2 3 3" xfId="29501" xr:uid="{AABF8642-9C69-4878-86A9-D8D4118464D8}"/>
    <cellStyle name="Comma 2 2 4 3 2 2 4" xfId="4961" xr:uid="{00000000-0005-0000-0000-00009B030000}"/>
    <cellStyle name="Comma 2 2 4 3 2 2 4 2" xfId="16547" xr:uid="{2B566479-D4ED-4082-8212-038B80BDDAF2}"/>
    <cellStyle name="Comma 2 2 4 3 2 2 4 3" xfId="26963" xr:uid="{D3F1745A-8B84-4E3A-9A67-5F5E0045C48C}"/>
    <cellStyle name="Comma 2 2 4 3 2 2 5" xfId="12727" xr:uid="{77B18E80-0E50-4D6E-817C-BD9F4A37F206}"/>
    <cellStyle name="Comma 2 2 4 3 2 2 6" xfId="23143" xr:uid="{1EBC4176-B9BF-41EC-ACAD-3AEEE964C2DC}"/>
    <cellStyle name="Comma 2 2 4 3 2 3" xfId="394" xr:uid="{00000000-0005-0000-0000-00009C030000}"/>
    <cellStyle name="Comma 2 2 4 3 2 3 2" xfId="7541" xr:uid="{00000000-0005-0000-0000-00009D030000}"/>
    <cellStyle name="Comma 2 2 4 3 2 3 2 2" xfId="19087" xr:uid="{2CC33C3E-1F82-49EA-9212-0947E31A8D88}"/>
    <cellStyle name="Comma 2 2 4 3 2 3 2 3" xfId="29503" xr:uid="{01B19FA7-863A-4FE7-A196-9CD1862A9D06}"/>
    <cellStyle name="Comma 2 2 4 3 2 3 3" xfId="12729" xr:uid="{01A8A534-E42C-4009-956C-5CEBC12D1A32}"/>
    <cellStyle name="Comma 2 2 4 3 2 3 4" xfId="23145" xr:uid="{3393AF27-83F9-41CF-81BD-73D781EE4F1F}"/>
    <cellStyle name="Comma 2 2 4 3 2 4" xfId="7538" xr:uid="{00000000-0005-0000-0000-00009E030000}"/>
    <cellStyle name="Comma 2 2 4 3 2 4 2" xfId="19084" xr:uid="{882551C6-057E-474B-8A45-58473DD14AD6}"/>
    <cellStyle name="Comma 2 2 4 3 2 4 3" xfId="29500" xr:uid="{4FD8CEA0-B3CD-4E37-BE6C-D84840A30A95}"/>
    <cellStyle name="Comma 2 2 4 3 2 5" xfId="4960" xr:uid="{00000000-0005-0000-0000-00009F030000}"/>
    <cellStyle name="Comma 2 2 4 3 2 5 2" xfId="16546" xr:uid="{18C969C5-C61A-4E9F-BFC3-69A36C766FCA}"/>
    <cellStyle name="Comma 2 2 4 3 2 5 3" xfId="26962" xr:uid="{F3243EBA-9F7A-44AA-BABD-6E068B577A9C}"/>
    <cellStyle name="Comma 2 2 4 3 2 6" xfId="12726" xr:uid="{149E46A1-0241-4CDB-A153-926021FED62D}"/>
    <cellStyle name="Comma 2 2 4 3 2 7" xfId="23142" xr:uid="{8F18B125-03D9-4113-B24B-52BE3DF30689}"/>
    <cellStyle name="Comma 2 2 4 3 3" xfId="395" xr:uid="{00000000-0005-0000-0000-0000A0030000}"/>
    <cellStyle name="Comma 2 2 4 3 3 2" xfId="396" xr:uid="{00000000-0005-0000-0000-0000A1030000}"/>
    <cellStyle name="Comma 2 2 4 3 3 2 2" xfId="7543" xr:uid="{00000000-0005-0000-0000-0000A2030000}"/>
    <cellStyle name="Comma 2 2 4 3 3 2 2 2" xfId="19089" xr:uid="{DCD1AF09-51DE-4EB1-BAED-920081A86C2D}"/>
    <cellStyle name="Comma 2 2 4 3 3 2 2 3" xfId="29505" xr:uid="{0FC5E5F9-9634-417D-A1BE-40453548E876}"/>
    <cellStyle name="Comma 2 2 4 3 3 2 3" xfId="12731" xr:uid="{39DE3733-EDBC-49F5-812B-894C6BAD8C5A}"/>
    <cellStyle name="Comma 2 2 4 3 3 2 4" xfId="23147" xr:uid="{563C74D5-FF1F-4D62-9F19-F2366786AB3B}"/>
    <cellStyle name="Comma 2 2 4 3 3 3" xfId="7542" xr:uid="{00000000-0005-0000-0000-0000A3030000}"/>
    <cellStyle name="Comma 2 2 4 3 3 3 2" xfId="19088" xr:uid="{CCAFF7F6-63B4-4C29-8AFA-FF91CD66A2FC}"/>
    <cellStyle name="Comma 2 2 4 3 3 3 3" xfId="29504" xr:uid="{8C202EF6-A5AB-4017-8E30-DCCC22293827}"/>
    <cellStyle name="Comma 2 2 4 3 3 4" xfId="4962" xr:uid="{00000000-0005-0000-0000-0000A4030000}"/>
    <cellStyle name="Comma 2 2 4 3 3 4 2" xfId="16548" xr:uid="{D9C4CD7D-39D8-4DC0-BAB7-97C46ABC3792}"/>
    <cellStyle name="Comma 2 2 4 3 3 4 3" xfId="26964" xr:uid="{53442CF9-E4B7-4B5E-865F-A9CF6CF10F1E}"/>
    <cellStyle name="Comma 2 2 4 3 3 5" xfId="12730" xr:uid="{D00A0935-B5E5-40FC-847E-699071DCA93E}"/>
    <cellStyle name="Comma 2 2 4 3 3 6" xfId="23146" xr:uid="{9FDF8AD0-9D3B-4C96-BA45-48F82662C5F3}"/>
    <cellStyle name="Comma 2 2 4 3 4" xfId="397" xr:uid="{00000000-0005-0000-0000-0000A5030000}"/>
    <cellStyle name="Comma 2 2 4 3 4 2" xfId="398" xr:uid="{00000000-0005-0000-0000-0000A6030000}"/>
    <cellStyle name="Comma 2 2 4 3 4 2 2" xfId="7545" xr:uid="{00000000-0005-0000-0000-0000A7030000}"/>
    <cellStyle name="Comma 2 2 4 3 4 2 2 2" xfId="19091" xr:uid="{7DFC9527-047D-4499-A5AF-CDE3FAE21F91}"/>
    <cellStyle name="Comma 2 2 4 3 4 2 2 3" xfId="29507" xr:uid="{A8BCCA93-AA11-48C7-8049-16A803033F14}"/>
    <cellStyle name="Comma 2 2 4 3 4 2 3" xfId="12733" xr:uid="{E4D0A1A3-3E22-420B-AB38-7D41FFCD8FE7}"/>
    <cellStyle name="Comma 2 2 4 3 4 2 4" xfId="23149" xr:uid="{BE21F16C-87AB-42D3-8CAE-459999DE312C}"/>
    <cellStyle name="Comma 2 2 4 3 4 3" xfId="7544" xr:uid="{00000000-0005-0000-0000-0000A8030000}"/>
    <cellStyle name="Comma 2 2 4 3 4 3 2" xfId="19090" xr:uid="{813D9DB8-6AB2-4D07-8310-A286FCFDE9B5}"/>
    <cellStyle name="Comma 2 2 4 3 4 3 3" xfId="29506" xr:uid="{78A358E6-9BA8-4A23-AA59-D77446115C0C}"/>
    <cellStyle name="Comma 2 2 4 3 4 4" xfId="4963" xr:uid="{00000000-0005-0000-0000-0000A9030000}"/>
    <cellStyle name="Comma 2 2 4 3 4 4 2" xfId="16549" xr:uid="{9B178BB5-79ED-40FE-9C5A-E85DA1F4EF98}"/>
    <cellStyle name="Comma 2 2 4 3 4 4 3" xfId="26965" xr:uid="{B35A6E6C-BCAB-4402-986E-979397B84C94}"/>
    <cellStyle name="Comma 2 2 4 3 4 5" xfId="12732" xr:uid="{5FD11823-AD0D-40A1-8964-595F1621949A}"/>
    <cellStyle name="Comma 2 2 4 3 4 6" xfId="23148" xr:uid="{AF010373-F272-433A-99F3-A710C4C05AE5}"/>
    <cellStyle name="Comma 2 2 4 3 5" xfId="399" xr:uid="{00000000-0005-0000-0000-0000AA030000}"/>
    <cellStyle name="Comma 2 2 4 3 5 2" xfId="7546" xr:uid="{00000000-0005-0000-0000-0000AB030000}"/>
    <cellStyle name="Comma 2 2 4 3 5 2 2" xfId="19092" xr:uid="{1A88BD87-E773-426D-AEF5-550444189DCA}"/>
    <cellStyle name="Comma 2 2 4 3 5 2 3" xfId="29508" xr:uid="{9B3AA626-026A-44BF-BE5A-2030D4E592A8}"/>
    <cellStyle name="Comma 2 2 4 3 5 3" xfId="12734" xr:uid="{29A78062-9A8C-48BE-9B21-EEC9FE56A875}"/>
    <cellStyle name="Comma 2 2 4 3 5 4" xfId="23150" xr:uid="{AF1F6933-FA57-4CDD-B4D0-65B0A592BC63}"/>
    <cellStyle name="Comma 2 2 4 3 6" xfId="7537" xr:uid="{00000000-0005-0000-0000-0000AC030000}"/>
    <cellStyle name="Comma 2 2 4 3 6 2" xfId="19083" xr:uid="{1835E111-F999-4A41-AAB1-A52C359CB37B}"/>
    <cellStyle name="Comma 2 2 4 3 6 3" xfId="29499" xr:uid="{A947D4D8-ABDB-4FCD-8D77-2442ECE9A11D}"/>
    <cellStyle name="Comma 2 2 4 3 7" xfId="4959" xr:uid="{00000000-0005-0000-0000-0000AD030000}"/>
    <cellStyle name="Comma 2 2 4 3 7 2" xfId="16545" xr:uid="{68A81947-A0C4-4870-9E2B-741218C38D10}"/>
    <cellStyle name="Comma 2 2 4 3 7 3" xfId="26961" xr:uid="{7855546B-399D-4C6D-8E13-9879454FDD24}"/>
    <cellStyle name="Comma 2 2 4 3 8" xfId="12725" xr:uid="{C03AD51A-036A-4DFD-B62A-F57F9A3043F8}"/>
    <cellStyle name="Comma 2 2 4 3 9" xfId="23141" xr:uid="{6E85F035-D981-4AFA-A834-3665FB982BAD}"/>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2 2 2" xfId="19096" xr:uid="{105D2864-F771-43E6-84E6-444C7AFAA912}"/>
    <cellStyle name="Comma 2 2 4 4 2 2 2 2 3" xfId="29512" xr:uid="{6DABB72D-9657-4479-B8CE-C8452F838159}"/>
    <cellStyle name="Comma 2 2 4 4 2 2 2 3" xfId="12738" xr:uid="{360B8755-A653-4406-BEAF-9D4544F1C782}"/>
    <cellStyle name="Comma 2 2 4 4 2 2 2 4" xfId="23154" xr:uid="{31217A46-6E74-49EA-81D8-B3B62DD887F8}"/>
    <cellStyle name="Comma 2 2 4 4 2 2 3" xfId="7549" xr:uid="{00000000-0005-0000-0000-0000B3030000}"/>
    <cellStyle name="Comma 2 2 4 4 2 2 3 2" xfId="19095" xr:uid="{DA598EA6-FDF0-4A6A-B5CA-CEFA479EA39B}"/>
    <cellStyle name="Comma 2 2 4 4 2 2 3 3" xfId="29511" xr:uid="{2ECD4D69-2001-4E42-8231-2733CDDE9641}"/>
    <cellStyle name="Comma 2 2 4 4 2 2 4" xfId="4966" xr:uid="{00000000-0005-0000-0000-0000B4030000}"/>
    <cellStyle name="Comma 2 2 4 4 2 2 4 2" xfId="16552" xr:uid="{EB424519-EEA0-4FEA-94A1-95858DDC706B}"/>
    <cellStyle name="Comma 2 2 4 4 2 2 4 3" xfId="26968" xr:uid="{9E55E9EC-38B6-4266-BCFE-226B04066A52}"/>
    <cellStyle name="Comma 2 2 4 4 2 2 5" xfId="12737" xr:uid="{A30F5499-25A8-4140-8BDD-A381586F26D8}"/>
    <cellStyle name="Comma 2 2 4 4 2 2 6" xfId="23153" xr:uid="{9B7B93E7-3A9A-4799-89A7-C7903C61357D}"/>
    <cellStyle name="Comma 2 2 4 4 2 3" xfId="404" xr:uid="{00000000-0005-0000-0000-0000B5030000}"/>
    <cellStyle name="Comma 2 2 4 4 2 3 2" xfId="7551" xr:uid="{00000000-0005-0000-0000-0000B6030000}"/>
    <cellStyle name="Comma 2 2 4 4 2 3 2 2" xfId="19097" xr:uid="{5D733B9E-425D-4526-B011-F28FB3ED1634}"/>
    <cellStyle name="Comma 2 2 4 4 2 3 2 3" xfId="29513" xr:uid="{D2D241D9-F081-43D9-94D8-790DE11AC223}"/>
    <cellStyle name="Comma 2 2 4 4 2 3 3" xfId="12739" xr:uid="{E1453A14-361D-4D83-AAD8-F2654893136C}"/>
    <cellStyle name="Comma 2 2 4 4 2 3 4" xfId="23155" xr:uid="{F059EB09-8AD4-4A0D-9E77-5C768C69B46B}"/>
    <cellStyle name="Comma 2 2 4 4 2 4" xfId="7548" xr:uid="{00000000-0005-0000-0000-0000B7030000}"/>
    <cellStyle name="Comma 2 2 4 4 2 4 2" xfId="19094" xr:uid="{40FAC69E-0ADD-4297-AEDD-5C943F128ADB}"/>
    <cellStyle name="Comma 2 2 4 4 2 4 3" xfId="29510" xr:uid="{865D3622-A771-4A35-AB4F-7CAA5F4C1864}"/>
    <cellStyle name="Comma 2 2 4 4 2 5" xfId="4965" xr:uid="{00000000-0005-0000-0000-0000B8030000}"/>
    <cellStyle name="Comma 2 2 4 4 2 5 2" xfId="16551" xr:uid="{A5971C6A-025D-455A-AA89-012E291C32FE}"/>
    <cellStyle name="Comma 2 2 4 4 2 5 3" xfId="26967" xr:uid="{0221F00A-7C87-4939-AF04-A229AAFE8F63}"/>
    <cellStyle name="Comma 2 2 4 4 2 6" xfId="12736" xr:uid="{2F2BBCB7-89A8-4E83-B044-CE7CDE797842}"/>
    <cellStyle name="Comma 2 2 4 4 2 7" xfId="23152" xr:uid="{4AAD6741-9111-4950-A7C4-AFC7E4CEFD65}"/>
    <cellStyle name="Comma 2 2 4 4 3" xfId="405" xr:uid="{00000000-0005-0000-0000-0000B9030000}"/>
    <cellStyle name="Comma 2 2 4 4 3 2" xfId="406" xr:uid="{00000000-0005-0000-0000-0000BA030000}"/>
    <cellStyle name="Comma 2 2 4 4 3 2 2" xfId="7553" xr:uid="{00000000-0005-0000-0000-0000BB030000}"/>
    <cellStyle name="Comma 2 2 4 4 3 2 2 2" xfId="19099" xr:uid="{2627F3D5-1D65-4B44-8034-950E688124D2}"/>
    <cellStyle name="Comma 2 2 4 4 3 2 2 3" xfId="29515" xr:uid="{7FA9C6C9-AB19-49D0-B090-095C52D59D02}"/>
    <cellStyle name="Comma 2 2 4 4 3 2 3" xfId="12741" xr:uid="{CBFACDB1-B5DD-4B2C-8A25-577CD8C25910}"/>
    <cellStyle name="Comma 2 2 4 4 3 2 4" xfId="23157" xr:uid="{EE93E465-4D59-4820-8A78-6CB76CB789E5}"/>
    <cellStyle name="Comma 2 2 4 4 3 3" xfId="7552" xr:uid="{00000000-0005-0000-0000-0000BC030000}"/>
    <cellStyle name="Comma 2 2 4 4 3 3 2" xfId="19098" xr:uid="{1C8F9F47-E3A7-436F-8DB5-16F94B2DB7E0}"/>
    <cellStyle name="Comma 2 2 4 4 3 3 3" xfId="29514" xr:uid="{48F19DA4-034B-4AD4-95FB-067C7A6CB091}"/>
    <cellStyle name="Comma 2 2 4 4 3 4" xfId="4967" xr:uid="{00000000-0005-0000-0000-0000BD030000}"/>
    <cellStyle name="Comma 2 2 4 4 3 4 2" xfId="16553" xr:uid="{C0380400-5E58-4532-BA76-59EF1A1B2962}"/>
    <cellStyle name="Comma 2 2 4 4 3 4 3" xfId="26969" xr:uid="{0CFD883E-E7A8-4F79-9CED-F2C8D7A7E57B}"/>
    <cellStyle name="Comma 2 2 4 4 3 5" xfId="12740" xr:uid="{D50BE122-1459-42BE-A0E1-75DE41A6CC11}"/>
    <cellStyle name="Comma 2 2 4 4 3 6" xfId="23156" xr:uid="{214C0F37-A320-4DAF-BDA6-8227F798A707}"/>
    <cellStyle name="Comma 2 2 4 4 4" xfId="407" xr:uid="{00000000-0005-0000-0000-0000BE030000}"/>
    <cellStyle name="Comma 2 2 4 4 4 2" xfId="408" xr:uid="{00000000-0005-0000-0000-0000BF030000}"/>
    <cellStyle name="Comma 2 2 4 4 4 2 2" xfId="7555" xr:uid="{00000000-0005-0000-0000-0000C0030000}"/>
    <cellStyle name="Comma 2 2 4 4 4 2 2 2" xfId="19101" xr:uid="{95F03736-D38C-4E0B-83A3-A8AB318F0F49}"/>
    <cellStyle name="Comma 2 2 4 4 4 2 2 3" xfId="29517" xr:uid="{65BA946C-BB27-4654-B67D-E9F2D56A6095}"/>
    <cellStyle name="Comma 2 2 4 4 4 2 3" xfId="12743" xr:uid="{A931E9FC-C999-4FB2-B194-DBCB1EBB3140}"/>
    <cellStyle name="Comma 2 2 4 4 4 2 4" xfId="23159" xr:uid="{68C24794-7F8A-46BE-A5A6-B15BE0A1D3A1}"/>
    <cellStyle name="Comma 2 2 4 4 4 3" xfId="7554" xr:uid="{00000000-0005-0000-0000-0000C1030000}"/>
    <cellStyle name="Comma 2 2 4 4 4 3 2" xfId="19100" xr:uid="{9AAB6450-9A8D-4908-AABF-653AB68D645C}"/>
    <cellStyle name="Comma 2 2 4 4 4 3 3" xfId="29516" xr:uid="{CA35CA18-84BA-409E-B33A-83D4D2907001}"/>
    <cellStyle name="Comma 2 2 4 4 4 4" xfId="4968" xr:uid="{00000000-0005-0000-0000-0000C2030000}"/>
    <cellStyle name="Comma 2 2 4 4 4 4 2" xfId="16554" xr:uid="{86D85936-FF4F-4FF2-98AD-78A046DB9CE6}"/>
    <cellStyle name="Comma 2 2 4 4 4 4 3" xfId="26970" xr:uid="{5C265A2F-AD89-4ABC-AB7C-28728AE36B75}"/>
    <cellStyle name="Comma 2 2 4 4 4 5" xfId="12742" xr:uid="{FF25E9EA-6593-48A1-9A80-D973309F2DFC}"/>
    <cellStyle name="Comma 2 2 4 4 4 6" xfId="23158" xr:uid="{31709EA0-B32D-42C8-8F77-A2987CE28C40}"/>
    <cellStyle name="Comma 2 2 4 4 5" xfId="409" xr:uid="{00000000-0005-0000-0000-0000C3030000}"/>
    <cellStyle name="Comma 2 2 4 4 5 2" xfId="7556" xr:uid="{00000000-0005-0000-0000-0000C4030000}"/>
    <cellStyle name="Comma 2 2 4 4 5 2 2" xfId="19102" xr:uid="{183817AF-BB3B-4853-B8DE-B52CB56AB5B1}"/>
    <cellStyle name="Comma 2 2 4 4 5 2 3" xfId="29518" xr:uid="{D0336B41-2211-49ED-948C-AB3493D977EB}"/>
    <cellStyle name="Comma 2 2 4 4 5 3" xfId="12744" xr:uid="{EE9EDF8E-5D9B-4001-9809-1A79B2081D8F}"/>
    <cellStyle name="Comma 2 2 4 4 5 4" xfId="23160" xr:uid="{4FF3E49D-73CD-4CAD-903E-017F2CB1765F}"/>
    <cellStyle name="Comma 2 2 4 4 6" xfId="7547" xr:uid="{00000000-0005-0000-0000-0000C5030000}"/>
    <cellStyle name="Comma 2 2 4 4 6 2" xfId="19093" xr:uid="{66021D88-F390-445E-A8E8-8976A6DB4471}"/>
    <cellStyle name="Comma 2 2 4 4 6 3" xfId="29509" xr:uid="{7A9F1834-C831-4057-BD93-D1027065D0D3}"/>
    <cellStyle name="Comma 2 2 4 4 7" xfId="4964" xr:uid="{00000000-0005-0000-0000-0000C6030000}"/>
    <cellStyle name="Comma 2 2 4 4 7 2" xfId="16550" xr:uid="{3A4EAB19-7825-4A85-A044-2555F8B1775A}"/>
    <cellStyle name="Comma 2 2 4 4 7 3" xfId="26966" xr:uid="{8BCAD9F1-CB26-44C8-9313-BAAEBB120DA6}"/>
    <cellStyle name="Comma 2 2 4 4 8" xfId="12735" xr:uid="{310C1D0B-2D95-456A-B046-2D5C71DE127F}"/>
    <cellStyle name="Comma 2 2 4 4 9" xfId="23151" xr:uid="{20E4C3F8-55D8-4A71-86F0-000A304E03B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2 2 2" xfId="19106" xr:uid="{455AD84F-94E9-4DED-AE8E-2499482EC3DF}"/>
    <cellStyle name="Comma 2 2 4 5 2 2 2 2 3" xfId="29522" xr:uid="{B4E9E92D-073B-49D5-8453-E74499F6957D}"/>
    <cellStyle name="Comma 2 2 4 5 2 2 2 3" xfId="12748" xr:uid="{E9B91392-B458-4A3F-A739-0622CD39AA4A}"/>
    <cellStyle name="Comma 2 2 4 5 2 2 2 4" xfId="23164" xr:uid="{46EFA7DE-D3B5-4967-8167-484871D512E6}"/>
    <cellStyle name="Comma 2 2 4 5 2 2 3" xfId="7559" xr:uid="{00000000-0005-0000-0000-0000CC030000}"/>
    <cellStyle name="Comma 2 2 4 5 2 2 3 2" xfId="19105" xr:uid="{13DA067C-C0CF-4800-A8C4-E7A411D0D502}"/>
    <cellStyle name="Comma 2 2 4 5 2 2 3 3" xfId="29521" xr:uid="{B905CDFC-60F6-40CB-9320-03FB6D517EB0}"/>
    <cellStyle name="Comma 2 2 4 5 2 2 4" xfId="4971" xr:uid="{00000000-0005-0000-0000-0000CD030000}"/>
    <cellStyle name="Comma 2 2 4 5 2 2 4 2" xfId="16557" xr:uid="{0FF21C3F-E219-4D69-A5F9-59617CD8F6EC}"/>
    <cellStyle name="Comma 2 2 4 5 2 2 4 3" xfId="26973" xr:uid="{6D5D0DC2-BBEC-4F49-971D-B0E95F46564A}"/>
    <cellStyle name="Comma 2 2 4 5 2 2 5" xfId="12747" xr:uid="{FB9328C9-2CAB-436C-9F8F-D7229EB84A77}"/>
    <cellStyle name="Comma 2 2 4 5 2 2 6" xfId="23163" xr:uid="{68F791F2-FCB9-4839-BCE7-69537A3F89AD}"/>
    <cellStyle name="Comma 2 2 4 5 2 3" xfId="414" xr:uid="{00000000-0005-0000-0000-0000CE030000}"/>
    <cellStyle name="Comma 2 2 4 5 2 3 2" xfId="7561" xr:uid="{00000000-0005-0000-0000-0000CF030000}"/>
    <cellStyle name="Comma 2 2 4 5 2 3 2 2" xfId="19107" xr:uid="{46255617-3AF7-4255-BE4C-9AC08E253C7F}"/>
    <cellStyle name="Comma 2 2 4 5 2 3 2 3" xfId="29523" xr:uid="{E337BD09-50ED-4257-ACF0-999213AB9DA0}"/>
    <cellStyle name="Comma 2 2 4 5 2 3 3" xfId="12749" xr:uid="{8132AEFC-3EE6-4782-B855-02457C171A81}"/>
    <cellStyle name="Comma 2 2 4 5 2 3 4" xfId="23165" xr:uid="{4387402E-6FF2-4F76-B4FB-54365B22DC9F}"/>
    <cellStyle name="Comma 2 2 4 5 2 4" xfId="7558" xr:uid="{00000000-0005-0000-0000-0000D0030000}"/>
    <cellStyle name="Comma 2 2 4 5 2 4 2" xfId="19104" xr:uid="{F15DAAA0-7AA5-4CC0-A2B3-E377CA2CA423}"/>
    <cellStyle name="Comma 2 2 4 5 2 4 3" xfId="29520" xr:uid="{1624C3D4-320F-4B71-8166-3E6D24CC376F}"/>
    <cellStyle name="Comma 2 2 4 5 2 5" xfId="4970" xr:uid="{00000000-0005-0000-0000-0000D1030000}"/>
    <cellStyle name="Comma 2 2 4 5 2 5 2" xfId="16556" xr:uid="{73A0DF8D-F2E0-48A9-8958-AC58687BCB6D}"/>
    <cellStyle name="Comma 2 2 4 5 2 5 3" xfId="26972" xr:uid="{7455BF90-E3A4-49FA-A6DB-468987DA9EB0}"/>
    <cellStyle name="Comma 2 2 4 5 2 6" xfId="12746" xr:uid="{336CC847-E102-4802-9FD5-2788C7ED9B3C}"/>
    <cellStyle name="Comma 2 2 4 5 2 7" xfId="23162" xr:uid="{B2E0A97B-E133-461B-AD49-F58A23BEEF85}"/>
    <cellStyle name="Comma 2 2 4 5 3" xfId="415" xr:uid="{00000000-0005-0000-0000-0000D2030000}"/>
    <cellStyle name="Comma 2 2 4 5 3 2" xfId="416" xr:uid="{00000000-0005-0000-0000-0000D3030000}"/>
    <cellStyle name="Comma 2 2 4 5 3 2 2" xfId="7563" xr:uid="{00000000-0005-0000-0000-0000D4030000}"/>
    <cellStyle name="Comma 2 2 4 5 3 2 2 2" xfId="19109" xr:uid="{D2F81AC9-02B5-48AD-A320-7708D9CEBCCB}"/>
    <cellStyle name="Comma 2 2 4 5 3 2 2 3" xfId="29525" xr:uid="{E71764D6-219E-4291-AF3C-A1528ADC2F2E}"/>
    <cellStyle name="Comma 2 2 4 5 3 2 3" xfId="12751" xr:uid="{C9A66369-426A-4E15-A516-0A2B0737CAC8}"/>
    <cellStyle name="Comma 2 2 4 5 3 2 4" xfId="23167" xr:uid="{1B3953A7-299D-4AAD-B7CA-030125CEE288}"/>
    <cellStyle name="Comma 2 2 4 5 3 3" xfId="7562" xr:uid="{00000000-0005-0000-0000-0000D5030000}"/>
    <cellStyle name="Comma 2 2 4 5 3 3 2" xfId="19108" xr:uid="{A3B4D202-C2AB-45A6-AEFD-9AC9ABCEC269}"/>
    <cellStyle name="Comma 2 2 4 5 3 3 3" xfId="29524" xr:uid="{52FAD518-5720-419C-9E05-A04305859236}"/>
    <cellStyle name="Comma 2 2 4 5 3 4" xfId="4972" xr:uid="{00000000-0005-0000-0000-0000D6030000}"/>
    <cellStyle name="Comma 2 2 4 5 3 4 2" xfId="16558" xr:uid="{3888B4B8-D1D3-4ABE-946B-3208BBDA9342}"/>
    <cellStyle name="Comma 2 2 4 5 3 4 3" xfId="26974" xr:uid="{2E39081E-7F34-4FE1-8685-2BD1FD98153E}"/>
    <cellStyle name="Comma 2 2 4 5 3 5" xfId="12750" xr:uid="{9515A6FE-4D4F-46C7-9302-644A4B1FC75A}"/>
    <cellStyle name="Comma 2 2 4 5 3 6" xfId="23166" xr:uid="{428F448A-825B-4FA7-BA91-315AA1BAC50E}"/>
    <cellStyle name="Comma 2 2 4 5 4" xfId="417" xr:uid="{00000000-0005-0000-0000-0000D7030000}"/>
    <cellStyle name="Comma 2 2 4 5 4 2" xfId="418" xr:uid="{00000000-0005-0000-0000-0000D8030000}"/>
    <cellStyle name="Comma 2 2 4 5 4 2 2" xfId="7565" xr:uid="{00000000-0005-0000-0000-0000D9030000}"/>
    <cellStyle name="Comma 2 2 4 5 4 2 2 2" xfId="19111" xr:uid="{297B5B74-1F99-4E94-813F-704079F080BA}"/>
    <cellStyle name="Comma 2 2 4 5 4 2 2 3" xfId="29527" xr:uid="{E2C99228-BAD5-4DAA-9E28-B26300615332}"/>
    <cellStyle name="Comma 2 2 4 5 4 2 3" xfId="12753" xr:uid="{5573A718-276E-4C31-B21E-DD76BA61810D}"/>
    <cellStyle name="Comma 2 2 4 5 4 2 4" xfId="23169" xr:uid="{A0936603-C440-4A59-B49F-9B9258CD3E9B}"/>
    <cellStyle name="Comma 2 2 4 5 4 3" xfId="7564" xr:uid="{00000000-0005-0000-0000-0000DA030000}"/>
    <cellStyle name="Comma 2 2 4 5 4 3 2" xfId="19110" xr:uid="{EDAA6D0C-47EB-44A0-9A8B-35CD8C32A8C3}"/>
    <cellStyle name="Comma 2 2 4 5 4 3 3" xfId="29526" xr:uid="{880D7502-E789-4493-A996-876C70A357DA}"/>
    <cellStyle name="Comma 2 2 4 5 4 4" xfId="4973" xr:uid="{00000000-0005-0000-0000-0000DB030000}"/>
    <cellStyle name="Comma 2 2 4 5 4 4 2" xfId="16559" xr:uid="{DFDA830A-3A27-435E-8F13-6DD1FFC580B7}"/>
    <cellStyle name="Comma 2 2 4 5 4 4 3" xfId="26975" xr:uid="{E0C03575-FAB8-4C01-BE6B-B664C9C0BD51}"/>
    <cellStyle name="Comma 2 2 4 5 4 5" xfId="12752" xr:uid="{32AD9553-8AAF-48EB-9ADF-E961F3D97F4E}"/>
    <cellStyle name="Comma 2 2 4 5 4 6" xfId="23168" xr:uid="{7FA73F36-EE35-43BE-A39B-4AE45A5C36F0}"/>
    <cellStyle name="Comma 2 2 4 5 5" xfId="419" xr:uid="{00000000-0005-0000-0000-0000DC030000}"/>
    <cellStyle name="Comma 2 2 4 5 5 2" xfId="7566" xr:uid="{00000000-0005-0000-0000-0000DD030000}"/>
    <cellStyle name="Comma 2 2 4 5 5 2 2" xfId="19112" xr:uid="{EED4CCE7-1525-4F66-AE75-C8D3577CE274}"/>
    <cellStyle name="Comma 2 2 4 5 5 2 3" xfId="29528" xr:uid="{17A87FF6-FDAC-4EF7-ABD6-1DB541EAA87F}"/>
    <cellStyle name="Comma 2 2 4 5 5 3" xfId="12754" xr:uid="{BB2064B1-2C7F-44BC-AEA6-23A56BF90BE7}"/>
    <cellStyle name="Comma 2 2 4 5 5 4" xfId="23170" xr:uid="{19D66B98-A5C3-437B-B861-F02D0E1009C4}"/>
    <cellStyle name="Comma 2 2 4 5 6" xfId="7557" xr:uid="{00000000-0005-0000-0000-0000DE030000}"/>
    <cellStyle name="Comma 2 2 4 5 6 2" xfId="19103" xr:uid="{59D69B2B-FC71-4A74-9088-3495CA977A6F}"/>
    <cellStyle name="Comma 2 2 4 5 6 3" xfId="29519" xr:uid="{82000AF0-0F77-4777-BC63-5AB0FF0B9D62}"/>
    <cellStyle name="Comma 2 2 4 5 7" xfId="4969" xr:uid="{00000000-0005-0000-0000-0000DF030000}"/>
    <cellStyle name="Comma 2 2 4 5 7 2" xfId="16555" xr:uid="{77CDF2AD-7654-4A79-A696-1B1015D8FA27}"/>
    <cellStyle name="Comma 2 2 4 5 7 3" xfId="26971" xr:uid="{6BFEC227-69B7-4276-A76D-C2FFBBD8F14F}"/>
    <cellStyle name="Comma 2 2 4 5 8" xfId="12745" xr:uid="{406CEEFE-EE02-4044-9BF1-AC5F3A193C98}"/>
    <cellStyle name="Comma 2 2 4 5 9" xfId="23161" xr:uid="{02FA82AE-C18C-45C6-AF46-E4A22EE5E3A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2 2 2" xfId="19116" xr:uid="{7CD8A49A-6B44-4748-980F-409A55FDADBB}"/>
    <cellStyle name="Comma 2 2 4 6 2 2 2 2 3" xfId="29532" xr:uid="{8F780D70-338E-4AA5-82CC-A62B6329894D}"/>
    <cellStyle name="Comma 2 2 4 6 2 2 2 3" xfId="12758" xr:uid="{89920BD1-9EF0-43A3-B9EC-DDF8AECE7CA4}"/>
    <cellStyle name="Comma 2 2 4 6 2 2 2 4" xfId="23174" xr:uid="{7AC9A09B-A162-49BC-9508-A47BCB02A685}"/>
    <cellStyle name="Comma 2 2 4 6 2 2 3" xfId="7569" xr:uid="{00000000-0005-0000-0000-0000E5030000}"/>
    <cellStyle name="Comma 2 2 4 6 2 2 3 2" xfId="19115" xr:uid="{65A90E07-9A38-47C3-A7C2-7620298EE50C}"/>
    <cellStyle name="Comma 2 2 4 6 2 2 3 3" xfId="29531" xr:uid="{38E13AE5-97A2-4B0D-BA87-8E6A3BEC812A}"/>
    <cellStyle name="Comma 2 2 4 6 2 2 4" xfId="4976" xr:uid="{00000000-0005-0000-0000-0000E6030000}"/>
    <cellStyle name="Comma 2 2 4 6 2 2 4 2" xfId="16562" xr:uid="{B766E9EE-5451-45CC-ADEC-C0A8B8FE1F37}"/>
    <cellStyle name="Comma 2 2 4 6 2 2 4 3" xfId="26978" xr:uid="{90B14899-EF14-4784-A2EE-C017B92669C3}"/>
    <cellStyle name="Comma 2 2 4 6 2 2 5" xfId="12757" xr:uid="{2D50A4E7-FFE5-415D-8C2E-C59EE67B404B}"/>
    <cellStyle name="Comma 2 2 4 6 2 2 6" xfId="23173" xr:uid="{B3F87431-C297-4433-99DA-83DC1663EC94}"/>
    <cellStyle name="Comma 2 2 4 6 2 3" xfId="424" xr:uid="{00000000-0005-0000-0000-0000E7030000}"/>
    <cellStyle name="Comma 2 2 4 6 2 3 2" xfId="7571" xr:uid="{00000000-0005-0000-0000-0000E8030000}"/>
    <cellStyle name="Comma 2 2 4 6 2 3 2 2" xfId="19117" xr:uid="{16FD4680-B134-4CED-A21C-6D55BC13E5D6}"/>
    <cellStyle name="Comma 2 2 4 6 2 3 2 3" xfId="29533" xr:uid="{41D13F24-EAAB-4FA5-B5A2-1AE66F5D8031}"/>
    <cellStyle name="Comma 2 2 4 6 2 3 3" xfId="12759" xr:uid="{AAF26547-6C5E-48F1-BE8C-E3C6B173868B}"/>
    <cellStyle name="Comma 2 2 4 6 2 3 4" xfId="23175" xr:uid="{0DD22EDD-ABFB-4E18-96B1-9D573A393150}"/>
    <cellStyle name="Comma 2 2 4 6 2 4" xfId="7568" xr:uid="{00000000-0005-0000-0000-0000E9030000}"/>
    <cellStyle name="Comma 2 2 4 6 2 4 2" xfId="19114" xr:uid="{9690F5E6-CC96-46B4-8496-1A8F0CB7A662}"/>
    <cellStyle name="Comma 2 2 4 6 2 4 3" xfId="29530" xr:uid="{9C09DFB9-96F9-49E4-A5DB-0A0EA555F283}"/>
    <cellStyle name="Comma 2 2 4 6 2 5" xfId="4975" xr:uid="{00000000-0005-0000-0000-0000EA030000}"/>
    <cellStyle name="Comma 2 2 4 6 2 5 2" xfId="16561" xr:uid="{C73FB62D-2DE3-4542-B148-F541FA533695}"/>
    <cellStyle name="Comma 2 2 4 6 2 5 3" xfId="26977" xr:uid="{CDBF6FEA-E5AE-4215-89BF-843C80DB29CA}"/>
    <cellStyle name="Comma 2 2 4 6 2 6" xfId="12756" xr:uid="{460128F7-F9BB-4488-9CF3-E99ECE4B4945}"/>
    <cellStyle name="Comma 2 2 4 6 2 7" xfId="23172" xr:uid="{726DB13C-D147-4913-9D5F-65A603E60C32}"/>
    <cellStyle name="Comma 2 2 4 6 3" xfId="425" xr:uid="{00000000-0005-0000-0000-0000EB030000}"/>
    <cellStyle name="Comma 2 2 4 6 3 2" xfId="426" xr:uid="{00000000-0005-0000-0000-0000EC030000}"/>
    <cellStyle name="Comma 2 2 4 6 3 2 2" xfId="7573" xr:uid="{00000000-0005-0000-0000-0000ED030000}"/>
    <cellStyle name="Comma 2 2 4 6 3 2 2 2" xfId="19119" xr:uid="{D7185FEC-0942-41E5-9C57-AE271A797E36}"/>
    <cellStyle name="Comma 2 2 4 6 3 2 2 3" xfId="29535" xr:uid="{C4700FDD-5DEB-4A63-8982-D4D9305A40CF}"/>
    <cellStyle name="Comma 2 2 4 6 3 2 3" xfId="12761" xr:uid="{3C175B46-09C3-4BDE-8537-A9CECF50535D}"/>
    <cellStyle name="Comma 2 2 4 6 3 2 4" xfId="23177" xr:uid="{FBD8FECD-C6D1-4275-938B-F23EBFE57B86}"/>
    <cellStyle name="Comma 2 2 4 6 3 3" xfId="7572" xr:uid="{00000000-0005-0000-0000-0000EE030000}"/>
    <cellStyle name="Comma 2 2 4 6 3 3 2" xfId="19118" xr:uid="{729F0058-3364-4183-8475-3E1A93294975}"/>
    <cellStyle name="Comma 2 2 4 6 3 3 3" xfId="29534" xr:uid="{6BB7C1EB-4176-4A5E-ADD1-9D7DAC57924F}"/>
    <cellStyle name="Comma 2 2 4 6 3 4" xfId="4977" xr:uid="{00000000-0005-0000-0000-0000EF030000}"/>
    <cellStyle name="Comma 2 2 4 6 3 4 2" xfId="16563" xr:uid="{B109F1AB-621E-48C6-AC57-4FA3DE52E76F}"/>
    <cellStyle name="Comma 2 2 4 6 3 4 3" xfId="26979" xr:uid="{5310B464-96F6-4690-B73A-E2B0A5F0B520}"/>
    <cellStyle name="Comma 2 2 4 6 3 5" xfId="12760" xr:uid="{81D4949E-5DE3-483F-A5D2-19DE63D7537F}"/>
    <cellStyle name="Comma 2 2 4 6 3 6" xfId="23176" xr:uid="{E40AB8A0-8CDE-4C44-A0DC-6541A5B1394E}"/>
    <cellStyle name="Comma 2 2 4 6 4" xfId="427" xr:uid="{00000000-0005-0000-0000-0000F0030000}"/>
    <cellStyle name="Comma 2 2 4 6 4 2" xfId="428" xr:uid="{00000000-0005-0000-0000-0000F1030000}"/>
    <cellStyle name="Comma 2 2 4 6 4 2 2" xfId="7575" xr:uid="{00000000-0005-0000-0000-0000F2030000}"/>
    <cellStyle name="Comma 2 2 4 6 4 2 2 2" xfId="19121" xr:uid="{02911D9F-3272-48CA-A8D9-706B09CFFF2E}"/>
    <cellStyle name="Comma 2 2 4 6 4 2 2 3" xfId="29537" xr:uid="{1A2C2C81-EF7F-4270-9FAB-F2632A318C86}"/>
    <cellStyle name="Comma 2 2 4 6 4 2 3" xfId="12763" xr:uid="{C42DC66F-AB14-4219-BDAF-9B4B21B2C2B3}"/>
    <cellStyle name="Comma 2 2 4 6 4 2 4" xfId="23179" xr:uid="{3B3FE683-5335-40DB-80B0-0ED56BFD33BF}"/>
    <cellStyle name="Comma 2 2 4 6 4 3" xfId="7574" xr:uid="{00000000-0005-0000-0000-0000F3030000}"/>
    <cellStyle name="Comma 2 2 4 6 4 3 2" xfId="19120" xr:uid="{441B0483-A817-4087-93C6-70FF0A8212A3}"/>
    <cellStyle name="Comma 2 2 4 6 4 3 3" xfId="29536" xr:uid="{3E3071CF-BE78-4FA9-9A8A-C837A097C919}"/>
    <cellStyle name="Comma 2 2 4 6 4 4" xfId="4978" xr:uid="{00000000-0005-0000-0000-0000F4030000}"/>
    <cellStyle name="Comma 2 2 4 6 4 4 2" xfId="16564" xr:uid="{674BBEE6-A1D3-43C4-96C7-FD03722821FC}"/>
    <cellStyle name="Comma 2 2 4 6 4 4 3" xfId="26980" xr:uid="{E7EAE047-2A4C-4E77-9A78-CE51F12DF80E}"/>
    <cellStyle name="Comma 2 2 4 6 4 5" xfId="12762" xr:uid="{515FA10E-D0BF-4DF3-8010-48F0ACAFD465}"/>
    <cellStyle name="Comma 2 2 4 6 4 6" xfId="23178" xr:uid="{A0794D47-1C9E-426A-8C02-2046C643B9B3}"/>
    <cellStyle name="Comma 2 2 4 6 5" xfId="429" xr:uid="{00000000-0005-0000-0000-0000F5030000}"/>
    <cellStyle name="Comma 2 2 4 6 5 2" xfId="7576" xr:uid="{00000000-0005-0000-0000-0000F6030000}"/>
    <cellStyle name="Comma 2 2 4 6 5 2 2" xfId="19122" xr:uid="{C053F0B6-BE2A-41CC-938F-B375451FCCA7}"/>
    <cellStyle name="Comma 2 2 4 6 5 2 3" xfId="29538" xr:uid="{7DD8D5FE-853E-42BF-8644-90AD2DF126CF}"/>
    <cellStyle name="Comma 2 2 4 6 5 3" xfId="12764" xr:uid="{3E9FDA37-39F6-499C-A96F-FC6DFA0BE9C7}"/>
    <cellStyle name="Comma 2 2 4 6 5 4" xfId="23180" xr:uid="{FAA5E202-2AAB-461E-8BA0-2B3E26BB5F73}"/>
    <cellStyle name="Comma 2 2 4 6 6" xfId="7567" xr:uid="{00000000-0005-0000-0000-0000F7030000}"/>
    <cellStyle name="Comma 2 2 4 6 6 2" xfId="19113" xr:uid="{9A0A9297-46C2-421E-B1BB-B1F9E5DF201A}"/>
    <cellStyle name="Comma 2 2 4 6 6 3" xfId="29529" xr:uid="{690FE48C-76E9-4128-8257-E3385EE975EA}"/>
    <cellStyle name="Comma 2 2 4 6 7" xfId="4974" xr:uid="{00000000-0005-0000-0000-0000F8030000}"/>
    <cellStyle name="Comma 2 2 4 6 7 2" xfId="16560" xr:uid="{03C08DE3-A28E-4BBE-BD21-24157FA1FDEA}"/>
    <cellStyle name="Comma 2 2 4 6 7 3" xfId="26976" xr:uid="{0A1095C3-38DD-40B3-9950-8AA359682CDD}"/>
    <cellStyle name="Comma 2 2 4 6 8" xfId="12755" xr:uid="{24D34390-A915-409E-B971-B2569B2B21B8}"/>
    <cellStyle name="Comma 2 2 4 6 9" xfId="23171" xr:uid="{510A60E9-9B85-4698-A7A9-184E62B44911}"/>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2 2 2" xfId="19125" xr:uid="{B602547F-9D66-4B18-B389-29034BE5B3F2}"/>
    <cellStyle name="Comma 2 2 4 7 2 2 2 3" xfId="29541" xr:uid="{CC12F698-81B5-4EC1-90C9-70094073FDA9}"/>
    <cellStyle name="Comma 2 2 4 7 2 2 3" xfId="12767" xr:uid="{AAA85238-2602-4161-8370-95B592587F48}"/>
    <cellStyle name="Comma 2 2 4 7 2 2 4" xfId="23183" xr:uid="{9EBE3C68-DBD5-4115-9E5F-64B00F8BF5A2}"/>
    <cellStyle name="Comma 2 2 4 7 2 3" xfId="7578" xr:uid="{00000000-0005-0000-0000-0000FD030000}"/>
    <cellStyle name="Comma 2 2 4 7 2 3 2" xfId="19124" xr:uid="{0AC818A6-BA51-4DAB-BA2F-D4E5FD062039}"/>
    <cellStyle name="Comma 2 2 4 7 2 3 3" xfId="29540" xr:uid="{12B0C9E9-CBA1-4D03-9313-611C4B3E56E2}"/>
    <cellStyle name="Comma 2 2 4 7 2 4" xfId="4980" xr:uid="{00000000-0005-0000-0000-0000FE030000}"/>
    <cellStyle name="Comma 2 2 4 7 2 4 2" xfId="16566" xr:uid="{C91D2B94-D6F1-443E-9A6D-900406E45A16}"/>
    <cellStyle name="Comma 2 2 4 7 2 4 3" xfId="26982" xr:uid="{04139C81-9E23-4549-B53C-9DF1A7AE05AC}"/>
    <cellStyle name="Comma 2 2 4 7 2 5" xfId="12766" xr:uid="{0960E64F-C42B-48E3-A329-2757520DEF60}"/>
    <cellStyle name="Comma 2 2 4 7 2 6" xfId="23182" xr:uid="{59BFF7E3-7D87-403E-BA7A-676279955125}"/>
    <cellStyle name="Comma 2 2 4 7 3" xfId="433" xr:uid="{00000000-0005-0000-0000-0000FF030000}"/>
    <cellStyle name="Comma 2 2 4 7 3 2" xfId="434" xr:uid="{00000000-0005-0000-0000-000000040000}"/>
    <cellStyle name="Comma 2 2 4 7 3 2 2" xfId="7581" xr:uid="{00000000-0005-0000-0000-000001040000}"/>
    <cellStyle name="Comma 2 2 4 7 3 2 2 2" xfId="19127" xr:uid="{CD6322A7-ED7C-4093-88D5-50F01684D28B}"/>
    <cellStyle name="Comma 2 2 4 7 3 2 2 3" xfId="29543" xr:uid="{F37CCCB8-3B41-434C-81F7-E4EB074A6181}"/>
    <cellStyle name="Comma 2 2 4 7 3 2 3" xfId="12769" xr:uid="{5E523BAD-2A17-4EF0-997D-4115AD2B21C3}"/>
    <cellStyle name="Comma 2 2 4 7 3 2 4" xfId="23185" xr:uid="{A3D96AFD-670C-4AC4-B834-A10F984A3DFF}"/>
    <cellStyle name="Comma 2 2 4 7 3 3" xfId="7580" xr:uid="{00000000-0005-0000-0000-000002040000}"/>
    <cellStyle name="Comma 2 2 4 7 3 3 2" xfId="19126" xr:uid="{B67A768B-CA44-4DAF-990E-6E8CC4015D23}"/>
    <cellStyle name="Comma 2 2 4 7 3 3 3" xfId="29542" xr:uid="{3CAB8D0D-1940-42FD-B76B-B54A24BD7329}"/>
    <cellStyle name="Comma 2 2 4 7 3 4" xfId="4981" xr:uid="{00000000-0005-0000-0000-000003040000}"/>
    <cellStyle name="Comma 2 2 4 7 3 4 2" xfId="16567" xr:uid="{A769BFDF-FA2A-442A-BC2E-7FE9295E158D}"/>
    <cellStyle name="Comma 2 2 4 7 3 4 3" xfId="26983" xr:uid="{EB5935ED-0A9F-4D92-A24A-5EB80C2AC1FB}"/>
    <cellStyle name="Comma 2 2 4 7 3 5" xfId="12768" xr:uid="{D001FAD1-BDCF-453B-AD0C-DCE7C09B41AC}"/>
    <cellStyle name="Comma 2 2 4 7 3 6" xfId="23184" xr:uid="{7A9BEB66-19E9-49CF-A6A9-3F842DB372C4}"/>
    <cellStyle name="Comma 2 2 4 7 4" xfId="435" xr:uid="{00000000-0005-0000-0000-000004040000}"/>
    <cellStyle name="Comma 2 2 4 7 4 2" xfId="7582" xr:uid="{00000000-0005-0000-0000-000005040000}"/>
    <cellStyle name="Comma 2 2 4 7 4 2 2" xfId="19128" xr:uid="{32A09170-B8F3-4DD4-A8F1-2D6170B66926}"/>
    <cellStyle name="Comma 2 2 4 7 4 2 3" xfId="29544" xr:uid="{A923D221-6B21-4340-8D45-D880B36B421C}"/>
    <cellStyle name="Comma 2 2 4 7 4 3" xfId="12770" xr:uid="{CF0C6349-C494-47C1-8E3E-488FC16EFDB8}"/>
    <cellStyle name="Comma 2 2 4 7 4 4" xfId="23186" xr:uid="{340715BC-5907-470C-8CA7-BC9D1EE7E608}"/>
    <cellStyle name="Comma 2 2 4 7 5" xfId="7577" xr:uid="{00000000-0005-0000-0000-000006040000}"/>
    <cellStyle name="Comma 2 2 4 7 5 2" xfId="19123" xr:uid="{5978F041-8175-4E20-975B-A7D9004D133B}"/>
    <cellStyle name="Comma 2 2 4 7 5 3" xfId="29539" xr:uid="{3BF00D4D-DC31-42C7-93FC-51FA60AFE532}"/>
    <cellStyle name="Comma 2 2 4 7 6" xfId="4979" xr:uid="{00000000-0005-0000-0000-000007040000}"/>
    <cellStyle name="Comma 2 2 4 7 6 2" xfId="16565" xr:uid="{584A69F8-95E7-43AF-B0F4-C39370918988}"/>
    <cellStyle name="Comma 2 2 4 7 6 3" xfId="26981" xr:uid="{4974616C-139E-476C-B2C9-6F012E3139BE}"/>
    <cellStyle name="Comma 2 2 4 7 7" xfId="12765" xr:uid="{89CEC3C2-4E34-45BB-B815-522F7EE03FDA}"/>
    <cellStyle name="Comma 2 2 4 7 8" xfId="23181" xr:uid="{F472F77A-F2F0-4F96-9C14-50C66852A163}"/>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2 2 2" xfId="19131" xr:uid="{0358E2DA-B423-4CB6-889F-24C4F3C4EB03}"/>
    <cellStyle name="Comma 2 2 4 8 2 2 2 3" xfId="29547" xr:uid="{3C616762-98CF-4B00-9F65-11EFCC8B5A6A}"/>
    <cellStyle name="Comma 2 2 4 8 2 2 3" xfId="12773" xr:uid="{59187D37-9EE6-46A1-9870-916310E80DD1}"/>
    <cellStyle name="Comma 2 2 4 8 2 2 4" xfId="23189" xr:uid="{AAC769D0-EE9E-43AA-AF1D-65868B438054}"/>
    <cellStyle name="Comma 2 2 4 8 2 3" xfId="7584" xr:uid="{00000000-0005-0000-0000-00000C040000}"/>
    <cellStyle name="Comma 2 2 4 8 2 3 2" xfId="19130" xr:uid="{C42CE606-26B5-4443-AA54-8FBB96C1B614}"/>
    <cellStyle name="Comma 2 2 4 8 2 3 3" xfId="29546" xr:uid="{DED906F6-184B-4229-A6A3-B8F098A2FCF2}"/>
    <cellStyle name="Comma 2 2 4 8 2 4" xfId="4983" xr:uid="{00000000-0005-0000-0000-00000D040000}"/>
    <cellStyle name="Comma 2 2 4 8 2 4 2" xfId="16569" xr:uid="{3C2ACA6C-6E18-4B4F-842E-EF5ACD7CBCD4}"/>
    <cellStyle name="Comma 2 2 4 8 2 4 3" xfId="26985" xr:uid="{128600A1-F173-49C5-A91E-77B8B4F874C0}"/>
    <cellStyle name="Comma 2 2 4 8 2 5" xfId="12772" xr:uid="{9A51C36C-84EE-47E6-A748-34C7E81EE098}"/>
    <cellStyle name="Comma 2 2 4 8 2 6" xfId="23188" xr:uid="{748ABFB2-AE4F-4293-97F4-53D1B4369253}"/>
    <cellStyle name="Comma 2 2 4 8 3" xfId="439" xr:uid="{00000000-0005-0000-0000-00000E040000}"/>
    <cellStyle name="Comma 2 2 4 8 3 2" xfId="7586" xr:uid="{00000000-0005-0000-0000-00000F040000}"/>
    <cellStyle name="Comma 2 2 4 8 3 2 2" xfId="19132" xr:uid="{B98BBDBC-B7D9-46CF-95BB-0911568CE47B}"/>
    <cellStyle name="Comma 2 2 4 8 3 2 3" xfId="29548" xr:uid="{0AE13C59-9AEF-4996-8AD2-5AA81B6C8919}"/>
    <cellStyle name="Comma 2 2 4 8 3 3" xfId="12774" xr:uid="{161CDCBC-FCFF-41A4-8B0D-FA137533BD95}"/>
    <cellStyle name="Comma 2 2 4 8 3 4" xfId="23190" xr:uid="{3D20B9D9-3322-4589-8201-BA3A3C57F107}"/>
    <cellStyle name="Comma 2 2 4 8 4" xfId="7583" xr:uid="{00000000-0005-0000-0000-000010040000}"/>
    <cellStyle name="Comma 2 2 4 8 4 2" xfId="19129" xr:uid="{837D97FE-C3C1-4772-A4E8-507A77BCD433}"/>
    <cellStyle name="Comma 2 2 4 8 4 3" xfId="29545" xr:uid="{751844BB-4191-4F2B-BAE0-F2984658355C}"/>
    <cellStyle name="Comma 2 2 4 8 5" xfId="4982" xr:uid="{00000000-0005-0000-0000-000011040000}"/>
    <cellStyle name="Comma 2 2 4 8 5 2" xfId="16568" xr:uid="{BCF6512C-05E8-4DF9-805B-442E70F1A9F8}"/>
    <cellStyle name="Comma 2 2 4 8 5 3" xfId="26984" xr:uid="{D6C5EE0C-B9B1-4F2B-89D9-02431E0F39FB}"/>
    <cellStyle name="Comma 2 2 4 8 6" xfId="12771" xr:uid="{0C924887-4547-4549-A74D-291D1B0C91BB}"/>
    <cellStyle name="Comma 2 2 4 8 7" xfId="23187" xr:uid="{2C2B92CC-7169-4CFE-B71C-5D412C33D99B}"/>
    <cellStyle name="Comma 2 2 4 9" xfId="440" xr:uid="{00000000-0005-0000-0000-000012040000}"/>
    <cellStyle name="Comma 2 2 4 9 2" xfId="441" xr:uid="{00000000-0005-0000-0000-000013040000}"/>
    <cellStyle name="Comma 2 2 4 9 2 2" xfId="7588" xr:uid="{00000000-0005-0000-0000-000014040000}"/>
    <cellStyle name="Comma 2 2 4 9 2 2 2" xfId="19134" xr:uid="{37DCFF7C-D5CA-4342-ADB2-1F67B3EE2683}"/>
    <cellStyle name="Comma 2 2 4 9 2 2 3" xfId="29550" xr:uid="{AFEBCC12-66C7-4DA6-A83C-31BFA24FB6AD}"/>
    <cellStyle name="Comma 2 2 4 9 2 3" xfId="12776" xr:uid="{C51DFD72-935F-4E27-A02A-CD24732B5976}"/>
    <cellStyle name="Comma 2 2 4 9 2 4" xfId="23192" xr:uid="{E8C76BC7-442F-46B8-A9F7-4421C65C8A12}"/>
    <cellStyle name="Comma 2 2 4 9 3" xfId="7587" xr:uid="{00000000-0005-0000-0000-000015040000}"/>
    <cellStyle name="Comma 2 2 4 9 3 2" xfId="19133" xr:uid="{22BC846A-B6B3-4CCA-BA43-73A6E2A11922}"/>
    <cellStyle name="Comma 2 2 4 9 3 3" xfId="29549" xr:uid="{D61B67DF-3B69-4F6F-B409-DB268E63697A}"/>
    <cellStyle name="Comma 2 2 4 9 4" xfId="4984" xr:uid="{00000000-0005-0000-0000-000016040000}"/>
    <cellStyle name="Comma 2 2 4 9 4 2" xfId="16570" xr:uid="{C0BEDD61-7012-4347-A9F0-D7A53EA7EA4B}"/>
    <cellStyle name="Comma 2 2 4 9 4 3" xfId="26986" xr:uid="{09E4C4A1-28F5-47DB-B097-032A3FCB8CE8}"/>
    <cellStyle name="Comma 2 2 4 9 5" xfId="12775" xr:uid="{AF67523B-86CB-4F71-BD86-94710C11B2B3}"/>
    <cellStyle name="Comma 2 2 4 9 6" xfId="23191" xr:uid="{F73CBE18-C57D-4D8C-A21B-6FD7F10F3FEF}"/>
    <cellStyle name="Comma 2 2 5" xfId="442" xr:uid="{00000000-0005-0000-0000-000017040000}"/>
    <cellStyle name="Comma 2 2 5 10" xfId="443" xr:uid="{00000000-0005-0000-0000-000018040000}"/>
    <cellStyle name="Comma 2 2 5 10 2" xfId="7590" xr:uid="{00000000-0005-0000-0000-000019040000}"/>
    <cellStyle name="Comma 2 2 5 10 2 2" xfId="19136" xr:uid="{D9BB6842-02CB-4AB6-8C20-78E20BB2FA20}"/>
    <cellStyle name="Comma 2 2 5 10 2 3" xfId="29552" xr:uid="{93D3BD81-2999-4232-ADD4-4B7A254FFCBC}"/>
    <cellStyle name="Comma 2 2 5 10 3" xfId="12778" xr:uid="{FBABA820-B95C-4500-9681-9B2FABBDCD4F}"/>
    <cellStyle name="Comma 2 2 5 10 4" xfId="23194" xr:uid="{24809F43-600F-412C-A719-BA63D193EF90}"/>
    <cellStyle name="Comma 2 2 5 11" xfId="7589" xr:uid="{00000000-0005-0000-0000-00001A040000}"/>
    <cellStyle name="Comma 2 2 5 11 2" xfId="19135" xr:uid="{8D04FA97-1046-480D-9E89-EE0B5CA2382B}"/>
    <cellStyle name="Comma 2 2 5 11 3" xfId="29551" xr:uid="{F2CB48E1-A6FA-4BB0-B248-0043193EEF29}"/>
    <cellStyle name="Comma 2 2 5 12" xfId="4985" xr:uid="{00000000-0005-0000-0000-00001B040000}"/>
    <cellStyle name="Comma 2 2 5 12 2" xfId="16571" xr:uid="{DA764A84-8950-4045-8EB0-2837B690E975}"/>
    <cellStyle name="Comma 2 2 5 12 3" xfId="26987" xr:uid="{E3FAB48E-6910-41E5-92E8-A76C5A26833D}"/>
    <cellStyle name="Comma 2 2 5 13" xfId="12777" xr:uid="{40B3905F-C2C4-4581-9BC7-71670646B415}"/>
    <cellStyle name="Comma 2 2 5 14" xfId="23193" xr:uid="{DBDDA671-4EA7-400E-B125-86DC9D0CE1AA}"/>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2 2 2" xfId="19140" xr:uid="{57E741F1-B805-4D3E-99EA-31E862F11222}"/>
    <cellStyle name="Comma 2 2 5 2 2 2 2 2 3" xfId="29556" xr:uid="{81E367CF-E4EB-4499-80DC-8E33C46B53B0}"/>
    <cellStyle name="Comma 2 2 5 2 2 2 2 3" xfId="12782" xr:uid="{B934F894-0A83-424A-8D13-FBA9E355E9F0}"/>
    <cellStyle name="Comma 2 2 5 2 2 2 2 4" xfId="23198" xr:uid="{8712476F-89C8-49B7-8652-8C41315FFA45}"/>
    <cellStyle name="Comma 2 2 5 2 2 2 3" xfId="7593" xr:uid="{00000000-0005-0000-0000-000021040000}"/>
    <cellStyle name="Comma 2 2 5 2 2 2 3 2" xfId="19139" xr:uid="{008162E4-1807-4C6B-B62E-71AE167ECA17}"/>
    <cellStyle name="Comma 2 2 5 2 2 2 3 3" xfId="29555" xr:uid="{FECDFE8F-A911-42B7-924F-E863E7D098AC}"/>
    <cellStyle name="Comma 2 2 5 2 2 2 4" xfId="4988" xr:uid="{00000000-0005-0000-0000-000022040000}"/>
    <cellStyle name="Comma 2 2 5 2 2 2 4 2" xfId="16574" xr:uid="{B8D270FD-6C43-4005-9DC7-27E65A7C6257}"/>
    <cellStyle name="Comma 2 2 5 2 2 2 4 3" xfId="26990" xr:uid="{5B6C0CB6-8DF2-483B-8910-61E210B75893}"/>
    <cellStyle name="Comma 2 2 5 2 2 2 5" xfId="12781" xr:uid="{B35DBF0F-9FDE-4CC9-9616-9D6B237821EF}"/>
    <cellStyle name="Comma 2 2 5 2 2 2 6" xfId="23197" xr:uid="{2764EFEA-7621-4A40-A3B6-28F6DAB08925}"/>
    <cellStyle name="Comma 2 2 5 2 2 3" xfId="448" xr:uid="{00000000-0005-0000-0000-000023040000}"/>
    <cellStyle name="Comma 2 2 5 2 2 3 2" xfId="7595" xr:uid="{00000000-0005-0000-0000-000024040000}"/>
    <cellStyle name="Comma 2 2 5 2 2 3 2 2" xfId="19141" xr:uid="{B55795FF-BD27-4288-B0E0-4097E08F0118}"/>
    <cellStyle name="Comma 2 2 5 2 2 3 2 3" xfId="29557" xr:uid="{ACF7E050-B992-4D0C-9DEB-153FF4EE41D1}"/>
    <cellStyle name="Comma 2 2 5 2 2 3 3" xfId="12783" xr:uid="{741FBD8D-5D05-4A8C-A126-0C5311E68674}"/>
    <cellStyle name="Comma 2 2 5 2 2 3 4" xfId="23199" xr:uid="{33631775-3E2C-429E-AAEB-2218D6C86E62}"/>
    <cellStyle name="Comma 2 2 5 2 2 4" xfId="7592" xr:uid="{00000000-0005-0000-0000-000025040000}"/>
    <cellStyle name="Comma 2 2 5 2 2 4 2" xfId="19138" xr:uid="{D3EE4866-839F-4C38-9634-EF12A46D42C5}"/>
    <cellStyle name="Comma 2 2 5 2 2 4 3" xfId="29554" xr:uid="{74D023C9-D72A-46F5-83EB-E7CCE0C4D189}"/>
    <cellStyle name="Comma 2 2 5 2 2 5" xfId="4987" xr:uid="{00000000-0005-0000-0000-000026040000}"/>
    <cellStyle name="Comma 2 2 5 2 2 5 2" xfId="16573" xr:uid="{18AF9D53-C26E-4735-8D92-65513225838E}"/>
    <cellStyle name="Comma 2 2 5 2 2 5 3" xfId="26989" xr:uid="{403EF683-8BC3-4BAD-908C-C4E6243B0F4D}"/>
    <cellStyle name="Comma 2 2 5 2 2 6" xfId="12780" xr:uid="{DB45F2FB-A032-44AB-9966-C30F0CB02ADB}"/>
    <cellStyle name="Comma 2 2 5 2 2 7" xfId="23196" xr:uid="{D18E41EF-78C4-4615-AE87-BC9E869C4A4B}"/>
    <cellStyle name="Comma 2 2 5 2 3" xfId="449" xr:uid="{00000000-0005-0000-0000-000027040000}"/>
    <cellStyle name="Comma 2 2 5 2 3 2" xfId="450" xr:uid="{00000000-0005-0000-0000-000028040000}"/>
    <cellStyle name="Comma 2 2 5 2 3 2 2" xfId="7597" xr:uid="{00000000-0005-0000-0000-000029040000}"/>
    <cellStyle name="Comma 2 2 5 2 3 2 2 2" xfId="19143" xr:uid="{C70758B1-5F50-4BFB-9FB5-EDB382989BA4}"/>
    <cellStyle name="Comma 2 2 5 2 3 2 2 3" xfId="29559" xr:uid="{0BAEC832-2EFC-4307-80DA-8CA0AB10625C}"/>
    <cellStyle name="Comma 2 2 5 2 3 2 3" xfId="12785" xr:uid="{975E2B2A-718C-4EE9-ADD5-F5B4DC56E6B1}"/>
    <cellStyle name="Comma 2 2 5 2 3 2 4" xfId="23201" xr:uid="{8A5C61FA-D7DD-4926-A2A3-0D298470FE70}"/>
    <cellStyle name="Comma 2 2 5 2 3 3" xfId="7596" xr:uid="{00000000-0005-0000-0000-00002A040000}"/>
    <cellStyle name="Comma 2 2 5 2 3 3 2" xfId="19142" xr:uid="{5B4D5BF7-4575-4E2F-8699-FD18D93F2AB7}"/>
    <cellStyle name="Comma 2 2 5 2 3 3 3" xfId="29558" xr:uid="{00836E56-3DF6-469E-8402-5615EBAD0CF7}"/>
    <cellStyle name="Comma 2 2 5 2 3 4" xfId="4989" xr:uid="{00000000-0005-0000-0000-00002B040000}"/>
    <cellStyle name="Comma 2 2 5 2 3 4 2" xfId="16575" xr:uid="{339F892F-D1AA-4638-BBEC-C0391BF0DFF9}"/>
    <cellStyle name="Comma 2 2 5 2 3 4 3" xfId="26991" xr:uid="{EF8E96FD-6274-4D9A-ABCA-5A0E28ECFB75}"/>
    <cellStyle name="Comma 2 2 5 2 3 5" xfId="12784" xr:uid="{F18FB3A3-8E29-43F5-A060-015CDD3F84DB}"/>
    <cellStyle name="Comma 2 2 5 2 3 6" xfId="23200" xr:uid="{8E2AC3AE-A15F-4220-AB8D-F418CD970E97}"/>
    <cellStyle name="Comma 2 2 5 2 4" xfId="451" xr:uid="{00000000-0005-0000-0000-00002C040000}"/>
    <cellStyle name="Comma 2 2 5 2 4 2" xfId="452" xr:uid="{00000000-0005-0000-0000-00002D040000}"/>
    <cellStyle name="Comma 2 2 5 2 4 2 2" xfId="7599" xr:uid="{00000000-0005-0000-0000-00002E040000}"/>
    <cellStyle name="Comma 2 2 5 2 4 2 2 2" xfId="19145" xr:uid="{0A806E36-21F9-4B56-9014-F8756FD41657}"/>
    <cellStyle name="Comma 2 2 5 2 4 2 2 3" xfId="29561" xr:uid="{2B6FB292-9487-4103-9723-766FCF99C4C3}"/>
    <cellStyle name="Comma 2 2 5 2 4 2 3" xfId="12787" xr:uid="{B5A04046-B119-47BC-A6B6-BA23EC3E2777}"/>
    <cellStyle name="Comma 2 2 5 2 4 2 4" xfId="23203" xr:uid="{7363DA60-2E30-4B56-8502-13CB69007BAE}"/>
    <cellStyle name="Comma 2 2 5 2 4 3" xfId="7598" xr:uid="{00000000-0005-0000-0000-00002F040000}"/>
    <cellStyle name="Comma 2 2 5 2 4 3 2" xfId="19144" xr:uid="{62BBFF9A-7134-432E-BABB-E8D39391B7D0}"/>
    <cellStyle name="Comma 2 2 5 2 4 3 3" xfId="29560" xr:uid="{80CE4C37-7D8C-4399-B155-5C187A4A027F}"/>
    <cellStyle name="Comma 2 2 5 2 4 4" xfId="4990" xr:uid="{00000000-0005-0000-0000-000030040000}"/>
    <cellStyle name="Comma 2 2 5 2 4 4 2" xfId="16576" xr:uid="{D8D321DE-BC9E-474A-8A76-D5AC3EB7DED5}"/>
    <cellStyle name="Comma 2 2 5 2 4 4 3" xfId="26992" xr:uid="{FE672D25-8710-458F-B73A-64498968EEAA}"/>
    <cellStyle name="Comma 2 2 5 2 4 5" xfId="12786" xr:uid="{A571D55B-9C4E-4E8A-B0C5-9E88C98C9B10}"/>
    <cellStyle name="Comma 2 2 5 2 4 6" xfId="23202" xr:uid="{73A3D43A-0BA6-4350-8DAC-4687CC381114}"/>
    <cellStyle name="Comma 2 2 5 2 5" xfId="453" xr:uid="{00000000-0005-0000-0000-000031040000}"/>
    <cellStyle name="Comma 2 2 5 2 5 2" xfId="7600" xr:uid="{00000000-0005-0000-0000-000032040000}"/>
    <cellStyle name="Comma 2 2 5 2 5 2 2" xfId="19146" xr:uid="{9643D13D-11EE-4B1F-BBA3-D6F3F9B7A4EE}"/>
    <cellStyle name="Comma 2 2 5 2 5 2 3" xfId="29562" xr:uid="{E75DED5F-0875-4F7F-A5CE-42902D9B6C3D}"/>
    <cellStyle name="Comma 2 2 5 2 5 3" xfId="12788" xr:uid="{389EA9B3-71C8-4356-98E1-B6D09E475E7F}"/>
    <cellStyle name="Comma 2 2 5 2 5 4" xfId="23204" xr:uid="{19494815-2E63-4D5A-84A7-2471EE690EE0}"/>
    <cellStyle name="Comma 2 2 5 2 6" xfId="7591" xr:uid="{00000000-0005-0000-0000-000033040000}"/>
    <cellStyle name="Comma 2 2 5 2 6 2" xfId="19137" xr:uid="{CE024A54-0878-4ED4-B361-ABAAB73EACE2}"/>
    <cellStyle name="Comma 2 2 5 2 6 3" xfId="29553" xr:uid="{4DCF7C98-145C-4BA0-876A-7E28DFFA918C}"/>
    <cellStyle name="Comma 2 2 5 2 7" xfId="4986" xr:uid="{00000000-0005-0000-0000-000034040000}"/>
    <cellStyle name="Comma 2 2 5 2 7 2" xfId="16572" xr:uid="{7EAE71E4-DFC6-41B4-BCDA-556454CF5BE4}"/>
    <cellStyle name="Comma 2 2 5 2 7 3" xfId="26988" xr:uid="{D026FB48-3952-4846-AC66-00D9022CB41A}"/>
    <cellStyle name="Comma 2 2 5 2 8" xfId="12779" xr:uid="{24957F78-12C2-4B96-A769-4A416F99D144}"/>
    <cellStyle name="Comma 2 2 5 2 9" xfId="23195" xr:uid="{EE7DCD42-858B-4708-9B9D-265BC27C57F1}"/>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2 2 2" xfId="19150" xr:uid="{C2885EBF-1C23-442C-8BFB-25F2C78D2584}"/>
    <cellStyle name="Comma 2 2 5 3 2 2 2 2 3" xfId="29566" xr:uid="{E370DB58-0391-456B-856C-FAD4E0E5C753}"/>
    <cellStyle name="Comma 2 2 5 3 2 2 2 3" xfId="12792" xr:uid="{C71998A8-F598-4598-A734-9157E6FD85EE}"/>
    <cellStyle name="Comma 2 2 5 3 2 2 2 4" xfId="23208" xr:uid="{605442E1-23D4-4449-82C8-04BA3E6D2E14}"/>
    <cellStyle name="Comma 2 2 5 3 2 2 3" xfId="7603" xr:uid="{00000000-0005-0000-0000-00003A040000}"/>
    <cellStyle name="Comma 2 2 5 3 2 2 3 2" xfId="19149" xr:uid="{17AA2524-4D63-468C-94A9-D51E860155BA}"/>
    <cellStyle name="Comma 2 2 5 3 2 2 3 3" xfId="29565" xr:uid="{8ADFC166-BF5F-47B2-BF47-F62C7C92D2E8}"/>
    <cellStyle name="Comma 2 2 5 3 2 2 4" xfId="4993" xr:uid="{00000000-0005-0000-0000-00003B040000}"/>
    <cellStyle name="Comma 2 2 5 3 2 2 4 2" xfId="16579" xr:uid="{AFFDE363-7796-4D61-9CAA-3270EE5D5A6E}"/>
    <cellStyle name="Comma 2 2 5 3 2 2 4 3" xfId="26995" xr:uid="{FEEE3E15-5E45-4E3F-92DB-890BA42AA787}"/>
    <cellStyle name="Comma 2 2 5 3 2 2 5" xfId="12791" xr:uid="{DB1B476A-8651-4DB8-8597-2A28B04E5BA4}"/>
    <cellStyle name="Comma 2 2 5 3 2 2 6" xfId="23207" xr:uid="{B349261C-3646-4A4E-BC7E-6E0D80EDBCB4}"/>
    <cellStyle name="Comma 2 2 5 3 2 3" xfId="458" xr:uid="{00000000-0005-0000-0000-00003C040000}"/>
    <cellStyle name="Comma 2 2 5 3 2 3 2" xfId="7605" xr:uid="{00000000-0005-0000-0000-00003D040000}"/>
    <cellStyle name="Comma 2 2 5 3 2 3 2 2" xfId="19151" xr:uid="{3A9874E5-D9A0-4F0E-BD8A-4CE67F95D725}"/>
    <cellStyle name="Comma 2 2 5 3 2 3 2 3" xfId="29567" xr:uid="{A7FCEC38-29B6-47E8-AED0-DEF431CEDE66}"/>
    <cellStyle name="Comma 2 2 5 3 2 3 3" xfId="12793" xr:uid="{DB571307-0644-4894-9BAF-9342421AF12C}"/>
    <cellStyle name="Comma 2 2 5 3 2 3 4" xfId="23209" xr:uid="{250C3B16-75C9-4698-972E-4AA96D4A38DB}"/>
    <cellStyle name="Comma 2 2 5 3 2 4" xfId="7602" xr:uid="{00000000-0005-0000-0000-00003E040000}"/>
    <cellStyle name="Comma 2 2 5 3 2 4 2" xfId="19148" xr:uid="{F2EF2FB9-5EAF-43BE-8733-69D6C5A9A7DC}"/>
    <cellStyle name="Comma 2 2 5 3 2 4 3" xfId="29564" xr:uid="{CE0DD43A-1348-454D-9907-0D96CB8432E1}"/>
    <cellStyle name="Comma 2 2 5 3 2 5" xfId="4992" xr:uid="{00000000-0005-0000-0000-00003F040000}"/>
    <cellStyle name="Comma 2 2 5 3 2 5 2" xfId="16578" xr:uid="{50FDAC02-D7CD-4C8B-B5DC-71A855D0A165}"/>
    <cellStyle name="Comma 2 2 5 3 2 5 3" xfId="26994" xr:uid="{107C7C3F-30E9-44E1-B155-EA3FBB236BCE}"/>
    <cellStyle name="Comma 2 2 5 3 2 6" xfId="12790" xr:uid="{60E7183F-DABA-44F5-BA0B-BE523C5F2C44}"/>
    <cellStyle name="Comma 2 2 5 3 2 7" xfId="23206" xr:uid="{08220097-4EA3-4D75-8B43-C6219BA448E2}"/>
    <cellStyle name="Comma 2 2 5 3 3" xfId="459" xr:uid="{00000000-0005-0000-0000-000040040000}"/>
    <cellStyle name="Comma 2 2 5 3 3 2" xfId="460" xr:uid="{00000000-0005-0000-0000-000041040000}"/>
    <cellStyle name="Comma 2 2 5 3 3 2 2" xfId="7607" xr:uid="{00000000-0005-0000-0000-000042040000}"/>
    <cellStyle name="Comma 2 2 5 3 3 2 2 2" xfId="19153" xr:uid="{2E7FEE85-542A-4A42-88D4-5197849D75FD}"/>
    <cellStyle name="Comma 2 2 5 3 3 2 2 3" xfId="29569" xr:uid="{32C0A500-DC34-4920-B800-C726C2720F39}"/>
    <cellStyle name="Comma 2 2 5 3 3 2 3" xfId="12795" xr:uid="{2563608A-039E-408E-9C16-9AC95A63B0EB}"/>
    <cellStyle name="Comma 2 2 5 3 3 2 4" xfId="23211" xr:uid="{5F23009F-B7FC-4B2B-838E-7AC94EC49054}"/>
    <cellStyle name="Comma 2 2 5 3 3 3" xfId="7606" xr:uid="{00000000-0005-0000-0000-000043040000}"/>
    <cellStyle name="Comma 2 2 5 3 3 3 2" xfId="19152" xr:uid="{76D0B5CD-A80D-4767-B5DE-C934F41EDC53}"/>
    <cellStyle name="Comma 2 2 5 3 3 3 3" xfId="29568" xr:uid="{023B1049-C163-4B47-A563-92ABB3F39187}"/>
    <cellStyle name="Comma 2 2 5 3 3 4" xfId="4994" xr:uid="{00000000-0005-0000-0000-000044040000}"/>
    <cellStyle name="Comma 2 2 5 3 3 4 2" xfId="16580" xr:uid="{19B18483-1C53-4267-AE78-9331DB24DA7B}"/>
    <cellStyle name="Comma 2 2 5 3 3 4 3" xfId="26996" xr:uid="{A38D7835-36A2-4880-AB7D-1652ACD01206}"/>
    <cellStyle name="Comma 2 2 5 3 3 5" xfId="12794" xr:uid="{1EDF406D-01E6-4630-A2EF-B49C271A6414}"/>
    <cellStyle name="Comma 2 2 5 3 3 6" xfId="23210" xr:uid="{AB26F0F5-0AEE-499E-92F2-79E326472381}"/>
    <cellStyle name="Comma 2 2 5 3 4" xfId="461" xr:uid="{00000000-0005-0000-0000-000045040000}"/>
    <cellStyle name="Comma 2 2 5 3 4 2" xfId="462" xr:uid="{00000000-0005-0000-0000-000046040000}"/>
    <cellStyle name="Comma 2 2 5 3 4 2 2" xfId="7609" xr:uid="{00000000-0005-0000-0000-000047040000}"/>
    <cellStyle name="Comma 2 2 5 3 4 2 2 2" xfId="19155" xr:uid="{46C4CA60-DE70-4682-A9B2-C2C62530696F}"/>
    <cellStyle name="Comma 2 2 5 3 4 2 2 3" xfId="29571" xr:uid="{3D6C2035-9586-4771-9038-5EC62DBCE244}"/>
    <cellStyle name="Comma 2 2 5 3 4 2 3" xfId="12797" xr:uid="{DC6BE227-3360-43F2-9661-AFE625AA671C}"/>
    <cellStyle name="Comma 2 2 5 3 4 2 4" xfId="23213" xr:uid="{0FF8B92A-7C22-48D9-8DAE-A608ED81D281}"/>
    <cellStyle name="Comma 2 2 5 3 4 3" xfId="7608" xr:uid="{00000000-0005-0000-0000-000048040000}"/>
    <cellStyle name="Comma 2 2 5 3 4 3 2" xfId="19154" xr:uid="{62D9484D-CC47-4CDF-B535-38F1878F9DC0}"/>
    <cellStyle name="Comma 2 2 5 3 4 3 3" xfId="29570" xr:uid="{C66A4639-855B-4C62-956B-AD4F2A8F84B6}"/>
    <cellStyle name="Comma 2 2 5 3 4 4" xfId="4995" xr:uid="{00000000-0005-0000-0000-000049040000}"/>
    <cellStyle name="Comma 2 2 5 3 4 4 2" xfId="16581" xr:uid="{E4B55A4C-BA67-42B7-AA58-81E63BDB2D9A}"/>
    <cellStyle name="Comma 2 2 5 3 4 4 3" xfId="26997" xr:uid="{90274829-FA1A-42C4-AE9B-3E70C792DD4F}"/>
    <cellStyle name="Comma 2 2 5 3 4 5" xfId="12796" xr:uid="{C69534E0-1FFA-44EC-8202-EA613FBFA7F3}"/>
    <cellStyle name="Comma 2 2 5 3 4 6" xfId="23212" xr:uid="{06802881-BD05-4715-BD69-AC937B7A390E}"/>
    <cellStyle name="Comma 2 2 5 3 5" xfId="463" xr:uid="{00000000-0005-0000-0000-00004A040000}"/>
    <cellStyle name="Comma 2 2 5 3 5 2" xfId="7610" xr:uid="{00000000-0005-0000-0000-00004B040000}"/>
    <cellStyle name="Comma 2 2 5 3 5 2 2" xfId="19156" xr:uid="{B4BF7D5E-DF0E-4F5D-A2AE-FD78C13CBECE}"/>
    <cellStyle name="Comma 2 2 5 3 5 2 3" xfId="29572" xr:uid="{A68804BA-AF1A-4FB3-AB66-64824B627C05}"/>
    <cellStyle name="Comma 2 2 5 3 5 3" xfId="12798" xr:uid="{1C6826B4-A10A-4CD2-9B8B-3467EA85BE16}"/>
    <cellStyle name="Comma 2 2 5 3 5 4" xfId="23214" xr:uid="{51BA21CC-497D-403A-8A38-AC196A3E665F}"/>
    <cellStyle name="Comma 2 2 5 3 6" xfId="7601" xr:uid="{00000000-0005-0000-0000-00004C040000}"/>
    <cellStyle name="Comma 2 2 5 3 6 2" xfId="19147" xr:uid="{9DCB6CF5-F04F-4FAA-8170-EA3988660722}"/>
    <cellStyle name="Comma 2 2 5 3 6 3" xfId="29563" xr:uid="{FBC17292-3A38-4DC5-824E-694BB3305FA5}"/>
    <cellStyle name="Comma 2 2 5 3 7" xfId="4991" xr:uid="{00000000-0005-0000-0000-00004D040000}"/>
    <cellStyle name="Comma 2 2 5 3 7 2" xfId="16577" xr:uid="{9B3363EE-2787-4D70-845A-706EBB13AED0}"/>
    <cellStyle name="Comma 2 2 5 3 7 3" xfId="26993" xr:uid="{C2A02E0E-0474-42DC-A6A3-51E6934DE233}"/>
    <cellStyle name="Comma 2 2 5 3 8" xfId="12789" xr:uid="{E4D14BFB-FB3E-41ED-9C93-A4AB46847366}"/>
    <cellStyle name="Comma 2 2 5 3 9" xfId="23205" xr:uid="{C4268BFF-19A2-4A84-9BB0-5766F52B424F}"/>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2 2 2" xfId="19160" xr:uid="{9D214CD0-C493-4CB0-B2DF-E81D85D46614}"/>
    <cellStyle name="Comma 2 2 5 4 2 2 2 2 3" xfId="29576" xr:uid="{92C381D5-1667-45A1-9095-5896FF6B6674}"/>
    <cellStyle name="Comma 2 2 5 4 2 2 2 3" xfId="12802" xr:uid="{64D0D3E4-38F3-45B4-B972-C4D870177655}"/>
    <cellStyle name="Comma 2 2 5 4 2 2 2 4" xfId="23218" xr:uid="{6291B48A-57BC-47A4-82A6-F55E2C0823D1}"/>
    <cellStyle name="Comma 2 2 5 4 2 2 3" xfId="7613" xr:uid="{00000000-0005-0000-0000-000053040000}"/>
    <cellStyle name="Comma 2 2 5 4 2 2 3 2" xfId="19159" xr:uid="{681D197D-2EEF-4A76-A9F9-38500E5A5893}"/>
    <cellStyle name="Comma 2 2 5 4 2 2 3 3" xfId="29575" xr:uid="{FD791827-1563-45A0-BBDB-4F7D4ED45A9E}"/>
    <cellStyle name="Comma 2 2 5 4 2 2 4" xfId="4998" xr:uid="{00000000-0005-0000-0000-000054040000}"/>
    <cellStyle name="Comma 2 2 5 4 2 2 4 2" xfId="16584" xr:uid="{1B09BAFE-A61C-4A46-9E60-5E66AFB94B1C}"/>
    <cellStyle name="Comma 2 2 5 4 2 2 4 3" xfId="27000" xr:uid="{76D4E205-E9C4-4F35-9CF5-9E189229C8AF}"/>
    <cellStyle name="Comma 2 2 5 4 2 2 5" xfId="12801" xr:uid="{397771B8-2389-4756-AF98-18FFC0D28C04}"/>
    <cellStyle name="Comma 2 2 5 4 2 2 6" xfId="23217" xr:uid="{AB89E2EB-8F26-4AD4-8F74-9D8A5F667A7F}"/>
    <cellStyle name="Comma 2 2 5 4 2 3" xfId="468" xr:uid="{00000000-0005-0000-0000-000055040000}"/>
    <cellStyle name="Comma 2 2 5 4 2 3 2" xfId="7615" xr:uid="{00000000-0005-0000-0000-000056040000}"/>
    <cellStyle name="Comma 2 2 5 4 2 3 2 2" xfId="19161" xr:uid="{E98FE8C5-F3BD-4E13-B66E-ECBF99276C20}"/>
    <cellStyle name="Comma 2 2 5 4 2 3 2 3" xfId="29577" xr:uid="{9448BFD1-320F-449C-AAF9-940E994FFCAD}"/>
    <cellStyle name="Comma 2 2 5 4 2 3 3" xfId="12803" xr:uid="{EBAEAB0E-4235-4FF5-A16F-A82062D42C97}"/>
    <cellStyle name="Comma 2 2 5 4 2 3 4" xfId="23219" xr:uid="{20FC5257-6666-4F47-B35D-8B85A3192757}"/>
    <cellStyle name="Comma 2 2 5 4 2 4" xfId="7612" xr:uid="{00000000-0005-0000-0000-000057040000}"/>
    <cellStyle name="Comma 2 2 5 4 2 4 2" xfId="19158" xr:uid="{D74119F4-8EED-413B-AC94-BE4A96A8EE65}"/>
    <cellStyle name="Comma 2 2 5 4 2 4 3" xfId="29574" xr:uid="{11978736-68AC-42BB-8B2C-37DC01A025B8}"/>
    <cellStyle name="Comma 2 2 5 4 2 5" xfId="4997" xr:uid="{00000000-0005-0000-0000-000058040000}"/>
    <cellStyle name="Comma 2 2 5 4 2 5 2" xfId="16583" xr:uid="{7A6DB3BD-0E69-4706-B518-340C28374FBC}"/>
    <cellStyle name="Comma 2 2 5 4 2 5 3" xfId="26999" xr:uid="{C9FCEBD2-A169-43E0-951B-4ADC43F6C7D0}"/>
    <cellStyle name="Comma 2 2 5 4 2 6" xfId="12800" xr:uid="{3F8CB076-4A0E-4DBF-9A55-A170DA0BB5E4}"/>
    <cellStyle name="Comma 2 2 5 4 2 7" xfId="23216" xr:uid="{75171D0F-ED05-4FDE-BB3D-DD5A500BF4B0}"/>
    <cellStyle name="Comma 2 2 5 4 3" xfId="469" xr:uid="{00000000-0005-0000-0000-000059040000}"/>
    <cellStyle name="Comma 2 2 5 4 3 2" xfId="470" xr:uid="{00000000-0005-0000-0000-00005A040000}"/>
    <cellStyle name="Comma 2 2 5 4 3 2 2" xfId="7617" xr:uid="{00000000-0005-0000-0000-00005B040000}"/>
    <cellStyle name="Comma 2 2 5 4 3 2 2 2" xfId="19163" xr:uid="{26910990-2BD7-4AFF-9AD6-F72981B1B31E}"/>
    <cellStyle name="Comma 2 2 5 4 3 2 2 3" xfId="29579" xr:uid="{E47E431E-5CAB-4D92-B96A-62497421078B}"/>
    <cellStyle name="Comma 2 2 5 4 3 2 3" xfId="12805" xr:uid="{44ADDF76-D4B4-4093-B1C1-9FDAD8AF2E48}"/>
    <cellStyle name="Comma 2 2 5 4 3 2 4" xfId="23221" xr:uid="{B0166182-399F-4BBF-9E79-A6D932D0C2C4}"/>
    <cellStyle name="Comma 2 2 5 4 3 3" xfId="7616" xr:uid="{00000000-0005-0000-0000-00005C040000}"/>
    <cellStyle name="Comma 2 2 5 4 3 3 2" xfId="19162" xr:uid="{334510E8-88DC-4A21-8A26-ED3BA350B388}"/>
    <cellStyle name="Comma 2 2 5 4 3 3 3" xfId="29578" xr:uid="{122E9CD8-DDFC-47B6-AF87-B3954EA61BE8}"/>
    <cellStyle name="Comma 2 2 5 4 3 4" xfId="4999" xr:uid="{00000000-0005-0000-0000-00005D040000}"/>
    <cellStyle name="Comma 2 2 5 4 3 4 2" xfId="16585" xr:uid="{0F09C1CD-D782-486E-88BB-0771257AA534}"/>
    <cellStyle name="Comma 2 2 5 4 3 4 3" xfId="27001" xr:uid="{19954790-DC1F-4649-A4F6-91365C12C9D8}"/>
    <cellStyle name="Comma 2 2 5 4 3 5" xfId="12804" xr:uid="{F7F47F17-6A04-476D-925C-597EADB69DBA}"/>
    <cellStyle name="Comma 2 2 5 4 3 6" xfId="23220" xr:uid="{912CBB14-3262-4A6C-BBCC-21DEA6BB44A9}"/>
    <cellStyle name="Comma 2 2 5 4 4" xfId="471" xr:uid="{00000000-0005-0000-0000-00005E040000}"/>
    <cellStyle name="Comma 2 2 5 4 4 2" xfId="472" xr:uid="{00000000-0005-0000-0000-00005F040000}"/>
    <cellStyle name="Comma 2 2 5 4 4 2 2" xfId="7619" xr:uid="{00000000-0005-0000-0000-000060040000}"/>
    <cellStyle name="Comma 2 2 5 4 4 2 2 2" xfId="19165" xr:uid="{B2E2C4A2-8DEA-4D37-A842-19BA92AEF1EC}"/>
    <cellStyle name="Comma 2 2 5 4 4 2 2 3" xfId="29581" xr:uid="{3357575F-A146-4739-9CAE-0D221C12130A}"/>
    <cellStyle name="Comma 2 2 5 4 4 2 3" xfId="12807" xr:uid="{7185A300-78C5-4AB0-98D4-7311242002A7}"/>
    <cellStyle name="Comma 2 2 5 4 4 2 4" xfId="23223" xr:uid="{558B134D-C81C-4011-B672-417A93D8F070}"/>
    <cellStyle name="Comma 2 2 5 4 4 3" xfId="7618" xr:uid="{00000000-0005-0000-0000-000061040000}"/>
    <cellStyle name="Comma 2 2 5 4 4 3 2" xfId="19164" xr:uid="{AC9C9536-EFF6-4937-8AE7-8C4B3B050E6F}"/>
    <cellStyle name="Comma 2 2 5 4 4 3 3" xfId="29580" xr:uid="{543E6A04-0414-4B39-893F-425586ADB957}"/>
    <cellStyle name="Comma 2 2 5 4 4 4" xfId="5000" xr:uid="{00000000-0005-0000-0000-000062040000}"/>
    <cellStyle name="Comma 2 2 5 4 4 4 2" xfId="16586" xr:uid="{9D3B92C5-4DEC-4726-9394-E042459D3E2C}"/>
    <cellStyle name="Comma 2 2 5 4 4 4 3" xfId="27002" xr:uid="{650A5D54-0B67-4ECD-9D06-7DD7072E7CA1}"/>
    <cellStyle name="Comma 2 2 5 4 4 5" xfId="12806" xr:uid="{1C027DF2-E921-4E21-8171-C4F393BF49D1}"/>
    <cellStyle name="Comma 2 2 5 4 4 6" xfId="23222" xr:uid="{3DBCE703-005B-4BCC-B6D5-84CFC5C19F0A}"/>
    <cellStyle name="Comma 2 2 5 4 5" xfId="473" xr:uid="{00000000-0005-0000-0000-000063040000}"/>
    <cellStyle name="Comma 2 2 5 4 5 2" xfId="7620" xr:uid="{00000000-0005-0000-0000-000064040000}"/>
    <cellStyle name="Comma 2 2 5 4 5 2 2" xfId="19166" xr:uid="{B41CDA1D-AA34-48F4-BF48-4CBD8BF245CC}"/>
    <cellStyle name="Comma 2 2 5 4 5 2 3" xfId="29582" xr:uid="{B4108A13-4420-4AEB-9544-9163599C8555}"/>
    <cellStyle name="Comma 2 2 5 4 5 3" xfId="12808" xr:uid="{4AA42AA5-BA11-412F-84D8-76CA86E08AE5}"/>
    <cellStyle name="Comma 2 2 5 4 5 4" xfId="23224" xr:uid="{92EA754E-39A8-4E2F-A367-C061BF21D253}"/>
    <cellStyle name="Comma 2 2 5 4 6" xfId="7611" xr:uid="{00000000-0005-0000-0000-000065040000}"/>
    <cellStyle name="Comma 2 2 5 4 6 2" xfId="19157" xr:uid="{BC3C15B2-C83C-4AAE-8B17-08C0316C440A}"/>
    <cellStyle name="Comma 2 2 5 4 6 3" xfId="29573" xr:uid="{BCDE3328-7657-4F55-BD01-6D57E21D4840}"/>
    <cellStyle name="Comma 2 2 5 4 7" xfId="4996" xr:uid="{00000000-0005-0000-0000-000066040000}"/>
    <cellStyle name="Comma 2 2 5 4 7 2" xfId="16582" xr:uid="{E057CDF3-C7B8-4729-9E00-A868BBD24C78}"/>
    <cellStyle name="Comma 2 2 5 4 7 3" xfId="26998" xr:uid="{00180A38-B46A-4997-9D78-F8E2ADF5AA78}"/>
    <cellStyle name="Comma 2 2 5 4 8" xfId="12799" xr:uid="{71DC5611-CEC3-42AF-8061-4E7C42959BFF}"/>
    <cellStyle name="Comma 2 2 5 4 9" xfId="23215" xr:uid="{B82FD1B7-899E-4034-87FC-0D899249812E}"/>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2 2 2" xfId="19170" xr:uid="{BE5BA856-C6E1-4A16-8522-36A8E2B03282}"/>
    <cellStyle name="Comma 2 2 5 5 2 2 2 2 3" xfId="29586" xr:uid="{793978B1-8B0A-4541-94E0-11BA61ACA8EB}"/>
    <cellStyle name="Comma 2 2 5 5 2 2 2 3" xfId="12812" xr:uid="{7F1AA4D7-7F91-4140-81F0-93493A3FD59D}"/>
    <cellStyle name="Comma 2 2 5 5 2 2 2 4" xfId="23228" xr:uid="{631909D7-C0CD-45B3-8255-8C3B581D7E8F}"/>
    <cellStyle name="Comma 2 2 5 5 2 2 3" xfId="7623" xr:uid="{00000000-0005-0000-0000-00006C040000}"/>
    <cellStyle name="Comma 2 2 5 5 2 2 3 2" xfId="19169" xr:uid="{0DE044BE-3D16-4214-BD9A-78EDF76E8894}"/>
    <cellStyle name="Comma 2 2 5 5 2 2 3 3" xfId="29585" xr:uid="{775A5345-0658-4F29-82B8-1FBDB948CFEE}"/>
    <cellStyle name="Comma 2 2 5 5 2 2 4" xfId="5003" xr:uid="{00000000-0005-0000-0000-00006D040000}"/>
    <cellStyle name="Comma 2 2 5 5 2 2 4 2" xfId="16589" xr:uid="{54B26063-6605-428B-B9E8-0FFC70E794B3}"/>
    <cellStyle name="Comma 2 2 5 5 2 2 4 3" xfId="27005" xr:uid="{36430BD2-2037-43A0-937E-5ACF5312EBB1}"/>
    <cellStyle name="Comma 2 2 5 5 2 2 5" xfId="12811" xr:uid="{614F76E8-D2CE-499C-BE3D-2619FA068A37}"/>
    <cellStyle name="Comma 2 2 5 5 2 2 6" xfId="23227" xr:uid="{AB658277-46D6-43C4-934F-1DF451BADD9F}"/>
    <cellStyle name="Comma 2 2 5 5 2 3" xfId="478" xr:uid="{00000000-0005-0000-0000-00006E040000}"/>
    <cellStyle name="Comma 2 2 5 5 2 3 2" xfId="7625" xr:uid="{00000000-0005-0000-0000-00006F040000}"/>
    <cellStyle name="Comma 2 2 5 5 2 3 2 2" xfId="19171" xr:uid="{26D61D68-390E-4F35-8496-3417DF48B3B3}"/>
    <cellStyle name="Comma 2 2 5 5 2 3 2 3" xfId="29587" xr:uid="{44DD9E24-25B1-4811-AFDC-2551AA97C2BE}"/>
    <cellStyle name="Comma 2 2 5 5 2 3 3" xfId="12813" xr:uid="{84870C39-AFC8-4640-9A5D-B3C14720BE87}"/>
    <cellStyle name="Comma 2 2 5 5 2 3 4" xfId="23229" xr:uid="{E679A021-A296-4D8E-B45C-3DAA06AFB2DD}"/>
    <cellStyle name="Comma 2 2 5 5 2 4" xfId="7622" xr:uid="{00000000-0005-0000-0000-000070040000}"/>
    <cellStyle name="Comma 2 2 5 5 2 4 2" xfId="19168" xr:uid="{F8EDBB08-2885-4C7F-9FC7-5DDB2FA16482}"/>
    <cellStyle name="Comma 2 2 5 5 2 4 3" xfId="29584" xr:uid="{2F231789-E4BD-4D4E-B5CC-E21BBF0D4F84}"/>
    <cellStyle name="Comma 2 2 5 5 2 5" xfId="5002" xr:uid="{00000000-0005-0000-0000-000071040000}"/>
    <cellStyle name="Comma 2 2 5 5 2 5 2" xfId="16588" xr:uid="{580661CB-763D-40E1-B470-EB4C196E7E76}"/>
    <cellStyle name="Comma 2 2 5 5 2 5 3" xfId="27004" xr:uid="{EF5C93BA-D94C-4735-8310-E6C806A7DA67}"/>
    <cellStyle name="Comma 2 2 5 5 2 6" xfId="12810" xr:uid="{46DE8D99-6404-499A-9F12-F9A439B998EE}"/>
    <cellStyle name="Comma 2 2 5 5 2 7" xfId="23226" xr:uid="{38D4A0B4-2472-45CF-AC2A-879BA2378927}"/>
    <cellStyle name="Comma 2 2 5 5 3" xfId="479" xr:uid="{00000000-0005-0000-0000-000072040000}"/>
    <cellStyle name="Comma 2 2 5 5 3 2" xfId="480" xr:uid="{00000000-0005-0000-0000-000073040000}"/>
    <cellStyle name="Comma 2 2 5 5 3 2 2" xfId="7627" xr:uid="{00000000-0005-0000-0000-000074040000}"/>
    <cellStyle name="Comma 2 2 5 5 3 2 2 2" xfId="19173" xr:uid="{EF5945E6-C58F-4D0F-9692-BADA1C37BB62}"/>
    <cellStyle name="Comma 2 2 5 5 3 2 2 3" xfId="29589" xr:uid="{735FBF5F-3CFA-4B11-8814-3395FD711943}"/>
    <cellStyle name="Comma 2 2 5 5 3 2 3" xfId="12815" xr:uid="{53285126-A40F-401E-A1D1-63E060791D5C}"/>
    <cellStyle name="Comma 2 2 5 5 3 2 4" xfId="23231" xr:uid="{B86B104E-BA67-45AE-93FB-E415BE46CDB1}"/>
    <cellStyle name="Comma 2 2 5 5 3 3" xfId="7626" xr:uid="{00000000-0005-0000-0000-000075040000}"/>
    <cellStyle name="Comma 2 2 5 5 3 3 2" xfId="19172" xr:uid="{098F143A-1169-4CD5-9716-17F12DBEAB9D}"/>
    <cellStyle name="Comma 2 2 5 5 3 3 3" xfId="29588" xr:uid="{F694F642-AD83-4CA5-A24B-A814CE639D11}"/>
    <cellStyle name="Comma 2 2 5 5 3 4" xfId="5004" xr:uid="{00000000-0005-0000-0000-000076040000}"/>
    <cellStyle name="Comma 2 2 5 5 3 4 2" xfId="16590" xr:uid="{05D50AFE-9179-4BDD-9E39-968BE3D5CC33}"/>
    <cellStyle name="Comma 2 2 5 5 3 4 3" xfId="27006" xr:uid="{4645FD28-9E80-4F22-BE61-AD1CCA559B37}"/>
    <cellStyle name="Comma 2 2 5 5 3 5" xfId="12814" xr:uid="{5B057169-FF9F-4DF3-A7E3-BBF871B69170}"/>
    <cellStyle name="Comma 2 2 5 5 3 6" xfId="23230" xr:uid="{7CD2E243-02F7-42CE-A071-D3F437D4783D}"/>
    <cellStyle name="Comma 2 2 5 5 4" xfId="481" xr:uid="{00000000-0005-0000-0000-000077040000}"/>
    <cellStyle name="Comma 2 2 5 5 4 2" xfId="482" xr:uid="{00000000-0005-0000-0000-000078040000}"/>
    <cellStyle name="Comma 2 2 5 5 4 2 2" xfId="7629" xr:uid="{00000000-0005-0000-0000-000079040000}"/>
    <cellStyle name="Comma 2 2 5 5 4 2 2 2" xfId="19175" xr:uid="{3639FBB3-3A87-4FF1-AA70-FF9157F2CA7A}"/>
    <cellStyle name="Comma 2 2 5 5 4 2 2 3" xfId="29591" xr:uid="{8E11035F-01D3-4308-B51B-F7AB779E7959}"/>
    <cellStyle name="Comma 2 2 5 5 4 2 3" xfId="12817" xr:uid="{E84C9CBD-B9F3-4055-9527-D155E565B38D}"/>
    <cellStyle name="Comma 2 2 5 5 4 2 4" xfId="23233" xr:uid="{6F5BCCB6-5B00-4ABB-A090-60F0693CF25C}"/>
    <cellStyle name="Comma 2 2 5 5 4 3" xfId="7628" xr:uid="{00000000-0005-0000-0000-00007A040000}"/>
    <cellStyle name="Comma 2 2 5 5 4 3 2" xfId="19174" xr:uid="{849181C1-3075-4E68-9C69-41C3605DFD53}"/>
    <cellStyle name="Comma 2 2 5 5 4 3 3" xfId="29590" xr:uid="{786FDEB4-2173-4CA1-B252-E50C8CCF44DE}"/>
    <cellStyle name="Comma 2 2 5 5 4 4" xfId="5005" xr:uid="{00000000-0005-0000-0000-00007B040000}"/>
    <cellStyle name="Comma 2 2 5 5 4 4 2" xfId="16591" xr:uid="{C9A76131-177D-4D1C-B239-357CF4BD5081}"/>
    <cellStyle name="Comma 2 2 5 5 4 4 3" xfId="27007" xr:uid="{AABE550B-0A74-4574-932A-EB7D8EEE5EDF}"/>
    <cellStyle name="Comma 2 2 5 5 4 5" xfId="12816" xr:uid="{E915359E-D462-48F7-B5D8-071E422C342A}"/>
    <cellStyle name="Comma 2 2 5 5 4 6" xfId="23232" xr:uid="{B06CF434-B537-4D73-B8E5-9E70901E4DC5}"/>
    <cellStyle name="Comma 2 2 5 5 5" xfId="483" xr:uid="{00000000-0005-0000-0000-00007C040000}"/>
    <cellStyle name="Comma 2 2 5 5 5 2" xfId="7630" xr:uid="{00000000-0005-0000-0000-00007D040000}"/>
    <cellStyle name="Comma 2 2 5 5 5 2 2" xfId="19176" xr:uid="{41D224DD-5CDC-4DB5-AB81-8E7B07E68200}"/>
    <cellStyle name="Comma 2 2 5 5 5 2 3" xfId="29592" xr:uid="{AD27214A-60A5-48EA-B659-AE9CBFCD1424}"/>
    <cellStyle name="Comma 2 2 5 5 5 3" xfId="12818" xr:uid="{6EC97F1F-F6E7-4EBD-A84C-AB9FA7DBB6C8}"/>
    <cellStyle name="Comma 2 2 5 5 5 4" xfId="23234" xr:uid="{AC1F2167-E844-4DBD-BAEC-31196E2EE767}"/>
    <cellStyle name="Comma 2 2 5 5 6" xfId="7621" xr:uid="{00000000-0005-0000-0000-00007E040000}"/>
    <cellStyle name="Comma 2 2 5 5 6 2" xfId="19167" xr:uid="{A9612B70-CB4D-4F8E-8CB4-36793DC1EBBB}"/>
    <cellStyle name="Comma 2 2 5 5 6 3" xfId="29583" xr:uid="{7257728E-ED9F-479E-B48B-0D48AF48B209}"/>
    <cellStyle name="Comma 2 2 5 5 7" xfId="5001" xr:uid="{00000000-0005-0000-0000-00007F040000}"/>
    <cellStyle name="Comma 2 2 5 5 7 2" xfId="16587" xr:uid="{332F5262-7614-4394-80EA-B0C6C332AEB1}"/>
    <cellStyle name="Comma 2 2 5 5 7 3" xfId="27003" xr:uid="{A0C1C511-82F5-44C0-863C-7A6E360072B1}"/>
    <cellStyle name="Comma 2 2 5 5 8" xfId="12809" xr:uid="{984AC2AD-FC80-44EE-A6E2-EA152F8D7657}"/>
    <cellStyle name="Comma 2 2 5 5 9" xfId="23225" xr:uid="{B0343829-C6D7-4E54-93F7-32E1361732A9}"/>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2 2 2" xfId="19179" xr:uid="{4A9A5909-8711-4C32-B110-09F247F973E4}"/>
    <cellStyle name="Comma 2 2 5 6 2 2 2 3" xfId="29595" xr:uid="{65C9AC0D-58FA-4054-A596-502C50E0ABD8}"/>
    <cellStyle name="Comma 2 2 5 6 2 2 3" xfId="12821" xr:uid="{5B3D13DC-9192-404D-87ED-28190B8AC378}"/>
    <cellStyle name="Comma 2 2 5 6 2 2 4" xfId="23237" xr:uid="{3BDABADD-C624-44BA-9CBD-DE89CA15160A}"/>
    <cellStyle name="Comma 2 2 5 6 2 3" xfId="7632" xr:uid="{00000000-0005-0000-0000-000084040000}"/>
    <cellStyle name="Comma 2 2 5 6 2 3 2" xfId="19178" xr:uid="{4697EC48-5F27-49F3-AA12-6BE9070EC83B}"/>
    <cellStyle name="Comma 2 2 5 6 2 3 3" xfId="29594" xr:uid="{D1F9DFF1-2902-43F1-BE77-366F794F355F}"/>
    <cellStyle name="Comma 2 2 5 6 2 4" xfId="5007" xr:uid="{00000000-0005-0000-0000-000085040000}"/>
    <cellStyle name="Comma 2 2 5 6 2 4 2" xfId="16593" xr:uid="{A239BE06-9D54-4299-BD40-03C0AE90EC77}"/>
    <cellStyle name="Comma 2 2 5 6 2 4 3" xfId="27009" xr:uid="{DF161760-1CAB-4123-963E-544B18969732}"/>
    <cellStyle name="Comma 2 2 5 6 2 5" xfId="12820" xr:uid="{CAB8527F-7164-40C4-9A2D-DD69EF4DD326}"/>
    <cellStyle name="Comma 2 2 5 6 2 6" xfId="23236" xr:uid="{3E7B2B22-1E6E-4EE6-9734-E78AB4F6E1B3}"/>
    <cellStyle name="Comma 2 2 5 6 3" xfId="487" xr:uid="{00000000-0005-0000-0000-000086040000}"/>
    <cellStyle name="Comma 2 2 5 6 3 2" xfId="488" xr:uid="{00000000-0005-0000-0000-000087040000}"/>
    <cellStyle name="Comma 2 2 5 6 3 2 2" xfId="7635" xr:uid="{00000000-0005-0000-0000-000088040000}"/>
    <cellStyle name="Comma 2 2 5 6 3 2 2 2" xfId="19181" xr:uid="{450E2A14-F908-44BB-AA56-187F67B68824}"/>
    <cellStyle name="Comma 2 2 5 6 3 2 2 3" xfId="29597" xr:uid="{80A1B0E1-CF7F-4EF8-8823-13A0474E62F0}"/>
    <cellStyle name="Comma 2 2 5 6 3 2 3" xfId="12823" xr:uid="{30779CEA-F83F-43A3-B443-80ACB8CEA8D0}"/>
    <cellStyle name="Comma 2 2 5 6 3 2 4" xfId="23239" xr:uid="{7622F18E-30FA-4598-B689-9B206E3D68A4}"/>
    <cellStyle name="Comma 2 2 5 6 3 3" xfId="7634" xr:uid="{00000000-0005-0000-0000-000089040000}"/>
    <cellStyle name="Comma 2 2 5 6 3 3 2" xfId="19180" xr:uid="{48B52918-A487-4B89-915C-34576F4D4B42}"/>
    <cellStyle name="Comma 2 2 5 6 3 3 3" xfId="29596" xr:uid="{AEBAB35C-7BF4-4A55-BA66-3AC9E31692BA}"/>
    <cellStyle name="Comma 2 2 5 6 3 4" xfId="5008" xr:uid="{00000000-0005-0000-0000-00008A040000}"/>
    <cellStyle name="Comma 2 2 5 6 3 4 2" xfId="16594" xr:uid="{08F2FC69-3973-40E2-BA91-342220A323C1}"/>
    <cellStyle name="Comma 2 2 5 6 3 4 3" xfId="27010" xr:uid="{B70B2DD7-89EA-42D8-86C1-650D2FCD475C}"/>
    <cellStyle name="Comma 2 2 5 6 3 5" xfId="12822" xr:uid="{5DA20E52-3A2A-4913-A601-035769545B74}"/>
    <cellStyle name="Comma 2 2 5 6 3 6" xfId="23238" xr:uid="{FAD48F7F-0A4D-480C-868A-91506F6DE93D}"/>
    <cellStyle name="Comma 2 2 5 6 4" xfId="489" xr:uid="{00000000-0005-0000-0000-00008B040000}"/>
    <cellStyle name="Comma 2 2 5 6 4 2" xfId="7636" xr:uid="{00000000-0005-0000-0000-00008C040000}"/>
    <cellStyle name="Comma 2 2 5 6 4 2 2" xfId="19182" xr:uid="{16C4D4D2-DAA2-4617-B1E1-0279FA5C56BA}"/>
    <cellStyle name="Comma 2 2 5 6 4 2 3" xfId="29598" xr:uid="{B593A1AD-E878-4C8F-BA05-9CBE60263CCD}"/>
    <cellStyle name="Comma 2 2 5 6 4 3" xfId="12824" xr:uid="{F529D3CB-108A-4767-BBEE-AB5C5D25E4A8}"/>
    <cellStyle name="Comma 2 2 5 6 4 4" xfId="23240" xr:uid="{7014E983-8375-464D-8759-78672A5E6B76}"/>
    <cellStyle name="Comma 2 2 5 6 5" xfId="7631" xr:uid="{00000000-0005-0000-0000-00008D040000}"/>
    <cellStyle name="Comma 2 2 5 6 5 2" xfId="19177" xr:uid="{7D3EEDFB-0D19-4743-9B56-A2BC0B812552}"/>
    <cellStyle name="Comma 2 2 5 6 5 3" xfId="29593" xr:uid="{BF06D5A7-998E-4BA5-AD3F-C71F7BC9C4DF}"/>
    <cellStyle name="Comma 2 2 5 6 6" xfId="5006" xr:uid="{00000000-0005-0000-0000-00008E040000}"/>
    <cellStyle name="Comma 2 2 5 6 6 2" xfId="16592" xr:uid="{5D57D611-815D-48F6-8F4F-A28DA1CC9646}"/>
    <cellStyle name="Comma 2 2 5 6 6 3" xfId="27008" xr:uid="{2CEA725D-BA7E-4CE4-A213-FFED3A19AECF}"/>
    <cellStyle name="Comma 2 2 5 6 7" xfId="12819" xr:uid="{55DF900D-F4A8-46D6-BBE9-505107D4981D}"/>
    <cellStyle name="Comma 2 2 5 6 8" xfId="23235" xr:uid="{B3CCE8B6-5FE8-417F-A114-87A7E9CB9D7A}"/>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2 2 2" xfId="19185" xr:uid="{DDED8026-9233-4CC2-8A46-2400BD419B04}"/>
    <cellStyle name="Comma 2 2 5 7 2 2 2 3" xfId="29601" xr:uid="{4F538148-3E01-4919-BC93-602170E12190}"/>
    <cellStyle name="Comma 2 2 5 7 2 2 3" xfId="12827" xr:uid="{A8846861-DD53-4A26-8237-85264586C57C}"/>
    <cellStyle name="Comma 2 2 5 7 2 2 4" xfId="23243" xr:uid="{1A0A7F07-FBDE-4439-87D9-1B86AF978A9C}"/>
    <cellStyle name="Comma 2 2 5 7 2 3" xfId="7638" xr:uid="{00000000-0005-0000-0000-000093040000}"/>
    <cellStyle name="Comma 2 2 5 7 2 3 2" xfId="19184" xr:uid="{564D4460-2D34-46C4-ADCC-88780D4CA06F}"/>
    <cellStyle name="Comma 2 2 5 7 2 3 3" xfId="29600" xr:uid="{D585751F-3F95-45A9-A182-D8E58867570D}"/>
    <cellStyle name="Comma 2 2 5 7 2 4" xfId="5010" xr:uid="{00000000-0005-0000-0000-000094040000}"/>
    <cellStyle name="Comma 2 2 5 7 2 4 2" xfId="16596" xr:uid="{CBDDCF03-68A7-460E-B2EB-7A197926AE76}"/>
    <cellStyle name="Comma 2 2 5 7 2 4 3" xfId="27012" xr:uid="{0699A27B-07A9-47CF-BF0F-DEBFF9C98AAA}"/>
    <cellStyle name="Comma 2 2 5 7 2 5" xfId="12826" xr:uid="{4C193238-1D88-4023-9E5D-E458C6D3BB28}"/>
    <cellStyle name="Comma 2 2 5 7 2 6" xfId="23242" xr:uid="{F392447E-A5FE-4783-8656-F71C1F2A409B}"/>
    <cellStyle name="Comma 2 2 5 7 3" xfId="493" xr:uid="{00000000-0005-0000-0000-000095040000}"/>
    <cellStyle name="Comma 2 2 5 7 3 2" xfId="7640" xr:uid="{00000000-0005-0000-0000-000096040000}"/>
    <cellStyle name="Comma 2 2 5 7 3 2 2" xfId="19186" xr:uid="{3FA82C26-4541-4897-9710-1B392F3DD0CB}"/>
    <cellStyle name="Comma 2 2 5 7 3 2 3" xfId="29602" xr:uid="{815A02BD-BC41-456E-A201-833F4F536E63}"/>
    <cellStyle name="Comma 2 2 5 7 3 3" xfId="12828" xr:uid="{8DEB8ED4-2CB5-4963-98A2-815DEA0E0786}"/>
    <cellStyle name="Comma 2 2 5 7 3 4" xfId="23244" xr:uid="{FED9F050-1577-4843-B38C-6A1C5C8CE06A}"/>
    <cellStyle name="Comma 2 2 5 7 4" xfId="7637" xr:uid="{00000000-0005-0000-0000-000097040000}"/>
    <cellStyle name="Comma 2 2 5 7 4 2" xfId="19183" xr:uid="{DA8CC67D-96E2-41D8-92E4-4FD1EDA72370}"/>
    <cellStyle name="Comma 2 2 5 7 4 3" xfId="29599" xr:uid="{009159EF-0122-47C6-9456-9A2D5E287949}"/>
    <cellStyle name="Comma 2 2 5 7 5" xfId="5009" xr:uid="{00000000-0005-0000-0000-000098040000}"/>
    <cellStyle name="Comma 2 2 5 7 5 2" xfId="16595" xr:uid="{00136FDE-737E-4434-AEA7-79F3482C72C0}"/>
    <cellStyle name="Comma 2 2 5 7 5 3" xfId="27011" xr:uid="{282A1205-ACCE-4174-AA8B-510CA6FCB1AB}"/>
    <cellStyle name="Comma 2 2 5 7 6" xfId="12825" xr:uid="{17841478-433B-4330-B377-3127E311ABC6}"/>
    <cellStyle name="Comma 2 2 5 7 7" xfId="23241" xr:uid="{0252D42D-619C-4394-824E-D9792A8FCC04}"/>
    <cellStyle name="Comma 2 2 5 8" xfId="494" xr:uid="{00000000-0005-0000-0000-000099040000}"/>
    <cellStyle name="Comma 2 2 5 8 2" xfId="495" xr:uid="{00000000-0005-0000-0000-00009A040000}"/>
    <cellStyle name="Comma 2 2 5 8 2 2" xfId="7642" xr:uid="{00000000-0005-0000-0000-00009B040000}"/>
    <cellStyle name="Comma 2 2 5 8 2 2 2" xfId="19188" xr:uid="{897FD519-1C95-4C36-9E88-0F9D5B0CFBF9}"/>
    <cellStyle name="Comma 2 2 5 8 2 2 3" xfId="29604" xr:uid="{227A899F-4EF5-4D6F-A11E-D8E4B35F106D}"/>
    <cellStyle name="Comma 2 2 5 8 2 3" xfId="12830" xr:uid="{B8671376-054B-4F9C-A21C-FCE067F84959}"/>
    <cellStyle name="Comma 2 2 5 8 2 4" xfId="23246" xr:uid="{6E788516-E8AE-478F-97C7-F5BB2BE409E6}"/>
    <cellStyle name="Comma 2 2 5 8 3" xfId="7641" xr:uid="{00000000-0005-0000-0000-00009C040000}"/>
    <cellStyle name="Comma 2 2 5 8 3 2" xfId="19187" xr:uid="{089AB74B-62B6-4E2B-8DD5-9F12A7C9393F}"/>
    <cellStyle name="Comma 2 2 5 8 3 3" xfId="29603" xr:uid="{5E30F312-35EC-44CE-96B2-9B695CC0AAB2}"/>
    <cellStyle name="Comma 2 2 5 8 4" xfId="5011" xr:uid="{00000000-0005-0000-0000-00009D040000}"/>
    <cellStyle name="Comma 2 2 5 8 4 2" xfId="16597" xr:uid="{A40CED1E-A357-44F9-BE5C-FD076F1884CC}"/>
    <cellStyle name="Comma 2 2 5 8 4 3" xfId="27013" xr:uid="{D6BB0112-9F62-4081-842E-2A95827070B6}"/>
    <cellStyle name="Comma 2 2 5 8 5" xfId="12829" xr:uid="{72D3D94D-3293-4BFD-BD86-114118C226E0}"/>
    <cellStyle name="Comma 2 2 5 8 6" xfId="23245" xr:uid="{7948649F-F8C0-4EE3-8FE0-F19AA69CBB57}"/>
    <cellStyle name="Comma 2 2 5 9" xfId="496" xr:uid="{00000000-0005-0000-0000-00009E040000}"/>
    <cellStyle name="Comma 2 2 5 9 2" xfId="497" xr:uid="{00000000-0005-0000-0000-00009F040000}"/>
    <cellStyle name="Comma 2 2 5 9 2 2" xfId="7644" xr:uid="{00000000-0005-0000-0000-0000A0040000}"/>
    <cellStyle name="Comma 2 2 5 9 2 2 2" xfId="19190" xr:uid="{197FF97B-433B-467E-A10A-3619E364DE84}"/>
    <cellStyle name="Comma 2 2 5 9 2 2 3" xfId="29606" xr:uid="{07074625-6F2B-4B49-9320-29E1C0C416FC}"/>
    <cellStyle name="Comma 2 2 5 9 2 3" xfId="12832" xr:uid="{06A649AF-F1CF-4C5D-A755-612BA9F37930}"/>
    <cellStyle name="Comma 2 2 5 9 2 4" xfId="23248" xr:uid="{A7213FC7-5614-4DC2-A3B5-1999AA2611FC}"/>
    <cellStyle name="Comma 2 2 5 9 3" xfId="7643" xr:uid="{00000000-0005-0000-0000-0000A1040000}"/>
    <cellStyle name="Comma 2 2 5 9 3 2" xfId="19189" xr:uid="{82A1C44C-8449-4A73-A17A-1C068314E4BA}"/>
    <cellStyle name="Comma 2 2 5 9 3 3" xfId="29605" xr:uid="{1E44C567-D6CA-401D-B5E8-1E280F2DBD74}"/>
    <cellStyle name="Comma 2 2 5 9 4" xfId="5012" xr:uid="{00000000-0005-0000-0000-0000A2040000}"/>
    <cellStyle name="Comma 2 2 5 9 4 2" xfId="16598" xr:uid="{10F9E9E8-E2FC-4094-9314-90CC2AA6AEE9}"/>
    <cellStyle name="Comma 2 2 5 9 4 3" xfId="27014" xr:uid="{24426BFA-5164-4834-94F2-C2AB50856563}"/>
    <cellStyle name="Comma 2 2 5 9 5" xfId="12831" xr:uid="{07E36349-FDA9-4764-B9B8-D34AD363A6C6}"/>
    <cellStyle name="Comma 2 2 5 9 6" xfId="23247" xr:uid="{6192BD68-62C3-4E01-B5B1-D088D4ED15E1}"/>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2 2 2" xfId="19194" xr:uid="{BEAAD1A9-6EF9-4D10-A50D-77CF7762F934}"/>
    <cellStyle name="Comma 2 2 6 2 2 2 2 3" xfId="29610" xr:uid="{85215174-EA96-4E36-A2E6-3A6C49DB03E4}"/>
    <cellStyle name="Comma 2 2 6 2 2 2 3" xfId="12836" xr:uid="{0CEDAC5B-331C-4D2E-800D-C2E7793A2E4B}"/>
    <cellStyle name="Comma 2 2 6 2 2 2 4" xfId="23252" xr:uid="{B1D90499-6DF3-4263-B4E4-DCAC8590CCD4}"/>
    <cellStyle name="Comma 2 2 6 2 2 3" xfId="7647" xr:uid="{00000000-0005-0000-0000-0000A8040000}"/>
    <cellStyle name="Comma 2 2 6 2 2 3 2" xfId="19193" xr:uid="{5CE0CFAD-3A7A-408C-BA94-6CFC5CF70AAA}"/>
    <cellStyle name="Comma 2 2 6 2 2 3 3" xfId="29609" xr:uid="{E2A11D93-62F3-4885-ABD4-905117ACDC47}"/>
    <cellStyle name="Comma 2 2 6 2 2 4" xfId="5015" xr:uid="{00000000-0005-0000-0000-0000A9040000}"/>
    <cellStyle name="Comma 2 2 6 2 2 4 2" xfId="16601" xr:uid="{EDDC13D1-8333-490F-B330-C01937BECC23}"/>
    <cellStyle name="Comma 2 2 6 2 2 4 3" xfId="27017" xr:uid="{AA34C059-88A7-4EF8-B84B-18514DB339E4}"/>
    <cellStyle name="Comma 2 2 6 2 2 5" xfId="12835" xr:uid="{85192536-F2DC-4052-A778-84B6C18787AC}"/>
    <cellStyle name="Comma 2 2 6 2 2 6" xfId="23251" xr:uid="{C04078F0-447A-4BC8-8D55-07EFB46716D5}"/>
    <cellStyle name="Comma 2 2 6 2 3" xfId="502" xr:uid="{00000000-0005-0000-0000-0000AA040000}"/>
    <cellStyle name="Comma 2 2 6 2 3 2" xfId="7649" xr:uid="{00000000-0005-0000-0000-0000AB040000}"/>
    <cellStyle name="Comma 2 2 6 2 3 2 2" xfId="19195" xr:uid="{259929BE-8BE0-4BB9-8049-68333A2C0B5E}"/>
    <cellStyle name="Comma 2 2 6 2 3 2 3" xfId="29611" xr:uid="{23AD3C3F-C4F7-4C32-A86D-8C42F75933F2}"/>
    <cellStyle name="Comma 2 2 6 2 3 3" xfId="12837" xr:uid="{A4D19212-7E6F-46E6-B3A4-57E8C998216B}"/>
    <cellStyle name="Comma 2 2 6 2 3 4" xfId="23253" xr:uid="{FEAEA89C-9EB7-407A-8EAF-A9D3F19AFC90}"/>
    <cellStyle name="Comma 2 2 6 2 4" xfId="7646" xr:uid="{00000000-0005-0000-0000-0000AC040000}"/>
    <cellStyle name="Comma 2 2 6 2 4 2" xfId="19192" xr:uid="{6ACF060D-EB15-4495-80CF-C95240BC4E37}"/>
    <cellStyle name="Comma 2 2 6 2 4 3" xfId="29608" xr:uid="{3B149026-592A-4E1E-B42A-0DFCA1BC67BD}"/>
    <cellStyle name="Comma 2 2 6 2 5" xfId="5014" xr:uid="{00000000-0005-0000-0000-0000AD040000}"/>
    <cellStyle name="Comma 2 2 6 2 5 2" xfId="16600" xr:uid="{8DD18A6D-7AA5-4791-B2A8-633D2135C0B3}"/>
    <cellStyle name="Comma 2 2 6 2 5 3" xfId="27016" xr:uid="{6460176C-B453-4B99-B042-3F7C3D20DA56}"/>
    <cellStyle name="Comma 2 2 6 2 6" xfId="12834" xr:uid="{4338783D-550D-4F06-9D52-5A1C19F381F8}"/>
    <cellStyle name="Comma 2 2 6 2 7" xfId="23250" xr:uid="{2ACB32F8-EA91-4AE8-B6EC-D5DFDC43DB67}"/>
    <cellStyle name="Comma 2 2 6 3" xfId="503" xr:uid="{00000000-0005-0000-0000-0000AE040000}"/>
    <cellStyle name="Comma 2 2 6 3 2" xfId="504" xr:uid="{00000000-0005-0000-0000-0000AF040000}"/>
    <cellStyle name="Comma 2 2 6 3 2 2" xfId="7651" xr:uid="{00000000-0005-0000-0000-0000B0040000}"/>
    <cellStyle name="Comma 2 2 6 3 2 2 2" xfId="19197" xr:uid="{111625DE-4E22-4E3C-A6D8-1696634C09CF}"/>
    <cellStyle name="Comma 2 2 6 3 2 2 3" xfId="29613" xr:uid="{9429C460-A19B-456A-8002-C50348F03924}"/>
    <cellStyle name="Comma 2 2 6 3 2 3" xfId="12839" xr:uid="{1B20322B-8C20-4DC2-BFB8-C79C5EF9EEF6}"/>
    <cellStyle name="Comma 2 2 6 3 2 4" xfId="23255" xr:uid="{FCFEB991-D1CC-477C-96AB-D9C1E13F223A}"/>
    <cellStyle name="Comma 2 2 6 3 3" xfId="7650" xr:uid="{00000000-0005-0000-0000-0000B1040000}"/>
    <cellStyle name="Comma 2 2 6 3 3 2" xfId="19196" xr:uid="{B614DF81-019F-4D33-9741-002D8BD012C3}"/>
    <cellStyle name="Comma 2 2 6 3 3 3" xfId="29612" xr:uid="{520221A4-9D79-4C58-9660-6CB7E769254F}"/>
    <cellStyle name="Comma 2 2 6 3 4" xfId="5016" xr:uid="{00000000-0005-0000-0000-0000B2040000}"/>
    <cellStyle name="Comma 2 2 6 3 4 2" xfId="16602" xr:uid="{353CBE3C-C711-4369-B1BB-F2F5B900DC50}"/>
    <cellStyle name="Comma 2 2 6 3 4 3" xfId="27018" xr:uid="{CEFBC04D-B5FE-4993-9E1D-D037B1724D83}"/>
    <cellStyle name="Comma 2 2 6 3 5" xfId="12838" xr:uid="{93347A9E-2ED7-4455-9115-8FC9D9A77DEE}"/>
    <cellStyle name="Comma 2 2 6 3 6" xfId="23254" xr:uid="{2E128319-85B4-4669-87AB-203088FD6DB5}"/>
    <cellStyle name="Comma 2 2 6 4" xfId="505" xr:uid="{00000000-0005-0000-0000-0000B3040000}"/>
    <cellStyle name="Comma 2 2 6 4 2" xfId="506" xr:uid="{00000000-0005-0000-0000-0000B4040000}"/>
    <cellStyle name="Comma 2 2 6 4 2 2" xfId="7653" xr:uid="{00000000-0005-0000-0000-0000B5040000}"/>
    <cellStyle name="Comma 2 2 6 4 2 2 2" xfId="19199" xr:uid="{6088433B-263C-49D3-BF4C-ADECA8542A8F}"/>
    <cellStyle name="Comma 2 2 6 4 2 2 3" xfId="29615" xr:uid="{211065D0-6FE9-4995-A19F-C6038D607235}"/>
    <cellStyle name="Comma 2 2 6 4 2 3" xfId="12841" xr:uid="{7BFC4224-7BD6-4199-93DD-7EFE2C540F56}"/>
    <cellStyle name="Comma 2 2 6 4 2 4" xfId="23257" xr:uid="{7EE09FC0-6753-40EA-8A94-43F3F0B4E48F}"/>
    <cellStyle name="Comma 2 2 6 4 3" xfId="7652" xr:uid="{00000000-0005-0000-0000-0000B6040000}"/>
    <cellStyle name="Comma 2 2 6 4 3 2" xfId="19198" xr:uid="{FAD2DE94-7EA3-4F4D-8003-B80D9836FCAF}"/>
    <cellStyle name="Comma 2 2 6 4 3 3" xfId="29614" xr:uid="{C515AAC8-B710-4B1B-8A51-4A05DBB4EC72}"/>
    <cellStyle name="Comma 2 2 6 4 4" xfId="5017" xr:uid="{00000000-0005-0000-0000-0000B7040000}"/>
    <cellStyle name="Comma 2 2 6 4 4 2" xfId="16603" xr:uid="{67FB50EA-822E-443A-B40E-C304A2B96F70}"/>
    <cellStyle name="Comma 2 2 6 4 4 3" xfId="27019" xr:uid="{5ACE1ABD-4EBC-4E47-8E0D-49CC9454621A}"/>
    <cellStyle name="Comma 2 2 6 4 5" xfId="12840" xr:uid="{EA6465CA-9DB0-4BDF-BD80-D4F24E1AF273}"/>
    <cellStyle name="Comma 2 2 6 4 6" xfId="23256" xr:uid="{AC98F394-BDBC-41FD-B6AF-0B6FC0A1ED95}"/>
    <cellStyle name="Comma 2 2 6 5" xfId="507" xr:uid="{00000000-0005-0000-0000-0000B8040000}"/>
    <cellStyle name="Comma 2 2 6 5 2" xfId="7654" xr:uid="{00000000-0005-0000-0000-0000B9040000}"/>
    <cellStyle name="Comma 2 2 6 5 2 2" xfId="19200" xr:uid="{ACAF06EC-2EA0-4508-9504-86204C5D223A}"/>
    <cellStyle name="Comma 2 2 6 5 2 3" xfId="29616" xr:uid="{1FA22EC8-3417-48EC-9BB5-2BBCA21A416F}"/>
    <cellStyle name="Comma 2 2 6 5 3" xfId="12842" xr:uid="{A5A8ECC6-419F-4033-AC15-1F6420AD3860}"/>
    <cellStyle name="Comma 2 2 6 5 4" xfId="23258" xr:uid="{C0D38E7D-6D99-48C4-9A4D-30317AE7667C}"/>
    <cellStyle name="Comma 2 2 6 6" xfId="7645" xr:uid="{00000000-0005-0000-0000-0000BA040000}"/>
    <cellStyle name="Comma 2 2 6 6 2" xfId="19191" xr:uid="{A1309A82-E3B1-47C7-8EAA-92DC2CF8ACD0}"/>
    <cellStyle name="Comma 2 2 6 6 3" xfId="29607" xr:uid="{A3A20C03-32C9-42A2-A525-9A81FD0F6AC4}"/>
    <cellStyle name="Comma 2 2 6 7" xfId="5013" xr:uid="{00000000-0005-0000-0000-0000BB040000}"/>
    <cellStyle name="Comma 2 2 6 7 2" xfId="16599" xr:uid="{8213A9EC-0917-4E75-A3BA-77656E8C01C5}"/>
    <cellStyle name="Comma 2 2 6 7 3" xfId="27015" xr:uid="{70F21313-F372-41C3-A955-D8020A51C43E}"/>
    <cellStyle name="Comma 2 2 6 8" xfId="12833" xr:uid="{A287AE13-49F7-46F5-A389-75799FBECB60}"/>
    <cellStyle name="Comma 2 2 6 9" xfId="23249" xr:uid="{394D85E5-6CB8-4C0D-B0E1-1B4081E2BBD4}"/>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2 2 2" xfId="19204" xr:uid="{07DFBFE1-D3C0-4B19-8EE5-DAB1ED7D59E6}"/>
    <cellStyle name="Comma 2 2 7 2 2 2 2 3" xfId="29620" xr:uid="{4461556B-DCC8-4191-A350-1A455E8376CA}"/>
    <cellStyle name="Comma 2 2 7 2 2 2 3" xfId="12846" xr:uid="{B7BB7754-3F02-4D4B-AB49-324F0E6F0AAB}"/>
    <cellStyle name="Comma 2 2 7 2 2 2 4" xfId="23262" xr:uid="{BD59245D-9A55-4F3F-A892-8A912ECDE6DD}"/>
    <cellStyle name="Comma 2 2 7 2 2 3" xfId="7657" xr:uid="{00000000-0005-0000-0000-0000C1040000}"/>
    <cellStyle name="Comma 2 2 7 2 2 3 2" xfId="19203" xr:uid="{B7AACADC-E51F-4C15-85B0-FEDCA1504ABF}"/>
    <cellStyle name="Comma 2 2 7 2 2 3 3" xfId="29619" xr:uid="{744C27B0-299F-4B81-B437-07E4B55C2EFC}"/>
    <cellStyle name="Comma 2 2 7 2 2 4" xfId="5020" xr:uid="{00000000-0005-0000-0000-0000C2040000}"/>
    <cellStyle name="Comma 2 2 7 2 2 4 2" xfId="16606" xr:uid="{F5D93CBE-777A-4DF5-9380-7A26B4358FD7}"/>
    <cellStyle name="Comma 2 2 7 2 2 4 3" xfId="27022" xr:uid="{F30804BD-2F73-44BA-9715-21B867461E98}"/>
    <cellStyle name="Comma 2 2 7 2 2 5" xfId="12845" xr:uid="{2BB849F3-041A-4F66-82B6-9D2549D74CE5}"/>
    <cellStyle name="Comma 2 2 7 2 2 6" xfId="23261" xr:uid="{D1857E6E-3690-4257-817F-6B2A8DAAEA3F}"/>
    <cellStyle name="Comma 2 2 7 2 3" xfId="512" xr:uid="{00000000-0005-0000-0000-0000C3040000}"/>
    <cellStyle name="Comma 2 2 7 2 3 2" xfId="7659" xr:uid="{00000000-0005-0000-0000-0000C4040000}"/>
    <cellStyle name="Comma 2 2 7 2 3 2 2" xfId="19205" xr:uid="{D4A8895A-423C-4B47-A630-AB404113883B}"/>
    <cellStyle name="Comma 2 2 7 2 3 2 3" xfId="29621" xr:uid="{23A27878-4C0E-47D8-9FCB-F2F3DA685CB5}"/>
    <cellStyle name="Comma 2 2 7 2 3 3" xfId="12847" xr:uid="{94131D6C-8B6D-4742-AAF5-9656081C1C1A}"/>
    <cellStyle name="Comma 2 2 7 2 3 4" xfId="23263" xr:uid="{0AA679E0-3D8C-4A95-961D-185B0A7A9B18}"/>
    <cellStyle name="Comma 2 2 7 2 4" xfId="7656" xr:uid="{00000000-0005-0000-0000-0000C5040000}"/>
    <cellStyle name="Comma 2 2 7 2 4 2" xfId="19202" xr:uid="{7306AE5B-0EC7-4679-B9D2-25093664CFBE}"/>
    <cellStyle name="Comma 2 2 7 2 4 3" xfId="29618" xr:uid="{A51F3E38-1617-41EC-AC8F-BA08E8B78828}"/>
    <cellStyle name="Comma 2 2 7 2 5" xfId="5019" xr:uid="{00000000-0005-0000-0000-0000C6040000}"/>
    <cellStyle name="Comma 2 2 7 2 5 2" xfId="16605" xr:uid="{15557A7C-E8AF-4E37-93BD-B1E1E18C10F8}"/>
    <cellStyle name="Comma 2 2 7 2 5 3" xfId="27021" xr:uid="{0596B6BD-377A-4069-8590-2276EB129BED}"/>
    <cellStyle name="Comma 2 2 7 2 6" xfId="12844" xr:uid="{07066AE5-D1F2-4405-B683-7B599A948E2F}"/>
    <cellStyle name="Comma 2 2 7 2 7" xfId="23260" xr:uid="{95A9486F-7E1B-444C-9492-2041860AF741}"/>
    <cellStyle name="Comma 2 2 7 3" xfId="513" xr:uid="{00000000-0005-0000-0000-0000C7040000}"/>
    <cellStyle name="Comma 2 2 7 3 2" xfId="514" xr:uid="{00000000-0005-0000-0000-0000C8040000}"/>
    <cellStyle name="Comma 2 2 7 3 2 2" xfId="7661" xr:uid="{00000000-0005-0000-0000-0000C9040000}"/>
    <cellStyle name="Comma 2 2 7 3 2 2 2" xfId="19207" xr:uid="{875E3852-CFF6-40D6-98E0-38CAE0FE9DAE}"/>
    <cellStyle name="Comma 2 2 7 3 2 2 3" xfId="29623" xr:uid="{843D5A68-FFB5-46C0-874D-99F69C7D4D54}"/>
    <cellStyle name="Comma 2 2 7 3 2 3" xfId="12849" xr:uid="{1F52229C-C384-4E96-8860-C478566DAE9F}"/>
    <cellStyle name="Comma 2 2 7 3 2 4" xfId="23265" xr:uid="{4127CABB-5175-4BAB-82D3-8A5EA8F3236D}"/>
    <cellStyle name="Comma 2 2 7 3 3" xfId="7660" xr:uid="{00000000-0005-0000-0000-0000CA040000}"/>
    <cellStyle name="Comma 2 2 7 3 3 2" xfId="19206" xr:uid="{4F7B1419-AD36-48CC-AAAE-DA8671B58094}"/>
    <cellStyle name="Comma 2 2 7 3 3 3" xfId="29622" xr:uid="{2713A43B-3702-46E5-B088-1BDDB58B39B0}"/>
    <cellStyle name="Comma 2 2 7 3 4" xfId="5021" xr:uid="{00000000-0005-0000-0000-0000CB040000}"/>
    <cellStyle name="Comma 2 2 7 3 4 2" xfId="16607" xr:uid="{E399A0A5-4DCF-4631-82A2-446F13293066}"/>
    <cellStyle name="Comma 2 2 7 3 4 3" xfId="27023" xr:uid="{90DB30D8-0EBF-4352-9A82-FC64F6D0F59A}"/>
    <cellStyle name="Comma 2 2 7 3 5" xfId="12848" xr:uid="{3241CF8C-4B42-4B5C-B079-7C41CC1207A6}"/>
    <cellStyle name="Comma 2 2 7 3 6" xfId="23264" xr:uid="{42830AB7-AF39-44A6-8CDC-D69A5D3F099B}"/>
    <cellStyle name="Comma 2 2 7 4" xfId="515" xr:uid="{00000000-0005-0000-0000-0000CC040000}"/>
    <cellStyle name="Comma 2 2 7 4 2" xfId="516" xr:uid="{00000000-0005-0000-0000-0000CD040000}"/>
    <cellStyle name="Comma 2 2 7 4 2 2" xfId="7663" xr:uid="{00000000-0005-0000-0000-0000CE040000}"/>
    <cellStyle name="Comma 2 2 7 4 2 2 2" xfId="19209" xr:uid="{C9C2D2B0-99DF-46E1-8E95-CDF1AAF00F22}"/>
    <cellStyle name="Comma 2 2 7 4 2 2 3" xfId="29625" xr:uid="{AB278D6A-0A8A-4FD1-A2F6-AAEE007ECC14}"/>
    <cellStyle name="Comma 2 2 7 4 2 3" xfId="12851" xr:uid="{6C717439-7153-41EA-AA95-D7958FBF700D}"/>
    <cellStyle name="Comma 2 2 7 4 2 4" xfId="23267" xr:uid="{76F77A14-52C3-41E5-9799-AF7D083E8E2F}"/>
    <cellStyle name="Comma 2 2 7 4 3" xfId="7662" xr:uid="{00000000-0005-0000-0000-0000CF040000}"/>
    <cellStyle name="Comma 2 2 7 4 3 2" xfId="19208" xr:uid="{62BAD497-896A-4000-9E68-0D5614C458D2}"/>
    <cellStyle name="Comma 2 2 7 4 3 3" xfId="29624" xr:uid="{463FCD73-6975-4FA0-AFC1-511E2E97053E}"/>
    <cellStyle name="Comma 2 2 7 4 4" xfId="5022" xr:uid="{00000000-0005-0000-0000-0000D0040000}"/>
    <cellStyle name="Comma 2 2 7 4 4 2" xfId="16608" xr:uid="{8A5CAE00-8BD8-479E-83E2-57D274D33755}"/>
    <cellStyle name="Comma 2 2 7 4 4 3" xfId="27024" xr:uid="{CE610DD2-5777-4320-9F4A-5B70B82C083D}"/>
    <cellStyle name="Comma 2 2 7 4 5" xfId="12850" xr:uid="{93D36D88-8F3B-4FA2-9EBD-C5449E1C6FA2}"/>
    <cellStyle name="Comma 2 2 7 4 6" xfId="23266" xr:uid="{9D5D3A58-21D0-46B1-9848-576CBDD14C9A}"/>
    <cellStyle name="Comma 2 2 7 5" xfId="517" xr:uid="{00000000-0005-0000-0000-0000D1040000}"/>
    <cellStyle name="Comma 2 2 7 5 2" xfId="7664" xr:uid="{00000000-0005-0000-0000-0000D2040000}"/>
    <cellStyle name="Comma 2 2 7 5 2 2" xfId="19210" xr:uid="{AB9FCE96-EFF2-4C39-8865-1D73261F6F29}"/>
    <cellStyle name="Comma 2 2 7 5 2 3" xfId="29626" xr:uid="{3CAF4950-FBC6-4644-8584-E680FD095CE3}"/>
    <cellStyle name="Comma 2 2 7 5 3" xfId="12852" xr:uid="{351F0B61-17CA-430C-A9B6-D12F4DE12A60}"/>
    <cellStyle name="Comma 2 2 7 5 4" xfId="23268" xr:uid="{2979028B-68BB-4E1B-A27E-42BAFAAD0B22}"/>
    <cellStyle name="Comma 2 2 7 6" xfId="7655" xr:uid="{00000000-0005-0000-0000-0000D3040000}"/>
    <cellStyle name="Comma 2 2 7 6 2" xfId="19201" xr:uid="{FE45BB04-BA0D-4DA3-BA49-771B99230571}"/>
    <cellStyle name="Comma 2 2 7 6 3" xfId="29617" xr:uid="{9DB91741-CF62-45A9-BF7A-23502FDA75F5}"/>
    <cellStyle name="Comma 2 2 7 7" xfId="5018" xr:uid="{00000000-0005-0000-0000-0000D4040000}"/>
    <cellStyle name="Comma 2 2 7 7 2" xfId="16604" xr:uid="{FE80D7EF-5CF9-4971-9365-5C803FDB54EC}"/>
    <cellStyle name="Comma 2 2 7 7 3" xfId="27020" xr:uid="{4B4CF05C-E4FD-4DA4-9619-123C32CC10AD}"/>
    <cellStyle name="Comma 2 2 7 8" xfId="12843" xr:uid="{69155025-DD5C-49C3-A47A-3CEECCF9D113}"/>
    <cellStyle name="Comma 2 2 7 9" xfId="23259" xr:uid="{E48DC6C8-6738-4220-9932-C42DF5AA2BD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2 2 2" xfId="19214" xr:uid="{ECEF587E-51DA-4209-B489-E25C8CA45423}"/>
    <cellStyle name="Comma 2 2 8 2 2 2 2 3" xfId="29630" xr:uid="{D845049E-DC0D-4896-96FD-AA92ADE73F35}"/>
    <cellStyle name="Comma 2 2 8 2 2 2 3" xfId="12856" xr:uid="{3AB60E60-EC31-4E22-A8A5-3EBA1E436BE6}"/>
    <cellStyle name="Comma 2 2 8 2 2 2 4" xfId="23272" xr:uid="{601188E4-9E0A-4920-B9AE-7ACE1816C171}"/>
    <cellStyle name="Comma 2 2 8 2 2 3" xfId="7667" xr:uid="{00000000-0005-0000-0000-0000DA040000}"/>
    <cellStyle name="Comma 2 2 8 2 2 3 2" xfId="19213" xr:uid="{0AB04939-6548-44BE-995F-795C1DB72404}"/>
    <cellStyle name="Comma 2 2 8 2 2 3 3" xfId="29629" xr:uid="{49A9B114-9379-4246-AB3A-9A3886C4E0E6}"/>
    <cellStyle name="Comma 2 2 8 2 2 4" xfId="5025" xr:uid="{00000000-0005-0000-0000-0000DB040000}"/>
    <cellStyle name="Comma 2 2 8 2 2 4 2" xfId="16611" xr:uid="{0AB0D9D6-42FD-4BDE-B59E-18298BAD7021}"/>
    <cellStyle name="Comma 2 2 8 2 2 4 3" xfId="27027" xr:uid="{F672EDE9-CCCF-4190-8561-FF8248CA88A0}"/>
    <cellStyle name="Comma 2 2 8 2 2 5" xfId="12855" xr:uid="{C9ABCCC5-EF86-408D-B87D-A5BA9AF7FF0C}"/>
    <cellStyle name="Comma 2 2 8 2 2 6" xfId="23271" xr:uid="{46DA40F9-5B97-4C3C-87CC-5C0595ABCCBB}"/>
    <cellStyle name="Comma 2 2 8 2 3" xfId="522" xr:uid="{00000000-0005-0000-0000-0000DC040000}"/>
    <cellStyle name="Comma 2 2 8 2 3 2" xfId="7669" xr:uid="{00000000-0005-0000-0000-0000DD040000}"/>
    <cellStyle name="Comma 2 2 8 2 3 2 2" xfId="19215" xr:uid="{6D4F1B67-4E2D-45A7-91BD-9AFD85BC2343}"/>
    <cellStyle name="Comma 2 2 8 2 3 2 3" xfId="29631" xr:uid="{2834A8CD-AAE1-4AD5-AD28-B368A37C9D8F}"/>
    <cellStyle name="Comma 2 2 8 2 3 3" xfId="12857" xr:uid="{1B005CDE-2117-4986-B2E4-583B92AF911E}"/>
    <cellStyle name="Comma 2 2 8 2 3 4" xfId="23273" xr:uid="{82CA23B3-8754-4636-84E0-9703FF9A7FF7}"/>
    <cellStyle name="Comma 2 2 8 2 4" xfId="7666" xr:uid="{00000000-0005-0000-0000-0000DE040000}"/>
    <cellStyle name="Comma 2 2 8 2 4 2" xfId="19212" xr:uid="{98E68A80-F80A-4687-83CC-0A5F3C53BE63}"/>
    <cellStyle name="Comma 2 2 8 2 4 3" xfId="29628" xr:uid="{C49B8604-43AA-4BA3-A694-3A0DE9339738}"/>
    <cellStyle name="Comma 2 2 8 2 5" xfId="5024" xr:uid="{00000000-0005-0000-0000-0000DF040000}"/>
    <cellStyle name="Comma 2 2 8 2 5 2" xfId="16610" xr:uid="{256F4695-5AA7-46DB-8669-97A82F9E6953}"/>
    <cellStyle name="Comma 2 2 8 2 5 3" xfId="27026" xr:uid="{E57F4A57-BA84-4DA5-B371-46D88E59B199}"/>
    <cellStyle name="Comma 2 2 8 2 6" xfId="12854" xr:uid="{85D46731-19A1-45FA-BE82-241B11EB615F}"/>
    <cellStyle name="Comma 2 2 8 2 7" xfId="23270" xr:uid="{124F96B0-AAB8-45FB-9A52-203C164BECFE}"/>
    <cellStyle name="Comma 2 2 8 3" xfId="523" xr:uid="{00000000-0005-0000-0000-0000E0040000}"/>
    <cellStyle name="Comma 2 2 8 3 2" xfId="524" xr:uid="{00000000-0005-0000-0000-0000E1040000}"/>
    <cellStyle name="Comma 2 2 8 3 2 2" xfId="7671" xr:uid="{00000000-0005-0000-0000-0000E2040000}"/>
    <cellStyle name="Comma 2 2 8 3 2 2 2" xfId="19217" xr:uid="{EB8C9B10-D60E-4928-A96E-9FEC5A106558}"/>
    <cellStyle name="Comma 2 2 8 3 2 2 3" xfId="29633" xr:uid="{BE4CF791-40AF-44E4-896A-5C7C725C06D8}"/>
    <cellStyle name="Comma 2 2 8 3 2 3" xfId="12859" xr:uid="{005399B6-1470-4C04-99C7-8BF5080E14AF}"/>
    <cellStyle name="Comma 2 2 8 3 2 4" xfId="23275" xr:uid="{30AD8413-D173-497C-8E2A-E7EDD6431065}"/>
    <cellStyle name="Comma 2 2 8 3 3" xfId="7670" xr:uid="{00000000-0005-0000-0000-0000E3040000}"/>
    <cellStyle name="Comma 2 2 8 3 3 2" xfId="19216" xr:uid="{6E021148-4063-4C1C-B9D4-E90ECF499B7D}"/>
    <cellStyle name="Comma 2 2 8 3 3 3" xfId="29632" xr:uid="{0A2A6745-2B79-4B75-8EC4-C6DCE6D4BBE2}"/>
    <cellStyle name="Comma 2 2 8 3 4" xfId="5026" xr:uid="{00000000-0005-0000-0000-0000E4040000}"/>
    <cellStyle name="Comma 2 2 8 3 4 2" xfId="16612" xr:uid="{BAB8D901-69E7-459B-B7EF-DF480133C493}"/>
    <cellStyle name="Comma 2 2 8 3 4 3" xfId="27028" xr:uid="{8858D219-2FC9-4784-849F-363E2D6E4F18}"/>
    <cellStyle name="Comma 2 2 8 3 5" xfId="12858" xr:uid="{C2427204-1423-44D1-8D23-31B2E0CF8BFD}"/>
    <cellStyle name="Comma 2 2 8 3 6" xfId="23274" xr:uid="{1E76444E-DB8B-47E0-BA94-C4861F1F848F}"/>
    <cellStyle name="Comma 2 2 8 4" xfId="525" xr:uid="{00000000-0005-0000-0000-0000E5040000}"/>
    <cellStyle name="Comma 2 2 8 4 2" xfId="526" xr:uid="{00000000-0005-0000-0000-0000E6040000}"/>
    <cellStyle name="Comma 2 2 8 4 2 2" xfId="7673" xr:uid="{00000000-0005-0000-0000-0000E7040000}"/>
    <cellStyle name="Comma 2 2 8 4 2 2 2" xfId="19219" xr:uid="{0F3615A2-875C-42EE-8B4D-078114F72881}"/>
    <cellStyle name="Comma 2 2 8 4 2 2 3" xfId="29635" xr:uid="{30F3A877-26AE-4CB3-BBFE-CED91D12DE93}"/>
    <cellStyle name="Comma 2 2 8 4 2 3" xfId="12861" xr:uid="{7C0BFD30-A234-4243-9972-8EFED180AE2F}"/>
    <cellStyle name="Comma 2 2 8 4 2 4" xfId="23277" xr:uid="{93EFB5C1-715D-4347-B696-D69BDD0BEBBC}"/>
    <cellStyle name="Comma 2 2 8 4 3" xfId="7672" xr:uid="{00000000-0005-0000-0000-0000E8040000}"/>
    <cellStyle name="Comma 2 2 8 4 3 2" xfId="19218" xr:uid="{3839F3E0-4F0E-4067-A0D0-823DFA64512D}"/>
    <cellStyle name="Comma 2 2 8 4 3 3" xfId="29634" xr:uid="{D0D579DE-2619-4F55-8F14-C2152F52E6D7}"/>
    <cellStyle name="Comma 2 2 8 4 4" xfId="5027" xr:uid="{00000000-0005-0000-0000-0000E9040000}"/>
    <cellStyle name="Comma 2 2 8 4 4 2" xfId="16613" xr:uid="{D5DC1567-4697-420E-ADA7-FBC5AA9AB682}"/>
    <cellStyle name="Comma 2 2 8 4 4 3" xfId="27029" xr:uid="{C52ED4EA-4F82-4570-B07C-64F7D965A097}"/>
    <cellStyle name="Comma 2 2 8 4 5" xfId="12860" xr:uid="{7243F925-7846-49D2-A3CE-CB416BD0204A}"/>
    <cellStyle name="Comma 2 2 8 4 6" xfId="23276" xr:uid="{3E433DD4-56D3-48A9-A3F7-2459EADCC715}"/>
    <cellStyle name="Comma 2 2 8 5" xfId="527" xr:uid="{00000000-0005-0000-0000-0000EA040000}"/>
    <cellStyle name="Comma 2 2 8 5 2" xfId="7674" xr:uid="{00000000-0005-0000-0000-0000EB040000}"/>
    <cellStyle name="Comma 2 2 8 5 2 2" xfId="19220" xr:uid="{FA6C1893-91B9-4A55-8E53-661C208D8AF1}"/>
    <cellStyle name="Comma 2 2 8 5 2 3" xfId="29636" xr:uid="{9862BC87-9D9A-406C-909D-2113C7C6DEDE}"/>
    <cellStyle name="Comma 2 2 8 5 3" xfId="12862" xr:uid="{54D7D0FF-3EE9-42AA-8B51-68EA7712D07F}"/>
    <cellStyle name="Comma 2 2 8 5 4" xfId="23278" xr:uid="{88BA3F5A-7B4A-4EF4-A039-A52216E939D3}"/>
    <cellStyle name="Comma 2 2 8 6" xfId="7665" xr:uid="{00000000-0005-0000-0000-0000EC040000}"/>
    <cellStyle name="Comma 2 2 8 6 2" xfId="19211" xr:uid="{A2C55353-B8C0-4E6A-9EA5-2BC247107CCA}"/>
    <cellStyle name="Comma 2 2 8 6 3" xfId="29627" xr:uid="{703600BB-181D-4FB9-B414-0B05418F1F59}"/>
    <cellStyle name="Comma 2 2 8 7" xfId="5023" xr:uid="{00000000-0005-0000-0000-0000ED040000}"/>
    <cellStyle name="Comma 2 2 8 7 2" xfId="16609" xr:uid="{F4B09A54-927B-41B0-A659-FE7102CB5768}"/>
    <cellStyle name="Comma 2 2 8 7 3" xfId="27025" xr:uid="{FC88D422-D8E0-489E-AB20-3F75D571ABBB}"/>
    <cellStyle name="Comma 2 2 8 8" xfId="12853" xr:uid="{94987689-0A8F-431F-ACFD-D18490204E0E}"/>
    <cellStyle name="Comma 2 2 8 9" xfId="23269" xr:uid="{DDACB971-17A7-49A3-95D6-95543FFA8271}"/>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2 2 2" xfId="19224" xr:uid="{B7AD714E-2EBA-4308-ACFA-7705E05B02DB}"/>
    <cellStyle name="Comma 2 2 9 2 2 2 2 3" xfId="29640" xr:uid="{8F874C53-CBC9-49B1-98DD-44742F416035}"/>
    <cellStyle name="Comma 2 2 9 2 2 2 3" xfId="12866" xr:uid="{9E1A1CDE-7EFA-40E9-A39D-E087D3CDAA8E}"/>
    <cellStyle name="Comma 2 2 9 2 2 2 4" xfId="23282" xr:uid="{814B6FCC-1892-4BBC-A87C-4E12BD96F6FA}"/>
    <cellStyle name="Comma 2 2 9 2 2 3" xfId="7677" xr:uid="{00000000-0005-0000-0000-0000F3040000}"/>
    <cellStyle name="Comma 2 2 9 2 2 3 2" xfId="19223" xr:uid="{ED0C744E-6388-4B9C-AB80-7E345E4971DD}"/>
    <cellStyle name="Comma 2 2 9 2 2 3 3" xfId="29639" xr:uid="{4A177D24-F71F-4896-9585-8227233F5740}"/>
    <cellStyle name="Comma 2 2 9 2 2 4" xfId="5030" xr:uid="{00000000-0005-0000-0000-0000F4040000}"/>
    <cellStyle name="Comma 2 2 9 2 2 4 2" xfId="16616" xr:uid="{4A590B99-0E70-4506-99A2-AF45203700C9}"/>
    <cellStyle name="Comma 2 2 9 2 2 4 3" xfId="27032" xr:uid="{BA543D20-B58B-4461-8D4E-F747ECE9CC00}"/>
    <cellStyle name="Comma 2 2 9 2 2 5" xfId="12865" xr:uid="{1D8BC9A4-8AA1-44B6-9C93-987D7AE01CE3}"/>
    <cellStyle name="Comma 2 2 9 2 2 6" xfId="23281" xr:uid="{A6139866-7A1B-4B67-A035-D20F40253DA3}"/>
    <cellStyle name="Comma 2 2 9 2 3" xfId="532" xr:uid="{00000000-0005-0000-0000-0000F5040000}"/>
    <cellStyle name="Comma 2 2 9 2 3 2" xfId="7679" xr:uid="{00000000-0005-0000-0000-0000F6040000}"/>
    <cellStyle name="Comma 2 2 9 2 3 2 2" xfId="19225" xr:uid="{E1A86299-3E68-47EA-BAE8-FB486D7B99CB}"/>
    <cellStyle name="Comma 2 2 9 2 3 2 3" xfId="29641" xr:uid="{F3A28A90-DE2C-4F16-9927-16035B7EA6E6}"/>
    <cellStyle name="Comma 2 2 9 2 3 3" xfId="12867" xr:uid="{59D2CCA2-89FA-4532-8ADB-E42CB81AFED3}"/>
    <cellStyle name="Comma 2 2 9 2 3 4" xfId="23283" xr:uid="{B869978A-D56E-4FFE-83F0-A5171BE486E1}"/>
    <cellStyle name="Comma 2 2 9 2 4" xfId="7676" xr:uid="{00000000-0005-0000-0000-0000F7040000}"/>
    <cellStyle name="Comma 2 2 9 2 4 2" xfId="19222" xr:uid="{594333A3-1862-4757-9E8D-7447859CCDC0}"/>
    <cellStyle name="Comma 2 2 9 2 4 3" xfId="29638" xr:uid="{2D52D25F-9547-4012-8DF4-D606F50B9F0C}"/>
    <cellStyle name="Comma 2 2 9 2 5" xfId="5029" xr:uid="{00000000-0005-0000-0000-0000F8040000}"/>
    <cellStyle name="Comma 2 2 9 2 5 2" xfId="16615" xr:uid="{ADB28B44-4BD0-4C2A-AD02-0D50E440B785}"/>
    <cellStyle name="Comma 2 2 9 2 5 3" xfId="27031" xr:uid="{4A6BE126-2D62-4EA7-A3A1-56F4E854EE3B}"/>
    <cellStyle name="Comma 2 2 9 2 6" xfId="12864" xr:uid="{A27FC63E-C25D-4867-99AF-311146F55337}"/>
    <cellStyle name="Comma 2 2 9 2 7" xfId="23280" xr:uid="{739C53DB-9F76-405D-8234-964407C15A18}"/>
    <cellStyle name="Comma 2 2 9 3" xfId="533" xr:uid="{00000000-0005-0000-0000-0000F9040000}"/>
    <cellStyle name="Comma 2 2 9 3 2" xfId="534" xr:uid="{00000000-0005-0000-0000-0000FA040000}"/>
    <cellStyle name="Comma 2 2 9 3 2 2" xfId="7681" xr:uid="{00000000-0005-0000-0000-0000FB040000}"/>
    <cellStyle name="Comma 2 2 9 3 2 2 2" xfId="19227" xr:uid="{A068BFC9-B7F8-4024-B0B2-5F49EACE00A0}"/>
    <cellStyle name="Comma 2 2 9 3 2 2 3" xfId="29643" xr:uid="{5FBB78CA-A1F5-4AE0-BF94-26571F44AD8B}"/>
    <cellStyle name="Comma 2 2 9 3 2 3" xfId="12869" xr:uid="{9621AE55-D3FB-46B0-B64F-F85764F8CD52}"/>
    <cellStyle name="Comma 2 2 9 3 2 4" xfId="23285" xr:uid="{374EA4C4-14D3-4875-BCD7-A9A7AE9BE35C}"/>
    <cellStyle name="Comma 2 2 9 3 3" xfId="7680" xr:uid="{00000000-0005-0000-0000-0000FC040000}"/>
    <cellStyle name="Comma 2 2 9 3 3 2" xfId="19226" xr:uid="{5E292A00-563C-4519-9BDB-9A0DB3BF4845}"/>
    <cellStyle name="Comma 2 2 9 3 3 3" xfId="29642" xr:uid="{7C94F9DA-1883-4C56-BD60-F5282A0381C2}"/>
    <cellStyle name="Comma 2 2 9 3 4" xfId="5031" xr:uid="{00000000-0005-0000-0000-0000FD040000}"/>
    <cellStyle name="Comma 2 2 9 3 4 2" xfId="16617" xr:uid="{109F7DE5-C6F2-422D-B478-717397B05646}"/>
    <cellStyle name="Comma 2 2 9 3 4 3" xfId="27033" xr:uid="{600DFED4-EE0F-42E6-BE07-6F686E1306E7}"/>
    <cellStyle name="Comma 2 2 9 3 5" xfId="12868" xr:uid="{DFF5F2E5-7540-43FA-AD6F-F9A4C7FDA9B8}"/>
    <cellStyle name="Comma 2 2 9 3 6" xfId="23284" xr:uid="{7A1FE496-4E60-43E2-96EA-05A74E397216}"/>
    <cellStyle name="Comma 2 2 9 4" xfId="535" xr:uid="{00000000-0005-0000-0000-0000FE040000}"/>
    <cellStyle name="Comma 2 2 9 4 2" xfId="536" xr:uid="{00000000-0005-0000-0000-0000FF040000}"/>
    <cellStyle name="Comma 2 2 9 4 2 2" xfId="7683" xr:uid="{00000000-0005-0000-0000-000000050000}"/>
    <cellStyle name="Comma 2 2 9 4 2 2 2" xfId="19229" xr:uid="{675610E5-366B-4D71-8221-4F986EA46EA2}"/>
    <cellStyle name="Comma 2 2 9 4 2 2 3" xfId="29645" xr:uid="{48494F84-C375-48B1-A05C-ADCBE77605A2}"/>
    <cellStyle name="Comma 2 2 9 4 2 3" xfId="12871" xr:uid="{E91D5EE5-75E4-4AEE-8303-1FFA2BC80622}"/>
    <cellStyle name="Comma 2 2 9 4 2 4" xfId="23287" xr:uid="{1EFD0349-FEB1-433A-9E35-9E6CBEBC7BFC}"/>
    <cellStyle name="Comma 2 2 9 4 3" xfId="7682" xr:uid="{00000000-0005-0000-0000-000001050000}"/>
    <cellStyle name="Comma 2 2 9 4 3 2" xfId="19228" xr:uid="{40741D9C-4467-4FBD-932E-955ADB5BF944}"/>
    <cellStyle name="Comma 2 2 9 4 3 3" xfId="29644" xr:uid="{0737F3D4-FCFF-41DA-BA79-2910D1453119}"/>
    <cellStyle name="Comma 2 2 9 4 4" xfId="5032" xr:uid="{00000000-0005-0000-0000-000002050000}"/>
    <cellStyle name="Comma 2 2 9 4 4 2" xfId="16618" xr:uid="{97DA64C7-E557-4A95-BBE6-EDD20C545074}"/>
    <cellStyle name="Comma 2 2 9 4 4 3" xfId="27034" xr:uid="{22582628-E25D-4159-B8F4-29C1FC71E0CA}"/>
    <cellStyle name="Comma 2 2 9 4 5" xfId="12870" xr:uid="{80ECFF27-9A7F-4DA1-AD2A-7B251EDBAC58}"/>
    <cellStyle name="Comma 2 2 9 4 6" xfId="23286" xr:uid="{A6728315-CE0F-4C74-B33B-D17815905596}"/>
    <cellStyle name="Comma 2 2 9 5" xfId="537" xr:uid="{00000000-0005-0000-0000-000003050000}"/>
    <cellStyle name="Comma 2 2 9 5 2" xfId="7684" xr:uid="{00000000-0005-0000-0000-000004050000}"/>
    <cellStyle name="Comma 2 2 9 5 2 2" xfId="19230" xr:uid="{44B4BCDA-B583-4971-9D8D-FA9BE8F57B0F}"/>
    <cellStyle name="Comma 2 2 9 5 2 3" xfId="29646" xr:uid="{C5A8B839-A3CE-44F7-8B3F-11EB6315EE1B}"/>
    <cellStyle name="Comma 2 2 9 5 3" xfId="12872" xr:uid="{4157A678-351C-4CFB-B2D8-350C70E20F55}"/>
    <cellStyle name="Comma 2 2 9 5 4" xfId="23288" xr:uid="{454B707F-2519-42F5-B78E-C1BF7E079C0A}"/>
    <cellStyle name="Comma 2 2 9 6" xfId="7675" xr:uid="{00000000-0005-0000-0000-000005050000}"/>
    <cellStyle name="Comma 2 2 9 6 2" xfId="19221" xr:uid="{6F7AA819-3654-4A41-A450-A83282721FB3}"/>
    <cellStyle name="Comma 2 2 9 6 3" xfId="29637" xr:uid="{FC80E203-E8FF-4984-B8C6-FD079B6F6174}"/>
    <cellStyle name="Comma 2 2 9 7" xfId="5028" xr:uid="{00000000-0005-0000-0000-000006050000}"/>
    <cellStyle name="Comma 2 2 9 7 2" xfId="16614" xr:uid="{A268ED50-A9A9-4929-AC1B-232E63672BB7}"/>
    <cellStyle name="Comma 2 2 9 7 3" xfId="27030" xr:uid="{84E38782-83A3-4F6C-8330-1A70EFE56B4C}"/>
    <cellStyle name="Comma 2 2 9 8" xfId="12863" xr:uid="{55942837-A9D9-4663-81DA-B3AE80568AE5}"/>
    <cellStyle name="Comma 2 2 9 9" xfId="23279" xr:uid="{BEE75022-2F53-4B59-9945-0A9A1735E73E}"/>
    <cellStyle name="Comma 2 20" xfId="7177" xr:uid="{00000000-0005-0000-0000-000007050000}"/>
    <cellStyle name="Comma 2 20 2" xfId="18723" xr:uid="{23BBE9E6-5740-4185-A334-A8583877B078}"/>
    <cellStyle name="Comma 2 20 3" xfId="29139" xr:uid="{143069D6-6CE8-4A12-94D7-FE10F43193C9}"/>
    <cellStyle name="Comma 2 21" xfId="4779" xr:uid="{00000000-0005-0000-0000-000008050000}"/>
    <cellStyle name="Comma 2 21 2" xfId="16365" xr:uid="{C7A97AD9-9D1A-4DCB-9295-5B97E3A20C03}"/>
    <cellStyle name="Comma 2 21 3" xfId="26781" xr:uid="{6790149E-1CA2-4648-BA57-FE34560D7629}"/>
    <cellStyle name="Comma 2 22" xfId="12325" xr:uid="{00000000-0005-0000-0000-000009050000}"/>
    <cellStyle name="Comma 2 22 2" xfId="22731" xr:uid="{1FAD7726-1F4C-4A75-8839-F5145CCB5824}"/>
    <cellStyle name="Comma 2 22 3" xfId="33147" xr:uid="{2A5B502B-2D0F-488B-AC11-3A9CAA07A7E4}"/>
    <cellStyle name="Comma 2 23" xfId="12335" xr:uid="{00000000-0005-0000-0000-00000A050000}"/>
    <cellStyle name="Comma 2 23 2" xfId="22741" xr:uid="{BBEE1CA6-DB5B-4113-95F1-724D668F764F}"/>
    <cellStyle name="Comma 2 23 3" xfId="33157" xr:uid="{11C37067-0679-4CE0-A968-80D4C6529F62}"/>
    <cellStyle name="Comma 2 24" xfId="12350" xr:uid="{00000000-0005-0000-0000-00000B050000}"/>
    <cellStyle name="Comma 2 24 2" xfId="22756" xr:uid="{AE5F30CA-4048-4F94-907C-EC7C9A4E1B16}"/>
    <cellStyle name="Comma 2 24 3" xfId="33172" xr:uid="{9FCED4B6-530F-44CB-BB9D-9324387A0A21}"/>
    <cellStyle name="Comma 2 25" xfId="12365" xr:uid="{EE7CDF77-1A7D-4A91-8CAB-221DA18F4315}"/>
    <cellStyle name="Comma 2 26" xfId="22781" xr:uid="{4E0C440A-74B8-4E0E-BFD6-503B3949B331}"/>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2 2 2" xfId="19234" xr:uid="{37793B70-62C7-497F-B26E-DE3B13C5AFA2}"/>
    <cellStyle name="Comma 2 3 10 2 2 2 3" xfId="29650" xr:uid="{2F2B9DC3-A470-4908-9338-6C21ECF85C6F}"/>
    <cellStyle name="Comma 2 3 10 2 2 3" xfId="12876" xr:uid="{E1BC889B-3FA5-42DA-9675-63EC005F688B}"/>
    <cellStyle name="Comma 2 3 10 2 2 4" xfId="23292" xr:uid="{5FDB02D0-A7CE-4C93-9BC9-BD16A6CB8F8E}"/>
    <cellStyle name="Comma 2 3 10 2 3" xfId="7687" xr:uid="{00000000-0005-0000-0000-000011050000}"/>
    <cellStyle name="Comma 2 3 10 2 3 2" xfId="19233" xr:uid="{FB802D0B-EF7A-4841-8499-45A4D47DD26A}"/>
    <cellStyle name="Comma 2 3 10 2 3 3" xfId="29649" xr:uid="{4209A9DE-302A-4D55-AA69-0CB0549E0970}"/>
    <cellStyle name="Comma 2 3 10 2 4" xfId="5035" xr:uid="{00000000-0005-0000-0000-000012050000}"/>
    <cellStyle name="Comma 2 3 10 2 4 2" xfId="16621" xr:uid="{14FBB3AB-D9F4-47F0-B0B1-4BC2AF6B8EB4}"/>
    <cellStyle name="Comma 2 3 10 2 4 3" xfId="27037" xr:uid="{7E6AB62B-3CBC-4058-86DB-7D3D34F78766}"/>
    <cellStyle name="Comma 2 3 10 2 5" xfId="12875" xr:uid="{23721E92-81BC-48F4-B8C4-25095532F0EE}"/>
    <cellStyle name="Comma 2 3 10 2 6" xfId="23291" xr:uid="{CFC7BB05-D00A-44B6-B9D2-08AA350AED47}"/>
    <cellStyle name="Comma 2 3 10 3" xfId="542" xr:uid="{00000000-0005-0000-0000-000013050000}"/>
    <cellStyle name="Comma 2 3 10 3 2" xfId="543" xr:uid="{00000000-0005-0000-0000-000014050000}"/>
    <cellStyle name="Comma 2 3 10 3 2 2" xfId="7690" xr:uid="{00000000-0005-0000-0000-000015050000}"/>
    <cellStyle name="Comma 2 3 10 3 2 2 2" xfId="19236" xr:uid="{973882D3-B69E-49EB-B149-D2A065A3AD32}"/>
    <cellStyle name="Comma 2 3 10 3 2 2 3" xfId="29652" xr:uid="{738BE761-0828-4C0A-BAA0-17506ACFC2ED}"/>
    <cellStyle name="Comma 2 3 10 3 2 3" xfId="12878" xr:uid="{01633695-9983-402A-B02F-CAE0D6B43571}"/>
    <cellStyle name="Comma 2 3 10 3 2 4" xfId="23294" xr:uid="{2B64B353-A969-4FD9-ABC1-41329D8BDCBB}"/>
    <cellStyle name="Comma 2 3 10 3 3" xfId="7689" xr:uid="{00000000-0005-0000-0000-000016050000}"/>
    <cellStyle name="Comma 2 3 10 3 3 2" xfId="19235" xr:uid="{ACC0CEF3-D40E-409B-B62B-F6DD93FC561E}"/>
    <cellStyle name="Comma 2 3 10 3 3 3" xfId="29651" xr:uid="{5DA533DE-2F37-4CAB-AB04-1020C04FD976}"/>
    <cellStyle name="Comma 2 3 10 3 4" xfId="5036" xr:uid="{00000000-0005-0000-0000-000017050000}"/>
    <cellStyle name="Comma 2 3 10 3 4 2" xfId="16622" xr:uid="{61F469CE-BD4C-4DC7-9ACC-D937EF79A8E3}"/>
    <cellStyle name="Comma 2 3 10 3 4 3" xfId="27038" xr:uid="{707E699A-2889-4EF6-B282-02DB381D6E6B}"/>
    <cellStyle name="Comma 2 3 10 3 5" xfId="12877" xr:uid="{A62DBDF9-54F2-4F36-92C7-5CFF5EE84FBC}"/>
    <cellStyle name="Comma 2 3 10 3 6" xfId="23293" xr:uid="{D045C1D7-C143-42FF-B217-24EBE415C409}"/>
    <cellStyle name="Comma 2 3 10 4" xfId="544" xr:uid="{00000000-0005-0000-0000-000018050000}"/>
    <cellStyle name="Comma 2 3 10 4 2" xfId="7691" xr:uid="{00000000-0005-0000-0000-000019050000}"/>
    <cellStyle name="Comma 2 3 10 4 2 2" xfId="19237" xr:uid="{6D3A02C7-9A52-4562-9289-F73B3AF35416}"/>
    <cellStyle name="Comma 2 3 10 4 2 3" xfId="29653" xr:uid="{49151156-8D65-4AA3-B2F3-0483582624D1}"/>
    <cellStyle name="Comma 2 3 10 4 3" xfId="12879" xr:uid="{E2CD4CBA-09D5-42CC-B89D-5FEDABBFC1ED}"/>
    <cellStyle name="Comma 2 3 10 4 4" xfId="23295" xr:uid="{705C1988-BCAF-43CF-A961-023879B29BFC}"/>
    <cellStyle name="Comma 2 3 10 5" xfId="7686" xr:uid="{00000000-0005-0000-0000-00001A050000}"/>
    <cellStyle name="Comma 2 3 10 5 2" xfId="19232" xr:uid="{20E1A5AE-4E13-4A74-9882-6AC8A036C143}"/>
    <cellStyle name="Comma 2 3 10 5 3" xfId="29648" xr:uid="{864F26BF-8519-4A85-A917-157CF5249880}"/>
    <cellStyle name="Comma 2 3 10 6" xfId="5034" xr:uid="{00000000-0005-0000-0000-00001B050000}"/>
    <cellStyle name="Comma 2 3 10 6 2" xfId="16620" xr:uid="{F03830E6-9E4B-41F3-9092-9905BFA7BF0B}"/>
    <cellStyle name="Comma 2 3 10 6 3" xfId="27036" xr:uid="{12CE7A7C-5FD2-4AE3-812A-42CD0EB0E25F}"/>
    <cellStyle name="Comma 2 3 10 7" xfId="12874" xr:uid="{164EDBA0-800C-4CF7-84E0-2C194CB39543}"/>
    <cellStyle name="Comma 2 3 10 8" xfId="23290" xr:uid="{40605E75-D472-4DC0-830A-BB676161CE29}"/>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2 2 2" xfId="19240" xr:uid="{1A04C176-47C2-4FD2-9D62-00690E86C140}"/>
    <cellStyle name="Comma 2 3 11 2 2 2 3" xfId="29656" xr:uid="{B4EB03DB-8BAF-499B-B770-DB45ABE43391}"/>
    <cellStyle name="Comma 2 3 11 2 2 3" xfId="12882" xr:uid="{52B7C7D3-10AC-49F5-B417-20D45B817EAD}"/>
    <cellStyle name="Comma 2 3 11 2 2 4" xfId="23298" xr:uid="{B88399FB-E644-4663-A80E-72B3FD4B0AA3}"/>
    <cellStyle name="Comma 2 3 11 2 3" xfId="7693" xr:uid="{00000000-0005-0000-0000-000020050000}"/>
    <cellStyle name="Comma 2 3 11 2 3 2" xfId="19239" xr:uid="{294F2FA4-05C5-4194-8BC3-50B23FE424DA}"/>
    <cellStyle name="Comma 2 3 11 2 3 3" xfId="29655" xr:uid="{1C025003-17B7-441D-8EBA-8EA323DD166F}"/>
    <cellStyle name="Comma 2 3 11 2 4" xfId="5038" xr:uid="{00000000-0005-0000-0000-000021050000}"/>
    <cellStyle name="Comma 2 3 11 2 4 2" xfId="16624" xr:uid="{3B36EE54-CDEA-4496-A1E5-13DF15E4A063}"/>
    <cellStyle name="Comma 2 3 11 2 4 3" xfId="27040" xr:uid="{A33C2D2B-7A6C-4386-AB12-71B60D81D0C8}"/>
    <cellStyle name="Comma 2 3 11 2 5" xfId="12881" xr:uid="{ACE0144F-3255-4964-8306-8BA6760E1521}"/>
    <cellStyle name="Comma 2 3 11 2 6" xfId="23297" xr:uid="{C7DAB44C-6FA2-4F2D-845B-5BD8057E7E41}"/>
    <cellStyle name="Comma 2 3 11 3" xfId="548" xr:uid="{00000000-0005-0000-0000-000022050000}"/>
    <cellStyle name="Comma 2 3 11 3 2" xfId="7695" xr:uid="{00000000-0005-0000-0000-000023050000}"/>
    <cellStyle name="Comma 2 3 11 3 2 2" xfId="19241" xr:uid="{FF39C1AC-52C8-4BB1-8621-CFD74B8CA9C7}"/>
    <cellStyle name="Comma 2 3 11 3 2 3" xfId="29657" xr:uid="{C5E30B40-DF48-49A4-83A0-26FE9F7AA957}"/>
    <cellStyle name="Comma 2 3 11 3 3" xfId="12883" xr:uid="{9E82652F-A77A-42B7-9A89-BFFFC30F60E2}"/>
    <cellStyle name="Comma 2 3 11 3 4" xfId="23299" xr:uid="{1EE77E3E-8B88-4AF2-AA17-1D98691643AA}"/>
    <cellStyle name="Comma 2 3 11 4" xfId="7692" xr:uid="{00000000-0005-0000-0000-000024050000}"/>
    <cellStyle name="Comma 2 3 11 4 2" xfId="19238" xr:uid="{5871D229-E18A-4C74-84CF-FE214E217345}"/>
    <cellStyle name="Comma 2 3 11 4 3" xfId="29654" xr:uid="{76B77CFE-5C1B-4EED-9185-3654D7FB3816}"/>
    <cellStyle name="Comma 2 3 11 5" xfId="5037" xr:uid="{00000000-0005-0000-0000-000025050000}"/>
    <cellStyle name="Comma 2 3 11 5 2" xfId="16623" xr:uid="{7CBFAA26-4874-448D-BD9D-EAE8FF394431}"/>
    <cellStyle name="Comma 2 3 11 5 3" xfId="27039" xr:uid="{36028B63-8D37-469C-8E19-07EDABE255D4}"/>
    <cellStyle name="Comma 2 3 11 6" xfId="12880" xr:uid="{5475AEFF-017B-4182-B0D7-DB5403C7AAFF}"/>
    <cellStyle name="Comma 2 3 11 7" xfId="23296" xr:uid="{722788A1-9175-4735-9DC4-48CAE56B89A6}"/>
    <cellStyle name="Comma 2 3 12" xfId="549" xr:uid="{00000000-0005-0000-0000-000026050000}"/>
    <cellStyle name="Comma 2 3 12 2" xfId="550" xr:uid="{00000000-0005-0000-0000-000027050000}"/>
    <cellStyle name="Comma 2 3 12 2 2" xfId="7697" xr:uid="{00000000-0005-0000-0000-000028050000}"/>
    <cellStyle name="Comma 2 3 12 2 2 2" xfId="19243" xr:uid="{3E1228B0-AAD9-4F51-A5FD-15F2F3BD2ACC}"/>
    <cellStyle name="Comma 2 3 12 2 2 3" xfId="29659" xr:uid="{9B860312-A2BA-44F2-8257-57E3FBAED189}"/>
    <cellStyle name="Comma 2 3 12 2 3" xfId="12885" xr:uid="{C515A27E-458D-4697-9881-604CC0308640}"/>
    <cellStyle name="Comma 2 3 12 2 4" xfId="23301" xr:uid="{DC753872-9E46-4A24-B235-2F1FBACB74BC}"/>
    <cellStyle name="Comma 2 3 12 3" xfId="7696" xr:uid="{00000000-0005-0000-0000-000029050000}"/>
    <cellStyle name="Comma 2 3 12 3 2" xfId="19242" xr:uid="{0BFC1448-847B-46B7-A388-548DAAF81411}"/>
    <cellStyle name="Comma 2 3 12 3 3" xfId="29658" xr:uid="{A6A19F8F-31DB-4E76-ADA8-153F3CD12162}"/>
    <cellStyle name="Comma 2 3 12 4" xfId="5039" xr:uid="{00000000-0005-0000-0000-00002A050000}"/>
    <cellStyle name="Comma 2 3 12 4 2" xfId="16625" xr:uid="{12ED50EA-9DE1-437D-8695-C01CEEDA01CA}"/>
    <cellStyle name="Comma 2 3 12 4 3" xfId="27041" xr:uid="{67C38C31-BC14-492C-8738-2A8999CD79EA}"/>
    <cellStyle name="Comma 2 3 12 5" xfId="12884" xr:uid="{1D2815E6-1BA9-4589-ABB5-978E7AACE0AF}"/>
    <cellStyle name="Comma 2 3 12 6" xfId="23300" xr:uid="{10955200-0AC3-4D8A-B838-386B8245FDE4}"/>
    <cellStyle name="Comma 2 3 13" xfId="551" xr:uid="{00000000-0005-0000-0000-00002B050000}"/>
    <cellStyle name="Comma 2 3 13 2" xfId="552" xr:uid="{00000000-0005-0000-0000-00002C050000}"/>
    <cellStyle name="Comma 2 3 13 2 2" xfId="7699" xr:uid="{00000000-0005-0000-0000-00002D050000}"/>
    <cellStyle name="Comma 2 3 13 2 2 2" xfId="19245" xr:uid="{87A3F9FF-393E-4A54-99FB-D2A8251D9406}"/>
    <cellStyle name="Comma 2 3 13 2 2 3" xfId="29661" xr:uid="{B82A0A66-576D-4C5D-B8B8-EC9497D101EE}"/>
    <cellStyle name="Comma 2 3 13 2 3" xfId="12887" xr:uid="{814FCDC6-6341-4190-B595-D33439A44FF4}"/>
    <cellStyle name="Comma 2 3 13 2 4" xfId="23303" xr:uid="{F8788CAF-A35F-411B-9E19-14EF2AF973D1}"/>
    <cellStyle name="Comma 2 3 13 3" xfId="7698" xr:uid="{00000000-0005-0000-0000-00002E050000}"/>
    <cellStyle name="Comma 2 3 13 3 2" xfId="19244" xr:uid="{6E4B32A0-C201-47D0-A89B-04B53BAD24A7}"/>
    <cellStyle name="Comma 2 3 13 3 3" xfId="29660" xr:uid="{6CA54CB0-06D8-465D-B59B-228581A0059D}"/>
    <cellStyle name="Comma 2 3 13 4" xfId="5040" xr:uid="{00000000-0005-0000-0000-00002F050000}"/>
    <cellStyle name="Comma 2 3 13 4 2" xfId="16626" xr:uid="{98B89DB9-BB9E-470D-B7F7-74EAC5947B0E}"/>
    <cellStyle name="Comma 2 3 13 4 3" xfId="27042" xr:uid="{3494DC68-6F57-40D1-AB83-860CDD73CDE1}"/>
    <cellStyle name="Comma 2 3 13 5" xfId="12886" xr:uid="{D16D3572-0FCD-4FDA-81B9-C798652C9851}"/>
    <cellStyle name="Comma 2 3 13 6" xfId="23302" xr:uid="{B81AF214-8B23-42D8-8740-DF09F1BBBD69}"/>
    <cellStyle name="Comma 2 3 14" xfId="553" xr:uid="{00000000-0005-0000-0000-000030050000}"/>
    <cellStyle name="Comma 2 3 14 2" xfId="7700" xr:uid="{00000000-0005-0000-0000-000031050000}"/>
    <cellStyle name="Comma 2 3 14 2 2" xfId="19246" xr:uid="{93935BEE-442A-416E-A4D8-D52EB549AB2D}"/>
    <cellStyle name="Comma 2 3 14 2 3" xfId="29662" xr:uid="{74BA953C-68A7-4695-A46B-A080F5FE1D7D}"/>
    <cellStyle name="Comma 2 3 14 3" xfId="12888" xr:uid="{017EDA73-A36C-49AE-B1FF-5F1D9471D747}"/>
    <cellStyle name="Comma 2 3 14 4" xfId="23304" xr:uid="{E275F7C7-563C-4623-8989-BD3B1A670105}"/>
    <cellStyle name="Comma 2 3 15" xfId="7685" xr:uid="{00000000-0005-0000-0000-000032050000}"/>
    <cellStyle name="Comma 2 3 15 2" xfId="19231" xr:uid="{2FB3D7B6-70D5-4CE1-8016-D37D5CEF28CD}"/>
    <cellStyle name="Comma 2 3 15 3" xfId="29647" xr:uid="{6B798081-1C46-4676-A47D-D54901A5801D}"/>
    <cellStyle name="Comma 2 3 16" xfId="5033" xr:uid="{00000000-0005-0000-0000-000033050000}"/>
    <cellStyle name="Comma 2 3 16 2" xfId="16619" xr:uid="{4B770985-F2F5-4987-A147-59FB1C1E9539}"/>
    <cellStyle name="Comma 2 3 16 3" xfId="27035" xr:uid="{5A6E52E3-5682-4274-94DB-ADB778D9A73D}"/>
    <cellStyle name="Comma 2 3 17" xfId="12330" xr:uid="{00000000-0005-0000-0000-000034050000}"/>
    <cellStyle name="Comma 2 3 17 2" xfId="22736" xr:uid="{FBC6394F-7769-406D-BEC6-A0426D36EB92}"/>
    <cellStyle name="Comma 2 3 17 3" xfId="33152" xr:uid="{CA2686CD-C9FA-4DEA-8824-A742B1D83530}"/>
    <cellStyle name="Comma 2 3 18" xfId="12340" xr:uid="{00000000-0005-0000-0000-000035050000}"/>
    <cellStyle name="Comma 2 3 18 2" xfId="22746" xr:uid="{DE7C97EA-4653-43C4-A50D-BDDE780CB95A}"/>
    <cellStyle name="Comma 2 3 18 3" xfId="33162" xr:uid="{257B4DF7-E043-43C7-970A-0A81857FBB29}"/>
    <cellStyle name="Comma 2 3 19" xfId="12355" xr:uid="{00000000-0005-0000-0000-000036050000}"/>
    <cellStyle name="Comma 2 3 19 2" xfId="22761" xr:uid="{85E26409-8435-487A-AD3F-482A4CBAA477}"/>
    <cellStyle name="Comma 2 3 19 3" xfId="33177" xr:uid="{9126147E-89C0-498D-9C7C-62354E33668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2 2 2" xfId="19249" xr:uid="{7EEE57B1-4667-4B2D-84F2-A2717C20EB43}"/>
    <cellStyle name="Comma 2 3 2 10 2 2 3" xfId="29665" xr:uid="{A6B44EB8-7818-4DDE-ACB8-1ED7419A8947}"/>
    <cellStyle name="Comma 2 3 2 10 2 3" xfId="12891" xr:uid="{A432BB01-3028-48DD-A63F-D52954E1A3D6}"/>
    <cellStyle name="Comma 2 3 2 10 2 4" xfId="23307" xr:uid="{3D63F44B-6B68-41A4-B912-8C07BD903DB1}"/>
    <cellStyle name="Comma 2 3 2 10 3" xfId="7702" xr:uid="{00000000-0005-0000-0000-00003B050000}"/>
    <cellStyle name="Comma 2 3 2 10 3 2" xfId="19248" xr:uid="{CCD66F3C-7879-415D-8D1B-7CB4FE18F30D}"/>
    <cellStyle name="Comma 2 3 2 10 3 3" xfId="29664" xr:uid="{0FDC6E2B-B662-4A2D-9E75-E37184772711}"/>
    <cellStyle name="Comma 2 3 2 10 4" xfId="5042" xr:uid="{00000000-0005-0000-0000-00003C050000}"/>
    <cellStyle name="Comma 2 3 2 10 4 2" xfId="16628" xr:uid="{EDB09E0F-AA79-4750-8579-F01FEBE6B1D8}"/>
    <cellStyle name="Comma 2 3 2 10 4 3" xfId="27044" xr:uid="{6CF860D1-05CD-4351-8A74-E010D7160903}"/>
    <cellStyle name="Comma 2 3 2 10 5" xfId="12890" xr:uid="{9F69FCC8-7989-4A8B-9E05-0174514D6007}"/>
    <cellStyle name="Comma 2 3 2 10 6" xfId="23306" xr:uid="{D016AAD1-E8EA-4404-8105-6739DCDAC1AD}"/>
    <cellStyle name="Comma 2 3 2 11" xfId="557" xr:uid="{00000000-0005-0000-0000-00003D050000}"/>
    <cellStyle name="Comma 2 3 2 11 2" xfId="7704" xr:uid="{00000000-0005-0000-0000-00003E050000}"/>
    <cellStyle name="Comma 2 3 2 11 2 2" xfId="19250" xr:uid="{E709E757-2BD5-4A97-AA7A-697485EF01FC}"/>
    <cellStyle name="Comma 2 3 2 11 2 3" xfId="29666" xr:uid="{98224DBA-FCF6-4C8F-A619-509431FF789D}"/>
    <cellStyle name="Comma 2 3 2 11 3" xfId="12892" xr:uid="{27403A09-3EBC-43CF-90EB-4B0FEEAFCF77}"/>
    <cellStyle name="Comma 2 3 2 11 4" xfId="23308" xr:uid="{A0813122-33F1-4FA3-A55E-317099F913AA}"/>
    <cellStyle name="Comma 2 3 2 12" xfId="7701" xr:uid="{00000000-0005-0000-0000-00003F050000}"/>
    <cellStyle name="Comma 2 3 2 12 2" xfId="19247" xr:uid="{00BB6E24-A8D1-49A1-B14B-E34BEF5D6BE1}"/>
    <cellStyle name="Comma 2 3 2 12 3" xfId="29663" xr:uid="{7ACD5DF4-76D9-4272-8A6A-FE4A31040425}"/>
    <cellStyle name="Comma 2 3 2 13" xfId="5041" xr:uid="{00000000-0005-0000-0000-000040050000}"/>
    <cellStyle name="Comma 2 3 2 13 2" xfId="16627" xr:uid="{D0AB9F3E-D5CF-4F4A-A64C-9ED1B5078A12}"/>
    <cellStyle name="Comma 2 3 2 13 3" xfId="27043" xr:uid="{8CD449F4-3942-4B27-8015-479A77A67AB8}"/>
    <cellStyle name="Comma 2 3 2 14" xfId="12889" xr:uid="{DE0B45C8-7633-439E-B752-11765DA0A990}"/>
    <cellStyle name="Comma 2 3 2 15" xfId="23305" xr:uid="{9889AE65-7595-4630-A8CE-9BD90F33F8C7}"/>
    <cellStyle name="Comma 2 3 2 2" xfId="558" xr:uid="{00000000-0005-0000-0000-000041050000}"/>
    <cellStyle name="Comma 2 3 2 2 10" xfId="559" xr:uid="{00000000-0005-0000-0000-000042050000}"/>
    <cellStyle name="Comma 2 3 2 2 10 2" xfId="7706" xr:uid="{00000000-0005-0000-0000-000043050000}"/>
    <cellStyle name="Comma 2 3 2 2 10 2 2" xfId="19252" xr:uid="{EDE055D0-AD61-4EC1-8363-68DB6F2DFD00}"/>
    <cellStyle name="Comma 2 3 2 2 10 2 3" xfId="29668" xr:uid="{A6C4DB3A-3909-4C32-8085-875A04E361DA}"/>
    <cellStyle name="Comma 2 3 2 2 10 3" xfId="12894" xr:uid="{7D18682F-5E86-48C2-9D40-A7F26CC23182}"/>
    <cellStyle name="Comma 2 3 2 2 10 4" xfId="23310" xr:uid="{CEE3AEA3-FCE8-49B2-84FE-FA9B6008235F}"/>
    <cellStyle name="Comma 2 3 2 2 11" xfId="7705" xr:uid="{00000000-0005-0000-0000-000044050000}"/>
    <cellStyle name="Comma 2 3 2 2 11 2" xfId="19251" xr:uid="{6DF12D1A-0650-408A-AAE7-0C34AB35E266}"/>
    <cellStyle name="Comma 2 3 2 2 11 3" xfId="29667" xr:uid="{CC2E713E-F972-4077-93E4-2D9B08A750DE}"/>
    <cellStyle name="Comma 2 3 2 2 12" xfId="5043" xr:uid="{00000000-0005-0000-0000-000045050000}"/>
    <cellStyle name="Comma 2 3 2 2 12 2" xfId="16629" xr:uid="{CA1B9D39-328A-4EB8-8049-5F93975C9D67}"/>
    <cellStyle name="Comma 2 3 2 2 12 3" xfId="27045" xr:uid="{175E6F9C-00DC-4BC5-B1D7-BDB8F614E7A8}"/>
    <cellStyle name="Comma 2 3 2 2 13" xfId="12893" xr:uid="{3CB6F2F3-CF33-40C1-AACC-B5F7B19B6FCB}"/>
    <cellStyle name="Comma 2 3 2 2 14" xfId="23309" xr:uid="{4B5ADF38-E003-4C03-8E4A-ECE9853C65BC}"/>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2 2 2" xfId="19256" xr:uid="{5450DC56-AE87-457F-836B-17EEB14E6227}"/>
    <cellStyle name="Comma 2 3 2 2 2 2 2 2 2 3" xfId="29672" xr:uid="{407D0D8C-87D5-4C4F-AD8A-4DCF34FDE017}"/>
    <cellStyle name="Comma 2 3 2 2 2 2 2 2 3" xfId="12898" xr:uid="{7DBF13B8-C41D-450D-BF35-25C1F117C2E4}"/>
    <cellStyle name="Comma 2 3 2 2 2 2 2 2 4" xfId="23314" xr:uid="{60BA0DA3-5281-449F-A1FE-AE736D5A3D91}"/>
    <cellStyle name="Comma 2 3 2 2 2 2 2 3" xfId="7709" xr:uid="{00000000-0005-0000-0000-00004B050000}"/>
    <cellStyle name="Comma 2 3 2 2 2 2 2 3 2" xfId="19255" xr:uid="{3D7333C1-DEC3-4317-82D0-C36E427CB7F6}"/>
    <cellStyle name="Comma 2 3 2 2 2 2 2 3 3" xfId="29671" xr:uid="{5B35C611-23C0-47E8-90D1-C4C9388F6E4E}"/>
    <cellStyle name="Comma 2 3 2 2 2 2 2 4" xfId="5046" xr:uid="{00000000-0005-0000-0000-00004C050000}"/>
    <cellStyle name="Comma 2 3 2 2 2 2 2 4 2" xfId="16632" xr:uid="{1F51018C-7CDC-4A3B-87F5-2EDE038DC26C}"/>
    <cellStyle name="Comma 2 3 2 2 2 2 2 4 3" xfId="27048" xr:uid="{CB78592B-7D40-4E03-A44B-D7CB85D716BD}"/>
    <cellStyle name="Comma 2 3 2 2 2 2 2 5" xfId="12897" xr:uid="{FABB2A79-1AF0-4BC9-8D4B-5216D8987238}"/>
    <cellStyle name="Comma 2 3 2 2 2 2 2 6" xfId="23313" xr:uid="{CF8DD083-EFA0-4EDF-B3AC-0C2C4B59998C}"/>
    <cellStyle name="Comma 2 3 2 2 2 2 3" xfId="564" xr:uid="{00000000-0005-0000-0000-00004D050000}"/>
    <cellStyle name="Comma 2 3 2 2 2 2 3 2" xfId="7711" xr:uid="{00000000-0005-0000-0000-00004E050000}"/>
    <cellStyle name="Comma 2 3 2 2 2 2 3 2 2" xfId="19257" xr:uid="{7A32425B-BE47-41FC-A0DE-D5EDCA50B363}"/>
    <cellStyle name="Comma 2 3 2 2 2 2 3 2 3" xfId="29673" xr:uid="{4A25004D-FEEC-4DFB-BD55-00839BCEA103}"/>
    <cellStyle name="Comma 2 3 2 2 2 2 3 3" xfId="12899" xr:uid="{7069F8DF-727A-45A1-901C-437D80D6E729}"/>
    <cellStyle name="Comma 2 3 2 2 2 2 3 4" xfId="23315" xr:uid="{185CE769-5816-4F85-BFF9-DFC8ED2E7121}"/>
    <cellStyle name="Comma 2 3 2 2 2 2 4" xfId="7708" xr:uid="{00000000-0005-0000-0000-00004F050000}"/>
    <cellStyle name="Comma 2 3 2 2 2 2 4 2" xfId="19254" xr:uid="{D3126ADE-AF72-41D5-B717-8A02D53AAE6B}"/>
    <cellStyle name="Comma 2 3 2 2 2 2 4 3" xfId="29670" xr:uid="{DCB8CDCC-0981-485B-B231-59649BD9064D}"/>
    <cellStyle name="Comma 2 3 2 2 2 2 5" xfId="5045" xr:uid="{00000000-0005-0000-0000-000050050000}"/>
    <cellStyle name="Comma 2 3 2 2 2 2 5 2" xfId="16631" xr:uid="{1EC9C0FB-CE67-4452-B589-DDE3EAD1387E}"/>
    <cellStyle name="Comma 2 3 2 2 2 2 5 3" xfId="27047" xr:uid="{3DB46F74-BED5-4CEA-A75D-E5DD7B693C8A}"/>
    <cellStyle name="Comma 2 3 2 2 2 2 6" xfId="12896" xr:uid="{6C86EE93-57CF-4F9D-904D-2963C6015843}"/>
    <cellStyle name="Comma 2 3 2 2 2 2 7" xfId="23312" xr:uid="{BAABBFBF-CA97-44F1-8911-18000FB1DC71}"/>
    <cellStyle name="Comma 2 3 2 2 2 3" xfId="565" xr:uid="{00000000-0005-0000-0000-000051050000}"/>
    <cellStyle name="Comma 2 3 2 2 2 3 2" xfId="566" xr:uid="{00000000-0005-0000-0000-000052050000}"/>
    <cellStyle name="Comma 2 3 2 2 2 3 2 2" xfId="7713" xr:uid="{00000000-0005-0000-0000-000053050000}"/>
    <cellStyle name="Comma 2 3 2 2 2 3 2 2 2" xfId="19259" xr:uid="{4D4F253D-A11D-4FB4-BF31-A6E91750071F}"/>
    <cellStyle name="Comma 2 3 2 2 2 3 2 2 3" xfId="29675" xr:uid="{5AACF48C-7BC2-4082-8FF4-B55B8CF1A1C3}"/>
    <cellStyle name="Comma 2 3 2 2 2 3 2 3" xfId="12901" xr:uid="{74BBECD4-E0F5-4A1B-9E5A-3592C83F9563}"/>
    <cellStyle name="Comma 2 3 2 2 2 3 2 4" xfId="23317" xr:uid="{CA155BF3-5175-4EDD-8EC1-3C4267BB5E0A}"/>
    <cellStyle name="Comma 2 3 2 2 2 3 3" xfId="7712" xr:uid="{00000000-0005-0000-0000-000054050000}"/>
    <cellStyle name="Comma 2 3 2 2 2 3 3 2" xfId="19258" xr:uid="{BF46DF31-9A05-467A-9E18-D605C741F9D0}"/>
    <cellStyle name="Comma 2 3 2 2 2 3 3 3" xfId="29674" xr:uid="{FC6AC915-7199-4696-89E7-E8AF4D028F72}"/>
    <cellStyle name="Comma 2 3 2 2 2 3 4" xfId="5047" xr:uid="{00000000-0005-0000-0000-000055050000}"/>
    <cellStyle name="Comma 2 3 2 2 2 3 4 2" xfId="16633" xr:uid="{C77B783B-A0A8-48A3-92FC-7098CAEB41D0}"/>
    <cellStyle name="Comma 2 3 2 2 2 3 4 3" xfId="27049" xr:uid="{88286C49-E30E-443C-9FA0-04FAFDB0E131}"/>
    <cellStyle name="Comma 2 3 2 2 2 3 5" xfId="12900" xr:uid="{BA968742-2B5B-429B-881D-7CB27A5BB332}"/>
    <cellStyle name="Comma 2 3 2 2 2 3 6" xfId="23316" xr:uid="{4795B54B-FA21-4A2E-BB58-02E08BFBB91B}"/>
    <cellStyle name="Comma 2 3 2 2 2 4" xfId="567" xr:uid="{00000000-0005-0000-0000-000056050000}"/>
    <cellStyle name="Comma 2 3 2 2 2 4 2" xfId="568" xr:uid="{00000000-0005-0000-0000-000057050000}"/>
    <cellStyle name="Comma 2 3 2 2 2 4 2 2" xfId="7715" xr:uid="{00000000-0005-0000-0000-000058050000}"/>
    <cellStyle name="Comma 2 3 2 2 2 4 2 2 2" xfId="19261" xr:uid="{1AF71A3F-795A-41CF-98D4-978563BA2F39}"/>
    <cellStyle name="Comma 2 3 2 2 2 4 2 2 3" xfId="29677" xr:uid="{2C5210CF-2BFC-4FDC-8EE2-70161132D945}"/>
    <cellStyle name="Comma 2 3 2 2 2 4 2 3" xfId="12903" xr:uid="{DF46639D-AEFC-42A1-9935-297CF703481B}"/>
    <cellStyle name="Comma 2 3 2 2 2 4 2 4" xfId="23319" xr:uid="{C6005EC7-9467-4A56-9351-6D90920662BF}"/>
    <cellStyle name="Comma 2 3 2 2 2 4 3" xfId="7714" xr:uid="{00000000-0005-0000-0000-000059050000}"/>
    <cellStyle name="Comma 2 3 2 2 2 4 3 2" xfId="19260" xr:uid="{267826F9-2245-482A-AE02-B37ACBF96213}"/>
    <cellStyle name="Comma 2 3 2 2 2 4 3 3" xfId="29676" xr:uid="{E3ED9E3F-4D35-41E7-884C-7E695527A42A}"/>
    <cellStyle name="Comma 2 3 2 2 2 4 4" xfId="5048" xr:uid="{00000000-0005-0000-0000-00005A050000}"/>
    <cellStyle name="Comma 2 3 2 2 2 4 4 2" xfId="16634" xr:uid="{54DFC0C8-69D1-49C1-AEF4-5A9B406A63C7}"/>
    <cellStyle name="Comma 2 3 2 2 2 4 4 3" xfId="27050" xr:uid="{43FBBC9C-48FD-4A81-981D-CA3482C536E0}"/>
    <cellStyle name="Comma 2 3 2 2 2 4 5" xfId="12902" xr:uid="{BED695B4-C5E2-416C-9598-18610B91FF64}"/>
    <cellStyle name="Comma 2 3 2 2 2 4 6" xfId="23318" xr:uid="{CCD268BF-E03D-4686-95D8-DF321450A805}"/>
    <cellStyle name="Comma 2 3 2 2 2 5" xfId="569" xr:uid="{00000000-0005-0000-0000-00005B050000}"/>
    <cellStyle name="Comma 2 3 2 2 2 5 2" xfId="7716" xr:uid="{00000000-0005-0000-0000-00005C050000}"/>
    <cellStyle name="Comma 2 3 2 2 2 5 2 2" xfId="19262" xr:uid="{83782450-6561-4AC5-B2C6-2E2FE1E23DD9}"/>
    <cellStyle name="Comma 2 3 2 2 2 5 2 3" xfId="29678" xr:uid="{A4C19F2E-C980-4D78-BA98-C09674CC091A}"/>
    <cellStyle name="Comma 2 3 2 2 2 5 3" xfId="12904" xr:uid="{D97C51CA-0E59-43A9-A28C-A91507403A92}"/>
    <cellStyle name="Comma 2 3 2 2 2 5 4" xfId="23320" xr:uid="{884F1D20-984C-4BF3-A6C4-7C9C6BE2FF70}"/>
    <cellStyle name="Comma 2 3 2 2 2 6" xfId="7707" xr:uid="{00000000-0005-0000-0000-00005D050000}"/>
    <cellStyle name="Comma 2 3 2 2 2 6 2" xfId="19253" xr:uid="{D6AB4523-82B7-4916-A7EE-380D49618143}"/>
    <cellStyle name="Comma 2 3 2 2 2 6 3" xfId="29669" xr:uid="{F9E14C90-E6EA-4178-A968-CE3675C8140C}"/>
    <cellStyle name="Comma 2 3 2 2 2 7" xfId="5044" xr:uid="{00000000-0005-0000-0000-00005E050000}"/>
    <cellStyle name="Comma 2 3 2 2 2 7 2" xfId="16630" xr:uid="{B8CB0FFB-4360-4CB8-A52A-663818239095}"/>
    <cellStyle name="Comma 2 3 2 2 2 7 3" xfId="27046" xr:uid="{823C21C2-6D8C-4B3A-976F-D219089BB876}"/>
    <cellStyle name="Comma 2 3 2 2 2 8" xfId="12895" xr:uid="{D8EA59EE-78B2-45CB-8303-90B346CDC8DB}"/>
    <cellStyle name="Comma 2 3 2 2 2 9" xfId="23311" xr:uid="{C165E987-0919-4B33-9BF4-196B026827BF}"/>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2 2 2" xfId="19266" xr:uid="{29D3A7FB-B5A3-48D4-9001-C690E6275BCF}"/>
    <cellStyle name="Comma 2 3 2 2 3 2 2 2 2 3" xfId="29682" xr:uid="{B700812A-4303-4E67-BEA7-FB8B79B871CE}"/>
    <cellStyle name="Comma 2 3 2 2 3 2 2 2 3" xfId="12908" xr:uid="{D15830DE-7EFF-49C2-A6BF-7B1C0528E9DD}"/>
    <cellStyle name="Comma 2 3 2 2 3 2 2 2 4" xfId="23324" xr:uid="{539DF98E-77C0-4AFA-BB40-1F7A273F6D69}"/>
    <cellStyle name="Comma 2 3 2 2 3 2 2 3" xfId="7719" xr:uid="{00000000-0005-0000-0000-000064050000}"/>
    <cellStyle name="Comma 2 3 2 2 3 2 2 3 2" xfId="19265" xr:uid="{402F1C91-6099-4352-9BA1-CBA6DC95D062}"/>
    <cellStyle name="Comma 2 3 2 2 3 2 2 3 3" xfId="29681" xr:uid="{849960AF-7AD3-424C-85A7-31EC4D2FC6D3}"/>
    <cellStyle name="Comma 2 3 2 2 3 2 2 4" xfId="5051" xr:uid="{00000000-0005-0000-0000-000065050000}"/>
    <cellStyle name="Comma 2 3 2 2 3 2 2 4 2" xfId="16637" xr:uid="{13E2FB25-F284-432A-8FB6-782013C49E64}"/>
    <cellStyle name="Comma 2 3 2 2 3 2 2 4 3" xfId="27053" xr:uid="{980B2F06-60D0-4C9D-A2D5-84263997207C}"/>
    <cellStyle name="Comma 2 3 2 2 3 2 2 5" xfId="12907" xr:uid="{51637B03-211C-4963-99C2-FC16448831C5}"/>
    <cellStyle name="Comma 2 3 2 2 3 2 2 6" xfId="23323" xr:uid="{9DAEB4AC-3E3D-4933-8711-6CA93F1E0418}"/>
    <cellStyle name="Comma 2 3 2 2 3 2 3" xfId="574" xr:uid="{00000000-0005-0000-0000-000066050000}"/>
    <cellStyle name="Comma 2 3 2 2 3 2 3 2" xfId="7721" xr:uid="{00000000-0005-0000-0000-000067050000}"/>
    <cellStyle name="Comma 2 3 2 2 3 2 3 2 2" xfId="19267" xr:uid="{E1D671B6-AC22-44E6-A44C-71AFC6E26B74}"/>
    <cellStyle name="Comma 2 3 2 2 3 2 3 2 3" xfId="29683" xr:uid="{62B92AA0-B9EE-4206-B2F9-F05058358620}"/>
    <cellStyle name="Comma 2 3 2 2 3 2 3 3" xfId="12909" xr:uid="{6C0B8C2F-E43E-4D1E-8FF3-2873EBBAFAE9}"/>
    <cellStyle name="Comma 2 3 2 2 3 2 3 4" xfId="23325" xr:uid="{2C55FC32-A283-4E82-8E7C-85D5821A9F7F}"/>
    <cellStyle name="Comma 2 3 2 2 3 2 4" xfId="7718" xr:uid="{00000000-0005-0000-0000-000068050000}"/>
    <cellStyle name="Comma 2 3 2 2 3 2 4 2" xfId="19264" xr:uid="{D7C12CB9-2667-4049-901C-B7187395381B}"/>
    <cellStyle name="Comma 2 3 2 2 3 2 4 3" xfId="29680" xr:uid="{292F6440-FF94-4F61-B5BB-FF507705A7D7}"/>
    <cellStyle name="Comma 2 3 2 2 3 2 5" xfId="5050" xr:uid="{00000000-0005-0000-0000-000069050000}"/>
    <cellStyle name="Comma 2 3 2 2 3 2 5 2" xfId="16636" xr:uid="{4B23D442-A1B0-4FA7-9721-8DBDF4802ED4}"/>
    <cellStyle name="Comma 2 3 2 2 3 2 5 3" xfId="27052" xr:uid="{001B6BE2-F1E8-4881-8AB0-27DE25B09D69}"/>
    <cellStyle name="Comma 2 3 2 2 3 2 6" xfId="12906" xr:uid="{4BA46E6C-FFB4-41A5-B1E5-C06B51CC6479}"/>
    <cellStyle name="Comma 2 3 2 2 3 2 7" xfId="23322" xr:uid="{420771D9-0B9D-4851-8BCE-D5C6F834AE90}"/>
    <cellStyle name="Comma 2 3 2 2 3 3" xfId="575" xr:uid="{00000000-0005-0000-0000-00006A050000}"/>
    <cellStyle name="Comma 2 3 2 2 3 3 2" xfId="576" xr:uid="{00000000-0005-0000-0000-00006B050000}"/>
    <cellStyle name="Comma 2 3 2 2 3 3 2 2" xfId="7723" xr:uid="{00000000-0005-0000-0000-00006C050000}"/>
    <cellStyle name="Comma 2 3 2 2 3 3 2 2 2" xfId="19269" xr:uid="{90067595-86FF-4E5D-8013-4F51BD2F8733}"/>
    <cellStyle name="Comma 2 3 2 2 3 3 2 2 3" xfId="29685" xr:uid="{854B145B-8A19-4C60-BAAC-4369D54DB73B}"/>
    <cellStyle name="Comma 2 3 2 2 3 3 2 3" xfId="12911" xr:uid="{9587DE9F-8619-4801-A763-76F0732C8229}"/>
    <cellStyle name="Comma 2 3 2 2 3 3 2 4" xfId="23327" xr:uid="{3A8CAEDA-BDA0-4D54-B250-69A44483E115}"/>
    <cellStyle name="Comma 2 3 2 2 3 3 3" xfId="7722" xr:uid="{00000000-0005-0000-0000-00006D050000}"/>
    <cellStyle name="Comma 2 3 2 2 3 3 3 2" xfId="19268" xr:uid="{138059C2-E975-4F07-9241-E38B540D65AA}"/>
    <cellStyle name="Comma 2 3 2 2 3 3 3 3" xfId="29684" xr:uid="{F81BBD5A-7825-464C-89D3-8BB959B96F2A}"/>
    <cellStyle name="Comma 2 3 2 2 3 3 4" xfId="5052" xr:uid="{00000000-0005-0000-0000-00006E050000}"/>
    <cellStyle name="Comma 2 3 2 2 3 3 4 2" xfId="16638" xr:uid="{B9C25A45-4F9A-4EB9-B7EC-C91875389292}"/>
    <cellStyle name="Comma 2 3 2 2 3 3 4 3" xfId="27054" xr:uid="{D95D25E3-74C6-4DF9-8DD4-2AFFAFC52469}"/>
    <cellStyle name="Comma 2 3 2 2 3 3 5" xfId="12910" xr:uid="{2F48EF39-0937-4B5F-8539-DCC756553CD9}"/>
    <cellStyle name="Comma 2 3 2 2 3 3 6" xfId="23326" xr:uid="{E847A148-F31E-412F-997C-655CA4D17CAD}"/>
    <cellStyle name="Comma 2 3 2 2 3 4" xfId="577" xr:uid="{00000000-0005-0000-0000-00006F050000}"/>
    <cellStyle name="Comma 2 3 2 2 3 4 2" xfId="578" xr:uid="{00000000-0005-0000-0000-000070050000}"/>
    <cellStyle name="Comma 2 3 2 2 3 4 2 2" xfId="7725" xr:uid="{00000000-0005-0000-0000-000071050000}"/>
    <cellStyle name="Comma 2 3 2 2 3 4 2 2 2" xfId="19271" xr:uid="{6ACD5CA8-6ABD-4ABE-BBCC-8A13D5B93D52}"/>
    <cellStyle name="Comma 2 3 2 2 3 4 2 2 3" xfId="29687" xr:uid="{5E9DD495-07B0-4573-ABDC-74BDF9E5BC94}"/>
    <cellStyle name="Comma 2 3 2 2 3 4 2 3" xfId="12913" xr:uid="{9DBAB298-C95E-4B00-8BA3-6DC132BEBAD0}"/>
    <cellStyle name="Comma 2 3 2 2 3 4 2 4" xfId="23329" xr:uid="{6F1E520B-33B9-496A-8B5F-40C40ACD838F}"/>
    <cellStyle name="Comma 2 3 2 2 3 4 3" xfId="7724" xr:uid="{00000000-0005-0000-0000-000072050000}"/>
    <cellStyle name="Comma 2 3 2 2 3 4 3 2" xfId="19270" xr:uid="{7C568807-C38B-49F4-A491-40203AEA7F8D}"/>
    <cellStyle name="Comma 2 3 2 2 3 4 3 3" xfId="29686" xr:uid="{1990104F-B569-4A9F-B007-622AFBC5A892}"/>
    <cellStyle name="Comma 2 3 2 2 3 4 4" xfId="5053" xr:uid="{00000000-0005-0000-0000-000073050000}"/>
    <cellStyle name="Comma 2 3 2 2 3 4 4 2" xfId="16639" xr:uid="{10A8591C-FE92-4E49-B46F-AC32D3F05274}"/>
    <cellStyle name="Comma 2 3 2 2 3 4 4 3" xfId="27055" xr:uid="{5547EE3D-2631-456E-ACB5-27FC3C6B15D9}"/>
    <cellStyle name="Comma 2 3 2 2 3 4 5" xfId="12912" xr:uid="{1981E24B-41E3-48BC-86C9-651EEEC8749C}"/>
    <cellStyle name="Comma 2 3 2 2 3 4 6" xfId="23328" xr:uid="{CC2C772A-EEDB-415A-8B46-389EFF5729C6}"/>
    <cellStyle name="Comma 2 3 2 2 3 5" xfId="579" xr:uid="{00000000-0005-0000-0000-000074050000}"/>
    <cellStyle name="Comma 2 3 2 2 3 5 2" xfId="7726" xr:uid="{00000000-0005-0000-0000-000075050000}"/>
    <cellStyle name="Comma 2 3 2 2 3 5 2 2" xfId="19272" xr:uid="{5543F708-FA92-43F6-8CF7-6CE5B30BD5B2}"/>
    <cellStyle name="Comma 2 3 2 2 3 5 2 3" xfId="29688" xr:uid="{BE6F4C3C-26C5-420E-ACBF-8FCB1AB1D952}"/>
    <cellStyle name="Comma 2 3 2 2 3 5 3" xfId="12914" xr:uid="{658C2448-EDFF-4DFB-B5DB-BD0D4FF24463}"/>
    <cellStyle name="Comma 2 3 2 2 3 5 4" xfId="23330" xr:uid="{C6EA735F-EE5D-4979-BED9-791ACC79746F}"/>
    <cellStyle name="Comma 2 3 2 2 3 6" xfId="7717" xr:uid="{00000000-0005-0000-0000-000076050000}"/>
    <cellStyle name="Comma 2 3 2 2 3 6 2" xfId="19263" xr:uid="{A7ABFCBE-C8D1-47A0-A6C6-5035C2DB501A}"/>
    <cellStyle name="Comma 2 3 2 2 3 6 3" xfId="29679" xr:uid="{EB509D9C-3995-43DB-AE95-F6FB7CDAAE15}"/>
    <cellStyle name="Comma 2 3 2 2 3 7" xfId="5049" xr:uid="{00000000-0005-0000-0000-000077050000}"/>
    <cellStyle name="Comma 2 3 2 2 3 7 2" xfId="16635" xr:uid="{FF097483-CC7D-46BE-AEEE-E71BC64D1FE7}"/>
    <cellStyle name="Comma 2 3 2 2 3 7 3" xfId="27051" xr:uid="{8CD73B3C-A5E6-4B0C-9FDB-604C9ED9F90F}"/>
    <cellStyle name="Comma 2 3 2 2 3 8" xfId="12905" xr:uid="{F0D693CF-AC1C-4D00-8299-A70BD5F172BD}"/>
    <cellStyle name="Comma 2 3 2 2 3 9" xfId="23321" xr:uid="{AD4F97B9-301D-41BE-BC03-8CB899980FBB}"/>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2 2 2" xfId="19276" xr:uid="{74993E37-7E58-45B1-AD87-26D4AE8A357F}"/>
    <cellStyle name="Comma 2 3 2 2 4 2 2 2 2 3" xfId="29692" xr:uid="{C75091C9-69A1-4FC8-A935-D8A7A7B8B5A6}"/>
    <cellStyle name="Comma 2 3 2 2 4 2 2 2 3" xfId="12918" xr:uid="{15B782E3-08E8-42D3-97BA-A167A981AA1D}"/>
    <cellStyle name="Comma 2 3 2 2 4 2 2 2 4" xfId="23334" xr:uid="{5EA49BAE-6AE0-4998-9B28-A854D558908A}"/>
    <cellStyle name="Comma 2 3 2 2 4 2 2 3" xfId="7729" xr:uid="{00000000-0005-0000-0000-00007D050000}"/>
    <cellStyle name="Comma 2 3 2 2 4 2 2 3 2" xfId="19275" xr:uid="{5E047D15-0B01-4A1B-BF37-215B801DDD49}"/>
    <cellStyle name="Comma 2 3 2 2 4 2 2 3 3" xfId="29691" xr:uid="{3C80E16A-73E9-4433-B9B5-B6395A563B35}"/>
    <cellStyle name="Comma 2 3 2 2 4 2 2 4" xfId="5056" xr:uid="{00000000-0005-0000-0000-00007E050000}"/>
    <cellStyle name="Comma 2 3 2 2 4 2 2 4 2" xfId="16642" xr:uid="{0E1DB27B-551D-4993-855B-4A555AADDC8D}"/>
    <cellStyle name="Comma 2 3 2 2 4 2 2 4 3" xfId="27058" xr:uid="{669BF78B-A404-4CE8-BA08-76460A8CCE4C}"/>
    <cellStyle name="Comma 2 3 2 2 4 2 2 5" xfId="12917" xr:uid="{08042DBD-2357-470C-A72E-03674896C56F}"/>
    <cellStyle name="Comma 2 3 2 2 4 2 2 6" xfId="23333" xr:uid="{3E804D5D-0378-49D9-808A-DCCBE8E4943E}"/>
    <cellStyle name="Comma 2 3 2 2 4 2 3" xfId="584" xr:uid="{00000000-0005-0000-0000-00007F050000}"/>
    <cellStyle name="Comma 2 3 2 2 4 2 3 2" xfId="7731" xr:uid="{00000000-0005-0000-0000-000080050000}"/>
    <cellStyle name="Comma 2 3 2 2 4 2 3 2 2" xfId="19277" xr:uid="{9DC2F5D8-04D3-4413-83A4-C70BED2524BC}"/>
    <cellStyle name="Comma 2 3 2 2 4 2 3 2 3" xfId="29693" xr:uid="{7D1EE695-6D82-44E3-BC56-C0F3FAA75C40}"/>
    <cellStyle name="Comma 2 3 2 2 4 2 3 3" xfId="12919" xr:uid="{E2826E7D-00E0-4510-9DF6-11B1A9ED5BD6}"/>
    <cellStyle name="Comma 2 3 2 2 4 2 3 4" xfId="23335" xr:uid="{FD828FC8-9DBE-4B18-8F04-801FC98B8B7C}"/>
    <cellStyle name="Comma 2 3 2 2 4 2 4" xfId="7728" xr:uid="{00000000-0005-0000-0000-000081050000}"/>
    <cellStyle name="Comma 2 3 2 2 4 2 4 2" xfId="19274" xr:uid="{4B74EE51-586C-4568-A53A-1BEA621677C9}"/>
    <cellStyle name="Comma 2 3 2 2 4 2 4 3" xfId="29690" xr:uid="{599F3207-4F3A-42A3-9CA2-DA9C3C16E31D}"/>
    <cellStyle name="Comma 2 3 2 2 4 2 5" xfId="5055" xr:uid="{00000000-0005-0000-0000-000082050000}"/>
    <cellStyle name="Comma 2 3 2 2 4 2 5 2" xfId="16641" xr:uid="{3536EFE7-867E-4658-A5D5-BAFEFFFF67A5}"/>
    <cellStyle name="Comma 2 3 2 2 4 2 5 3" xfId="27057" xr:uid="{A80ABE54-7D2D-4BCD-B099-43FD236107F8}"/>
    <cellStyle name="Comma 2 3 2 2 4 2 6" xfId="12916" xr:uid="{D6762570-3A7F-48B8-93A0-5D4511D31BB0}"/>
    <cellStyle name="Comma 2 3 2 2 4 2 7" xfId="23332" xr:uid="{9B0505A1-BFFD-45CB-A898-062F596CA190}"/>
    <cellStyle name="Comma 2 3 2 2 4 3" xfId="585" xr:uid="{00000000-0005-0000-0000-000083050000}"/>
    <cellStyle name="Comma 2 3 2 2 4 3 2" xfId="586" xr:uid="{00000000-0005-0000-0000-000084050000}"/>
    <cellStyle name="Comma 2 3 2 2 4 3 2 2" xfId="7733" xr:uid="{00000000-0005-0000-0000-000085050000}"/>
    <cellStyle name="Comma 2 3 2 2 4 3 2 2 2" xfId="19279" xr:uid="{610E1388-C704-4BB4-881B-D87F940832E9}"/>
    <cellStyle name="Comma 2 3 2 2 4 3 2 2 3" xfId="29695" xr:uid="{FEE1D4DC-46AA-4846-9B3C-B1A8D8333F22}"/>
    <cellStyle name="Comma 2 3 2 2 4 3 2 3" xfId="12921" xr:uid="{401DCF00-4346-45AD-983E-14AB7A5AD8DC}"/>
    <cellStyle name="Comma 2 3 2 2 4 3 2 4" xfId="23337" xr:uid="{58DBBBC3-55D0-4846-8906-A5A3A2E1A773}"/>
    <cellStyle name="Comma 2 3 2 2 4 3 3" xfId="7732" xr:uid="{00000000-0005-0000-0000-000086050000}"/>
    <cellStyle name="Comma 2 3 2 2 4 3 3 2" xfId="19278" xr:uid="{E2FD47D1-4B51-48A4-875D-8CE520636A97}"/>
    <cellStyle name="Comma 2 3 2 2 4 3 3 3" xfId="29694" xr:uid="{0EB0E3C3-5952-49F4-8EA5-D8E9BD600F26}"/>
    <cellStyle name="Comma 2 3 2 2 4 3 4" xfId="5057" xr:uid="{00000000-0005-0000-0000-000087050000}"/>
    <cellStyle name="Comma 2 3 2 2 4 3 4 2" xfId="16643" xr:uid="{4442F80A-14EF-408F-8BEA-4342D4040AE9}"/>
    <cellStyle name="Comma 2 3 2 2 4 3 4 3" xfId="27059" xr:uid="{A688E8A8-AEBC-4ABC-90DE-E678E8C6FF80}"/>
    <cellStyle name="Comma 2 3 2 2 4 3 5" xfId="12920" xr:uid="{1F6C2F90-71DC-4A4F-8673-9CB642EF65FD}"/>
    <cellStyle name="Comma 2 3 2 2 4 3 6" xfId="23336" xr:uid="{7FD83EC0-58B7-4142-9FDC-6878FEEAD825}"/>
    <cellStyle name="Comma 2 3 2 2 4 4" xfId="587" xr:uid="{00000000-0005-0000-0000-000088050000}"/>
    <cellStyle name="Comma 2 3 2 2 4 4 2" xfId="588" xr:uid="{00000000-0005-0000-0000-000089050000}"/>
    <cellStyle name="Comma 2 3 2 2 4 4 2 2" xfId="7735" xr:uid="{00000000-0005-0000-0000-00008A050000}"/>
    <cellStyle name="Comma 2 3 2 2 4 4 2 2 2" xfId="19281" xr:uid="{2DA35267-2EF8-45CC-B30E-D18ADDC4EA6A}"/>
    <cellStyle name="Comma 2 3 2 2 4 4 2 2 3" xfId="29697" xr:uid="{B0E0AF04-E8E0-4C27-9A91-FD41ED49B641}"/>
    <cellStyle name="Comma 2 3 2 2 4 4 2 3" xfId="12923" xr:uid="{9A361249-8C78-47C5-B1F3-D1A3349B18C3}"/>
    <cellStyle name="Comma 2 3 2 2 4 4 2 4" xfId="23339" xr:uid="{79F2B419-E08B-4EEA-AAA4-C37E208B1225}"/>
    <cellStyle name="Comma 2 3 2 2 4 4 3" xfId="7734" xr:uid="{00000000-0005-0000-0000-00008B050000}"/>
    <cellStyle name="Comma 2 3 2 2 4 4 3 2" xfId="19280" xr:uid="{D269F380-FD32-444F-B173-A073D268D326}"/>
    <cellStyle name="Comma 2 3 2 2 4 4 3 3" xfId="29696" xr:uid="{A11F91EA-2B44-4A36-B655-98749A0EC094}"/>
    <cellStyle name="Comma 2 3 2 2 4 4 4" xfId="5058" xr:uid="{00000000-0005-0000-0000-00008C050000}"/>
    <cellStyle name="Comma 2 3 2 2 4 4 4 2" xfId="16644" xr:uid="{D594B32B-F103-4936-B763-2793DAAE41F3}"/>
    <cellStyle name="Comma 2 3 2 2 4 4 4 3" xfId="27060" xr:uid="{5C3F578B-FDBA-4181-86F2-06760D22C85B}"/>
    <cellStyle name="Comma 2 3 2 2 4 4 5" xfId="12922" xr:uid="{BB88D307-1696-4ACB-9136-A51EFE2189A7}"/>
    <cellStyle name="Comma 2 3 2 2 4 4 6" xfId="23338" xr:uid="{F54F1513-4E7B-4823-B3EA-4A0100384DA6}"/>
    <cellStyle name="Comma 2 3 2 2 4 5" xfId="589" xr:uid="{00000000-0005-0000-0000-00008D050000}"/>
    <cellStyle name="Comma 2 3 2 2 4 5 2" xfId="7736" xr:uid="{00000000-0005-0000-0000-00008E050000}"/>
    <cellStyle name="Comma 2 3 2 2 4 5 2 2" xfId="19282" xr:uid="{59B2261B-9392-46F4-990B-0F9CD56C85E2}"/>
    <cellStyle name="Comma 2 3 2 2 4 5 2 3" xfId="29698" xr:uid="{68938D9C-9C73-4CCC-8E14-3360922BB699}"/>
    <cellStyle name="Comma 2 3 2 2 4 5 3" xfId="12924" xr:uid="{05D1061D-9C91-4199-9E9A-6425216B0FEC}"/>
    <cellStyle name="Comma 2 3 2 2 4 5 4" xfId="23340" xr:uid="{2E91FDF6-A164-47E6-B684-A9BC384ECC2D}"/>
    <cellStyle name="Comma 2 3 2 2 4 6" xfId="7727" xr:uid="{00000000-0005-0000-0000-00008F050000}"/>
    <cellStyle name="Comma 2 3 2 2 4 6 2" xfId="19273" xr:uid="{78AC61EE-4445-40D0-ABA1-C492D886FB6B}"/>
    <cellStyle name="Comma 2 3 2 2 4 6 3" xfId="29689" xr:uid="{D9D97B71-A410-4CE3-909D-5D3D3AC329FA}"/>
    <cellStyle name="Comma 2 3 2 2 4 7" xfId="5054" xr:uid="{00000000-0005-0000-0000-000090050000}"/>
    <cellStyle name="Comma 2 3 2 2 4 7 2" xfId="16640" xr:uid="{EB591FC1-E548-4ADD-AE6D-CA9647FBDAC7}"/>
    <cellStyle name="Comma 2 3 2 2 4 7 3" xfId="27056" xr:uid="{7F2CBC16-72E1-4DDC-8BF8-28723AF8F790}"/>
    <cellStyle name="Comma 2 3 2 2 4 8" xfId="12915" xr:uid="{7F831390-C3AC-48A1-A369-6CB59412F5BB}"/>
    <cellStyle name="Comma 2 3 2 2 4 9" xfId="23331" xr:uid="{53C83DBF-A789-4CAC-B27D-F7793F8F881D}"/>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2 2 2" xfId="19286" xr:uid="{746A6FBC-B630-434C-9FF4-87CE4A7E4B01}"/>
    <cellStyle name="Comma 2 3 2 2 5 2 2 2 2 3" xfId="29702" xr:uid="{3E31123E-F2B6-445D-B2EC-48459FDDA232}"/>
    <cellStyle name="Comma 2 3 2 2 5 2 2 2 3" xfId="12928" xr:uid="{D4FF1865-95F7-48B5-8759-C59EA08B5729}"/>
    <cellStyle name="Comma 2 3 2 2 5 2 2 2 4" xfId="23344" xr:uid="{A2984A72-3FFA-40D8-9CA7-84547AD322A6}"/>
    <cellStyle name="Comma 2 3 2 2 5 2 2 3" xfId="7739" xr:uid="{00000000-0005-0000-0000-000096050000}"/>
    <cellStyle name="Comma 2 3 2 2 5 2 2 3 2" xfId="19285" xr:uid="{49BC409C-18AB-44E9-9DAE-39F3089550D5}"/>
    <cellStyle name="Comma 2 3 2 2 5 2 2 3 3" xfId="29701" xr:uid="{83DC87A0-FE9C-4FD0-86EB-BC22C7DDF804}"/>
    <cellStyle name="Comma 2 3 2 2 5 2 2 4" xfId="5061" xr:uid="{00000000-0005-0000-0000-000097050000}"/>
    <cellStyle name="Comma 2 3 2 2 5 2 2 4 2" xfId="16647" xr:uid="{F833D39A-8E2C-4A7F-8978-D28E43E7399C}"/>
    <cellStyle name="Comma 2 3 2 2 5 2 2 4 3" xfId="27063" xr:uid="{51C543CA-A09B-4FA5-828B-4254C17BE008}"/>
    <cellStyle name="Comma 2 3 2 2 5 2 2 5" xfId="12927" xr:uid="{181F5B8B-8522-4B3E-9BF5-CC7F487E8D78}"/>
    <cellStyle name="Comma 2 3 2 2 5 2 2 6" xfId="23343" xr:uid="{1F888A63-D4E6-4C97-AD79-524D181B968D}"/>
    <cellStyle name="Comma 2 3 2 2 5 2 3" xfId="594" xr:uid="{00000000-0005-0000-0000-000098050000}"/>
    <cellStyle name="Comma 2 3 2 2 5 2 3 2" xfId="7741" xr:uid="{00000000-0005-0000-0000-000099050000}"/>
    <cellStyle name="Comma 2 3 2 2 5 2 3 2 2" xfId="19287" xr:uid="{10C47EF7-F3FF-489D-8D17-06A2D7ABF235}"/>
    <cellStyle name="Comma 2 3 2 2 5 2 3 2 3" xfId="29703" xr:uid="{8A62A91F-013A-481C-9772-DEDF7B1084C1}"/>
    <cellStyle name="Comma 2 3 2 2 5 2 3 3" xfId="12929" xr:uid="{72D5C3D9-0B3C-4E9A-9848-18F3965AAB37}"/>
    <cellStyle name="Comma 2 3 2 2 5 2 3 4" xfId="23345" xr:uid="{F1865516-66CE-4529-A28C-9BC74357A957}"/>
    <cellStyle name="Comma 2 3 2 2 5 2 4" xfId="7738" xr:uid="{00000000-0005-0000-0000-00009A050000}"/>
    <cellStyle name="Comma 2 3 2 2 5 2 4 2" xfId="19284" xr:uid="{07842F2C-2C5B-4EB6-9B7B-B090AEDB23F2}"/>
    <cellStyle name="Comma 2 3 2 2 5 2 4 3" xfId="29700" xr:uid="{7B772D42-D44F-40AA-A0DE-7B2BAE7069C4}"/>
    <cellStyle name="Comma 2 3 2 2 5 2 5" xfId="5060" xr:uid="{00000000-0005-0000-0000-00009B050000}"/>
    <cellStyle name="Comma 2 3 2 2 5 2 5 2" xfId="16646" xr:uid="{7E9F76D4-60D3-4F28-A455-CE2C3E672250}"/>
    <cellStyle name="Comma 2 3 2 2 5 2 5 3" xfId="27062" xr:uid="{3A7D89CD-F45E-4A44-B7AC-B2BB1EC3C9FB}"/>
    <cellStyle name="Comma 2 3 2 2 5 2 6" xfId="12926" xr:uid="{0519753F-5156-434A-8E6D-32C953EDBE20}"/>
    <cellStyle name="Comma 2 3 2 2 5 2 7" xfId="23342" xr:uid="{036C0F53-90BA-494C-B54E-F9F87365A612}"/>
    <cellStyle name="Comma 2 3 2 2 5 3" xfId="595" xr:uid="{00000000-0005-0000-0000-00009C050000}"/>
    <cellStyle name="Comma 2 3 2 2 5 3 2" xfId="596" xr:uid="{00000000-0005-0000-0000-00009D050000}"/>
    <cellStyle name="Comma 2 3 2 2 5 3 2 2" xfId="7743" xr:uid="{00000000-0005-0000-0000-00009E050000}"/>
    <cellStyle name="Comma 2 3 2 2 5 3 2 2 2" xfId="19289" xr:uid="{B339BB46-61F4-4D88-8511-880948D2C824}"/>
    <cellStyle name="Comma 2 3 2 2 5 3 2 2 3" xfId="29705" xr:uid="{6E62E778-B610-4DF8-8E54-EA0D6E60DB4D}"/>
    <cellStyle name="Comma 2 3 2 2 5 3 2 3" xfId="12931" xr:uid="{7E7BA679-0AF2-440E-A0D4-03E9E321B567}"/>
    <cellStyle name="Comma 2 3 2 2 5 3 2 4" xfId="23347" xr:uid="{81D60952-641A-43A3-B854-4D983FDCBA49}"/>
    <cellStyle name="Comma 2 3 2 2 5 3 3" xfId="7742" xr:uid="{00000000-0005-0000-0000-00009F050000}"/>
    <cellStyle name="Comma 2 3 2 2 5 3 3 2" xfId="19288" xr:uid="{FF7B6786-1700-433A-BDFC-EE97DCE7F789}"/>
    <cellStyle name="Comma 2 3 2 2 5 3 3 3" xfId="29704" xr:uid="{0584F637-7BAD-4DC6-A160-D740CBEADFBB}"/>
    <cellStyle name="Comma 2 3 2 2 5 3 4" xfId="5062" xr:uid="{00000000-0005-0000-0000-0000A0050000}"/>
    <cellStyle name="Comma 2 3 2 2 5 3 4 2" xfId="16648" xr:uid="{1C9F5FFB-C797-4EBA-810D-C02EF4504200}"/>
    <cellStyle name="Comma 2 3 2 2 5 3 4 3" xfId="27064" xr:uid="{2C2488AA-19CC-4CC6-8B3C-7CDCDC4316B9}"/>
    <cellStyle name="Comma 2 3 2 2 5 3 5" xfId="12930" xr:uid="{22D2E63E-AA74-4179-B98E-112316C2A391}"/>
    <cellStyle name="Comma 2 3 2 2 5 3 6" xfId="23346" xr:uid="{D833F421-263A-4998-A13D-3264F68A3E9C}"/>
    <cellStyle name="Comma 2 3 2 2 5 4" xfId="597" xr:uid="{00000000-0005-0000-0000-0000A1050000}"/>
    <cellStyle name="Comma 2 3 2 2 5 4 2" xfId="598" xr:uid="{00000000-0005-0000-0000-0000A2050000}"/>
    <cellStyle name="Comma 2 3 2 2 5 4 2 2" xfId="7745" xr:uid="{00000000-0005-0000-0000-0000A3050000}"/>
    <cellStyle name="Comma 2 3 2 2 5 4 2 2 2" xfId="19291" xr:uid="{3F464FCF-6BD6-4208-9A84-C6F77CB8BFD5}"/>
    <cellStyle name="Comma 2 3 2 2 5 4 2 2 3" xfId="29707" xr:uid="{87E46EB9-6E32-4C57-9C80-F1E210F045CB}"/>
    <cellStyle name="Comma 2 3 2 2 5 4 2 3" xfId="12933" xr:uid="{FCAA71DF-27C9-46A3-99FB-9FAE258F3329}"/>
    <cellStyle name="Comma 2 3 2 2 5 4 2 4" xfId="23349" xr:uid="{3CA45FA4-E0E6-4FF1-86EE-CC4AC1205D62}"/>
    <cellStyle name="Comma 2 3 2 2 5 4 3" xfId="7744" xr:uid="{00000000-0005-0000-0000-0000A4050000}"/>
    <cellStyle name="Comma 2 3 2 2 5 4 3 2" xfId="19290" xr:uid="{9DFC5999-6F37-49E9-9E98-D4409D7C3730}"/>
    <cellStyle name="Comma 2 3 2 2 5 4 3 3" xfId="29706" xr:uid="{39B7B778-A65D-441E-AAAC-AE74D8E1E474}"/>
    <cellStyle name="Comma 2 3 2 2 5 4 4" xfId="5063" xr:uid="{00000000-0005-0000-0000-0000A5050000}"/>
    <cellStyle name="Comma 2 3 2 2 5 4 4 2" xfId="16649" xr:uid="{3DB94EF1-48DC-4DD5-935D-CFA19F8850A1}"/>
    <cellStyle name="Comma 2 3 2 2 5 4 4 3" xfId="27065" xr:uid="{E526C13B-8F5C-439E-B273-5A89F52317D8}"/>
    <cellStyle name="Comma 2 3 2 2 5 4 5" xfId="12932" xr:uid="{5B20A10D-A515-42A2-9A84-136843E1832A}"/>
    <cellStyle name="Comma 2 3 2 2 5 4 6" xfId="23348" xr:uid="{5FAF7916-EC86-425A-AAE8-A94C3C9FBF6D}"/>
    <cellStyle name="Comma 2 3 2 2 5 5" xfId="599" xr:uid="{00000000-0005-0000-0000-0000A6050000}"/>
    <cellStyle name="Comma 2 3 2 2 5 5 2" xfId="7746" xr:uid="{00000000-0005-0000-0000-0000A7050000}"/>
    <cellStyle name="Comma 2 3 2 2 5 5 2 2" xfId="19292" xr:uid="{BED3B591-5EA7-48AF-8D25-4DA1DA606AA5}"/>
    <cellStyle name="Comma 2 3 2 2 5 5 2 3" xfId="29708" xr:uid="{77C2C80D-C1BC-4FBD-B16F-8BFB0C8D7FFC}"/>
    <cellStyle name="Comma 2 3 2 2 5 5 3" xfId="12934" xr:uid="{38C955E8-02B0-4EBB-99F1-F3608C3F83E7}"/>
    <cellStyle name="Comma 2 3 2 2 5 5 4" xfId="23350" xr:uid="{FA41462C-71D9-4B97-B248-0D46172B99E8}"/>
    <cellStyle name="Comma 2 3 2 2 5 6" xfId="7737" xr:uid="{00000000-0005-0000-0000-0000A8050000}"/>
    <cellStyle name="Comma 2 3 2 2 5 6 2" xfId="19283" xr:uid="{3343E6C2-3195-4F37-9AEF-100CDFD29072}"/>
    <cellStyle name="Comma 2 3 2 2 5 6 3" xfId="29699" xr:uid="{91044024-7E29-43CA-BAD4-CA5D85449DD6}"/>
    <cellStyle name="Comma 2 3 2 2 5 7" xfId="5059" xr:uid="{00000000-0005-0000-0000-0000A9050000}"/>
    <cellStyle name="Comma 2 3 2 2 5 7 2" xfId="16645" xr:uid="{4AD877E2-91A6-4113-B360-6CC4D7BF4394}"/>
    <cellStyle name="Comma 2 3 2 2 5 7 3" xfId="27061" xr:uid="{BB959AEC-7DC5-4469-9E9C-DC8D681E1C17}"/>
    <cellStyle name="Comma 2 3 2 2 5 8" xfId="12925" xr:uid="{011236EC-BE38-49D6-8F11-5C162A7CDD5D}"/>
    <cellStyle name="Comma 2 3 2 2 5 9" xfId="23341" xr:uid="{BC8F308B-43CF-4D52-92F1-0660780A8D75}"/>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2 2 2" xfId="19295" xr:uid="{16BAD64A-6EEF-432B-AA67-E859563F57A5}"/>
    <cellStyle name="Comma 2 3 2 2 6 2 2 2 3" xfId="29711" xr:uid="{DF36ED91-BA08-4322-8342-62B836D92DC7}"/>
    <cellStyle name="Comma 2 3 2 2 6 2 2 3" xfId="12937" xr:uid="{0AFB9BC3-A4CC-4E6F-9F35-2937E03E36CF}"/>
    <cellStyle name="Comma 2 3 2 2 6 2 2 4" xfId="23353" xr:uid="{2B8D6CEC-8042-49E9-8A5A-043C69838F25}"/>
    <cellStyle name="Comma 2 3 2 2 6 2 3" xfId="7748" xr:uid="{00000000-0005-0000-0000-0000AE050000}"/>
    <cellStyle name="Comma 2 3 2 2 6 2 3 2" xfId="19294" xr:uid="{5452EC3B-DD05-45CA-AF8D-7F57A0F88488}"/>
    <cellStyle name="Comma 2 3 2 2 6 2 3 3" xfId="29710" xr:uid="{FC091BE1-D2A2-4559-B5FA-AF7CA2579D12}"/>
    <cellStyle name="Comma 2 3 2 2 6 2 4" xfId="5065" xr:uid="{00000000-0005-0000-0000-0000AF050000}"/>
    <cellStyle name="Comma 2 3 2 2 6 2 4 2" xfId="16651" xr:uid="{B61C93C8-AAEF-4EC8-A8BF-405C962736CA}"/>
    <cellStyle name="Comma 2 3 2 2 6 2 4 3" xfId="27067" xr:uid="{8B1271F6-9323-4B99-97CA-17ED966DAF20}"/>
    <cellStyle name="Comma 2 3 2 2 6 2 5" xfId="12936" xr:uid="{A22D99F3-8B9F-4F01-AB65-12F68C948486}"/>
    <cellStyle name="Comma 2 3 2 2 6 2 6" xfId="23352" xr:uid="{C834621D-8E6D-46E5-9304-B4A98ACA546C}"/>
    <cellStyle name="Comma 2 3 2 2 6 3" xfId="603" xr:uid="{00000000-0005-0000-0000-0000B0050000}"/>
    <cellStyle name="Comma 2 3 2 2 6 3 2" xfId="604" xr:uid="{00000000-0005-0000-0000-0000B1050000}"/>
    <cellStyle name="Comma 2 3 2 2 6 3 2 2" xfId="7751" xr:uid="{00000000-0005-0000-0000-0000B2050000}"/>
    <cellStyle name="Comma 2 3 2 2 6 3 2 2 2" xfId="19297" xr:uid="{E513B300-F13F-488D-81B7-AEB746BBE6CF}"/>
    <cellStyle name="Comma 2 3 2 2 6 3 2 2 3" xfId="29713" xr:uid="{B247E204-747F-4D5B-9114-C21D812C979F}"/>
    <cellStyle name="Comma 2 3 2 2 6 3 2 3" xfId="12939" xr:uid="{2455EEB0-7423-497C-8FD6-E22DCA5EAE98}"/>
    <cellStyle name="Comma 2 3 2 2 6 3 2 4" xfId="23355" xr:uid="{D63CFE65-338C-456C-8CF7-E302034A6D88}"/>
    <cellStyle name="Comma 2 3 2 2 6 3 3" xfId="7750" xr:uid="{00000000-0005-0000-0000-0000B3050000}"/>
    <cellStyle name="Comma 2 3 2 2 6 3 3 2" xfId="19296" xr:uid="{24EDCFBF-B3EA-4417-9FFB-690BD39A3D75}"/>
    <cellStyle name="Comma 2 3 2 2 6 3 3 3" xfId="29712" xr:uid="{DF740BF2-556A-4482-B962-5EC4DF496108}"/>
    <cellStyle name="Comma 2 3 2 2 6 3 4" xfId="5066" xr:uid="{00000000-0005-0000-0000-0000B4050000}"/>
    <cellStyle name="Comma 2 3 2 2 6 3 4 2" xfId="16652" xr:uid="{D2F4F977-305C-41C6-8A4C-3A6998E0D06E}"/>
    <cellStyle name="Comma 2 3 2 2 6 3 4 3" xfId="27068" xr:uid="{B588780A-4E5B-4B4F-B94A-BAE8D5FDD370}"/>
    <cellStyle name="Comma 2 3 2 2 6 3 5" xfId="12938" xr:uid="{2C7B1E39-AFB6-467A-A36F-5B352CEEF561}"/>
    <cellStyle name="Comma 2 3 2 2 6 3 6" xfId="23354" xr:uid="{0EDF3BD2-EA4D-4F08-AC4A-C36216DC3577}"/>
    <cellStyle name="Comma 2 3 2 2 6 4" xfId="605" xr:uid="{00000000-0005-0000-0000-0000B5050000}"/>
    <cellStyle name="Comma 2 3 2 2 6 4 2" xfId="7752" xr:uid="{00000000-0005-0000-0000-0000B6050000}"/>
    <cellStyle name="Comma 2 3 2 2 6 4 2 2" xfId="19298" xr:uid="{F0F94AAB-840C-4254-A757-02832F1D6B90}"/>
    <cellStyle name="Comma 2 3 2 2 6 4 2 3" xfId="29714" xr:uid="{E867D7DD-0702-4FAD-954E-371B22623190}"/>
    <cellStyle name="Comma 2 3 2 2 6 4 3" xfId="12940" xr:uid="{13EDFBE2-8462-48BE-B70B-44FF28C871ED}"/>
    <cellStyle name="Comma 2 3 2 2 6 4 4" xfId="23356" xr:uid="{EE5BE083-AE9F-4972-8CB0-172ACEF0739E}"/>
    <cellStyle name="Comma 2 3 2 2 6 5" xfId="7747" xr:uid="{00000000-0005-0000-0000-0000B7050000}"/>
    <cellStyle name="Comma 2 3 2 2 6 5 2" xfId="19293" xr:uid="{F7E352A3-8511-431D-BEFD-9EF63AB6D804}"/>
    <cellStyle name="Comma 2 3 2 2 6 5 3" xfId="29709" xr:uid="{CD7FF98E-6395-4F06-84D7-CFAE5C768939}"/>
    <cellStyle name="Comma 2 3 2 2 6 6" xfId="5064" xr:uid="{00000000-0005-0000-0000-0000B8050000}"/>
    <cellStyle name="Comma 2 3 2 2 6 6 2" xfId="16650" xr:uid="{DB100B4C-082C-4C6B-917E-29E8582269DA}"/>
    <cellStyle name="Comma 2 3 2 2 6 6 3" xfId="27066" xr:uid="{6C9C4EAC-6F0B-4F1C-AB40-96C2F4AD7443}"/>
    <cellStyle name="Comma 2 3 2 2 6 7" xfId="12935" xr:uid="{78525718-3F5C-44FB-89B2-1D88AE183C6A}"/>
    <cellStyle name="Comma 2 3 2 2 6 8" xfId="23351" xr:uid="{B9C63A1A-8F7A-4DCA-8595-DD28A96D43F6}"/>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2 2 2" xfId="19301" xr:uid="{A594E3B5-F171-4D5A-A4A2-A08B4492B9DF}"/>
    <cellStyle name="Comma 2 3 2 2 7 2 2 2 3" xfId="29717" xr:uid="{F095BF28-4EB8-461C-A21D-247DD1A3B888}"/>
    <cellStyle name="Comma 2 3 2 2 7 2 2 3" xfId="12943" xr:uid="{06ED7AB9-EBCC-4318-900F-978685D23823}"/>
    <cellStyle name="Comma 2 3 2 2 7 2 2 4" xfId="23359" xr:uid="{6E1DEFAD-F572-4A34-8D8A-94BCB4D6A513}"/>
    <cellStyle name="Comma 2 3 2 2 7 2 3" xfId="7754" xr:uid="{00000000-0005-0000-0000-0000BD050000}"/>
    <cellStyle name="Comma 2 3 2 2 7 2 3 2" xfId="19300" xr:uid="{41EDE715-B32E-4FB5-8D6B-B1838CC22815}"/>
    <cellStyle name="Comma 2 3 2 2 7 2 3 3" xfId="29716" xr:uid="{F6E8CEA9-35AB-4DC9-8D31-A39EC9288623}"/>
    <cellStyle name="Comma 2 3 2 2 7 2 4" xfId="5068" xr:uid="{00000000-0005-0000-0000-0000BE050000}"/>
    <cellStyle name="Comma 2 3 2 2 7 2 4 2" xfId="16654" xr:uid="{8EB1280B-DFE5-4C13-B2E6-585FCFA8FD40}"/>
    <cellStyle name="Comma 2 3 2 2 7 2 4 3" xfId="27070" xr:uid="{3177BF5B-1D1F-4B22-9C5B-82D23C120EDF}"/>
    <cellStyle name="Comma 2 3 2 2 7 2 5" xfId="12942" xr:uid="{D4A2622C-68B6-4C74-AF93-3892BD44B3CF}"/>
    <cellStyle name="Comma 2 3 2 2 7 2 6" xfId="23358" xr:uid="{2D0EE719-931E-415F-961B-23FB7F979A60}"/>
    <cellStyle name="Comma 2 3 2 2 7 3" xfId="609" xr:uid="{00000000-0005-0000-0000-0000BF050000}"/>
    <cellStyle name="Comma 2 3 2 2 7 3 2" xfId="7756" xr:uid="{00000000-0005-0000-0000-0000C0050000}"/>
    <cellStyle name="Comma 2 3 2 2 7 3 2 2" xfId="19302" xr:uid="{C176DF41-27AA-4D78-AF3E-3FC18C979DCD}"/>
    <cellStyle name="Comma 2 3 2 2 7 3 2 3" xfId="29718" xr:uid="{E08D697D-2723-4A1B-8F88-A5477A369C82}"/>
    <cellStyle name="Comma 2 3 2 2 7 3 3" xfId="12944" xr:uid="{462B60B1-F90D-490A-AFDE-F2FFEDEC9589}"/>
    <cellStyle name="Comma 2 3 2 2 7 3 4" xfId="23360" xr:uid="{2D678295-5A4B-444B-A6B9-6352A0363AB0}"/>
    <cellStyle name="Comma 2 3 2 2 7 4" xfId="7753" xr:uid="{00000000-0005-0000-0000-0000C1050000}"/>
    <cellStyle name="Comma 2 3 2 2 7 4 2" xfId="19299" xr:uid="{72EB64F0-AC24-4014-8FE4-7A88EC0B1A84}"/>
    <cellStyle name="Comma 2 3 2 2 7 4 3" xfId="29715" xr:uid="{0008A36F-AC7F-443D-8B46-21EFDEF11FDF}"/>
    <cellStyle name="Comma 2 3 2 2 7 5" xfId="5067" xr:uid="{00000000-0005-0000-0000-0000C2050000}"/>
    <cellStyle name="Comma 2 3 2 2 7 5 2" xfId="16653" xr:uid="{98585953-4EE2-47F5-A28E-7113061AE887}"/>
    <cellStyle name="Comma 2 3 2 2 7 5 3" xfId="27069" xr:uid="{5B3030FB-CC6F-4F96-9740-30E5A4C1E5C4}"/>
    <cellStyle name="Comma 2 3 2 2 7 6" xfId="12941" xr:uid="{AC6E199C-B147-4CED-A1D7-4588C0394E1A}"/>
    <cellStyle name="Comma 2 3 2 2 7 7" xfId="23357" xr:uid="{1984DF03-75A2-45DC-B649-3F5EE2095939}"/>
    <cellStyle name="Comma 2 3 2 2 8" xfId="610" xr:uid="{00000000-0005-0000-0000-0000C3050000}"/>
    <cellStyle name="Comma 2 3 2 2 8 2" xfId="611" xr:uid="{00000000-0005-0000-0000-0000C4050000}"/>
    <cellStyle name="Comma 2 3 2 2 8 2 2" xfId="7758" xr:uid="{00000000-0005-0000-0000-0000C5050000}"/>
    <cellStyle name="Comma 2 3 2 2 8 2 2 2" xfId="19304" xr:uid="{3CE78CCA-2DEF-45FB-ABEA-526DD228CF16}"/>
    <cellStyle name="Comma 2 3 2 2 8 2 2 3" xfId="29720" xr:uid="{9FCF80E0-D3E5-4BCA-AF15-2880C3138E99}"/>
    <cellStyle name="Comma 2 3 2 2 8 2 3" xfId="12946" xr:uid="{5387617F-70FA-469B-9F51-586932BA86EC}"/>
    <cellStyle name="Comma 2 3 2 2 8 2 4" xfId="23362" xr:uid="{DDDD18BE-138E-4197-9431-2074E2503C2C}"/>
    <cellStyle name="Comma 2 3 2 2 8 3" xfId="7757" xr:uid="{00000000-0005-0000-0000-0000C6050000}"/>
    <cellStyle name="Comma 2 3 2 2 8 3 2" xfId="19303" xr:uid="{9F72BE85-8E25-4286-98B1-D78E0C225152}"/>
    <cellStyle name="Comma 2 3 2 2 8 3 3" xfId="29719" xr:uid="{A18C6393-ECCF-4C66-AE32-37FB7926C47E}"/>
    <cellStyle name="Comma 2 3 2 2 8 4" xfId="5069" xr:uid="{00000000-0005-0000-0000-0000C7050000}"/>
    <cellStyle name="Comma 2 3 2 2 8 4 2" xfId="16655" xr:uid="{D8684E9B-0DF2-4754-8B00-459048CAC4A3}"/>
    <cellStyle name="Comma 2 3 2 2 8 4 3" xfId="27071" xr:uid="{CF5428A6-7E62-41B6-ACB1-41439A962034}"/>
    <cellStyle name="Comma 2 3 2 2 8 5" xfId="12945" xr:uid="{9D4F21C3-2CF9-4E91-9A99-6337F00B5A31}"/>
    <cellStyle name="Comma 2 3 2 2 8 6" xfId="23361" xr:uid="{7A115563-BD8E-4DA0-9790-01C77AABBA42}"/>
    <cellStyle name="Comma 2 3 2 2 9" xfId="612" xr:uid="{00000000-0005-0000-0000-0000C8050000}"/>
    <cellStyle name="Comma 2 3 2 2 9 2" xfId="613" xr:uid="{00000000-0005-0000-0000-0000C9050000}"/>
    <cellStyle name="Comma 2 3 2 2 9 2 2" xfId="7760" xr:uid="{00000000-0005-0000-0000-0000CA050000}"/>
    <cellStyle name="Comma 2 3 2 2 9 2 2 2" xfId="19306" xr:uid="{19C7A52D-CC83-4E7E-AA67-680C92D0C6FA}"/>
    <cellStyle name="Comma 2 3 2 2 9 2 2 3" xfId="29722" xr:uid="{2A374E40-9054-4369-8614-ED4F582F888A}"/>
    <cellStyle name="Comma 2 3 2 2 9 2 3" xfId="12948" xr:uid="{81EE33CF-895B-445A-99F7-C066CDF961D8}"/>
    <cellStyle name="Comma 2 3 2 2 9 2 4" xfId="23364" xr:uid="{E0860655-E644-4344-AC47-7AB9B8C257BB}"/>
    <cellStyle name="Comma 2 3 2 2 9 3" xfId="7759" xr:uid="{00000000-0005-0000-0000-0000CB050000}"/>
    <cellStyle name="Comma 2 3 2 2 9 3 2" xfId="19305" xr:uid="{8889C2CC-EDD3-4A21-9FBE-470116A62AB9}"/>
    <cellStyle name="Comma 2 3 2 2 9 3 3" xfId="29721" xr:uid="{3DF980E6-5828-4D8A-91E5-30EC50AF571F}"/>
    <cellStyle name="Comma 2 3 2 2 9 4" xfId="5070" xr:uid="{00000000-0005-0000-0000-0000CC050000}"/>
    <cellStyle name="Comma 2 3 2 2 9 4 2" xfId="16656" xr:uid="{B6143CAC-BE31-4C08-9839-F4A2FD5C7417}"/>
    <cellStyle name="Comma 2 3 2 2 9 4 3" xfId="27072" xr:uid="{7C748484-7198-4B99-BC27-EE264E7E4EB1}"/>
    <cellStyle name="Comma 2 3 2 2 9 5" xfId="12947" xr:uid="{DFA5261A-BCD8-4BEC-934B-A61D2661D5F9}"/>
    <cellStyle name="Comma 2 3 2 2 9 6" xfId="23363" xr:uid="{2AAB6EE8-445F-4C0F-B5CF-A30583DCFD09}"/>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2 2 2" xfId="19310" xr:uid="{84E0997F-2F69-4417-A350-70733F5BA38D}"/>
    <cellStyle name="Comma 2 3 2 3 2 2 2 2 3" xfId="29726" xr:uid="{28030E6F-C6E3-430F-93BE-BA1DD32FC9F0}"/>
    <cellStyle name="Comma 2 3 2 3 2 2 2 3" xfId="12952" xr:uid="{FF93DB55-91CB-4EC2-B25D-A30BECBB5302}"/>
    <cellStyle name="Comma 2 3 2 3 2 2 2 4" xfId="23368" xr:uid="{39CAECC7-4816-4E9E-8557-422D7EA50D5E}"/>
    <cellStyle name="Comma 2 3 2 3 2 2 3" xfId="7763" xr:uid="{00000000-0005-0000-0000-0000D2050000}"/>
    <cellStyle name="Comma 2 3 2 3 2 2 3 2" xfId="19309" xr:uid="{00FA6C24-5FFD-4B8C-88C0-DEB375AB64F6}"/>
    <cellStyle name="Comma 2 3 2 3 2 2 3 3" xfId="29725" xr:uid="{806CD68A-74F3-42A9-9071-6CCB92E32AF3}"/>
    <cellStyle name="Comma 2 3 2 3 2 2 4" xfId="5073" xr:uid="{00000000-0005-0000-0000-0000D3050000}"/>
    <cellStyle name="Comma 2 3 2 3 2 2 4 2" xfId="16659" xr:uid="{E4A8E9FD-041F-4FF6-A065-D12B76C8AA02}"/>
    <cellStyle name="Comma 2 3 2 3 2 2 4 3" xfId="27075" xr:uid="{F3BD990B-505C-41BA-8912-05DB9D783126}"/>
    <cellStyle name="Comma 2 3 2 3 2 2 5" xfId="12951" xr:uid="{E2E9CCCC-2D96-4B82-A85A-FD59E3D97E56}"/>
    <cellStyle name="Comma 2 3 2 3 2 2 6" xfId="23367" xr:uid="{A6542CC1-3611-4C8B-BFA6-8027EB2CB4A6}"/>
    <cellStyle name="Comma 2 3 2 3 2 3" xfId="618" xr:uid="{00000000-0005-0000-0000-0000D4050000}"/>
    <cellStyle name="Comma 2 3 2 3 2 3 2" xfId="7765" xr:uid="{00000000-0005-0000-0000-0000D5050000}"/>
    <cellStyle name="Comma 2 3 2 3 2 3 2 2" xfId="19311" xr:uid="{455C55D7-0E5B-4765-A3BF-B063F6ABEA17}"/>
    <cellStyle name="Comma 2 3 2 3 2 3 2 3" xfId="29727" xr:uid="{B8EDF5AF-99E9-4403-B2CB-DDC65A298DC2}"/>
    <cellStyle name="Comma 2 3 2 3 2 3 3" xfId="12953" xr:uid="{1491B400-50BA-4C8D-99B7-433B463A8187}"/>
    <cellStyle name="Comma 2 3 2 3 2 3 4" xfId="23369" xr:uid="{9585AB2C-24C8-4D35-AD04-92AE4E500BC6}"/>
    <cellStyle name="Comma 2 3 2 3 2 4" xfId="7762" xr:uid="{00000000-0005-0000-0000-0000D6050000}"/>
    <cellStyle name="Comma 2 3 2 3 2 4 2" xfId="19308" xr:uid="{75C5B622-0686-4762-99F1-345FBE41E558}"/>
    <cellStyle name="Comma 2 3 2 3 2 4 3" xfId="29724" xr:uid="{8E3D8ADD-FC9F-4458-B1D1-0BF34255CAEC}"/>
    <cellStyle name="Comma 2 3 2 3 2 5" xfId="5072" xr:uid="{00000000-0005-0000-0000-0000D7050000}"/>
    <cellStyle name="Comma 2 3 2 3 2 5 2" xfId="16658" xr:uid="{E0338670-682C-425D-A9AC-32FADCEEEA5F}"/>
    <cellStyle name="Comma 2 3 2 3 2 5 3" xfId="27074" xr:uid="{554575E5-D725-4BE5-AA86-FD7DDDD147EF}"/>
    <cellStyle name="Comma 2 3 2 3 2 6" xfId="12950" xr:uid="{6CF42FD1-9414-4E29-9ABE-E69C0B0B7D59}"/>
    <cellStyle name="Comma 2 3 2 3 2 7" xfId="23366" xr:uid="{529B4254-4FDF-487B-8245-D7900A6CA9B3}"/>
    <cellStyle name="Comma 2 3 2 3 3" xfId="619" xr:uid="{00000000-0005-0000-0000-0000D8050000}"/>
    <cellStyle name="Comma 2 3 2 3 3 2" xfId="620" xr:uid="{00000000-0005-0000-0000-0000D9050000}"/>
    <cellStyle name="Comma 2 3 2 3 3 2 2" xfId="7767" xr:uid="{00000000-0005-0000-0000-0000DA050000}"/>
    <cellStyle name="Comma 2 3 2 3 3 2 2 2" xfId="19313" xr:uid="{B845B0D4-9B5C-48C6-B989-D79E38D01E8E}"/>
    <cellStyle name="Comma 2 3 2 3 3 2 2 3" xfId="29729" xr:uid="{FCF4362D-A90D-420C-810A-E0F8D80553E4}"/>
    <cellStyle name="Comma 2 3 2 3 3 2 3" xfId="12955" xr:uid="{47131C0F-AD87-4366-96CA-F82AD3AA4855}"/>
    <cellStyle name="Comma 2 3 2 3 3 2 4" xfId="23371" xr:uid="{37D7310F-DFC2-4498-9BEB-D4801BA52828}"/>
    <cellStyle name="Comma 2 3 2 3 3 3" xfId="7766" xr:uid="{00000000-0005-0000-0000-0000DB050000}"/>
    <cellStyle name="Comma 2 3 2 3 3 3 2" xfId="19312" xr:uid="{771182B1-0D10-4707-BFCA-D6B6948A3D67}"/>
    <cellStyle name="Comma 2 3 2 3 3 3 3" xfId="29728" xr:uid="{77C97068-EE05-4695-86E9-B4366ECCD1F9}"/>
    <cellStyle name="Comma 2 3 2 3 3 4" xfId="5074" xr:uid="{00000000-0005-0000-0000-0000DC050000}"/>
    <cellStyle name="Comma 2 3 2 3 3 4 2" xfId="16660" xr:uid="{E986DEC0-07CB-4494-8A4C-34732F8F0A40}"/>
    <cellStyle name="Comma 2 3 2 3 3 4 3" xfId="27076" xr:uid="{9C9E7834-3DD1-4A78-8C16-CE6BDDBF6C61}"/>
    <cellStyle name="Comma 2 3 2 3 3 5" xfId="12954" xr:uid="{EC08F186-B0BB-4E04-8EC5-6F9537A1DC28}"/>
    <cellStyle name="Comma 2 3 2 3 3 6" xfId="23370" xr:uid="{81E83A1D-7D53-4DBB-920A-61757161B4A7}"/>
    <cellStyle name="Comma 2 3 2 3 4" xfId="621" xr:uid="{00000000-0005-0000-0000-0000DD050000}"/>
    <cellStyle name="Comma 2 3 2 3 4 2" xfId="622" xr:uid="{00000000-0005-0000-0000-0000DE050000}"/>
    <cellStyle name="Comma 2 3 2 3 4 2 2" xfId="7769" xr:uid="{00000000-0005-0000-0000-0000DF050000}"/>
    <cellStyle name="Comma 2 3 2 3 4 2 2 2" xfId="19315" xr:uid="{5F36DBD7-1ED2-462C-B9BA-AA399CE29B87}"/>
    <cellStyle name="Comma 2 3 2 3 4 2 2 3" xfId="29731" xr:uid="{901888D8-B4EA-4DCD-9B15-C8E322CA10E0}"/>
    <cellStyle name="Comma 2 3 2 3 4 2 3" xfId="12957" xr:uid="{A3F34E5F-72E9-4C86-93D1-1DF1455803C0}"/>
    <cellStyle name="Comma 2 3 2 3 4 2 4" xfId="23373" xr:uid="{7BECDD7D-9BB3-4C76-8156-923AE11A5F35}"/>
    <cellStyle name="Comma 2 3 2 3 4 3" xfId="7768" xr:uid="{00000000-0005-0000-0000-0000E0050000}"/>
    <cellStyle name="Comma 2 3 2 3 4 3 2" xfId="19314" xr:uid="{9FBD5D63-05C3-4E3E-84E5-8B6239A40B0B}"/>
    <cellStyle name="Comma 2 3 2 3 4 3 3" xfId="29730" xr:uid="{1F883720-2952-475C-8FE3-D0407AC9B3FF}"/>
    <cellStyle name="Comma 2 3 2 3 4 4" xfId="5075" xr:uid="{00000000-0005-0000-0000-0000E1050000}"/>
    <cellStyle name="Comma 2 3 2 3 4 4 2" xfId="16661" xr:uid="{F4CAC5F8-8ADA-42F9-8656-138205B3D844}"/>
    <cellStyle name="Comma 2 3 2 3 4 4 3" xfId="27077" xr:uid="{C15B7634-1B31-4FDF-B167-2106EAC894CD}"/>
    <cellStyle name="Comma 2 3 2 3 4 5" xfId="12956" xr:uid="{40CEF556-FE8D-41CB-A412-F87BC2B8E702}"/>
    <cellStyle name="Comma 2 3 2 3 4 6" xfId="23372" xr:uid="{9DD856F9-1876-4384-ABB3-E39BCF1AA92E}"/>
    <cellStyle name="Comma 2 3 2 3 5" xfId="623" xr:uid="{00000000-0005-0000-0000-0000E2050000}"/>
    <cellStyle name="Comma 2 3 2 3 5 2" xfId="7770" xr:uid="{00000000-0005-0000-0000-0000E3050000}"/>
    <cellStyle name="Comma 2 3 2 3 5 2 2" xfId="19316" xr:uid="{F1CA61E9-BFD9-44E2-8378-8AE5129A71C6}"/>
    <cellStyle name="Comma 2 3 2 3 5 2 3" xfId="29732" xr:uid="{0CBDDBAD-7D64-40CE-B523-D2607A25B61B}"/>
    <cellStyle name="Comma 2 3 2 3 5 3" xfId="12958" xr:uid="{EF23584A-11C2-4647-8425-9E7A38161AD1}"/>
    <cellStyle name="Comma 2 3 2 3 5 4" xfId="23374" xr:uid="{95B6D78F-CD78-4300-BDCD-F27E036EFAFD}"/>
    <cellStyle name="Comma 2 3 2 3 6" xfId="7761" xr:uid="{00000000-0005-0000-0000-0000E4050000}"/>
    <cellStyle name="Comma 2 3 2 3 6 2" xfId="19307" xr:uid="{DA25F09B-EA74-4244-82E4-D85A6E98146F}"/>
    <cellStyle name="Comma 2 3 2 3 6 3" xfId="29723" xr:uid="{49C2D048-2CDE-48F1-B614-D465C9D17E63}"/>
    <cellStyle name="Comma 2 3 2 3 7" xfId="5071" xr:uid="{00000000-0005-0000-0000-0000E5050000}"/>
    <cellStyle name="Comma 2 3 2 3 7 2" xfId="16657" xr:uid="{DCF640C6-771B-4BCE-82A4-DEB5782F46FB}"/>
    <cellStyle name="Comma 2 3 2 3 7 3" xfId="27073" xr:uid="{E6158A85-5B0B-49DF-A459-D2E8FCCD8566}"/>
    <cellStyle name="Comma 2 3 2 3 8" xfId="12949" xr:uid="{25CCAED3-2D72-4A89-A6B5-82370B328C77}"/>
    <cellStyle name="Comma 2 3 2 3 9" xfId="23365" xr:uid="{680E4D90-CF6D-4986-9C9D-46392BE7666E}"/>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2 2 2" xfId="19320" xr:uid="{0B6FBEF9-ED4C-4E7F-A0A1-CF42478724D1}"/>
    <cellStyle name="Comma 2 3 2 4 2 2 2 2 3" xfId="29736" xr:uid="{D63FB06B-A038-4B59-BDFF-EC0C61CC1F0C}"/>
    <cellStyle name="Comma 2 3 2 4 2 2 2 3" xfId="12962" xr:uid="{26E0A9FB-ACEB-4E97-B112-3BD30D9D95ED}"/>
    <cellStyle name="Comma 2 3 2 4 2 2 2 4" xfId="23378" xr:uid="{C1EC56BC-AA69-4467-B2BA-A43DAA49397C}"/>
    <cellStyle name="Comma 2 3 2 4 2 2 3" xfId="7773" xr:uid="{00000000-0005-0000-0000-0000EB050000}"/>
    <cellStyle name="Comma 2 3 2 4 2 2 3 2" xfId="19319" xr:uid="{040F27D3-74A7-4E0D-A7C4-6D9670FF95D7}"/>
    <cellStyle name="Comma 2 3 2 4 2 2 3 3" xfId="29735" xr:uid="{DB666FEA-BADA-4704-A3BD-CA1BDEEB8100}"/>
    <cellStyle name="Comma 2 3 2 4 2 2 4" xfId="5078" xr:uid="{00000000-0005-0000-0000-0000EC050000}"/>
    <cellStyle name="Comma 2 3 2 4 2 2 4 2" xfId="16664" xr:uid="{61F03D77-F119-4884-903B-00D05EE54E83}"/>
    <cellStyle name="Comma 2 3 2 4 2 2 4 3" xfId="27080" xr:uid="{57171267-354A-42DF-846D-CB44D5F8F481}"/>
    <cellStyle name="Comma 2 3 2 4 2 2 5" xfId="12961" xr:uid="{C08C6894-AF05-4B06-A39A-E3C2607577A6}"/>
    <cellStyle name="Comma 2 3 2 4 2 2 6" xfId="23377" xr:uid="{DFB8DF73-EFDB-4190-BB91-B56BB289770E}"/>
    <cellStyle name="Comma 2 3 2 4 2 3" xfId="628" xr:uid="{00000000-0005-0000-0000-0000ED050000}"/>
    <cellStyle name="Comma 2 3 2 4 2 3 2" xfId="7775" xr:uid="{00000000-0005-0000-0000-0000EE050000}"/>
    <cellStyle name="Comma 2 3 2 4 2 3 2 2" xfId="19321" xr:uid="{1B1FC35C-1C72-421C-87C3-663408AA6A2B}"/>
    <cellStyle name="Comma 2 3 2 4 2 3 2 3" xfId="29737" xr:uid="{0D7B76E6-E4B7-4F1D-985B-F03141F31E92}"/>
    <cellStyle name="Comma 2 3 2 4 2 3 3" xfId="12963" xr:uid="{D3C9D2D7-09FC-4FF4-9C1C-2613CF786093}"/>
    <cellStyle name="Comma 2 3 2 4 2 3 4" xfId="23379" xr:uid="{903D1551-0729-4C45-AB8F-EABADC74BAAA}"/>
    <cellStyle name="Comma 2 3 2 4 2 4" xfId="7772" xr:uid="{00000000-0005-0000-0000-0000EF050000}"/>
    <cellStyle name="Comma 2 3 2 4 2 4 2" xfId="19318" xr:uid="{C444EB2B-542B-4EA5-BF35-E451AF763F07}"/>
    <cellStyle name="Comma 2 3 2 4 2 4 3" xfId="29734" xr:uid="{AA6A4D78-4167-4167-8161-646C5361E862}"/>
    <cellStyle name="Comma 2 3 2 4 2 5" xfId="5077" xr:uid="{00000000-0005-0000-0000-0000F0050000}"/>
    <cellStyle name="Comma 2 3 2 4 2 5 2" xfId="16663" xr:uid="{31706524-85BB-48B9-A818-D722AD85F6F5}"/>
    <cellStyle name="Comma 2 3 2 4 2 5 3" xfId="27079" xr:uid="{57068057-E5C1-4F81-8628-0A5D54994D2B}"/>
    <cellStyle name="Comma 2 3 2 4 2 6" xfId="12960" xr:uid="{3D050312-D716-4D98-96AC-40959C864730}"/>
    <cellStyle name="Comma 2 3 2 4 2 7" xfId="23376" xr:uid="{CBD29C93-1510-4390-BCC2-5B1B67917187}"/>
    <cellStyle name="Comma 2 3 2 4 3" xfId="629" xr:uid="{00000000-0005-0000-0000-0000F1050000}"/>
    <cellStyle name="Comma 2 3 2 4 3 2" xfId="630" xr:uid="{00000000-0005-0000-0000-0000F2050000}"/>
    <cellStyle name="Comma 2 3 2 4 3 2 2" xfId="7777" xr:uid="{00000000-0005-0000-0000-0000F3050000}"/>
    <cellStyle name="Comma 2 3 2 4 3 2 2 2" xfId="19323" xr:uid="{9671F451-84D2-49BB-9DF8-E751F1DF199F}"/>
    <cellStyle name="Comma 2 3 2 4 3 2 2 3" xfId="29739" xr:uid="{72B95A70-62B2-4F9A-8449-36B15BC8C4DD}"/>
    <cellStyle name="Comma 2 3 2 4 3 2 3" xfId="12965" xr:uid="{7FE88176-1E4E-4F98-A532-A75915DDD829}"/>
    <cellStyle name="Comma 2 3 2 4 3 2 4" xfId="23381" xr:uid="{07EF5EEF-1AB8-43F8-B37F-A8D54EC60922}"/>
    <cellStyle name="Comma 2 3 2 4 3 3" xfId="7776" xr:uid="{00000000-0005-0000-0000-0000F4050000}"/>
    <cellStyle name="Comma 2 3 2 4 3 3 2" xfId="19322" xr:uid="{06BDD7F4-339D-4612-A487-91708662F05D}"/>
    <cellStyle name="Comma 2 3 2 4 3 3 3" xfId="29738" xr:uid="{49E0753F-A4C5-4B25-8BF9-F14D364C64CF}"/>
    <cellStyle name="Comma 2 3 2 4 3 4" xfId="5079" xr:uid="{00000000-0005-0000-0000-0000F5050000}"/>
    <cellStyle name="Comma 2 3 2 4 3 4 2" xfId="16665" xr:uid="{F4489ACC-56BF-4E85-8F7A-AA07376931FA}"/>
    <cellStyle name="Comma 2 3 2 4 3 4 3" xfId="27081" xr:uid="{6D413470-5496-4AB5-8496-B7EFC4CFC369}"/>
    <cellStyle name="Comma 2 3 2 4 3 5" xfId="12964" xr:uid="{AD12ED5B-ADD2-4B59-AE3D-376F584C6251}"/>
    <cellStyle name="Comma 2 3 2 4 3 6" xfId="23380" xr:uid="{B9FC77DC-4EBD-4963-85A0-FFF2879B1EDB}"/>
    <cellStyle name="Comma 2 3 2 4 4" xfId="631" xr:uid="{00000000-0005-0000-0000-0000F6050000}"/>
    <cellStyle name="Comma 2 3 2 4 4 2" xfId="632" xr:uid="{00000000-0005-0000-0000-0000F7050000}"/>
    <cellStyle name="Comma 2 3 2 4 4 2 2" xfId="7779" xr:uid="{00000000-0005-0000-0000-0000F8050000}"/>
    <cellStyle name="Comma 2 3 2 4 4 2 2 2" xfId="19325" xr:uid="{E0393998-EB9E-4D43-9A68-3EE5CFB62FE4}"/>
    <cellStyle name="Comma 2 3 2 4 4 2 2 3" xfId="29741" xr:uid="{D85C618C-F04A-4E72-AF06-845000BCF12B}"/>
    <cellStyle name="Comma 2 3 2 4 4 2 3" xfId="12967" xr:uid="{47397AE1-B660-4C9D-8060-2B6A6D8B61E4}"/>
    <cellStyle name="Comma 2 3 2 4 4 2 4" xfId="23383" xr:uid="{CB0ADE0E-284E-464E-BA5F-9EB5423ECD11}"/>
    <cellStyle name="Comma 2 3 2 4 4 3" xfId="7778" xr:uid="{00000000-0005-0000-0000-0000F9050000}"/>
    <cellStyle name="Comma 2 3 2 4 4 3 2" xfId="19324" xr:uid="{C81A08E3-4840-42B4-B364-9278CF5A8453}"/>
    <cellStyle name="Comma 2 3 2 4 4 3 3" xfId="29740" xr:uid="{9F4BD3FD-F9B0-42A9-94AA-536A2CB7AC68}"/>
    <cellStyle name="Comma 2 3 2 4 4 4" xfId="5080" xr:uid="{00000000-0005-0000-0000-0000FA050000}"/>
    <cellStyle name="Comma 2 3 2 4 4 4 2" xfId="16666" xr:uid="{4A027543-B75D-4696-B10E-DEB2630687C4}"/>
    <cellStyle name="Comma 2 3 2 4 4 4 3" xfId="27082" xr:uid="{2065C11C-6931-49BB-B859-AE21D067B1A0}"/>
    <cellStyle name="Comma 2 3 2 4 4 5" xfId="12966" xr:uid="{CD181E9B-5D47-4AA6-A437-F97DF8A11880}"/>
    <cellStyle name="Comma 2 3 2 4 4 6" xfId="23382" xr:uid="{276A2343-5D6E-4B7C-B45A-C8631F5DF71E}"/>
    <cellStyle name="Comma 2 3 2 4 5" xfId="633" xr:uid="{00000000-0005-0000-0000-0000FB050000}"/>
    <cellStyle name="Comma 2 3 2 4 5 2" xfId="7780" xr:uid="{00000000-0005-0000-0000-0000FC050000}"/>
    <cellStyle name="Comma 2 3 2 4 5 2 2" xfId="19326" xr:uid="{1F9ED4F6-5D0C-4371-A489-53C383FEEB2A}"/>
    <cellStyle name="Comma 2 3 2 4 5 2 3" xfId="29742" xr:uid="{643C9D35-6A7A-42F4-BFED-E0E51221E760}"/>
    <cellStyle name="Comma 2 3 2 4 5 3" xfId="12968" xr:uid="{7B9DF4ED-03A6-48F2-9FBF-EB32B199854E}"/>
    <cellStyle name="Comma 2 3 2 4 5 4" xfId="23384" xr:uid="{A50A3334-B214-48C1-8A80-60C0AD45044B}"/>
    <cellStyle name="Comma 2 3 2 4 6" xfId="7771" xr:uid="{00000000-0005-0000-0000-0000FD050000}"/>
    <cellStyle name="Comma 2 3 2 4 6 2" xfId="19317" xr:uid="{34158F55-4DBA-4649-8BC7-084007875BBD}"/>
    <cellStyle name="Comma 2 3 2 4 6 3" xfId="29733" xr:uid="{8E75EEF3-C934-4029-A3F2-5A4BBFEA9FE5}"/>
    <cellStyle name="Comma 2 3 2 4 7" xfId="5076" xr:uid="{00000000-0005-0000-0000-0000FE050000}"/>
    <cellStyle name="Comma 2 3 2 4 7 2" xfId="16662" xr:uid="{60F7EA90-B145-4ADE-BFBD-D69ED204961F}"/>
    <cellStyle name="Comma 2 3 2 4 7 3" xfId="27078" xr:uid="{8B20112C-8B18-4A28-BDFA-64D418F3D3A9}"/>
    <cellStyle name="Comma 2 3 2 4 8" xfId="12959" xr:uid="{FBF14CD1-5EB0-43B3-9FCD-F6A127FF7C0D}"/>
    <cellStyle name="Comma 2 3 2 4 9" xfId="23375" xr:uid="{4622DCC2-D804-4EAA-947A-8EBA28EAD134}"/>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2 2 2" xfId="19330" xr:uid="{9878BEF2-E226-4C9B-B6E1-7DEB3554D268}"/>
    <cellStyle name="Comma 2 3 2 5 2 2 2 2 3" xfId="29746" xr:uid="{7B60EE53-75E4-4FE2-A4DF-FDE6C9071701}"/>
    <cellStyle name="Comma 2 3 2 5 2 2 2 3" xfId="12972" xr:uid="{D06ACCCB-BFED-4C62-BA36-65B005844614}"/>
    <cellStyle name="Comma 2 3 2 5 2 2 2 4" xfId="23388" xr:uid="{F77752FC-2AF9-4B63-A3B3-09B88727F4A8}"/>
    <cellStyle name="Comma 2 3 2 5 2 2 3" xfId="7783" xr:uid="{00000000-0005-0000-0000-000004060000}"/>
    <cellStyle name="Comma 2 3 2 5 2 2 3 2" xfId="19329" xr:uid="{37E7F64C-3476-46EF-9F30-E97206997A16}"/>
    <cellStyle name="Comma 2 3 2 5 2 2 3 3" xfId="29745" xr:uid="{1940A39A-471D-4234-96B5-CE3E57CE9CDC}"/>
    <cellStyle name="Comma 2 3 2 5 2 2 4" xfId="5083" xr:uid="{00000000-0005-0000-0000-000005060000}"/>
    <cellStyle name="Comma 2 3 2 5 2 2 4 2" xfId="16669" xr:uid="{ABB244B9-C3CE-468A-AADC-62B7353CF9C4}"/>
    <cellStyle name="Comma 2 3 2 5 2 2 4 3" xfId="27085" xr:uid="{92E3C670-1923-463F-A9FE-02FC35E70745}"/>
    <cellStyle name="Comma 2 3 2 5 2 2 5" xfId="12971" xr:uid="{CAD96559-0E80-4D6F-9D68-9A73DF9894AF}"/>
    <cellStyle name="Comma 2 3 2 5 2 2 6" xfId="23387" xr:uid="{B8B1A1E0-B774-4BBA-9606-2826F9727A18}"/>
    <cellStyle name="Comma 2 3 2 5 2 3" xfId="638" xr:uid="{00000000-0005-0000-0000-000006060000}"/>
    <cellStyle name="Comma 2 3 2 5 2 3 2" xfId="7785" xr:uid="{00000000-0005-0000-0000-000007060000}"/>
    <cellStyle name="Comma 2 3 2 5 2 3 2 2" xfId="19331" xr:uid="{5246F0D3-D1B0-4C4F-8D15-ADADEBD76079}"/>
    <cellStyle name="Comma 2 3 2 5 2 3 2 3" xfId="29747" xr:uid="{CC9BA068-44D8-4580-943E-97526D434D3C}"/>
    <cellStyle name="Comma 2 3 2 5 2 3 3" xfId="12973" xr:uid="{B3712529-C1D5-4E47-AD07-568AE9A5E600}"/>
    <cellStyle name="Comma 2 3 2 5 2 3 4" xfId="23389" xr:uid="{B1E960D0-A670-414E-AE10-F023B3BA57EE}"/>
    <cellStyle name="Comma 2 3 2 5 2 4" xfId="7782" xr:uid="{00000000-0005-0000-0000-000008060000}"/>
    <cellStyle name="Comma 2 3 2 5 2 4 2" xfId="19328" xr:uid="{732F4E0E-8129-4477-9528-C0EE7093C30B}"/>
    <cellStyle name="Comma 2 3 2 5 2 4 3" xfId="29744" xr:uid="{82744A69-12B4-4BB2-BB18-C5C0A70DC72D}"/>
    <cellStyle name="Comma 2 3 2 5 2 5" xfId="5082" xr:uid="{00000000-0005-0000-0000-000009060000}"/>
    <cellStyle name="Comma 2 3 2 5 2 5 2" xfId="16668" xr:uid="{001ECEB7-9076-42DF-8ECD-F84097251929}"/>
    <cellStyle name="Comma 2 3 2 5 2 5 3" xfId="27084" xr:uid="{7411C794-7D2F-48C3-8915-CD3EDCBD401D}"/>
    <cellStyle name="Comma 2 3 2 5 2 6" xfId="12970" xr:uid="{9AF313B7-A75A-45DD-9418-82A716D483D3}"/>
    <cellStyle name="Comma 2 3 2 5 2 7" xfId="23386" xr:uid="{DD4C8693-8635-4478-9661-356FDEF7A977}"/>
    <cellStyle name="Comma 2 3 2 5 3" xfId="639" xr:uid="{00000000-0005-0000-0000-00000A060000}"/>
    <cellStyle name="Comma 2 3 2 5 3 2" xfId="640" xr:uid="{00000000-0005-0000-0000-00000B060000}"/>
    <cellStyle name="Comma 2 3 2 5 3 2 2" xfId="7787" xr:uid="{00000000-0005-0000-0000-00000C060000}"/>
    <cellStyle name="Comma 2 3 2 5 3 2 2 2" xfId="19333" xr:uid="{245AC66A-3979-4759-B85F-A60C5CF2FA5A}"/>
    <cellStyle name="Comma 2 3 2 5 3 2 2 3" xfId="29749" xr:uid="{4BF341DF-FC13-446F-A7FD-51718B6E6798}"/>
    <cellStyle name="Comma 2 3 2 5 3 2 3" xfId="12975" xr:uid="{5540EC70-0757-464F-BADA-FAEF4A6D4328}"/>
    <cellStyle name="Comma 2 3 2 5 3 2 4" xfId="23391" xr:uid="{8BF3AD65-B473-45B5-8E95-6516645A7D4A}"/>
    <cellStyle name="Comma 2 3 2 5 3 3" xfId="7786" xr:uid="{00000000-0005-0000-0000-00000D060000}"/>
    <cellStyle name="Comma 2 3 2 5 3 3 2" xfId="19332" xr:uid="{0388E0EC-C342-46B4-8ABD-32E23DA90517}"/>
    <cellStyle name="Comma 2 3 2 5 3 3 3" xfId="29748" xr:uid="{BFB4BE27-8197-42A8-9984-11C57F3692F2}"/>
    <cellStyle name="Comma 2 3 2 5 3 4" xfId="5084" xr:uid="{00000000-0005-0000-0000-00000E060000}"/>
    <cellStyle name="Comma 2 3 2 5 3 4 2" xfId="16670" xr:uid="{8FA1D71B-D735-4C01-8C31-A627B10FF5AC}"/>
    <cellStyle name="Comma 2 3 2 5 3 4 3" xfId="27086" xr:uid="{FA166250-D900-41F3-B478-6321A56389A8}"/>
    <cellStyle name="Comma 2 3 2 5 3 5" xfId="12974" xr:uid="{B6EAAB66-9DDB-4A9C-A658-08B0E2EBE163}"/>
    <cellStyle name="Comma 2 3 2 5 3 6" xfId="23390" xr:uid="{EF5C9C7F-BC23-4317-B7A2-AA9CDED8BD32}"/>
    <cellStyle name="Comma 2 3 2 5 4" xfId="641" xr:uid="{00000000-0005-0000-0000-00000F060000}"/>
    <cellStyle name="Comma 2 3 2 5 4 2" xfId="642" xr:uid="{00000000-0005-0000-0000-000010060000}"/>
    <cellStyle name="Comma 2 3 2 5 4 2 2" xfId="7789" xr:uid="{00000000-0005-0000-0000-000011060000}"/>
    <cellStyle name="Comma 2 3 2 5 4 2 2 2" xfId="19335" xr:uid="{89874050-A2E4-4357-9EC6-C07F48AA30D9}"/>
    <cellStyle name="Comma 2 3 2 5 4 2 2 3" xfId="29751" xr:uid="{F1A686E0-6AFB-4AAD-B9CC-E95032990484}"/>
    <cellStyle name="Comma 2 3 2 5 4 2 3" xfId="12977" xr:uid="{C47521B0-2110-42DC-B74F-7633D05FC840}"/>
    <cellStyle name="Comma 2 3 2 5 4 2 4" xfId="23393" xr:uid="{437061CA-9AF4-48AD-BE9E-2A45FE7331AE}"/>
    <cellStyle name="Comma 2 3 2 5 4 3" xfId="7788" xr:uid="{00000000-0005-0000-0000-000012060000}"/>
    <cellStyle name="Comma 2 3 2 5 4 3 2" xfId="19334" xr:uid="{8573B299-E593-49B8-BC99-CB26825B0215}"/>
    <cellStyle name="Comma 2 3 2 5 4 3 3" xfId="29750" xr:uid="{9E93506C-9E57-4087-AFB4-3379535EB765}"/>
    <cellStyle name="Comma 2 3 2 5 4 4" xfId="5085" xr:uid="{00000000-0005-0000-0000-000013060000}"/>
    <cellStyle name="Comma 2 3 2 5 4 4 2" xfId="16671" xr:uid="{04B3CB9F-F012-46AA-B2E4-1085D148EE47}"/>
    <cellStyle name="Comma 2 3 2 5 4 4 3" xfId="27087" xr:uid="{47B7CC74-575D-44B0-A015-4DFB7DF762C2}"/>
    <cellStyle name="Comma 2 3 2 5 4 5" xfId="12976" xr:uid="{36D42741-9B41-47A7-8AB9-41656BF70BF6}"/>
    <cellStyle name="Comma 2 3 2 5 4 6" xfId="23392" xr:uid="{E29FC8DD-6523-4101-AA41-06EC10102547}"/>
    <cellStyle name="Comma 2 3 2 5 5" xfId="643" xr:uid="{00000000-0005-0000-0000-000014060000}"/>
    <cellStyle name="Comma 2 3 2 5 5 2" xfId="7790" xr:uid="{00000000-0005-0000-0000-000015060000}"/>
    <cellStyle name="Comma 2 3 2 5 5 2 2" xfId="19336" xr:uid="{3479A52A-C9E2-4C68-B0B6-ABAD693E8098}"/>
    <cellStyle name="Comma 2 3 2 5 5 2 3" xfId="29752" xr:uid="{53BF5CF1-68F0-42BA-82C6-EF5D39C2A16A}"/>
    <cellStyle name="Comma 2 3 2 5 5 3" xfId="12978" xr:uid="{5BDF72FC-1B0A-467C-B9F1-6B17CC435587}"/>
    <cellStyle name="Comma 2 3 2 5 5 4" xfId="23394" xr:uid="{5C3FF226-2371-403F-8DCB-359AC06D47E7}"/>
    <cellStyle name="Comma 2 3 2 5 6" xfId="7781" xr:uid="{00000000-0005-0000-0000-000016060000}"/>
    <cellStyle name="Comma 2 3 2 5 6 2" xfId="19327" xr:uid="{335522CD-0591-4787-BDB1-E6CEC0B98F7D}"/>
    <cellStyle name="Comma 2 3 2 5 6 3" xfId="29743" xr:uid="{A9AAE14E-4B7C-42A0-9623-C816A4B95A2D}"/>
    <cellStyle name="Comma 2 3 2 5 7" xfId="5081" xr:uid="{00000000-0005-0000-0000-000017060000}"/>
    <cellStyle name="Comma 2 3 2 5 7 2" xfId="16667" xr:uid="{D8FAC699-DAB9-4E83-968D-A87FF75F3D96}"/>
    <cellStyle name="Comma 2 3 2 5 7 3" xfId="27083" xr:uid="{02990864-D3BF-44D3-AACB-4CB034FC5688}"/>
    <cellStyle name="Comma 2 3 2 5 8" xfId="12969" xr:uid="{EEB4759C-E868-4885-B041-E9E46E49D9AD}"/>
    <cellStyle name="Comma 2 3 2 5 9" xfId="23385" xr:uid="{A9B22BA5-5120-4458-8BEF-74DD18608DEB}"/>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2 2 2" xfId="19340" xr:uid="{0DCDEC66-1844-4555-94AF-B6E921C0D4D8}"/>
    <cellStyle name="Comma 2 3 2 6 2 2 2 2 3" xfId="29756" xr:uid="{D84FDBD6-9956-4E52-9301-875B5F3D0AE7}"/>
    <cellStyle name="Comma 2 3 2 6 2 2 2 3" xfId="12982" xr:uid="{656FCDCF-501F-456E-9E41-61577E93C29C}"/>
    <cellStyle name="Comma 2 3 2 6 2 2 2 4" xfId="23398" xr:uid="{A11EAB49-C816-4C76-93AE-C0244F1D702C}"/>
    <cellStyle name="Comma 2 3 2 6 2 2 3" xfId="7793" xr:uid="{00000000-0005-0000-0000-00001D060000}"/>
    <cellStyle name="Comma 2 3 2 6 2 2 3 2" xfId="19339" xr:uid="{72275771-93C3-4A31-80E8-7049E77CE631}"/>
    <cellStyle name="Comma 2 3 2 6 2 2 3 3" xfId="29755" xr:uid="{FE03E4E0-4A7C-477A-90A6-288E196F90E4}"/>
    <cellStyle name="Comma 2 3 2 6 2 2 4" xfId="5088" xr:uid="{00000000-0005-0000-0000-00001E060000}"/>
    <cellStyle name="Comma 2 3 2 6 2 2 4 2" xfId="16674" xr:uid="{F015F26D-8754-4449-AF28-BD244DE8DB2C}"/>
    <cellStyle name="Comma 2 3 2 6 2 2 4 3" xfId="27090" xr:uid="{A9E7089D-FC27-4879-9674-3B372E641790}"/>
    <cellStyle name="Comma 2 3 2 6 2 2 5" xfId="12981" xr:uid="{8EE6E319-5CBA-4D1B-A51D-6F9B43914E1F}"/>
    <cellStyle name="Comma 2 3 2 6 2 2 6" xfId="23397" xr:uid="{30B0AA6A-7051-48B2-AB7C-8FC8AFB13E4C}"/>
    <cellStyle name="Comma 2 3 2 6 2 3" xfId="648" xr:uid="{00000000-0005-0000-0000-00001F060000}"/>
    <cellStyle name="Comma 2 3 2 6 2 3 2" xfId="7795" xr:uid="{00000000-0005-0000-0000-000020060000}"/>
    <cellStyle name="Comma 2 3 2 6 2 3 2 2" xfId="19341" xr:uid="{650F63B8-0FDD-4A16-8486-6F777EF4E245}"/>
    <cellStyle name="Comma 2 3 2 6 2 3 2 3" xfId="29757" xr:uid="{EB5CF597-23E7-4832-A59F-71ADAEC2C2C8}"/>
    <cellStyle name="Comma 2 3 2 6 2 3 3" xfId="12983" xr:uid="{117E1DBB-CC36-4FDB-80DE-E4F49B81F006}"/>
    <cellStyle name="Comma 2 3 2 6 2 3 4" xfId="23399" xr:uid="{F17C8BC8-6B5D-4010-A0F1-489E41A0CDC8}"/>
    <cellStyle name="Comma 2 3 2 6 2 4" xfId="7792" xr:uid="{00000000-0005-0000-0000-000021060000}"/>
    <cellStyle name="Comma 2 3 2 6 2 4 2" xfId="19338" xr:uid="{FFD90ACB-7649-4DA7-8751-8A02E03DC3EC}"/>
    <cellStyle name="Comma 2 3 2 6 2 4 3" xfId="29754" xr:uid="{43AFC836-6D4C-4A78-9CCA-679D72B33FB0}"/>
    <cellStyle name="Comma 2 3 2 6 2 5" xfId="5087" xr:uid="{00000000-0005-0000-0000-000022060000}"/>
    <cellStyle name="Comma 2 3 2 6 2 5 2" xfId="16673" xr:uid="{F13F8A50-1E68-4B6C-84AA-DD4D8CFA16BF}"/>
    <cellStyle name="Comma 2 3 2 6 2 5 3" xfId="27089" xr:uid="{E263BA0C-373C-4130-BFFF-D76056573104}"/>
    <cellStyle name="Comma 2 3 2 6 2 6" xfId="12980" xr:uid="{C7BD3BF3-3F88-4F43-852C-6395930FCFD7}"/>
    <cellStyle name="Comma 2 3 2 6 2 7" xfId="23396" xr:uid="{76F1C018-C092-48EE-885C-A14EA6ACD6C4}"/>
    <cellStyle name="Comma 2 3 2 6 3" xfId="649" xr:uid="{00000000-0005-0000-0000-000023060000}"/>
    <cellStyle name="Comma 2 3 2 6 3 2" xfId="650" xr:uid="{00000000-0005-0000-0000-000024060000}"/>
    <cellStyle name="Comma 2 3 2 6 3 2 2" xfId="7797" xr:uid="{00000000-0005-0000-0000-000025060000}"/>
    <cellStyle name="Comma 2 3 2 6 3 2 2 2" xfId="19343" xr:uid="{253FCCA3-BFC7-4238-B0B8-D0DD941396C4}"/>
    <cellStyle name="Comma 2 3 2 6 3 2 2 3" xfId="29759" xr:uid="{44419A38-DBA6-4BAC-A7F3-ABF1079D53C9}"/>
    <cellStyle name="Comma 2 3 2 6 3 2 3" xfId="12985" xr:uid="{C420A267-A35A-4607-BE39-41D53DE4D81C}"/>
    <cellStyle name="Comma 2 3 2 6 3 2 4" xfId="23401" xr:uid="{0A75203A-352C-464B-944D-3EA229CC2DC5}"/>
    <cellStyle name="Comma 2 3 2 6 3 3" xfId="7796" xr:uid="{00000000-0005-0000-0000-000026060000}"/>
    <cellStyle name="Comma 2 3 2 6 3 3 2" xfId="19342" xr:uid="{37562AAA-D7D8-4415-B062-F39232FB31AF}"/>
    <cellStyle name="Comma 2 3 2 6 3 3 3" xfId="29758" xr:uid="{EE244EAF-8E61-46AF-8D09-3485DE0FDBB9}"/>
    <cellStyle name="Comma 2 3 2 6 3 4" xfId="5089" xr:uid="{00000000-0005-0000-0000-000027060000}"/>
    <cellStyle name="Comma 2 3 2 6 3 4 2" xfId="16675" xr:uid="{F04714D9-7ADF-4DDC-AEF2-128DC782ACE1}"/>
    <cellStyle name="Comma 2 3 2 6 3 4 3" xfId="27091" xr:uid="{CC32FC48-6EAB-4A8E-9E37-37A983F5E0EC}"/>
    <cellStyle name="Comma 2 3 2 6 3 5" xfId="12984" xr:uid="{1A64E32A-0EA8-42C5-AE3E-2E24D82A6A66}"/>
    <cellStyle name="Comma 2 3 2 6 3 6" xfId="23400" xr:uid="{3C65D3BC-D394-4B25-B38A-33F922C64513}"/>
    <cellStyle name="Comma 2 3 2 6 4" xfId="651" xr:uid="{00000000-0005-0000-0000-000028060000}"/>
    <cellStyle name="Comma 2 3 2 6 4 2" xfId="652" xr:uid="{00000000-0005-0000-0000-000029060000}"/>
    <cellStyle name="Comma 2 3 2 6 4 2 2" xfId="7799" xr:uid="{00000000-0005-0000-0000-00002A060000}"/>
    <cellStyle name="Comma 2 3 2 6 4 2 2 2" xfId="19345" xr:uid="{E262787E-8FDE-4CD1-BBFE-6A1A75315E8F}"/>
    <cellStyle name="Comma 2 3 2 6 4 2 2 3" xfId="29761" xr:uid="{DCE7AA1E-5D8D-4FDD-9A93-0A5F522C0C85}"/>
    <cellStyle name="Comma 2 3 2 6 4 2 3" xfId="12987" xr:uid="{5A917842-C141-416E-B44C-C9BD0C8D824B}"/>
    <cellStyle name="Comma 2 3 2 6 4 2 4" xfId="23403" xr:uid="{6B73B7AA-D4C0-4581-A25E-E1684729B798}"/>
    <cellStyle name="Comma 2 3 2 6 4 3" xfId="7798" xr:uid="{00000000-0005-0000-0000-00002B060000}"/>
    <cellStyle name="Comma 2 3 2 6 4 3 2" xfId="19344" xr:uid="{356C0EFC-3D71-478E-8D33-19B7EF82DBB1}"/>
    <cellStyle name="Comma 2 3 2 6 4 3 3" xfId="29760" xr:uid="{A8D87D7F-959A-468A-87BA-8A663AA2000E}"/>
    <cellStyle name="Comma 2 3 2 6 4 4" xfId="5090" xr:uid="{00000000-0005-0000-0000-00002C060000}"/>
    <cellStyle name="Comma 2 3 2 6 4 4 2" xfId="16676" xr:uid="{3E09E0C7-9687-4E03-9A8B-577CE71493F7}"/>
    <cellStyle name="Comma 2 3 2 6 4 4 3" xfId="27092" xr:uid="{64C7FDC2-8677-4965-B1F7-300F6259FCBB}"/>
    <cellStyle name="Comma 2 3 2 6 4 5" xfId="12986" xr:uid="{E605714B-2821-4CE5-ACA2-D05D24657C04}"/>
    <cellStyle name="Comma 2 3 2 6 4 6" xfId="23402" xr:uid="{5C8CFE8E-E16D-4793-92D4-799814751919}"/>
    <cellStyle name="Comma 2 3 2 6 5" xfId="653" xr:uid="{00000000-0005-0000-0000-00002D060000}"/>
    <cellStyle name="Comma 2 3 2 6 5 2" xfId="7800" xr:uid="{00000000-0005-0000-0000-00002E060000}"/>
    <cellStyle name="Comma 2 3 2 6 5 2 2" xfId="19346" xr:uid="{C0AA8279-F471-4A5C-84AD-36311EFC8F71}"/>
    <cellStyle name="Comma 2 3 2 6 5 2 3" xfId="29762" xr:uid="{E5D5B2C3-CDD0-4638-A1FA-DAC9D2AA22BB}"/>
    <cellStyle name="Comma 2 3 2 6 5 3" xfId="12988" xr:uid="{2D18A680-C4DB-4DE7-BE18-CC1CC058D0B0}"/>
    <cellStyle name="Comma 2 3 2 6 5 4" xfId="23404" xr:uid="{3EC21863-B687-4221-B3F3-23A4FFBDB4F4}"/>
    <cellStyle name="Comma 2 3 2 6 6" xfId="7791" xr:uid="{00000000-0005-0000-0000-00002F060000}"/>
    <cellStyle name="Comma 2 3 2 6 6 2" xfId="19337" xr:uid="{48D26ECD-C0B6-4A52-9D3D-E2B86CDF609E}"/>
    <cellStyle name="Comma 2 3 2 6 6 3" xfId="29753" xr:uid="{54EF973A-5C40-4B8A-B8AE-EA27403E895A}"/>
    <cellStyle name="Comma 2 3 2 6 7" xfId="5086" xr:uid="{00000000-0005-0000-0000-000030060000}"/>
    <cellStyle name="Comma 2 3 2 6 7 2" xfId="16672" xr:uid="{7455F74D-8152-4BEB-A5C4-AAD608854A5D}"/>
    <cellStyle name="Comma 2 3 2 6 7 3" xfId="27088" xr:uid="{BA34C96C-B542-473A-B33C-A6A0CF3A6F86}"/>
    <cellStyle name="Comma 2 3 2 6 8" xfId="12979" xr:uid="{4D12C733-CD73-4802-B984-CF4BF7CA35B3}"/>
    <cellStyle name="Comma 2 3 2 6 9" xfId="23395" xr:uid="{C65CC4AE-43FD-42F6-9752-655DCE2C15F2}"/>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2 2 2" xfId="19349" xr:uid="{787DF69E-EF01-4ACF-876B-96FD2B6A129A}"/>
    <cellStyle name="Comma 2 3 2 7 2 2 2 3" xfId="29765" xr:uid="{550662F8-232E-4FA5-ADF9-531255AE5CA6}"/>
    <cellStyle name="Comma 2 3 2 7 2 2 3" xfId="12991" xr:uid="{D100C015-C4C9-4E52-A4A5-7DD27892BDB8}"/>
    <cellStyle name="Comma 2 3 2 7 2 2 4" xfId="23407" xr:uid="{046C37BB-35B9-4942-9672-9F34066C70C5}"/>
    <cellStyle name="Comma 2 3 2 7 2 3" xfId="7802" xr:uid="{00000000-0005-0000-0000-000035060000}"/>
    <cellStyle name="Comma 2 3 2 7 2 3 2" xfId="19348" xr:uid="{7944D0E0-1250-4F94-B6C2-07479C543BA9}"/>
    <cellStyle name="Comma 2 3 2 7 2 3 3" xfId="29764" xr:uid="{34687582-3F25-42FF-87C3-28FD4DA749B8}"/>
    <cellStyle name="Comma 2 3 2 7 2 4" xfId="5092" xr:uid="{00000000-0005-0000-0000-000036060000}"/>
    <cellStyle name="Comma 2 3 2 7 2 4 2" xfId="16678" xr:uid="{29EEB4FA-F543-498F-9ED6-90ED9CD0D4D2}"/>
    <cellStyle name="Comma 2 3 2 7 2 4 3" xfId="27094" xr:uid="{D9C0093A-F74B-40A6-B513-4AC04AEE0669}"/>
    <cellStyle name="Comma 2 3 2 7 2 5" xfId="12990" xr:uid="{4C32C0F4-DDFA-40A9-8A6C-8AC565832034}"/>
    <cellStyle name="Comma 2 3 2 7 2 6" xfId="23406" xr:uid="{D87BF534-D104-47D8-9E32-D528BA19A333}"/>
    <cellStyle name="Comma 2 3 2 7 3" xfId="657" xr:uid="{00000000-0005-0000-0000-000037060000}"/>
    <cellStyle name="Comma 2 3 2 7 3 2" xfId="658" xr:uid="{00000000-0005-0000-0000-000038060000}"/>
    <cellStyle name="Comma 2 3 2 7 3 2 2" xfId="7805" xr:uid="{00000000-0005-0000-0000-000039060000}"/>
    <cellStyle name="Comma 2 3 2 7 3 2 2 2" xfId="19351" xr:uid="{A278D14B-2ED9-4839-BECC-232DA36F1CAE}"/>
    <cellStyle name="Comma 2 3 2 7 3 2 2 3" xfId="29767" xr:uid="{EB499F8A-5672-4213-A680-F974DAAC978C}"/>
    <cellStyle name="Comma 2 3 2 7 3 2 3" xfId="12993" xr:uid="{2256D9C8-41E3-47B6-A80D-10F844A2A7C7}"/>
    <cellStyle name="Comma 2 3 2 7 3 2 4" xfId="23409" xr:uid="{CC8DB888-5002-4D98-ADB7-D7B1210A2D74}"/>
    <cellStyle name="Comma 2 3 2 7 3 3" xfId="7804" xr:uid="{00000000-0005-0000-0000-00003A060000}"/>
    <cellStyle name="Comma 2 3 2 7 3 3 2" xfId="19350" xr:uid="{01E00132-4DD1-4448-9865-75787AB1607B}"/>
    <cellStyle name="Comma 2 3 2 7 3 3 3" xfId="29766" xr:uid="{76FE2B7D-7B0F-4B49-972D-2EE57969FADF}"/>
    <cellStyle name="Comma 2 3 2 7 3 4" xfId="5093" xr:uid="{00000000-0005-0000-0000-00003B060000}"/>
    <cellStyle name="Comma 2 3 2 7 3 4 2" xfId="16679" xr:uid="{34B93EE9-B625-473B-8BE1-A486EEC4DD6F}"/>
    <cellStyle name="Comma 2 3 2 7 3 4 3" xfId="27095" xr:uid="{811CC76C-EC73-4821-A118-B0506091590D}"/>
    <cellStyle name="Comma 2 3 2 7 3 5" xfId="12992" xr:uid="{0505B1EE-A096-480A-994B-70AF9DD27143}"/>
    <cellStyle name="Comma 2 3 2 7 3 6" xfId="23408" xr:uid="{22C30D25-445E-40FD-9DD5-A0EF09D52C3C}"/>
    <cellStyle name="Comma 2 3 2 7 4" xfId="659" xr:uid="{00000000-0005-0000-0000-00003C060000}"/>
    <cellStyle name="Comma 2 3 2 7 4 2" xfId="7806" xr:uid="{00000000-0005-0000-0000-00003D060000}"/>
    <cellStyle name="Comma 2 3 2 7 4 2 2" xfId="19352" xr:uid="{2299A939-62A2-46FA-8B00-CFF1070BBE91}"/>
    <cellStyle name="Comma 2 3 2 7 4 2 3" xfId="29768" xr:uid="{B0C14DBE-FBDD-48E7-BDBF-C5137666ED7D}"/>
    <cellStyle name="Comma 2 3 2 7 4 3" xfId="12994" xr:uid="{633C9805-15B3-437B-BA1D-60435C683C2E}"/>
    <cellStyle name="Comma 2 3 2 7 4 4" xfId="23410" xr:uid="{04EAE660-FA39-4F30-B030-49F783AD128D}"/>
    <cellStyle name="Comma 2 3 2 7 5" xfId="7801" xr:uid="{00000000-0005-0000-0000-00003E060000}"/>
    <cellStyle name="Comma 2 3 2 7 5 2" xfId="19347" xr:uid="{AA3A6EBD-A488-4CEA-B2A7-15B84832D857}"/>
    <cellStyle name="Comma 2 3 2 7 5 3" xfId="29763" xr:uid="{0B062AD1-5F08-467F-8238-D37347D8A987}"/>
    <cellStyle name="Comma 2 3 2 7 6" xfId="5091" xr:uid="{00000000-0005-0000-0000-00003F060000}"/>
    <cellStyle name="Comma 2 3 2 7 6 2" xfId="16677" xr:uid="{9C8C48CB-A311-49A7-B6B5-17BECCAD2B92}"/>
    <cellStyle name="Comma 2 3 2 7 6 3" xfId="27093" xr:uid="{F6C6D3B5-88E8-431C-BD91-596BF85DFB94}"/>
    <cellStyle name="Comma 2 3 2 7 7" xfId="12989" xr:uid="{C5B06849-1823-4F5C-AF1B-AAFBF07498FC}"/>
    <cellStyle name="Comma 2 3 2 7 8" xfId="23405" xr:uid="{C6071982-10B1-4B3D-9710-0B949501CE56}"/>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2 2 2" xfId="19355" xr:uid="{914D1510-3B11-4B33-A607-2DDACF3FA827}"/>
    <cellStyle name="Comma 2 3 2 8 2 2 2 3" xfId="29771" xr:uid="{21BBE356-C95C-4AFB-B25F-71F4EEC1D89E}"/>
    <cellStyle name="Comma 2 3 2 8 2 2 3" xfId="12997" xr:uid="{23F46B03-D819-44C6-B882-6B939AD7FB3B}"/>
    <cellStyle name="Comma 2 3 2 8 2 2 4" xfId="23413" xr:uid="{24D6DF25-5A00-41F7-89D2-A73A0AE4A0B2}"/>
    <cellStyle name="Comma 2 3 2 8 2 3" xfId="7808" xr:uid="{00000000-0005-0000-0000-000044060000}"/>
    <cellStyle name="Comma 2 3 2 8 2 3 2" xfId="19354" xr:uid="{C5A581A8-0DE7-4411-AE87-96425BC50475}"/>
    <cellStyle name="Comma 2 3 2 8 2 3 3" xfId="29770" xr:uid="{EEF9665A-15BB-450B-B768-75E7430DACAE}"/>
    <cellStyle name="Comma 2 3 2 8 2 4" xfId="5095" xr:uid="{00000000-0005-0000-0000-000045060000}"/>
    <cellStyle name="Comma 2 3 2 8 2 4 2" xfId="16681" xr:uid="{0CF3D583-8B98-4767-A8A3-A84904C05F68}"/>
    <cellStyle name="Comma 2 3 2 8 2 4 3" xfId="27097" xr:uid="{428AB3E7-2B7D-40F2-BB8C-A0674190EA42}"/>
    <cellStyle name="Comma 2 3 2 8 2 5" xfId="12996" xr:uid="{CF0CE807-7BB8-4761-8110-80945162E5DA}"/>
    <cellStyle name="Comma 2 3 2 8 2 6" xfId="23412" xr:uid="{0D4E855D-6B8E-4B75-AF0C-605CA01F663C}"/>
    <cellStyle name="Comma 2 3 2 8 3" xfId="663" xr:uid="{00000000-0005-0000-0000-000046060000}"/>
    <cellStyle name="Comma 2 3 2 8 3 2" xfId="7810" xr:uid="{00000000-0005-0000-0000-000047060000}"/>
    <cellStyle name="Comma 2 3 2 8 3 2 2" xfId="19356" xr:uid="{3C40F87C-E463-482B-92C2-2C37ED8A0896}"/>
    <cellStyle name="Comma 2 3 2 8 3 2 3" xfId="29772" xr:uid="{809918F0-2F6E-4433-9F78-59912797A1FD}"/>
    <cellStyle name="Comma 2 3 2 8 3 3" xfId="12998" xr:uid="{ED388B7A-9BAA-462F-9586-B9857EE0645D}"/>
    <cellStyle name="Comma 2 3 2 8 3 4" xfId="23414" xr:uid="{9592DCB8-1ABD-4478-AD43-3D93732577A7}"/>
    <cellStyle name="Comma 2 3 2 8 4" xfId="7807" xr:uid="{00000000-0005-0000-0000-000048060000}"/>
    <cellStyle name="Comma 2 3 2 8 4 2" xfId="19353" xr:uid="{AD97D832-AD04-4FF0-AAA0-2FB43D2BC896}"/>
    <cellStyle name="Comma 2 3 2 8 4 3" xfId="29769" xr:uid="{FE42A608-9DE2-4DFD-B284-5A59BE6EBACF}"/>
    <cellStyle name="Comma 2 3 2 8 5" xfId="5094" xr:uid="{00000000-0005-0000-0000-000049060000}"/>
    <cellStyle name="Comma 2 3 2 8 5 2" xfId="16680" xr:uid="{CA999CA1-FD4C-4E46-91F2-796C6BC11212}"/>
    <cellStyle name="Comma 2 3 2 8 5 3" xfId="27096" xr:uid="{DC039965-5BBC-429B-986A-CF805420B798}"/>
    <cellStyle name="Comma 2 3 2 8 6" xfId="12995" xr:uid="{A3746FAD-A6B7-44B6-88F2-2900E113A34E}"/>
    <cellStyle name="Comma 2 3 2 8 7" xfId="23411" xr:uid="{2DB2769E-3761-46A3-9035-5499DDE1C46A}"/>
    <cellStyle name="Comma 2 3 2 9" xfId="664" xr:uid="{00000000-0005-0000-0000-00004A060000}"/>
    <cellStyle name="Comma 2 3 2 9 2" xfId="665" xr:uid="{00000000-0005-0000-0000-00004B060000}"/>
    <cellStyle name="Comma 2 3 2 9 2 2" xfId="7812" xr:uid="{00000000-0005-0000-0000-00004C060000}"/>
    <cellStyle name="Comma 2 3 2 9 2 2 2" xfId="19358" xr:uid="{49CDDE63-5E12-4AA8-A3A9-A89BB4346B80}"/>
    <cellStyle name="Comma 2 3 2 9 2 2 3" xfId="29774" xr:uid="{65565D78-9C3F-48BD-9788-798623C5CBDE}"/>
    <cellStyle name="Comma 2 3 2 9 2 3" xfId="13000" xr:uid="{8D0315BE-B0D1-4E9E-8329-F9DD16617965}"/>
    <cellStyle name="Comma 2 3 2 9 2 4" xfId="23416" xr:uid="{AFC0E0A8-1733-4ABD-B19F-6EB203459E7C}"/>
    <cellStyle name="Comma 2 3 2 9 3" xfId="7811" xr:uid="{00000000-0005-0000-0000-00004D060000}"/>
    <cellStyle name="Comma 2 3 2 9 3 2" xfId="19357" xr:uid="{4D64BDCC-713C-4BE9-93AA-CCB4E02E6CA5}"/>
    <cellStyle name="Comma 2 3 2 9 3 3" xfId="29773" xr:uid="{4FF045FC-7797-4680-9F76-4DB8B89E96E8}"/>
    <cellStyle name="Comma 2 3 2 9 4" xfId="5096" xr:uid="{00000000-0005-0000-0000-00004E060000}"/>
    <cellStyle name="Comma 2 3 2 9 4 2" xfId="16682" xr:uid="{8ED6AAE2-B70A-4EEF-816A-28BB34655E51}"/>
    <cellStyle name="Comma 2 3 2 9 4 3" xfId="27098" xr:uid="{28AEC2F2-A9FF-40FA-B875-ADFC7C516AEB}"/>
    <cellStyle name="Comma 2 3 2 9 5" xfId="12999" xr:uid="{0B98817B-38BD-4D94-84E7-E665611E9088}"/>
    <cellStyle name="Comma 2 3 2 9 6" xfId="23415" xr:uid="{D1CFB3E2-C64E-4ACE-9179-AB419757880B}"/>
    <cellStyle name="Comma 2 3 20" xfId="12873" xr:uid="{1E51D375-1240-411C-A21A-CAAD00838930}"/>
    <cellStyle name="Comma 2 3 21" xfId="23289" xr:uid="{8319DC31-7239-46D2-8918-8AC13E867504}"/>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2 2 2" xfId="19361" xr:uid="{222A1731-9787-4DFE-B49D-32A5961453FA}"/>
    <cellStyle name="Comma 2 3 3 10 2 2 3" xfId="29777" xr:uid="{A3A76172-E390-4FEC-B2FC-1B7691E05C81}"/>
    <cellStyle name="Comma 2 3 3 10 2 3" xfId="13003" xr:uid="{EFEDB043-6038-4D80-8284-B6D4E950584D}"/>
    <cellStyle name="Comma 2 3 3 10 2 4" xfId="23419" xr:uid="{6F1D6230-723F-4BE0-BA1D-51CF0229A96A}"/>
    <cellStyle name="Comma 2 3 3 10 3" xfId="7814" xr:uid="{00000000-0005-0000-0000-000053060000}"/>
    <cellStyle name="Comma 2 3 3 10 3 2" xfId="19360" xr:uid="{8881DE20-BCE7-4784-881C-87C81928D8B9}"/>
    <cellStyle name="Comma 2 3 3 10 3 3" xfId="29776" xr:uid="{B01B83C8-6986-492C-B42D-F8C731898325}"/>
    <cellStyle name="Comma 2 3 3 10 4" xfId="5098" xr:uid="{00000000-0005-0000-0000-000054060000}"/>
    <cellStyle name="Comma 2 3 3 10 4 2" xfId="16684" xr:uid="{E96EEAC6-FCBB-4FDC-8D74-757583F4A768}"/>
    <cellStyle name="Comma 2 3 3 10 4 3" xfId="27100" xr:uid="{6566D7A0-86CE-4631-A0CE-AF3EA0C407A0}"/>
    <cellStyle name="Comma 2 3 3 10 5" xfId="13002" xr:uid="{F2D180B5-F16C-4E4D-8078-840F17CD90DB}"/>
    <cellStyle name="Comma 2 3 3 10 6" xfId="23418" xr:uid="{4AD85D8E-C817-40C9-9C5E-0513AA70D0C6}"/>
    <cellStyle name="Comma 2 3 3 11" xfId="669" xr:uid="{00000000-0005-0000-0000-000055060000}"/>
    <cellStyle name="Comma 2 3 3 11 2" xfId="7816" xr:uid="{00000000-0005-0000-0000-000056060000}"/>
    <cellStyle name="Comma 2 3 3 11 2 2" xfId="19362" xr:uid="{4CBCDF8D-E5FD-4DB3-B079-49E95DECF86C}"/>
    <cellStyle name="Comma 2 3 3 11 2 3" xfId="29778" xr:uid="{16CC2E0C-4EB4-4FFB-959B-7F977A2FBEFE}"/>
    <cellStyle name="Comma 2 3 3 11 3" xfId="13004" xr:uid="{C78DD423-819F-4ED5-9B32-146D59AC1763}"/>
    <cellStyle name="Comma 2 3 3 11 4" xfId="23420" xr:uid="{D7C2C0DC-64AB-4277-A900-B3E74799EF3D}"/>
    <cellStyle name="Comma 2 3 3 12" xfId="7813" xr:uid="{00000000-0005-0000-0000-000057060000}"/>
    <cellStyle name="Comma 2 3 3 12 2" xfId="19359" xr:uid="{8E54BB53-94E9-44C7-A097-D9246C887393}"/>
    <cellStyle name="Comma 2 3 3 12 3" xfId="29775" xr:uid="{3C916272-F23A-4B78-AA91-4E536685E84C}"/>
    <cellStyle name="Comma 2 3 3 13" xfId="5097" xr:uid="{00000000-0005-0000-0000-000058060000}"/>
    <cellStyle name="Comma 2 3 3 13 2" xfId="16683" xr:uid="{CBF33C19-54DA-44F3-BA70-C14C2114E968}"/>
    <cellStyle name="Comma 2 3 3 13 3" xfId="27099" xr:uid="{77306BDA-A366-4825-846B-EF81B53EC277}"/>
    <cellStyle name="Comma 2 3 3 14" xfId="13001" xr:uid="{02E7B2AD-F56A-459F-BACC-7B48BE714686}"/>
    <cellStyle name="Comma 2 3 3 15" xfId="23417" xr:uid="{8EA5B785-5BE1-49FB-9718-29EEFE5035E9}"/>
    <cellStyle name="Comma 2 3 3 2" xfId="670" xr:uid="{00000000-0005-0000-0000-000059060000}"/>
    <cellStyle name="Comma 2 3 3 2 10" xfId="671" xr:uid="{00000000-0005-0000-0000-00005A060000}"/>
    <cellStyle name="Comma 2 3 3 2 10 2" xfId="7818" xr:uid="{00000000-0005-0000-0000-00005B060000}"/>
    <cellStyle name="Comma 2 3 3 2 10 2 2" xfId="19364" xr:uid="{987B9540-E96E-4CEC-A704-ABCD529887B3}"/>
    <cellStyle name="Comma 2 3 3 2 10 2 3" xfId="29780" xr:uid="{B68913FA-0951-42B9-AF3B-5B4E8430BCB6}"/>
    <cellStyle name="Comma 2 3 3 2 10 3" xfId="13006" xr:uid="{DE8A62D7-C2C5-412B-8CB6-CD2E0463C7DF}"/>
    <cellStyle name="Comma 2 3 3 2 10 4" xfId="23422" xr:uid="{C721F111-A24C-44DA-9BC5-6D23AE38F028}"/>
    <cellStyle name="Comma 2 3 3 2 11" xfId="7817" xr:uid="{00000000-0005-0000-0000-00005C060000}"/>
    <cellStyle name="Comma 2 3 3 2 11 2" xfId="19363" xr:uid="{FF6B386D-7AD8-4F40-8EE4-C295678907F9}"/>
    <cellStyle name="Comma 2 3 3 2 11 3" xfId="29779" xr:uid="{0ABB45C6-BE36-48C9-A11F-B96C0B9C451B}"/>
    <cellStyle name="Comma 2 3 3 2 12" xfId="5099" xr:uid="{00000000-0005-0000-0000-00005D060000}"/>
    <cellStyle name="Comma 2 3 3 2 12 2" xfId="16685" xr:uid="{62D1FE80-F8EA-445B-9499-983949CCE297}"/>
    <cellStyle name="Comma 2 3 3 2 12 3" xfId="27101" xr:uid="{7B09E872-5EBD-4E4C-ABD6-76FF884C3463}"/>
    <cellStyle name="Comma 2 3 3 2 13" xfId="13005" xr:uid="{92ADD5F5-62B4-42FF-A6A7-6AC7F9DF64D0}"/>
    <cellStyle name="Comma 2 3 3 2 14" xfId="23421" xr:uid="{CB7406E6-E6D8-486C-97F1-D722251EB371}"/>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2 2 2" xfId="19368" xr:uid="{0955F548-40FB-497E-87BD-0115B2FE82F4}"/>
    <cellStyle name="Comma 2 3 3 2 2 2 2 2 2 3" xfId="29784" xr:uid="{32EEB77C-80BD-4426-8E9C-3036D4F6D97B}"/>
    <cellStyle name="Comma 2 3 3 2 2 2 2 2 3" xfId="13010" xr:uid="{0FD487FA-06DB-4ACA-A931-50580A1F8E8B}"/>
    <cellStyle name="Comma 2 3 3 2 2 2 2 2 4" xfId="23426" xr:uid="{D676E493-DC34-469A-9FAB-16B8C8AFF7C5}"/>
    <cellStyle name="Comma 2 3 3 2 2 2 2 3" xfId="7821" xr:uid="{00000000-0005-0000-0000-000063060000}"/>
    <cellStyle name="Comma 2 3 3 2 2 2 2 3 2" xfId="19367" xr:uid="{4B254421-6283-40EC-83A8-BBFB59FFF84A}"/>
    <cellStyle name="Comma 2 3 3 2 2 2 2 3 3" xfId="29783" xr:uid="{966C9A08-F3F7-4817-AD8C-468B9F4DEF04}"/>
    <cellStyle name="Comma 2 3 3 2 2 2 2 4" xfId="5102" xr:uid="{00000000-0005-0000-0000-000064060000}"/>
    <cellStyle name="Comma 2 3 3 2 2 2 2 4 2" xfId="16688" xr:uid="{16F654FC-DB06-47B1-802F-1AAE32E97555}"/>
    <cellStyle name="Comma 2 3 3 2 2 2 2 4 3" xfId="27104" xr:uid="{078EC518-F4A9-4D7A-A2E4-BAA1B4E22DAF}"/>
    <cellStyle name="Comma 2 3 3 2 2 2 2 5" xfId="13009" xr:uid="{7F55043E-7C84-43DB-9F84-5110F5500BC7}"/>
    <cellStyle name="Comma 2 3 3 2 2 2 2 6" xfId="23425" xr:uid="{9AEB85EC-186F-4891-8609-956C41C3D06A}"/>
    <cellStyle name="Comma 2 3 3 2 2 2 3" xfId="676" xr:uid="{00000000-0005-0000-0000-000065060000}"/>
    <cellStyle name="Comma 2 3 3 2 2 2 3 2" xfId="7823" xr:uid="{00000000-0005-0000-0000-000066060000}"/>
    <cellStyle name="Comma 2 3 3 2 2 2 3 2 2" xfId="19369" xr:uid="{C9A928FD-FC68-42C1-A655-3B8CF5E68C5B}"/>
    <cellStyle name="Comma 2 3 3 2 2 2 3 2 3" xfId="29785" xr:uid="{B207DB19-8584-4A69-BB2F-791C4DDF0A3D}"/>
    <cellStyle name="Comma 2 3 3 2 2 2 3 3" xfId="13011" xr:uid="{63DDEBF2-88EC-48C3-B3E2-34E58A747CA5}"/>
    <cellStyle name="Comma 2 3 3 2 2 2 3 4" xfId="23427" xr:uid="{D7C71183-EDEC-4BE7-89BA-6973EFBB752A}"/>
    <cellStyle name="Comma 2 3 3 2 2 2 4" xfId="7820" xr:uid="{00000000-0005-0000-0000-000067060000}"/>
    <cellStyle name="Comma 2 3 3 2 2 2 4 2" xfId="19366" xr:uid="{A53877B4-9C54-4432-BD06-0B806CE50BCF}"/>
    <cellStyle name="Comma 2 3 3 2 2 2 4 3" xfId="29782" xr:uid="{0C76B1CC-25F2-4520-A98C-709EBC32B417}"/>
    <cellStyle name="Comma 2 3 3 2 2 2 5" xfId="5101" xr:uid="{00000000-0005-0000-0000-000068060000}"/>
    <cellStyle name="Comma 2 3 3 2 2 2 5 2" xfId="16687" xr:uid="{F0CF989E-8AED-41CA-8E86-F3F15721CD5D}"/>
    <cellStyle name="Comma 2 3 3 2 2 2 5 3" xfId="27103" xr:uid="{AF1E7D1B-D087-42C6-9EFD-513D6F2AFEE0}"/>
    <cellStyle name="Comma 2 3 3 2 2 2 6" xfId="13008" xr:uid="{8EE3D14E-E60F-4E03-840B-C732950823FF}"/>
    <cellStyle name="Comma 2 3 3 2 2 2 7" xfId="23424" xr:uid="{4774C7AD-6D9D-4577-A7FC-151706B692B8}"/>
    <cellStyle name="Comma 2 3 3 2 2 3" xfId="677" xr:uid="{00000000-0005-0000-0000-000069060000}"/>
    <cellStyle name="Comma 2 3 3 2 2 3 2" xfId="678" xr:uid="{00000000-0005-0000-0000-00006A060000}"/>
    <cellStyle name="Comma 2 3 3 2 2 3 2 2" xfId="7825" xr:uid="{00000000-0005-0000-0000-00006B060000}"/>
    <cellStyle name="Comma 2 3 3 2 2 3 2 2 2" xfId="19371" xr:uid="{DC897CA1-C578-4D34-8C0A-1CF092D03B25}"/>
    <cellStyle name="Comma 2 3 3 2 2 3 2 2 3" xfId="29787" xr:uid="{4D56E9D8-EA91-4453-BF5B-D1FB0C6FAAC0}"/>
    <cellStyle name="Comma 2 3 3 2 2 3 2 3" xfId="13013" xr:uid="{C04B3AB0-0D16-4117-B832-C13DC8935E20}"/>
    <cellStyle name="Comma 2 3 3 2 2 3 2 4" xfId="23429" xr:uid="{27C4A1D3-7898-4384-9070-78B94644BA40}"/>
    <cellStyle name="Comma 2 3 3 2 2 3 3" xfId="7824" xr:uid="{00000000-0005-0000-0000-00006C060000}"/>
    <cellStyle name="Comma 2 3 3 2 2 3 3 2" xfId="19370" xr:uid="{DB136FA3-A6D7-4FA0-852C-D5A2474F1D43}"/>
    <cellStyle name="Comma 2 3 3 2 2 3 3 3" xfId="29786" xr:uid="{349D67B6-552A-47A9-B8F4-1753D145BEEC}"/>
    <cellStyle name="Comma 2 3 3 2 2 3 4" xfId="5103" xr:uid="{00000000-0005-0000-0000-00006D060000}"/>
    <cellStyle name="Comma 2 3 3 2 2 3 4 2" xfId="16689" xr:uid="{9DD8CE10-A18E-4F91-95B3-FB7191016C81}"/>
    <cellStyle name="Comma 2 3 3 2 2 3 4 3" xfId="27105" xr:uid="{14169E12-D37E-4734-9791-35A23857B05B}"/>
    <cellStyle name="Comma 2 3 3 2 2 3 5" xfId="13012" xr:uid="{8595017A-DDE1-40FC-AAF2-6E6E86155767}"/>
    <cellStyle name="Comma 2 3 3 2 2 3 6" xfId="23428" xr:uid="{6D38E34B-C2D5-41C0-AC87-F292403B524E}"/>
    <cellStyle name="Comma 2 3 3 2 2 4" xfId="679" xr:uid="{00000000-0005-0000-0000-00006E060000}"/>
    <cellStyle name="Comma 2 3 3 2 2 4 2" xfId="680" xr:uid="{00000000-0005-0000-0000-00006F060000}"/>
    <cellStyle name="Comma 2 3 3 2 2 4 2 2" xfId="7827" xr:uid="{00000000-0005-0000-0000-000070060000}"/>
    <cellStyle name="Comma 2 3 3 2 2 4 2 2 2" xfId="19373" xr:uid="{F6F6980B-4166-4553-884B-D6384CDD1B1F}"/>
    <cellStyle name="Comma 2 3 3 2 2 4 2 2 3" xfId="29789" xr:uid="{3376DBB1-0048-4783-BBC4-09EE9DC9FF2C}"/>
    <cellStyle name="Comma 2 3 3 2 2 4 2 3" xfId="13015" xr:uid="{45706962-5921-43FA-BF39-B2FC98A23090}"/>
    <cellStyle name="Comma 2 3 3 2 2 4 2 4" xfId="23431" xr:uid="{EC75B51F-B0BB-4D31-8336-A180FEED7337}"/>
    <cellStyle name="Comma 2 3 3 2 2 4 3" xfId="7826" xr:uid="{00000000-0005-0000-0000-000071060000}"/>
    <cellStyle name="Comma 2 3 3 2 2 4 3 2" xfId="19372" xr:uid="{E194812C-F079-4B8B-A69C-8618FD867B2B}"/>
    <cellStyle name="Comma 2 3 3 2 2 4 3 3" xfId="29788" xr:uid="{853BA424-882A-424A-99FF-146B9912EDBD}"/>
    <cellStyle name="Comma 2 3 3 2 2 4 4" xfId="5104" xr:uid="{00000000-0005-0000-0000-000072060000}"/>
    <cellStyle name="Comma 2 3 3 2 2 4 4 2" xfId="16690" xr:uid="{69B1C44A-A85D-4D4F-9747-969CDAB0847A}"/>
    <cellStyle name="Comma 2 3 3 2 2 4 4 3" xfId="27106" xr:uid="{07C5BE75-23EB-47F1-9E35-4E02C9D5CC06}"/>
    <cellStyle name="Comma 2 3 3 2 2 4 5" xfId="13014" xr:uid="{92474D97-8DC3-43F8-B35E-B4783950B198}"/>
    <cellStyle name="Comma 2 3 3 2 2 4 6" xfId="23430" xr:uid="{5F72EB16-F6AF-4B45-93CE-8F9130A8EAAF}"/>
    <cellStyle name="Comma 2 3 3 2 2 5" xfId="681" xr:uid="{00000000-0005-0000-0000-000073060000}"/>
    <cellStyle name="Comma 2 3 3 2 2 5 2" xfId="7828" xr:uid="{00000000-0005-0000-0000-000074060000}"/>
    <cellStyle name="Comma 2 3 3 2 2 5 2 2" xfId="19374" xr:uid="{A9E561AA-4CEC-4519-AE26-D61E85E059CE}"/>
    <cellStyle name="Comma 2 3 3 2 2 5 2 3" xfId="29790" xr:uid="{11E57E48-1ACB-4025-A6AB-893E51E84A78}"/>
    <cellStyle name="Comma 2 3 3 2 2 5 3" xfId="13016" xr:uid="{BB9407A4-8441-4E9F-B068-C490119B1EBA}"/>
    <cellStyle name="Comma 2 3 3 2 2 5 4" xfId="23432" xr:uid="{22BF59B9-AED6-4AAD-9AEC-5CA4749A24CC}"/>
    <cellStyle name="Comma 2 3 3 2 2 6" xfId="7819" xr:uid="{00000000-0005-0000-0000-000075060000}"/>
    <cellStyle name="Comma 2 3 3 2 2 6 2" xfId="19365" xr:uid="{D7D20A5C-DDEF-4F3E-83EF-7381BC87172C}"/>
    <cellStyle name="Comma 2 3 3 2 2 6 3" xfId="29781" xr:uid="{F57071CE-AE95-4812-8853-1C6633DF6924}"/>
    <cellStyle name="Comma 2 3 3 2 2 7" xfId="5100" xr:uid="{00000000-0005-0000-0000-000076060000}"/>
    <cellStyle name="Comma 2 3 3 2 2 7 2" xfId="16686" xr:uid="{E0670534-5B14-4C44-9BB0-C4823999840A}"/>
    <cellStyle name="Comma 2 3 3 2 2 7 3" xfId="27102" xr:uid="{07317096-6DB8-4F61-BC58-347E87208E73}"/>
    <cellStyle name="Comma 2 3 3 2 2 8" xfId="13007" xr:uid="{8DC535CE-53C5-410F-B800-A299B09AC42C}"/>
    <cellStyle name="Comma 2 3 3 2 2 9" xfId="23423" xr:uid="{32469BD5-B9B2-4392-829E-4C296A498129}"/>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2 2 2" xfId="19378" xr:uid="{A49C4A52-DF6A-48EA-A0A0-C301F420E620}"/>
    <cellStyle name="Comma 2 3 3 2 3 2 2 2 2 3" xfId="29794" xr:uid="{1B21E664-535C-451A-BEF9-6D9655FDE877}"/>
    <cellStyle name="Comma 2 3 3 2 3 2 2 2 3" xfId="13020" xr:uid="{165DFEFE-D228-43E9-9366-CF9FC89EAB8A}"/>
    <cellStyle name="Comma 2 3 3 2 3 2 2 2 4" xfId="23436" xr:uid="{78B2C24D-2F65-4AC1-B23E-86CF876CECBA}"/>
    <cellStyle name="Comma 2 3 3 2 3 2 2 3" xfId="7831" xr:uid="{00000000-0005-0000-0000-00007C060000}"/>
    <cellStyle name="Comma 2 3 3 2 3 2 2 3 2" xfId="19377" xr:uid="{CE52FADF-65DF-4ADC-AAAE-EE6473567CAF}"/>
    <cellStyle name="Comma 2 3 3 2 3 2 2 3 3" xfId="29793" xr:uid="{8899A2AF-63FB-4BAE-AEA2-F49077D16CD2}"/>
    <cellStyle name="Comma 2 3 3 2 3 2 2 4" xfId="5107" xr:uid="{00000000-0005-0000-0000-00007D060000}"/>
    <cellStyle name="Comma 2 3 3 2 3 2 2 4 2" xfId="16693" xr:uid="{2212F10A-922B-4D07-8B20-81634202DE00}"/>
    <cellStyle name="Comma 2 3 3 2 3 2 2 4 3" xfId="27109" xr:uid="{151207D2-F637-42E6-B789-7EE874FCCE0F}"/>
    <cellStyle name="Comma 2 3 3 2 3 2 2 5" xfId="13019" xr:uid="{ECD94717-BB0C-4B4F-A633-93CD42698DD6}"/>
    <cellStyle name="Comma 2 3 3 2 3 2 2 6" xfId="23435" xr:uid="{C67162E2-B641-4D7C-84EB-CA7A65FF4AAA}"/>
    <cellStyle name="Comma 2 3 3 2 3 2 3" xfId="686" xr:uid="{00000000-0005-0000-0000-00007E060000}"/>
    <cellStyle name="Comma 2 3 3 2 3 2 3 2" xfId="7833" xr:uid="{00000000-0005-0000-0000-00007F060000}"/>
    <cellStyle name="Comma 2 3 3 2 3 2 3 2 2" xfId="19379" xr:uid="{91B2BC92-DCB3-417C-8B9D-2289B981D785}"/>
    <cellStyle name="Comma 2 3 3 2 3 2 3 2 3" xfId="29795" xr:uid="{01143C89-0193-4A77-82E3-C1EBC6C7AE25}"/>
    <cellStyle name="Comma 2 3 3 2 3 2 3 3" xfId="13021" xr:uid="{100C843D-69CD-4101-BBDE-59571D8B36A9}"/>
    <cellStyle name="Comma 2 3 3 2 3 2 3 4" xfId="23437" xr:uid="{F12E38A7-CC0B-40F7-90FB-6F1C3F8D4A9D}"/>
    <cellStyle name="Comma 2 3 3 2 3 2 4" xfId="7830" xr:uid="{00000000-0005-0000-0000-000080060000}"/>
    <cellStyle name="Comma 2 3 3 2 3 2 4 2" xfId="19376" xr:uid="{1728142B-A785-4F78-9376-CE511504B02C}"/>
    <cellStyle name="Comma 2 3 3 2 3 2 4 3" xfId="29792" xr:uid="{025C3F1A-6324-4B79-B716-C2B528588CE6}"/>
    <cellStyle name="Comma 2 3 3 2 3 2 5" xfId="5106" xr:uid="{00000000-0005-0000-0000-000081060000}"/>
    <cellStyle name="Comma 2 3 3 2 3 2 5 2" xfId="16692" xr:uid="{E777129C-58E4-4461-9E45-E11F62C747AD}"/>
    <cellStyle name="Comma 2 3 3 2 3 2 5 3" xfId="27108" xr:uid="{5020BDBC-1836-41B7-A5C6-5954E1D42E0F}"/>
    <cellStyle name="Comma 2 3 3 2 3 2 6" xfId="13018" xr:uid="{7E2AC4E0-9F6C-4705-A841-D6A98983601E}"/>
    <cellStyle name="Comma 2 3 3 2 3 2 7" xfId="23434" xr:uid="{4F1DDD03-FE7D-48A6-B8FC-BB84387BC87E}"/>
    <cellStyle name="Comma 2 3 3 2 3 3" xfId="687" xr:uid="{00000000-0005-0000-0000-000082060000}"/>
    <cellStyle name="Comma 2 3 3 2 3 3 2" xfId="688" xr:uid="{00000000-0005-0000-0000-000083060000}"/>
    <cellStyle name="Comma 2 3 3 2 3 3 2 2" xfId="7835" xr:uid="{00000000-0005-0000-0000-000084060000}"/>
    <cellStyle name="Comma 2 3 3 2 3 3 2 2 2" xfId="19381" xr:uid="{14BE32FF-F25C-4D28-A0A9-BB8D6A26BEF7}"/>
    <cellStyle name="Comma 2 3 3 2 3 3 2 2 3" xfId="29797" xr:uid="{345678D0-6915-4585-AABB-B3990155DF0E}"/>
    <cellStyle name="Comma 2 3 3 2 3 3 2 3" xfId="13023" xr:uid="{A466EE98-BF97-4CA1-8D4A-FB52F1060946}"/>
    <cellStyle name="Comma 2 3 3 2 3 3 2 4" xfId="23439" xr:uid="{58C355CB-4FF5-4A53-A89F-8E18B22C2B52}"/>
    <cellStyle name="Comma 2 3 3 2 3 3 3" xfId="7834" xr:uid="{00000000-0005-0000-0000-000085060000}"/>
    <cellStyle name="Comma 2 3 3 2 3 3 3 2" xfId="19380" xr:uid="{EF0FECCF-ADE1-45E5-AA11-C315ABE606AC}"/>
    <cellStyle name="Comma 2 3 3 2 3 3 3 3" xfId="29796" xr:uid="{E095C196-D326-4DA0-B26B-1A20E086032E}"/>
    <cellStyle name="Comma 2 3 3 2 3 3 4" xfId="5108" xr:uid="{00000000-0005-0000-0000-000086060000}"/>
    <cellStyle name="Comma 2 3 3 2 3 3 4 2" xfId="16694" xr:uid="{D9D4D475-A4D6-40B7-B148-05A063D89669}"/>
    <cellStyle name="Comma 2 3 3 2 3 3 4 3" xfId="27110" xr:uid="{401FB44F-E024-486E-8DC7-695B97EF4600}"/>
    <cellStyle name="Comma 2 3 3 2 3 3 5" xfId="13022" xr:uid="{8E127379-66AF-4BB4-970B-B6BECD5B2188}"/>
    <cellStyle name="Comma 2 3 3 2 3 3 6" xfId="23438" xr:uid="{4581EE3A-44F9-44D7-9543-99B6BD9345EA}"/>
    <cellStyle name="Comma 2 3 3 2 3 4" xfId="689" xr:uid="{00000000-0005-0000-0000-000087060000}"/>
    <cellStyle name="Comma 2 3 3 2 3 4 2" xfId="690" xr:uid="{00000000-0005-0000-0000-000088060000}"/>
    <cellStyle name="Comma 2 3 3 2 3 4 2 2" xfId="7837" xr:uid="{00000000-0005-0000-0000-000089060000}"/>
    <cellStyle name="Comma 2 3 3 2 3 4 2 2 2" xfId="19383" xr:uid="{35295AFF-8DFB-481F-AC49-FA20454AC1F5}"/>
    <cellStyle name="Comma 2 3 3 2 3 4 2 2 3" xfId="29799" xr:uid="{E645CCE4-DFDB-438C-A4F1-D1C3661C790F}"/>
    <cellStyle name="Comma 2 3 3 2 3 4 2 3" xfId="13025" xr:uid="{D65261BC-B152-4DB0-9566-DA54AF198531}"/>
    <cellStyle name="Comma 2 3 3 2 3 4 2 4" xfId="23441" xr:uid="{714FAF5F-432F-428F-A843-07A7316806DA}"/>
    <cellStyle name="Comma 2 3 3 2 3 4 3" xfId="7836" xr:uid="{00000000-0005-0000-0000-00008A060000}"/>
    <cellStyle name="Comma 2 3 3 2 3 4 3 2" xfId="19382" xr:uid="{DC9E5C9C-5A9F-4BDF-919A-30DDB17BDBCC}"/>
    <cellStyle name="Comma 2 3 3 2 3 4 3 3" xfId="29798" xr:uid="{CF5E2BE3-7CC5-49FF-98A0-6E28F4AAA236}"/>
    <cellStyle name="Comma 2 3 3 2 3 4 4" xfId="5109" xr:uid="{00000000-0005-0000-0000-00008B060000}"/>
    <cellStyle name="Comma 2 3 3 2 3 4 4 2" xfId="16695" xr:uid="{A953D8AC-EDC6-452D-832C-7015E4AB6042}"/>
    <cellStyle name="Comma 2 3 3 2 3 4 4 3" xfId="27111" xr:uid="{74FC947E-5331-4D29-9969-F021719D0D7F}"/>
    <cellStyle name="Comma 2 3 3 2 3 4 5" xfId="13024" xr:uid="{930A76F9-64FB-4147-BB7A-4D9B0D034258}"/>
    <cellStyle name="Comma 2 3 3 2 3 4 6" xfId="23440" xr:uid="{6E04BBFF-A46C-4AAA-B87F-18FD8741EB91}"/>
    <cellStyle name="Comma 2 3 3 2 3 5" xfId="691" xr:uid="{00000000-0005-0000-0000-00008C060000}"/>
    <cellStyle name="Comma 2 3 3 2 3 5 2" xfId="7838" xr:uid="{00000000-0005-0000-0000-00008D060000}"/>
    <cellStyle name="Comma 2 3 3 2 3 5 2 2" xfId="19384" xr:uid="{D0331931-35E9-4DDA-A74B-185C37F1DC7C}"/>
    <cellStyle name="Comma 2 3 3 2 3 5 2 3" xfId="29800" xr:uid="{9922B8FF-154B-4291-A50D-C60D0EDDB2CD}"/>
    <cellStyle name="Comma 2 3 3 2 3 5 3" xfId="13026" xr:uid="{24ECE62B-779D-44C9-8412-184152A2B1AF}"/>
    <cellStyle name="Comma 2 3 3 2 3 5 4" xfId="23442" xr:uid="{80DCAA4A-510E-4A64-B8B9-4678C4199761}"/>
    <cellStyle name="Comma 2 3 3 2 3 6" xfId="7829" xr:uid="{00000000-0005-0000-0000-00008E060000}"/>
    <cellStyle name="Comma 2 3 3 2 3 6 2" xfId="19375" xr:uid="{39B41D70-D371-4438-8559-B87E92678561}"/>
    <cellStyle name="Comma 2 3 3 2 3 6 3" xfId="29791" xr:uid="{D7EAA8FE-3885-4F61-B7A0-5CCB6FB34B2E}"/>
    <cellStyle name="Comma 2 3 3 2 3 7" xfId="5105" xr:uid="{00000000-0005-0000-0000-00008F060000}"/>
    <cellStyle name="Comma 2 3 3 2 3 7 2" xfId="16691" xr:uid="{78BC698A-C496-421A-ABE6-ED5FDE3ADBE2}"/>
    <cellStyle name="Comma 2 3 3 2 3 7 3" xfId="27107" xr:uid="{61E35141-A12E-4154-A203-1A6AA0F40A3A}"/>
    <cellStyle name="Comma 2 3 3 2 3 8" xfId="13017" xr:uid="{8B5EF2DA-0E3A-4EA1-9B2B-B7DB8C48B6C8}"/>
    <cellStyle name="Comma 2 3 3 2 3 9" xfId="23433" xr:uid="{A563C587-1836-4C89-A85E-3AD54F1E0B68}"/>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2 2 2" xfId="19388" xr:uid="{0D562A20-24E6-46DC-8EA2-7724E4D62634}"/>
    <cellStyle name="Comma 2 3 3 2 4 2 2 2 2 3" xfId="29804" xr:uid="{4EF3631F-A63C-4CA6-B7D1-DD0C0EB21787}"/>
    <cellStyle name="Comma 2 3 3 2 4 2 2 2 3" xfId="13030" xr:uid="{4CF4B681-E293-48DF-A0E6-F47E6640A025}"/>
    <cellStyle name="Comma 2 3 3 2 4 2 2 2 4" xfId="23446" xr:uid="{CD382073-8802-4C93-A405-1C529815F654}"/>
    <cellStyle name="Comma 2 3 3 2 4 2 2 3" xfId="7841" xr:uid="{00000000-0005-0000-0000-000095060000}"/>
    <cellStyle name="Comma 2 3 3 2 4 2 2 3 2" xfId="19387" xr:uid="{CE07274C-BE0A-42B5-83C6-FEA9B4A653EF}"/>
    <cellStyle name="Comma 2 3 3 2 4 2 2 3 3" xfId="29803" xr:uid="{BC1DAE58-8EF4-4323-B25D-AC894378901D}"/>
    <cellStyle name="Comma 2 3 3 2 4 2 2 4" xfId="5112" xr:uid="{00000000-0005-0000-0000-000096060000}"/>
    <cellStyle name="Comma 2 3 3 2 4 2 2 4 2" xfId="16698" xr:uid="{52F41875-026D-4A79-BD61-6BF123EFCFE6}"/>
    <cellStyle name="Comma 2 3 3 2 4 2 2 4 3" xfId="27114" xr:uid="{C86ADE37-38D6-4049-AE44-FC833AE422EA}"/>
    <cellStyle name="Comma 2 3 3 2 4 2 2 5" xfId="13029" xr:uid="{57237D60-230A-44E8-81D9-5C9F66026ECE}"/>
    <cellStyle name="Comma 2 3 3 2 4 2 2 6" xfId="23445" xr:uid="{339D3D34-F757-4851-B7B3-F6E40F2D2C8E}"/>
    <cellStyle name="Comma 2 3 3 2 4 2 3" xfId="696" xr:uid="{00000000-0005-0000-0000-000097060000}"/>
    <cellStyle name="Comma 2 3 3 2 4 2 3 2" xfId="7843" xr:uid="{00000000-0005-0000-0000-000098060000}"/>
    <cellStyle name="Comma 2 3 3 2 4 2 3 2 2" xfId="19389" xr:uid="{F81DB8F1-928C-4DD1-A183-4773A50AB29C}"/>
    <cellStyle name="Comma 2 3 3 2 4 2 3 2 3" xfId="29805" xr:uid="{30BD592E-EC2C-4ED5-AC8B-DFE310B5DBE5}"/>
    <cellStyle name="Comma 2 3 3 2 4 2 3 3" xfId="13031" xr:uid="{7D06CCAB-C260-45B9-BA31-681B9AE5A14C}"/>
    <cellStyle name="Comma 2 3 3 2 4 2 3 4" xfId="23447" xr:uid="{FB3F4830-8769-456D-A442-108B9971BB97}"/>
    <cellStyle name="Comma 2 3 3 2 4 2 4" xfId="7840" xr:uid="{00000000-0005-0000-0000-000099060000}"/>
    <cellStyle name="Comma 2 3 3 2 4 2 4 2" xfId="19386" xr:uid="{097DCD4A-26F4-4007-804D-0A52E357C02C}"/>
    <cellStyle name="Comma 2 3 3 2 4 2 4 3" xfId="29802" xr:uid="{6ECC5A0F-A320-4EED-94AC-7B3A7185AFAA}"/>
    <cellStyle name="Comma 2 3 3 2 4 2 5" xfId="5111" xr:uid="{00000000-0005-0000-0000-00009A060000}"/>
    <cellStyle name="Comma 2 3 3 2 4 2 5 2" xfId="16697" xr:uid="{4CEADA4E-E37F-41E0-B87B-39A19CBE1C75}"/>
    <cellStyle name="Comma 2 3 3 2 4 2 5 3" xfId="27113" xr:uid="{86F09D2B-B83D-4995-8697-AAD2332C90B9}"/>
    <cellStyle name="Comma 2 3 3 2 4 2 6" xfId="13028" xr:uid="{068D64FE-E894-4CF7-989C-88992979197D}"/>
    <cellStyle name="Comma 2 3 3 2 4 2 7" xfId="23444" xr:uid="{1B6FF3C8-C07E-427B-80A5-2F85B6A252C8}"/>
    <cellStyle name="Comma 2 3 3 2 4 3" xfId="697" xr:uid="{00000000-0005-0000-0000-00009B060000}"/>
    <cellStyle name="Comma 2 3 3 2 4 3 2" xfId="698" xr:uid="{00000000-0005-0000-0000-00009C060000}"/>
    <cellStyle name="Comma 2 3 3 2 4 3 2 2" xfId="7845" xr:uid="{00000000-0005-0000-0000-00009D060000}"/>
    <cellStyle name="Comma 2 3 3 2 4 3 2 2 2" xfId="19391" xr:uid="{D49084F2-B65C-4F13-AE83-44912614E5BD}"/>
    <cellStyle name="Comma 2 3 3 2 4 3 2 2 3" xfId="29807" xr:uid="{A4351A2B-C453-414B-B1B4-2082F370139A}"/>
    <cellStyle name="Comma 2 3 3 2 4 3 2 3" xfId="13033" xr:uid="{40231B5B-C4F8-4A42-8BF1-057ACEFCAA22}"/>
    <cellStyle name="Comma 2 3 3 2 4 3 2 4" xfId="23449" xr:uid="{C949581A-7C7B-4847-AFA8-ED0FD8881BE9}"/>
    <cellStyle name="Comma 2 3 3 2 4 3 3" xfId="7844" xr:uid="{00000000-0005-0000-0000-00009E060000}"/>
    <cellStyle name="Comma 2 3 3 2 4 3 3 2" xfId="19390" xr:uid="{7D18E4E8-29DB-4016-A5C7-AE492C15B6CE}"/>
    <cellStyle name="Comma 2 3 3 2 4 3 3 3" xfId="29806" xr:uid="{3763524C-7683-4BA9-8F4C-869767C8039A}"/>
    <cellStyle name="Comma 2 3 3 2 4 3 4" xfId="5113" xr:uid="{00000000-0005-0000-0000-00009F060000}"/>
    <cellStyle name="Comma 2 3 3 2 4 3 4 2" xfId="16699" xr:uid="{95B47A93-2540-4367-BC93-02B5F8ABC54C}"/>
    <cellStyle name="Comma 2 3 3 2 4 3 4 3" xfId="27115" xr:uid="{7FDA7FAB-C5D6-46B1-B0C8-0167F0805F88}"/>
    <cellStyle name="Comma 2 3 3 2 4 3 5" xfId="13032" xr:uid="{BE85EB1A-62F4-4578-8DBB-985B18CC87AC}"/>
    <cellStyle name="Comma 2 3 3 2 4 3 6" xfId="23448" xr:uid="{28BE3257-B366-4888-98B5-AD85479F02FE}"/>
    <cellStyle name="Comma 2 3 3 2 4 4" xfId="699" xr:uid="{00000000-0005-0000-0000-0000A0060000}"/>
    <cellStyle name="Comma 2 3 3 2 4 4 2" xfId="700" xr:uid="{00000000-0005-0000-0000-0000A1060000}"/>
    <cellStyle name="Comma 2 3 3 2 4 4 2 2" xfId="7847" xr:uid="{00000000-0005-0000-0000-0000A2060000}"/>
    <cellStyle name="Comma 2 3 3 2 4 4 2 2 2" xfId="19393" xr:uid="{20AAFE42-7925-4CCD-85E5-812EAC9B350D}"/>
    <cellStyle name="Comma 2 3 3 2 4 4 2 2 3" xfId="29809" xr:uid="{A1AC050F-15D3-40E9-99B8-3DB845F844C2}"/>
    <cellStyle name="Comma 2 3 3 2 4 4 2 3" xfId="13035" xr:uid="{488570A4-CBFC-4328-9135-C444C80D7A47}"/>
    <cellStyle name="Comma 2 3 3 2 4 4 2 4" xfId="23451" xr:uid="{22E0C789-F5B5-47D1-9AFF-C3E492F69D74}"/>
    <cellStyle name="Comma 2 3 3 2 4 4 3" xfId="7846" xr:uid="{00000000-0005-0000-0000-0000A3060000}"/>
    <cellStyle name="Comma 2 3 3 2 4 4 3 2" xfId="19392" xr:uid="{0D2F3D45-F070-46F6-8BEF-F96008A21969}"/>
    <cellStyle name="Comma 2 3 3 2 4 4 3 3" xfId="29808" xr:uid="{70290C1A-D1B5-402D-8AFF-E51249FD9DA6}"/>
    <cellStyle name="Comma 2 3 3 2 4 4 4" xfId="5114" xr:uid="{00000000-0005-0000-0000-0000A4060000}"/>
    <cellStyle name="Comma 2 3 3 2 4 4 4 2" xfId="16700" xr:uid="{EB46C187-F3DC-449D-B41C-4B76D418CB6C}"/>
    <cellStyle name="Comma 2 3 3 2 4 4 4 3" xfId="27116" xr:uid="{ACA3650E-AFE0-4384-A7EC-2752A144A515}"/>
    <cellStyle name="Comma 2 3 3 2 4 4 5" xfId="13034" xr:uid="{BCBE94E2-FC03-44A7-846C-AE4C43C584D7}"/>
    <cellStyle name="Comma 2 3 3 2 4 4 6" xfId="23450" xr:uid="{13D1183E-EFA1-406F-9B89-2BFEE38016DF}"/>
    <cellStyle name="Comma 2 3 3 2 4 5" xfId="701" xr:uid="{00000000-0005-0000-0000-0000A5060000}"/>
    <cellStyle name="Comma 2 3 3 2 4 5 2" xfId="7848" xr:uid="{00000000-0005-0000-0000-0000A6060000}"/>
    <cellStyle name="Comma 2 3 3 2 4 5 2 2" xfId="19394" xr:uid="{2B90FF86-B162-40F8-84D0-692872E0F68E}"/>
    <cellStyle name="Comma 2 3 3 2 4 5 2 3" xfId="29810" xr:uid="{D0354EFC-748D-4F0C-8BD7-DFFE6AD1F23C}"/>
    <cellStyle name="Comma 2 3 3 2 4 5 3" xfId="13036" xr:uid="{C83CBA68-7F2A-4F11-8C2B-F6B9675CB458}"/>
    <cellStyle name="Comma 2 3 3 2 4 5 4" xfId="23452" xr:uid="{B5B2DFA9-DD04-46DB-BDEE-EAE067DD2240}"/>
    <cellStyle name="Comma 2 3 3 2 4 6" xfId="7839" xr:uid="{00000000-0005-0000-0000-0000A7060000}"/>
    <cellStyle name="Comma 2 3 3 2 4 6 2" xfId="19385" xr:uid="{929DA488-A27B-4CCB-AD36-5CB2DD1C6AED}"/>
    <cellStyle name="Comma 2 3 3 2 4 6 3" xfId="29801" xr:uid="{D1D9DE09-1CF1-4893-9792-ED99C4AFFFE0}"/>
    <cellStyle name="Comma 2 3 3 2 4 7" xfId="5110" xr:uid="{00000000-0005-0000-0000-0000A8060000}"/>
    <cellStyle name="Comma 2 3 3 2 4 7 2" xfId="16696" xr:uid="{C069DFF3-21E0-4E29-AF72-E6F1ADA81B6F}"/>
    <cellStyle name="Comma 2 3 3 2 4 7 3" xfId="27112" xr:uid="{6068BEF3-D62D-45FC-A0C4-9E1B9AF955B3}"/>
    <cellStyle name="Comma 2 3 3 2 4 8" xfId="13027" xr:uid="{77A15BC3-E58D-4B29-BC5A-46FD09E1CEB0}"/>
    <cellStyle name="Comma 2 3 3 2 4 9" xfId="23443" xr:uid="{7284B901-BFE9-4B7A-B12B-37B863CA5726}"/>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2 2 2" xfId="19398" xr:uid="{0C67CB14-9504-40D4-8875-30E93691EDFC}"/>
    <cellStyle name="Comma 2 3 3 2 5 2 2 2 2 3" xfId="29814" xr:uid="{9A38D368-5B28-42CA-A7FF-A8159F94D84A}"/>
    <cellStyle name="Comma 2 3 3 2 5 2 2 2 3" xfId="13040" xr:uid="{EC18687F-ACF1-47AF-969A-F936EEDFF52D}"/>
    <cellStyle name="Comma 2 3 3 2 5 2 2 2 4" xfId="23456" xr:uid="{A1DBD2E8-8786-4E03-904D-245D2BF523B1}"/>
    <cellStyle name="Comma 2 3 3 2 5 2 2 3" xfId="7851" xr:uid="{00000000-0005-0000-0000-0000AE060000}"/>
    <cellStyle name="Comma 2 3 3 2 5 2 2 3 2" xfId="19397" xr:uid="{A573364E-ED7E-43AF-85BC-D7F27DBB6D18}"/>
    <cellStyle name="Comma 2 3 3 2 5 2 2 3 3" xfId="29813" xr:uid="{2974D1C9-753F-45B9-8E3C-950D454CF653}"/>
    <cellStyle name="Comma 2 3 3 2 5 2 2 4" xfId="5117" xr:uid="{00000000-0005-0000-0000-0000AF060000}"/>
    <cellStyle name="Comma 2 3 3 2 5 2 2 4 2" xfId="16703" xr:uid="{BEDC4020-89B1-425D-A8BB-2B45928A9C1E}"/>
    <cellStyle name="Comma 2 3 3 2 5 2 2 4 3" xfId="27119" xr:uid="{66A255B9-D8D2-43DA-96C5-C073B41AE670}"/>
    <cellStyle name="Comma 2 3 3 2 5 2 2 5" xfId="13039" xr:uid="{F6D24A76-3E5F-447C-B55B-B649B07E232B}"/>
    <cellStyle name="Comma 2 3 3 2 5 2 2 6" xfId="23455" xr:uid="{79B65F75-F399-4143-A9A7-A9C90E16313F}"/>
    <cellStyle name="Comma 2 3 3 2 5 2 3" xfId="706" xr:uid="{00000000-0005-0000-0000-0000B0060000}"/>
    <cellStyle name="Comma 2 3 3 2 5 2 3 2" xfId="7853" xr:uid="{00000000-0005-0000-0000-0000B1060000}"/>
    <cellStyle name="Comma 2 3 3 2 5 2 3 2 2" xfId="19399" xr:uid="{030207BA-96B3-49F2-80F2-3559EA6535B0}"/>
    <cellStyle name="Comma 2 3 3 2 5 2 3 2 3" xfId="29815" xr:uid="{F29FDB39-0710-484C-8C0C-59DE98187F92}"/>
    <cellStyle name="Comma 2 3 3 2 5 2 3 3" xfId="13041" xr:uid="{FDA036A0-A386-4B04-B2E1-8D6118C4CF4E}"/>
    <cellStyle name="Comma 2 3 3 2 5 2 3 4" xfId="23457" xr:uid="{115AE015-0CA0-4F5E-B044-D3BEB7758899}"/>
    <cellStyle name="Comma 2 3 3 2 5 2 4" xfId="7850" xr:uid="{00000000-0005-0000-0000-0000B2060000}"/>
    <cellStyle name="Comma 2 3 3 2 5 2 4 2" xfId="19396" xr:uid="{DE10A0BE-25FA-4E71-84DE-C024C6DE1E70}"/>
    <cellStyle name="Comma 2 3 3 2 5 2 4 3" xfId="29812" xr:uid="{0E28491C-BA64-4E9A-B06F-6D930A49950F}"/>
    <cellStyle name="Comma 2 3 3 2 5 2 5" xfId="5116" xr:uid="{00000000-0005-0000-0000-0000B3060000}"/>
    <cellStyle name="Comma 2 3 3 2 5 2 5 2" xfId="16702" xr:uid="{EACC8F00-4417-4B6C-848D-EFF3847493A2}"/>
    <cellStyle name="Comma 2 3 3 2 5 2 5 3" xfId="27118" xr:uid="{B94085D4-7321-44F7-BF7F-B85BB2E50B9E}"/>
    <cellStyle name="Comma 2 3 3 2 5 2 6" xfId="13038" xr:uid="{10BC0B61-FF86-4401-9BE2-06DA40422D56}"/>
    <cellStyle name="Comma 2 3 3 2 5 2 7" xfId="23454" xr:uid="{7491A9DF-11E1-4EA2-852D-5DA62B2EC15C}"/>
    <cellStyle name="Comma 2 3 3 2 5 3" xfId="707" xr:uid="{00000000-0005-0000-0000-0000B4060000}"/>
    <cellStyle name="Comma 2 3 3 2 5 3 2" xfId="708" xr:uid="{00000000-0005-0000-0000-0000B5060000}"/>
    <cellStyle name="Comma 2 3 3 2 5 3 2 2" xfId="7855" xr:uid="{00000000-0005-0000-0000-0000B6060000}"/>
    <cellStyle name="Comma 2 3 3 2 5 3 2 2 2" xfId="19401" xr:uid="{D3C47C39-E5E9-4E79-B5DB-EE7AE6917475}"/>
    <cellStyle name="Comma 2 3 3 2 5 3 2 2 3" xfId="29817" xr:uid="{31504CBE-5637-4573-8141-A2CAFFA54F73}"/>
    <cellStyle name="Comma 2 3 3 2 5 3 2 3" xfId="13043" xr:uid="{3776191A-F077-4B41-B930-3BB432FEA56B}"/>
    <cellStyle name="Comma 2 3 3 2 5 3 2 4" xfId="23459" xr:uid="{5A55B5AC-1FFC-45A9-A65F-29C6CD9230E7}"/>
    <cellStyle name="Comma 2 3 3 2 5 3 3" xfId="7854" xr:uid="{00000000-0005-0000-0000-0000B7060000}"/>
    <cellStyle name="Comma 2 3 3 2 5 3 3 2" xfId="19400" xr:uid="{E87D7A1F-1E75-4DA1-9786-4AC315D3B7CE}"/>
    <cellStyle name="Comma 2 3 3 2 5 3 3 3" xfId="29816" xr:uid="{36EDC635-B515-48E9-B92A-6F379098E933}"/>
    <cellStyle name="Comma 2 3 3 2 5 3 4" xfId="5118" xr:uid="{00000000-0005-0000-0000-0000B8060000}"/>
    <cellStyle name="Comma 2 3 3 2 5 3 4 2" xfId="16704" xr:uid="{B0FB85C1-98FC-4BC7-B443-3E0119B557B4}"/>
    <cellStyle name="Comma 2 3 3 2 5 3 4 3" xfId="27120" xr:uid="{51E739E1-D652-4B3B-B791-C99019679A5C}"/>
    <cellStyle name="Comma 2 3 3 2 5 3 5" xfId="13042" xr:uid="{B39543E2-15E0-4F87-AC68-97C6ED9DCF44}"/>
    <cellStyle name="Comma 2 3 3 2 5 3 6" xfId="23458" xr:uid="{AD6FF998-A26B-4C49-BABB-CD85DEEB8E40}"/>
    <cellStyle name="Comma 2 3 3 2 5 4" xfId="709" xr:uid="{00000000-0005-0000-0000-0000B9060000}"/>
    <cellStyle name="Comma 2 3 3 2 5 4 2" xfId="710" xr:uid="{00000000-0005-0000-0000-0000BA060000}"/>
    <cellStyle name="Comma 2 3 3 2 5 4 2 2" xfId="7857" xr:uid="{00000000-0005-0000-0000-0000BB060000}"/>
    <cellStyle name="Comma 2 3 3 2 5 4 2 2 2" xfId="19403" xr:uid="{3AB0B2F8-0A87-411B-A7F8-0A06E847F80C}"/>
    <cellStyle name="Comma 2 3 3 2 5 4 2 2 3" xfId="29819" xr:uid="{EC16E116-B8AB-4FB6-9838-51A5D6ACBA51}"/>
    <cellStyle name="Comma 2 3 3 2 5 4 2 3" xfId="13045" xr:uid="{ACD06181-EDB6-4505-8CD4-0F381CE88394}"/>
    <cellStyle name="Comma 2 3 3 2 5 4 2 4" xfId="23461" xr:uid="{EF40653F-702D-4AA5-978D-70A87EB1A8A8}"/>
    <cellStyle name="Comma 2 3 3 2 5 4 3" xfId="7856" xr:uid="{00000000-0005-0000-0000-0000BC060000}"/>
    <cellStyle name="Comma 2 3 3 2 5 4 3 2" xfId="19402" xr:uid="{5C562341-6ED9-4405-8158-8456AF286023}"/>
    <cellStyle name="Comma 2 3 3 2 5 4 3 3" xfId="29818" xr:uid="{75C8A3F8-FF64-4022-AC19-070F2D3507BC}"/>
    <cellStyle name="Comma 2 3 3 2 5 4 4" xfId="5119" xr:uid="{00000000-0005-0000-0000-0000BD060000}"/>
    <cellStyle name="Comma 2 3 3 2 5 4 4 2" xfId="16705" xr:uid="{67D4C5D7-5BBA-4ECC-AFCD-B5A171504015}"/>
    <cellStyle name="Comma 2 3 3 2 5 4 4 3" xfId="27121" xr:uid="{14A31B35-AB7D-444B-9DB2-1B36ADBBD956}"/>
    <cellStyle name="Comma 2 3 3 2 5 4 5" xfId="13044" xr:uid="{76E782E7-E634-474F-9A5B-A9D994703359}"/>
    <cellStyle name="Comma 2 3 3 2 5 4 6" xfId="23460" xr:uid="{24FF4723-3C62-4054-868D-B7A3E15D7711}"/>
    <cellStyle name="Comma 2 3 3 2 5 5" xfId="711" xr:uid="{00000000-0005-0000-0000-0000BE060000}"/>
    <cellStyle name="Comma 2 3 3 2 5 5 2" xfId="7858" xr:uid="{00000000-0005-0000-0000-0000BF060000}"/>
    <cellStyle name="Comma 2 3 3 2 5 5 2 2" xfId="19404" xr:uid="{E759F0CF-CFFB-4D87-8928-C9E568023D6D}"/>
    <cellStyle name="Comma 2 3 3 2 5 5 2 3" xfId="29820" xr:uid="{BBFCC301-9E2C-444A-B073-E16887EBB20C}"/>
    <cellStyle name="Comma 2 3 3 2 5 5 3" xfId="13046" xr:uid="{2F44F728-021E-4AED-805D-CD75606DE629}"/>
    <cellStyle name="Comma 2 3 3 2 5 5 4" xfId="23462" xr:uid="{48837993-AA27-4FF0-8D0F-18EE414BAE79}"/>
    <cellStyle name="Comma 2 3 3 2 5 6" xfId="7849" xr:uid="{00000000-0005-0000-0000-0000C0060000}"/>
    <cellStyle name="Comma 2 3 3 2 5 6 2" xfId="19395" xr:uid="{ADA964D8-68B0-46FA-BF39-E8FF710BD7B8}"/>
    <cellStyle name="Comma 2 3 3 2 5 6 3" xfId="29811" xr:uid="{115E86AE-6321-43E8-B69A-80A516E0DD40}"/>
    <cellStyle name="Comma 2 3 3 2 5 7" xfId="5115" xr:uid="{00000000-0005-0000-0000-0000C1060000}"/>
    <cellStyle name="Comma 2 3 3 2 5 7 2" xfId="16701" xr:uid="{E7FA3DC8-1648-4C86-85EA-1CC4AF0AFC7F}"/>
    <cellStyle name="Comma 2 3 3 2 5 7 3" xfId="27117" xr:uid="{FE8019FA-CD7F-4E0F-B812-994D276AF45F}"/>
    <cellStyle name="Comma 2 3 3 2 5 8" xfId="13037" xr:uid="{A6A1105D-DFF4-455E-9DA3-829D11AF1B59}"/>
    <cellStyle name="Comma 2 3 3 2 5 9" xfId="23453" xr:uid="{6FD9DD94-0AA0-436E-8C49-3B57DF62F796}"/>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2 2 2" xfId="19407" xr:uid="{1FC1DB79-0958-400E-BF73-4B81E9F529F4}"/>
    <cellStyle name="Comma 2 3 3 2 6 2 2 2 3" xfId="29823" xr:uid="{1C212BDD-807F-484B-8227-E305981B3FE5}"/>
    <cellStyle name="Comma 2 3 3 2 6 2 2 3" xfId="13049" xr:uid="{55B0584D-86B3-4584-96E9-7063C3B20A94}"/>
    <cellStyle name="Comma 2 3 3 2 6 2 2 4" xfId="23465" xr:uid="{205922C4-C5B8-4FD8-A83C-5A8C518C8342}"/>
    <cellStyle name="Comma 2 3 3 2 6 2 3" xfId="7860" xr:uid="{00000000-0005-0000-0000-0000C6060000}"/>
    <cellStyle name="Comma 2 3 3 2 6 2 3 2" xfId="19406" xr:uid="{EFDBA6F8-312D-4C26-8469-4A628F53A89D}"/>
    <cellStyle name="Comma 2 3 3 2 6 2 3 3" xfId="29822" xr:uid="{950F74D7-C5B1-4DEF-9C2B-F5630A5F74EA}"/>
    <cellStyle name="Comma 2 3 3 2 6 2 4" xfId="5121" xr:uid="{00000000-0005-0000-0000-0000C7060000}"/>
    <cellStyle name="Comma 2 3 3 2 6 2 4 2" xfId="16707" xr:uid="{B2546C22-C81D-49DC-A167-D7D0B7D65782}"/>
    <cellStyle name="Comma 2 3 3 2 6 2 4 3" xfId="27123" xr:uid="{590792EF-DBCE-446F-AE23-5EBD47CA4282}"/>
    <cellStyle name="Comma 2 3 3 2 6 2 5" xfId="13048" xr:uid="{10A32BE3-929B-4435-9384-458CF3048F3A}"/>
    <cellStyle name="Comma 2 3 3 2 6 2 6" xfId="23464" xr:uid="{2F9B1E59-5232-47BA-AD54-21E3037F1105}"/>
    <cellStyle name="Comma 2 3 3 2 6 3" xfId="715" xr:uid="{00000000-0005-0000-0000-0000C8060000}"/>
    <cellStyle name="Comma 2 3 3 2 6 3 2" xfId="716" xr:uid="{00000000-0005-0000-0000-0000C9060000}"/>
    <cellStyle name="Comma 2 3 3 2 6 3 2 2" xfId="7863" xr:uid="{00000000-0005-0000-0000-0000CA060000}"/>
    <cellStyle name="Comma 2 3 3 2 6 3 2 2 2" xfId="19409" xr:uid="{973F5B35-13F6-476F-AAF7-75EFAE656878}"/>
    <cellStyle name="Comma 2 3 3 2 6 3 2 2 3" xfId="29825" xr:uid="{FEA13B23-2446-487B-AA49-7CBAA9BF1A11}"/>
    <cellStyle name="Comma 2 3 3 2 6 3 2 3" xfId="13051" xr:uid="{36E0DFA9-2785-4FCD-B3D1-5DD8587F8CBC}"/>
    <cellStyle name="Comma 2 3 3 2 6 3 2 4" xfId="23467" xr:uid="{D344F62F-FB00-43A3-B576-B0DDA8FA9008}"/>
    <cellStyle name="Comma 2 3 3 2 6 3 3" xfId="7862" xr:uid="{00000000-0005-0000-0000-0000CB060000}"/>
    <cellStyle name="Comma 2 3 3 2 6 3 3 2" xfId="19408" xr:uid="{09CEE025-C527-482D-8029-5AB3A204B502}"/>
    <cellStyle name="Comma 2 3 3 2 6 3 3 3" xfId="29824" xr:uid="{D3EAC5E7-88DF-45B9-8545-CA3994E960CB}"/>
    <cellStyle name="Comma 2 3 3 2 6 3 4" xfId="5122" xr:uid="{00000000-0005-0000-0000-0000CC060000}"/>
    <cellStyle name="Comma 2 3 3 2 6 3 4 2" xfId="16708" xr:uid="{E061E13C-9E20-45E5-91C5-344A56BF82AB}"/>
    <cellStyle name="Comma 2 3 3 2 6 3 4 3" xfId="27124" xr:uid="{68C1BCE1-0F55-4F7F-8A38-9DC1C9D7BDD2}"/>
    <cellStyle name="Comma 2 3 3 2 6 3 5" xfId="13050" xr:uid="{E7F9C21D-5B6D-4C1D-8F9A-6E729C60A6B2}"/>
    <cellStyle name="Comma 2 3 3 2 6 3 6" xfId="23466" xr:uid="{045F904D-AE70-4620-AF5E-A07E6092B4B7}"/>
    <cellStyle name="Comma 2 3 3 2 6 4" xfId="717" xr:uid="{00000000-0005-0000-0000-0000CD060000}"/>
    <cellStyle name="Comma 2 3 3 2 6 4 2" xfId="7864" xr:uid="{00000000-0005-0000-0000-0000CE060000}"/>
    <cellStyle name="Comma 2 3 3 2 6 4 2 2" xfId="19410" xr:uid="{912A6046-D517-4DB5-875A-37F3572BDD18}"/>
    <cellStyle name="Comma 2 3 3 2 6 4 2 3" xfId="29826" xr:uid="{1F3E7630-510F-491E-BC3A-841ED1DD0AA9}"/>
    <cellStyle name="Comma 2 3 3 2 6 4 3" xfId="13052" xr:uid="{6B632EE4-E606-4ACD-AB64-41D50F01802C}"/>
    <cellStyle name="Comma 2 3 3 2 6 4 4" xfId="23468" xr:uid="{4E0831E7-1D54-4DF2-88E3-31D180FDD689}"/>
    <cellStyle name="Comma 2 3 3 2 6 5" xfId="7859" xr:uid="{00000000-0005-0000-0000-0000CF060000}"/>
    <cellStyle name="Comma 2 3 3 2 6 5 2" xfId="19405" xr:uid="{F066727B-13D6-4E05-859A-5B4D0E74AC0C}"/>
    <cellStyle name="Comma 2 3 3 2 6 5 3" xfId="29821" xr:uid="{E50EA4C6-CD3D-48F2-B22C-FCAE7333B7C3}"/>
    <cellStyle name="Comma 2 3 3 2 6 6" xfId="5120" xr:uid="{00000000-0005-0000-0000-0000D0060000}"/>
    <cellStyle name="Comma 2 3 3 2 6 6 2" xfId="16706" xr:uid="{4849E1A4-9E69-4605-AE5A-258F15211604}"/>
    <cellStyle name="Comma 2 3 3 2 6 6 3" xfId="27122" xr:uid="{AEC5B1A3-E948-40AF-980A-E9BDAC0FAE19}"/>
    <cellStyle name="Comma 2 3 3 2 6 7" xfId="13047" xr:uid="{915A2624-8B9B-482B-B30E-2E7E3AD2D5C6}"/>
    <cellStyle name="Comma 2 3 3 2 6 8" xfId="23463" xr:uid="{6ECAE1AE-96B5-4D3E-942D-F0CF2EF1448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2 2 2" xfId="19413" xr:uid="{0DB573D0-C350-4EE0-A8CC-08B73CC558AB}"/>
    <cellStyle name="Comma 2 3 3 2 7 2 2 2 3" xfId="29829" xr:uid="{F9922642-1A7B-43FD-93EA-E499CBF6CD78}"/>
    <cellStyle name="Comma 2 3 3 2 7 2 2 3" xfId="13055" xr:uid="{F17458B9-EE40-4FAE-9B2A-8683C592DA40}"/>
    <cellStyle name="Comma 2 3 3 2 7 2 2 4" xfId="23471" xr:uid="{D907D319-CF62-4032-90E4-4949A24F9314}"/>
    <cellStyle name="Comma 2 3 3 2 7 2 3" xfId="7866" xr:uid="{00000000-0005-0000-0000-0000D5060000}"/>
    <cellStyle name="Comma 2 3 3 2 7 2 3 2" xfId="19412" xr:uid="{8F76C87A-DD15-4ACD-AD44-AE50FD2AE56E}"/>
    <cellStyle name="Comma 2 3 3 2 7 2 3 3" xfId="29828" xr:uid="{3D793895-83A6-4813-92DC-8792157A8AAE}"/>
    <cellStyle name="Comma 2 3 3 2 7 2 4" xfId="5124" xr:uid="{00000000-0005-0000-0000-0000D6060000}"/>
    <cellStyle name="Comma 2 3 3 2 7 2 4 2" xfId="16710" xr:uid="{88D235C3-9588-41E9-BE38-763EE7999903}"/>
    <cellStyle name="Comma 2 3 3 2 7 2 4 3" xfId="27126" xr:uid="{15360EA1-A79D-4D8D-A21A-D08F79071180}"/>
    <cellStyle name="Comma 2 3 3 2 7 2 5" xfId="13054" xr:uid="{7CD91888-D7BB-4CCB-AC7C-F5AFDAB277E5}"/>
    <cellStyle name="Comma 2 3 3 2 7 2 6" xfId="23470" xr:uid="{E6A1E355-155A-4E0B-AB00-EDB4213C69AF}"/>
    <cellStyle name="Comma 2 3 3 2 7 3" xfId="721" xr:uid="{00000000-0005-0000-0000-0000D7060000}"/>
    <cellStyle name="Comma 2 3 3 2 7 3 2" xfId="7868" xr:uid="{00000000-0005-0000-0000-0000D8060000}"/>
    <cellStyle name="Comma 2 3 3 2 7 3 2 2" xfId="19414" xr:uid="{FB0748C2-ED8F-4E2F-BDEC-996D4F118BC3}"/>
    <cellStyle name="Comma 2 3 3 2 7 3 2 3" xfId="29830" xr:uid="{6144DF9E-1335-4882-AA74-02A417E39CAE}"/>
    <cellStyle name="Comma 2 3 3 2 7 3 3" xfId="13056" xr:uid="{A5641A81-8BFC-4AA5-BFE5-227C4964441E}"/>
    <cellStyle name="Comma 2 3 3 2 7 3 4" xfId="23472" xr:uid="{BB7156C3-3AB8-4172-A108-B9E99D15763D}"/>
    <cellStyle name="Comma 2 3 3 2 7 4" xfId="7865" xr:uid="{00000000-0005-0000-0000-0000D9060000}"/>
    <cellStyle name="Comma 2 3 3 2 7 4 2" xfId="19411" xr:uid="{A53551BF-1D62-4FE0-96E0-3FE419CAB239}"/>
    <cellStyle name="Comma 2 3 3 2 7 4 3" xfId="29827" xr:uid="{DD35B4F4-DF27-43F2-8D3C-8F18C8769A50}"/>
    <cellStyle name="Comma 2 3 3 2 7 5" xfId="5123" xr:uid="{00000000-0005-0000-0000-0000DA060000}"/>
    <cellStyle name="Comma 2 3 3 2 7 5 2" xfId="16709" xr:uid="{58F42BD0-88C0-42F8-B143-B079F2404A73}"/>
    <cellStyle name="Comma 2 3 3 2 7 5 3" xfId="27125" xr:uid="{8A09CBE1-1BCA-4CB3-8B0A-173DF3B9EDBD}"/>
    <cellStyle name="Comma 2 3 3 2 7 6" xfId="13053" xr:uid="{4E91920D-0A0D-4FAB-AEBF-F1FA475D7B30}"/>
    <cellStyle name="Comma 2 3 3 2 7 7" xfId="23469" xr:uid="{73D076E5-92B0-4E22-BDEF-3414588F5FBB}"/>
    <cellStyle name="Comma 2 3 3 2 8" xfId="722" xr:uid="{00000000-0005-0000-0000-0000DB060000}"/>
    <cellStyle name="Comma 2 3 3 2 8 2" xfId="723" xr:uid="{00000000-0005-0000-0000-0000DC060000}"/>
    <cellStyle name="Comma 2 3 3 2 8 2 2" xfId="7870" xr:uid="{00000000-0005-0000-0000-0000DD060000}"/>
    <cellStyle name="Comma 2 3 3 2 8 2 2 2" xfId="19416" xr:uid="{BF7D1651-9F10-49A2-A0E0-F5322DB9417F}"/>
    <cellStyle name="Comma 2 3 3 2 8 2 2 3" xfId="29832" xr:uid="{B6325970-2883-40B7-8F05-E8669E439AC8}"/>
    <cellStyle name="Comma 2 3 3 2 8 2 3" xfId="13058" xr:uid="{15EC9744-40DF-40F6-9BCD-2F94D6F547B8}"/>
    <cellStyle name="Comma 2 3 3 2 8 2 4" xfId="23474" xr:uid="{24AF21E9-2DE3-405B-8435-038F26430765}"/>
    <cellStyle name="Comma 2 3 3 2 8 3" xfId="7869" xr:uid="{00000000-0005-0000-0000-0000DE060000}"/>
    <cellStyle name="Comma 2 3 3 2 8 3 2" xfId="19415" xr:uid="{C730D3BB-A86A-4F63-BCEA-C6E5882DFB87}"/>
    <cellStyle name="Comma 2 3 3 2 8 3 3" xfId="29831" xr:uid="{A7569C86-51E2-4B56-8704-D969942CE315}"/>
    <cellStyle name="Comma 2 3 3 2 8 4" xfId="5125" xr:uid="{00000000-0005-0000-0000-0000DF060000}"/>
    <cellStyle name="Comma 2 3 3 2 8 4 2" xfId="16711" xr:uid="{1D83B079-A6D8-4323-AADE-A265A805A95E}"/>
    <cellStyle name="Comma 2 3 3 2 8 4 3" xfId="27127" xr:uid="{3A6928AC-DD9F-4279-B6F3-00B8D2953FCA}"/>
    <cellStyle name="Comma 2 3 3 2 8 5" xfId="13057" xr:uid="{16D472DD-8410-4BB4-8349-CC6903605F27}"/>
    <cellStyle name="Comma 2 3 3 2 8 6" xfId="23473" xr:uid="{F9233DD5-214D-41B8-8D82-18488FA21C3B}"/>
    <cellStyle name="Comma 2 3 3 2 9" xfId="724" xr:uid="{00000000-0005-0000-0000-0000E0060000}"/>
    <cellStyle name="Comma 2 3 3 2 9 2" xfId="725" xr:uid="{00000000-0005-0000-0000-0000E1060000}"/>
    <cellStyle name="Comma 2 3 3 2 9 2 2" xfId="7872" xr:uid="{00000000-0005-0000-0000-0000E2060000}"/>
    <cellStyle name="Comma 2 3 3 2 9 2 2 2" xfId="19418" xr:uid="{FA630CF3-8CC2-478A-8472-DB0DAE7EC436}"/>
    <cellStyle name="Comma 2 3 3 2 9 2 2 3" xfId="29834" xr:uid="{F7DBDD7E-2524-429B-9652-A41711B40FBC}"/>
    <cellStyle name="Comma 2 3 3 2 9 2 3" xfId="13060" xr:uid="{B876FDBF-E911-4336-9983-A3ACE0C83F4F}"/>
    <cellStyle name="Comma 2 3 3 2 9 2 4" xfId="23476" xr:uid="{8AE0FA96-B625-4402-9CAA-A1F72CE1B197}"/>
    <cellStyle name="Comma 2 3 3 2 9 3" xfId="7871" xr:uid="{00000000-0005-0000-0000-0000E3060000}"/>
    <cellStyle name="Comma 2 3 3 2 9 3 2" xfId="19417" xr:uid="{037F3829-956F-4A8A-8E3D-42839DFCC3BE}"/>
    <cellStyle name="Comma 2 3 3 2 9 3 3" xfId="29833" xr:uid="{84100B02-CDE9-4F3D-855A-1C8F013E3E90}"/>
    <cellStyle name="Comma 2 3 3 2 9 4" xfId="5126" xr:uid="{00000000-0005-0000-0000-0000E4060000}"/>
    <cellStyle name="Comma 2 3 3 2 9 4 2" xfId="16712" xr:uid="{71B48E9B-E667-4D17-A751-01C31DFFD48C}"/>
    <cellStyle name="Comma 2 3 3 2 9 4 3" xfId="27128" xr:uid="{766CE174-C055-41C6-8F91-B499EA67A808}"/>
    <cellStyle name="Comma 2 3 3 2 9 5" xfId="13059" xr:uid="{9BF36B88-8742-41C5-B8D5-02D154DA830D}"/>
    <cellStyle name="Comma 2 3 3 2 9 6" xfId="23475" xr:uid="{EE64A796-B303-47CF-9B99-73D8B316E0DA}"/>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2 2 2" xfId="19422" xr:uid="{6A76778F-691C-4118-A2A9-790D9C9A2083}"/>
    <cellStyle name="Comma 2 3 3 3 2 2 2 2 3" xfId="29838" xr:uid="{D7FB7282-7F21-4719-AAD7-B61A08D21B7A}"/>
    <cellStyle name="Comma 2 3 3 3 2 2 2 3" xfId="13064" xr:uid="{E48895B1-0107-46BC-8821-2EA59203209D}"/>
    <cellStyle name="Comma 2 3 3 3 2 2 2 4" xfId="23480" xr:uid="{D218DE3C-0659-4625-B8AB-028A9606B830}"/>
    <cellStyle name="Comma 2 3 3 3 2 2 3" xfId="7875" xr:uid="{00000000-0005-0000-0000-0000EA060000}"/>
    <cellStyle name="Comma 2 3 3 3 2 2 3 2" xfId="19421" xr:uid="{7A56BA20-FB5A-4093-A16A-70C23A422A71}"/>
    <cellStyle name="Comma 2 3 3 3 2 2 3 3" xfId="29837" xr:uid="{FBA536A0-1D07-4126-8CAF-AFB5D1876075}"/>
    <cellStyle name="Comma 2 3 3 3 2 2 4" xfId="5129" xr:uid="{00000000-0005-0000-0000-0000EB060000}"/>
    <cellStyle name="Comma 2 3 3 3 2 2 4 2" xfId="16715" xr:uid="{98C4E2D1-0359-4AF9-AC20-032BAAB8E041}"/>
    <cellStyle name="Comma 2 3 3 3 2 2 4 3" xfId="27131" xr:uid="{188745EC-3FB0-400F-98AA-64F0E4BDF198}"/>
    <cellStyle name="Comma 2 3 3 3 2 2 5" xfId="13063" xr:uid="{39487F20-7AF8-48C8-8CBF-ACB866EFFFFE}"/>
    <cellStyle name="Comma 2 3 3 3 2 2 6" xfId="23479" xr:uid="{6707CF59-0D53-42F8-915E-42A02A20AFF9}"/>
    <cellStyle name="Comma 2 3 3 3 2 3" xfId="730" xr:uid="{00000000-0005-0000-0000-0000EC060000}"/>
    <cellStyle name="Comma 2 3 3 3 2 3 2" xfId="7877" xr:uid="{00000000-0005-0000-0000-0000ED060000}"/>
    <cellStyle name="Comma 2 3 3 3 2 3 2 2" xfId="19423" xr:uid="{AE2DEAB9-5B31-4893-9511-5FBBE3CDB728}"/>
    <cellStyle name="Comma 2 3 3 3 2 3 2 3" xfId="29839" xr:uid="{5C11E714-602B-45EF-8E20-4F12174210A1}"/>
    <cellStyle name="Comma 2 3 3 3 2 3 3" xfId="13065" xr:uid="{FF4F5051-DC0F-4593-BC77-B4EB7314EA58}"/>
    <cellStyle name="Comma 2 3 3 3 2 3 4" xfId="23481" xr:uid="{53A027A9-EFEB-4EC4-8B6B-53DEA5634E25}"/>
    <cellStyle name="Comma 2 3 3 3 2 4" xfId="7874" xr:uid="{00000000-0005-0000-0000-0000EE060000}"/>
    <cellStyle name="Comma 2 3 3 3 2 4 2" xfId="19420" xr:uid="{F2A68924-C717-4B38-B5F9-E9E948952500}"/>
    <cellStyle name="Comma 2 3 3 3 2 4 3" xfId="29836" xr:uid="{07AFED82-E77F-4071-92DD-B172CC4ACF12}"/>
    <cellStyle name="Comma 2 3 3 3 2 5" xfId="5128" xr:uid="{00000000-0005-0000-0000-0000EF060000}"/>
    <cellStyle name="Comma 2 3 3 3 2 5 2" xfId="16714" xr:uid="{42404670-43EB-4412-BE83-AC2CE598B103}"/>
    <cellStyle name="Comma 2 3 3 3 2 5 3" xfId="27130" xr:uid="{F31A47E3-502D-4871-9099-8DCB15A45815}"/>
    <cellStyle name="Comma 2 3 3 3 2 6" xfId="13062" xr:uid="{45105521-21F0-4642-BA2F-A877F1A970BE}"/>
    <cellStyle name="Comma 2 3 3 3 2 7" xfId="23478" xr:uid="{C62E5C85-524B-40E1-9D60-CCA05193230E}"/>
    <cellStyle name="Comma 2 3 3 3 3" xfId="731" xr:uid="{00000000-0005-0000-0000-0000F0060000}"/>
    <cellStyle name="Comma 2 3 3 3 3 2" xfId="732" xr:uid="{00000000-0005-0000-0000-0000F1060000}"/>
    <cellStyle name="Comma 2 3 3 3 3 2 2" xfId="7879" xr:uid="{00000000-0005-0000-0000-0000F2060000}"/>
    <cellStyle name="Comma 2 3 3 3 3 2 2 2" xfId="19425" xr:uid="{B5337D24-368A-4728-B506-057B20568B4E}"/>
    <cellStyle name="Comma 2 3 3 3 3 2 2 3" xfId="29841" xr:uid="{F50B674C-5C00-4712-81BC-81B3405D5461}"/>
    <cellStyle name="Comma 2 3 3 3 3 2 3" xfId="13067" xr:uid="{F10F2C33-E1AA-45FC-ACFC-7DC46C0BDB35}"/>
    <cellStyle name="Comma 2 3 3 3 3 2 4" xfId="23483" xr:uid="{ACB3DA54-97C0-4199-B7EF-C4FD58090A0C}"/>
    <cellStyle name="Comma 2 3 3 3 3 3" xfId="7878" xr:uid="{00000000-0005-0000-0000-0000F3060000}"/>
    <cellStyle name="Comma 2 3 3 3 3 3 2" xfId="19424" xr:uid="{90EE602D-4BC0-435B-811F-7F239A38B7A5}"/>
    <cellStyle name="Comma 2 3 3 3 3 3 3" xfId="29840" xr:uid="{B96D5E8F-C826-4C64-A12B-967753C7A7F2}"/>
    <cellStyle name="Comma 2 3 3 3 3 4" xfId="5130" xr:uid="{00000000-0005-0000-0000-0000F4060000}"/>
    <cellStyle name="Comma 2 3 3 3 3 4 2" xfId="16716" xr:uid="{33473637-54CA-4C8D-87B8-FEEDFD1700E0}"/>
    <cellStyle name="Comma 2 3 3 3 3 4 3" xfId="27132" xr:uid="{10026BF2-25AF-44FE-979E-C657C3762F0E}"/>
    <cellStyle name="Comma 2 3 3 3 3 5" xfId="13066" xr:uid="{83746F66-BB4A-4788-90F9-CA78FB552E98}"/>
    <cellStyle name="Comma 2 3 3 3 3 6" xfId="23482" xr:uid="{E8CB511D-5070-4BD1-BFD9-F6C2C521A12E}"/>
    <cellStyle name="Comma 2 3 3 3 4" xfId="733" xr:uid="{00000000-0005-0000-0000-0000F5060000}"/>
    <cellStyle name="Comma 2 3 3 3 4 2" xfId="734" xr:uid="{00000000-0005-0000-0000-0000F6060000}"/>
    <cellStyle name="Comma 2 3 3 3 4 2 2" xfId="7881" xr:uid="{00000000-0005-0000-0000-0000F7060000}"/>
    <cellStyle name="Comma 2 3 3 3 4 2 2 2" xfId="19427" xr:uid="{53E3F30E-DC93-4A35-B8C7-906FB8F9337B}"/>
    <cellStyle name="Comma 2 3 3 3 4 2 2 3" xfId="29843" xr:uid="{09C39C59-D4EA-496D-98AE-244457BF6626}"/>
    <cellStyle name="Comma 2 3 3 3 4 2 3" xfId="13069" xr:uid="{6E099B75-5F0A-446E-B2E2-356C339AE7DF}"/>
    <cellStyle name="Comma 2 3 3 3 4 2 4" xfId="23485" xr:uid="{F7799222-DA90-4BA9-9B4F-2B517DD80DA1}"/>
    <cellStyle name="Comma 2 3 3 3 4 3" xfId="7880" xr:uid="{00000000-0005-0000-0000-0000F8060000}"/>
    <cellStyle name="Comma 2 3 3 3 4 3 2" xfId="19426" xr:uid="{EFE59AA2-2DE4-4C22-9D71-FAF0FF9545EE}"/>
    <cellStyle name="Comma 2 3 3 3 4 3 3" xfId="29842" xr:uid="{4F139CA2-6906-47CC-A2B8-483852DF9010}"/>
    <cellStyle name="Comma 2 3 3 3 4 4" xfId="5131" xr:uid="{00000000-0005-0000-0000-0000F9060000}"/>
    <cellStyle name="Comma 2 3 3 3 4 4 2" xfId="16717" xr:uid="{CB5BBD72-124F-45AD-AC8E-DEB4FE22FE29}"/>
    <cellStyle name="Comma 2 3 3 3 4 4 3" xfId="27133" xr:uid="{EDCF86F5-5601-45B9-A7DE-106288409D98}"/>
    <cellStyle name="Comma 2 3 3 3 4 5" xfId="13068" xr:uid="{5481615D-5DDF-4E32-89B6-9EF4017B4552}"/>
    <cellStyle name="Comma 2 3 3 3 4 6" xfId="23484" xr:uid="{F2E7AE91-8978-4204-875C-4A747EF253A6}"/>
    <cellStyle name="Comma 2 3 3 3 5" xfId="735" xr:uid="{00000000-0005-0000-0000-0000FA060000}"/>
    <cellStyle name="Comma 2 3 3 3 5 2" xfId="7882" xr:uid="{00000000-0005-0000-0000-0000FB060000}"/>
    <cellStyle name="Comma 2 3 3 3 5 2 2" xfId="19428" xr:uid="{EDC95A25-F9B3-45F6-9985-64055130B738}"/>
    <cellStyle name="Comma 2 3 3 3 5 2 3" xfId="29844" xr:uid="{C6838167-9A11-4AEB-9FDC-352EA4AB601D}"/>
    <cellStyle name="Comma 2 3 3 3 5 3" xfId="13070" xr:uid="{48DFB464-A2B9-49BA-8138-BBF6A20865E1}"/>
    <cellStyle name="Comma 2 3 3 3 5 4" xfId="23486" xr:uid="{BDDC95A5-6696-40CA-BFE1-B4B3BA83A411}"/>
    <cellStyle name="Comma 2 3 3 3 6" xfId="7873" xr:uid="{00000000-0005-0000-0000-0000FC060000}"/>
    <cellStyle name="Comma 2 3 3 3 6 2" xfId="19419" xr:uid="{2186822D-8AB8-4914-9214-B963E2587FFC}"/>
    <cellStyle name="Comma 2 3 3 3 6 3" xfId="29835" xr:uid="{FE1A3D6C-0BDF-45AB-ABEA-775E35CC8404}"/>
    <cellStyle name="Comma 2 3 3 3 7" xfId="5127" xr:uid="{00000000-0005-0000-0000-0000FD060000}"/>
    <cellStyle name="Comma 2 3 3 3 7 2" xfId="16713" xr:uid="{6A36BC38-0DF4-4629-AE5C-F0E2F2F95A55}"/>
    <cellStyle name="Comma 2 3 3 3 7 3" xfId="27129" xr:uid="{EF7473AC-A31D-46DE-B411-82CADA1D64A8}"/>
    <cellStyle name="Comma 2 3 3 3 8" xfId="13061" xr:uid="{545AAAB7-69CD-4A5D-A073-D21CF7297E93}"/>
    <cellStyle name="Comma 2 3 3 3 9" xfId="23477" xr:uid="{4F6740B2-54AA-4D92-80F8-447ADEBA3842}"/>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2 2 2" xfId="19432" xr:uid="{B6E99E6F-5B38-45C0-97DD-C6437D1DAC49}"/>
    <cellStyle name="Comma 2 3 3 4 2 2 2 2 3" xfId="29848" xr:uid="{E20D4921-2E63-4969-9354-94FEA0BE9DC1}"/>
    <cellStyle name="Comma 2 3 3 4 2 2 2 3" xfId="13074" xr:uid="{7F1002CF-59BA-436E-BD40-8CF94CB710FD}"/>
    <cellStyle name="Comma 2 3 3 4 2 2 2 4" xfId="23490" xr:uid="{866396C1-A79F-482F-BD8C-1A8306694C45}"/>
    <cellStyle name="Comma 2 3 3 4 2 2 3" xfId="7885" xr:uid="{00000000-0005-0000-0000-000003070000}"/>
    <cellStyle name="Comma 2 3 3 4 2 2 3 2" xfId="19431" xr:uid="{F3896E1C-66AE-46BD-BBA1-D08C865C6E85}"/>
    <cellStyle name="Comma 2 3 3 4 2 2 3 3" xfId="29847" xr:uid="{5289BC6F-DD74-4CF1-A6FD-EFF6788A75BF}"/>
    <cellStyle name="Comma 2 3 3 4 2 2 4" xfId="5134" xr:uid="{00000000-0005-0000-0000-000004070000}"/>
    <cellStyle name="Comma 2 3 3 4 2 2 4 2" xfId="16720" xr:uid="{43385B03-1DA7-4292-8D24-27BFBD9658EC}"/>
    <cellStyle name="Comma 2 3 3 4 2 2 4 3" xfId="27136" xr:uid="{DCA41B20-5680-4F64-B333-AA71AF6D7220}"/>
    <cellStyle name="Comma 2 3 3 4 2 2 5" xfId="13073" xr:uid="{32F082E1-9767-47A8-9628-21585FD18613}"/>
    <cellStyle name="Comma 2 3 3 4 2 2 6" xfId="23489" xr:uid="{16D48240-4365-4A50-922B-AD654DDD699F}"/>
    <cellStyle name="Comma 2 3 3 4 2 3" xfId="740" xr:uid="{00000000-0005-0000-0000-000005070000}"/>
    <cellStyle name="Comma 2 3 3 4 2 3 2" xfId="7887" xr:uid="{00000000-0005-0000-0000-000006070000}"/>
    <cellStyle name="Comma 2 3 3 4 2 3 2 2" xfId="19433" xr:uid="{CC4792D2-A7BC-4A0C-9B11-5323BA9BAAB5}"/>
    <cellStyle name="Comma 2 3 3 4 2 3 2 3" xfId="29849" xr:uid="{59A6B149-A281-42D7-8720-52FE39DC015E}"/>
    <cellStyle name="Comma 2 3 3 4 2 3 3" xfId="13075" xr:uid="{AB3168E3-8F54-4EE4-83E0-E765D3DA1DB8}"/>
    <cellStyle name="Comma 2 3 3 4 2 3 4" xfId="23491" xr:uid="{D09C5A2B-2F08-47DC-932F-F5AE68D204F4}"/>
    <cellStyle name="Comma 2 3 3 4 2 4" xfId="7884" xr:uid="{00000000-0005-0000-0000-000007070000}"/>
    <cellStyle name="Comma 2 3 3 4 2 4 2" xfId="19430" xr:uid="{8FCB64C9-BB92-4DA2-BB17-A503554927A8}"/>
    <cellStyle name="Comma 2 3 3 4 2 4 3" xfId="29846" xr:uid="{BE687A96-983A-41DE-B454-289EB20685B4}"/>
    <cellStyle name="Comma 2 3 3 4 2 5" xfId="5133" xr:uid="{00000000-0005-0000-0000-000008070000}"/>
    <cellStyle name="Comma 2 3 3 4 2 5 2" xfId="16719" xr:uid="{56BBB432-E794-42A3-870C-B58827F01854}"/>
    <cellStyle name="Comma 2 3 3 4 2 5 3" xfId="27135" xr:uid="{69A1485B-15BD-4C7D-8309-FCE564366FD6}"/>
    <cellStyle name="Comma 2 3 3 4 2 6" xfId="13072" xr:uid="{DF79A237-0C59-45EC-BE66-BB3576F04A38}"/>
    <cellStyle name="Comma 2 3 3 4 2 7" xfId="23488" xr:uid="{54642367-C571-4477-9377-E054ACF2965D}"/>
    <cellStyle name="Comma 2 3 3 4 3" xfId="741" xr:uid="{00000000-0005-0000-0000-000009070000}"/>
    <cellStyle name="Comma 2 3 3 4 3 2" xfId="742" xr:uid="{00000000-0005-0000-0000-00000A070000}"/>
    <cellStyle name="Comma 2 3 3 4 3 2 2" xfId="7889" xr:uid="{00000000-0005-0000-0000-00000B070000}"/>
    <cellStyle name="Comma 2 3 3 4 3 2 2 2" xfId="19435" xr:uid="{FCBB3F00-94DE-45A6-B816-BAE30EDB1877}"/>
    <cellStyle name="Comma 2 3 3 4 3 2 2 3" xfId="29851" xr:uid="{8BC43C92-EC41-41C9-8A53-DE7A76DD4D0A}"/>
    <cellStyle name="Comma 2 3 3 4 3 2 3" xfId="13077" xr:uid="{455FA4C6-FC5B-4676-A0CE-2D344EF4651A}"/>
    <cellStyle name="Comma 2 3 3 4 3 2 4" xfId="23493" xr:uid="{9E4B2998-66AE-4CDA-8B16-26D013BB4CBD}"/>
    <cellStyle name="Comma 2 3 3 4 3 3" xfId="7888" xr:uid="{00000000-0005-0000-0000-00000C070000}"/>
    <cellStyle name="Comma 2 3 3 4 3 3 2" xfId="19434" xr:uid="{0B6E4C55-F32A-4D60-B1B6-FE52F59938E3}"/>
    <cellStyle name="Comma 2 3 3 4 3 3 3" xfId="29850" xr:uid="{8BB927FE-A79C-48A3-A608-3931B54DFC47}"/>
    <cellStyle name="Comma 2 3 3 4 3 4" xfId="5135" xr:uid="{00000000-0005-0000-0000-00000D070000}"/>
    <cellStyle name="Comma 2 3 3 4 3 4 2" xfId="16721" xr:uid="{AAE1EA9B-5ADA-44D3-8CD3-6FB4AD782AB9}"/>
    <cellStyle name="Comma 2 3 3 4 3 4 3" xfId="27137" xr:uid="{4040D0AD-84F7-4BC2-9674-664308C2EAF4}"/>
    <cellStyle name="Comma 2 3 3 4 3 5" xfId="13076" xr:uid="{DF218C03-8AA1-4B94-8843-9F37AA2FAAFF}"/>
    <cellStyle name="Comma 2 3 3 4 3 6" xfId="23492" xr:uid="{85C9311D-854D-4178-B8CF-EF1BEF39D370}"/>
    <cellStyle name="Comma 2 3 3 4 4" xfId="743" xr:uid="{00000000-0005-0000-0000-00000E070000}"/>
    <cellStyle name="Comma 2 3 3 4 4 2" xfId="744" xr:uid="{00000000-0005-0000-0000-00000F070000}"/>
    <cellStyle name="Comma 2 3 3 4 4 2 2" xfId="7891" xr:uid="{00000000-0005-0000-0000-000010070000}"/>
    <cellStyle name="Comma 2 3 3 4 4 2 2 2" xfId="19437" xr:uid="{09817654-AEEA-437F-B938-859452AC7EE4}"/>
    <cellStyle name="Comma 2 3 3 4 4 2 2 3" xfId="29853" xr:uid="{F30DA242-CBB7-4CCD-8958-2AE520514155}"/>
    <cellStyle name="Comma 2 3 3 4 4 2 3" xfId="13079" xr:uid="{EE96AC02-0924-4FB1-A239-774365941814}"/>
    <cellStyle name="Comma 2 3 3 4 4 2 4" xfId="23495" xr:uid="{368D2CBB-6CD3-49C2-B0F4-A950F38CEAE0}"/>
    <cellStyle name="Comma 2 3 3 4 4 3" xfId="7890" xr:uid="{00000000-0005-0000-0000-000011070000}"/>
    <cellStyle name="Comma 2 3 3 4 4 3 2" xfId="19436" xr:uid="{0F45FE56-3D8D-48D7-937E-D7EA2B3456B2}"/>
    <cellStyle name="Comma 2 3 3 4 4 3 3" xfId="29852" xr:uid="{D99021F0-6C55-45BF-BFC8-26714D294072}"/>
    <cellStyle name="Comma 2 3 3 4 4 4" xfId="5136" xr:uid="{00000000-0005-0000-0000-000012070000}"/>
    <cellStyle name="Comma 2 3 3 4 4 4 2" xfId="16722" xr:uid="{CDCE19B3-9177-46C1-B94C-998846767529}"/>
    <cellStyle name="Comma 2 3 3 4 4 4 3" xfId="27138" xr:uid="{EE540674-6EBB-4721-9536-B88FFCD066BE}"/>
    <cellStyle name="Comma 2 3 3 4 4 5" xfId="13078" xr:uid="{7858C0FE-3A1E-43DE-901D-D811E55EC456}"/>
    <cellStyle name="Comma 2 3 3 4 4 6" xfId="23494" xr:uid="{BE0E7C0D-ADAB-44EB-B08C-3D2316C242E7}"/>
    <cellStyle name="Comma 2 3 3 4 5" xfId="745" xr:uid="{00000000-0005-0000-0000-000013070000}"/>
    <cellStyle name="Comma 2 3 3 4 5 2" xfId="7892" xr:uid="{00000000-0005-0000-0000-000014070000}"/>
    <cellStyle name="Comma 2 3 3 4 5 2 2" xfId="19438" xr:uid="{3A43F536-6C30-4951-B86F-8924BCD399F5}"/>
    <cellStyle name="Comma 2 3 3 4 5 2 3" xfId="29854" xr:uid="{14A636E0-700F-459A-B32B-090F9E4121E6}"/>
    <cellStyle name="Comma 2 3 3 4 5 3" xfId="13080" xr:uid="{E912566B-EAE8-4E7B-9430-E620690A8329}"/>
    <cellStyle name="Comma 2 3 3 4 5 4" xfId="23496" xr:uid="{B36CB3BE-AF09-4294-B329-FD4A2A5F4E77}"/>
    <cellStyle name="Comma 2 3 3 4 6" xfId="7883" xr:uid="{00000000-0005-0000-0000-000015070000}"/>
    <cellStyle name="Comma 2 3 3 4 6 2" xfId="19429" xr:uid="{BC47C948-7EE9-489C-AC85-F06FD0BCC2FF}"/>
    <cellStyle name="Comma 2 3 3 4 6 3" xfId="29845" xr:uid="{9E517992-FF5D-43EB-9853-A6466C694466}"/>
    <cellStyle name="Comma 2 3 3 4 7" xfId="5132" xr:uid="{00000000-0005-0000-0000-000016070000}"/>
    <cellStyle name="Comma 2 3 3 4 7 2" xfId="16718" xr:uid="{41EECF1E-37A2-4832-AFA8-2E0F62F34104}"/>
    <cellStyle name="Comma 2 3 3 4 7 3" xfId="27134" xr:uid="{94B4FEBD-FC37-4030-8EEC-EE03315DE360}"/>
    <cellStyle name="Comma 2 3 3 4 8" xfId="13071" xr:uid="{BBF6C75A-D073-4EFF-BA25-FFC3C3A83CE1}"/>
    <cellStyle name="Comma 2 3 3 4 9" xfId="23487" xr:uid="{851716CC-B5B6-4CE1-B189-27547F2E42AA}"/>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2 2 2" xfId="19442" xr:uid="{9AE84D1E-8520-4889-AE43-4F88E8C10DD7}"/>
    <cellStyle name="Comma 2 3 3 5 2 2 2 2 3" xfId="29858" xr:uid="{797F3FD4-4A70-42C0-952A-C1D9939DE50A}"/>
    <cellStyle name="Comma 2 3 3 5 2 2 2 3" xfId="13084" xr:uid="{CF090F2F-9457-482A-A5BD-5D053094DF2B}"/>
    <cellStyle name="Comma 2 3 3 5 2 2 2 4" xfId="23500" xr:uid="{21FF1211-853B-4AF3-A660-2C734EC62381}"/>
    <cellStyle name="Comma 2 3 3 5 2 2 3" xfId="7895" xr:uid="{00000000-0005-0000-0000-00001C070000}"/>
    <cellStyle name="Comma 2 3 3 5 2 2 3 2" xfId="19441" xr:uid="{ECFCEEAE-7B45-42F1-9258-139AF4E6DE63}"/>
    <cellStyle name="Comma 2 3 3 5 2 2 3 3" xfId="29857" xr:uid="{12B46AE2-2A31-4DF0-A745-1F11C4DE76B2}"/>
    <cellStyle name="Comma 2 3 3 5 2 2 4" xfId="5139" xr:uid="{00000000-0005-0000-0000-00001D070000}"/>
    <cellStyle name="Comma 2 3 3 5 2 2 4 2" xfId="16725" xr:uid="{1A194BA6-FA94-41EE-A209-46B5B35A91B1}"/>
    <cellStyle name="Comma 2 3 3 5 2 2 4 3" xfId="27141" xr:uid="{7C2CBBCD-AA51-4C4F-9DD3-F6E7A5969FC8}"/>
    <cellStyle name="Comma 2 3 3 5 2 2 5" xfId="13083" xr:uid="{6C70969F-366D-4F16-AC05-DEA0B8A7057C}"/>
    <cellStyle name="Comma 2 3 3 5 2 2 6" xfId="23499" xr:uid="{CA3F7EB7-FC78-4808-B8A2-05B7BE3D01EE}"/>
    <cellStyle name="Comma 2 3 3 5 2 3" xfId="750" xr:uid="{00000000-0005-0000-0000-00001E070000}"/>
    <cellStyle name="Comma 2 3 3 5 2 3 2" xfId="7897" xr:uid="{00000000-0005-0000-0000-00001F070000}"/>
    <cellStyle name="Comma 2 3 3 5 2 3 2 2" xfId="19443" xr:uid="{27EC463F-01A0-48BC-8258-CDB1E355828B}"/>
    <cellStyle name="Comma 2 3 3 5 2 3 2 3" xfId="29859" xr:uid="{F09A4787-878F-4212-AF4B-94A63CB26D98}"/>
    <cellStyle name="Comma 2 3 3 5 2 3 3" xfId="13085" xr:uid="{D226CA06-6331-4F9C-921D-A1B99E5AB72A}"/>
    <cellStyle name="Comma 2 3 3 5 2 3 4" xfId="23501" xr:uid="{5C701CBA-F4DC-4C33-9CC5-8C27B70593D6}"/>
    <cellStyle name="Comma 2 3 3 5 2 4" xfId="7894" xr:uid="{00000000-0005-0000-0000-000020070000}"/>
    <cellStyle name="Comma 2 3 3 5 2 4 2" xfId="19440" xr:uid="{02A8ADF8-A9F1-4A0D-AFFA-F24C8F7FCAC5}"/>
    <cellStyle name="Comma 2 3 3 5 2 4 3" xfId="29856" xr:uid="{59B2E855-A064-4ACE-80E3-73037B2186AA}"/>
    <cellStyle name="Comma 2 3 3 5 2 5" xfId="5138" xr:uid="{00000000-0005-0000-0000-000021070000}"/>
    <cellStyle name="Comma 2 3 3 5 2 5 2" xfId="16724" xr:uid="{72C21C53-1CC6-4919-9AF0-127B93D27EE0}"/>
    <cellStyle name="Comma 2 3 3 5 2 5 3" xfId="27140" xr:uid="{63D07D01-5485-476D-A4A6-C67139F2FDA9}"/>
    <cellStyle name="Comma 2 3 3 5 2 6" xfId="13082" xr:uid="{00FE05D1-A085-4CB0-8B4C-3623C343ABCE}"/>
    <cellStyle name="Comma 2 3 3 5 2 7" xfId="23498" xr:uid="{185549D8-0D60-469A-AC44-713D2D5AF1DC}"/>
    <cellStyle name="Comma 2 3 3 5 3" xfId="751" xr:uid="{00000000-0005-0000-0000-000022070000}"/>
    <cellStyle name="Comma 2 3 3 5 3 2" xfId="752" xr:uid="{00000000-0005-0000-0000-000023070000}"/>
    <cellStyle name="Comma 2 3 3 5 3 2 2" xfId="7899" xr:uid="{00000000-0005-0000-0000-000024070000}"/>
    <cellStyle name="Comma 2 3 3 5 3 2 2 2" xfId="19445" xr:uid="{E0A0705B-6EEE-44F4-9C67-5F43F3C126E2}"/>
    <cellStyle name="Comma 2 3 3 5 3 2 2 3" xfId="29861" xr:uid="{EF647F2E-38F0-4204-BAD6-0B59607E9B63}"/>
    <cellStyle name="Comma 2 3 3 5 3 2 3" xfId="13087" xr:uid="{F40B3D92-1B0E-49BC-87DD-5D15B218A6F6}"/>
    <cellStyle name="Comma 2 3 3 5 3 2 4" xfId="23503" xr:uid="{42524D30-0C0D-45E4-9780-56C288D25C91}"/>
    <cellStyle name="Comma 2 3 3 5 3 3" xfId="7898" xr:uid="{00000000-0005-0000-0000-000025070000}"/>
    <cellStyle name="Comma 2 3 3 5 3 3 2" xfId="19444" xr:uid="{40D9E595-7145-4AC1-8D0B-AAF7B09D9C3C}"/>
    <cellStyle name="Comma 2 3 3 5 3 3 3" xfId="29860" xr:uid="{BF07F8B0-3AFF-4ADF-9FB6-24D6B5F2B6C8}"/>
    <cellStyle name="Comma 2 3 3 5 3 4" xfId="5140" xr:uid="{00000000-0005-0000-0000-000026070000}"/>
    <cellStyle name="Comma 2 3 3 5 3 4 2" xfId="16726" xr:uid="{100CE56C-0674-40C4-AAC0-05198A03CCB9}"/>
    <cellStyle name="Comma 2 3 3 5 3 4 3" xfId="27142" xr:uid="{779F0D29-568C-46C9-AE11-8870253A29F9}"/>
    <cellStyle name="Comma 2 3 3 5 3 5" xfId="13086" xr:uid="{9CA24074-8946-44DC-9B50-8026A09FDA3B}"/>
    <cellStyle name="Comma 2 3 3 5 3 6" xfId="23502" xr:uid="{758B8072-EDB8-4CB5-A117-3367519F0F87}"/>
    <cellStyle name="Comma 2 3 3 5 4" xfId="753" xr:uid="{00000000-0005-0000-0000-000027070000}"/>
    <cellStyle name="Comma 2 3 3 5 4 2" xfId="754" xr:uid="{00000000-0005-0000-0000-000028070000}"/>
    <cellStyle name="Comma 2 3 3 5 4 2 2" xfId="7901" xr:uid="{00000000-0005-0000-0000-000029070000}"/>
    <cellStyle name="Comma 2 3 3 5 4 2 2 2" xfId="19447" xr:uid="{215BBDF3-5903-4182-9608-41103B968417}"/>
    <cellStyle name="Comma 2 3 3 5 4 2 2 3" xfId="29863" xr:uid="{72D5E228-D7A6-4AFF-AF52-C4E7CFDB39EC}"/>
    <cellStyle name="Comma 2 3 3 5 4 2 3" xfId="13089" xr:uid="{4B5D79B2-A38B-4E62-A8EB-7CB499474EB0}"/>
    <cellStyle name="Comma 2 3 3 5 4 2 4" xfId="23505" xr:uid="{A9C10E46-5F67-4647-AD5D-B1529ABAD915}"/>
    <cellStyle name="Comma 2 3 3 5 4 3" xfId="7900" xr:uid="{00000000-0005-0000-0000-00002A070000}"/>
    <cellStyle name="Comma 2 3 3 5 4 3 2" xfId="19446" xr:uid="{47B30362-1ED1-4A7D-9675-211A70DD493E}"/>
    <cellStyle name="Comma 2 3 3 5 4 3 3" xfId="29862" xr:uid="{A67FD78A-E655-4D2F-82F3-A98A7500C454}"/>
    <cellStyle name="Comma 2 3 3 5 4 4" xfId="5141" xr:uid="{00000000-0005-0000-0000-00002B070000}"/>
    <cellStyle name="Comma 2 3 3 5 4 4 2" xfId="16727" xr:uid="{0A10BCFF-6784-4544-9403-47A4DD5F09E8}"/>
    <cellStyle name="Comma 2 3 3 5 4 4 3" xfId="27143" xr:uid="{D507347E-535D-4E44-8445-E669E4D951D5}"/>
    <cellStyle name="Comma 2 3 3 5 4 5" xfId="13088" xr:uid="{69E7BCD2-9218-4C40-8642-FFC1D2DFE5BF}"/>
    <cellStyle name="Comma 2 3 3 5 4 6" xfId="23504" xr:uid="{23253A39-CF9A-4113-BB95-472C04963346}"/>
    <cellStyle name="Comma 2 3 3 5 5" xfId="755" xr:uid="{00000000-0005-0000-0000-00002C070000}"/>
    <cellStyle name="Comma 2 3 3 5 5 2" xfId="7902" xr:uid="{00000000-0005-0000-0000-00002D070000}"/>
    <cellStyle name="Comma 2 3 3 5 5 2 2" xfId="19448" xr:uid="{D2A2C9B5-8553-48EC-BBA1-56A7934D0177}"/>
    <cellStyle name="Comma 2 3 3 5 5 2 3" xfId="29864" xr:uid="{8625FC60-5E82-4493-A069-FBB4AB83503F}"/>
    <cellStyle name="Comma 2 3 3 5 5 3" xfId="13090" xr:uid="{565BE9C7-473C-4F6F-A31F-BB08FC2DFF8C}"/>
    <cellStyle name="Comma 2 3 3 5 5 4" xfId="23506" xr:uid="{A2BB9B54-7D3C-4795-9C91-6607EF76BBC5}"/>
    <cellStyle name="Comma 2 3 3 5 6" xfId="7893" xr:uid="{00000000-0005-0000-0000-00002E070000}"/>
    <cellStyle name="Comma 2 3 3 5 6 2" xfId="19439" xr:uid="{6093A758-B169-4F09-8F98-E34A1642A8EA}"/>
    <cellStyle name="Comma 2 3 3 5 6 3" xfId="29855" xr:uid="{E594B69E-2C09-4740-BEA2-C1E8EE574375}"/>
    <cellStyle name="Comma 2 3 3 5 7" xfId="5137" xr:uid="{00000000-0005-0000-0000-00002F070000}"/>
    <cellStyle name="Comma 2 3 3 5 7 2" xfId="16723" xr:uid="{E0778342-081C-4A79-A815-E82841DFF236}"/>
    <cellStyle name="Comma 2 3 3 5 7 3" xfId="27139" xr:uid="{AE32C898-C660-407D-8693-BA98DDD90A20}"/>
    <cellStyle name="Comma 2 3 3 5 8" xfId="13081" xr:uid="{74E64562-DCC0-4E16-A023-EF049D038BA9}"/>
    <cellStyle name="Comma 2 3 3 5 9" xfId="23497" xr:uid="{B11A553D-C947-4C6E-9DE8-86AB6C5BD446}"/>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2 2 2" xfId="19452" xr:uid="{7179ED6B-6305-46D6-AA65-FD3E9B6B439B}"/>
    <cellStyle name="Comma 2 3 3 6 2 2 2 2 3" xfId="29868" xr:uid="{E5D64512-CC61-4854-930C-D2A1F8B6D9C8}"/>
    <cellStyle name="Comma 2 3 3 6 2 2 2 3" xfId="13094" xr:uid="{71568A71-ECBE-4380-8D8D-61EAE618B518}"/>
    <cellStyle name="Comma 2 3 3 6 2 2 2 4" xfId="23510" xr:uid="{F00A46A4-71D2-4EAC-99E2-BD53D919277E}"/>
    <cellStyle name="Comma 2 3 3 6 2 2 3" xfId="7905" xr:uid="{00000000-0005-0000-0000-000035070000}"/>
    <cellStyle name="Comma 2 3 3 6 2 2 3 2" xfId="19451" xr:uid="{ED792BA6-AB28-4C6E-B5D2-F57E4B57CF35}"/>
    <cellStyle name="Comma 2 3 3 6 2 2 3 3" xfId="29867" xr:uid="{9EB4DEB8-EBBE-47BD-94C2-0FC9253ED58D}"/>
    <cellStyle name="Comma 2 3 3 6 2 2 4" xfId="5144" xr:uid="{00000000-0005-0000-0000-000036070000}"/>
    <cellStyle name="Comma 2 3 3 6 2 2 4 2" xfId="16730" xr:uid="{42C3A6FC-2C78-4F55-9834-E4803CD46289}"/>
    <cellStyle name="Comma 2 3 3 6 2 2 4 3" xfId="27146" xr:uid="{C9BC9671-A626-4CF3-8E9F-763D333F7C8E}"/>
    <cellStyle name="Comma 2 3 3 6 2 2 5" xfId="13093" xr:uid="{D275F38A-15F4-48A5-A8FF-8F7C1FF1AC99}"/>
    <cellStyle name="Comma 2 3 3 6 2 2 6" xfId="23509" xr:uid="{3F4F334A-C119-4B47-8AD3-B41107349C79}"/>
    <cellStyle name="Comma 2 3 3 6 2 3" xfId="760" xr:uid="{00000000-0005-0000-0000-000037070000}"/>
    <cellStyle name="Comma 2 3 3 6 2 3 2" xfId="7907" xr:uid="{00000000-0005-0000-0000-000038070000}"/>
    <cellStyle name="Comma 2 3 3 6 2 3 2 2" xfId="19453" xr:uid="{0356CE55-900E-4E76-BB47-0C68CAE5724E}"/>
    <cellStyle name="Comma 2 3 3 6 2 3 2 3" xfId="29869" xr:uid="{48C7BBA0-7CAD-4CA5-839C-E7C732A5BBFA}"/>
    <cellStyle name="Comma 2 3 3 6 2 3 3" xfId="13095" xr:uid="{F9F66036-A127-4754-BBBC-3BEF2126C9E5}"/>
    <cellStyle name="Comma 2 3 3 6 2 3 4" xfId="23511" xr:uid="{B7C18E45-F3F7-4900-803B-353340E25E6B}"/>
    <cellStyle name="Comma 2 3 3 6 2 4" xfId="7904" xr:uid="{00000000-0005-0000-0000-000039070000}"/>
    <cellStyle name="Comma 2 3 3 6 2 4 2" xfId="19450" xr:uid="{AEEB5238-6A34-4F0E-932E-258622ED8BC5}"/>
    <cellStyle name="Comma 2 3 3 6 2 4 3" xfId="29866" xr:uid="{9BD413AE-B279-480B-98CE-D9FFF7BF2E44}"/>
    <cellStyle name="Comma 2 3 3 6 2 5" xfId="5143" xr:uid="{00000000-0005-0000-0000-00003A070000}"/>
    <cellStyle name="Comma 2 3 3 6 2 5 2" xfId="16729" xr:uid="{7EB9B367-9CD4-442E-82AC-F331403C494F}"/>
    <cellStyle name="Comma 2 3 3 6 2 5 3" xfId="27145" xr:uid="{573F6AFF-E3FE-42A7-A902-126F991CD33C}"/>
    <cellStyle name="Comma 2 3 3 6 2 6" xfId="13092" xr:uid="{D1CAF756-C31B-4A85-9A76-BED539D7CB67}"/>
    <cellStyle name="Comma 2 3 3 6 2 7" xfId="23508" xr:uid="{91EC08EA-C13B-49E8-8B95-C92B90492F26}"/>
    <cellStyle name="Comma 2 3 3 6 3" xfId="761" xr:uid="{00000000-0005-0000-0000-00003B070000}"/>
    <cellStyle name="Comma 2 3 3 6 3 2" xfId="762" xr:uid="{00000000-0005-0000-0000-00003C070000}"/>
    <cellStyle name="Comma 2 3 3 6 3 2 2" xfId="7909" xr:uid="{00000000-0005-0000-0000-00003D070000}"/>
    <cellStyle name="Comma 2 3 3 6 3 2 2 2" xfId="19455" xr:uid="{C91E5E2A-0965-43BF-A851-BDB7C5A41B9A}"/>
    <cellStyle name="Comma 2 3 3 6 3 2 2 3" xfId="29871" xr:uid="{FB0A89EF-1B02-4A27-80AD-790369496A3F}"/>
    <cellStyle name="Comma 2 3 3 6 3 2 3" xfId="13097" xr:uid="{99AE3069-53FF-4372-A573-8233B42B0A1A}"/>
    <cellStyle name="Comma 2 3 3 6 3 2 4" xfId="23513" xr:uid="{4379AE10-8CC3-4928-B249-BAE0C3F827D9}"/>
    <cellStyle name="Comma 2 3 3 6 3 3" xfId="7908" xr:uid="{00000000-0005-0000-0000-00003E070000}"/>
    <cellStyle name="Comma 2 3 3 6 3 3 2" xfId="19454" xr:uid="{796E6001-AD49-4AA6-A49B-602C4769A12B}"/>
    <cellStyle name="Comma 2 3 3 6 3 3 3" xfId="29870" xr:uid="{5B0068FE-D447-41F8-BE3D-5A330F9DB6E4}"/>
    <cellStyle name="Comma 2 3 3 6 3 4" xfId="5145" xr:uid="{00000000-0005-0000-0000-00003F070000}"/>
    <cellStyle name="Comma 2 3 3 6 3 4 2" xfId="16731" xr:uid="{969E155D-1B20-4779-B3AD-8A663AAD5268}"/>
    <cellStyle name="Comma 2 3 3 6 3 4 3" xfId="27147" xr:uid="{BC060EC6-695F-4EE1-9B8F-9A28C39FFD70}"/>
    <cellStyle name="Comma 2 3 3 6 3 5" xfId="13096" xr:uid="{B6330B43-37CD-4E02-A325-B4BA7DCB4C74}"/>
    <cellStyle name="Comma 2 3 3 6 3 6" xfId="23512" xr:uid="{3333E794-5674-4845-A3F8-FEB0D71FEA0A}"/>
    <cellStyle name="Comma 2 3 3 6 4" xfId="763" xr:uid="{00000000-0005-0000-0000-000040070000}"/>
    <cellStyle name="Comma 2 3 3 6 4 2" xfId="764" xr:uid="{00000000-0005-0000-0000-000041070000}"/>
    <cellStyle name="Comma 2 3 3 6 4 2 2" xfId="7911" xr:uid="{00000000-0005-0000-0000-000042070000}"/>
    <cellStyle name="Comma 2 3 3 6 4 2 2 2" xfId="19457" xr:uid="{E96E990A-9BE6-4BC7-B627-061534CF064D}"/>
    <cellStyle name="Comma 2 3 3 6 4 2 2 3" xfId="29873" xr:uid="{A126D2D3-FA0C-4F7B-BE90-2B120D7E8AEF}"/>
    <cellStyle name="Comma 2 3 3 6 4 2 3" xfId="13099" xr:uid="{00BCC2B6-BE9D-4873-9111-03A0D8A1D547}"/>
    <cellStyle name="Comma 2 3 3 6 4 2 4" xfId="23515" xr:uid="{805644FE-9E86-4CC4-B7B4-07C561E5CADA}"/>
    <cellStyle name="Comma 2 3 3 6 4 3" xfId="7910" xr:uid="{00000000-0005-0000-0000-000043070000}"/>
    <cellStyle name="Comma 2 3 3 6 4 3 2" xfId="19456" xr:uid="{AC6684D9-079D-4BEE-AF21-D21DBEDE80BA}"/>
    <cellStyle name="Comma 2 3 3 6 4 3 3" xfId="29872" xr:uid="{405CE60C-B05A-4627-99CC-F790405DDBAD}"/>
    <cellStyle name="Comma 2 3 3 6 4 4" xfId="5146" xr:uid="{00000000-0005-0000-0000-000044070000}"/>
    <cellStyle name="Comma 2 3 3 6 4 4 2" xfId="16732" xr:uid="{A3792938-95BF-4934-BAC5-8B1C7436E3AB}"/>
    <cellStyle name="Comma 2 3 3 6 4 4 3" xfId="27148" xr:uid="{6B909DDE-FA39-46BB-AD88-5D824EEE18AE}"/>
    <cellStyle name="Comma 2 3 3 6 4 5" xfId="13098" xr:uid="{A6F3DE0B-38C3-48D7-A41D-1A7DE9EB255D}"/>
    <cellStyle name="Comma 2 3 3 6 4 6" xfId="23514" xr:uid="{C73E0DB2-3658-49EF-99F4-0F09E0CB548A}"/>
    <cellStyle name="Comma 2 3 3 6 5" xfId="765" xr:uid="{00000000-0005-0000-0000-000045070000}"/>
    <cellStyle name="Comma 2 3 3 6 5 2" xfId="7912" xr:uid="{00000000-0005-0000-0000-000046070000}"/>
    <cellStyle name="Comma 2 3 3 6 5 2 2" xfId="19458" xr:uid="{8D6FD552-7A26-4BFF-BA3C-5B2E79170BCD}"/>
    <cellStyle name="Comma 2 3 3 6 5 2 3" xfId="29874" xr:uid="{0F0558DE-674C-40D6-804B-183DD1FEA227}"/>
    <cellStyle name="Comma 2 3 3 6 5 3" xfId="13100" xr:uid="{88CC3588-8686-4A2D-B7D8-74460544747D}"/>
    <cellStyle name="Comma 2 3 3 6 5 4" xfId="23516" xr:uid="{B664877D-FB5D-4FA8-8816-1FD54897B4C3}"/>
    <cellStyle name="Comma 2 3 3 6 6" xfId="7903" xr:uid="{00000000-0005-0000-0000-000047070000}"/>
    <cellStyle name="Comma 2 3 3 6 6 2" xfId="19449" xr:uid="{C963E94E-BC32-46BE-B9F2-95E1A00F84B0}"/>
    <cellStyle name="Comma 2 3 3 6 6 3" xfId="29865" xr:uid="{53EF66B9-4CCD-4DEF-B1DE-F77FFE1C21E0}"/>
    <cellStyle name="Comma 2 3 3 6 7" xfId="5142" xr:uid="{00000000-0005-0000-0000-000048070000}"/>
    <cellStyle name="Comma 2 3 3 6 7 2" xfId="16728" xr:uid="{15A8C13B-CFAB-4FA8-BF6C-E18A65A342A1}"/>
    <cellStyle name="Comma 2 3 3 6 7 3" xfId="27144" xr:uid="{9EE14182-BC3E-4B96-9F49-785CD4F6A1BE}"/>
    <cellStyle name="Comma 2 3 3 6 8" xfId="13091" xr:uid="{FD8DE79C-3C38-4673-A66B-C8D14561FE9F}"/>
    <cellStyle name="Comma 2 3 3 6 9" xfId="23507" xr:uid="{E527A070-DD03-4DF4-941F-69A96C00B066}"/>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2 2 2" xfId="19461" xr:uid="{38EB4A9B-EC0F-4FAA-B8F7-3A7C71311D08}"/>
    <cellStyle name="Comma 2 3 3 7 2 2 2 3" xfId="29877" xr:uid="{207F3076-5C9F-4951-BCEC-5EF510986370}"/>
    <cellStyle name="Comma 2 3 3 7 2 2 3" xfId="13103" xr:uid="{A5B49511-8C15-47F5-BC26-D0BE560C59E4}"/>
    <cellStyle name="Comma 2 3 3 7 2 2 4" xfId="23519" xr:uid="{C9491262-CB3B-45AD-95F0-B40E225C88B0}"/>
    <cellStyle name="Comma 2 3 3 7 2 3" xfId="7914" xr:uid="{00000000-0005-0000-0000-00004D070000}"/>
    <cellStyle name="Comma 2 3 3 7 2 3 2" xfId="19460" xr:uid="{951EAE21-0D77-44EB-9735-406E1E632EB4}"/>
    <cellStyle name="Comma 2 3 3 7 2 3 3" xfId="29876" xr:uid="{3BF0DE1E-981E-4459-A96C-15EDA765FD8C}"/>
    <cellStyle name="Comma 2 3 3 7 2 4" xfId="5148" xr:uid="{00000000-0005-0000-0000-00004E070000}"/>
    <cellStyle name="Comma 2 3 3 7 2 4 2" xfId="16734" xr:uid="{A23DF8D3-5211-4B3A-950C-14305AE93610}"/>
    <cellStyle name="Comma 2 3 3 7 2 4 3" xfId="27150" xr:uid="{498AA8F7-8E55-443A-ABD6-7576208B4968}"/>
    <cellStyle name="Comma 2 3 3 7 2 5" xfId="13102" xr:uid="{4CECB88F-D1A8-46E9-8136-3AB74BC73AA1}"/>
    <cellStyle name="Comma 2 3 3 7 2 6" xfId="23518" xr:uid="{D1A62CA0-273A-41CB-9477-298F5DD80FD9}"/>
    <cellStyle name="Comma 2 3 3 7 3" xfId="769" xr:uid="{00000000-0005-0000-0000-00004F070000}"/>
    <cellStyle name="Comma 2 3 3 7 3 2" xfId="770" xr:uid="{00000000-0005-0000-0000-000050070000}"/>
    <cellStyle name="Comma 2 3 3 7 3 2 2" xfId="7917" xr:uid="{00000000-0005-0000-0000-000051070000}"/>
    <cellStyle name="Comma 2 3 3 7 3 2 2 2" xfId="19463" xr:uid="{538B4ACC-1C24-422F-82E9-3AC17ECFDE28}"/>
    <cellStyle name="Comma 2 3 3 7 3 2 2 3" xfId="29879" xr:uid="{BB06CCB5-B4E2-47A6-8E87-8A67BF162567}"/>
    <cellStyle name="Comma 2 3 3 7 3 2 3" xfId="13105" xr:uid="{17A67144-C609-495A-8367-1CD53DBD5939}"/>
    <cellStyle name="Comma 2 3 3 7 3 2 4" xfId="23521" xr:uid="{AE7614A0-10CC-43D8-8591-39DF9545AE5F}"/>
    <cellStyle name="Comma 2 3 3 7 3 3" xfId="7916" xr:uid="{00000000-0005-0000-0000-000052070000}"/>
    <cellStyle name="Comma 2 3 3 7 3 3 2" xfId="19462" xr:uid="{71A4EA7F-A20C-4235-9457-FC3780C1E2A0}"/>
    <cellStyle name="Comma 2 3 3 7 3 3 3" xfId="29878" xr:uid="{5AC4BFEB-828E-42AA-9052-2538F01FDBE1}"/>
    <cellStyle name="Comma 2 3 3 7 3 4" xfId="5149" xr:uid="{00000000-0005-0000-0000-000053070000}"/>
    <cellStyle name="Comma 2 3 3 7 3 4 2" xfId="16735" xr:uid="{6A463B19-21E3-409A-91C9-D4F833434405}"/>
    <cellStyle name="Comma 2 3 3 7 3 4 3" xfId="27151" xr:uid="{7BA2C702-1FE7-40F7-B583-4503DC8F8BFD}"/>
    <cellStyle name="Comma 2 3 3 7 3 5" xfId="13104" xr:uid="{445617B7-0805-4100-9585-6D7F2EFC81C7}"/>
    <cellStyle name="Comma 2 3 3 7 3 6" xfId="23520" xr:uid="{ADB1DE3F-3128-4F09-BD41-2E2E4A13A6FC}"/>
    <cellStyle name="Comma 2 3 3 7 4" xfId="771" xr:uid="{00000000-0005-0000-0000-000054070000}"/>
    <cellStyle name="Comma 2 3 3 7 4 2" xfId="7918" xr:uid="{00000000-0005-0000-0000-000055070000}"/>
    <cellStyle name="Comma 2 3 3 7 4 2 2" xfId="19464" xr:uid="{01F5CEE3-4E65-4E56-81EA-840671500AF3}"/>
    <cellStyle name="Comma 2 3 3 7 4 2 3" xfId="29880" xr:uid="{04468F06-37BE-4632-B067-75D3C830CA3C}"/>
    <cellStyle name="Comma 2 3 3 7 4 3" xfId="13106" xr:uid="{580331B1-7444-44DD-86E5-7986CFA5CA3A}"/>
    <cellStyle name="Comma 2 3 3 7 4 4" xfId="23522" xr:uid="{40BED5CA-1A0E-414A-924B-0FD2D207A643}"/>
    <cellStyle name="Comma 2 3 3 7 5" xfId="7913" xr:uid="{00000000-0005-0000-0000-000056070000}"/>
    <cellStyle name="Comma 2 3 3 7 5 2" xfId="19459" xr:uid="{27EA69DB-3A29-4567-9DDC-D3CFC5BAA7B1}"/>
    <cellStyle name="Comma 2 3 3 7 5 3" xfId="29875" xr:uid="{D826E8B4-091C-4B10-91C0-F2AC11BF1CED}"/>
    <cellStyle name="Comma 2 3 3 7 6" xfId="5147" xr:uid="{00000000-0005-0000-0000-000057070000}"/>
    <cellStyle name="Comma 2 3 3 7 6 2" xfId="16733" xr:uid="{37155391-A01D-480B-92BA-82246D3AF3E2}"/>
    <cellStyle name="Comma 2 3 3 7 6 3" xfId="27149" xr:uid="{A3C18A78-9818-484A-B744-FEDADBABC390}"/>
    <cellStyle name="Comma 2 3 3 7 7" xfId="13101" xr:uid="{347F7F50-7A4A-4CB2-A477-34FC993BDCAD}"/>
    <cellStyle name="Comma 2 3 3 7 8" xfId="23517" xr:uid="{D5A0FA21-414E-4643-B685-AE36D88F262C}"/>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2 2 2" xfId="19467" xr:uid="{75B81DB8-088E-4113-8505-ABA31E931054}"/>
    <cellStyle name="Comma 2 3 3 8 2 2 2 3" xfId="29883" xr:uid="{EE7A5FA0-3880-4DD6-BEAA-8F12D07CB2FC}"/>
    <cellStyle name="Comma 2 3 3 8 2 2 3" xfId="13109" xr:uid="{7AED1BDC-ACCC-40E4-B187-33E7EFFC2842}"/>
    <cellStyle name="Comma 2 3 3 8 2 2 4" xfId="23525" xr:uid="{E3F983E4-CE49-403F-847A-44F7B1AE2792}"/>
    <cellStyle name="Comma 2 3 3 8 2 3" xfId="7920" xr:uid="{00000000-0005-0000-0000-00005C070000}"/>
    <cellStyle name="Comma 2 3 3 8 2 3 2" xfId="19466" xr:uid="{9BDF6ED5-4962-4A42-98A1-BB9665292186}"/>
    <cellStyle name="Comma 2 3 3 8 2 3 3" xfId="29882" xr:uid="{2A8A7737-2157-42D3-B2A0-4704B35794AB}"/>
    <cellStyle name="Comma 2 3 3 8 2 4" xfId="5151" xr:uid="{00000000-0005-0000-0000-00005D070000}"/>
    <cellStyle name="Comma 2 3 3 8 2 4 2" xfId="16737" xr:uid="{49127E61-5813-4CB2-8C61-DE5737FAA99E}"/>
    <cellStyle name="Comma 2 3 3 8 2 4 3" xfId="27153" xr:uid="{7ACA9C38-59FE-473A-B43E-C8A1BE5F8635}"/>
    <cellStyle name="Comma 2 3 3 8 2 5" xfId="13108" xr:uid="{B98FA256-5A4F-4901-B86E-05C9829CBDEE}"/>
    <cellStyle name="Comma 2 3 3 8 2 6" xfId="23524" xr:uid="{8EC7D59D-814E-45AF-891D-7EA03659C065}"/>
    <cellStyle name="Comma 2 3 3 8 3" xfId="775" xr:uid="{00000000-0005-0000-0000-00005E070000}"/>
    <cellStyle name="Comma 2 3 3 8 3 2" xfId="7922" xr:uid="{00000000-0005-0000-0000-00005F070000}"/>
    <cellStyle name="Comma 2 3 3 8 3 2 2" xfId="19468" xr:uid="{AA9DE015-E772-4F1F-931E-20002A225CBA}"/>
    <cellStyle name="Comma 2 3 3 8 3 2 3" xfId="29884" xr:uid="{4D564AC8-E6F7-4498-8B64-F65A07534115}"/>
    <cellStyle name="Comma 2 3 3 8 3 3" xfId="13110" xr:uid="{B4363982-3A79-4C52-A455-2DF27791145A}"/>
    <cellStyle name="Comma 2 3 3 8 3 4" xfId="23526" xr:uid="{7F9BF26D-94D0-4B74-929D-BA871CCD7030}"/>
    <cellStyle name="Comma 2 3 3 8 4" xfId="7919" xr:uid="{00000000-0005-0000-0000-000060070000}"/>
    <cellStyle name="Comma 2 3 3 8 4 2" xfId="19465" xr:uid="{C92D876F-FDFA-40A1-A3FF-C8B15F7E4589}"/>
    <cellStyle name="Comma 2 3 3 8 4 3" xfId="29881" xr:uid="{6D393296-F5E1-4265-AC54-27F82658FAFE}"/>
    <cellStyle name="Comma 2 3 3 8 5" xfId="5150" xr:uid="{00000000-0005-0000-0000-000061070000}"/>
    <cellStyle name="Comma 2 3 3 8 5 2" xfId="16736" xr:uid="{91BF7797-FCCF-49E5-AF5A-DD3AAABB3BDF}"/>
    <cellStyle name="Comma 2 3 3 8 5 3" xfId="27152" xr:uid="{DD6C5461-42A5-4F3F-86CA-FA5690118270}"/>
    <cellStyle name="Comma 2 3 3 8 6" xfId="13107" xr:uid="{FF4BA563-14AA-43FE-8026-05EF511713D0}"/>
    <cellStyle name="Comma 2 3 3 8 7" xfId="23523" xr:uid="{D20D8FA9-A0B7-4269-BE45-838BA940D9A8}"/>
    <cellStyle name="Comma 2 3 3 9" xfId="776" xr:uid="{00000000-0005-0000-0000-000062070000}"/>
    <cellStyle name="Comma 2 3 3 9 2" xfId="777" xr:uid="{00000000-0005-0000-0000-000063070000}"/>
    <cellStyle name="Comma 2 3 3 9 2 2" xfId="7924" xr:uid="{00000000-0005-0000-0000-000064070000}"/>
    <cellStyle name="Comma 2 3 3 9 2 2 2" xfId="19470" xr:uid="{7CCBA7B1-9F40-48BE-B51A-41C594B5C5E6}"/>
    <cellStyle name="Comma 2 3 3 9 2 2 3" xfId="29886" xr:uid="{1862EDC2-D02F-4EF6-8597-2DBE5A516C4B}"/>
    <cellStyle name="Comma 2 3 3 9 2 3" xfId="13112" xr:uid="{391D8943-6ABF-4E80-8F07-F1CC0270B50B}"/>
    <cellStyle name="Comma 2 3 3 9 2 4" xfId="23528" xr:uid="{083AD43D-8FF7-4A04-92B1-6804B56C65A7}"/>
    <cellStyle name="Comma 2 3 3 9 3" xfId="7923" xr:uid="{00000000-0005-0000-0000-000065070000}"/>
    <cellStyle name="Comma 2 3 3 9 3 2" xfId="19469" xr:uid="{82FD3D4D-0078-4995-AA62-158680524EF3}"/>
    <cellStyle name="Comma 2 3 3 9 3 3" xfId="29885" xr:uid="{B9A127B7-E5A2-453A-9C1D-FE6353BA0922}"/>
    <cellStyle name="Comma 2 3 3 9 4" xfId="5152" xr:uid="{00000000-0005-0000-0000-000066070000}"/>
    <cellStyle name="Comma 2 3 3 9 4 2" xfId="16738" xr:uid="{24765F22-8D67-4246-B6FC-A7F4A1720865}"/>
    <cellStyle name="Comma 2 3 3 9 4 3" xfId="27154" xr:uid="{D6AC3AA7-23AD-4A5F-A489-C7D6B2135583}"/>
    <cellStyle name="Comma 2 3 3 9 5" xfId="13111" xr:uid="{53670DF0-AF2E-4E4E-B483-8C8D00F336FE}"/>
    <cellStyle name="Comma 2 3 3 9 6" xfId="23527" xr:uid="{AD94B3FA-7091-4C43-B88A-C3429D0CBD42}"/>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2 2 2" xfId="19473" xr:uid="{2026B4D0-06BE-4889-A689-B5B0CA9198C3}"/>
    <cellStyle name="Comma 2 3 4 10 2 2 3" xfId="29889" xr:uid="{8A801DC6-6C2D-4780-97FF-34F8115EECFB}"/>
    <cellStyle name="Comma 2 3 4 10 2 3" xfId="13115" xr:uid="{67A43EAB-7FCC-4DF8-9E60-F88BED030453}"/>
    <cellStyle name="Comma 2 3 4 10 2 4" xfId="23531" xr:uid="{30A1953D-9C65-4F49-B4E5-5DBA3A223874}"/>
    <cellStyle name="Comma 2 3 4 10 3" xfId="7926" xr:uid="{00000000-0005-0000-0000-00006B070000}"/>
    <cellStyle name="Comma 2 3 4 10 3 2" xfId="19472" xr:uid="{C6AF6C31-A318-444C-812E-6527EB8DC392}"/>
    <cellStyle name="Comma 2 3 4 10 3 3" xfId="29888" xr:uid="{0D851E32-15D1-4B40-A542-E13D67D9F494}"/>
    <cellStyle name="Comma 2 3 4 10 4" xfId="5154" xr:uid="{00000000-0005-0000-0000-00006C070000}"/>
    <cellStyle name="Comma 2 3 4 10 4 2" xfId="16740" xr:uid="{25E71255-1A69-4F9C-BFC8-A4BA844559D4}"/>
    <cellStyle name="Comma 2 3 4 10 4 3" xfId="27156" xr:uid="{201F502C-B271-4664-810C-C4659415D802}"/>
    <cellStyle name="Comma 2 3 4 10 5" xfId="13114" xr:uid="{0EB0E4BC-204E-4EAE-9DED-2B4985016DEF}"/>
    <cellStyle name="Comma 2 3 4 10 6" xfId="23530" xr:uid="{BE0CB163-22E3-4B66-93D1-DCC1CF243015}"/>
    <cellStyle name="Comma 2 3 4 11" xfId="781" xr:uid="{00000000-0005-0000-0000-00006D070000}"/>
    <cellStyle name="Comma 2 3 4 11 2" xfId="7928" xr:uid="{00000000-0005-0000-0000-00006E070000}"/>
    <cellStyle name="Comma 2 3 4 11 2 2" xfId="19474" xr:uid="{79979967-059B-4C0D-BAFE-978BAF64865C}"/>
    <cellStyle name="Comma 2 3 4 11 2 3" xfId="29890" xr:uid="{1E2318E5-FA84-4637-8FE9-81BE4C224826}"/>
    <cellStyle name="Comma 2 3 4 11 3" xfId="13116" xr:uid="{162144C5-C3E5-4724-ADCE-3A5F6D549333}"/>
    <cellStyle name="Comma 2 3 4 11 4" xfId="23532" xr:uid="{18B9ECA3-E1CF-4DEF-9BCE-BDB810BA37B4}"/>
    <cellStyle name="Comma 2 3 4 12" xfId="7925" xr:uid="{00000000-0005-0000-0000-00006F070000}"/>
    <cellStyle name="Comma 2 3 4 12 2" xfId="19471" xr:uid="{DA893B07-3AB9-445F-90B8-FDD7FA959EE8}"/>
    <cellStyle name="Comma 2 3 4 12 3" xfId="29887" xr:uid="{506E6F6B-D564-417D-BDD9-26F796314338}"/>
    <cellStyle name="Comma 2 3 4 13" xfId="5153" xr:uid="{00000000-0005-0000-0000-000070070000}"/>
    <cellStyle name="Comma 2 3 4 13 2" xfId="16739" xr:uid="{25098015-AC9A-49E7-8BCD-46AAC9C66281}"/>
    <cellStyle name="Comma 2 3 4 13 3" xfId="27155" xr:uid="{C92D0D61-1305-4395-8DBD-612D27C39CAD}"/>
    <cellStyle name="Comma 2 3 4 14" xfId="13113" xr:uid="{9E5F9104-95CE-4CB2-BA52-72B01D83A37B}"/>
    <cellStyle name="Comma 2 3 4 15" xfId="23529" xr:uid="{67E5166F-EC98-4FA8-9B91-32714448353C}"/>
    <cellStyle name="Comma 2 3 4 2" xfId="782" xr:uid="{00000000-0005-0000-0000-000071070000}"/>
    <cellStyle name="Comma 2 3 4 2 10" xfId="783" xr:uid="{00000000-0005-0000-0000-000072070000}"/>
    <cellStyle name="Comma 2 3 4 2 10 2" xfId="7930" xr:uid="{00000000-0005-0000-0000-000073070000}"/>
    <cellStyle name="Comma 2 3 4 2 10 2 2" xfId="19476" xr:uid="{A476477C-0232-4B5D-8BBC-9D2B74EC1810}"/>
    <cellStyle name="Comma 2 3 4 2 10 2 3" xfId="29892" xr:uid="{0266CB8B-FC48-4AC9-B4C6-E5991EB016E1}"/>
    <cellStyle name="Comma 2 3 4 2 10 3" xfId="13118" xr:uid="{BBBE9469-0B82-4F8D-93ED-A2797FA46469}"/>
    <cellStyle name="Comma 2 3 4 2 10 4" xfId="23534" xr:uid="{4A0B8BE5-79E2-4A74-95FD-9A06BE6B6FCF}"/>
    <cellStyle name="Comma 2 3 4 2 11" xfId="7929" xr:uid="{00000000-0005-0000-0000-000074070000}"/>
    <cellStyle name="Comma 2 3 4 2 11 2" xfId="19475" xr:uid="{04332E15-03B6-471F-9AD8-307C6CE1E1AB}"/>
    <cellStyle name="Comma 2 3 4 2 11 3" xfId="29891" xr:uid="{814CDC8B-353E-42E2-9C70-D079FF2ACFA7}"/>
    <cellStyle name="Comma 2 3 4 2 12" xfId="5155" xr:uid="{00000000-0005-0000-0000-000075070000}"/>
    <cellStyle name="Comma 2 3 4 2 12 2" xfId="16741" xr:uid="{1FCBDDD6-A828-4F64-BD53-EAA664D7325F}"/>
    <cellStyle name="Comma 2 3 4 2 12 3" xfId="27157" xr:uid="{CAF9E723-DDCA-476A-B5B2-53FB26442C6F}"/>
    <cellStyle name="Comma 2 3 4 2 13" xfId="13117" xr:uid="{BA783965-8FEF-4ADD-8B16-DFF9ADDAA44D}"/>
    <cellStyle name="Comma 2 3 4 2 14" xfId="23533" xr:uid="{4AE67DC1-EEDD-42EC-8F39-64A8843B3F3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2 2 2" xfId="19480" xr:uid="{96FBEC52-7D12-4C49-A634-023D6168E9F7}"/>
    <cellStyle name="Comma 2 3 4 2 2 2 2 2 2 3" xfId="29896" xr:uid="{1A9FBEE4-C963-4501-983B-0DAE5B5740D0}"/>
    <cellStyle name="Comma 2 3 4 2 2 2 2 2 3" xfId="13122" xr:uid="{C4E28B74-B448-4147-8C1D-A36E749EDC0C}"/>
    <cellStyle name="Comma 2 3 4 2 2 2 2 2 4" xfId="23538" xr:uid="{9DA30C34-848A-4EB9-B362-3286E5EFF813}"/>
    <cellStyle name="Comma 2 3 4 2 2 2 2 3" xfId="7933" xr:uid="{00000000-0005-0000-0000-00007B070000}"/>
    <cellStyle name="Comma 2 3 4 2 2 2 2 3 2" xfId="19479" xr:uid="{C847B113-9C8B-40E6-8435-76887D8AB8DF}"/>
    <cellStyle name="Comma 2 3 4 2 2 2 2 3 3" xfId="29895" xr:uid="{5BC82300-A51C-494C-94E0-FF7307E6F326}"/>
    <cellStyle name="Comma 2 3 4 2 2 2 2 4" xfId="5158" xr:uid="{00000000-0005-0000-0000-00007C070000}"/>
    <cellStyle name="Comma 2 3 4 2 2 2 2 4 2" xfId="16744" xr:uid="{08DDC65F-18CA-4B06-944D-83E326C7CBAE}"/>
    <cellStyle name="Comma 2 3 4 2 2 2 2 4 3" xfId="27160" xr:uid="{C4662149-11E4-4A07-84A4-E602012FB390}"/>
    <cellStyle name="Comma 2 3 4 2 2 2 2 5" xfId="13121" xr:uid="{98B34840-52B6-4976-B305-73D7CA201D8A}"/>
    <cellStyle name="Comma 2 3 4 2 2 2 2 6" xfId="23537" xr:uid="{A5B0CB19-49D4-4814-BF1C-33399F25A681}"/>
    <cellStyle name="Comma 2 3 4 2 2 2 3" xfId="788" xr:uid="{00000000-0005-0000-0000-00007D070000}"/>
    <cellStyle name="Comma 2 3 4 2 2 2 3 2" xfId="7935" xr:uid="{00000000-0005-0000-0000-00007E070000}"/>
    <cellStyle name="Comma 2 3 4 2 2 2 3 2 2" xfId="19481" xr:uid="{AB2DD3E6-CBCC-4FB3-B396-ED44668C5EA0}"/>
    <cellStyle name="Comma 2 3 4 2 2 2 3 2 3" xfId="29897" xr:uid="{B9B53E69-98C1-488D-92E9-0E1D175D21C8}"/>
    <cellStyle name="Comma 2 3 4 2 2 2 3 3" xfId="13123" xr:uid="{82DDB56D-6097-4E0C-8CE0-426BA5F0BB04}"/>
    <cellStyle name="Comma 2 3 4 2 2 2 3 4" xfId="23539" xr:uid="{FC784F62-58B1-4C67-BEFB-9B0BC69F8687}"/>
    <cellStyle name="Comma 2 3 4 2 2 2 4" xfId="7932" xr:uid="{00000000-0005-0000-0000-00007F070000}"/>
    <cellStyle name="Comma 2 3 4 2 2 2 4 2" xfId="19478" xr:uid="{C2223814-C22B-42F5-8A1E-382EBA6A5B77}"/>
    <cellStyle name="Comma 2 3 4 2 2 2 4 3" xfId="29894" xr:uid="{C503DB55-207A-4BBC-8763-8E5B966912BA}"/>
    <cellStyle name="Comma 2 3 4 2 2 2 5" xfId="5157" xr:uid="{00000000-0005-0000-0000-000080070000}"/>
    <cellStyle name="Comma 2 3 4 2 2 2 5 2" xfId="16743" xr:uid="{A06E100D-0BEF-4201-B3A9-99AFBFF65999}"/>
    <cellStyle name="Comma 2 3 4 2 2 2 5 3" xfId="27159" xr:uid="{B3625EB6-BAC4-4CA2-BFAD-73D6D017D582}"/>
    <cellStyle name="Comma 2 3 4 2 2 2 6" xfId="13120" xr:uid="{E9ABA222-8F5A-44D0-85C0-CA84CBBC83E1}"/>
    <cellStyle name="Comma 2 3 4 2 2 2 7" xfId="23536" xr:uid="{C0FD3CAC-E156-4A96-A55E-7EC0E68FAAD5}"/>
    <cellStyle name="Comma 2 3 4 2 2 3" xfId="789" xr:uid="{00000000-0005-0000-0000-000081070000}"/>
    <cellStyle name="Comma 2 3 4 2 2 3 2" xfId="790" xr:uid="{00000000-0005-0000-0000-000082070000}"/>
    <cellStyle name="Comma 2 3 4 2 2 3 2 2" xfId="7937" xr:uid="{00000000-0005-0000-0000-000083070000}"/>
    <cellStyle name="Comma 2 3 4 2 2 3 2 2 2" xfId="19483" xr:uid="{562C285D-F628-42F0-8045-A414A876A538}"/>
    <cellStyle name="Comma 2 3 4 2 2 3 2 2 3" xfId="29899" xr:uid="{7936322F-8CC8-4FDA-8272-8E440941FACA}"/>
    <cellStyle name="Comma 2 3 4 2 2 3 2 3" xfId="13125" xr:uid="{DF7B06D3-096B-47B4-87AE-C960B91571F1}"/>
    <cellStyle name="Comma 2 3 4 2 2 3 2 4" xfId="23541" xr:uid="{721733F1-2C1D-4EC7-B487-24F04945172B}"/>
    <cellStyle name="Comma 2 3 4 2 2 3 3" xfId="7936" xr:uid="{00000000-0005-0000-0000-000084070000}"/>
    <cellStyle name="Comma 2 3 4 2 2 3 3 2" xfId="19482" xr:uid="{DAA17271-B52E-4311-86F4-9D8EA898FA3E}"/>
    <cellStyle name="Comma 2 3 4 2 2 3 3 3" xfId="29898" xr:uid="{655C6A51-67FE-42A2-8D1F-5607F820AEA1}"/>
    <cellStyle name="Comma 2 3 4 2 2 3 4" xfId="5159" xr:uid="{00000000-0005-0000-0000-000085070000}"/>
    <cellStyle name="Comma 2 3 4 2 2 3 4 2" xfId="16745" xr:uid="{824B8292-0434-4F74-914F-15E077D9DE03}"/>
    <cellStyle name="Comma 2 3 4 2 2 3 4 3" xfId="27161" xr:uid="{263E7134-87AD-4E49-BB09-FC581630C80B}"/>
    <cellStyle name="Comma 2 3 4 2 2 3 5" xfId="13124" xr:uid="{346AD1CB-76B9-4603-947D-82B0E38D7CCA}"/>
    <cellStyle name="Comma 2 3 4 2 2 3 6" xfId="23540" xr:uid="{FA5A2B67-359D-4B52-ABDE-CC35AE2E72FB}"/>
    <cellStyle name="Comma 2 3 4 2 2 4" xfId="791" xr:uid="{00000000-0005-0000-0000-000086070000}"/>
    <cellStyle name="Comma 2 3 4 2 2 4 2" xfId="792" xr:uid="{00000000-0005-0000-0000-000087070000}"/>
    <cellStyle name="Comma 2 3 4 2 2 4 2 2" xfId="7939" xr:uid="{00000000-0005-0000-0000-000088070000}"/>
    <cellStyle name="Comma 2 3 4 2 2 4 2 2 2" xfId="19485" xr:uid="{1EF3EE94-9929-4BD1-ACE0-FA6B5632F1E1}"/>
    <cellStyle name="Comma 2 3 4 2 2 4 2 2 3" xfId="29901" xr:uid="{585B7106-3A2A-451D-BECF-D6320E8AAA54}"/>
    <cellStyle name="Comma 2 3 4 2 2 4 2 3" xfId="13127" xr:uid="{FEF346AD-BB86-4F61-8CBD-CEA29DAD0D59}"/>
    <cellStyle name="Comma 2 3 4 2 2 4 2 4" xfId="23543" xr:uid="{620AFEA8-0C3C-40A9-9286-C4AA83521951}"/>
    <cellStyle name="Comma 2 3 4 2 2 4 3" xfId="7938" xr:uid="{00000000-0005-0000-0000-000089070000}"/>
    <cellStyle name="Comma 2 3 4 2 2 4 3 2" xfId="19484" xr:uid="{BE7A4A22-22D1-4D02-A8BE-9BCD47835D4E}"/>
    <cellStyle name="Comma 2 3 4 2 2 4 3 3" xfId="29900" xr:uid="{2BFF35BE-4DB0-42BE-B284-AB56D2DB9F7D}"/>
    <cellStyle name="Comma 2 3 4 2 2 4 4" xfId="5160" xr:uid="{00000000-0005-0000-0000-00008A070000}"/>
    <cellStyle name="Comma 2 3 4 2 2 4 4 2" xfId="16746" xr:uid="{FA065B25-5DCF-4848-A3DC-96407B9C9372}"/>
    <cellStyle name="Comma 2 3 4 2 2 4 4 3" xfId="27162" xr:uid="{0E451B7C-5DFA-415E-83A0-92DC0E7AB9EF}"/>
    <cellStyle name="Comma 2 3 4 2 2 4 5" xfId="13126" xr:uid="{49D0B6EB-C0E1-40C7-A4CC-363EACE848F8}"/>
    <cellStyle name="Comma 2 3 4 2 2 4 6" xfId="23542" xr:uid="{1AEE0C28-4973-4EAC-80A9-4AE58109B505}"/>
    <cellStyle name="Comma 2 3 4 2 2 5" xfId="793" xr:uid="{00000000-0005-0000-0000-00008B070000}"/>
    <cellStyle name="Comma 2 3 4 2 2 5 2" xfId="7940" xr:uid="{00000000-0005-0000-0000-00008C070000}"/>
    <cellStyle name="Comma 2 3 4 2 2 5 2 2" xfId="19486" xr:uid="{67B695E2-8C71-445F-BC00-82982446856B}"/>
    <cellStyle name="Comma 2 3 4 2 2 5 2 3" xfId="29902" xr:uid="{559C7595-1DD4-4110-AE20-8BC00FA5EA24}"/>
    <cellStyle name="Comma 2 3 4 2 2 5 3" xfId="13128" xr:uid="{2088C867-A92D-4694-B298-F98A20FD9C6B}"/>
    <cellStyle name="Comma 2 3 4 2 2 5 4" xfId="23544" xr:uid="{DBA3F664-3C94-4F02-AAD0-29495DF1D936}"/>
    <cellStyle name="Comma 2 3 4 2 2 6" xfId="7931" xr:uid="{00000000-0005-0000-0000-00008D070000}"/>
    <cellStyle name="Comma 2 3 4 2 2 6 2" xfId="19477" xr:uid="{5ACB14A8-95D7-4BA3-B6D3-97F44F4CEE40}"/>
    <cellStyle name="Comma 2 3 4 2 2 6 3" xfId="29893" xr:uid="{48F85309-7CFD-4998-9074-2F21E4B40F8E}"/>
    <cellStyle name="Comma 2 3 4 2 2 7" xfId="5156" xr:uid="{00000000-0005-0000-0000-00008E070000}"/>
    <cellStyle name="Comma 2 3 4 2 2 7 2" xfId="16742" xr:uid="{D7232AC3-AD22-4FE0-82CB-C832166BD898}"/>
    <cellStyle name="Comma 2 3 4 2 2 7 3" xfId="27158" xr:uid="{2BC99EB8-F0DB-4AE9-B3F2-4C9E406F2270}"/>
    <cellStyle name="Comma 2 3 4 2 2 8" xfId="13119" xr:uid="{23F86DBA-FBB0-4BD1-8412-0369535730DF}"/>
    <cellStyle name="Comma 2 3 4 2 2 9" xfId="23535" xr:uid="{6919BD5C-F749-4FA1-B245-0B33F9808882}"/>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2 2 2" xfId="19490" xr:uid="{491E4BA9-F165-4C53-87B8-C8D414095ADF}"/>
    <cellStyle name="Comma 2 3 4 2 3 2 2 2 2 3" xfId="29906" xr:uid="{7AC65C69-704F-4364-8D75-98BD42E13807}"/>
    <cellStyle name="Comma 2 3 4 2 3 2 2 2 3" xfId="13132" xr:uid="{BCC9CA3A-9C55-4E3A-9EDE-B03F8B98A294}"/>
    <cellStyle name="Comma 2 3 4 2 3 2 2 2 4" xfId="23548" xr:uid="{83A75965-A6EE-49E3-A7B9-2EB6E3704B00}"/>
    <cellStyle name="Comma 2 3 4 2 3 2 2 3" xfId="7943" xr:uid="{00000000-0005-0000-0000-000094070000}"/>
    <cellStyle name="Comma 2 3 4 2 3 2 2 3 2" xfId="19489" xr:uid="{F445D530-483D-4BA2-B2AC-007B28B286A8}"/>
    <cellStyle name="Comma 2 3 4 2 3 2 2 3 3" xfId="29905" xr:uid="{A39C60D5-F13C-411C-B571-91AD4217B8EB}"/>
    <cellStyle name="Comma 2 3 4 2 3 2 2 4" xfId="5163" xr:uid="{00000000-0005-0000-0000-000095070000}"/>
    <cellStyle name="Comma 2 3 4 2 3 2 2 4 2" xfId="16749" xr:uid="{34E6D356-84D7-424D-818F-CF82D1C612F0}"/>
    <cellStyle name="Comma 2 3 4 2 3 2 2 4 3" xfId="27165" xr:uid="{2669B8D4-0709-4E9B-9782-84F0093AFDB1}"/>
    <cellStyle name="Comma 2 3 4 2 3 2 2 5" xfId="13131" xr:uid="{D956773D-7B99-4AED-9950-905FA7119CB7}"/>
    <cellStyle name="Comma 2 3 4 2 3 2 2 6" xfId="23547" xr:uid="{A5778514-5DED-470C-95D8-B33CB2D5F4B6}"/>
    <cellStyle name="Comma 2 3 4 2 3 2 3" xfId="798" xr:uid="{00000000-0005-0000-0000-000096070000}"/>
    <cellStyle name="Comma 2 3 4 2 3 2 3 2" xfId="7945" xr:uid="{00000000-0005-0000-0000-000097070000}"/>
    <cellStyle name="Comma 2 3 4 2 3 2 3 2 2" xfId="19491" xr:uid="{C4778DFD-D638-48FE-8FF8-139AB45B50A1}"/>
    <cellStyle name="Comma 2 3 4 2 3 2 3 2 3" xfId="29907" xr:uid="{0732E7B7-AD14-485D-8C75-B17C75764F1C}"/>
    <cellStyle name="Comma 2 3 4 2 3 2 3 3" xfId="13133" xr:uid="{E6070371-E126-49C2-8373-086743BE51D3}"/>
    <cellStyle name="Comma 2 3 4 2 3 2 3 4" xfId="23549" xr:uid="{2F214701-5E5E-45EB-B68A-DD56B8B0274A}"/>
    <cellStyle name="Comma 2 3 4 2 3 2 4" xfId="7942" xr:uid="{00000000-0005-0000-0000-000098070000}"/>
    <cellStyle name="Comma 2 3 4 2 3 2 4 2" xfId="19488" xr:uid="{5C01EA60-D1D0-4E89-BD65-59E08AA59629}"/>
    <cellStyle name="Comma 2 3 4 2 3 2 4 3" xfId="29904" xr:uid="{78FBBB1F-C2B8-4848-9882-5FFF5127DBF4}"/>
    <cellStyle name="Comma 2 3 4 2 3 2 5" xfId="5162" xr:uid="{00000000-0005-0000-0000-000099070000}"/>
    <cellStyle name="Comma 2 3 4 2 3 2 5 2" xfId="16748" xr:uid="{14579399-9656-4C58-83F4-CFFCED6F9E78}"/>
    <cellStyle name="Comma 2 3 4 2 3 2 5 3" xfId="27164" xr:uid="{93FC5AB7-DD1A-49E7-B85E-2E61EA455FCF}"/>
    <cellStyle name="Comma 2 3 4 2 3 2 6" xfId="13130" xr:uid="{D76FBB33-7537-41EC-BF36-42D78F9C1966}"/>
    <cellStyle name="Comma 2 3 4 2 3 2 7" xfId="23546" xr:uid="{BF3E5EE4-054A-4D66-90C5-033560A20113}"/>
    <cellStyle name="Comma 2 3 4 2 3 3" xfId="799" xr:uid="{00000000-0005-0000-0000-00009A070000}"/>
    <cellStyle name="Comma 2 3 4 2 3 3 2" xfId="800" xr:uid="{00000000-0005-0000-0000-00009B070000}"/>
    <cellStyle name="Comma 2 3 4 2 3 3 2 2" xfId="7947" xr:uid="{00000000-0005-0000-0000-00009C070000}"/>
    <cellStyle name="Comma 2 3 4 2 3 3 2 2 2" xfId="19493" xr:uid="{FF329084-B77D-40A8-B403-2E66CA0DC8E3}"/>
    <cellStyle name="Comma 2 3 4 2 3 3 2 2 3" xfId="29909" xr:uid="{2E6C9B57-7B1E-4A65-8E45-F7CFA6728267}"/>
    <cellStyle name="Comma 2 3 4 2 3 3 2 3" xfId="13135" xr:uid="{201109D4-3F1C-409B-957F-E49126BFD548}"/>
    <cellStyle name="Comma 2 3 4 2 3 3 2 4" xfId="23551" xr:uid="{D34855BF-772B-49D2-BE3C-DEE6C7E34EE9}"/>
    <cellStyle name="Comma 2 3 4 2 3 3 3" xfId="7946" xr:uid="{00000000-0005-0000-0000-00009D070000}"/>
    <cellStyle name="Comma 2 3 4 2 3 3 3 2" xfId="19492" xr:uid="{D44C09D9-FEA3-4188-87B9-B5B5BB0063B0}"/>
    <cellStyle name="Comma 2 3 4 2 3 3 3 3" xfId="29908" xr:uid="{99119221-7714-4922-978F-BBF87A1A2549}"/>
    <cellStyle name="Comma 2 3 4 2 3 3 4" xfId="5164" xr:uid="{00000000-0005-0000-0000-00009E070000}"/>
    <cellStyle name="Comma 2 3 4 2 3 3 4 2" xfId="16750" xr:uid="{3CBC326B-844A-4698-8B4A-464C52B354C4}"/>
    <cellStyle name="Comma 2 3 4 2 3 3 4 3" xfId="27166" xr:uid="{63EA2535-A4CE-4F3D-8371-35B704A9285F}"/>
    <cellStyle name="Comma 2 3 4 2 3 3 5" xfId="13134" xr:uid="{88F72F75-6126-4B29-906A-F534E1D08539}"/>
    <cellStyle name="Comma 2 3 4 2 3 3 6" xfId="23550" xr:uid="{82A569BB-6B0E-448C-8D01-30CB1955517A}"/>
    <cellStyle name="Comma 2 3 4 2 3 4" xfId="801" xr:uid="{00000000-0005-0000-0000-00009F070000}"/>
    <cellStyle name="Comma 2 3 4 2 3 4 2" xfId="802" xr:uid="{00000000-0005-0000-0000-0000A0070000}"/>
    <cellStyle name="Comma 2 3 4 2 3 4 2 2" xfId="7949" xr:uid="{00000000-0005-0000-0000-0000A1070000}"/>
    <cellStyle name="Comma 2 3 4 2 3 4 2 2 2" xfId="19495" xr:uid="{60E6C124-991F-44F0-8B69-68955413DB44}"/>
    <cellStyle name="Comma 2 3 4 2 3 4 2 2 3" xfId="29911" xr:uid="{7D3067D6-5884-47D2-B4EB-3FD28B422F36}"/>
    <cellStyle name="Comma 2 3 4 2 3 4 2 3" xfId="13137" xr:uid="{8D562E90-2BF1-4655-A0F0-B7BBB26BCACC}"/>
    <cellStyle name="Comma 2 3 4 2 3 4 2 4" xfId="23553" xr:uid="{B4EC726C-79C0-4683-87F9-29CA8088CC16}"/>
    <cellStyle name="Comma 2 3 4 2 3 4 3" xfId="7948" xr:uid="{00000000-0005-0000-0000-0000A2070000}"/>
    <cellStyle name="Comma 2 3 4 2 3 4 3 2" xfId="19494" xr:uid="{F1B5E06B-18A1-47EF-A559-E5B2EDC5A659}"/>
    <cellStyle name="Comma 2 3 4 2 3 4 3 3" xfId="29910" xr:uid="{3D259200-0EDC-4C3C-AC8C-9C240110B1BA}"/>
    <cellStyle name="Comma 2 3 4 2 3 4 4" xfId="5165" xr:uid="{00000000-0005-0000-0000-0000A3070000}"/>
    <cellStyle name="Comma 2 3 4 2 3 4 4 2" xfId="16751" xr:uid="{9F1AA1DA-501D-41D4-8506-92810CC0FA8F}"/>
    <cellStyle name="Comma 2 3 4 2 3 4 4 3" xfId="27167" xr:uid="{6C48C2A7-9E4E-4701-B94E-9CE15DCCA4E1}"/>
    <cellStyle name="Comma 2 3 4 2 3 4 5" xfId="13136" xr:uid="{69FF0FB6-1E98-4418-86A8-E31C2ED945B2}"/>
    <cellStyle name="Comma 2 3 4 2 3 4 6" xfId="23552" xr:uid="{C7ECF590-70E0-45D0-8995-289D9833BBDD}"/>
    <cellStyle name="Comma 2 3 4 2 3 5" xfId="803" xr:uid="{00000000-0005-0000-0000-0000A4070000}"/>
    <cellStyle name="Comma 2 3 4 2 3 5 2" xfId="7950" xr:uid="{00000000-0005-0000-0000-0000A5070000}"/>
    <cellStyle name="Comma 2 3 4 2 3 5 2 2" xfId="19496" xr:uid="{8F8F3F8F-B32B-49AA-B231-943AB49834E1}"/>
    <cellStyle name="Comma 2 3 4 2 3 5 2 3" xfId="29912" xr:uid="{882B0A3B-BDBB-4FB3-9F2A-ABFEFC7F7032}"/>
    <cellStyle name="Comma 2 3 4 2 3 5 3" xfId="13138" xr:uid="{300A340A-2FA2-41E8-AA2D-FD526174FF31}"/>
    <cellStyle name="Comma 2 3 4 2 3 5 4" xfId="23554" xr:uid="{988BAED1-006F-40ED-B0F3-58976CB9C712}"/>
    <cellStyle name="Comma 2 3 4 2 3 6" xfId="7941" xr:uid="{00000000-0005-0000-0000-0000A6070000}"/>
    <cellStyle name="Comma 2 3 4 2 3 6 2" xfId="19487" xr:uid="{70B23E3D-FF0A-4B05-A90A-59544C720E17}"/>
    <cellStyle name="Comma 2 3 4 2 3 6 3" xfId="29903" xr:uid="{609B287A-04FF-441E-8930-41B879683973}"/>
    <cellStyle name="Comma 2 3 4 2 3 7" xfId="5161" xr:uid="{00000000-0005-0000-0000-0000A7070000}"/>
    <cellStyle name="Comma 2 3 4 2 3 7 2" xfId="16747" xr:uid="{187922A7-0C71-4CBA-B99A-7E1B2CE372AC}"/>
    <cellStyle name="Comma 2 3 4 2 3 7 3" xfId="27163" xr:uid="{202398F3-91B8-44E4-839F-67120665485C}"/>
    <cellStyle name="Comma 2 3 4 2 3 8" xfId="13129" xr:uid="{9345E058-F72A-4943-97BA-DAD4B79F70CB}"/>
    <cellStyle name="Comma 2 3 4 2 3 9" xfId="23545" xr:uid="{4DBC31C9-DAE8-4C28-85D8-AA5F56BC9D8B}"/>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2 2 2" xfId="19500" xr:uid="{8803FE71-5925-4AB6-8549-7EA62ACD0970}"/>
    <cellStyle name="Comma 2 3 4 2 4 2 2 2 2 3" xfId="29916" xr:uid="{E6187366-B3C7-40CE-8ED5-32C4545FB8DD}"/>
    <cellStyle name="Comma 2 3 4 2 4 2 2 2 3" xfId="13142" xr:uid="{5BDD0165-4702-4427-8D1C-E12499BA91F2}"/>
    <cellStyle name="Comma 2 3 4 2 4 2 2 2 4" xfId="23558" xr:uid="{D40E0D18-EC9D-420D-8EF3-0F9075C121C7}"/>
    <cellStyle name="Comma 2 3 4 2 4 2 2 3" xfId="7953" xr:uid="{00000000-0005-0000-0000-0000AD070000}"/>
    <cellStyle name="Comma 2 3 4 2 4 2 2 3 2" xfId="19499" xr:uid="{DA32EE60-2131-417C-A1D6-1B4029A5A035}"/>
    <cellStyle name="Comma 2 3 4 2 4 2 2 3 3" xfId="29915" xr:uid="{DFCA388C-0957-419F-8B35-A2F9973B5929}"/>
    <cellStyle name="Comma 2 3 4 2 4 2 2 4" xfId="5168" xr:uid="{00000000-0005-0000-0000-0000AE070000}"/>
    <cellStyle name="Comma 2 3 4 2 4 2 2 4 2" xfId="16754" xr:uid="{7B07F967-DF10-4327-B8AE-72B28953C411}"/>
    <cellStyle name="Comma 2 3 4 2 4 2 2 4 3" xfId="27170" xr:uid="{E450BE2D-8FF8-4B3D-BC3B-910BC913433C}"/>
    <cellStyle name="Comma 2 3 4 2 4 2 2 5" xfId="13141" xr:uid="{C6F3D55B-B666-4710-B9F2-A8BCED299D67}"/>
    <cellStyle name="Comma 2 3 4 2 4 2 2 6" xfId="23557" xr:uid="{303C97EF-083A-4801-8AD9-BBF167A6249F}"/>
    <cellStyle name="Comma 2 3 4 2 4 2 3" xfId="808" xr:uid="{00000000-0005-0000-0000-0000AF070000}"/>
    <cellStyle name="Comma 2 3 4 2 4 2 3 2" xfId="7955" xr:uid="{00000000-0005-0000-0000-0000B0070000}"/>
    <cellStyle name="Comma 2 3 4 2 4 2 3 2 2" xfId="19501" xr:uid="{A5547ABD-9811-40BC-B426-09CFBE016211}"/>
    <cellStyle name="Comma 2 3 4 2 4 2 3 2 3" xfId="29917" xr:uid="{1CA84EAC-5DB2-4A9A-A9AE-5D156D81C1E7}"/>
    <cellStyle name="Comma 2 3 4 2 4 2 3 3" xfId="13143" xr:uid="{2431D4A6-F97C-4CF4-AD6F-25C3C0570C06}"/>
    <cellStyle name="Comma 2 3 4 2 4 2 3 4" xfId="23559" xr:uid="{1709DDD5-AEBE-49AE-B597-D472E64FC315}"/>
    <cellStyle name="Comma 2 3 4 2 4 2 4" xfId="7952" xr:uid="{00000000-0005-0000-0000-0000B1070000}"/>
    <cellStyle name="Comma 2 3 4 2 4 2 4 2" xfId="19498" xr:uid="{A9F54DF1-B261-45B1-AE51-42009B7EFFE5}"/>
    <cellStyle name="Comma 2 3 4 2 4 2 4 3" xfId="29914" xr:uid="{2CA26956-B763-4381-BC6F-A68592A97CB9}"/>
    <cellStyle name="Comma 2 3 4 2 4 2 5" xfId="5167" xr:uid="{00000000-0005-0000-0000-0000B2070000}"/>
    <cellStyle name="Comma 2 3 4 2 4 2 5 2" xfId="16753" xr:uid="{AF76C3A7-22CB-4E7C-AE9B-7E04038B5AD0}"/>
    <cellStyle name="Comma 2 3 4 2 4 2 5 3" xfId="27169" xr:uid="{273DA565-22CD-472F-BA8F-D56DD62C2D48}"/>
    <cellStyle name="Comma 2 3 4 2 4 2 6" xfId="13140" xr:uid="{89FA130A-9381-4A49-99C5-78547470BBAE}"/>
    <cellStyle name="Comma 2 3 4 2 4 2 7" xfId="23556" xr:uid="{884D850E-8EED-4C15-892D-ED060BA2EB74}"/>
    <cellStyle name="Comma 2 3 4 2 4 3" xfId="809" xr:uid="{00000000-0005-0000-0000-0000B3070000}"/>
    <cellStyle name="Comma 2 3 4 2 4 3 2" xfId="810" xr:uid="{00000000-0005-0000-0000-0000B4070000}"/>
    <cellStyle name="Comma 2 3 4 2 4 3 2 2" xfId="7957" xr:uid="{00000000-0005-0000-0000-0000B5070000}"/>
    <cellStyle name="Comma 2 3 4 2 4 3 2 2 2" xfId="19503" xr:uid="{39C81FB1-8B34-4DE2-B80F-CA1D5B935CE7}"/>
    <cellStyle name="Comma 2 3 4 2 4 3 2 2 3" xfId="29919" xr:uid="{28ADC21C-749A-468D-A76B-FAB033F8BBC9}"/>
    <cellStyle name="Comma 2 3 4 2 4 3 2 3" xfId="13145" xr:uid="{B2E1A337-4B0E-4D82-9F30-C4516536DE3E}"/>
    <cellStyle name="Comma 2 3 4 2 4 3 2 4" xfId="23561" xr:uid="{0F9BDFFC-421A-4397-97C6-E85B74D186FF}"/>
    <cellStyle name="Comma 2 3 4 2 4 3 3" xfId="7956" xr:uid="{00000000-0005-0000-0000-0000B6070000}"/>
    <cellStyle name="Comma 2 3 4 2 4 3 3 2" xfId="19502" xr:uid="{43FEE53A-55CE-45F9-BDFA-0C5D5172085B}"/>
    <cellStyle name="Comma 2 3 4 2 4 3 3 3" xfId="29918" xr:uid="{9D9B89B2-C9E2-4841-B6D1-17E6CFE524E9}"/>
    <cellStyle name="Comma 2 3 4 2 4 3 4" xfId="5169" xr:uid="{00000000-0005-0000-0000-0000B7070000}"/>
    <cellStyle name="Comma 2 3 4 2 4 3 4 2" xfId="16755" xr:uid="{1E754C60-8CCF-479F-9657-A585A82670D8}"/>
    <cellStyle name="Comma 2 3 4 2 4 3 4 3" xfId="27171" xr:uid="{4093FC5D-44C5-448B-8E27-70671F4DBD6D}"/>
    <cellStyle name="Comma 2 3 4 2 4 3 5" xfId="13144" xr:uid="{4B25B9D1-4FBD-4656-996B-4502E4EDA0C9}"/>
    <cellStyle name="Comma 2 3 4 2 4 3 6" xfId="23560" xr:uid="{1BF2E8BE-331C-4C44-8290-28E74C9457D9}"/>
    <cellStyle name="Comma 2 3 4 2 4 4" xfId="811" xr:uid="{00000000-0005-0000-0000-0000B8070000}"/>
    <cellStyle name="Comma 2 3 4 2 4 4 2" xfId="812" xr:uid="{00000000-0005-0000-0000-0000B9070000}"/>
    <cellStyle name="Comma 2 3 4 2 4 4 2 2" xfId="7959" xr:uid="{00000000-0005-0000-0000-0000BA070000}"/>
    <cellStyle name="Comma 2 3 4 2 4 4 2 2 2" xfId="19505" xr:uid="{F3DD9EE5-1C1E-43B9-B826-195AA215503A}"/>
    <cellStyle name="Comma 2 3 4 2 4 4 2 2 3" xfId="29921" xr:uid="{26E70940-675A-4932-91A3-2437F34FB515}"/>
    <cellStyle name="Comma 2 3 4 2 4 4 2 3" xfId="13147" xr:uid="{A2806580-F919-4FCD-BECB-35475582C8EE}"/>
    <cellStyle name="Comma 2 3 4 2 4 4 2 4" xfId="23563" xr:uid="{76A79D9B-ADA4-4EC9-A3CA-947118D47772}"/>
    <cellStyle name="Comma 2 3 4 2 4 4 3" xfId="7958" xr:uid="{00000000-0005-0000-0000-0000BB070000}"/>
    <cellStyle name="Comma 2 3 4 2 4 4 3 2" xfId="19504" xr:uid="{0EBFCC8A-42C3-44B0-8E91-F14B9EC8A71C}"/>
    <cellStyle name="Comma 2 3 4 2 4 4 3 3" xfId="29920" xr:uid="{743D5FBB-1DF7-46FB-923B-0338632D1105}"/>
    <cellStyle name="Comma 2 3 4 2 4 4 4" xfId="5170" xr:uid="{00000000-0005-0000-0000-0000BC070000}"/>
    <cellStyle name="Comma 2 3 4 2 4 4 4 2" xfId="16756" xr:uid="{2735097F-656B-49F5-8118-1EFF2D4FD000}"/>
    <cellStyle name="Comma 2 3 4 2 4 4 4 3" xfId="27172" xr:uid="{97A8AD44-0900-41EF-A8D5-08F79A08A650}"/>
    <cellStyle name="Comma 2 3 4 2 4 4 5" xfId="13146" xr:uid="{F482C515-FE74-401D-8247-D8ADFB73D1ED}"/>
    <cellStyle name="Comma 2 3 4 2 4 4 6" xfId="23562" xr:uid="{4AF2A36C-A9B1-452A-BFE1-9236FA06F5EC}"/>
    <cellStyle name="Comma 2 3 4 2 4 5" xfId="813" xr:uid="{00000000-0005-0000-0000-0000BD070000}"/>
    <cellStyle name="Comma 2 3 4 2 4 5 2" xfId="7960" xr:uid="{00000000-0005-0000-0000-0000BE070000}"/>
    <cellStyle name="Comma 2 3 4 2 4 5 2 2" xfId="19506" xr:uid="{4743A44F-C91B-4A9A-9C4C-6FDD3E45AD7E}"/>
    <cellStyle name="Comma 2 3 4 2 4 5 2 3" xfId="29922" xr:uid="{68E405C0-5239-46D5-9272-BBC14BB9614C}"/>
    <cellStyle name="Comma 2 3 4 2 4 5 3" xfId="13148" xr:uid="{D1C23982-5CC3-4A6C-BA83-4010D7811FC3}"/>
    <cellStyle name="Comma 2 3 4 2 4 5 4" xfId="23564" xr:uid="{6EBB92DB-2E9E-4B3D-949F-8A16073205CA}"/>
    <cellStyle name="Comma 2 3 4 2 4 6" xfId="7951" xr:uid="{00000000-0005-0000-0000-0000BF070000}"/>
    <cellStyle name="Comma 2 3 4 2 4 6 2" xfId="19497" xr:uid="{956BE02C-72D5-411B-A831-D0C236C631C9}"/>
    <cellStyle name="Comma 2 3 4 2 4 6 3" xfId="29913" xr:uid="{8C7F1803-1BE1-4CED-984A-ED9B98320955}"/>
    <cellStyle name="Comma 2 3 4 2 4 7" xfId="5166" xr:uid="{00000000-0005-0000-0000-0000C0070000}"/>
    <cellStyle name="Comma 2 3 4 2 4 7 2" xfId="16752" xr:uid="{7EB30475-FA71-41E0-851B-E8ED4029CD98}"/>
    <cellStyle name="Comma 2 3 4 2 4 7 3" xfId="27168" xr:uid="{4973378E-0840-46F6-8D03-C403676CC62A}"/>
    <cellStyle name="Comma 2 3 4 2 4 8" xfId="13139" xr:uid="{F89D5D58-3675-43CE-9A64-CDAFF7771FB2}"/>
    <cellStyle name="Comma 2 3 4 2 4 9" xfId="23555" xr:uid="{DE94448D-FA32-4F19-9785-5F46B3541F9B}"/>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2 2 2" xfId="19510" xr:uid="{0FD23FC7-C4FB-420D-81AE-51AC7888108F}"/>
    <cellStyle name="Comma 2 3 4 2 5 2 2 2 2 3" xfId="29926" xr:uid="{2382C129-277A-4EDE-B3AB-39842F327C29}"/>
    <cellStyle name="Comma 2 3 4 2 5 2 2 2 3" xfId="13152" xr:uid="{4514E584-A3F0-4CFC-85D8-92C37F3EA2C1}"/>
    <cellStyle name="Comma 2 3 4 2 5 2 2 2 4" xfId="23568" xr:uid="{58CDECA4-6BC8-4158-B5EE-3A1CA52F085D}"/>
    <cellStyle name="Comma 2 3 4 2 5 2 2 3" xfId="7963" xr:uid="{00000000-0005-0000-0000-0000C6070000}"/>
    <cellStyle name="Comma 2 3 4 2 5 2 2 3 2" xfId="19509" xr:uid="{2AB49561-0F53-495E-8DF2-E5C8C6D2A152}"/>
    <cellStyle name="Comma 2 3 4 2 5 2 2 3 3" xfId="29925" xr:uid="{9EC93C52-AB0F-4CBF-94A3-BAA9993BC9E9}"/>
    <cellStyle name="Comma 2 3 4 2 5 2 2 4" xfId="5173" xr:uid="{00000000-0005-0000-0000-0000C7070000}"/>
    <cellStyle name="Comma 2 3 4 2 5 2 2 4 2" xfId="16759" xr:uid="{5483224D-A779-4D52-B442-E60D44DA5F63}"/>
    <cellStyle name="Comma 2 3 4 2 5 2 2 4 3" xfId="27175" xr:uid="{74F46382-DDB7-418F-B24E-CB6AAF6BDAAF}"/>
    <cellStyle name="Comma 2 3 4 2 5 2 2 5" xfId="13151" xr:uid="{B3E67C7A-8E0F-4EB2-8FB1-0DDFB795A291}"/>
    <cellStyle name="Comma 2 3 4 2 5 2 2 6" xfId="23567" xr:uid="{A567DD26-70E6-48AC-BABA-3ED20975C03C}"/>
    <cellStyle name="Comma 2 3 4 2 5 2 3" xfId="818" xr:uid="{00000000-0005-0000-0000-0000C8070000}"/>
    <cellStyle name="Comma 2 3 4 2 5 2 3 2" xfId="7965" xr:uid="{00000000-0005-0000-0000-0000C9070000}"/>
    <cellStyle name="Comma 2 3 4 2 5 2 3 2 2" xfId="19511" xr:uid="{7AF449DB-E92D-464F-9355-A01959360415}"/>
    <cellStyle name="Comma 2 3 4 2 5 2 3 2 3" xfId="29927" xr:uid="{D64977A0-C149-4348-97AA-08F618F770DD}"/>
    <cellStyle name="Comma 2 3 4 2 5 2 3 3" xfId="13153" xr:uid="{56E2BC73-6A44-47B0-84A5-E20F9E3C1DCE}"/>
    <cellStyle name="Comma 2 3 4 2 5 2 3 4" xfId="23569" xr:uid="{360898B1-2466-4759-B50B-CB24178F2CDF}"/>
    <cellStyle name="Comma 2 3 4 2 5 2 4" xfId="7962" xr:uid="{00000000-0005-0000-0000-0000CA070000}"/>
    <cellStyle name="Comma 2 3 4 2 5 2 4 2" xfId="19508" xr:uid="{9935BC33-8D5D-4018-A86D-E348F3A583F4}"/>
    <cellStyle name="Comma 2 3 4 2 5 2 4 3" xfId="29924" xr:uid="{F58F78BF-72DC-4EBF-BC14-C09CDE2C6DD6}"/>
    <cellStyle name="Comma 2 3 4 2 5 2 5" xfId="5172" xr:uid="{00000000-0005-0000-0000-0000CB070000}"/>
    <cellStyle name="Comma 2 3 4 2 5 2 5 2" xfId="16758" xr:uid="{F6EE040C-5A42-46D0-BE2C-4A08D3F3FF59}"/>
    <cellStyle name="Comma 2 3 4 2 5 2 5 3" xfId="27174" xr:uid="{1DAE296E-5B29-4B40-A24A-F843F94B5147}"/>
    <cellStyle name="Comma 2 3 4 2 5 2 6" xfId="13150" xr:uid="{6C63EF78-D9FD-4DE3-AA40-845203BF6E6C}"/>
    <cellStyle name="Comma 2 3 4 2 5 2 7" xfId="23566" xr:uid="{B9098811-7A08-4F88-A8DD-4E4491FEC8C9}"/>
    <cellStyle name="Comma 2 3 4 2 5 3" xfId="819" xr:uid="{00000000-0005-0000-0000-0000CC070000}"/>
    <cellStyle name="Comma 2 3 4 2 5 3 2" xfId="820" xr:uid="{00000000-0005-0000-0000-0000CD070000}"/>
    <cellStyle name="Comma 2 3 4 2 5 3 2 2" xfId="7967" xr:uid="{00000000-0005-0000-0000-0000CE070000}"/>
    <cellStyle name="Comma 2 3 4 2 5 3 2 2 2" xfId="19513" xr:uid="{F2EDF12E-6040-4215-AAA9-BBBAD93D66B9}"/>
    <cellStyle name="Comma 2 3 4 2 5 3 2 2 3" xfId="29929" xr:uid="{D0A2FBB6-3BF9-4EB9-B050-CD4957B7B5BA}"/>
    <cellStyle name="Comma 2 3 4 2 5 3 2 3" xfId="13155" xr:uid="{5CC19AAC-3ABD-4175-B2E0-0967AE5AE524}"/>
    <cellStyle name="Comma 2 3 4 2 5 3 2 4" xfId="23571" xr:uid="{43F1A982-FEAF-4FDE-A7BF-BEA0F85B29BA}"/>
    <cellStyle name="Comma 2 3 4 2 5 3 3" xfId="7966" xr:uid="{00000000-0005-0000-0000-0000CF070000}"/>
    <cellStyle name="Comma 2 3 4 2 5 3 3 2" xfId="19512" xr:uid="{69D3232C-3013-4D31-B489-0473F9694E6C}"/>
    <cellStyle name="Comma 2 3 4 2 5 3 3 3" xfId="29928" xr:uid="{CF9287B7-8BDD-4D0D-A375-B8773BA1B369}"/>
    <cellStyle name="Comma 2 3 4 2 5 3 4" xfId="5174" xr:uid="{00000000-0005-0000-0000-0000D0070000}"/>
    <cellStyle name="Comma 2 3 4 2 5 3 4 2" xfId="16760" xr:uid="{990206CD-592C-41DB-81AF-BB8F327E82B3}"/>
    <cellStyle name="Comma 2 3 4 2 5 3 4 3" xfId="27176" xr:uid="{C46FEEE6-1353-472E-8DB1-9F855725393A}"/>
    <cellStyle name="Comma 2 3 4 2 5 3 5" xfId="13154" xr:uid="{CB1A3FB2-300C-481B-B259-BB3EFE38E5DA}"/>
    <cellStyle name="Comma 2 3 4 2 5 3 6" xfId="23570" xr:uid="{9C874052-7BEC-4F94-8847-B1E2EF7C7402}"/>
    <cellStyle name="Comma 2 3 4 2 5 4" xfId="821" xr:uid="{00000000-0005-0000-0000-0000D1070000}"/>
    <cellStyle name="Comma 2 3 4 2 5 4 2" xfId="822" xr:uid="{00000000-0005-0000-0000-0000D2070000}"/>
    <cellStyle name="Comma 2 3 4 2 5 4 2 2" xfId="7969" xr:uid="{00000000-0005-0000-0000-0000D3070000}"/>
    <cellStyle name="Comma 2 3 4 2 5 4 2 2 2" xfId="19515" xr:uid="{52F399A1-8437-4572-A7E5-807F1CB664BD}"/>
    <cellStyle name="Comma 2 3 4 2 5 4 2 2 3" xfId="29931" xr:uid="{DD7DBB15-A903-4525-B749-9B3F02818F5D}"/>
    <cellStyle name="Comma 2 3 4 2 5 4 2 3" xfId="13157" xr:uid="{1D564DE8-55DD-4B6E-B956-CEB54B38C6EB}"/>
    <cellStyle name="Comma 2 3 4 2 5 4 2 4" xfId="23573" xr:uid="{F711BC5C-5513-4029-B162-1489D0FD10D6}"/>
    <cellStyle name="Comma 2 3 4 2 5 4 3" xfId="7968" xr:uid="{00000000-0005-0000-0000-0000D4070000}"/>
    <cellStyle name="Comma 2 3 4 2 5 4 3 2" xfId="19514" xr:uid="{6C692A12-A156-48D5-B42F-7E336AA26761}"/>
    <cellStyle name="Comma 2 3 4 2 5 4 3 3" xfId="29930" xr:uid="{9C45E825-FFA1-410F-A04F-39FFB79DF6AA}"/>
    <cellStyle name="Comma 2 3 4 2 5 4 4" xfId="5175" xr:uid="{00000000-0005-0000-0000-0000D5070000}"/>
    <cellStyle name="Comma 2 3 4 2 5 4 4 2" xfId="16761" xr:uid="{72DA16AF-9AE6-4BC3-A177-855B8F5C3480}"/>
    <cellStyle name="Comma 2 3 4 2 5 4 4 3" xfId="27177" xr:uid="{E7EBD49C-5E5E-45E5-A149-2367D5520BF5}"/>
    <cellStyle name="Comma 2 3 4 2 5 4 5" xfId="13156" xr:uid="{D67D9521-37D3-4680-9253-1CF86C4C4A0B}"/>
    <cellStyle name="Comma 2 3 4 2 5 4 6" xfId="23572" xr:uid="{21D9F94A-2B87-4D9C-AD09-F2C527517953}"/>
    <cellStyle name="Comma 2 3 4 2 5 5" xfId="823" xr:uid="{00000000-0005-0000-0000-0000D6070000}"/>
    <cellStyle name="Comma 2 3 4 2 5 5 2" xfId="7970" xr:uid="{00000000-0005-0000-0000-0000D7070000}"/>
    <cellStyle name="Comma 2 3 4 2 5 5 2 2" xfId="19516" xr:uid="{AA20D3CB-4FD2-4074-9DF2-E00CDE83E27B}"/>
    <cellStyle name="Comma 2 3 4 2 5 5 2 3" xfId="29932" xr:uid="{C7C4F911-EEF2-4832-A42A-57C285B4EA6D}"/>
    <cellStyle name="Comma 2 3 4 2 5 5 3" xfId="13158" xr:uid="{7984E109-C289-4EB2-9C0D-FCE793298FEA}"/>
    <cellStyle name="Comma 2 3 4 2 5 5 4" xfId="23574" xr:uid="{D427409C-8070-423E-A1A2-0CA07EA1B6EB}"/>
    <cellStyle name="Comma 2 3 4 2 5 6" xfId="7961" xr:uid="{00000000-0005-0000-0000-0000D8070000}"/>
    <cellStyle name="Comma 2 3 4 2 5 6 2" xfId="19507" xr:uid="{A5E4AAB4-7E80-4A05-88AF-6BF662204012}"/>
    <cellStyle name="Comma 2 3 4 2 5 6 3" xfId="29923" xr:uid="{447D0FFA-6782-40B4-A03D-A4CB360E485E}"/>
    <cellStyle name="Comma 2 3 4 2 5 7" xfId="5171" xr:uid="{00000000-0005-0000-0000-0000D9070000}"/>
    <cellStyle name="Comma 2 3 4 2 5 7 2" xfId="16757" xr:uid="{F13CCE7C-C5F8-4DC7-9638-6759139B10D5}"/>
    <cellStyle name="Comma 2 3 4 2 5 7 3" xfId="27173" xr:uid="{E9033FC1-5F41-4FAE-B484-2137A26CF47D}"/>
    <cellStyle name="Comma 2 3 4 2 5 8" xfId="13149" xr:uid="{E23B1BB0-3DBC-4262-91A8-20C63E3C9A6F}"/>
    <cellStyle name="Comma 2 3 4 2 5 9" xfId="23565" xr:uid="{AD074BD6-2C6B-439E-B657-546867263398}"/>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2 2 2" xfId="19519" xr:uid="{2800C20F-117E-4280-8B49-D47A8D100B0C}"/>
    <cellStyle name="Comma 2 3 4 2 6 2 2 2 3" xfId="29935" xr:uid="{23476014-F567-4C25-AE60-AB702200616E}"/>
    <cellStyle name="Comma 2 3 4 2 6 2 2 3" xfId="13161" xr:uid="{4A920A53-90D1-4F3E-9044-CE7F28E5FD4E}"/>
    <cellStyle name="Comma 2 3 4 2 6 2 2 4" xfId="23577" xr:uid="{F194BB83-88D8-43BC-A905-0D95DD268E25}"/>
    <cellStyle name="Comma 2 3 4 2 6 2 3" xfId="7972" xr:uid="{00000000-0005-0000-0000-0000DE070000}"/>
    <cellStyle name="Comma 2 3 4 2 6 2 3 2" xfId="19518" xr:uid="{EA4E07AE-9658-4889-9E56-11ABB516250A}"/>
    <cellStyle name="Comma 2 3 4 2 6 2 3 3" xfId="29934" xr:uid="{5BCA59D6-1649-4243-996E-0F38A8566B60}"/>
    <cellStyle name="Comma 2 3 4 2 6 2 4" xfId="5177" xr:uid="{00000000-0005-0000-0000-0000DF070000}"/>
    <cellStyle name="Comma 2 3 4 2 6 2 4 2" xfId="16763" xr:uid="{07C23CAC-12E0-41E5-9F20-CCE252341C6B}"/>
    <cellStyle name="Comma 2 3 4 2 6 2 4 3" xfId="27179" xr:uid="{68FC4680-850C-4F70-8B95-5737DD57B1DA}"/>
    <cellStyle name="Comma 2 3 4 2 6 2 5" xfId="13160" xr:uid="{26CD48A9-B14B-476F-9467-4C0A19111DE2}"/>
    <cellStyle name="Comma 2 3 4 2 6 2 6" xfId="23576" xr:uid="{65585736-4C52-44CA-B623-C723EEF03D26}"/>
    <cellStyle name="Comma 2 3 4 2 6 3" xfId="827" xr:uid="{00000000-0005-0000-0000-0000E0070000}"/>
    <cellStyle name="Comma 2 3 4 2 6 3 2" xfId="828" xr:uid="{00000000-0005-0000-0000-0000E1070000}"/>
    <cellStyle name="Comma 2 3 4 2 6 3 2 2" xfId="7975" xr:uid="{00000000-0005-0000-0000-0000E2070000}"/>
    <cellStyle name="Comma 2 3 4 2 6 3 2 2 2" xfId="19521" xr:uid="{3CCF7B58-9A40-4C63-9314-BB4BB0F6CF03}"/>
    <cellStyle name="Comma 2 3 4 2 6 3 2 2 3" xfId="29937" xr:uid="{65DDB54D-DEBA-42B9-8966-75877858AFA5}"/>
    <cellStyle name="Comma 2 3 4 2 6 3 2 3" xfId="13163" xr:uid="{752D2387-CAF4-4AF9-A1FD-BAE74F6D89F3}"/>
    <cellStyle name="Comma 2 3 4 2 6 3 2 4" xfId="23579" xr:uid="{7EF6F0BB-9546-4820-B307-4551C6F22896}"/>
    <cellStyle name="Comma 2 3 4 2 6 3 3" xfId="7974" xr:uid="{00000000-0005-0000-0000-0000E3070000}"/>
    <cellStyle name="Comma 2 3 4 2 6 3 3 2" xfId="19520" xr:uid="{1A294E0C-D76D-4834-9091-5537E73C63CC}"/>
    <cellStyle name="Comma 2 3 4 2 6 3 3 3" xfId="29936" xr:uid="{80EA125F-86E7-413B-8E05-3D6B3E216154}"/>
    <cellStyle name="Comma 2 3 4 2 6 3 4" xfId="5178" xr:uid="{00000000-0005-0000-0000-0000E4070000}"/>
    <cellStyle name="Comma 2 3 4 2 6 3 4 2" xfId="16764" xr:uid="{1A091E9A-76ED-4AC4-A590-BE0EF2EF26E4}"/>
    <cellStyle name="Comma 2 3 4 2 6 3 4 3" xfId="27180" xr:uid="{75C3224E-6C75-4250-8B68-B9FBC8D9814D}"/>
    <cellStyle name="Comma 2 3 4 2 6 3 5" xfId="13162" xr:uid="{16B1D7BB-3F1F-4C8C-96E1-B3AAD66A05EA}"/>
    <cellStyle name="Comma 2 3 4 2 6 3 6" xfId="23578" xr:uid="{61D939E0-25B3-4191-A17E-927C404B1057}"/>
    <cellStyle name="Comma 2 3 4 2 6 4" xfId="829" xr:uid="{00000000-0005-0000-0000-0000E5070000}"/>
    <cellStyle name="Comma 2 3 4 2 6 4 2" xfId="7976" xr:uid="{00000000-0005-0000-0000-0000E6070000}"/>
    <cellStyle name="Comma 2 3 4 2 6 4 2 2" xfId="19522" xr:uid="{276C225D-645C-4720-99A1-AF9588319FC3}"/>
    <cellStyle name="Comma 2 3 4 2 6 4 2 3" xfId="29938" xr:uid="{1FDF9AB5-45F5-41C6-9B62-5BDA3F8FAF0B}"/>
    <cellStyle name="Comma 2 3 4 2 6 4 3" xfId="13164" xr:uid="{2DA12F59-541E-4208-96CF-D15E57260918}"/>
    <cellStyle name="Comma 2 3 4 2 6 4 4" xfId="23580" xr:uid="{8A7095EE-EB2C-4B0E-B85A-DB73C2A77EBD}"/>
    <cellStyle name="Comma 2 3 4 2 6 5" xfId="7971" xr:uid="{00000000-0005-0000-0000-0000E7070000}"/>
    <cellStyle name="Comma 2 3 4 2 6 5 2" xfId="19517" xr:uid="{4E7D020D-792E-4DC9-98D2-BB9A3DA407FF}"/>
    <cellStyle name="Comma 2 3 4 2 6 5 3" xfId="29933" xr:uid="{5D91869E-E2E9-4900-A268-069F44D756C1}"/>
    <cellStyle name="Comma 2 3 4 2 6 6" xfId="5176" xr:uid="{00000000-0005-0000-0000-0000E8070000}"/>
    <cellStyle name="Comma 2 3 4 2 6 6 2" xfId="16762" xr:uid="{F548219B-A7F0-47CF-9B31-8B1E5B04CA4E}"/>
    <cellStyle name="Comma 2 3 4 2 6 6 3" xfId="27178" xr:uid="{E05E21F8-F064-4DEF-A934-12195331CCED}"/>
    <cellStyle name="Comma 2 3 4 2 6 7" xfId="13159" xr:uid="{E1A91F57-3630-4230-97B4-1B05BBD5161B}"/>
    <cellStyle name="Comma 2 3 4 2 6 8" xfId="23575" xr:uid="{9A1A9D7A-9E4B-437E-BEFF-1E4529872EAB}"/>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2 2 2" xfId="19525" xr:uid="{3C03416B-BE87-4228-BF03-1203C88ACD4B}"/>
    <cellStyle name="Comma 2 3 4 2 7 2 2 2 3" xfId="29941" xr:uid="{8280E745-EC81-4257-A2F1-66A046BED331}"/>
    <cellStyle name="Comma 2 3 4 2 7 2 2 3" xfId="13167" xr:uid="{4CA922D6-E8A2-408F-BFC6-C026D38B7C63}"/>
    <cellStyle name="Comma 2 3 4 2 7 2 2 4" xfId="23583" xr:uid="{86E8ABD8-52E9-4729-9BE6-85C0A5FC0415}"/>
    <cellStyle name="Comma 2 3 4 2 7 2 3" xfId="7978" xr:uid="{00000000-0005-0000-0000-0000ED070000}"/>
    <cellStyle name="Comma 2 3 4 2 7 2 3 2" xfId="19524" xr:uid="{DAD46E07-E4F2-4A55-B8F9-5A4A5F927861}"/>
    <cellStyle name="Comma 2 3 4 2 7 2 3 3" xfId="29940" xr:uid="{7FFBC932-80AC-428C-B99B-EDB95535FFD9}"/>
    <cellStyle name="Comma 2 3 4 2 7 2 4" xfId="5180" xr:uid="{00000000-0005-0000-0000-0000EE070000}"/>
    <cellStyle name="Comma 2 3 4 2 7 2 4 2" xfId="16766" xr:uid="{DAFA86D5-B1D2-42EF-9F4F-EE47B176E281}"/>
    <cellStyle name="Comma 2 3 4 2 7 2 4 3" xfId="27182" xr:uid="{FA65A462-59A9-4600-9F77-24CD3E1D5251}"/>
    <cellStyle name="Comma 2 3 4 2 7 2 5" xfId="13166" xr:uid="{93E7E180-7017-4B1E-B5C1-4F38A44C960D}"/>
    <cellStyle name="Comma 2 3 4 2 7 2 6" xfId="23582" xr:uid="{D19DF3EE-9630-4273-BFA4-494062F967B5}"/>
    <cellStyle name="Comma 2 3 4 2 7 3" xfId="833" xr:uid="{00000000-0005-0000-0000-0000EF070000}"/>
    <cellStyle name="Comma 2 3 4 2 7 3 2" xfId="7980" xr:uid="{00000000-0005-0000-0000-0000F0070000}"/>
    <cellStyle name="Comma 2 3 4 2 7 3 2 2" xfId="19526" xr:uid="{B582C430-9CC5-4B8A-88CF-CF10FA4E916D}"/>
    <cellStyle name="Comma 2 3 4 2 7 3 2 3" xfId="29942" xr:uid="{6C13B69F-D369-4A53-A671-AE656E89F1F4}"/>
    <cellStyle name="Comma 2 3 4 2 7 3 3" xfId="13168" xr:uid="{7F4C59D4-B6EB-4A1D-9E6E-F0C4F459ECB2}"/>
    <cellStyle name="Comma 2 3 4 2 7 3 4" xfId="23584" xr:uid="{FD3BC0D6-B9F0-44F1-8D6C-41197B0AC43D}"/>
    <cellStyle name="Comma 2 3 4 2 7 4" xfId="7977" xr:uid="{00000000-0005-0000-0000-0000F1070000}"/>
    <cellStyle name="Comma 2 3 4 2 7 4 2" xfId="19523" xr:uid="{7A6382D9-5CEF-4143-AC04-00B55A2266BF}"/>
    <cellStyle name="Comma 2 3 4 2 7 4 3" xfId="29939" xr:uid="{617AE436-9368-4428-B701-75C0693ECE81}"/>
    <cellStyle name="Comma 2 3 4 2 7 5" xfId="5179" xr:uid="{00000000-0005-0000-0000-0000F2070000}"/>
    <cellStyle name="Comma 2 3 4 2 7 5 2" xfId="16765" xr:uid="{068D8510-D1C0-47EB-B649-3D83CE20F372}"/>
    <cellStyle name="Comma 2 3 4 2 7 5 3" xfId="27181" xr:uid="{436911AE-CD95-442C-833A-6401D5452C44}"/>
    <cellStyle name="Comma 2 3 4 2 7 6" xfId="13165" xr:uid="{7839622E-DD0D-4645-B4C1-8186AC758FFB}"/>
    <cellStyle name="Comma 2 3 4 2 7 7" xfId="23581" xr:uid="{B4B51A89-ED8E-45DA-B2C7-9BF78C3D1087}"/>
    <cellStyle name="Comma 2 3 4 2 8" xfId="834" xr:uid="{00000000-0005-0000-0000-0000F3070000}"/>
    <cellStyle name="Comma 2 3 4 2 8 2" xfId="835" xr:uid="{00000000-0005-0000-0000-0000F4070000}"/>
    <cellStyle name="Comma 2 3 4 2 8 2 2" xfId="7982" xr:uid="{00000000-0005-0000-0000-0000F5070000}"/>
    <cellStyle name="Comma 2 3 4 2 8 2 2 2" xfId="19528" xr:uid="{09B81BF7-7EE7-4D76-9B00-6065FF54DF2C}"/>
    <cellStyle name="Comma 2 3 4 2 8 2 2 3" xfId="29944" xr:uid="{2D168F40-C921-4238-B8FF-0861E8B49379}"/>
    <cellStyle name="Comma 2 3 4 2 8 2 3" xfId="13170" xr:uid="{9BD8AE45-5E6E-41BC-9FB9-2C48B9E6483B}"/>
    <cellStyle name="Comma 2 3 4 2 8 2 4" xfId="23586" xr:uid="{B9C7800B-C11F-4189-B072-9727A1ECD23A}"/>
    <cellStyle name="Comma 2 3 4 2 8 3" xfId="7981" xr:uid="{00000000-0005-0000-0000-0000F6070000}"/>
    <cellStyle name="Comma 2 3 4 2 8 3 2" xfId="19527" xr:uid="{F8003FF1-DF5E-479D-BF9A-180666DF8661}"/>
    <cellStyle name="Comma 2 3 4 2 8 3 3" xfId="29943" xr:uid="{2A0B3975-4F67-4DD7-A4AA-EFF0138B1AAF}"/>
    <cellStyle name="Comma 2 3 4 2 8 4" xfId="5181" xr:uid="{00000000-0005-0000-0000-0000F7070000}"/>
    <cellStyle name="Comma 2 3 4 2 8 4 2" xfId="16767" xr:uid="{B85368F8-AB5F-4499-90A1-EC62F031BB9E}"/>
    <cellStyle name="Comma 2 3 4 2 8 4 3" xfId="27183" xr:uid="{AC193965-BE2C-45A5-9FD9-2B1662A83828}"/>
    <cellStyle name="Comma 2 3 4 2 8 5" xfId="13169" xr:uid="{D9B9C216-76CB-4173-A42A-26028BB9704D}"/>
    <cellStyle name="Comma 2 3 4 2 8 6" xfId="23585" xr:uid="{1AD0A587-3453-48E5-96E5-8ABEB71BA38D}"/>
    <cellStyle name="Comma 2 3 4 2 9" xfId="836" xr:uid="{00000000-0005-0000-0000-0000F8070000}"/>
    <cellStyle name="Comma 2 3 4 2 9 2" xfId="837" xr:uid="{00000000-0005-0000-0000-0000F9070000}"/>
    <cellStyle name="Comma 2 3 4 2 9 2 2" xfId="7984" xr:uid="{00000000-0005-0000-0000-0000FA070000}"/>
    <cellStyle name="Comma 2 3 4 2 9 2 2 2" xfId="19530" xr:uid="{693F35CD-9758-475E-8529-7258D16EF765}"/>
    <cellStyle name="Comma 2 3 4 2 9 2 2 3" xfId="29946" xr:uid="{93081DB4-FAD7-4BF1-8E9A-0F5122470BC5}"/>
    <cellStyle name="Comma 2 3 4 2 9 2 3" xfId="13172" xr:uid="{3FEEE456-4548-4E26-B594-5D8436B50298}"/>
    <cellStyle name="Comma 2 3 4 2 9 2 4" xfId="23588" xr:uid="{91A0F6E2-57AE-4E1F-BD1D-36425A8D4F60}"/>
    <cellStyle name="Comma 2 3 4 2 9 3" xfId="7983" xr:uid="{00000000-0005-0000-0000-0000FB070000}"/>
    <cellStyle name="Comma 2 3 4 2 9 3 2" xfId="19529" xr:uid="{2217C87F-2104-448D-8496-DB3488461CCE}"/>
    <cellStyle name="Comma 2 3 4 2 9 3 3" xfId="29945" xr:uid="{1941E722-119F-4AD2-89B3-7ADA354C4EEE}"/>
    <cellStyle name="Comma 2 3 4 2 9 4" xfId="5182" xr:uid="{00000000-0005-0000-0000-0000FC070000}"/>
    <cellStyle name="Comma 2 3 4 2 9 4 2" xfId="16768" xr:uid="{A1F85F41-0E6B-4B7F-9133-58BFDCB96A63}"/>
    <cellStyle name="Comma 2 3 4 2 9 4 3" xfId="27184" xr:uid="{B15A551C-0C7A-4BC3-B8DE-3D896765B343}"/>
    <cellStyle name="Comma 2 3 4 2 9 5" xfId="13171" xr:uid="{50DFE7FC-2D58-4CD8-95C1-F398F3C85760}"/>
    <cellStyle name="Comma 2 3 4 2 9 6" xfId="23587" xr:uid="{1E3071AF-389E-4528-802C-F0FBA4EA2CEC}"/>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2 2 2" xfId="19534" xr:uid="{662DC1D4-EBE4-4B51-895D-FCC58113003C}"/>
    <cellStyle name="Comma 2 3 4 3 2 2 2 2 3" xfId="29950" xr:uid="{E97657D5-C1FC-4FE0-9AFA-58F96DF69CF7}"/>
    <cellStyle name="Comma 2 3 4 3 2 2 2 3" xfId="13176" xr:uid="{B49E262A-8D80-4300-9EFE-D05E870F86AB}"/>
    <cellStyle name="Comma 2 3 4 3 2 2 2 4" xfId="23592" xr:uid="{28185EFC-61F4-4946-8595-CAB65D5D08E4}"/>
    <cellStyle name="Comma 2 3 4 3 2 2 3" xfId="7987" xr:uid="{00000000-0005-0000-0000-000002080000}"/>
    <cellStyle name="Comma 2 3 4 3 2 2 3 2" xfId="19533" xr:uid="{C9B37916-97D1-49E7-B926-182480E0D2CE}"/>
    <cellStyle name="Comma 2 3 4 3 2 2 3 3" xfId="29949" xr:uid="{658A5667-EDB8-41C0-B511-04D7E02EC48C}"/>
    <cellStyle name="Comma 2 3 4 3 2 2 4" xfId="5185" xr:uid="{00000000-0005-0000-0000-000003080000}"/>
    <cellStyle name="Comma 2 3 4 3 2 2 4 2" xfId="16771" xr:uid="{43C07D09-401E-4792-B7D2-825C2F59E88B}"/>
    <cellStyle name="Comma 2 3 4 3 2 2 4 3" xfId="27187" xr:uid="{84FB93CD-152E-478A-BDB9-293EC8CCE1D6}"/>
    <cellStyle name="Comma 2 3 4 3 2 2 5" xfId="13175" xr:uid="{54F37352-D57B-4C1E-A064-8DC0A968D472}"/>
    <cellStyle name="Comma 2 3 4 3 2 2 6" xfId="23591" xr:uid="{5841237C-D27C-4222-8BF0-77448F7EDD63}"/>
    <cellStyle name="Comma 2 3 4 3 2 3" xfId="842" xr:uid="{00000000-0005-0000-0000-000004080000}"/>
    <cellStyle name="Comma 2 3 4 3 2 3 2" xfId="7989" xr:uid="{00000000-0005-0000-0000-000005080000}"/>
    <cellStyle name="Comma 2 3 4 3 2 3 2 2" xfId="19535" xr:uid="{B35FB52E-CB6F-4D41-BDB7-118CAD0D0BBE}"/>
    <cellStyle name="Comma 2 3 4 3 2 3 2 3" xfId="29951" xr:uid="{8A2B925E-7DC6-4A35-B573-794FBA651772}"/>
    <cellStyle name="Comma 2 3 4 3 2 3 3" xfId="13177" xr:uid="{49BECA47-0198-4E75-9F23-807F18B39EFA}"/>
    <cellStyle name="Comma 2 3 4 3 2 3 4" xfId="23593" xr:uid="{023E0BA8-5156-44B0-A171-D1C9B978ECA0}"/>
    <cellStyle name="Comma 2 3 4 3 2 4" xfId="7986" xr:uid="{00000000-0005-0000-0000-000006080000}"/>
    <cellStyle name="Comma 2 3 4 3 2 4 2" xfId="19532" xr:uid="{786EF07B-B711-407C-9D2A-01892397EA83}"/>
    <cellStyle name="Comma 2 3 4 3 2 4 3" xfId="29948" xr:uid="{D3E98C73-49D6-4951-AC8C-8AB02ABA0BCA}"/>
    <cellStyle name="Comma 2 3 4 3 2 5" xfId="5184" xr:uid="{00000000-0005-0000-0000-000007080000}"/>
    <cellStyle name="Comma 2 3 4 3 2 5 2" xfId="16770" xr:uid="{D62F05C2-A34F-495D-B9C9-2700D72CBF5C}"/>
    <cellStyle name="Comma 2 3 4 3 2 5 3" xfId="27186" xr:uid="{B7D72BFE-3AC6-484A-A283-71A67F32A437}"/>
    <cellStyle name="Comma 2 3 4 3 2 6" xfId="13174" xr:uid="{4B7AD0B5-7400-4570-9EF9-ED90E505111D}"/>
    <cellStyle name="Comma 2 3 4 3 2 7" xfId="23590" xr:uid="{EB21D765-2BA4-480B-8FE9-86391F848922}"/>
    <cellStyle name="Comma 2 3 4 3 3" xfId="843" xr:uid="{00000000-0005-0000-0000-000008080000}"/>
    <cellStyle name="Comma 2 3 4 3 3 2" xfId="844" xr:uid="{00000000-0005-0000-0000-000009080000}"/>
    <cellStyle name="Comma 2 3 4 3 3 2 2" xfId="7991" xr:uid="{00000000-0005-0000-0000-00000A080000}"/>
    <cellStyle name="Comma 2 3 4 3 3 2 2 2" xfId="19537" xr:uid="{AD17614C-DA7F-420C-B9F4-8F7CC2ED8B40}"/>
    <cellStyle name="Comma 2 3 4 3 3 2 2 3" xfId="29953" xr:uid="{6A40FA49-4E0A-47B4-9427-C335ADEFCA3C}"/>
    <cellStyle name="Comma 2 3 4 3 3 2 3" xfId="13179" xr:uid="{C837E4A1-C2C5-45B7-BFC4-D93F49805367}"/>
    <cellStyle name="Comma 2 3 4 3 3 2 4" xfId="23595" xr:uid="{E9397EAA-3284-4A07-8B8A-0EA0426379DD}"/>
    <cellStyle name="Comma 2 3 4 3 3 3" xfId="7990" xr:uid="{00000000-0005-0000-0000-00000B080000}"/>
    <cellStyle name="Comma 2 3 4 3 3 3 2" xfId="19536" xr:uid="{AD3A49F1-71EC-4308-9E1F-2D866E6C2E33}"/>
    <cellStyle name="Comma 2 3 4 3 3 3 3" xfId="29952" xr:uid="{39FA653A-FD58-40A0-B973-87416537EC4F}"/>
    <cellStyle name="Comma 2 3 4 3 3 4" xfId="5186" xr:uid="{00000000-0005-0000-0000-00000C080000}"/>
    <cellStyle name="Comma 2 3 4 3 3 4 2" xfId="16772" xr:uid="{F0B4B5E1-0FE8-432B-A714-5E4AE6B7ABE2}"/>
    <cellStyle name="Comma 2 3 4 3 3 4 3" xfId="27188" xr:uid="{D025B90F-C6A0-4538-8E4E-04E8DE33CDED}"/>
    <cellStyle name="Comma 2 3 4 3 3 5" xfId="13178" xr:uid="{B8AABBB9-32A1-4886-9DB6-51D4CA51BA05}"/>
    <cellStyle name="Comma 2 3 4 3 3 6" xfId="23594" xr:uid="{A0F903A4-A81A-46FF-81CD-995F3DFFE66C}"/>
    <cellStyle name="Comma 2 3 4 3 4" xfId="845" xr:uid="{00000000-0005-0000-0000-00000D080000}"/>
    <cellStyle name="Comma 2 3 4 3 4 2" xfId="846" xr:uid="{00000000-0005-0000-0000-00000E080000}"/>
    <cellStyle name="Comma 2 3 4 3 4 2 2" xfId="7993" xr:uid="{00000000-0005-0000-0000-00000F080000}"/>
    <cellStyle name="Comma 2 3 4 3 4 2 2 2" xfId="19539" xr:uid="{44FE6D96-23EF-48D5-8F18-9CE8E3F048DA}"/>
    <cellStyle name="Comma 2 3 4 3 4 2 2 3" xfId="29955" xr:uid="{CFCC6CC7-CDF7-4ADD-9B17-21303ADDDF90}"/>
    <cellStyle name="Comma 2 3 4 3 4 2 3" xfId="13181" xr:uid="{4C64C3ED-0D7C-49C8-B486-DCEAE8F85974}"/>
    <cellStyle name="Comma 2 3 4 3 4 2 4" xfId="23597" xr:uid="{ACB4F54B-2765-48BA-A7A2-2FB48B89C4A3}"/>
    <cellStyle name="Comma 2 3 4 3 4 3" xfId="7992" xr:uid="{00000000-0005-0000-0000-000010080000}"/>
    <cellStyle name="Comma 2 3 4 3 4 3 2" xfId="19538" xr:uid="{0C7F1F76-7BDF-463B-BF9C-60FC08534EB1}"/>
    <cellStyle name="Comma 2 3 4 3 4 3 3" xfId="29954" xr:uid="{F8541826-D8D9-4B25-AFE2-44BAF5A87FCE}"/>
    <cellStyle name="Comma 2 3 4 3 4 4" xfId="5187" xr:uid="{00000000-0005-0000-0000-000011080000}"/>
    <cellStyle name="Comma 2 3 4 3 4 4 2" xfId="16773" xr:uid="{8FB42A91-B9C2-4215-9970-099D922492BA}"/>
    <cellStyle name="Comma 2 3 4 3 4 4 3" xfId="27189" xr:uid="{989F3670-20C4-41C4-9B1E-A32E3DA34FCB}"/>
    <cellStyle name="Comma 2 3 4 3 4 5" xfId="13180" xr:uid="{9144DF8E-4969-41D9-922C-ECBBC0FEF5BE}"/>
    <cellStyle name="Comma 2 3 4 3 4 6" xfId="23596" xr:uid="{D8EFEFCE-4AA0-4D09-99EA-8FF4D64597A1}"/>
    <cellStyle name="Comma 2 3 4 3 5" xfId="847" xr:uid="{00000000-0005-0000-0000-000012080000}"/>
    <cellStyle name="Comma 2 3 4 3 5 2" xfId="7994" xr:uid="{00000000-0005-0000-0000-000013080000}"/>
    <cellStyle name="Comma 2 3 4 3 5 2 2" xfId="19540" xr:uid="{62DDA8AC-2237-431E-9556-D99B4E9C7835}"/>
    <cellStyle name="Comma 2 3 4 3 5 2 3" xfId="29956" xr:uid="{87C3184C-2CD4-4B06-AAB1-68971D5C0F53}"/>
    <cellStyle name="Comma 2 3 4 3 5 3" xfId="13182" xr:uid="{31DA41B6-3B74-42B0-B5E2-CD08D70B4511}"/>
    <cellStyle name="Comma 2 3 4 3 5 4" xfId="23598" xr:uid="{66D6FBB2-AD16-40CD-AA16-F9E42D9181B1}"/>
    <cellStyle name="Comma 2 3 4 3 6" xfId="7985" xr:uid="{00000000-0005-0000-0000-000014080000}"/>
    <cellStyle name="Comma 2 3 4 3 6 2" xfId="19531" xr:uid="{C564EEAD-10F8-4D49-BED6-5448B80663BB}"/>
    <cellStyle name="Comma 2 3 4 3 6 3" xfId="29947" xr:uid="{976AFE0B-FE75-4567-A988-7E610D69B9EB}"/>
    <cellStyle name="Comma 2 3 4 3 7" xfId="5183" xr:uid="{00000000-0005-0000-0000-000015080000}"/>
    <cellStyle name="Comma 2 3 4 3 7 2" xfId="16769" xr:uid="{66A51F7B-ED50-4DAD-86E6-36CA38AD3A5A}"/>
    <cellStyle name="Comma 2 3 4 3 7 3" xfId="27185" xr:uid="{F7E374AF-C751-4C0C-B01D-C04AA42CA656}"/>
    <cellStyle name="Comma 2 3 4 3 8" xfId="13173" xr:uid="{2E4C936E-1E6A-4D74-9504-ACBB1E4ECCFE}"/>
    <cellStyle name="Comma 2 3 4 3 9" xfId="23589" xr:uid="{6A51AEA9-7A91-48F4-BF3F-CDBEA9EC08C1}"/>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2 2 2" xfId="19544" xr:uid="{6A1CD708-6B1E-414E-9595-A8CA782F0660}"/>
    <cellStyle name="Comma 2 3 4 4 2 2 2 2 3" xfId="29960" xr:uid="{98B5D933-08BB-4DE4-8141-9080B3D1F1FF}"/>
    <cellStyle name="Comma 2 3 4 4 2 2 2 3" xfId="13186" xr:uid="{A441C3B4-A14F-4FC5-B6CC-6E9321C3BB85}"/>
    <cellStyle name="Comma 2 3 4 4 2 2 2 4" xfId="23602" xr:uid="{2124AA8E-6672-4995-B4DC-A741F6FEE11A}"/>
    <cellStyle name="Comma 2 3 4 4 2 2 3" xfId="7997" xr:uid="{00000000-0005-0000-0000-00001B080000}"/>
    <cellStyle name="Comma 2 3 4 4 2 2 3 2" xfId="19543" xr:uid="{48EEF955-B0DC-4E22-A3B0-92E9DF722F54}"/>
    <cellStyle name="Comma 2 3 4 4 2 2 3 3" xfId="29959" xr:uid="{77B4837E-0E2F-4329-9772-F56BD4112252}"/>
    <cellStyle name="Comma 2 3 4 4 2 2 4" xfId="5190" xr:uid="{00000000-0005-0000-0000-00001C080000}"/>
    <cellStyle name="Comma 2 3 4 4 2 2 4 2" xfId="16776" xr:uid="{7BD0C81E-D0FC-440A-A0F5-BE7483AFCDDC}"/>
    <cellStyle name="Comma 2 3 4 4 2 2 4 3" xfId="27192" xr:uid="{DD425E30-F875-443E-8DE4-585614915DB1}"/>
    <cellStyle name="Comma 2 3 4 4 2 2 5" xfId="13185" xr:uid="{1D8E6EF1-ADF6-4DDC-9A50-CB414F1B170B}"/>
    <cellStyle name="Comma 2 3 4 4 2 2 6" xfId="23601" xr:uid="{77C7EA7F-59F1-4DC5-B660-DA1507336C0F}"/>
    <cellStyle name="Comma 2 3 4 4 2 3" xfId="852" xr:uid="{00000000-0005-0000-0000-00001D080000}"/>
    <cellStyle name="Comma 2 3 4 4 2 3 2" xfId="7999" xr:uid="{00000000-0005-0000-0000-00001E080000}"/>
    <cellStyle name="Comma 2 3 4 4 2 3 2 2" xfId="19545" xr:uid="{3ED40A80-A6A8-44A4-ACBA-FB82D7C01348}"/>
    <cellStyle name="Comma 2 3 4 4 2 3 2 3" xfId="29961" xr:uid="{3DD7B1BB-7633-47D4-9A98-96470029B5CF}"/>
    <cellStyle name="Comma 2 3 4 4 2 3 3" xfId="13187" xr:uid="{539F739B-6A29-4CC1-8ED4-14E48DDBEE52}"/>
    <cellStyle name="Comma 2 3 4 4 2 3 4" xfId="23603" xr:uid="{D410DA45-ABC1-4A5D-84B6-49A619E43C9E}"/>
    <cellStyle name="Comma 2 3 4 4 2 4" xfId="7996" xr:uid="{00000000-0005-0000-0000-00001F080000}"/>
    <cellStyle name="Comma 2 3 4 4 2 4 2" xfId="19542" xr:uid="{EE3653F7-D095-44DC-B7ED-7F5EBC7C401C}"/>
    <cellStyle name="Comma 2 3 4 4 2 4 3" xfId="29958" xr:uid="{A1F0D6EE-E20C-4B7E-8887-96F6138CF6AC}"/>
    <cellStyle name="Comma 2 3 4 4 2 5" xfId="5189" xr:uid="{00000000-0005-0000-0000-000020080000}"/>
    <cellStyle name="Comma 2 3 4 4 2 5 2" xfId="16775" xr:uid="{8A4F8222-BBDB-4684-9B5A-06E6CB358C98}"/>
    <cellStyle name="Comma 2 3 4 4 2 5 3" xfId="27191" xr:uid="{6EDC675C-43CA-4B68-B362-8D444001152D}"/>
    <cellStyle name="Comma 2 3 4 4 2 6" xfId="13184" xr:uid="{91D29F01-1B39-4B67-9891-B36702AFE9AE}"/>
    <cellStyle name="Comma 2 3 4 4 2 7" xfId="23600" xr:uid="{AFE9B35D-E090-4124-979E-5E27DB682E77}"/>
    <cellStyle name="Comma 2 3 4 4 3" xfId="853" xr:uid="{00000000-0005-0000-0000-000021080000}"/>
    <cellStyle name="Comma 2 3 4 4 3 2" xfId="854" xr:uid="{00000000-0005-0000-0000-000022080000}"/>
    <cellStyle name="Comma 2 3 4 4 3 2 2" xfId="8001" xr:uid="{00000000-0005-0000-0000-000023080000}"/>
    <cellStyle name="Comma 2 3 4 4 3 2 2 2" xfId="19547" xr:uid="{69C73251-6003-43D1-9EEA-C7F04528E60A}"/>
    <cellStyle name="Comma 2 3 4 4 3 2 2 3" xfId="29963" xr:uid="{74AB4082-78BC-4658-B0D8-998F1544F5A0}"/>
    <cellStyle name="Comma 2 3 4 4 3 2 3" xfId="13189" xr:uid="{39C35D03-0883-47D3-BC4D-8233962C4E82}"/>
    <cellStyle name="Comma 2 3 4 4 3 2 4" xfId="23605" xr:uid="{992648FD-1245-499E-9BCA-1EA3F4E1A72E}"/>
    <cellStyle name="Comma 2 3 4 4 3 3" xfId="8000" xr:uid="{00000000-0005-0000-0000-000024080000}"/>
    <cellStyle name="Comma 2 3 4 4 3 3 2" xfId="19546" xr:uid="{BA06F2FA-3A09-462D-86F5-A1393955190A}"/>
    <cellStyle name="Comma 2 3 4 4 3 3 3" xfId="29962" xr:uid="{5A23933A-9C8B-4184-9527-E8FC7C3E6121}"/>
    <cellStyle name="Comma 2 3 4 4 3 4" xfId="5191" xr:uid="{00000000-0005-0000-0000-000025080000}"/>
    <cellStyle name="Comma 2 3 4 4 3 4 2" xfId="16777" xr:uid="{9F3562BB-486B-4C9F-85A0-21E5A8A19751}"/>
    <cellStyle name="Comma 2 3 4 4 3 4 3" xfId="27193" xr:uid="{BE242581-1492-4D5F-A897-9F4659A8F258}"/>
    <cellStyle name="Comma 2 3 4 4 3 5" xfId="13188" xr:uid="{B1AA09BD-5C65-45AF-9201-44BF5A6F7CC2}"/>
    <cellStyle name="Comma 2 3 4 4 3 6" xfId="23604" xr:uid="{9C0D224E-2F15-4C1F-978B-3660E7B41A38}"/>
    <cellStyle name="Comma 2 3 4 4 4" xfId="855" xr:uid="{00000000-0005-0000-0000-000026080000}"/>
    <cellStyle name="Comma 2 3 4 4 4 2" xfId="856" xr:uid="{00000000-0005-0000-0000-000027080000}"/>
    <cellStyle name="Comma 2 3 4 4 4 2 2" xfId="8003" xr:uid="{00000000-0005-0000-0000-000028080000}"/>
    <cellStyle name="Comma 2 3 4 4 4 2 2 2" xfId="19549" xr:uid="{B5B85BE7-7317-4427-9392-8218C1008FCC}"/>
    <cellStyle name="Comma 2 3 4 4 4 2 2 3" xfId="29965" xr:uid="{1E537D6B-CB8E-4BAC-A797-B92954ABCB73}"/>
    <cellStyle name="Comma 2 3 4 4 4 2 3" xfId="13191" xr:uid="{B3BC3554-7751-4D24-B38F-1B452012FDA3}"/>
    <cellStyle name="Comma 2 3 4 4 4 2 4" xfId="23607" xr:uid="{44312A83-9E97-4C65-B5E5-0C2658DA6EF2}"/>
    <cellStyle name="Comma 2 3 4 4 4 3" xfId="8002" xr:uid="{00000000-0005-0000-0000-000029080000}"/>
    <cellStyle name="Comma 2 3 4 4 4 3 2" xfId="19548" xr:uid="{5EB4F7F4-D369-455F-9906-3E96E1343A1B}"/>
    <cellStyle name="Comma 2 3 4 4 4 3 3" xfId="29964" xr:uid="{173160F8-B0D9-4D63-BA65-827FF79C9EBB}"/>
    <cellStyle name="Comma 2 3 4 4 4 4" xfId="5192" xr:uid="{00000000-0005-0000-0000-00002A080000}"/>
    <cellStyle name="Comma 2 3 4 4 4 4 2" xfId="16778" xr:uid="{2E8FCEE9-77DE-4B5A-A795-462E523F04C4}"/>
    <cellStyle name="Comma 2 3 4 4 4 4 3" xfId="27194" xr:uid="{5BC4CE10-17E3-475B-A45F-8BA5440C2F4F}"/>
    <cellStyle name="Comma 2 3 4 4 4 5" xfId="13190" xr:uid="{65D76A0E-F71B-46C1-9FD3-37AE01A422F4}"/>
    <cellStyle name="Comma 2 3 4 4 4 6" xfId="23606" xr:uid="{A4F52017-A9DD-4F6C-9EBD-FED834B2392E}"/>
    <cellStyle name="Comma 2 3 4 4 5" xfId="857" xr:uid="{00000000-0005-0000-0000-00002B080000}"/>
    <cellStyle name="Comma 2 3 4 4 5 2" xfId="8004" xr:uid="{00000000-0005-0000-0000-00002C080000}"/>
    <cellStyle name="Comma 2 3 4 4 5 2 2" xfId="19550" xr:uid="{9F7F68B6-AF98-4E4E-A124-254605357C4F}"/>
    <cellStyle name="Comma 2 3 4 4 5 2 3" xfId="29966" xr:uid="{B01D153F-9706-4F0B-ABC2-359272FD3BB9}"/>
    <cellStyle name="Comma 2 3 4 4 5 3" xfId="13192" xr:uid="{6863A802-D34A-4AF5-B3A3-EFCF61B7DFA0}"/>
    <cellStyle name="Comma 2 3 4 4 5 4" xfId="23608" xr:uid="{8F1870B2-6552-430C-A3CC-6183705C916E}"/>
    <cellStyle name="Comma 2 3 4 4 6" xfId="7995" xr:uid="{00000000-0005-0000-0000-00002D080000}"/>
    <cellStyle name="Comma 2 3 4 4 6 2" xfId="19541" xr:uid="{BAA0073B-1951-4DE2-9C8D-FF4524041153}"/>
    <cellStyle name="Comma 2 3 4 4 6 3" xfId="29957" xr:uid="{DF6EAF79-ABD4-48C3-A20D-42250CA66626}"/>
    <cellStyle name="Comma 2 3 4 4 7" xfId="5188" xr:uid="{00000000-0005-0000-0000-00002E080000}"/>
    <cellStyle name="Comma 2 3 4 4 7 2" xfId="16774" xr:uid="{CD29E306-BE20-481F-B359-8A60B7C10183}"/>
    <cellStyle name="Comma 2 3 4 4 7 3" xfId="27190" xr:uid="{3C6880E6-163F-4BF0-BFD2-8764B1624439}"/>
    <cellStyle name="Comma 2 3 4 4 8" xfId="13183" xr:uid="{EA8B7542-6779-4BE0-B858-314EC24DAAFD}"/>
    <cellStyle name="Comma 2 3 4 4 9" xfId="23599" xr:uid="{785B3E55-34C0-4288-B2BD-BE8BCBEF7937}"/>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2 2 2" xfId="19554" xr:uid="{1C4055FA-7079-4E9C-9086-283EAA75F0B8}"/>
    <cellStyle name="Comma 2 3 4 5 2 2 2 2 3" xfId="29970" xr:uid="{1425EC29-7073-48C3-854F-746C3D4A05C6}"/>
    <cellStyle name="Comma 2 3 4 5 2 2 2 3" xfId="13196" xr:uid="{0D57AB16-848B-4E88-ADC6-3C3E90FFCE81}"/>
    <cellStyle name="Comma 2 3 4 5 2 2 2 4" xfId="23612" xr:uid="{FA2AE9F2-80AF-4AB2-80A9-601E04720945}"/>
    <cellStyle name="Comma 2 3 4 5 2 2 3" xfId="8007" xr:uid="{00000000-0005-0000-0000-000034080000}"/>
    <cellStyle name="Comma 2 3 4 5 2 2 3 2" xfId="19553" xr:uid="{35AC02A9-EBE9-4A24-852D-25ABD8064268}"/>
    <cellStyle name="Comma 2 3 4 5 2 2 3 3" xfId="29969" xr:uid="{BB9948AA-BDE9-4DB6-BA7B-D12EA90543EE}"/>
    <cellStyle name="Comma 2 3 4 5 2 2 4" xfId="5195" xr:uid="{00000000-0005-0000-0000-000035080000}"/>
    <cellStyle name="Comma 2 3 4 5 2 2 4 2" xfId="16781" xr:uid="{2A36ECB8-B625-4088-8373-2CADC836C841}"/>
    <cellStyle name="Comma 2 3 4 5 2 2 4 3" xfId="27197" xr:uid="{C65764AD-A30E-4DD2-ADAE-3E1BF612002D}"/>
    <cellStyle name="Comma 2 3 4 5 2 2 5" xfId="13195" xr:uid="{DEFB30D2-2490-4DB5-BE56-6F8250F8BF5E}"/>
    <cellStyle name="Comma 2 3 4 5 2 2 6" xfId="23611" xr:uid="{3305168B-B309-4963-AB4B-47FB7F26169D}"/>
    <cellStyle name="Comma 2 3 4 5 2 3" xfId="862" xr:uid="{00000000-0005-0000-0000-000036080000}"/>
    <cellStyle name="Comma 2 3 4 5 2 3 2" xfId="8009" xr:uid="{00000000-0005-0000-0000-000037080000}"/>
    <cellStyle name="Comma 2 3 4 5 2 3 2 2" xfId="19555" xr:uid="{7D5B05A9-E5E0-4DF2-90C7-9EC789B33703}"/>
    <cellStyle name="Comma 2 3 4 5 2 3 2 3" xfId="29971" xr:uid="{A74B04D2-BE9D-49D5-B7B6-5AC90FB7BCA0}"/>
    <cellStyle name="Comma 2 3 4 5 2 3 3" xfId="13197" xr:uid="{FBC50550-FED2-44AE-8BE3-B06864935990}"/>
    <cellStyle name="Comma 2 3 4 5 2 3 4" xfId="23613" xr:uid="{4859821F-0510-4609-B353-2E25927887D3}"/>
    <cellStyle name="Comma 2 3 4 5 2 4" xfId="8006" xr:uid="{00000000-0005-0000-0000-000038080000}"/>
    <cellStyle name="Comma 2 3 4 5 2 4 2" xfId="19552" xr:uid="{02042591-9CC1-45E0-9119-B2DB953F23B5}"/>
    <cellStyle name="Comma 2 3 4 5 2 4 3" xfId="29968" xr:uid="{E0162C0C-B86E-4417-B63E-C50D23845B9C}"/>
    <cellStyle name="Comma 2 3 4 5 2 5" xfId="5194" xr:uid="{00000000-0005-0000-0000-000039080000}"/>
    <cellStyle name="Comma 2 3 4 5 2 5 2" xfId="16780" xr:uid="{BCE0D736-7AAD-4476-9749-7F6CA7D0FFA4}"/>
    <cellStyle name="Comma 2 3 4 5 2 5 3" xfId="27196" xr:uid="{0A6C5BBF-B432-4525-B8DD-D806BAA5E4F1}"/>
    <cellStyle name="Comma 2 3 4 5 2 6" xfId="13194" xr:uid="{C5658F78-30E3-4FD2-ABF4-620D944F2C05}"/>
    <cellStyle name="Comma 2 3 4 5 2 7" xfId="23610" xr:uid="{24C7003A-861F-485A-9607-C74BF7A684C1}"/>
    <cellStyle name="Comma 2 3 4 5 3" xfId="863" xr:uid="{00000000-0005-0000-0000-00003A080000}"/>
    <cellStyle name="Comma 2 3 4 5 3 2" xfId="864" xr:uid="{00000000-0005-0000-0000-00003B080000}"/>
    <cellStyle name="Comma 2 3 4 5 3 2 2" xfId="8011" xr:uid="{00000000-0005-0000-0000-00003C080000}"/>
    <cellStyle name="Comma 2 3 4 5 3 2 2 2" xfId="19557" xr:uid="{15DB9784-029F-48D1-A622-BC55E6C98D13}"/>
    <cellStyle name="Comma 2 3 4 5 3 2 2 3" xfId="29973" xr:uid="{BA051304-B7FC-4A8B-BB20-AE5B1B856583}"/>
    <cellStyle name="Comma 2 3 4 5 3 2 3" xfId="13199" xr:uid="{A4EAF9C7-1078-49B6-A385-97D1BD75D113}"/>
    <cellStyle name="Comma 2 3 4 5 3 2 4" xfId="23615" xr:uid="{809FAB7D-5F35-4E29-9727-797FD2014003}"/>
    <cellStyle name="Comma 2 3 4 5 3 3" xfId="8010" xr:uid="{00000000-0005-0000-0000-00003D080000}"/>
    <cellStyle name="Comma 2 3 4 5 3 3 2" xfId="19556" xr:uid="{1E4E78DE-112A-4BA5-B3CE-F9F3BADBD7AA}"/>
    <cellStyle name="Comma 2 3 4 5 3 3 3" xfId="29972" xr:uid="{C29AFBE0-8A14-4311-B166-F2F97B5B9AA1}"/>
    <cellStyle name="Comma 2 3 4 5 3 4" xfId="5196" xr:uid="{00000000-0005-0000-0000-00003E080000}"/>
    <cellStyle name="Comma 2 3 4 5 3 4 2" xfId="16782" xr:uid="{6BAD7636-8876-46CE-8F03-39F15936C764}"/>
    <cellStyle name="Comma 2 3 4 5 3 4 3" xfId="27198" xr:uid="{CE085B5F-1AD2-43B7-BCE9-FE9451F83C4E}"/>
    <cellStyle name="Comma 2 3 4 5 3 5" xfId="13198" xr:uid="{6350D13E-B412-4E57-AAA6-1A4B71859135}"/>
    <cellStyle name="Comma 2 3 4 5 3 6" xfId="23614" xr:uid="{5AE27F86-0660-4A76-A4BB-572D0D472970}"/>
    <cellStyle name="Comma 2 3 4 5 4" xfId="865" xr:uid="{00000000-0005-0000-0000-00003F080000}"/>
    <cellStyle name="Comma 2 3 4 5 4 2" xfId="866" xr:uid="{00000000-0005-0000-0000-000040080000}"/>
    <cellStyle name="Comma 2 3 4 5 4 2 2" xfId="8013" xr:uid="{00000000-0005-0000-0000-000041080000}"/>
    <cellStyle name="Comma 2 3 4 5 4 2 2 2" xfId="19559" xr:uid="{030DE245-DC8B-419C-A83C-C2E19657F49C}"/>
    <cellStyle name="Comma 2 3 4 5 4 2 2 3" xfId="29975" xr:uid="{1158A959-3F2C-4DFF-83A6-2770AA226531}"/>
    <cellStyle name="Comma 2 3 4 5 4 2 3" xfId="13201" xr:uid="{5A067B8F-ED87-44BD-8AF0-017CC5402149}"/>
    <cellStyle name="Comma 2 3 4 5 4 2 4" xfId="23617" xr:uid="{679A9D95-AA4D-4F44-B830-200E29813596}"/>
    <cellStyle name="Comma 2 3 4 5 4 3" xfId="8012" xr:uid="{00000000-0005-0000-0000-000042080000}"/>
    <cellStyle name="Comma 2 3 4 5 4 3 2" xfId="19558" xr:uid="{67D8FADE-4ADC-49A8-A511-EFD1F8AA2BC8}"/>
    <cellStyle name="Comma 2 3 4 5 4 3 3" xfId="29974" xr:uid="{70DAFFAD-8C5A-450E-8AF5-D6D300158D1F}"/>
    <cellStyle name="Comma 2 3 4 5 4 4" xfId="5197" xr:uid="{00000000-0005-0000-0000-000043080000}"/>
    <cellStyle name="Comma 2 3 4 5 4 4 2" xfId="16783" xr:uid="{2B73DE3A-0FDF-4E4E-882A-B0536535DB41}"/>
    <cellStyle name="Comma 2 3 4 5 4 4 3" xfId="27199" xr:uid="{3BD1F460-2FB6-4F56-9853-F8BFB9B51572}"/>
    <cellStyle name="Comma 2 3 4 5 4 5" xfId="13200" xr:uid="{A90E93C0-655B-4C34-BFF6-1AC0FC229D82}"/>
    <cellStyle name="Comma 2 3 4 5 4 6" xfId="23616" xr:uid="{201AC5A4-CBA5-4984-B0D3-AE3AB63E98B5}"/>
    <cellStyle name="Comma 2 3 4 5 5" xfId="867" xr:uid="{00000000-0005-0000-0000-000044080000}"/>
    <cellStyle name="Comma 2 3 4 5 5 2" xfId="8014" xr:uid="{00000000-0005-0000-0000-000045080000}"/>
    <cellStyle name="Comma 2 3 4 5 5 2 2" xfId="19560" xr:uid="{FFD669DF-8302-4D04-8935-31E0876C81E7}"/>
    <cellStyle name="Comma 2 3 4 5 5 2 3" xfId="29976" xr:uid="{4DB696D6-D33B-46F3-B6C9-E6B0AAE2B9A6}"/>
    <cellStyle name="Comma 2 3 4 5 5 3" xfId="13202" xr:uid="{5064ECE7-78BD-4736-84BE-C17747AE74CC}"/>
    <cellStyle name="Comma 2 3 4 5 5 4" xfId="23618" xr:uid="{78B4F30A-2161-48A6-A2C4-01FE2B217A77}"/>
    <cellStyle name="Comma 2 3 4 5 6" xfId="8005" xr:uid="{00000000-0005-0000-0000-000046080000}"/>
    <cellStyle name="Comma 2 3 4 5 6 2" xfId="19551" xr:uid="{4AEFE7F4-0512-4A2B-BF0E-119DC8545091}"/>
    <cellStyle name="Comma 2 3 4 5 6 3" xfId="29967" xr:uid="{E6EC45E2-00DC-4168-93B1-D9C9DDB5557B}"/>
    <cellStyle name="Comma 2 3 4 5 7" xfId="5193" xr:uid="{00000000-0005-0000-0000-000047080000}"/>
    <cellStyle name="Comma 2 3 4 5 7 2" xfId="16779" xr:uid="{C6F61456-C84F-4C05-9AE3-02995D723FDC}"/>
    <cellStyle name="Comma 2 3 4 5 7 3" xfId="27195" xr:uid="{F2AE8940-8D0E-4FA8-B503-86BFCFD0DFF5}"/>
    <cellStyle name="Comma 2 3 4 5 8" xfId="13193" xr:uid="{CF95EB8D-645A-41D0-959F-772EE8D4F16C}"/>
    <cellStyle name="Comma 2 3 4 5 9" xfId="23609" xr:uid="{43846D25-21AD-412A-9E18-0915630666EE}"/>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2 2 2" xfId="19564" xr:uid="{9959162D-7400-4B37-A39F-C1DE200DF61C}"/>
    <cellStyle name="Comma 2 3 4 6 2 2 2 2 3" xfId="29980" xr:uid="{4371512C-8AD8-4104-8DA8-AAF4C2BF3846}"/>
    <cellStyle name="Comma 2 3 4 6 2 2 2 3" xfId="13206" xr:uid="{6292C9DD-7D91-41FE-B1B9-13F5B412D221}"/>
    <cellStyle name="Comma 2 3 4 6 2 2 2 4" xfId="23622" xr:uid="{3CE2EC6E-2F1C-4A7E-B1D2-1D966A148299}"/>
    <cellStyle name="Comma 2 3 4 6 2 2 3" xfId="8017" xr:uid="{00000000-0005-0000-0000-00004D080000}"/>
    <cellStyle name="Comma 2 3 4 6 2 2 3 2" xfId="19563" xr:uid="{DC02F331-90CB-483C-A247-006612885682}"/>
    <cellStyle name="Comma 2 3 4 6 2 2 3 3" xfId="29979" xr:uid="{E5C9A632-7E0B-431B-854F-3A34A75A8C45}"/>
    <cellStyle name="Comma 2 3 4 6 2 2 4" xfId="5200" xr:uid="{00000000-0005-0000-0000-00004E080000}"/>
    <cellStyle name="Comma 2 3 4 6 2 2 4 2" xfId="16786" xr:uid="{F307C3AD-BF3F-457F-8D1B-0CA014EE986A}"/>
    <cellStyle name="Comma 2 3 4 6 2 2 4 3" xfId="27202" xr:uid="{6E562067-3AAD-456B-9FC5-F9FD2D96FF5C}"/>
    <cellStyle name="Comma 2 3 4 6 2 2 5" xfId="13205" xr:uid="{249856A9-C50D-4DF1-9455-696F38990006}"/>
    <cellStyle name="Comma 2 3 4 6 2 2 6" xfId="23621" xr:uid="{5AEC88DC-FEF1-4493-9998-E051A9BFEA66}"/>
    <cellStyle name="Comma 2 3 4 6 2 3" xfId="872" xr:uid="{00000000-0005-0000-0000-00004F080000}"/>
    <cellStyle name="Comma 2 3 4 6 2 3 2" xfId="8019" xr:uid="{00000000-0005-0000-0000-000050080000}"/>
    <cellStyle name="Comma 2 3 4 6 2 3 2 2" xfId="19565" xr:uid="{790C3901-7C89-4B49-BD8D-77AD84840F48}"/>
    <cellStyle name="Comma 2 3 4 6 2 3 2 3" xfId="29981" xr:uid="{7627AF8C-6CF3-4DDB-8F97-F343675EC96C}"/>
    <cellStyle name="Comma 2 3 4 6 2 3 3" xfId="13207" xr:uid="{863E4E09-1E13-4C5C-BE57-582F4DEDD86C}"/>
    <cellStyle name="Comma 2 3 4 6 2 3 4" xfId="23623" xr:uid="{248D521C-D121-47DF-9E62-51D5DF6B499C}"/>
    <cellStyle name="Comma 2 3 4 6 2 4" xfId="8016" xr:uid="{00000000-0005-0000-0000-000051080000}"/>
    <cellStyle name="Comma 2 3 4 6 2 4 2" xfId="19562" xr:uid="{B87A5987-4F74-4E6C-8C0E-5D33F1AADBBB}"/>
    <cellStyle name="Comma 2 3 4 6 2 4 3" xfId="29978" xr:uid="{CB95B59F-E0C7-4366-95F8-B7EC86C3B367}"/>
    <cellStyle name="Comma 2 3 4 6 2 5" xfId="5199" xr:uid="{00000000-0005-0000-0000-000052080000}"/>
    <cellStyle name="Comma 2 3 4 6 2 5 2" xfId="16785" xr:uid="{210AE56E-8457-4379-9600-F4747AE7A3ED}"/>
    <cellStyle name="Comma 2 3 4 6 2 5 3" xfId="27201" xr:uid="{0782F8C5-C34D-447D-8AF9-5829FEE6D7BD}"/>
    <cellStyle name="Comma 2 3 4 6 2 6" xfId="13204" xr:uid="{960D809D-588A-464A-906F-6ECF55726576}"/>
    <cellStyle name="Comma 2 3 4 6 2 7" xfId="23620" xr:uid="{14537AF3-2B63-4882-81BE-24992AC70DF2}"/>
    <cellStyle name="Comma 2 3 4 6 3" xfId="873" xr:uid="{00000000-0005-0000-0000-000053080000}"/>
    <cellStyle name="Comma 2 3 4 6 3 2" xfId="874" xr:uid="{00000000-0005-0000-0000-000054080000}"/>
    <cellStyle name="Comma 2 3 4 6 3 2 2" xfId="8021" xr:uid="{00000000-0005-0000-0000-000055080000}"/>
    <cellStyle name="Comma 2 3 4 6 3 2 2 2" xfId="19567" xr:uid="{1BD794C5-0667-4415-86EF-082CE78A0723}"/>
    <cellStyle name="Comma 2 3 4 6 3 2 2 3" xfId="29983" xr:uid="{4C5EFF60-BD3C-4845-AF65-277419294D3F}"/>
    <cellStyle name="Comma 2 3 4 6 3 2 3" xfId="13209" xr:uid="{E1C4D3B0-BDCF-4007-927A-FCB1503D1452}"/>
    <cellStyle name="Comma 2 3 4 6 3 2 4" xfId="23625" xr:uid="{FE7584C6-219E-410D-880E-857A1D4D8164}"/>
    <cellStyle name="Comma 2 3 4 6 3 3" xfId="8020" xr:uid="{00000000-0005-0000-0000-000056080000}"/>
    <cellStyle name="Comma 2 3 4 6 3 3 2" xfId="19566" xr:uid="{A3644C0E-1D9D-4A92-B8BD-4AD191195589}"/>
    <cellStyle name="Comma 2 3 4 6 3 3 3" xfId="29982" xr:uid="{11891F56-93CD-4DCA-A900-D8565C2CA173}"/>
    <cellStyle name="Comma 2 3 4 6 3 4" xfId="5201" xr:uid="{00000000-0005-0000-0000-000057080000}"/>
    <cellStyle name="Comma 2 3 4 6 3 4 2" xfId="16787" xr:uid="{DF65CB2F-34C9-4DA7-9D88-D381FF03A6FF}"/>
    <cellStyle name="Comma 2 3 4 6 3 4 3" xfId="27203" xr:uid="{B4CE1312-1096-4827-8D4D-94CF7463A884}"/>
    <cellStyle name="Comma 2 3 4 6 3 5" xfId="13208" xr:uid="{1FD1261A-E5C2-4361-95DE-92C968212B3F}"/>
    <cellStyle name="Comma 2 3 4 6 3 6" xfId="23624" xr:uid="{5B0D925A-27E9-446F-AD87-898F8E151DBB}"/>
    <cellStyle name="Comma 2 3 4 6 4" xfId="875" xr:uid="{00000000-0005-0000-0000-000058080000}"/>
    <cellStyle name="Comma 2 3 4 6 4 2" xfId="876" xr:uid="{00000000-0005-0000-0000-000059080000}"/>
    <cellStyle name="Comma 2 3 4 6 4 2 2" xfId="8023" xr:uid="{00000000-0005-0000-0000-00005A080000}"/>
    <cellStyle name="Comma 2 3 4 6 4 2 2 2" xfId="19569" xr:uid="{5B2C5720-8D61-4862-9A51-6A83CE76C7B3}"/>
    <cellStyle name="Comma 2 3 4 6 4 2 2 3" xfId="29985" xr:uid="{4A05767A-EAF5-4ED5-A837-164DEDF8F4F0}"/>
    <cellStyle name="Comma 2 3 4 6 4 2 3" xfId="13211" xr:uid="{8FA1FA56-83C3-4AEA-8B75-A52221D91665}"/>
    <cellStyle name="Comma 2 3 4 6 4 2 4" xfId="23627" xr:uid="{F413F7F2-E71D-4D13-9ABA-61057AAED43C}"/>
    <cellStyle name="Comma 2 3 4 6 4 3" xfId="8022" xr:uid="{00000000-0005-0000-0000-00005B080000}"/>
    <cellStyle name="Comma 2 3 4 6 4 3 2" xfId="19568" xr:uid="{7C5C61A5-2F8F-4DCD-B1E3-D0539ADC180E}"/>
    <cellStyle name="Comma 2 3 4 6 4 3 3" xfId="29984" xr:uid="{D1DD78B5-2312-4A36-8DCE-CE16E711436D}"/>
    <cellStyle name="Comma 2 3 4 6 4 4" xfId="5202" xr:uid="{00000000-0005-0000-0000-00005C080000}"/>
    <cellStyle name="Comma 2 3 4 6 4 4 2" xfId="16788" xr:uid="{A1226234-8256-4697-8998-E389139F4EAD}"/>
    <cellStyle name="Comma 2 3 4 6 4 4 3" xfId="27204" xr:uid="{61264385-CFC0-4207-8931-F091C4115A4C}"/>
    <cellStyle name="Comma 2 3 4 6 4 5" xfId="13210" xr:uid="{E128DE03-B5E3-4163-86F4-3CAA0E50A113}"/>
    <cellStyle name="Comma 2 3 4 6 4 6" xfId="23626" xr:uid="{FDE7F913-B094-49DC-8684-743622B33EA4}"/>
    <cellStyle name="Comma 2 3 4 6 5" xfId="877" xr:uid="{00000000-0005-0000-0000-00005D080000}"/>
    <cellStyle name="Comma 2 3 4 6 5 2" xfId="8024" xr:uid="{00000000-0005-0000-0000-00005E080000}"/>
    <cellStyle name="Comma 2 3 4 6 5 2 2" xfId="19570" xr:uid="{E54C25AA-F379-4AE0-860B-4ADBB7625CDA}"/>
    <cellStyle name="Comma 2 3 4 6 5 2 3" xfId="29986" xr:uid="{43B81DE6-FFBA-4426-B2E6-1D05BE5919F5}"/>
    <cellStyle name="Comma 2 3 4 6 5 3" xfId="13212" xr:uid="{DA6F9AE2-0FF5-4801-AE61-413DA90A3624}"/>
    <cellStyle name="Comma 2 3 4 6 5 4" xfId="23628" xr:uid="{239BAE4F-1731-48FB-976B-0CF261B60A38}"/>
    <cellStyle name="Comma 2 3 4 6 6" xfId="8015" xr:uid="{00000000-0005-0000-0000-00005F080000}"/>
    <cellStyle name="Comma 2 3 4 6 6 2" xfId="19561" xr:uid="{1EE6C649-F8F8-4817-9A5D-6E37C60ABF5E}"/>
    <cellStyle name="Comma 2 3 4 6 6 3" xfId="29977" xr:uid="{CC1202D1-72F4-4627-B5DD-1F2632549153}"/>
    <cellStyle name="Comma 2 3 4 6 7" xfId="5198" xr:uid="{00000000-0005-0000-0000-000060080000}"/>
    <cellStyle name="Comma 2 3 4 6 7 2" xfId="16784" xr:uid="{2851B3A1-4F95-4E51-AA79-CA7117C036AE}"/>
    <cellStyle name="Comma 2 3 4 6 7 3" xfId="27200" xr:uid="{62CC5A93-D710-4D81-B32A-7BF2F564491D}"/>
    <cellStyle name="Comma 2 3 4 6 8" xfId="13203" xr:uid="{F7B4EAE7-923F-4294-8C6A-E674C84C7E7C}"/>
    <cellStyle name="Comma 2 3 4 6 9" xfId="23619" xr:uid="{C9123979-704E-42B6-A94C-C7499C57FC9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2 2 2" xfId="19573" xr:uid="{0BDBF175-D1FB-4472-956E-5B79B1CEB510}"/>
    <cellStyle name="Comma 2 3 4 7 2 2 2 3" xfId="29989" xr:uid="{CD9FA358-D67B-4315-BEFF-84E73E2AF696}"/>
    <cellStyle name="Comma 2 3 4 7 2 2 3" xfId="13215" xr:uid="{830859CB-4646-468D-B641-D4B76251CC6E}"/>
    <cellStyle name="Comma 2 3 4 7 2 2 4" xfId="23631" xr:uid="{87EFA357-5B10-4DF0-B879-D30C7D69D7EF}"/>
    <cellStyle name="Comma 2 3 4 7 2 3" xfId="8026" xr:uid="{00000000-0005-0000-0000-000065080000}"/>
    <cellStyle name="Comma 2 3 4 7 2 3 2" xfId="19572" xr:uid="{6B88D403-0C90-4603-8C8E-DF2FC697D53F}"/>
    <cellStyle name="Comma 2 3 4 7 2 3 3" xfId="29988" xr:uid="{04431DA2-4205-49C8-8F97-7E7743508959}"/>
    <cellStyle name="Comma 2 3 4 7 2 4" xfId="5204" xr:uid="{00000000-0005-0000-0000-000066080000}"/>
    <cellStyle name="Comma 2 3 4 7 2 4 2" xfId="16790" xr:uid="{ECF5ECF0-EEFC-4C0D-8CF9-6782458DEA98}"/>
    <cellStyle name="Comma 2 3 4 7 2 4 3" xfId="27206" xr:uid="{CC0EE72F-3B7D-4CE8-82E6-C05B36DAD6C8}"/>
    <cellStyle name="Comma 2 3 4 7 2 5" xfId="13214" xr:uid="{67C63C26-9F71-48E3-93F2-37A972CD9481}"/>
    <cellStyle name="Comma 2 3 4 7 2 6" xfId="23630" xr:uid="{9CF0056C-E37A-47D2-8B3A-B22305030332}"/>
    <cellStyle name="Comma 2 3 4 7 3" xfId="881" xr:uid="{00000000-0005-0000-0000-000067080000}"/>
    <cellStyle name="Comma 2 3 4 7 3 2" xfId="882" xr:uid="{00000000-0005-0000-0000-000068080000}"/>
    <cellStyle name="Comma 2 3 4 7 3 2 2" xfId="8029" xr:uid="{00000000-0005-0000-0000-000069080000}"/>
    <cellStyle name="Comma 2 3 4 7 3 2 2 2" xfId="19575" xr:uid="{0DE6F105-A7D8-4DC2-9370-5F1BAA91D667}"/>
    <cellStyle name="Comma 2 3 4 7 3 2 2 3" xfId="29991" xr:uid="{8F22BCA6-4BD5-4C75-A731-E92D0C49D4E0}"/>
    <cellStyle name="Comma 2 3 4 7 3 2 3" xfId="13217" xr:uid="{CF56821C-FE51-4E06-9BE3-4F97B9FEFEAB}"/>
    <cellStyle name="Comma 2 3 4 7 3 2 4" xfId="23633" xr:uid="{C95CA1F2-60AA-4A50-8490-BD5FBC45100A}"/>
    <cellStyle name="Comma 2 3 4 7 3 3" xfId="8028" xr:uid="{00000000-0005-0000-0000-00006A080000}"/>
    <cellStyle name="Comma 2 3 4 7 3 3 2" xfId="19574" xr:uid="{14706193-113E-4E80-8B02-53E6E36FE491}"/>
    <cellStyle name="Comma 2 3 4 7 3 3 3" xfId="29990" xr:uid="{A09595FC-867A-4430-A246-502083789DF3}"/>
    <cellStyle name="Comma 2 3 4 7 3 4" xfId="5205" xr:uid="{00000000-0005-0000-0000-00006B080000}"/>
    <cellStyle name="Comma 2 3 4 7 3 4 2" xfId="16791" xr:uid="{52FBDB54-A270-4F2C-96A1-00DBD2122970}"/>
    <cellStyle name="Comma 2 3 4 7 3 4 3" xfId="27207" xr:uid="{EFE5CA41-FAD5-41E7-88FB-C0F325F83566}"/>
    <cellStyle name="Comma 2 3 4 7 3 5" xfId="13216" xr:uid="{1EDB1ADC-3401-4BB6-947D-9081C9998D9C}"/>
    <cellStyle name="Comma 2 3 4 7 3 6" xfId="23632" xr:uid="{EAFC942C-65C4-465B-968E-19E2425D368E}"/>
    <cellStyle name="Comma 2 3 4 7 4" xfId="883" xr:uid="{00000000-0005-0000-0000-00006C080000}"/>
    <cellStyle name="Comma 2 3 4 7 4 2" xfId="8030" xr:uid="{00000000-0005-0000-0000-00006D080000}"/>
    <cellStyle name="Comma 2 3 4 7 4 2 2" xfId="19576" xr:uid="{474E2D3B-DB89-4CCD-B1A3-A3A8F70E0B34}"/>
    <cellStyle name="Comma 2 3 4 7 4 2 3" xfId="29992" xr:uid="{085DCDAC-B56E-4827-ADB7-4626059FAC20}"/>
    <cellStyle name="Comma 2 3 4 7 4 3" xfId="13218" xr:uid="{ECE30811-3708-469B-8771-87480BA95330}"/>
    <cellStyle name="Comma 2 3 4 7 4 4" xfId="23634" xr:uid="{C392D764-DF87-47D2-80FD-BB2C0ACB5C0F}"/>
    <cellStyle name="Comma 2 3 4 7 5" xfId="8025" xr:uid="{00000000-0005-0000-0000-00006E080000}"/>
    <cellStyle name="Comma 2 3 4 7 5 2" xfId="19571" xr:uid="{E4C33CAC-47B1-4181-82A6-DE9EE847131E}"/>
    <cellStyle name="Comma 2 3 4 7 5 3" xfId="29987" xr:uid="{E4B763F2-C21B-4D12-9B3A-9CBBDCA1C614}"/>
    <cellStyle name="Comma 2 3 4 7 6" xfId="5203" xr:uid="{00000000-0005-0000-0000-00006F080000}"/>
    <cellStyle name="Comma 2 3 4 7 6 2" xfId="16789" xr:uid="{21AEA1AF-9870-4A7E-A9FE-982DAF5EDE27}"/>
    <cellStyle name="Comma 2 3 4 7 6 3" xfId="27205" xr:uid="{1149FEA9-792A-40EF-A1A3-D9B51B1C50CB}"/>
    <cellStyle name="Comma 2 3 4 7 7" xfId="13213" xr:uid="{D9A1F75F-D389-496E-B3AD-08EE290FF7BC}"/>
    <cellStyle name="Comma 2 3 4 7 8" xfId="23629" xr:uid="{7979A536-F24B-448A-AC87-34FF3155E6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2 2 2" xfId="19579" xr:uid="{7ADBB96A-DC66-48B6-B2F4-6CFEA8EEED8D}"/>
    <cellStyle name="Comma 2 3 4 8 2 2 2 3" xfId="29995" xr:uid="{30B679BC-7C7F-4C62-92E5-4DD6C408E6EE}"/>
    <cellStyle name="Comma 2 3 4 8 2 2 3" xfId="13221" xr:uid="{9422C459-C76D-46E5-B325-C9370965CA57}"/>
    <cellStyle name="Comma 2 3 4 8 2 2 4" xfId="23637" xr:uid="{A68482CF-5257-465A-981F-8715FE54FFEA}"/>
    <cellStyle name="Comma 2 3 4 8 2 3" xfId="8032" xr:uid="{00000000-0005-0000-0000-000074080000}"/>
    <cellStyle name="Comma 2 3 4 8 2 3 2" xfId="19578" xr:uid="{FC7D3CBE-9B28-4258-A633-287E6F1C35DB}"/>
    <cellStyle name="Comma 2 3 4 8 2 3 3" xfId="29994" xr:uid="{551FEE60-E4C5-4FEC-A3D3-326208503E14}"/>
    <cellStyle name="Comma 2 3 4 8 2 4" xfId="5207" xr:uid="{00000000-0005-0000-0000-000075080000}"/>
    <cellStyle name="Comma 2 3 4 8 2 4 2" xfId="16793" xr:uid="{FF4E770D-C692-46BB-8F66-9444F45D27D1}"/>
    <cellStyle name="Comma 2 3 4 8 2 4 3" xfId="27209" xr:uid="{1F6CFBDE-12BD-4C13-8351-21205E58A2B9}"/>
    <cellStyle name="Comma 2 3 4 8 2 5" xfId="13220" xr:uid="{369FDC16-7EC4-47A4-84E3-86EE39345702}"/>
    <cellStyle name="Comma 2 3 4 8 2 6" xfId="23636" xr:uid="{421B71B0-C291-4BB7-8E56-6DE71AFEA8F3}"/>
    <cellStyle name="Comma 2 3 4 8 3" xfId="887" xr:uid="{00000000-0005-0000-0000-000076080000}"/>
    <cellStyle name="Comma 2 3 4 8 3 2" xfId="8034" xr:uid="{00000000-0005-0000-0000-000077080000}"/>
    <cellStyle name="Comma 2 3 4 8 3 2 2" xfId="19580" xr:uid="{93697E0A-B495-42C9-B5E3-0224B2705642}"/>
    <cellStyle name="Comma 2 3 4 8 3 2 3" xfId="29996" xr:uid="{030B3F67-29B4-4966-A0B6-33855686AAB6}"/>
    <cellStyle name="Comma 2 3 4 8 3 3" xfId="13222" xr:uid="{F868829D-D24F-41C9-AA3C-9140E35F1645}"/>
    <cellStyle name="Comma 2 3 4 8 3 4" xfId="23638" xr:uid="{90D4DBDD-E698-4883-B3B0-1DA4E6F13A1A}"/>
    <cellStyle name="Comma 2 3 4 8 4" xfId="8031" xr:uid="{00000000-0005-0000-0000-000078080000}"/>
    <cellStyle name="Comma 2 3 4 8 4 2" xfId="19577" xr:uid="{76B44037-C64F-43FD-BD44-1AD808244E17}"/>
    <cellStyle name="Comma 2 3 4 8 4 3" xfId="29993" xr:uid="{E67EBAE2-C8DB-4D76-833E-2BB10BE1C506}"/>
    <cellStyle name="Comma 2 3 4 8 5" xfId="5206" xr:uid="{00000000-0005-0000-0000-000079080000}"/>
    <cellStyle name="Comma 2 3 4 8 5 2" xfId="16792" xr:uid="{0EA266A4-5CAC-4E20-B4FE-6826690C05B2}"/>
    <cellStyle name="Comma 2 3 4 8 5 3" xfId="27208" xr:uid="{FCBBA1A1-B22D-4C94-8C9C-56DC1871251D}"/>
    <cellStyle name="Comma 2 3 4 8 6" xfId="13219" xr:uid="{9B61B89E-9F48-4789-BB22-F3E4366870AC}"/>
    <cellStyle name="Comma 2 3 4 8 7" xfId="23635" xr:uid="{C680B90F-B397-4A71-B60C-453BE881DAE9}"/>
    <cellStyle name="Comma 2 3 4 9" xfId="888" xr:uid="{00000000-0005-0000-0000-00007A080000}"/>
    <cellStyle name="Comma 2 3 4 9 2" xfId="889" xr:uid="{00000000-0005-0000-0000-00007B080000}"/>
    <cellStyle name="Comma 2 3 4 9 2 2" xfId="8036" xr:uid="{00000000-0005-0000-0000-00007C080000}"/>
    <cellStyle name="Comma 2 3 4 9 2 2 2" xfId="19582" xr:uid="{6A58E9BD-398F-4D8B-9B5B-46D50E7D9229}"/>
    <cellStyle name="Comma 2 3 4 9 2 2 3" xfId="29998" xr:uid="{60984C23-C3F0-4835-BB5A-4A6973647458}"/>
    <cellStyle name="Comma 2 3 4 9 2 3" xfId="13224" xr:uid="{417AD262-CBD6-4B4E-BAE4-5533454FB940}"/>
    <cellStyle name="Comma 2 3 4 9 2 4" xfId="23640" xr:uid="{7A8EB072-07CA-4E75-8802-53668F06FC24}"/>
    <cellStyle name="Comma 2 3 4 9 3" xfId="8035" xr:uid="{00000000-0005-0000-0000-00007D080000}"/>
    <cellStyle name="Comma 2 3 4 9 3 2" xfId="19581" xr:uid="{37F14BBA-9711-4634-AB96-249FB0449C19}"/>
    <cellStyle name="Comma 2 3 4 9 3 3" xfId="29997" xr:uid="{55746B70-7A19-4023-BFA4-3336D0AF332C}"/>
    <cellStyle name="Comma 2 3 4 9 4" xfId="5208" xr:uid="{00000000-0005-0000-0000-00007E080000}"/>
    <cellStyle name="Comma 2 3 4 9 4 2" xfId="16794" xr:uid="{5CF857B5-8895-4359-9A97-E68FF2DDD457}"/>
    <cellStyle name="Comma 2 3 4 9 4 3" xfId="27210" xr:uid="{98850D96-BED8-4C7F-9432-D553022F174D}"/>
    <cellStyle name="Comma 2 3 4 9 5" xfId="13223" xr:uid="{C00333BC-A327-46CE-B09C-83B10D6A8BBF}"/>
    <cellStyle name="Comma 2 3 4 9 6" xfId="23639" xr:uid="{C29E4078-C350-47F1-BF17-52F8D6043C55}"/>
    <cellStyle name="Comma 2 3 5" xfId="890" xr:uid="{00000000-0005-0000-0000-00007F080000}"/>
    <cellStyle name="Comma 2 3 5 10" xfId="891" xr:uid="{00000000-0005-0000-0000-000080080000}"/>
    <cellStyle name="Comma 2 3 5 10 2" xfId="8038" xr:uid="{00000000-0005-0000-0000-000081080000}"/>
    <cellStyle name="Comma 2 3 5 10 2 2" xfId="19584" xr:uid="{3C953C6F-748F-49E3-A871-DA118614637A}"/>
    <cellStyle name="Comma 2 3 5 10 2 3" xfId="30000" xr:uid="{EF160949-5D6E-4796-B21B-3CC39171CE6E}"/>
    <cellStyle name="Comma 2 3 5 10 3" xfId="13226" xr:uid="{AFA0DEA9-5874-49A0-896B-8F89C518B49E}"/>
    <cellStyle name="Comma 2 3 5 10 4" xfId="23642" xr:uid="{C3AE61AB-B201-4ECD-BC1B-020A2746ADF9}"/>
    <cellStyle name="Comma 2 3 5 11" xfId="8037" xr:uid="{00000000-0005-0000-0000-000082080000}"/>
    <cellStyle name="Comma 2 3 5 11 2" xfId="19583" xr:uid="{9FB69F05-326D-42BB-BB97-09C91C838052}"/>
    <cellStyle name="Comma 2 3 5 11 3" xfId="29999" xr:uid="{577A6D3C-0D3A-47AA-95C6-7E6101F861A4}"/>
    <cellStyle name="Comma 2 3 5 12" xfId="5209" xr:uid="{00000000-0005-0000-0000-000083080000}"/>
    <cellStyle name="Comma 2 3 5 12 2" xfId="16795" xr:uid="{D2AA6882-4DC6-4A31-ADA8-49DF2D075AD2}"/>
    <cellStyle name="Comma 2 3 5 12 3" xfId="27211" xr:uid="{FDF6BA07-7047-4639-BDC3-10756DC08801}"/>
    <cellStyle name="Comma 2 3 5 13" xfId="13225" xr:uid="{DEBB3350-6A19-4BEC-B890-43032D78C598}"/>
    <cellStyle name="Comma 2 3 5 14" xfId="23641" xr:uid="{676E17E6-8C76-41A5-9151-665C351B7B22}"/>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2 2 2" xfId="19588" xr:uid="{80127EEB-2556-45F7-9B9B-053E3CDC4C88}"/>
    <cellStyle name="Comma 2 3 5 2 2 2 2 2 3" xfId="30004" xr:uid="{93B8F9B8-386F-4CCC-9999-BA48A5AFB944}"/>
    <cellStyle name="Comma 2 3 5 2 2 2 2 3" xfId="13230" xr:uid="{4B379965-9245-4884-A413-F7EA13B24701}"/>
    <cellStyle name="Comma 2 3 5 2 2 2 2 4" xfId="23646" xr:uid="{8055BC69-DDE8-4740-BF20-7CCA426983C8}"/>
    <cellStyle name="Comma 2 3 5 2 2 2 3" xfId="8041" xr:uid="{00000000-0005-0000-0000-000089080000}"/>
    <cellStyle name="Comma 2 3 5 2 2 2 3 2" xfId="19587" xr:uid="{ED542FB1-0839-4C87-9650-8FD868EA0E2B}"/>
    <cellStyle name="Comma 2 3 5 2 2 2 3 3" xfId="30003" xr:uid="{B039A40D-6982-4665-8C43-154FB34601C1}"/>
    <cellStyle name="Comma 2 3 5 2 2 2 4" xfId="5212" xr:uid="{00000000-0005-0000-0000-00008A080000}"/>
    <cellStyle name="Comma 2 3 5 2 2 2 4 2" xfId="16798" xr:uid="{167990AD-057D-4630-A68A-685674C9A3AF}"/>
    <cellStyle name="Comma 2 3 5 2 2 2 4 3" xfId="27214" xr:uid="{28265CC3-49E7-4F80-B899-2AEE33264263}"/>
    <cellStyle name="Comma 2 3 5 2 2 2 5" xfId="13229" xr:uid="{6FD47C1F-4FD3-4DE9-937C-7B274842D93E}"/>
    <cellStyle name="Comma 2 3 5 2 2 2 6" xfId="23645" xr:uid="{C4C4A920-766D-4AE2-955B-E3A71E68F83D}"/>
    <cellStyle name="Comma 2 3 5 2 2 3" xfId="896" xr:uid="{00000000-0005-0000-0000-00008B080000}"/>
    <cellStyle name="Comma 2 3 5 2 2 3 2" xfId="8043" xr:uid="{00000000-0005-0000-0000-00008C080000}"/>
    <cellStyle name="Comma 2 3 5 2 2 3 2 2" xfId="19589" xr:uid="{44578E9D-7A10-4FE2-A0CF-6C47E806FEF2}"/>
    <cellStyle name="Comma 2 3 5 2 2 3 2 3" xfId="30005" xr:uid="{E4F3BFDE-B93F-4AD3-8816-BAC796FD84AA}"/>
    <cellStyle name="Comma 2 3 5 2 2 3 3" xfId="13231" xr:uid="{48D18806-9608-4762-87BB-046B2794AB2A}"/>
    <cellStyle name="Comma 2 3 5 2 2 3 4" xfId="23647" xr:uid="{DE07D378-4380-45F5-A222-60476D9619EC}"/>
    <cellStyle name="Comma 2 3 5 2 2 4" xfId="8040" xr:uid="{00000000-0005-0000-0000-00008D080000}"/>
    <cellStyle name="Comma 2 3 5 2 2 4 2" xfId="19586" xr:uid="{D99D7CB9-8BE4-41CA-9900-4AC8EF629ABA}"/>
    <cellStyle name="Comma 2 3 5 2 2 4 3" xfId="30002" xr:uid="{C4F44723-9616-412D-8842-1E0215F34FA4}"/>
    <cellStyle name="Comma 2 3 5 2 2 5" xfId="5211" xr:uid="{00000000-0005-0000-0000-00008E080000}"/>
    <cellStyle name="Comma 2 3 5 2 2 5 2" xfId="16797" xr:uid="{93A38EBA-6CEB-42CA-9301-53F8CA253FA8}"/>
    <cellStyle name="Comma 2 3 5 2 2 5 3" xfId="27213" xr:uid="{FAB5A2C0-FB93-4BC0-9DCD-E0C66D93C5AB}"/>
    <cellStyle name="Comma 2 3 5 2 2 6" xfId="13228" xr:uid="{0BCA8613-C21F-4377-9339-AF358D70FAB9}"/>
    <cellStyle name="Comma 2 3 5 2 2 7" xfId="23644" xr:uid="{8FFC69B2-C69F-46EC-9905-1AB80D1B77D8}"/>
    <cellStyle name="Comma 2 3 5 2 3" xfId="897" xr:uid="{00000000-0005-0000-0000-00008F080000}"/>
    <cellStyle name="Comma 2 3 5 2 3 2" xfId="898" xr:uid="{00000000-0005-0000-0000-000090080000}"/>
    <cellStyle name="Comma 2 3 5 2 3 2 2" xfId="8045" xr:uid="{00000000-0005-0000-0000-000091080000}"/>
    <cellStyle name="Comma 2 3 5 2 3 2 2 2" xfId="19591" xr:uid="{8205B6D1-23FB-44EB-A7F1-5227E696156A}"/>
    <cellStyle name="Comma 2 3 5 2 3 2 2 3" xfId="30007" xr:uid="{BBE58126-5EA1-42A2-973D-FE885BAC489E}"/>
    <cellStyle name="Comma 2 3 5 2 3 2 3" xfId="13233" xr:uid="{3F5DE509-9A8C-43C7-9492-66B529CF8AC2}"/>
    <cellStyle name="Comma 2 3 5 2 3 2 4" xfId="23649" xr:uid="{14CE676F-7944-4C07-B4C3-185985226ECB}"/>
    <cellStyle name="Comma 2 3 5 2 3 3" xfId="8044" xr:uid="{00000000-0005-0000-0000-000092080000}"/>
    <cellStyle name="Comma 2 3 5 2 3 3 2" xfId="19590" xr:uid="{966F310D-7EC3-4641-A06F-C4D96028C622}"/>
    <cellStyle name="Comma 2 3 5 2 3 3 3" xfId="30006" xr:uid="{F0034AD3-4D18-4BFA-8B8A-F29E30A8F711}"/>
    <cellStyle name="Comma 2 3 5 2 3 4" xfId="5213" xr:uid="{00000000-0005-0000-0000-000093080000}"/>
    <cellStyle name="Comma 2 3 5 2 3 4 2" xfId="16799" xr:uid="{1B63B82C-ACDF-45BC-B61D-6D8BC5541ABB}"/>
    <cellStyle name="Comma 2 3 5 2 3 4 3" xfId="27215" xr:uid="{3E99769C-A5F4-45B1-B064-0BE4FDAD8723}"/>
    <cellStyle name="Comma 2 3 5 2 3 5" xfId="13232" xr:uid="{931816C8-0F0E-4C42-B9ED-CE5533973015}"/>
    <cellStyle name="Comma 2 3 5 2 3 6" xfId="23648" xr:uid="{0939F8A7-0BAD-45B8-9B98-6941EF778969}"/>
    <cellStyle name="Comma 2 3 5 2 4" xfId="899" xr:uid="{00000000-0005-0000-0000-000094080000}"/>
    <cellStyle name="Comma 2 3 5 2 4 2" xfId="900" xr:uid="{00000000-0005-0000-0000-000095080000}"/>
    <cellStyle name="Comma 2 3 5 2 4 2 2" xfId="8047" xr:uid="{00000000-0005-0000-0000-000096080000}"/>
    <cellStyle name="Comma 2 3 5 2 4 2 2 2" xfId="19593" xr:uid="{BEC7D454-1F26-4F06-949E-2E2B1C58CBE8}"/>
    <cellStyle name="Comma 2 3 5 2 4 2 2 3" xfId="30009" xr:uid="{C34A139A-2094-42F0-B4A2-0249F5CC9D77}"/>
    <cellStyle name="Comma 2 3 5 2 4 2 3" xfId="13235" xr:uid="{A0E9D692-2391-4A55-83B9-576286B42EA6}"/>
    <cellStyle name="Comma 2 3 5 2 4 2 4" xfId="23651" xr:uid="{4148F4FC-77D2-4683-A146-A047E36A65F6}"/>
    <cellStyle name="Comma 2 3 5 2 4 3" xfId="8046" xr:uid="{00000000-0005-0000-0000-000097080000}"/>
    <cellStyle name="Comma 2 3 5 2 4 3 2" xfId="19592" xr:uid="{1D353C93-D52B-4466-95D5-91F80B4E73DD}"/>
    <cellStyle name="Comma 2 3 5 2 4 3 3" xfId="30008" xr:uid="{13E45A9D-C350-4B4E-B7B9-770931ABE737}"/>
    <cellStyle name="Comma 2 3 5 2 4 4" xfId="5214" xr:uid="{00000000-0005-0000-0000-000098080000}"/>
    <cellStyle name="Comma 2 3 5 2 4 4 2" xfId="16800" xr:uid="{7A627C0D-8BA6-4456-9406-86DB5A564743}"/>
    <cellStyle name="Comma 2 3 5 2 4 4 3" xfId="27216" xr:uid="{CD9476A0-FA4D-4419-8F38-0901882E82F5}"/>
    <cellStyle name="Comma 2 3 5 2 4 5" xfId="13234" xr:uid="{EBEE7046-88F5-46DB-A6D9-F7C3CC8984B9}"/>
    <cellStyle name="Comma 2 3 5 2 4 6" xfId="23650" xr:uid="{050D701B-C730-4CEB-9DC3-B58655A3E0CA}"/>
    <cellStyle name="Comma 2 3 5 2 5" xfId="901" xr:uid="{00000000-0005-0000-0000-000099080000}"/>
    <cellStyle name="Comma 2 3 5 2 5 2" xfId="8048" xr:uid="{00000000-0005-0000-0000-00009A080000}"/>
    <cellStyle name="Comma 2 3 5 2 5 2 2" xfId="19594" xr:uid="{90F2A1EE-7D6B-406A-A888-DCC8BCD04D2E}"/>
    <cellStyle name="Comma 2 3 5 2 5 2 3" xfId="30010" xr:uid="{FAA907D1-29E6-4F54-BBA6-E36528E9FD4B}"/>
    <cellStyle name="Comma 2 3 5 2 5 3" xfId="13236" xr:uid="{E6271866-83D8-47A3-9258-108BA6206852}"/>
    <cellStyle name="Comma 2 3 5 2 5 4" xfId="23652" xr:uid="{4858CCA2-F361-4B2B-84DF-A7923C8E394D}"/>
    <cellStyle name="Comma 2 3 5 2 6" xfId="8039" xr:uid="{00000000-0005-0000-0000-00009B080000}"/>
    <cellStyle name="Comma 2 3 5 2 6 2" xfId="19585" xr:uid="{C85742D4-022D-40C8-8C04-1215A76F1EFC}"/>
    <cellStyle name="Comma 2 3 5 2 6 3" xfId="30001" xr:uid="{21602F48-B27E-496F-8214-8009896811E4}"/>
    <cellStyle name="Comma 2 3 5 2 7" xfId="5210" xr:uid="{00000000-0005-0000-0000-00009C080000}"/>
    <cellStyle name="Comma 2 3 5 2 7 2" xfId="16796" xr:uid="{857EC9CC-03F9-489E-88A1-0FBA67D8E544}"/>
    <cellStyle name="Comma 2 3 5 2 7 3" xfId="27212" xr:uid="{694A582B-A8DF-40E1-A1B6-F0F2C0F8F8E7}"/>
    <cellStyle name="Comma 2 3 5 2 8" xfId="13227" xr:uid="{12884079-8EAC-46CE-AC04-3D6CF8E6C921}"/>
    <cellStyle name="Comma 2 3 5 2 9" xfId="23643" xr:uid="{98236A37-6C27-481B-BB89-7AB97D47310E}"/>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2 2 2" xfId="19598" xr:uid="{9EAE7A47-134D-4BB1-B3E8-9140D1B27B21}"/>
    <cellStyle name="Comma 2 3 5 3 2 2 2 2 3" xfId="30014" xr:uid="{E0C47B3F-2BCF-441A-BEB7-7A5FF076EE45}"/>
    <cellStyle name="Comma 2 3 5 3 2 2 2 3" xfId="13240" xr:uid="{53FB3837-0C32-4478-BAFA-3883810AD987}"/>
    <cellStyle name="Comma 2 3 5 3 2 2 2 4" xfId="23656" xr:uid="{99558776-629C-4FD2-A819-C83BAA20A655}"/>
    <cellStyle name="Comma 2 3 5 3 2 2 3" xfId="8051" xr:uid="{00000000-0005-0000-0000-0000A2080000}"/>
    <cellStyle name="Comma 2 3 5 3 2 2 3 2" xfId="19597" xr:uid="{3F68B56F-FA52-4A5D-8979-D36F28701EFA}"/>
    <cellStyle name="Comma 2 3 5 3 2 2 3 3" xfId="30013" xr:uid="{427CA6D0-1AD5-412F-9EE2-C53AD765C3EB}"/>
    <cellStyle name="Comma 2 3 5 3 2 2 4" xfId="5217" xr:uid="{00000000-0005-0000-0000-0000A3080000}"/>
    <cellStyle name="Comma 2 3 5 3 2 2 4 2" xfId="16803" xr:uid="{059B4139-8E6E-42EE-9506-580ADEB8C3B5}"/>
    <cellStyle name="Comma 2 3 5 3 2 2 4 3" xfId="27219" xr:uid="{749A59EA-3472-4BCF-A2A1-E196E70E6507}"/>
    <cellStyle name="Comma 2 3 5 3 2 2 5" xfId="13239" xr:uid="{AF7D46CD-C820-40DE-8C4F-BD549E74F83E}"/>
    <cellStyle name="Comma 2 3 5 3 2 2 6" xfId="23655" xr:uid="{6CE53153-8F8A-4FF6-AE31-894BF680155A}"/>
    <cellStyle name="Comma 2 3 5 3 2 3" xfId="906" xr:uid="{00000000-0005-0000-0000-0000A4080000}"/>
    <cellStyle name="Comma 2 3 5 3 2 3 2" xfId="8053" xr:uid="{00000000-0005-0000-0000-0000A5080000}"/>
    <cellStyle name="Comma 2 3 5 3 2 3 2 2" xfId="19599" xr:uid="{FC4339EA-6A59-4D0F-A33C-A5F1A516F2F5}"/>
    <cellStyle name="Comma 2 3 5 3 2 3 2 3" xfId="30015" xr:uid="{80FA997E-D7B2-4D3E-9D81-BEE728D6618C}"/>
    <cellStyle name="Comma 2 3 5 3 2 3 3" xfId="13241" xr:uid="{EF112699-CC71-42DA-B063-3447B3723A68}"/>
    <cellStyle name="Comma 2 3 5 3 2 3 4" xfId="23657" xr:uid="{2E74D03D-01D9-4F65-8D69-E2D331D51AA5}"/>
    <cellStyle name="Comma 2 3 5 3 2 4" xfId="8050" xr:uid="{00000000-0005-0000-0000-0000A6080000}"/>
    <cellStyle name="Comma 2 3 5 3 2 4 2" xfId="19596" xr:uid="{9DDA0097-7E6B-4F1E-AAC9-A0A281DF20C6}"/>
    <cellStyle name="Comma 2 3 5 3 2 4 3" xfId="30012" xr:uid="{05553B11-075B-4A9A-A240-9E467CACBEFC}"/>
    <cellStyle name="Comma 2 3 5 3 2 5" xfId="5216" xr:uid="{00000000-0005-0000-0000-0000A7080000}"/>
    <cellStyle name="Comma 2 3 5 3 2 5 2" xfId="16802" xr:uid="{652F4042-37DC-4A92-9712-C9E54DC05908}"/>
    <cellStyle name="Comma 2 3 5 3 2 5 3" xfId="27218" xr:uid="{88198924-35A6-40AA-B762-EC380B7388B4}"/>
    <cellStyle name="Comma 2 3 5 3 2 6" xfId="13238" xr:uid="{D7BB1932-4786-4280-A438-C29A00A02EC7}"/>
    <cellStyle name="Comma 2 3 5 3 2 7" xfId="23654" xr:uid="{DB87A83D-CD47-457E-979B-7FB759456FF1}"/>
    <cellStyle name="Comma 2 3 5 3 3" xfId="907" xr:uid="{00000000-0005-0000-0000-0000A8080000}"/>
    <cellStyle name="Comma 2 3 5 3 3 2" xfId="908" xr:uid="{00000000-0005-0000-0000-0000A9080000}"/>
    <cellStyle name="Comma 2 3 5 3 3 2 2" xfId="8055" xr:uid="{00000000-0005-0000-0000-0000AA080000}"/>
    <cellStyle name="Comma 2 3 5 3 3 2 2 2" xfId="19601" xr:uid="{25A02CDD-E04C-4236-8DCF-6BB5BE0A2DA5}"/>
    <cellStyle name="Comma 2 3 5 3 3 2 2 3" xfId="30017" xr:uid="{8F14E696-47F2-4925-88C9-41264C63276A}"/>
    <cellStyle name="Comma 2 3 5 3 3 2 3" xfId="13243" xr:uid="{61BE85E9-DEDC-42EA-92AF-23807153B35A}"/>
    <cellStyle name="Comma 2 3 5 3 3 2 4" xfId="23659" xr:uid="{F64C2A8A-F0B2-4E9A-8229-FBB375A0B221}"/>
    <cellStyle name="Comma 2 3 5 3 3 3" xfId="8054" xr:uid="{00000000-0005-0000-0000-0000AB080000}"/>
    <cellStyle name="Comma 2 3 5 3 3 3 2" xfId="19600" xr:uid="{049C0992-031B-4CCA-814F-5E155A7F45BD}"/>
    <cellStyle name="Comma 2 3 5 3 3 3 3" xfId="30016" xr:uid="{82AB40AE-3B31-4E5D-AFBE-769363F2DE9C}"/>
    <cellStyle name="Comma 2 3 5 3 3 4" xfId="5218" xr:uid="{00000000-0005-0000-0000-0000AC080000}"/>
    <cellStyle name="Comma 2 3 5 3 3 4 2" xfId="16804" xr:uid="{47DAF7EB-26DA-44D1-8152-E0C947A07433}"/>
    <cellStyle name="Comma 2 3 5 3 3 4 3" xfId="27220" xr:uid="{D046DD5D-BE5C-4803-B980-8280E3A693A0}"/>
    <cellStyle name="Comma 2 3 5 3 3 5" xfId="13242" xr:uid="{DDEC0EAB-E1EC-4FF8-AE12-D816BB1F122B}"/>
    <cellStyle name="Comma 2 3 5 3 3 6" xfId="23658" xr:uid="{0D8DB34A-E8FE-4508-9E92-4B5C9E99B029}"/>
    <cellStyle name="Comma 2 3 5 3 4" xfId="909" xr:uid="{00000000-0005-0000-0000-0000AD080000}"/>
    <cellStyle name="Comma 2 3 5 3 4 2" xfId="910" xr:uid="{00000000-0005-0000-0000-0000AE080000}"/>
    <cellStyle name="Comma 2 3 5 3 4 2 2" xfId="8057" xr:uid="{00000000-0005-0000-0000-0000AF080000}"/>
    <cellStyle name="Comma 2 3 5 3 4 2 2 2" xfId="19603" xr:uid="{D8B8DC41-A8BD-4CD1-9C63-D551CB05D2C6}"/>
    <cellStyle name="Comma 2 3 5 3 4 2 2 3" xfId="30019" xr:uid="{800B8AF4-0317-4AB0-B902-FAE56FF01651}"/>
    <cellStyle name="Comma 2 3 5 3 4 2 3" xfId="13245" xr:uid="{E2E7A27A-99B2-4CEC-9412-D64DE0B420AC}"/>
    <cellStyle name="Comma 2 3 5 3 4 2 4" xfId="23661" xr:uid="{D90A612B-6D6F-4262-B605-B0002B6C0A15}"/>
    <cellStyle name="Comma 2 3 5 3 4 3" xfId="8056" xr:uid="{00000000-0005-0000-0000-0000B0080000}"/>
    <cellStyle name="Comma 2 3 5 3 4 3 2" xfId="19602" xr:uid="{25787250-835D-4631-8E2E-2F575E992451}"/>
    <cellStyle name="Comma 2 3 5 3 4 3 3" xfId="30018" xr:uid="{5BAD527F-3930-4233-98B4-5B8B2D6284B5}"/>
    <cellStyle name="Comma 2 3 5 3 4 4" xfId="5219" xr:uid="{00000000-0005-0000-0000-0000B1080000}"/>
    <cellStyle name="Comma 2 3 5 3 4 4 2" xfId="16805" xr:uid="{6C9CF818-6568-479F-B455-21A573B0CDB4}"/>
    <cellStyle name="Comma 2 3 5 3 4 4 3" xfId="27221" xr:uid="{726E9A56-E754-4652-BDC5-B532AF7FBE8D}"/>
    <cellStyle name="Comma 2 3 5 3 4 5" xfId="13244" xr:uid="{1A5D2ED0-F977-46F5-9934-32F94EE28F28}"/>
    <cellStyle name="Comma 2 3 5 3 4 6" xfId="23660" xr:uid="{0100D7CF-CC8E-4921-AD98-8F104BD5B1F8}"/>
    <cellStyle name="Comma 2 3 5 3 5" xfId="911" xr:uid="{00000000-0005-0000-0000-0000B2080000}"/>
    <cellStyle name="Comma 2 3 5 3 5 2" xfId="8058" xr:uid="{00000000-0005-0000-0000-0000B3080000}"/>
    <cellStyle name="Comma 2 3 5 3 5 2 2" xfId="19604" xr:uid="{64905230-0CFA-4628-AB67-CC3074723655}"/>
    <cellStyle name="Comma 2 3 5 3 5 2 3" xfId="30020" xr:uid="{07A4A76A-9C4E-4A32-85E7-E253D0ED71C6}"/>
    <cellStyle name="Comma 2 3 5 3 5 3" xfId="13246" xr:uid="{0A921BFB-52BF-48C3-A64E-408A54719A66}"/>
    <cellStyle name="Comma 2 3 5 3 5 4" xfId="23662" xr:uid="{83F98FB7-CC9D-45CC-86CC-1096E850BF32}"/>
    <cellStyle name="Comma 2 3 5 3 6" xfId="8049" xr:uid="{00000000-0005-0000-0000-0000B4080000}"/>
    <cellStyle name="Comma 2 3 5 3 6 2" xfId="19595" xr:uid="{895C2800-3FB3-4414-8038-8A52C8931897}"/>
    <cellStyle name="Comma 2 3 5 3 6 3" xfId="30011" xr:uid="{312DFE7B-9586-483A-AEC2-9B930B45AAD0}"/>
    <cellStyle name="Comma 2 3 5 3 7" xfId="5215" xr:uid="{00000000-0005-0000-0000-0000B5080000}"/>
    <cellStyle name="Comma 2 3 5 3 7 2" xfId="16801" xr:uid="{BA83C34F-A7B8-4DC7-9B6B-B396A70F60D4}"/>
    <cellStyle name="Comma 2 3 5 3 7 3" xfId="27217" xr:uid="{ACBD4F6C-A65F-4A45-AD3A-AA7EDDE8DC4A}"/>
    <cellStyle name="Comma 2 3 5 3 8" xfId="13237" xr:uid="{E496DCC6-7C50-458D-8BA9-DF2367425574}"/>
    <cellStyle name="Comma 2 3 5 3 9" xfId="23653" xr:uid="{33E5806E-11BF-4A1D-A2AB-5BDA3008A1C5}"/>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2 2 2" xfId="19608" xr:uid="{954639E3-0B45-468D-8F6E-8FC8C00A96B3}"/>
    <cellStyle name="Comma 2 3 5 4 2 2 2 2 3" xfId="30024" xr:uid="{3AFA0CFD-C2BF-4474-B38B-8D2BB642525F}"/>
    <cellStyle name="Comma 2 3 5 4 2 2 2 3" xfId="13250" xr:uid="{55037F05-7B91-422C-897F-EB41296510F9}"/>
    <cellStyle name="Comma 2 3 5 4 2 2 2 4" xfId="23666" xr:uid="{EFCCE94A-5246-45E7-BB05-47BE4A5D8DCE}"/>
    <cellStyle name="Comma 2 3 5 4 2 2 3" xfId="8061" xr:uid="{00000000-0005-0000-0000-0000BB080000}"/>
    <cellStyle name="Comma 2 3 5 4 2 2 3 2" xfId="19607" xr:uid="{F1CB770B-DFDE-41FE-8711-13B41D422B0B}"/>
    <cellStyle name="Comma 2 3 5 4 2 2 3 3" xfId="30023" xr:uid="{0FEFE089-C1FE-48B3-89E5-2EFB83DFE561}"/>
    <cellStyle name="Comma 2 3 5 4 2 2 4" xfId="5222" xr:uid="{00000000-0005-0000-0000-0000BC080000}"/>
    <cellStyle name="Comma 2 3 5 4 2 2 4 2" xfId="16808" xr:uid="{F0B28A3D-E2F1-435A-9250-7B7ECA6044DA}"/>
    <cellStyle name="Comma 2 3 5 4 2 2 4 3" xfId="27224" xr:uid="{0995F59A-263D-4D42-B5EE-70BA663ED9CB}"/>
    <cellStyle name="Comma 2 3 5 4 2 2 5" xfId="13249" xr:uid="{7B7BF623-80C1-4482-9679-3C934E2B5B0B}"/>
    <cellStyle name="Comma 2 3 5 4 2 2 6" xfId="23665" xr:uid="{E3632E72-9DC8-4156-A3F7-C0E91E743421}"/>
    <cellStyle name="Comma 2 3 5 4 2 3" xfId="916" xr:uid="{00000000-0005-0000-0000-0000BD080000}"/>
    <cellStyle name="Comma 2 3 5 4 2 3 2" xfId="8063" xr:uid="{00000000-0005-0000-0000-0000BE080000}"/>
    <cellStyle name="Comma 2 3 5 4 2 3 2 2" xfId="19609" xr:uid="{F47BC465-F0E4-4BC8-ACE8-480C9C57548C}"/>
    <cellStyle name="Comma 2 3 5 4 2 3 2 3" xfId="30025" xr:uid="{FA023CB3-ADA0-42E0-B285-D4450A5D0E6F}"/>
    <cellStyle name="Comma 2 3 5 4 2 3 3" xfId="13251" xr:uid="{C9DE6C45-CC6E-493A-A542-46243E068529}"/>
    <cellStyle name="Comma 2 3 5 4 2 3 4" xfId="23667" xr:uid="{3FE4B838-8184-455C-8743-A40F5EBA46F6}"/>
    <cellStyle name="Comma 2 3 5 4 2 4" xfId="8060" xr:uid="{00000000-0005-0000-0000-0000BF080000}"/>
    <cellStyle name="Comma 2 3 5 4 2 4 2" xfId="19606" xr:uid="{C960A788-479B-4612-8B70-1C925839BA85}"/>
    <cellStyle name="Comma 2 3 5 4 2 4 3" xfId="30022" xr:uid="{357B3EF3-D025-4AC5-B6E2-111CEFF6E253}"/>
    <cellStyle name="Comma 2 3 5 4 2 5" xfId="5221" xr:uid="{00000000-0005-0000-0000-0000C0080000}"/>
    <cellStyle name="Comma 2 3 5 4 2 5 2" xfId="16807" xr:uid="{CB840D19-C7E5-44BE-A3A0-8EC1B9273B3C}"/>
    <cellStyle name="Comma 2 3 5 4 2 5 3" xfId="27223" xr:uid="{F6F91C6F-DA6C-4EB0-980F-17F31B8D5236}"/>
    <cellStyle name="Comma 2 3 5 4 2 6" xfId="13248" xr:uid="{C4C3DDD2-8D5D-4C44-A097-A16CB9A4BB73}"/>
    <cellStyle name="Comma 2 3 5 4 2 7" xfId="23664" xr:uid="{D7233F43-26D7-46B4-B063-08CE1F3CB4D0}"/>
    <cellStyle name="Comma 2 3 5 4 3" xfId="917" xr:uid="{00000000-0005-0000-0000-0000C1080000}"/>
    <cellStyle name="Comma 2 3 5 4 3 2" xfId="918" xr:uid="{00000000-0005-0000-0000-0000C2080000}"/>
    <cellStyle name="Comma 2 3 5 4 3 2 2" xfId="8065" xr:uid="{00000000-0005-0000-0000-0000C3080000}"/>
    <cellStyle name="Comma 2 3 5 4 3 2 2 2" xfId="19611" xr:uid="{3317B5B9-E831-4632-9066-D4826ADF6FD6}"/>
    <cellStyle name="Comma 2 3 5 4 3 2 2 3" xfId="30027" xr:uid="{1D859364-E02B-4E7F-8ADC-E4C8155A9E64}"/>
    <cellStyle name="Comma 2 3 5 4 3 2 3" xfId="13253" xr:uid="{13DEE19E-B839-4CF5-97F7-CD9FA3A1235F}"/>
    <cellStyle name="Comma 2 3 5 4 3 2 4" xfId="23669" xr:uid="{4B35859D-E5BA-44FB-B6B9-848FCA5ABE94}"/>
    <cellStyle name="Comma 2 3 5 4 3 3" xfId="8064" xr:uid="{00000000-0005-0000-0000-0000C4080000}"/>
    <cellStyle name="Comma 2 3 5 4 3 3 2" xfId="19610" xr:uid="{97231CA2-6528-4E8A-8B0B-66121EEE9E29}"/>
    <cellStyle name="Comma 2 3 5 4 3 3 3" xfId="30026" xr:uid="{6EBCBE9F-09DA-4D9D-B7C8-397B3DD9643E}"/>
    <cellStyle name="Comma 2 3 5 4 3 4" xfId="5223" xr:uid="{00000000-0005-0000-0000-0000C5080000}"/>
    <cellStyle name="Comma 2 3 5 4 3 4 2" xfId="16809" xr:uid="{B89D4997-90E7-459D-BC2E-0DCE1B817AA1}"/>
    <cellStyle name="Comma 2 3 5 4 3 4 3" xfId="27225" xr:uid="{48A665C9-BEDB-430C-B283-5FB432DD1853}"/>
    <cellStyle name="Comma 2 3 5 4 3 5" xfId="13252" xr:uid="{FB79C143-1291-40FE-ADBF-D688BF15D0A3}"/>
    <cellStyle name="Comma 2 3 5 4 3 6" xfId="23668" xr:uid="{9B6F941A-AA34-4418-9485-D023E3437571}"/>
    <cellStyle name="Comma 2 3 5 4 4" xfId="919" xr:uid="{00000000-0005-0000-0000-0000C6080000}"/>
    <cellStyle name="Comma 2 3 5 4 4 2" xfId="920" xr:uid="{00000000-0005-0000-0000-0000C7080000}"/>
    <cellStyle name="Comma 2 3 5 4 4 2 2" xfId="8067" xr:uid="{00000000-0005-0000-0000-0000C8080000}"/>
    <cellStyle name="Comma 2 3 5 4 4 2 2 2" xfId="19613" xr:uid="{0475720C-6ECB-4028-A3C9-B3EE2BD086AE}"/>
    <cellStyle name="Comma 2 3 5 4 4 2 2 3" xfId="30029" xr:uid="{F5CFA3D9-A5CA-4097-9290-45BAB36DF5B4}"/>
    <cellStyle name="Comma 2 3 5 4 4 2 3" xfId="13255" xr:uid="{6F56C2F4-9BC1-4C79-8E69-8255E6A8CDF5}"/>
    <cellStyle name="Comma 2 3 5 4 4 2 4" xfId="23671" xr:uid="{87F6AB52-323F-4437-BCAB-25261D9F38D8}"/>
    <cellStyle name="Comma 2 3 5 4 4 3" xfId="8066" xr:uid="{00000000-0005-0000-0000-0000C9080000}"/>
    <cellStyle name="Comma 2 3 5 4 4 3 2" xfId="19612" xr:uid="{37F96F1D-D432-458F-B328-F9049C96AF6F}"/>
    <cellStyle name="Comma 2 3 5 4 4 3 3" xfId="30028" xr:uid="{38784EB5-007E-43AF-A818-A3804B0F8885}"/>
    <cellStyle name="Comma 2 3 5 4 4 4" xfId="5224" xr:uid="{00000000-0005-0000-0000-0000CA080000}"/>
    <cellStyle name="Comma 2 3 5 4 4 4 2" xfId="16810" xr:uid="{1205ED4A-0147-4DEC-9AC8-C5439567B71E}"/>
    <cellStyle name="Comma 2 3 5 4 4 4 3" xfId="27226" xr:uid="{5C63E25B-03E9-4C8B-B32D-07719D9CC893}"/>
    <cellStyle name="Comma 2 3 5 4 4 5" xfId="13254" xr:uid="{21AD5C39-512B-4D6C-AA94-677BC3258B1E}"/>
    <cellStyle name="Comma 2 3 5 4 4 6" xfId="23670" xr:uid="{6433387D-1052-40C0-8BDD-1949F3F488A9}"/>
    <cellStyle name="Comma 2 3 5 4 5" xfId="921" xr:uid="{00000000-0005-0000-0000-0000CB080000}"/>
    <cellStyle name="Comma 2 3 5 4 5 2" xfId="8068" xr:uid="{00000000-0005-0000-0000-0000CC080000}"/>
    <cellStyle name="Comma 2 3 5 4 5 2 2" xfId="19614" xr:uid="{28234028-681F-4CA6-9BBE-4F8BEBF4D8E9}"/>
    <cellStyle name="Comma 2 3 5 4 5 2 3" xfId="30030" xr:uid="{79360C9A-C7D3-4160-93A7-815EB6FC6A60}"/>
    <cellStyle name="Comma 2 3 5 4 5 3" xfId="13256" xr:uid="{6B66FCAC-F5CA-4B9D-B4DA-CFDB7363F5C1}"/>
    <cellStyle name="Comma 2 3 5 4 5 4" xfId="23672" xr:uid="{B0807B8E-079C-4D81-85ED-6920A14386B2}"/>
    <cellStyle name="Comma 2 3 5 4 6" xfId="8059" xr:uid="{00000000-0005-0000-0000-0000CD080000}"/>
    <cellStyle name="Comma 2 3 5 4 6 2" xfId="19605" xr:uid="{FCA5CD7B-38BC-4EC2-96B7-98FA3EFA3D41}"/>
    <cellStyle name="Comma 2 3 5 4 6 3" xfId="30021" xr:uid="{9255249E-F1C1-4761-8CFC-650341D124BB}"/>
    <cellStyle name="Comma 2 3 5 4 7" xfId="5220" xr:uid="{00000000-0005-0000-0000-0000CE080000}"/>
    <cellStyle name="Comma 2 3 5 4 7 2" xfId="16806" xr:uid="{879279CB-CBD4-4C54-B271-D1FC437F5EBF}"/>
    <cellStyle name="Comma 2 3 5 4 7 3" xfId="27222" xr:uid="{288821DB-E3F0-4E96-83A3-0853DC32B322}"/>
    <cellStyle name="Comma 2 3 5 4 8" xfId="13247" xr:uid="{D9A37196-B934-4018-8773-17D83A26C06F}"/>
    <cellStyle name="Comma 2 3 5 4 9" xfId="23663" xr:uid="{EBAAF51E-C40B-4AD4-80B5-EB97D5028CF8}"/>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2 2 2" xfId="19618" xr:uid="{224F629A-0A96-4F07-9124-4F3CE7D420C6}"/>
    <cellStyle name="Comma 2 3 5 5 2 2 2 2 3" xfId="30034" xr:uid="{646D8981-D530-410C-93EC-D7EA678FDDFF}"/>
    <cellStyle name="Comma 2 3 5 5 2 2 2 3" xfId="13260" xr:uid="{9BB0C6C4-8C97-4464-93C9-409AE055F839}"/>
    <cellStyle name="Comma 2 3 5 5 2 2 2 4" xfId="23676" xr:uid="{5810F105-E7E2-4FEF-91BB-DBD8335E02E1}"/>
    <cellStyle name="Comma 2 3 5 5 2 2 3" xfId="8071" xr:uid="{00000000-0005-0000-0000-0000D4080000}"/>
    <cellStyle name="Comma 2 3 5 5 2 2 3 2" xfId="19617" xr:uid="{AFF9FB0E-AFB9-4222-B3C3-9171AD615761}"/>
    <cellStyle name="Comma 2 3 5 5 2 2 3 3" xfId="30033" xr:uid="{4AB9A89A-7CB4-4000-A804-7DADF972727B}"/>
    <cellStyle name="Comma 2 3 5 5 2 2 4" xfId="5227" xr:uid="{00000000-0005-0000-0000-0000D5080000}"/>
    <cellStyle name="Comma 2 3 5 5 2 2 4 2" xfId="16813" xr:uid="{C3B5699D-E830-4BC8-9153-CA8AB5A3ED47}"/>
    <cellStyle name="Comma 2 3 5 5 2 2 4 3" xfId="27229" xr:uid="{B7791A72-FC38-444B-B735-F747D664E8D3}"/>
    <cellStyle name="Comma 2 3 5 5 2 2 5" xfId="13259" xr:uid="{5ABBBBD9-3CE6-4475-836D-7706752D2445}"/>
    <cellStyle name="Comma 2 3 5 5 2 2 6" xfId="23675" xr:uid="{33315F04-7EE5-4409-965D-97DB11D4D637}"/>
    <cellStyle name="Comma 2 3 5 5 2 3" xfId="926" xr:uid="{00000000-0005-0000-0000-0000D6080000}"/>
    <cellStyle name="Comma 2 3 5 5 2 3 2" xfId="8073" xr:uid="{00000000-0005-0000-0000-0000D7080000}"/>
    <cellStyle name="Comma 2 3 5 5 2 3 2 2" xfId="19619" xr:uid="{C6E72C83-7F5E-4A9B-8900-CF05C36073E8}"/>
    <cellStyle name="Comma 2 3 5 5 2 3 2 3" xfId="30035" xr:uid="{F4677D00-9975-453A-8D02-9A400104AB5C}"/>
    <cellStyle name="Comma 2 3 5 5 2 3 3" xfId="13261" xr:uid="{BDBA7AB7-B99A-4427-BFCA-4FCA5FC8C042}"/>
    <cellStyle name="Comma 2 3 5 5 2 3 4" xfId="23677" xr:uid="{2CE4B390-9F3B-41B0-A1F5-A9F87DEFCB4C}"/>
    <cellStyle name="Comma 2 3 5 5 2 4" xfId="8070" xr:uid="{00000000-0005-0000-0000-0000D8080000}"/>
    <cellStyle name="Comma 2 3 5 5 2 4 2" xfId="19616" xr:uid="{BE6FCD25-B302-4954-9636-058413FEE3C8}"/>
    <cellStyle name="Comma 2 3 5 5 2 4 3" xfId="30032" xr:uid="{3BBAF6C0-9C6E-4B0B-89CD-F2C8EC9856D9}"/>
    <cellStyle name="Comma 2 3 5 5 2 5" xfId="5226" xr:uid="{00000000-0005-0000-0000-0000D9080000}"/>
    <cellStyle name="Comma 2 3 5 5 2 5 2" xfId="16812" xr:uid="{72B0ECDA-E151-4470-8956-99DCC8B2BF0E}"/>
    <cellStyle name="Comma 2 3 5 5 2 5 3" xfId="27228" xr:uid="{F07BA5A5-D87F-47B4-8A40-BE51BCFA9E31}"/>
    <cellStyle name="Comma 2 3 5 5 2 6" xfId="13258" xr:uid="{5D9DBAA8-C169-4256-97E8-5851390F7BCB}"/>
    <cellStyle name="Comma 2 3 5 5 2 7" xfId="23674" xr:uid="{F31A9075-1C91-40CD-8B9D-DFB51F9A2881}"/>
    <cellStyle name="Comma 2 3 5 5 3" xfId="927" xr:uid="{00000000-0005-0000-0000-0000DA080000}"/>
    <cellStyle name="Comma 2 3 5 5 3 2" xfId="928" xr:uid="{00000000-0005-0000-0000-0000DB080000}"/>
    <cellStyle name="Comma 2 3 5 5 3 2 2" xfId="8075" xr:uid="{00000000-0005-0000-0000-0000DC080000}"/>
    <cellStyle name="Comma 2 3 5 5 3 2 2 2" xfId="19621" xr:uid="{73FA65E3-4298-472A-92DD-571B20078F73}"/>
    <cellStyle name="Comma 2 3 5 5 3 2 2 3" xfId="30037" xr:uid="{A4843131-4F5E-44AF-B64E-42A155407FF9}"/>
    <cellStyle name="Comma 2 3 5 5 3 2 3" xfId="13263" xr:uid="{1628D5FF-A415-44B1-9F01-BF0B1CE623E1}"/>
    <cellStyle name="Comma 2 3 5 5 3 2 4" xfId="23679" xr:uid="{0E696FF2-4D77-4531-9FA4-47F6AFD4A481}"/>
    <cellStyle name="Comma 2 3 5 5 3 3" xfId="8074" xr:uid="{00000000-0005-0000-0000-0000DD080000}"/>
    <cellStyle name="Comma 2 3 5 5 3 3 2" xfId="19620" xr:uid="{A95DCDE9-E15B-4F6B-A895-D78415EEB54F}"/>
    <cellStyle name="Comma 2 3 5 5 3 3 3" xfId="30036" xr:uid="{A1F687B5-684D-4E6B-82A4-616BFF4DC34D}"/>
    <cellStyle name="Comma 2 3 5 5 3 4" xfId="5228" xr:uid="{00000000-0005-0000-0000-0000DE080000}"/>
    <cellStyle name="Comma 2 3 5 5 3 4 2" xfId="16814" xr:uid="{4AE08001-8A1A-4EEA-924F-05EF55942B54}"/>
    <cellStyle name="Comma 2 3 5 5 3 4 3" xfId="27230" xr:uid="{00AE5034-A0C6-4B37-B89D-0C19808BF6E9}"/>
    <cellStyle name="Comma 2 3 5 5 3 5" xfId="13262" xr:uid="{2A9D55BC-230B-44E8-B078-DB79FA70FD1B}"/>
    <cellStyle name="Comma 2 3 5 5 3 6" xfId="23678" xr:uid="{54409C90-1852-4193-BF64-B5630802D168}"/>
    <cellStyle name="Comma 2 3 5 5 4" xfId="929" xr:uid="{00000000-0005-0000-0000-0000DF080000}"/>
    <cellStyle name="Comma 2 3 5 5 4 2" xfId="930" xr:uid="{00000000-0005-0000-0000-0000E0080000}"/>
    <cellStyle name="Comma 2 3 5 5 4 2 2" xfId="8077" xr:uid="{00000000-0005-0000-0000-0000E1080000}"/>
    <cellStyle name="Comma 2 3 5 5 4 2 2 2" xfId="19623" xr:uid="{3A9BE035-09C5-4194-9F19-55FE0BBB942B}"/>
    <cellStyle name="Comma 2 3 5 5 4 2 2 3" xfId="30039" xr:uid="{BE3441C0-7CEC-400B-8079-B675B4BEEA89}"/>
    <cellStyle name="Comma 2 3 5 5 4 2 3" xfId="13265" xr:uid="{EEC79EB8-BEBE-4D59-8FED-9B2D27F1A442}"/>
    <cellStyle name="Comma 2 3 5 5 4 2 4" xfId="23681" xr:uid="{CADA82C2-7DC6-47A8-91A0-AD937A78B974}"/>
    <cellStyle name="Comma 2 3 5 5 4 3" xfId="8076" xr:uid="{00000000-0005-0000-0000-0000E2080000}"/>
    <cellStyle name="Comma 2 3 5 5 4 3 2" xfId="19622" xr:uid="{1CE0C0A7-C1DE-46B9-B80F-F25994474F9D}"/>
    <cellStyle name="Comma 2 3 5 5 4 3 3" xfId="30038" xr:uid="{7DAB4CE6-E225-4BE2-80E8-E06FC77F1744}"/>
    <cellStyle name="Comma 2 3 5 5 4 4" xfId="5229" xr:uid="{00000000-0005-0000-0000-0000E3080000}"/>
    <cellStyle name="Comma 2 3 5 5 4 4 2" xfId="16815" xr:uid="{83F68E0A-C19C-4D06-8EE4-EF0DEA0719F0}"/>
    <cellStyle name="Comma 2 3 5 5 4 4 3" xfId="27231" xr:uid="{D1023CCA-ACB9-4011-887B-B23C8D6B5FCE}"/>
    <cellStyle name="Comma 2 3 5 5 4 5" xfId="13264" xr:uid="{DAE3037D-1F96-4833-B386-7C889E9A2941}"/>
    <cellStyle name="Comma 2 3 5 5 4 6" xfId="23680" xr:uid="{A6D6198C-7B1F-420A-A2C1-7C9AB5BDA246}"/>
    <cellStyle name="Comma 2 3 5 5 5" xfId="931" xr:uid="{00000000-0005-0000-0000-0000E4080000}"/>
    <cellStyle name="Comma 2 3 5 5 5 2" xfId="8078" xr:uid="{00000000-0005-0000-0000-0000E5080000}"/>
    <cellStyle name="Comma 2 3 5 5 5 2 2" xfId="19624" xr:uid="{714E30E5-56BC-4AB5-B152-84128D5E783F}"/>
    <cellStyle name="Comma 2 3 5 5 5 2 3" xfId="30040" xr:uid="{463CE0B6-43F8-4A8A-9907-DF8155A6C217}"/>
    <cellStyle name="Comma 2 3 5 5 5 3" xfId="13266" xr:uid="{C11894D4-9972-44C2-BB03-4DABBC4A4A3A}"/>
    <cellStyle name="Comma 2 3 5 5 5 4" xfId="23682" xr:uid="{7B306161-147A-458D-9706-7D7B6C95EB94}"/>
    <cellStyle name="Comma 2 3 5 5 6" xfId="8069" xr:uid="{00000000-0005-0000-0000-0000E6080000}"/>
    <cellStyle name="Comma 2 3 5 5 6 2" xfId="19615" xr:uid="{B81C8C5C-1BC6-4D69-811F-D36A095DEE3F}"/>
    <cellStyle name="Comma 2 3 5 5 6 3" xfId="30031" xr:uid="{E6910903-ADED-4737-9BAE-F40F583350EB}"/>
    <cellStyle name="Comma 2 3 5 5 7" xfId="5225" xr:uid="{00000000-0005-0000-0000-0000E7080000}"/>
    <cellStyle name="Comma 2 3 5 5 7 2" xfId="16811" xr:uid="{2FA19AE7-F1A7-4A5E-AE5D-F4F785D7F032}"/>
    <cellStyle name="Comma 2 3 5 5 7 3" xfId="27227" xr:uid="{4675D2E7-83AF-4EA7-905B-8C074B9EE401}"/>
    <cellStyle name="Comma 2 3 5 5 8" xfId="13257" xr:uid="{A3F6D5DB-F21A-4A96-BCA5-6B7640AE5A04}"/>
    <cellStyle name="Comma 2 3 5 5 9" xfId="23673" xr:uid="{14FDDB00-79B4-4DD0-B565-D1C5AAA3F69E}"/>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2 2 2" xfId="19627" xr:uid="{00847C6F-7921-4121-A2DE-420818FA31DC}"/>
    <cellStyle name="Comma 2 3 5 6 2 2 2 3" xfId="30043" xr:uid="{F3F33207-AC9C-4994-929F-CE62DB0A56BF}"/>
    <cellStyle name="Comma 2 3 5 6 2 2 3" xfId="13269" xr:uid="{36B83585-6446-420E-99A2-E7D930A96A7E}"/>
    <cellStyle name="Comma 2 3 5 6 2 2 4" xfId="23685" xr:uid="{C151B192-A713-48D1-A411-C5094BE31341}"/>
    <cellStyle name="Comma 2 3 5 6 2 3" xfId="8080" xr:uid="{00000000-0005-0000-0000-0000EC080000}"/>
    <cellStyle name="Comma 2 3 5 6 2 3 2" xfId="19626" xr:uid="{6D425039-D1E1-4B8A-98E8-BB38FDD81B77}"/>
    <cellStyle name="Comma 2 3 5 6 2 3 3" xfId="30042" xr:uid="{3AC10434-2A2D-40EC-9DEA-CC71D35FBAC4}"/>
    <cellStyle name="Comma 2 3 5 6 2 4" xfId="5231" xr:uid="{00000000-0005-0000-0000-0000ED080000}"/>
    <cellStyle name="Comma 2 3 5 6 2 4 2" xfId="16817" xr:uid="{FACB9D28-D503-41E2-99D4-8282B3F8BCF3}"/>
    <cellStyle name="Comma 2 3 5 6 2 4 3" xfId="27233" xr:uid="{A2C05D0C-6034-4F8B-9535-51B538A3E8E0}"/>
    <cellStyle name="Comma 2 3 5 6 2 5" xfId="13268" xr:uid="{AB692A03-5916-40E1-A0E2-9552D217AB02}"/>
    <cellStyle name="Comma 2 3 5 6 2 6" xfId="23684" xr:uid="{2C6C3BDF-C6A8-493C-896E-37C5A0141091}"/>
    <cellStyle name="Comma 2 3 5 6 3" xfId="935" xr:uid="{00000000-0005-0000-0000-0000EE080000}"/>
    <cellStyle name="Comma 2 3 5 6 3 2" xfId="936" xr:uid="{00000000-0005-0000-0000-0000EF080000}"/>
    <cellStyle name="Comma 2 3 5 6 3 2 2" xfId="8083" xr:uid="{00000000-0005-0000-0000-0000F0080000}"/>
    <cellStyle name="Comma 2 3 5 6 3 2 2 2" xfId="19629" xr:uid="{C774E45C-D8D3-43E1-85C8-2ADF1052E97C}"/>
    <cellStyle name="Comma 2 3 5 6 3 2 2 3" xfId="30045" xr:uid="{B1F27E16-50A1-46A7-8978-9857490FE0E0}"/>
    <cellStyle name="Comma 2 3 5 6 3 2 3" xfId="13271" xr:uid="{791BCEBC-E260-410E-8ED2-266DF6D2383E}"/>
    <cellStyle name="Comma 2 3 5 6 3 2 4" xfId="23687" xr:uid="{1A993B76-4BD7-4979-B014-4230FF23BB32}"/>
    <cellStyle name="Comma 2 3 5 6 3 3" xfId="8082" xr:uid="{00000000-0005-0000-0000-0000F1080000}"/>
    <cellStyle name="Comma 2 3 5 6 3 3 2" xfId="19628" xr:uid="{836609C8-F178-4387-821D-D8E8A49A711A}"/>
    <cellStyle name="Comma 2 3 5 6 3 3 3" xfId="30044" xr:uid="{2B211029-F319-40A4-BFE0-400AA35F538E}"/>
    <cellStyle name="Comma 2 3 5 6 3 4" xfId="5232" xr:uid="{00000000-0005-0000-0000-0000F2080000}"/>
    <cellStyle name="Comma 2 3 5 6 3 4 2" xfId="16818" xr:uid="{040EA269-C383-4285-9C93-8D33A747D8EA}"/>
    <cellStyle name="Comma 2 3 5 6 3 4 3" xfId="27234" xr:uid="{EC55E1B6-46DE-4F8B-A292-783D4A3C91D4}"/>
    <cellStyle name="Comma 2 3 5 6 3 5" xfId="13270" xr:uid="{988868C0-E1F8-4F84-A538-DB40F5E5D581}"/>
    <cellStyle name="Comma 2 3 5 6 3 6" xfId="23686" xr:uid="{DAF9311C-8844-45D1-826A-4B1A09895561}"/>
    <cellStyle name="Comma 2 3 5 6 4" xfId="937" xr:uid="{00000000-0005-0000-0000-0000F3080000}"/>
    <cellStyle name="Comma 2 3 5 6 4 2" xfId="8084" xr:uid="{00000000-0005-0000-0000-0000F4080000}"/>
    <cellStyle name="Comma 2 3 5 6 4 2 2" xfId="19630" xr:uid="{E792CB15-D87A-4A13-BE9E-03C7A5641B4A}"/>
    <cellStyle name="Comma 2 3 5 6 4 2 3" xfId="30046" xr:uid="{2A52CD99-107C-4F87-87B7-1F0CEB1CC057}"/>
    <cellStyle name="Comma 2 3 5 6 4 3" xfId="13272" xr:uid="{CD117915-E876-4EE9-AD49-B954D8587938}"/>
    <cellStyle name="Comma 2 3 5 6 4 4" xfId="23688" xr:uid="{AB50E6DB-4398-4D10-8642-231CED40974F}"/>
    <cellStyle name="Comma 2 3 5 6 5" xfId="8079" xr:uid="{00000000-0005-0000-0000-0000F5080000}"/>
    <cellStyle name="Comma 2 3 5 6 5 2" xfId="19625" xr:uid="{4E6ECC0B-B3DD-4D3A-AB91-2DE496715DE7}"/>
    <cellStyle name="Comma 2 3 5 6 5 3" xfId="30041" xr:uid="{1556F6D9-87B1-4AA5-8A9C-56DCF2DC5789}"/>
    <cellStyle name="Comma 2 3 5 6 6" xfId="5230" xr:uid="{00000000-0005-0000-0000-0000F6080000}"/>
    <cellStyle name="Comma 2 3 5 6 6 2" xfId="16816" xr:uid="{57567CF4-47D8-4177-8E59-CD566AD04AAF}"/>
    <cellStyle name="Comma 2 3 5 6 6 3" xfId="27232" xr:uid="{79158199-5E31-452E-9384-0CC3FF32C7E7}"/>
    <cellStyle name="Comma 2 3 5 6 7" xfId="13267" xr:uid="{A128638D-18FE-4729-A252-BE40E5AF61F7}"/>
    <cellStyle name="Comma 2 3 5 6 8" xfId="23683" xr:uid="{FC15457D-808A-4BC0-9485-2FD9BBEC201B}"/>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2 2 2" xfId="19633" xr:uid="{9F4FACC0-98E7-45BE-8F2F-C0C2DB9886A6}"/>
    <cellStyle name="Comma 2 3 5 7 2 2 2 3" xfId="30049" xr:uid="{A2A096FA-ED21-4875-A4C0-0B6E90D2523E}"/>
    <cellStyle name="Comma 2 3 5 7 2 2 3" xfId="13275" xr:uid="{F50AE36C-61E8-4E73-9789-295B3236ACE9}"/>
    <cellStyle name="Comma 2 3 5 7 2 2 4" xfId="23691" xr:uid="{4EF1F383-1539-475B-89E5-6611D29C8BF3}"/>
    <cellStyle name="Comma 2 3 5 7 2 3" xfId="8086" xr:uid="{00000000-0005-0000-0000-0000FB080000}"/>
    <cellStyle name="Comma 2 3 5 7 2 3 2" xfId="19632" xr:uid="{B25E5598-5730-4F14-9A89-9375371C3DA0}"/>
    <cellStyle name="Comma 2 3 5 7 2 3 3" xfId="30048" xr:uid="{DFBE0AA6-FFE3-4239-A3A3-662CD2D856D7}"/>
    <cellStyle name="Comma 2 3 5 7 2 4" xfId="5234" xr:uid="{00000000-0005-0000-0000-0000FC080000}"/>
    <cellStyle name="Comma 2 3 5 7 2 4 2" xfId="16820" xr:uid="{5793CDA3-E76B-44C8-974F-B273D483379F}"/>
    <cellStyle name="Comma 2 3 5 7 2 4 3" xfId="27236" xr:uid="{63469C9F-9D4D-43A7-AE4E-F154654CA335}"/>
    <cellStyle name="Comma 2 3 5 7 2 5" xfId="13274" xr:uid="{198CD0A8-53AB-4749-BB7B-688F468A238F}"/>
    <cellStyle name="Comma 2 3 5 7 2 6" xfId="23690" xr:uid="{5606CCBF-D857-4E48-92EA-599BE125FAC8}"/>
    <cellStyle name="Comma 2 3 5 7 3" xfId="941" xr:uid="{00000000-0005-0000-0000-0000FD080000}"/>
    <cellStyle name="Comma 2 3 5 7 3 2" xfId="8088" xr:uid="{00000000-0005-0000-0000-0000FE080000}"/>
    <cellStyle name="Comma 2 3 5 7 3 2 2" xfId="19634" xr:uid="{AD7C8578-6CA2-47F3-BA51-DADA1EBC2FE1}"/>
    <cellStyle name="Comma 2 3 5 7 3 2 3" xfId="30050" xr:uid="{D34CE21F-933D-407B-80B0-5F688561CE5B}"/>
    <cellStyle name="Comma 2 3 5 7 3 3" xfId="13276" xr:uid="{C6FC29D3-40E4-4213-B86A-A38845FBFE97}"/>
    <cellStyle name="Comma 2 3 5 7 3 4" xfId="23692" xr:uid="{E62436F9-7507-43E1-B77E-90335D8A2FAB}"/>
    <cellStyle name="Comma 2 3 5 7 4" xfId="8085" xr:uid="{00000000-0005-0000-0000-0000FF080000}"/>
    <cellStyle name="Comma 2 3 5 7 4 2" xfId="19631" xr:uid="{A0A0BD83-886B-471D-AB66-68F6EFEEECA1}"/>
    <cellStyle name="Comma 2 3 5 7 4 3" xfId="30047" xr:uid="{03121B83-BE7A-4BF2-A67B-0C31D5134825}"/>
    <cellStyle name="Comma 2 3 5 7 5" xfId="5233" xr:uid="{00000000-0005-0000-0000-000000090000}"/>
    <cellStyle name="Comma 2 3 5 7 5 2" xfId="16819" xr:uid="{7750A52A-A230-4436-A431-605BA6490DCE}"/>
    <cellStyle name="Comma 2 3 5 7 5 3" xfId="27235" xr:uid="{AA4C22C1-61CD-445F-92DC-D29FF267DEE9}"/>
    <cellStyle name="Comma 2 3 5 7 6" xfId="13273" xr:uid="{967F59D3-4C29-49C7-8C25-1496F3C6713B}"/>
    <cellStyle name="Comma 2 3 5 7 7" xfId="23689" xr:uid="{3F1A2467-39CB-4775-9AD4-610931BFFD81}"/>
    <cellStyle name="Comma 2 3 5 8" xfId="942" xr:uid="{00000000-0005-0000-0000-000001090000}"/>
    <cellStyle name="Comma 2 3 5 8 2" xfId="943" xr:uid="{00000000-0005-0000-0000-000002090000}"/>
    <cellStyle name="Comma 2 3 5 8 2 2" xfId="8090" xr:uid="{00000000-0005-0000-0000-000003090000}"/>
    <cellStyle name="Comma 2 3 5 8 2 2 2" xfId="19636" xr:uid="{C9F00132-431D-493A-8864-C392D8B44D05}"/>
    <cellStyle name="Comma 2 3 5 8 2 2 3" xfId="30052" xr:uid="{83B72596-7E1C-4639-826F-33D45F5C8495}"/>
    <cellStyle name="Comma 2 3 5 8 2 3" xfId="13278" xr:uid="{04C6BD77-D699-4E12-A128-12A744F8C3E3}"/>
    <cellStyle name="Comma 2 3 5 8 2 4" xfId="23694" xr:uid="{4CF2DDBF-347B-48C5-BBB5-4DC6BD4F3274}"/>
    <cellStyle name="Comma 2 3 5 8 3" xfId="8089" xr:uid="{00000000-0005-0000-0000-000004090000}"/>
    <cellStyle name="Comma 2 3 5 8 3 2" xfId="19635" xr:uid="{3BA16858-E5C8-49DA-A296-F422CCB255D9}"/>
    <cellStyle name="Comma 2 3 5 8 3 3" xfId="30051" xr:uid="{50AD81BF-381D-41DB-A46B-F1F39B80B5B6}"/>
    <cellStyle name="Comma 2 3 5 8 4" xfId="5235" xr:uid="{00000000-0005-0000-0000-000005090000}"/>
    <cellStyle name="Comma 2 3 5 8 4 2" xfId="16821" xr:uid="{7C69F997-79F1-4D8A-8D98-39E1B9E186B5}"/>
    <cellStyle name="Comma 2 3 5 8 4 3" xfId="27237" xr:uid="{5EB6E320-14BB-44C9-946F-6D9CFFC20AA7}"/>
    <cellStyle name="Comma 2 3 5 8 5" xfId="13277" xr:uid="{95C4936C-9908-4C49-9D41-2B23AD07E4EC}"/>
    <cellStyle name="Comma 2 3 5 8 6" xfId="23693" xr:uid="{F4C69349-6A01-42D0-8951-80A456075D22}"/>
    <cellStyle name="Comma 2 3 5 9" xfId="944" xr:uid="{00000000-0005-0000-0000-000006090000}"/>
    <cellStyle name="Comma 2 3 5 9 2" xfId="945" xr:uid="{00000000-0005-0000-0000-000007090000}"/>
    <cellStyle name="Comma 2 3 5 9 2 2" xfId="8092" xr:uid="{00000000-0005-0000-0000-000008090000}"/>
    <cellStyle name="Comma 2 3 5 9 2 2 2" xfId="19638" xr:uid="{C63F5F43-7BDE-4095-A4C2-F413D5EBE607}"/>
    <cellStyle name="Comma 2 3 5 9 2 2 3" xfId="30054" xr:uid="{D64D627B-F099-4AA0-B267-3A31596EFC75}"/>
    <cellStyle name="Comma 2 3 5 9 2 3" xfId="13280" xr:uid="{A80C5270-159F-4609-88C6-547DB799A489}"/>
    <cellStyle name="Comma 2 3 5 9 2 4" xfId="23696" xr:uid="{DD2A936E-AEAF-43CC-AFC5-EA5CF7BB5513}"/>
    <cellStyle name="Comma 2 3 5 9 3" xfId="8091" xr:uid="{00000000-0005-0000-0000-000009090000}"/>
    <cellStyle name="Comma 2 3 5 9 3 2" xfId="19637" xr:uid="{5D5EE46E-1445-41E7-AA23-6EEEE6198672}"/>
    <cellStyle name="Comma 2 3 5 9 3 3" xfId="30053" xr:uid="{44EA1F83-05A2-47A8-AB31-6A0B95963916}"/>
    <cellStyle name="Comma 2 3 5 9 4" xfId="5236" xr:uid="{00000000-0005-0000-0000-00000A090000}"/>
    <cellStyle name="Comma 2 3 5 9 4 2" xfId="16822" xr:uid="{E76BB071-6096-4FB0-BFCC-59056C01B2D0}"/>
    <cellStyle name="Comma 2 3 5 9 4 3" xfId="27238" xr:uid="{8A87FF2F-C38F-4ECA-90A4-A4938CF77072}"/>
    <cellStyle name="Comma 2 3 5 9 5" xfId="13279" xr:uid="{019CD820-02A3-4170-A43C-28178BFAADAD}"/>
    <cellStyle name="Comma 2 3 5 9 6" xfId="23695" xr:uid="{EDFC5DE5-C588-451B-95CB-9055B27BBF24}"/>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2 2 2" xfId="19642" xr:uid="{8C2D11B1-CBEB-4583-97F0-8FA1EC396D72}"/>
    <cellStyle name="Comma 2 3 6 2 2 2 2 3" xfId="30058" xr:uid="{60728A89-EBEC-448C-837A-B28029B13567}"/>
    <cellStyle name="Comma 2 3 6 2 2 2 3" xfId="13284" xr:uid="{268D226D-507E-40C7-BF6B-BDD3EC2E5602}"/>
    <cellStyle name="Comma 2 3 6 2 2 2 4" xfId="23700" xr:uid="{BF9D874B-A5C9-4B5F-B2EB-6D52EE759EF1}"/>
    <cellStyle name="Comma 2 3 6 2 2 3" xfId="8095" xr:uid="{00000000-0005-0000-0000-000010090000}"/>
    <cellStyle name="Comma 2 3 6 2 2 3 2" xfId="19641" xr:uid="{4357C1B6-FF02-4E78-8A99-1147B3230B84}"/>
    <cellStyle name="Comma 2 3 6 2 2 3 3" xfId="30057" xr:uid="{608F55C2-5FF9-46B9-93C6-552161AEF50F}"/>
    <cellStyle name="Comma 2 3 6 2 2 4" xfId="5239" xr:uid="{00000000-0005-0000-0000-000011090000}"/>
    <cellStyle name="Comma 2 3 6 2 2 4 2" xfId="16825" xr:uid="{E467218A-771F-4E2F-B066-4C96AF8B097C}"/>
    <cellStyle name="Comma 2 3 6 2 2 4 3" xfId="27241" xr:uid="{BFD2601F-0903-4182-AA37-C1A33F843271}"/>
    <cellStyle name="Comma 2 3 6 2 2 5" xfId="13283" xr:uid="{BB275587-1DF6-4191-8FCD-023AAABE53D9}"/>
    <cellStyle name="Comma 2 3 6 2 2 6" xfId="23699" xr:uid="{ED1F6096-9CA2-43B3-ACE6-C333755F5D3E}"/>
    <cellStyle name="Comma 2 3 6 2 3" xfId="950" xr:uid="{00000000-0005-0000-0000-000012090000}"/>
    <cellStyle name="Comma 2 3 6 2 3 2" xfId="8097" xr:uid="{00000000-0005-0000-0000-000013090000}"/>
    <cellStyle name="Comma 2 3 6 2 3 2 2" xfId="19643" xr:uid="{33EDB88D-2B49-4ED7-B9F3-DE9208B501C7}"/>
    <cellStyle name="Comma 2 3 6 2 3 2 3" xfId="30059" xr:uid="{E7A89A8E-6EE7-4DC6-B3C1-E1A1EF30AF9E}"/>
    <cellStyle name="Comma 2 3 6 2 3 3" xfId="13285" xr:uid="{25E668C5-FBE7-411E-A2C0-2AEE17DF37C3}"/>
    <cellStyle name="Comma 2 3 6 2 3 4" xfId="23701" xr:uid="{F4BFFAFD-8354-461D-91EE-48DCC52DA896}"/>
    <cellStyle name="Comma 2 3 6 2 4" xfId="8094" xr:uid="{00000000-0005-0000-0000-000014090000}"/>
    <cellStyle name="Comma 2 3 6 2 4 2" xfId="19640" xr:uid="{8488ABB7-F9C8-4F75-B15D-766B911CCE38}"/>
    <cellStyle name="Comma 2 3 6 2 4 3" xfId="30056" xr:uid="{A0348F8D-D45F-4F74-9900-9B0DC1832A38}"/>
    <cellStyle name="Comma 2 3 6 2 5" xfId="5238" xr:uid="{00000000-0005-0000-0000-000015090000}"/>
    <cellStyle name="Comma 2 3 6 2 5 2" xfId="16824" xr:uid="{0BE98E93-DA71-4CA7-ABB7-FE4550221BCC}"/>
    <cellStyle name="Comma 2 3 6 2 5 3" xfId="27240" xr:uid="{9828DCAF-6A05-472D-8302-065C0C91A694}"/>
    <cellStyle name="Comma 2 3 6 2 6" xfId="13282" xr:uid="{BC8540A5-22FE-4518-BC54-3EA6149E61BA}"/>
    <cellStyle name="Comma 2 3 6 2 7" xfId="23698" xr:uid="{87064E96-5F2A-41A3-985D-4935C9E15F4E}"/>
    <cellStyle name="Comma 2 3 6 3" xfId="951" xr:uid="{00000000-0005-0000-0000-000016090000}"/>
    <cellStyle name="Comma 2 3 6 3 2" xfId="952" xr:uid="{00000000-0005-0000-0000-000017090000}"/>
    <cellStyle name="Comma 2 3 6 3 2 2" xfId="8099" xr:uid="{00000000-0005-0000-0000-000018090000}"/>
    <cellStyle name="Comma 2 3 6 3 2 2 2" xfId="19645" xr:uid="{DA3B1294-F481-446C-86A4-7E4DEDDE0722}"/>
    <cellStyle name="Comma 2 3 6 3 2 2 3" xfId="30061" xr:uid="{6B7B6455-5E9A-44A6-9C87-148DA4799C10}"/>
    <cellStyle name="Comma 2 3 6 3 2 3" xfId="13287" xr:uid="{4E1473D4-C804-4483-91B3-16E66C63A2D1}"/>
    <cellStyle name="Comma 2 3 6 3 2 4" xfId="23703" xr:uid="{D536EAB5-379D-49BC-B56C-A39881CA9D77}"/>
    <cellStyle name="Comma 2 3 6 3 3" xfId="8098" xr:uid="{00000000-0005-0000-0000-000019090000}"/>
    <cellStyle name="Comma 2 3 6 3 3 2" xfId="19644" xr:uid="{4EB0965C-839D-415A-AF5D-379F311018D8}"/>
    <cellStyle name="Comma 2 3 6 3 3 3" xfId="30060" xr:uid="{8E016F4A-4D0B-4069-871B-E1DBE6F52C2E}"/>
    <cellStyle name="Comma 2 3 6 3 4" xfId="5240" xr:uid="{00000000-0005-0000-0000-00001A090000}"/>
    <cellStyle name="Comma 2 3 6 3 4 2" xfId="16826" xr:uid="{78E47F19-8527-4992-AF3D-223420FF34AE}"/>
    <cellStyle name="Comma 2 3 6 3 4 3" xfId="27242" xr:uid="{C516542D-02C2-44DC-8E31-8C06A5909FDB}"/>
    <cellStyle name="Comma 2 3 6 3 5" xfId="13286" xr:uid="{EEEECFAF-B5C2-4077-B2C6-4BDBBF513200}"/>
    <cellStyle name="Comma 2 3 6 3 6" xfId="23702" xr:uid="{DFD20971-43E3-4289-A125-5571D9DA2E2C}"/>
    <cellStyle name="Comma 2 3 6 4" xfId="953" xr:uid="{00000000-0005-0000-0000-00001B090000}"/>
    <cellStyle name="Comma 2 3 6 4 2" xfId="954" xr:uid="{00000000-0005-0000-0000-00001C090000}"/>
    <cellStyle name="Comma 2 3 6 4 2 2" xfId="8101" xr:uid="{00000000-0005-0000-0000-00001D090000}"/>
    <cellStyle name="Comma 2 3 6 4 2 2 2" xfId="19647" xr:uid="{A68DDF49-240D-40F4-973F-892B2E7B445B}"/>
    <cellStyle name="Comma 2 3 6 4 2 2 3" xfId="30063" xr:uid="{1DC8C380-8227-4631-B647-6AF59CE9865C}"/>
    <cellStyle name="Comma 2 3 6 4 2 3" xfId="13289" xr:uid="{DB8C1E3F-E721-410A-AEC8-13310E76E80A}"/>
    <cellStyle name="Comma 2 3 6 4 2 4" xfId="23705" xr:uid="{2AE31E9C-9C83-4DB0-941E-9662524A87F0}"/>
    <cellStyle name="Comma 2 3 6 4 3" xfId="8100" xr:uid="{00000000-0005-0000-0000-00001E090000}"/>
    <cellStyle name="Comma 2 3 6 4 3 2" xfId="19646" xr:uid="{E3AF75FC-08A9-4028-BAA6-5369CF1CA261}"/>
    <cellStyle name="Comma 2 3 6 4 3 3" xfId="30062" xr:uid="{0622BE8F-0594-4F97-BB12-807285289251}"/>
    <cellStyle name="Comma 2 3 6 4 4" xfId="5241" xr:uid="{00000000-0005-0000-0000-00001F090000}"/>
    <cellStyle name="Comma 2 3 6 4 4 2" xfId="16827" xr:uid="{674EF0F4-C5A1-4086-96CE-E7E09CB58D1A}"/>
    <cellStyle name="Comma 2 3 6 4 4 3" xfId="27243" xr:uid="{2292955C-CF30-4B10-BBB3-AFF8BDF5D350}"/>
    <cellStyle name="Comma 2 3 6 4 5" xfId="13288" xr:uid="{1F3A1A5D-3B35-4D94-80CA-EAE614181F88}"/>
    <cellStyle name="Comma 2 3 6 4 6" xfId="23704" xr:uid="{BB28BAC2-B252-48C3-B7E9-3380FF99EE3F}"/>
    <cellStyle name="Comma 2 3 6 5" xfId="955" xr:uid="{00000000-0005-0000-0000-000020090000}"/>
    <cellStyle name="Comma 2 3 6 5 2" xfId="8102" xr:uid="{00000000-0005-0000-0000-000021090000}"/>
    <cellStyle name="Comma 2 3 6 5 2 2" xfId="19648" xr:uid="{60560344-1FD7-406F-8FE0-BA16293E7BC6}"/>
    <cellStyle name="Comma 2 3 6 5 2 3" xfId="30064" xr:uid="{4A7949C4-0DE4-4EB0-B48F-63631A406F0F}"/>
    <cellStyle name="Comma 2 3 6 5 3" xfId="13290" xr:uid="{3F1E22EB-81F3-4273-8DB3-6E785CE0AF83}"/>
    <cellStyle name="Comma 2 3 6 5 4" xfId="23706" xr:uid="{2177690F-F349-42BD-8116-C6576BDD9DF8}"/>
    <cellStyle name="Comma 2 3 6 6" xfId="8093" xr:uid="{00000000-0005-0000-0000-000022090000}"/>
    <cellStyle name="Comma 2 3 6 6 2" xfId="19639" xr:uid="{900F05DF-A76A-48C0-BCA3-51A4BC5453CF}"/>
    <cellStyle name="Comma 2 3 6 6 3" xfId="30055" xr:uid="{59698892-B7F3-4833-8FA8-3B0B31932AED}"/>
    <cellStyle name="Comma 2 3 6 7" xfId="5237" xr:uid="{00000000-0005-0000-0000-000023090000}"/>
    <cellStyle name="Comma 2 3 6 7 2" xfId="16823" xr:uid="{862748A8-2F15-4433-AB53-148FF412E04C}"/>
    <cellStyle name="Comma 2 3 6 7 3" xfId="27239" xr:uid="{5D5864A3-BA66-463D-9B18-0163EA3922C0}"/>
    <cellStyle name="Comma 2 3 6 8" xfId="13281" xr:uid="{94C378E5-7D45-43B3-9B25-A57BDA2E704A}"/>
    <cellStyle name="Comma 2 3 6 9" xfId="23697" xr:uid="{5CB27788-6904-4654-ACD4-52671B52D559}"/>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2 2 2" xfId="19652" xr:uid="{7432E54F-FF3F-4117-9F57-B1B87D71F351}"/>
    <cellStyle name="Comma 2 3 7 2 2 2 2 3" xfId="30068" xr:uid="{5ECEFE90-7430-4360-9D8B-B917A855D76C}"/>
    <cellStyle name="Comma 2 3 7 2 2 2 3" xfId="13294" xr:uid="{70D94E50-AD17-4FB3-99DD-14CD59CF944A}"/>
    <cellStyle name="Comma 2 3 7 2 2 2 4" xfId="23710" xr:uid="{9CA26684-EA45-4D59-BF49-C53158D68FC7}"/>
    <cellStyle name="Comma 2 3 7 2 2 3" xfId="8105" xr:uid="{00000000-0005-0000-0000-000029090000}"/>
    <cellStyle name="Comma 2 3 7 2 2 3 2" xfId="19651" xr:uid="{BFEDCA90-C490-4257-B23B-D538467DF59E}"/>
    <cellStyle name="Comma 2 3 7 2 2 3 3" xfId="30067" xr:uid="{8866EDE7-0542-4596-B126-95832E359B2F}"/>
    <cellStyle name="Comma 2 3 7 2 2 4" xfId="5244" xr:uid="{00000000-0005-0000-0000-00002A090000}"/>
    <cellStyle name="Comma 2 3 7 2 2 4 2" xfId="16830" xr:uid="{EB3ACFCB-1942-4686-BE95-0886E7A41060}"/>
    <cellStyle name="Comma 2 3 7 2 2 4 3" xfId="27246" xr:uid="{1C1208A2-D11F-4AB1-976E-84BBBEC8F5D1}"/>
    <cellStyle name="Comma 2 3 7 2 2 5" xfId="13293" xr:uid="{654394CC-5788-4D5D-8472-003109D2F0E9}"/>
    <cellStyle name="Comma 2 3 7 2 2 6" xfId="23709" xr:uid="{E29F3DF2-A59B-411A-8FEC-EC0D9A64486A}"/>
    <cellStyle name="Comma 2 3 7 2 3" xfId="960" xr:uid="{00000000-0005-0000-0000-00002B090000}"/>
    <cellStyle name="Comma 2 3 7 2 3 2" xfId="8107" xr:uid="{00000000-0005-0000-0000-00002C090000}"/>
    <cellStyle name="Comma 2 3 7 2 3 2 2" xfId="19653" xr:uid="{FF0C51FA-D332-4F00-89E3-D7C7E889DAD0}"/>
    <cellStyle name="Comma 2 3 7 2 3 2 3" xfId="30069" xr:uid="{A35AB46D-4BEF-446A-9971-9F803094D2B7}"/>
    <cellStyle name="Comma 2 3 7 2 3 3" xfId="13295" xr:uid="{FAAB5A2F-3540-4201-B082-A867A2127A2F}"/>
    <cellStyle name="Comma 2 3 7 2 3 4" xfId="23711" xr:uid="{89D2B0FB-9FF9-4C42-892F-6513FD77A533}"/>
    <cellStyle name="Comma 2 3 7 2 4" xfId="8104" xr:uid="{00000000-0005-0000-0000-00002D090000}"/>
    <cellStyle name="Comma 2 3 7 2 4 2" xfId="19650" xr:uid="{9089FEC6-1C1A-4C56-A404-F19BEDF64C16}"/>
    <cellStyle name="Comma 2 3 7 2 4 3" xfId="30066" xr:uid="{0E9D83F1-F72C-4043-AFBD-EB39CC363714}"/>
    <cellStyle name="Comma 2 3 7 2 5" xfId="5243" xr:uid="{00000000-0005-0000-0000-00002E090000}"/>
    <cellStyle name="Comma 2 3 7 2 5 2" xfId="16829" xr:uid="{404296D6-0D45-41F4-9C95-4223418EA8AA}"/>
    <cellStyle name="Comma 2 3 7 2 5 3" xfId="27245" xr:uid="{F9578844-BADD-4196-B22C-E0D3B6E8435D}"/>
    <cellStyle name="Comma 2 3 7 2 6" xfId="13292" xr:uid="{0B8EE7AC-65FE-4C28-A49E-911CA58A4E6B}"/>
    <cellStyle name="Comma 2 3 7 2 7" xfId="23708" xr:uid="{77D6CF94-9296-461E-B19A-EFF3546F1ADF}"/>
    <cellStyle name="Comma 2 3 7 3" xfId="961" xr:uid="{00000000-0005-0000-0000-00002F090000}"/>
    <cellStyle name="Comma 2 3 7 3 2" xfId="962" xr:uid="{00000000-0005-0000-0000-000030090000}"/>
    <cellStyle name="Comma 2 3 7 3 2 2" xfId="8109" xr:uid="{00000000-0005-0000-0000-000031090000}"/>
    <cellStyle name="Comma 2 3 7 3 2 2 2" xfId="19655" xr:uid="{9377D1FE-8BFC-4AFD-85A2-F7B9BB806334}"/>
    <cellStyle name="Comma 2 3 7 3 2 2 3" xfId="30071" xr:uid="{E79E6860-E5B4-49F4-BD09-E07000D3D700}"/>
    <cellStyle name="Comma 2 3 7 3 2 3" xfId="13297" xr:uid="{9B9703F2-4B19-42AC-A6CA-1F80C2F345B7}"/>
    <cellStyle name="Comma 2 3 7 3 2 4" xfId="23713" xr:uid="{4D0A2E6B-D9D2-48DA-9EC1-98FA920A0322}"/>
    <cellStyle name="Comma 2 3 7 3 3" xfId="8108" xr:uid="{00000000-0005-0000-0000-000032090000}"/>
    <cellStyle name="Comma 2 3 7 3 3 2" xfId="19654" xr:uid="{E110529A-6FA2-4467-B48A-789525657F10}"/>
    <cellStyle name="Comma 2 3 7 3 3 3" xfId="30070" xr:uid="{1D50063B-1BBE-4803-A25B-741F6819301F}"/>
    <cellStyle name="Comma 2 3 7 3 4" xfId="5245" xr:uid="{00000000-0005-0000-0000-000033090000}"/>
    <cellStyle name="Comma 2 3 7 3 4 2" xfId="16831" xr:uid="{14E43CA2-5873-454C-970F-0B55CF6BA70A}"/>
    <cellStyle name="Comma 2 3 7 3 4 3" xfId="27247" xr:uid="{BB8E6F0C-396A-46C0-936C-ED2147168E29}"/>
    <cellStyle name="Comma 2 3 7 3 5" xfId="13296" xr:uid="{039FCD10-761D-4E06-9CB0-BC176CCB9B69}"/>
    <cellStyle name="Comma 2 3 7 3 6" xfId="23712" xr:uid="{236E6111-C947-4C54-B365-0AA0DD16F783}"/>
    <cellStyle name="Comma 2 3 7 4" xfId="963" xr:uid="{00000000-0005-0000-0000-000034090000}"/>
    <cellStyle name="Comma 2 3 7 4 2" xfId="964" xr:uid="{00000000-0005-0000-0000-000035090000}"/>
    <cellStyle name="Comma 2 3 7 4 2 2" xfId="8111" xr:uid="{00000000-0005-0000-0000-000036090000}"/>
    <cellStyle name="Comma 2 3 7 4 2 2 2" xfId="19657" xr:uid="{949747A1-B058-4DBB-AFD3-B3FFC75D4858}"/>
    <cellStyle name="Comma 2 3 7 4 2 2 3" xfId="30073" xr:uid="{B9FB29BC-599A-4497-B929-F5F9236FEFC0}"/>
    <cellStyle name="Comma 2 3 7 4 2 3" xfId="13299" xr:uid="{A4AB7C30-098B-4683-A7F2-CD5C6F6FA8A1}"/>
    <cellStyle name="Comma 2 3 7 4 2 4" xfId="23715" xr:uid="{6581EEFF-8BBB-4786-ABE1-6DB0F4393039}"/>
    <cellStyle name="Comma 2 3 7 4 3" xfId="8110" xr:uid="{00000000-0005-0000-0000-000037090000}"/>
    <cellStyle name="Comma 2 3 7 4 3 2" xfId="19656" xr:uid="{0C32C349-5A2A-462D-B12E-CC016F0569BE}"/>
    <cellStyle name="Comma 2 3 7 4 3 3" xfId="30072" xr:uid="{2732D9D6-D930-4966-ADB9-728A69B60B02}"/>
    <cellStyle name="Comma 2 3 7 4 4" xfId="5246" xr:uid="{00000000-0005-0000-0000-000038090000}"/>
    <cellStyle name="Comma 2 3 7 4 4 2" xfId="16832" xr:uid="{BF6CECBF-2FDA-4D49-9A42-023507DBA84A}"/>
    <cellStyle name="Comma 2 3 7 4 4 3" xfId="27248" xr:uid="{C803285D-9832-444C-B9AB-CA48706522F5}"/>
    <cellStyle name="Comma 2 3 7 4 5" xfId="13298" xr:uid="{FB614370-6CA3-4578-89BF-DBE9A331AEFC}"/>
    <cellStyle name="Comma 2 3 7 4 6" xfId="23714" xr:uid="{9033F4EE-93DB-4608-BD69-F7A93670B7A7}"/>
    <cellStyle name="Comma 2 3 7 5" xfId="965" xr:uid="{00000000-0005-0000-0000-000039090000}"/>
    <cellStyle name="Comma 2 3 7 5 2" xfId="8112" xr:uid="{00000000-0005-0000-0000-00003A090000}"/>
    <cellStyle name="Comma 2 3 7 5 2 2" xfId="19658" xr:uid="{D0610F13-ACF6-417F-91C1-BF3AB6CC8BEF}"/>
    <cellStyle name="Comma 2 3 7 5 2 3" xfId="30074" xr:uid="{E2AB6321-C422-47EF-A435-A8A1D30B1688}"/>
    <cellStyle name="Comma 2 3 7 5 3" xfId="13300" xr:uid="{C07DF688-38B0-44C9-929B-EBE69EB9C02F}"/>
    <cellStyle name="Comma 2 3 7 5 4" xfId="23716" xr:uid="{A79772F4-6A38-46C1-BB67-E497CE8FE848}"/>
    <cellStyle name="Comma 2 3 7 6" xfId="8103" xr:uid="{00000000-0005-0000-0000-00003B090000}"/>
    <cellStyle name="Comma 2 3 7 6 2" xfId="19649" xr:uid="{CDB47A4F-AE0C-4EA1-9049-3BB6B218BCE2}"/>
    <cellStyle name="Comma 2 3 7 6 3" xfId="30065" xr:uid="{30B8FB71-304F-4124-BC87-9AD32A774164}"/>
    <cellStyle name="Comma 2 3 7 7" xfId="5242" xr:uid="{00000000-0005-0000-0000-00003C090000}"/>
    <cellStyle name="Comma 2 3 7 7 2" xfId="16828" xr:uid="{EB40FFBB-96C2-4FB6-9386-10B5B7BF66BD}"/>
    <cellStyle name="Comma 2 3 7 7 3" xfId="27244" xr:uid="{F389F6CE-A31C-4531-BD6E-BC4AE867BC99}"/>
    <cellStyle name="Comma 2 3 7 8" xfId="13291" xr:uid="{899AD955-87D4-4501-BD31-8DDE13DF80CE}"/>
    <cellStyle name="Comma 2 3 7 9" xfId="23707" xr:uid="{8FA8995C-BC2D-4377-B90D-D2784CA077C2}"/>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2 2 2" xfId="19662" xr:uid="{18B75346-B27E-4BD5-87C1-E0F3546AE462}"/>
    <cellStyle name="Comma 2 3 8 2 2 2 2 3" xfId="30078" xr:uid="{293A1E17-748D-4AD3-AABF-713E99ADA7E6}"/>
    <cellStyle name="Comma 2 3 8 2 2 2 3" xfId="13304" xr:uid="{0044A0E3-9978-4D98-966E-5F28B2CC4730}"/>
    <cellStyle name="Comma 2 3 8 2 2 2 4" xfId="23720" xr:uid="{CCDD8A6D-FCD6-438E-8A33-749D2C83B425}"/>
    <cellStyle name="Comma 2 3 8 2 2 3" xfId="8115" xr:uid="{00000000-0005-0000-0000-000042090000}"/>
    <cellStyle name="Comma 2 3 8 2 2 3 2" xfId="19661" xr:uid="{011497E2-D7CB-4A11-9CCE-DC56359A4F09}"/>
    <cellStyle name="Comma 2 3 8 2 2 3 3" xfId="30077" xr:uid="{120041F1-CDA2-4AFD-9091-27A9D4215433}"/>
    <cellStyle name="Comma 2 3 8 2 2 4" xfId="5249" xr:uid="{00000000-0005-0000-0000-000043090000}"/>
    <cellStyle name="Comma 2 3 8 2 2 4 2" xfId="16835" xr:uid="{A3F419F2-86E2-4D50-B12D-3F43EF304EAA}"/>
    <cellStyle name="Comma 2 3 8 2 2 4 3" xfId="27251" xr:uid="{747FAF58-49AE-4C66-86D9-23578CD456A0}"/>
    <cellStyle name="Comma 2 3 8 2 2 5" xfId="13303" xr:uid="{0853324C-7A21-467A-ADEC-27AA009AD4C5}"/>
    <cellStyle name="Comma 2 3 8 2 2 6" xfId="23719" xr:uid="{CADE636A-3D39-4102-89AD-8B37B315591E}"/>
    <cellStyle name="Comma 2 3 8 2 3" xfId="970" xr:uid="{00000000-0005-0000-0000-000044090000}"/>
    <cellStyle name="Comma 2 3 8 2 3 2" xfId="8117" xr:uid="{00000000-0005-0000-0000-000045090000}"/>
    <cellStyle name="Comma 2 3 8 2 3 2 2" xfId="19663" xr:uid="{5B97A92D-A99F-4A4A-9C13-F2E0293CFE6F}"/>
    <cellStyle name="Comma 2 3 8 2 3 2 3" xfId="30079" xr:uid="{4F7EAA42-7F9B-4C53-BA37-1C6BD20C7F38}"/>
    <cellStyle name="Comma 2 3 8 2 3 3" xfId="13305" xr:uid="{D79B7385-768E-4D48-BE72-4DAD87D8F751}"/>
    <cellStyle name="Comma 2 3 8 2 3 4" xfId="23721" xr:uid="{A5369243-754D-4E66-9601-5DB93E84D80F}"/>
    <cellStyle name="Comma 2 3 8 2 4" xfId="8114" xr:uid="{00000000-0005-0000-0000-000046090000}"/>
    <cellStyle name="Comma 2 3 8 2 4 2" xfId="19660" xr:uid="{315B491F-5B4B-4AA9-8CC1-5EB31BD8E126}"/>
    <cellStyle name="Comma 2 3 8 2 4 3" xfId="30076" xr:uid="{323F88BD-C8B1-4825-AD76-598EF6C9BEAD}"/>
    <cellStyle name="Comma 2 3 8 2 5" xfId="5248" xr:uid="{00000000-0005-0000-0000-000047090000}"/>
    <cellStyle name="Comma 2 3 8 2 5 2" xfId="16834" xr:uid="{8ABE4016-A359-4219-A27F-BF478C988A6B}"/>
    <cellStyle name="Comma 2 3 8 2 5 3" xfId="27250" xr:uid="{EF6E7E22-D5AF-4387-BFF0-4C9EAE40C04A}"/>
    <cellStyle name="Comma 2 3 8 2 6" xfId="13302" xr:uid="{E5612CC6-621C-498E-9E49-DE93B1BDBAA4}"/>
    <cellStyle name="Comma 2 3 8 2 7" xfId="23718" xr:uid="{A7F1323C-5912-4D77-8E22-85502BAEDCA2}"/>
    <cellStyle name="Comma 2 3 8 3" xfId="971" xr:uid="{00000000-0005-0000-0000-000048090000}"/>
    <cellStyle name="Comma 2 3 8 3 2" xfId="972" xr:uid="{00000000-0005-0000-0000-000049090000}"/>
    <cellStyle name="Comma 2 3 8 3 2 2" xfId="8119" xr:uid="{00000000-0005-0000-0000-00004A090000}"/>
    <cellStyle name="Comma 2 3 8 3 2 2 2" xfId="19665" xr:uid="{7A444709-5C01-47BD-81FE-C7471E62E95B}"/>
    <cellStyle name="Comma 2 3 8 3 2 2 3" xfId="30081" xr:uid="{F27BA63C-B5FF-4F2D-8E19-F0DA7362B69D}"/>
    <cellStyle name="Comma 2 3 8 3 2 3" xfId="13307" xr:uid="{C421FC0A-CE60-4269-AF4B-226161DE4D8E}"/>
    <cellStyle name="Comma 2 3 8 3 2 4" xfId="23723" xr:uid="{46C402E8-1D7A-4421-8284-24F815F2605C}"/>
    <cellStyle name="Comma 2 3 8 3 3" xfId="8118" xr:uid="{00000000-0005-0000-0000-00004B090000}"/>
    <cellStyle name="Comma 2 3 8 3 3 2" xfId="19664" xr:uid="{3C7F7846-DF54-472A-B249-1E13A4F4F111}"/>
    <cellStyle name="Comma 2 3 8 3 3 3" xfId="30080" xr:uid="{EB701F05-46A4-47A4-8B92-72FF87719A6D}"/>
    <cellStyle name="Comma 2 3 8 3 4" xfId="5250" xr:uid="{00000000-0005-0000-0000-00004C090000}"/>
    <cellStyle name="Comma 2 3 8 3 4 2" xfId="16836" xr:uid="{C4B6956B-A0CA-4EA6-A6B2-7B2A63BA2D7B}"/>
    <cellStyle name="Comma 2 3 8 3 4 3" xfId="27252" xr:uid="{D99CDA0F-8B38-482C-A85B-102C0E4357A1}"/>
    <cellStyle name="Comma 2 3 8 3 5" xfId="13306" xr:uid="{ACF4192B-F6AF-461D-81EE-52E251603533}"/>
    <cellStyle name="Comma 2 3 8 3 6" xfId="23722" xr:uid="{DD16587D-007B-46EB-8B98-5A4B065EF0C7}"/>
    <cellStyle name="Comma 2 3 8 4" xfId="973" xr:uid="{00000000-0005-0000-0000-00004D090000}"/>
    <cellStyle name="Comma 2 3 8 4 2" xfId="974" xr:uid="{00000000-0005-0000-0000-00004E090000}"/>
    <cellStyle name="Comma 2 3 8 4 2 2" xfId="8121" xr:uid="{00000000-0005-0000-0000-00004F090000}"/>
    <cellStyle name="Comma 2 3 8 4 2 2 2" xfId="19667" xr:uid="{3321A1AA-01E6-4D21-B6BC-6FF254716717}"/>
    <cellStyle name="Comma 2 3 8 4 2 2 3" xfId="30083" xr:uid="{7D39B781-4D6D-4FB4-AE17-B83CB3215E02}"/>
    <cellStyle name="Comma 2 3 8 4 2 3" xfId="13309" xr:uid="{31C1D222-646E-45C8-ABEA-F392BCE68A77}"/>
    <cellStyle name="Comma 2 3 8 4 2 4" xfId="23725" xr:uid="{7DF0113F-9565-421F-9245-44539AEBF4E8}"/>
    <cellStyle name="Comma 2 3 8 4 3" xfId="8120" xr:uid="{00000000-0005-0000-0000-000050090000}"/>
    <cellStyle name="Comma 2 3 8 4 3 2" xfId="19666" xr:uid="{67FE0352-850A-426E-8646-87E4D01E1449}"/>
    <cellStyle name="Comma 2 3 8 4 3 3" xfId="30082" xr:uid="{99FCAD04-3866-45C2-B565-3DD01D8F1239}"/>
    <cellStyle name="Comma 2 3 8 4 4" xfId="5251" xr:uid="{00000000-0005-0000-0000-000051090000}"/>
    <cellStyle name="Comma 2 3 8 4 4 2" xfId="16837" xr:uid="{6F9A4925-7E5C-4947-A08F-6404FA93B8F0}"/>
    <cellStyle name="Comma 2 3 8 4 4 3" xfId="27253" xr:uid="{2C64B6AB-B9AE-4192-B043-2644C918FBD0}"/>
    <cellStyle name="Comma 2 3 8 4 5" xfId="13308" xr:uid="{9E838348-0931-4B8D-B379-17209E833EC6}"/>
    <cellStyle name="Comma 2 3 8 4 6" xfId="23724" xr:uid="{324D8554-F107-4208-A3DF-7531DE48015D}"/>
    <cellStyle name="Comma 2 3 8 5" xfId="975" xr:uid="{00000000-0005-0000-0000-000052090000}"/>
    <cellStyle name="Comma 2 3 8 5 2" xfId="8122" xr:uid="{00000000-0005-0000-0000-000053090000}"/>
    <cellStyle name="Comma 2 3 8 5 2 2" xfId="19668" xr:uid="{4E14A82A-9B39-4BA6-9BB7-061393161EF6}"/>
    <cellStyle name="Comma 2 3 8 5 2 3" xfId="30084" xr:uid="{4390A767-51DC-4F21-A9D9-859E5F6CED64}"/>
    <cellStyle name="Comma 2 3 8 5 3" xfId="13310" xr:uid="{C7A655CA-C720-4113-8BAB-9B485D8DDDFA}"/>
    <cellStyle name="Comma 2 3 8 5 4" xfId="23726" xr:uid="{3FF9258B-66D5-4234-885C-88249CFE93E2}"/>
    <cellStyle name="Comma 2 3 8 6" xfId="8113" xr:uid="{00000000-0005-0000-0000-000054090000}"/>
    <cellStyle name="Comma 2 3 8 6 2" xfId="19659" xr:uid="{B24B7D2A-24B3-4956-881E-60B0D12E42AE}"/>
    <cellStyle name="Comma 2 3 8 6 3" xfId="30075" xr:uid="{A860830A-B9BC-4C62-AF5B-AEB9166B4118}"/>
    <cellStyle name="Comma 2 3 8 7" xfId="5247" xr:uid="{00000000-0005-0000-0000-000055090000}"/>
    <cellStyle name="Comma 2 3 8 7 2" xfId="16833" xr:uid="{48A073C9-416A-4870-BE7A-14FFABBECFA4}"/>
    <cellStyle name="Comma 2 3 8 7 3" xfId="27249" xr:uid="{930ACA9C-D534-4E6E-B233-8FB4EF34B39A}"/>
    <cellStyle name="Comma 2 3 8 8" xfId="13301" xr:uid="{2FDBEF88-F68A-44D0-A40F-218D503A3A2A}"/>
    <cellStyle name="Comma 2 3 8 9" xfId="23717" xr:uid="{72E1C183-17CD-48A0-B746-9BBCFC93CCC5}"/>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2 2 2" xfId="19672" xr:uid="{2B2382F1-4E09-49A1-965B-7DD00303A2BA}"/>
    <cellStyle name="Comma 2 3 9 2 2 2 2 3" xfId="30088" xr:uid="{4D1AD697-3CB7-4543-BA79-24A3C9C8A35E}"/>
    <cellStyle name="Comma 2 3 9 2 2 2 3" xfId="13314" xr:uid="{FE4F675A-F7E7-492D-807D-90967340331E}"/>
    <cellStyle name="Comma 2 3 9 2 2 2 4" xfId="23730" xr:uid="{0ECE0F7B-BA03-40B2-8B4A-8933F47329B4}"/>
    <cellStyle name="Comma 2 3 9 2 2 3" xfId="8125" xr:uid="{00000000-0005-0000-0000-00005B090000}"/>
    <cellStyle name="Comma 2 3 9 2 2 3 2" xfId="19671" xr:uid="{21A19E71-5A82-44B1-9682-EFC2D01619FF}"/>
    <cellStyle name="Comma 2 3 9 2 2 3 3" xfId="30087" xr:uid="{8D3E9F9C-CEA6-46A5-A99E-CD8DE8759550}"/>
    <cellStyle name="Comma 2 3 9 2 2 4" xfId="5254" xr:uid="{00000000-0005-0000-0000-00005C090000}"/>
    <cellStyle name="Comma 2 3 9 2 2 4 2" xfId="16840" xr:uid="{C7B21707-34DB-4D58-983E-FDF5B3E042DF}"/>
    <cellStyle name="Comma 2 3 9 2 2 4 3" xfId="27256" xr:uid="{6A22ACE4-6FD9-467D-8D00-3D01E3F674B3}"/>
    <cellStyle name="Comma 2 3 9 2 2 5" xfId="13313" xr:uid="{A07B4EFF-C0F4-4E7C-89B0-C6B80207521C}"/>
    <cellStyle name="Comma 2 3 9 2 2 6" xfId="23729" xr:uid="{56E88050-1AEB-4C56-ABC9-8E7A8C1FB2F0}"/>
    <cellStyle name="Comma 2 3 9 2 3" xfId="980" xr:uid="{00000000-0005-0000-0000-00005D090000}"/>
    <cellStyle name="Comma 2 3 9 2 3 2" xfId="8127" xr:uid="{00000000-0005-0000-0000-00005E090000}"/>
    <cellStyle name="Comma 2 3 9 2 3 2 2" xfId="19673" xr:uid="{E9750660-986A-4A68-B8F1-518C4CD7E2C8}"/>
    <cellStyle name="Comma 2 3 9 2 3 2 3" xfId="30089" xr:uid="{69F86E09-CF7B-4F0E-85D5-BC956826EA32}"/>
    <cellStyle name="Comma 2 3 9 2 3 3" xfId="13315" xr:uid="{5502E140-90E5-4DAD-A81F-EBA776D2774F}"/>
    <cellStyle name="Comma 2 3 9 2 3 4" xfId="23731" xr:uid="{BAA3C2D1-259A-4B97-A5DA-E1477E7EF1E3}"/>
    <cellStyle name="Comma 2 3 9 2 4" xfId="8124" xr:uid="{00000000-0005-0000-0000-00005F090000}"/>
    <cellStyle name="Comma 2 3 9 2 4 2" xfId="19670" xr:uid="{E0E09D69-2724-4378-A20D-61D607245F83}"/>
    <cellStyle name="Comma 2 3 9 2 4 3" xfId="30086" xr:uid="{4B6F357F-97B3-4C8C-9037-5972B14B69E3}"/>
    <cellStyle name="Comma 2 3 9 2 5" xfId="5253" xr:uid="{00000000-0005-0000-0000-000060090000}"/>
    <cellStyle name="Comma 2 3 9 2 5 2" xfId="16839" xr:uid="{2D11B589-D8E7-4E3A-A435-24AC111F016F}"/>
    <cellStyle name="Comma 2 3 9 2 5 3" xfId="27255" xr:uid="{73B36D0D-1C9B-4BDA-B37D-4BCAD9CA4A00}"/>
    <cellStyle name="Comma 2 3 9 2 6" xfId="13312" xr:uid="{008FABD4-129C-494F-ABA5-6D1745F2D814}"/>
    <cellStyle name="Comma 2 3 9 2 7" xfId="23728" xr:uid="{81DC2D6B-5DC1-4C60-A943-5D37516865D8}"/>
    <cellStyle name="Comma 2 3 9 3" xfId="981" xr:uid="{00000000-0005-0000-0000-000061090000}"/>
    <cellStyle name="Comma 2 3 9 3 2" xfId="982" xr:uid="{00000000-0005-0000-0000-000062090000}"/>
    <cellStyle name="Comma 2 3 9 3 2 2" xfId="8129" xr:uid="{00000000-0005-0000-0000-000063090000}"/>
    <cellStyle name="Comma 2 3 9 3 2 2 2" xfId="19675" xr:uid="{E0DCA57D-B1D9-401C-8697-1A3BDC336FB9}"/>
    <cellStyle name="Comma 2 3 9 3 2 2 3" xfId="30091" xr:uid="{9F4F6605-AE35-4061-B1EA-FE4ECE1C081B}"/>
    <cellStyle name="Comma 2 3 9 3 2 3" xfId="13317" xr:uid="{2F8A5E28-B6F0-46A2-ABCF-879253037ABF}"/>
    <cellStyle name="Comma 2 3 9 3 2 4" xfId="23733" xr:uid="{D6F09396-0CDF-4206-8EC8-5E0E7FF5FB24}"/>
    <cellStyle name="Comma 2 3 9 3 3" xfId="8128" xr:uid="{00000000-0005-0000-0000-000064090000}"/>
    <cellStyle name="Comma 2 3 9 3 3 2" xfId="19674" xr:uid="{F389C5D7-2D89-4146-866E-4BCD7C364D65}"/>
    <cellStyle name="Comma 2 3 9 3 3 3" xfId="30090" xr:uid="{15B6CC58-9382-4A8C-BA9D-1925923454F7}"/>
    <cellStyle name="Comma 2 3 9 3 4" xfId="5255" xr:uid="{00000000-0005-0000-0000-000065090000}"/>
    <cellStyle name="Comma 2 3 9 3 4 2" xfId="16841" xr:uid="{2BDFC3CD-27E8-4892-BA3E-BC91E5D2DD31}"/>
    <cellStyle name="Comma 2 3 9 3 4 3" xfId="27257" xr:uid="{35331D60-BDA5-4450-8B99-E93384E1B91B}"/>
    <cellStyle name="Comma 2 3 9 3 5" xfId="13316" xr:uid="{338319F8-BF4B-4793-88A9-5AA57E4A6DFB}"/>
    <cellStyle name="Comma 2 3 9 3 6" xfId="23732" xr:uid="{94474E90-729A-41ED-B41C-DDAF31ADC05C}"/>
    <cellStyle name="Comma 2 3 9 4" xfId="983" xr:uid="{00000000-0005-0000-0000-000066090000}"/>
    <cellStyle name="Comma 2 3 9 4 2" xfId="984" xr:uid="{00000000-0005-0000-0000-000067090000}"/>
    <cellStyle name="Comma 2 3 9 4 2 2" xfId="8131" xr:uid="{00000000-0005-0000-0000-000068090000}"/>
    <cellStyle name="Comma 2 3 9 4 2 2 2" xfId="19677" xr:uid="{79F9D46B-3778-46C6-9BFD-36393E95B5E6}"/>
    <cellStyle name="Comma 2 3 9 4 2 2 3" xfId="30093" xr:uid="{7C6891C6-C1FB-4845-A413-7DD2A7D54836}"/>
    <cellStyle name="Comma 2 3 9 4 2 3" xfId="13319" xr:uid="{94C83554-F127-4C8F-9056-F447312FF5D6}"/>
    <cellStyle name="Comma 2 3 9 4 2 4" xfId="23735" xr:uid="{E6F8DFEC-1D3E-4955-A87C-A79860FA8770}"/>
    <cellStyle name="Comma 2 3 9 4 3" xfId="8130" xr:uid="{00000000-0005-0000-0000-000069090000}"/>
    <cellStyle name="Comma 2 3 9 4 3 2" xfId="19676" xr:uid="{134E8962-48B6-47EF-9B07-C6122AB09202}"/>
    <cellStyle name="Comma 2 3 9 4 3 3" xfId="30092" xr:uid="{D68A0202-F175-4539-AB1B-DA94461184A2}"/>
    <cellStyle name="Comma 2 3 9 4 4" xfId="5256" xr:uid="{00000000-0005-0000-0000-00006A090000}"/>
    <cellStyle name="Comma 2 3 9 4 4 2" xfId="16842" xr:uid="{ACE47FCF-121F-48C9-BA60-E91E87F6D7AA}"/>
    <cellStyle name="Comma 2 3 9 4 4 3" xfId="27258" xr:uid="{2DC6CC85-C359-46DB-9887-4D258F519277}"/>
    <cellStyle name="Comma 2 3 9 4 5" xfId="13318" xr:uid="{9A3A70DB-6B5E-4159-92C7-8A17B38B36D7}"/>
    <cellStyle name="Comma 2 3 9 4 6" xfId="23734" xr:uid="{05109B7F-7506-44AF-8A35-28DF1504001C}"/>
    <cellStyle name="Comma 2 3 9 5" xfId="985" xr:uid="{00000000-0005-0000-0000-00006B090000}"/>
    <cellStyle name="Comma 2 3 9 5 2" xfId="8132" xr:uid="{00000000-0005-0000-0000-00006C090000}"/>
    <cellStyle name="Comma 2 3 9 5 2 2" xfId="19678" xr:uid="{0655D9EF-8E78-4DBF-A5E7-560AA621B639}"/>
    <cellStyle name="Comma 2 3 9 5 2 3" xfId="30094" xr:uid="{203B149F-D4AF-4170-B160-890FDED89A86}"/>
    <cellStyle name="Comma 2 3 9 5 3" xfId="13320" xr:uid="{719417F9-32D7-49F1-A336-6060732A8AA9}"/>
    <cellStyle name="Comma 2 3 9 5 4" xfId="23736" xr:uid="{EC81330E-C48F-45EC-AF3D-B48B7FBBAD12}"/>
    <cellStyle name="Comma 2 3 9 6" xfId="8123" xr:uid="{00000000-0005-0000-0000-00006D090000}"/>
    <cellStyle name="Comma 2 3 9 6 2" xfId="19669" xr:uid="{A274E31A-3202-4DBF-B99A-4FDF41ECE8B9}"/>
    <cellStyle name="Comma 2 3 9 6 3" xfId="30085" xr:uid="{2FD466B2-B836-4FFD-B722-6E4AFB991750}"/>
    <cellStyle name="Comma 2 3 9 7" xfId="5252" xr:uid="{00000000-0005-0000-0000-00006E090000}"/>
    <cellStyle name="Comma 2 3 9 7 2" xfId="16838" xr:uid="{891EA3C7-4C60-4224-AF29-07915F5FC45D}"/>
    <cellStyle name="Comma 2 3 9 7 3" xfId="27254" xr:uid="{01E39C00-074D-4D51-BAB8-0188D6CA2703}"/>
    <cellStyle name="Comma 2 3 9 8" xfId="13311" xr:uid="{3D2ED792-5CFD-4C25-A5FA-28D9A5E4A4C8}"/>
    <cellStyle name="Comma 2 3 9 9" xfId="23727" xr:uid="{8FDAE9EC-92FB-48BF-BF96-FEF725579691}"/>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2 2 2" xfId="19682" xr:uid="{48C5378C-6433-4513-BCF5-244AE2B7738E}"/>
    <cellStyle name="Comma 2 4 10 2 2 2 3" xfId="30098" xr:uid="{8394AAFF-8918-4084-8EEB-DD63FE8530DE}"/>
    <cellStyle name="Comma 2 4 10 2 2 3" xfId="13324" xr:uid="{ED10FB8A-8664-40F5-87F5-C80C2D463C0A}"/>
    <cellStyle name="Comma 2 4 10 2 2 4" xfId="23740" xr:uid="{79800042-06FE-450F-9874-1D22AD16C3C8}"/>
    <cellStyle name="Comma 2 4 10 2 3" xfId="8135" xr:uid="{00000000-0005-0000-0000-000074090000}"/>
    <cellStyle name="Comma 2 4 10 2 3 2" xfId="19681" xr:uid="{B7D77424-91A6-4B64-A5AC-C9FFD8E3794B}"/>
    <cellStyle name="Comma 2 4 10 2 3 3" xfId="30097" xr:uid="{8FD614E7-0E36-450A-A4A8-EC8D7986CE72}"/>
    <cellStyle name="Comma 2 4 10 2 4" xfId="5259" xr:uid="{00000000-0005-0000-0000-000075090000}"/>
    <cellStyle name="Comma 2 4 10 2 4 2" xfId="16845" xr:uid="{B985B49A-A571-4CBC-81FE-9A42C4D06CC2}"/>
    <cellStyle name="Comma 2 4 10 2 4 3" xfId="27261" xr:uid="{B0329EAB-626D-4992-9985-A0F9609CEAAD}"/>
    <cellStyle name="Comma 2 4 10 2 5" xfId="13323" xr:uid="{C9E323C5-62CC-40F3-B005-784277850D02}"/>
    <cellStyle name="Comma 2 4 10 2 6" xfId="23739" xr:uid="{EBE69614-1325-49BC-B5F3-74E99D57108A}"/>
    <cellStyle name="Comma 2 4 10 3" xfId="990" xr:uid="{00000000-0005-0000-0000-000076090000}"/>
    <cellStyle name="Comma 2 4 10 3 2" xfId="991" xr:uid="{00000000-0005-0000-0000-000077090000}"/>
    <cellStyle name="Comma 2 4 10 3 2 2" xfId="8138" xr:uid="{00000000-0005-0000-0000-000078090000}"/>
    <cellStyle name="Comma 2 4 10 3 2 2 2" xfId="19684" xr:uid="{35CBD06E-CE0C-4BA7-B075-5F462B2F7D46}"/>
    <cellStyle name="Comma 2 4 10 3 2 2 3" xfId="30100" xr:uid="{BBF28740-F131-4A73-AC06-2F9DDA82A2D7}"/>
    <cellStyle name="Comma 2 4 10 3 2 3" xfId="13326" xr:uid="{B35F30ED-2B5C-4A2F-9C3D-CEE9B1F9E738}"/>
    <cellStyle name="Comma 2 4 10 3 2 4" xfId="23742" xr:uid="{FDE1CBAE-CC4B-41E9-95AF-C1C9AC72ED59}"/>
    <cellStyle name="Comma 2 4 10 3 3" xfId="8137" xr:uid="{00000000-0005-0000-0000-000079090000}"/>
    <cellStyle name="Comma 2 4 10 3 3 2" xfId="19683" xr:uid="{EECA1704-1DD0-4720-9F2A-B3C04399B08E}"/>
    <cellStyle name="Comma 2 4 10 3 3 3" xfId="30099" xr:uid="{F3860D92-0C53-4969-B80B-56686FF0BAA9}"/>
    <cellStyle name="Comma 2 4 10 3 4" xfId="5260" xr:uid="{00000000-0005-0000-0000-00007A090000}"/>
    <cellStyle name="Comma 2 4 10 3 4 2" xfId="16846" xr:uid="{BF108542-2739-4859-A1B8-08E045743785}"/>
    <cellStyle name="Comma 2 4 10 3 4 3" xfId="27262" xr:uid="{22CBA21D-13C5-431F-A1B4-D45B2A8B2BE3}"/>
    <cellStyle name="Comma 2 4 10 3 5" xfId="13325" xr:uid="{D810FD7D-6168-4ACD-BF5D-DC55D2723F1D}"/>
    <cellStyle name="Comma 2 4 10 3 6" xfId="23741" xr:uid="{9B43A195-7E31-4A2C-9A0F-795506A34162}"/>
    <cellStyle name="Comma 2 4 10 4" xfId="992" xr:uid="{00000000-0005-0000-0000-00007B090000}"/>
    <cellStyle name="Comma 2 4 10 4 2" xfId="8139" xr:uid="{00000000-0005-0000-0000-00007C090000}"/>
    <cellStyle name="Comma 2 4 10 4 2 2" xfId="19685" xr:uid="{FD380DD4-4184-4C07-BBDB-ECD70DC38A52}"/>
    <cellStyle name="Comma 2 4 10 4 2 3" xfId="30101" xr:uid="{C17C09C6-8042-4A8C-A5B4-CCFC8A9C84BB}"/>
    <cellStyle name="Comma 2 4 10 4 3" xfId="13327" xr:uid="{26F149CA-33DA-4D97-AFC9-FB5D9DCDC644}"/>
    <cellStyle name="Comma 2 4 10 4 4" xfId="23743" xr:uid="{F1CD284E-2C25-41AC-9291-1D86CF81AE80}"/>
    <cellStyle name="Comma 2 4 10 5" xfId="8134" xr:uid="{00000000-0005-0000-0000-00007D090000}"/>
    <cellStyle name="Comma 2 4 10 5 2" xfId="19680" xr:uid="{976F5D60-F3A0-4EAD-917B-82B9A1EE7A45}"/>
    <cellStyle name="Comma 2 4 10 5 3" xfId="30096" xr:uid="{22E8E412-B5EC-4243-8B1A-8529F2E92012}"/>
    <cellStyle name="Comma 2 4 10 6" xfId="5258" xr:uid="{00000000-0005-0000-0000-00007E090000}"/>
    <cellStyle name="Comma 2 4 10 6 2" xfId="16844" xr:uid="{F74E3182-23A0-4F6C-A3E8-05DF457BE943}"/>
    <cellStyle name="Comma 2 4 10 6 3" xfId="27260" xr:uid="{62539865-08F7-41BF-9654-F1DA28246321}"/>
    <cellStyle name="Comma 2 4 10 7" xfId="13322" xr:uid="{27996A67-510E-48E9-9D24-2D5577D142B3}"/>
    <cellStyle name="Comma 2 4 10 8" xfId="23738" xr:uid="{467FF64E-28EE-48A4-BCA3-59CD8E4F83A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2 2 2" xfId="19688" xr:uid="{F56C8416-64DC-4FFE-A019-D330F8F09470}"/>
    <cellStyle name="Comma 2 4 11 2 2 2 3" xfId="30104" xr:uid="{FEC044AD-1C14-427C-9B6D-D54F0C029C8E}"/>
    <cellStyle name="Comma 2 4 11 2 2 3" xfId="13330" xr:uid="{09EEF691-62C7-4132-86EF-D9021D62A07F}"/>
    <cellStyle name="Comma 2 4 11 2 2 4" xfId="23746" xr:uid="{C9D0E5C5-7C0C-4146-A2BB-BCB09F13DC0E}"/>
    <cellStyle name="Comma 2 4 11 2 3" xfId="8141" xr:uid="{00000000-0005-0000-0000-000083090000}"/>
    <cellStyle name="Comma 2 4 11 2 3 2" xfId="19687" xr:uid="{79C27A2D-B5A0-400B-BE00-65A0535E772A}"/>
    <cellStyle name="Comma 2 4 11 2 3 3" xfId="30103" xr:uid="{9CF99FA1-4DA5-4898-8EFB-E1E464B36A72}"/>
    <cellStyle name="Comma 2 4 11 2 4" xfId="5262" xr:uid="{00000000-0005-0000-0000-000084090000}"/>
    <cellStyle name="Comma 2 4 11 2 4 2" xfId="16848" xr:uid="{3768A86C-10A2-44D6-A6B6-3AA58DB189DC}"/>
    <cellStyle name="Comma 2 4 11 2 4 3" xfId="27264" xr:uid="{BB6528A2-7245-488E-928F-33BFDC619EC9}"/>
    <cellStyle name="Comma 2 4 11 2 5" xfId="13329" xr:uid="{5AC14633-11EF-4E47-A05C-AE252E345B65}"/>
    <cellStyle name="Comma 2 4 11 2 6" xfId="23745" xr:uid="{8DAA87B7-26A7-44F0-86A5-5D3B8C69C045}"/>
    <cellStyle name="Comma 2 4 11 3" xfId="996" xr:uid="{00000000-0005-0000-0000-000085090000}"/>
    <cellStyle name="Comma 2 4 11 3 2" xfId="8143" xr:uid="{00000000-0005-0000-0000-000086090000}"/>
    <cellStyle name="Comma 2 4 11 3 2 2" xfId="19689" xr:uid="{576E402E-8280-4ED6-A217-8BC4397749EC}"/>
    <cellStyle name="Comma 2 4 11 3 2 3" xfId="30105" xr:uid="{97BF6839-2CE7-4572-A824-2FE4E174FB7A}"/>
    <cellStyle name="Comma 2 4 11 3 3" xfId="13331" xr:uid="{F1E5F6BB-99E0-407B-887D-CAE72EE73C8E}"/>
    <cellStyle name="Comma 2 4 11 3 4" xfId="23747" xr:uid="{E7CF479B-7005-4B80-965E-C7B75E05D651}"/>
    <cellStyle name="Comma 2 4 11 4" xfId="8140" xr:uid="{00000000-0005-0000-0000-000087090000}"/>
    <cellStyle name="Comma 2 4 11 4 2" xfId="19686" xr:uid="{00237E2B-75D3-4E16-B826-D06EA9C9FA92}"/>
    <cellStyle name="Comma 2 4 11 4 3" xfId="30102" xr:uid="{4F156798-E793-4503-98C9-5CD0C58506A3}"/>
    <cellStyle name="Comma 2 4 11 5" xfId="5261" xr:uid="{00000000-0005-0000-0000-000088090000}"/>
    <cellStyle name="Comma 2 4 11 5 2" xfId="16847" xr:uid="{D4D6A52D-61A7-4AA3-A23B-149BEEE4E15C}"/>
    <cellStyle name="Comma 2 4 11 5 3" xfId="27263" xr:uid="{8DF5CA9D-CB14-4730-AC11-0508298A5861}"/>
    <cellStyle name="Comma 2 4 11 6" xfId="13328" xr:uid="{A8FF9AFC-D88B-4E10-9989-EAE4581504E0}"/>
    <cellStyle name="Comma 2 4 11 7" xfId="23744" xr:uid="{F0EB9466-C5B9-432C-A6F1-BE6CC6F309E1}"/>
    <cellStyle name="Comma 2 4 12" xfId="997" xr:uid="{00000000-0005-0000-0000-000089090000}"/>
    <cellStyle name="Comma 2 4 12 2" xfId="998" xr:uid="{00000000-0005-0000-0000-00008A090000}"/>
    <cellStyle name="Comma 2 4 12 2 2" xfId="8145" xr:uid="{00000000-0005-0000-0000-00008B090000}"/>
    <cellStyle name="Comma 2 4 12 2 2 2" xfId="19691" xr:uid="{B500F9C9-5F05-4F19-B7CE-2588DCFCD570}"/>
    <cellStyle name="Comma 2 4 12 2 2 3" xfId="30107" xr:uid="{408899FE-E6FC-4D4A-8F99-2AACA45B6C93}"/>
    <cellStyle name="Comma 2 4 12 2 3" xfId="13333" xr:uid="{47E8EBB3-1968-44C4-B2B4-6AD1A9870141}"/>
    <cellStyle name="Comma 2 4 12 2 4" xfId="23749" xr:uid="{F481FE2B-4191-4FC7-B3FE-67FD1A99F2D9}"/>
    <cellStyle name="Comma 2 4 12 3" xfId="8144" xr:uid="{00000000-0005-0000-0000-00008C090000}"/>
    <cellStyle name="Comma 2 4 12 3 2" xfId="19690" xr:uid="{8AEA08BF-C78A-439A-961D-529FA5C2675C}"/>
    <cellStyle name="Comma 2 4 12 3 3" xfId="30106" xr:uid="{A8E17868-EBC5-41A0-86F5-1B26245BC2BC}"/>
    <cellStyle name="Comma 2 4 12 4" xfId="5263" xr:uid="{00000000-0005-0000-0000-00008D090000}"/>
    <cellStyle name="Comma 2 4 12 4 2" xfId="16849" xr:uid="{7A7E4AEC-68C3-4AB4-AA12-A38C2E3FEF14}"/>
    <cellStyle name="Comma 2 4 12 4 3" xfId="27265" xr:uid="{C1E9E294-CC46-44AE-8B67-3CD7E2BCAA8C}"/>
    <cellStyle name="Comma 2 4 12 5" xfId="13332" xr:uid="{294872FE-1CCB-4BC6-8AF0-CE0F039E7854}"/>
    <cellStyle name="Comma 2 4 12 6" xfId="23748" xr:uid="{CBAF191D-5915-429E-B3B1-A32E1178FA2A}"/>
    <cellStyle name="Comma 2 4 13" xfId="999" xr:uid="{00000000-0005-0000-0000-00008E090000}"/>
    <cellStyle name="Comma 2 4 13 2" xfId="1000" xr:uid="{00000000-0005-0000-0000-00008F090000}"/>
    <cellStyle name="Comma 2 4 13 2 2" xfId="8147" xr:uid="{00000000-0005-0000-0000-000090090000}"/>
    <cellStyle name="Comma 2 4 13 2 2 2" xfId="19693" xr:uid="{20C399FE-7052-470C-9309-CB4EB133502D}"/>
    <cellStyle name="Comma 2 4 13 2 2 3" xfId="30109" xr:uid="{6BE5D824-F58D-4956-9CED-62C6352CDF0C}"/>
    <cellStyle name="Comma 2 4 13 2 3" xfId="13335" xr:uid="{07EA5AF6-75CB-427F-921C-EF4D203A75C4}"/>
    <cellStyle name="Comma 2 4 13 2 4" xfId="23751" xr:uid="{F961895A-1AB0-4B87-9FB4-1402F221E1CB}"/>
    <cellStyle name="Comma 2 4 13 3" xfId="8146" xr:uid="{00000000-0005-0000-0000-000091090000}"/>
    <cellStyle name="Comma 2 4 13 3 2" xfId="19692" xr:uid="{04044812-3F87-4C44-B8A1-4051BB423999}"/>
    <cellStyle name="Comma 2 4 13 3 3" xfId="30108" xr:uid="{8EC37EDE-8A2F-4403-9A4C-74BEC0E7EA33}"/>
    <cellStyle name="Comma 2 4 13 4" xfId="5264" xr:uid="{00000000-0005-0000-0000-000092090000}"/>
    <cellStyle name="Comma 2 4 13 4 2" xfId="16850" xr:uid="{0E8F84AF-D4DF-498C-BB6B-1DDF6E3E4DF0}"/>
    <cellStyle name="Comma 2 4 13 4 3" xfId="27266" xr:uid="{729C714A-A907-4B01-860A-FA8F58EE4137}"/>
    <cellStyle name="Comma 2 4 13 5" xfId="13334" xr:uid="{2E6D6D5E-AD48-49BD-8A42-CC856FF2A978}"/>
    <cellStyle name="Comma 2 4 13 6" xfId="23750" xr:uid="{F0F4B40A-D47F-49DE-B117-28A72D92FEB3}"/>
    <cellStyle name="Comma 2 4 14" xfId="1001" xr:uid="{00000000-0005-0000-0000-000093090000}"/>
    <cellStyle name="Comma 2 4 14 2" xfId="8148" xr:uid="{00000000-0005-0000-0000-000094090000}"/>
    <cellStyle name="Comma 2 4 14 2 2" xfId="19694" xr:uid="{2C585ABC-7D89-470B-ACBD-4460FA660CA6}"/>
    <cellStyle name="Comma 2 4 14 2 3" xfId="30110" xr:uid="{9CE838AD-BD10-4700-9324-32752F0BADED}"/>
    <cellStyle name="Comma 2 4 14 3" xfId="13336" xr:uid="{4A196AFB-82C2-489D-9260-CD067339BB16}"/>
    <cellStyle name="Comma 2 4 14 4" xfId="23752" xr:uid="{8198A191-BE7C-4629-AD68-389C7E341ED2}"/>
    <cellStyle name="Comma 2 4 15" xfId="8133" xr:uid="{00000000-0005-0000-0000-000095090000}"/>
    <cellStyle name="Comma 2 4 15 2" xfId="19679" xr:uid="{FA3D1C13-C740-447A-8613-51431E4BF7BC}"/>
    <cellStyle name="Comma 2 4 15 3" xfId="30095" xr:uid="{4978C4E7-AA24-4713-B939-6A7D733ECFD0}"/>
    <cellStyle name="Comma 2 4 16" xfId="5257" xr:uid="{00000000-0005-0000-0000-000096090000}"/>
    <cellStyle name="Comma 2 4 16 2" xfId="16843" xr:uid="{2A4DEDD4-F2F3-44EF-BE67-05220A557DF8}"/>
    <cellStyle name="Comma 2 4 16 3" xfId="27259" xr:uid="{B0FFBFE0-BDE2-4197-876C-C195AAF90013}"/>
    <cellStyle name="Comma 2 4 17" xfId="12345" xr:uid="{00000000-0005-0000-0000-000097090000}"/>
    <cellStyle name="Comma 2 4 17 2" xfId="22751" xr:uid="{199C82F1-F6A3-4859-8E31-C2F414F05B95}"/>
    <cellStyle name="Comma 2 4 17 3" xfId="33167" xr:uid="{1E2C0070-5EBD-4B5B-BB30-C25392108C7C}"/>
    <cellStyle name="Comma 2 4 18" xfId="12360" xr:uid="{00000000-0005-0000-0000-000098090000}"/>
    <cellStyle name="Comma 2 4 18 2" xfId="22766" xr:uid="{9802ACC3-8B5A-4BC7-A8A8-CD96A0BF50A3}"/>
    <cellStyle name="Comma 2 4 18 3" xfId="33182" xr:uid="{3E815132-C719-4E55-8741-31BE150095F1}"/>
    <cellStyle name="Comma 2 4 19" xfId="13321" xr:uid="{06AE10AF-AFDF-46AE-8B24-72B968F5089D}"/>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2 2 2" xfId="19697" xr:uid="{7423EEA1-33BC-48E5-9E90-75D5B5290849}"/>
    <cellStyle name="Comma 2 4 2 10 2 2 3" xfId="30113" xr:uid="{B4E50288-5841-4D14-B20B-9AC8A0B29575}"/>
    <cellStyle name="Comma 2 4 2 10 2 3" xfId="13339" xr:uid="{0E798F07-1B32-494D-8C05-2783EF7B6BDA}"/>
    <cellStyle name="Comma 2 4 2 10 2 4" xfId="23755" xr:uid="{0F55EBDB-3AF4-40F3-A88E-EAA8DA024CE1}"/>
    <cellStyle name="Comma 2 4 2 10 3" xfId="8150" xr:uid="{00000000-0005-0000-0000-00009D090000}"/>
    <cellStyle name="Comma 2 4 2 10 3 2" xfId="19696" xr:uid="{9D4905B2-229E-456C-8567-2237645D7A1B}"/>
    <cellStyle name="Comma 2 4 2 10 3 3" xfId="30112" xr:uid="{4D769B2A-91D0-4C7A-953E-2E7CDC3E244A}"/>
    <cellStyle name="Comma 2 4 2 10 4" xfId="5266" xr:uid="{00000000-0005-0000-0000-00009E090000}"/>
    <cellStyle name="Comma 2 4 2 10 4 2" xfId="16852" xr:uid="{20A1A355-5700-4CE1-9A61-CE15C1A717FA}"/>
    <cellStyle name="Comma 2 4 2 10 4 3" xfId="27268" xr:uid="{4AAD3FCC-AFB5-4F8D-AA91-2FD7FBC04ECA}"/>
    <cellStyle name="Comma 2 4 2 10 5" xfId="13338" xr:uid="{957D4145-50EC-4814-A712-988CB5113BFC}"/>
    <cellStyle name="Comma 2 4 2 10 6" xfId="23754" xr:uid="{286A61B5-94E4-42C8-9E8C-600BF8998AE4}"/>
    <cellStyle name="Comma 2 4 2 11" xfId="1005" xr:uid="{00000000-0005-0000-0000-00009F090000}"/>
    <cellStyle name="Comma 2 4 2 11 2" xfId="8152" xr:uid="{00000000-0005-0000-0000-0000A0090000}"/>
    <cellStyle name="Comma 2 4 2 11 2 2" xfId="19698" xr:uid="{6CF8E676-27AD-41F0-ACFC-274C173AAE33}"/>
    <cellStyle name="Comma 2 4 2 11 2 3" xfId="30114" xr:uid="{ED1C01A1-5CA9-4CB3-BC03-FEA16925720B}"/>
    <cellStyle name="Comma 2 4 2 11 3" xfId="13340" xr:uid="{CB6BCBB5-0D98-45DE-830E-DC73D2C2A4E4}"/>
    <cellStyle name="Comma 2 4 2 11 4" xfId="23756" xr:uid="{4B631665-23B3-4596-ABD8-8517D5EBE39B}"/>
    <cellStyle name="Comma 2 4 2 12" xfId="8149" xr:uid="{00000000-0005-0000-0000-0000A1090000}"/>
    <cellStyle name="Comma 2 4 2 12 2" xfId="19695" xr:uid="{4CBA8600-6E7C-4080-9867-271DAC1AC3DF}"/>
    <cellStyle name="Comma 2 4 2 12 3" xfId="30111" xr:uid="{A48EE36E-E1B1-4A78-8908-A139392D1A57}"/>
    <cellStyle name="Comma 2 4 2 13" xfId="5265" xr:uid="{00000000-0005-0000-0000-0000A2090000}"/>
    <cellStyle name="Comma 2 4 2 13 2" xfId="16851" xr:uid="{1939801C-DAA4-4B1B-8BCE-A900AE0AE992}"/>
    <cellStyle name="Comma 2 4 2 13 3" xfId="27267" xr:uid="{9B8CE7A8-CABF-43CB-9132-B5874D8D075E}"/>
    <cellStyle name="Comma 2 4 2 14" xfId="13337" xr:uid="{E3B1677C-0362-4B51-A1E9-C42C35D62214}"/>
    <cellStyle name="Comma 2 4 2 15" xfId="23753" xr:uid="{E12D3980-593D-4CA1-95F3-15DAFD9B7078}"/>
    <cellStyle name="Comma 2 4 2 2" xfId="1006" xr:uid="{00000000-0005-0000-0000-0000A3090000}"/>
    <cellStyle name="Comma 2 4 2 2 10" xfId="1007" xr:uid="{00000000-0005-0000-0000-0000A4090000}"/>
    <cellStyle name="Comma 2 4 2 2 10 2" xfId="8154" xr:uid="{00000000-0005-0000-0000-0000A5090000}"/>
    <cellStyle name="Comma 2 4 2 2 10 2 2" xfId="19700" xr:uid="{09CF44E5-FB13-4BEA-8EC9-059D661BA17F}"/>
    <cellStyle name="Comma 2 4 2 2 10 2 3" xfId="30116" xr:uid="{09B02536-0583-4B30-96E9-EAE929E69DCA}"/>
    <cellStyle name="Comma 2 4 2 2 10 3" xfId="13342" xr:uid="{51F1D775-B41A-4FB8-9D6C-70683D288BB2}"/>
    <cellStyle name="Comma 2 4 2 2 10 4" xfId="23758" xr:uid="{B677A678-3B4E-4261-8748-72C5DA7DF8AE}"/>
    <cellStyle name="Comma 2 4 2 2 11" xfId="8153" xr:uid="{00000000-0005-0000-0000-0000A6090000}"/>
    <cellStyle name="Comma 2 4 2 2 11 2" xfId="19699" xr:uid="{29180668-1D56-4653-AC87-3DDEAC7157FC}"/>
    <cellStyle name="Comma 2 4 2 2 11 3" xfId="30115" xr:uid="{00E64C70-47F9-4587-820A-19F0D2E8F026}"/>
    <cellStyle name="Comma 2 4 2 2 12" xfId="5267" xr:uid="{00000000-0005-0000-0000-0000A7090000}"/>
    <cellStyle name="Comma 2 4 2 2 12 2" xfId="16853" xr:uid="{D099153C-02E4-4368-AAA8-80B3DC9FE413}"/>
    <cellStyle name="Comma 2 4 2 2 12 3" xfId="27269" xr:uid="{B4BDD10E-1069-47D3-A6A6-A1B6B640C51B}"/>
    <cellStyle name="Comma 2 4 2 2 13" xfId="13341" xr:uid="{C9F04C44-BB0A-42AC-A00C-E1F0A05D4BC5}"/>
    <cellStyle name="Comma 2 4 2 2 14" xfId="23757" xr:uid="{BECEA89C-4862-4D0F-813E-946E2DE49C5B}"/>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2 2 2" xfId="19704" xr:uid="{44C57D80-9252-4A55-B0C3-5402AB2A1430}"/>
    <cellStyle name="Comma 2 4 2 2 2 2 2 2 2 3" xfId="30120" xr:uid="{63F90855-B951-496F-883D-EF7EB934B04A}"/>
    <cellStyle name="Comma 2 4 2 2 2 2 2 2 3" xfId="13346" xr:uid="{6EF26EEA-F92B-4C67-B51A-E85689BC3D21}"/>
    <cellStyle name="Comma 2 4 2 2 2 2 2 2 4" xfId="23762" xr:uid="{1A43C5AD-277B-4ABB-AB98-D3694A0FE68A}"/>
    <cellStyle name="Comma 2 4 2 2 2 2 2 3" xfId="8157" xr:uid="{00000000-0005-0000-0000-0000AD090000}"/>
    <cellStyle name="Comma 2 4 2 2 2 2 2 3 2" xfId="19703" xr:uid="{B4EA733A-C6BB-4BC7-BF97-BF1F8071B0E7}"/>
    <cellStyle name="Comma 2 4 2 2 2 2 2 3 3" xfId="30119" xr:uid="{D8409D81-4C5C-4F70-A0AA-4846C798CFC7}"/>
    <cellStyle name="Comma 2 4 2 2 2 2 2 4" xfId="5270" xr:uid="{00000000-0005-0000-0000-0000AE090000}"/>
    <cellStyle name="Comma 2 4 2 2 2 2 2 4 2" xfId="16856" xr:uid="{C1C48FFC-D62B-412C-BE75-3824770A184C}"/>
    <cellStyle name="Comma 2 4 2 2 2 2 2 4 3" xfId="27272" xr:uid="{2FDF3B3E-38BD-459D-8663-ADEF9B45E672}"/>
    <cellStyle name="Comma 2 4 2 2 2 2 2 5" xfId="13345" xr:uid="{3D8AAD7D-B259-4237-A103-AFBAE9A67B50}"/>
    <cellStyle name="Comma 2 4 2 2 2 2 2 6" xfId="23761" xr:uid="{A8ACB09B-D91F-40A2-A152-3B60403B9F78}"/>
    <cellStyle name="Comma 2 4 2 2 2 2 3" xfId="1012" xr:uid="{00000000-0005-0000-0000-0000AF090000}"/>
    <cellStyle name="Comma 2 4 2 2 2 2 3 2" xfId="8159" xr:uid="{00000000-0005-0000-0000-0000B0090000}"/>
    <cellStyle name="Comma 2 4 2 2 2 2 3 2 2" xfId="19705" xr:uid="{7FA18930-801E-4463-8B3A-900464023627}"/>
    <cellStyle name="Comma 2 4 2 2 2 2 3 2 3" xfId="30121" xr:uid="{22353259-AC81-4D63-88CB-A57C08B76823}"/>
    <cellStyle name="Comma 2 4 2 2 2 2 3 3" xfId="13347" xr:uid="{37766E2C-F83A-4AE9-9D67-F926B18B2F27}"/>
    <cellStyle name="Comma 2 4 2 2 2 2 3 4" xfId="23763" xr:uid="{DD286A53-8BC0-4C79-A21A-6D075BBF5BFC}"/>
    <cellStyle name="Comma 2 4 2 2 2 2 4" xfId="8156" xr:uid="{00000000-0005-0000-0000-0000B1090000}"/>
    <cellStyle name="Comma 2 4 2 2 2 2 4 2" xfId="19702" xr:uid="{E3F80C46-3FF4-4754-BB90-14E8519E4791}"/>
    <cellStyle name="Comma 2 4 2 2 2 2 4 3" xfId="30118" xr:uid="{72453EFD-3ED1-4F6F-AC30-738AE95207B5}"/>
    <cellStyle name="Comma 2 4 2 2 2 2 5" xfId="5269" xr:uid="{00000000-0005-0000-0000-0000B2090000}"/>
    <cellStyle name="Comma 2 4 2 2 2 2 5 2" xfId="16855" xr:uid="{E3B2CD72-493D-4092-A1BB-315924A0EFB9}"/>
    <cellStyle name="Comma 2 4 2 2 2 2 5 3" xfId="27271" xr:uid="{B3E75FEA-4F85-48B8-9B43-DFAC41970959}"/>
    <cellStyle name="Comma 2 4 2 2 2 2 6" xfId="13344" xr:uid="{38B3478F-A4EB-4461-8AED-5EBC48DB734E}"/>
    <cellStyle name="Comma 2 4 2 2 2 2 7" xfId="23760" xr:uid="{73EF6F85-BADE-4204-8618-3C25AB019C1C}"/>
    <cellStyle name="Comma 2 4 2 2 2 3" xfId="1013" xr:uid="{00000000-0005-0000-0000-0000B3090000}"/>
    <cellStyle name="Comma 2 4 2 2 2 3 2" xfId="1014" xr:uid="{00000000-0005-0000-0000-0000B4090000}"/>
    <cellStyle name="Comma 2 4 2 2 2 3 2 2" xfId="8161" xr:uid="{00000000-0005-0000-0000-0000B5090000}"/>
    <cellStyle name="Comma 2 4 2 2 2 3 2 2 2" xfId="19707" xr:uid="{F2A7CA99-2AF1-4143-A119-EEB496CCEE24}"/>
    <cellStyle name="Comma 2 4 2 2 2 3 2 2 3" xfId="30123" xr:uid="{B803B6E8-0244-4513-B0E3-009DB00A44B7}"/>
    <cellStyle name="Comma 2 4 2 2 2 3 2 3" xfId="13349" xr:uid="{3CAF6DD0-B285-4574-965D-F23CACD3659E}"/>
    <cellStyle name="Comma 2 4 2 2 2 3 2 4" xfId="23765" xr:uid="{163F510E-1200-4109-A126-A4B86545606D}"/>
    <cellStyle name="Comma 2 4 2 2 2 3 3" xfId="8160" xr:uid="{00000000-0005-0000-0000-0000B6090000}"/>
    <cellStyle name="Comma 2 4 2 2 2 3 3 2" xfId="19706" xr:uid="{5CC5083D-28B3-4287-9C52-551B7B615BD1}"/>
    <cellStyle name="Comma 2 4 2 2 2 3 3 3" xfId="30122" xr:uid="{4EE12ABA-811F-49AB-907D-03AFDF7F485F}"/>
    <cellStyle name="Comma 2 4 2 2 2 3 4" xfId="5271" xr:uid="{00000000-0005-0000-0000-0000B7090000}"/>
    <cellStyle name="Comma 2 4 2 2 2 3 4 2" xfId="16857" xr:uid="{01448695-63C7-4251-A76A-DD4326008D85}"/>
    <cellStyle name="Comma 2 4 2 2 2 3 4 3" xfId="27273" xr:uid="{2732EF99-599E-4E36-9D72-B63E162A64BF}"/>
    <cellStyle name="Comma 2 4 2 2 2 3 5" xfId="13348" xr:uid="{A64840A7-4E93-47C0-AFC8-33DC3BD9DD03}"/>
    <cellStyle name="Comma 2 4 2 2 2 3 6" xfId="23764" xr:uid="{EBA57909-A57B-48D3-AB3C-47FEA29D4FDE}"/>
    <cellStyle name="Comma 2 4 2 2 2 4" xfId="1015" xr:uid="{00000000-0005-0000-0000-0000B8090000}"/>
    <cellStyle name="Comma 2 4 2 2 2 4 2" xfId="1016" xr:uid="{00000000-0005-0000-0000-0000B9090000}"/>
    <cellStyle name="Comma 2 4 2 2 2 4 2 2" xfId="8163" xr:uid="{00000000-0005-0000-0000-0000BA090000}"/>
    <cellStyle name="Comma 2 4 2 2 2 4 2 2 2" xfId="19709" xr:uid="{073039B5-10EB-4BA6-BA8F-45F370BC0DC6}"/>
    <cellStyle name="Comma 2 4 2 2 2 4 2 2 3" xfId="30125" xr:uid="{BE7694DF-ED6A-4689-A8D9-222FA031A1D4}"/>
    <cellStyle name="Comma 2 4 2 2 2 4 2 3" xfId="13351" xr:uid="{DE6D2BA3-A8CE-4686-AAEE-FDB136D2E81A}"/>
    <cellStyle name="Comma 2 4 2 2 2 4 2 4" xfId="23767" xr:uid="{94D29DB9-D6CC-4DA1-ADF8-D2074277E2B9}"/>
    <cellStyle name="Comma 2 4 2 2 2 4 3" xfId="8162" xr:uid="{00000000-0005-0000-0000-0000BB090000}"/>
    <cellStyle name="Comma 2 4 2 2 2 4 3 2" xfId="19708" xr:uid="{0EECD110-EBCC-4902-BDB6-944D62AD50EA}"/>
    <cellStyle name="Comma 2 4 2 2 2 4 3 3" xfId="30124" xr:uid="{AD224C25-592C-4EBA-855C-8D1656169637}"/>
    <cellStyle name="Comma 2 4 2 2 2 4 4" xfId="5272" xr:uid="{00000000-0005-0000-0000-0000BC090000}"/>
    <cellStyle name="Comma 2 4 2 2 2 4 4 2" xfId="16858" xr:uid="{1DA8319E-5C2E-4AF4-AD1E-457F244BF7E5}"/>
    <cellStyle name="Comma 2 4 2 2 2 4 4 3" xfId="27274" xr:uid="{708FBFE2-0308-4E17-B70F-02D9679FD0A1}"/>
    <cellStyle name="Comma 2 4 2 2 2 4 5" xfId="13350" xr:uid="{081F97F8-F2CA-4F52-93CE-60514853A191}"/>
    <cellStyle name="Comma 2 4 2 2 2 4 6" xfId="23766" xr:uid="{F6AB571A-73CA-4B41-8BB5-834F5CE53F1C}"/>
    <cellStyle name="Comma 2 4 2 2 2 5" xfId="1017" xr:uid="{00000000-0005-0000-0000-0000BD090000}"/>
    <cellStyle name="Comma 2 4 2 2 2 5 2" xfId="8164" xr:uid="{00000000-0005-0000-0000-0000BE090000}"/>
    <cellStyle name="Comma 2 4 2 2 2 5 2 2" xfId="19710" xr:uid="{C115836F-C5D5-4F06-969E-0D38B0B2AE16}"/>
    <cellStyle name="Comma 2 4 2 2 2 5 2 3" xfId="30126" xr:uid="{BB30C961-A76B-4667-A860-B6ACCC515014}"/>
    <cellStyle name="Comma 2 4 2 2 2 5 3" xfId="13352" xr:uid="{CE1FB21D-FEB7-4122-8C43-8296A7CC3837}"/>
    <cellStyle name="Comma 2 4 2 2 2 5 4" xfId="23768" xr:uid="{F5D695E8-7654-42EE-88DA-951E793C1792}"/>
    <cellStyle name="Comma 2 4 2 2 2 6" xfId="8155" xr:uid="{00000000-0005-0000-0000-0000BF090000}"/>
    <cellStyle name="Comma 2 4 2 2 2 6 2" xfId="19701" xr:uid="{F6201E35-4D0D-4C19-8D28-28D2B4006F12}"/>
    <cellStyle name="Comma 2 4 2 2 2 6 3" xfId="30117" xr:uid="{50DF323F-CA42-4BDE-BC3E-AB87F1667ADA}"/>
    <cellStyle name="Comma 2 4 2 2 2 7" xfId="5268" xr:uid="{00000000-0005-0000-0000-0000C0090000}"/>
    <cellStyle name="Comma 2 4 2 2 2 7 2" xfId="16854" xr:uid="{39D6F50E-8136-4FBF-81D9-D4C187C0EB14}"/>
    <cellStyle name="Comma 2 4 2 2 2 7 3" xfId="27270" xr:uid="{CE5667AF-7012-4C9F-830D-0708178AFB01}"/>
    <cellStyle name="Comma 2 4 2 2 2 8" xfId="13343" xr:uid="{6230F2C3-4055-4D0E-A1C5-08F17722AD7B}"/>
    <cellStyle name="Comma 2 4 2 2 2 9" xfId="23759" xr:uid="{2B61BC7E-5581-4E59-9794-845130157AA7}"/>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2 2 2" xfId="19714" xr:uid="{C40B2F16-597A-40F8-BD90-A39B4A6E8557}"/>
    <cellStyle name="Comma 2 4 2 2 3 2 2 2 2 3" xfId="30130" xr:uid="{D88931AA-593C-4289-9FDA-C24EB811C12A}"/>
    <cellStyle name="Comma 2 4 2 2 3 2 2 2 3" xfId="13356" xr:uid="{C2794938-E2D7-4CF9-9142-E9205372DE48}"/>
    <cellStyle name="Comma 2 4 2 2 3 2 2 2 4" xfId="23772" xr:uid="{9462FC06-742A-4183-BE64-84214A17BA42}"/>
    <cellStyle name="Comma 2 4 2 2 3 2 2 3" xfId="8167" xr:uid="{00000000-0005-0000-0000-0000C6090000}"/>
    <cellStyle name="Comma 2 4 2 2 3 2 2 3 2" xfId="19713" xr:uid="{0BD3EFDA-4990-4D3F-8CD2-822E50DCC401}"/>
    <cellStyle name="Comma 2 4 2 2 3 2 2 3 3" xfId="30129" xr:uid="{641FE0D4-BDCE-4F10-B4F1-D538236F6464}"/>
    <cellStyle name="Comma 2 4 2 2 3 2 2 4" xfId="5275" xr:uid="{00000000-0005-0000-0000-0000C7090000}"/>
    <cellStyle name="Comma 2 4 2 2 3 2 2 4 2" xfId="16861" xr:uid="{0887EED8-56AA-4417-85BE-49088E6BEB6F}"/>
    <cellStyle name="Comma 2 4 2 2 3 2 2 4 3" xfId="27277" xr:uid="{9D747CB6-EA94-49A4-9D9A-794924A2AB05}"/>
    <cellStyle name="Comma 2 4 2 2 3 2 2 5" xfId="13355" xr:uid="{187065A3-3880-4487-8DFF-8B0D60AA3017}"/>
    <cellStyle name="Comma 2 4 2 2 3 2 2 6" xfId="23771" xr:uid="{0F40FB3A-9156-4F01-B6F0-73DB8E78DCDB}"/>
    <cellStyle name="Comma 2 4 2 2 3 2 3" xfId="1022" xr:uid="{00000000-0005-0000-0000-0000C8090000}"/>
    <cellStyle name="Comma 2 4 2 2 3 2 3 2" xfId="8169" xr:uid="{00000000-0005-0000-0000-0000C9090000}"/>
    <cellStyle name="Comma 2 4 2 2 3 2 3 2 2" xfId="19715" xr:uid="{8AFD0FC4-1BC0-4B03-80D3-932180EA20DD}"/>
    <cellStyle name="Comma 2 4 2 2 3 2 3 2 3" xfId="30131" xr:uid="{289E6D00-86E8-41BA-A323-3A6A857F5A64}"/>
    <cellStyle name="Comma 2 4 2 2 3 2 3 3" xfId="13357" xr:uid="{8DFDED27-81DF-4ADD-9D0D-EA06B45EE9A4}"/>
    <cellStyle name="Comma 2 4 2 2 3 2 3 4" xfId="23773" xr:uid="{3D76623F-362E-4639-8FD4-0F4E4BB5AA38}"/>
    <cellStyle name="Comma 2 4 2 2 3 2 4" xfId="8166" xr:uid="{00000000-0005-0000-0000-0000CA090000}"/>
    <cellStyle name="Comma 2 4 2 2 3 2 4 2" xfId="19712" xr:uid="{BF14C5B0-B313-4201-A1C9-B258CBCFC5A6}"/>
    <cellStyle name="Comma 2 4 2 2 3 2 4 3" xfId="30128" xr:uid="{D0F6985F-FD85-470C-B09E-D7E0BB1204BD}"/>
    <cellStyle name="Comma 2 4 2 2 3 2 5" xfId="5274" xr:uid="{00000000-0005-0000-0000-0000CB090000}"/>
    <cellStyle name="Comma 2 4 2 2 3 2 5 2" xfId="16860" xr:uid="{8748D333-9DBD-4F7D-ACD0-5FC53ABA33BB}"/>
    <cellStyle name="Comma 2 4 2 2 3 2 5 3" xfId="27276" xr:uid="{E55AD25C-7875-4F4E-82D0-F516351F896A}"/>
    <cellStyle name="Comma 2 4 2 2 3 2 6" xfId="13354" xr:uid="{471AEFE6-F6A7-4653-8705-107949182EE7}"/>
    <cellStyle name="Comma 2 4 2 2 3 2 7" xfId="23770" xr:uid="{0768EC54-2B92-4231-B880-FAF52328004D}"/>
    <cellStyle name="Comma 2 4 2 2 3 3" xfId="1023" xr:uid="{00000000-0005-0000-0000-0000CC090000}"/>
    <cellStyle name="Comma 2 4 2 2 3 3 2" xfId="1024" xr:uid="{00000000-0005-0000-0000-0000CD090000}"/>
    <cellStyle name="Comma 2 4 2 2 3 3 2 2" xfId="8171" xr:uid="{00000000-0005-0000-0000-0000CE090000}"/>
    <cellStyle name="Comma 2 4 2 2 3 3 2 2 2" xfId="19717" xr:uid="{DD3FA376-0AF6-4585-8C8D-CFA605D1948F}"/>
    <cellStyle name="Comma 2 4 2 2 3 3 2 2 3" xfId="30133" xr:uid="{ADB698C4-5A98-4351-84FA-AC9A71A583EA}"/>
    <cellStyle name="Comma 2 4 2 2 3 3 2 3" xfId="13359" xr:uid="{BCF7507B-1900-4588-BDF7-F6591821EEB6}"/>
    <cellStyle name="Comma 2 4 2 2 3 3 2 4" xfId="23775" xr:uid="{B62F5409-F256-4D39-B9F6-26616F577145}"/>
    <cellStyle name="Comma 2 4 2 2 3 3 3" xfId="8170" xr:uid="{00000000-0005-0000-0000-0000CF090000}"/>
    <cellStyle name="Comma 2 4 2 2 3 3 3 2" xfId="19716" xr:uid="{9BDE8099-CBFD-44A3-9D6D-252FCA25E4A1}"/>
    <cellStyle name="Comma 2 4 2 2 3 3 3 3" xfId="30132" xr:uid="{023BED6B-B7BE-43BE-AF7C-32071250C7B7}"/>
    <cellStyle name="Comma 2 4 2 2 3 3 4" xfId="5276" xr:uid="{00000000-0005-0000-0000-0000D0090000}"/>
    <cellStyle name="Comma 2 4 2 2 3 3 4 2" xfId="16862" xr:uid="{901FFF1E-9631-49B2-A790-AAC8C2628188}"/>
    <cellStyle name="Comma 2 4 2 2 3 3 4 3" xfId="27278" xr:uid="{AEDAA625-3168-413A-8F61-11B6CE81E556}"/>
    <cellStyle name="Comma 2 4 2 2 3 3 5" xfId="13358" xr:uid="{6FCE9816-02F8-4BA6-B038-C71591C38704}"/>
    <cellStyle name="Comma 2 4 2 2 3 3 6" xfId="23774" xr:uid="{D2B6D21C-51A4-4A14-A28F-691EEC9262AC}"/>
    <cellStyle name="Comma 2 4 2 2 3 4" xfId="1025" xr:uid="{00000000-0005-0000-0000-0000D1090000}"/>
    <cellStyle name="Comma 2 4 2 2 3 4 2" xfId="1026" xr:uid="{00000000-0005-0000-0000-0000D2090000}"/>
    <cellStyle name="Comma 2 4 2 2 3 4 2 2" xfId="8173" xr:uid="{00000000-0005-0000-0000-0000D3090000}"/>
    <cellStyle name="Comma 2 4 2 2 3 4 2 2 2" xfId="19719" xr:uid="{148C53E1-CCA8-40CA-B25E-53F620D01410}"/>
    <cellStyle name="Comma 2 4 2 2 3 4 2 2 3" xfId="30135" xr:uid="{B66682C1-A248-45C2-9881-C9C2628EAE06}"/>
    <cellStyle name="Comma 2 4 2 2 3 4 2 3" xfId="13361" xr:uid="{81E27376-FAD6-4222-98E9-86074EE0FCDC}"/>
    <cellStyle name="Comma 2 4 2 2 3 4 2 4" xfId="23777" xr:uid="{2AC7BA15-9AE6-476F-8428-3456788F0764}"/>
    <cellStyle name="Comma 2 4 2 2 3 4 3" xfId="8172" xr:uid="{00000000-0005-0000-0000-0000D4090000}"/>
    <cellStyle name="Comma 2 4 2 2 3 4 3 2" xfId="19718" xr:uid="{F760D197-BC0B-4D54-9C66-01D661D381B4}"/>
    <cellStyle name="Comma 2 4 2 2 3 4 3 3" xfId="30134" xr:uid="{39890695-2496-45CC-A678-579BAE29E34A}"/>
    <cellStyle name="Comma 2 4 2 2 3 4 4" xfId="5277" xr:uid="{00000000-0005-0000-0000-0000D5090000}"/>
    <cellStyle name="Comma 2 4 2 2 3 4 4 2" xfId="16863" xr:uid="{F8141BD3-34A9-486A-AF38-A1357FCFDCBA}"/>
    <cellStyle name="Comma 2 4 2 2 3 4 4 3" xfId="27279" xr:uid="{9C96D634-7A3D-45BA-BF9B-5830EAC05433}"/>
    <cellStyle name="Comma 2 4 2 2 3 4 5" xfId="13360" xr:uid="{5C7E519F-4108-4F40-9A2D-ECA835E032E1}"/>
    <cellStyle name="Comma 2 4 2 2 3 4 6" xfId="23776" xr:uid="{4555A506-0454-4CA5-AE2E-2CC8B4EF995B}"/>
    <cellStyle name="Comma 2 4 2 2 3 5" xfId="1027" xr:uid="{00000000-0005-0000-0000-0000D6090000}"/>
    <cellStyle name="Comma 2 4 2 2 3 5 2" xfId="8174" xr:uid="{00000000-0005-0000-0000-0000D7090000}"/>
    <cellStyle name="Comma 2 4 2 2 3 5 2 2" xfId="19720" xr:uid="{75BE47D1-D537-4C48-A78B-FE856DF39BA2}"/>
    <cellStyle name="Comma 2 4 2 2 3 5 2 3" xfId="30136" xr:uid="{05DBF50C-E5F8-46F2-AC39-3B0519F57382}"/>
    <cellStyle name="Comma 2 4 2 2 3 5 3" xfId="13362" xr:uid="{0A05A1E0-496D-4981-A90B-AFEA9055F251}"/>
    <cellStyle name="Comma 2 4 2 2 3 5 4" xfId="23778" xr:uid="{F7BD4AC3-12CA-4F01-8C20-91810F8DE02D}"/>
    <cellStyle name="Comma 2 4 2 2 3 6" xfId="8165" xr:uid="{00000000-0005-0000-0000-0000D8090000}"/>
    <cellStyle name="Comma 2 4 2 2 3 6 2" xfId="19711" xr:uid="{3C31ED08-0B0C-4720-9CE0-4E7D3FB8AC9E}"/>
    <cellStyle name="Comma 2 4 2 2 3 6 3" xfId="30127" xr:uid="{AA984AAF-50B3-4D98-862F-933248D034AD}"/>
    <cellStyle name="Comma 2 4 2 2 3 7" xfId="5273" xr:uid="{00000000-0005-0000-0000-0000D9090000}"/>
    <cellStyle name="Comma 2 4 2 2 3 7 2" xfId="16859" xr:uid="{7446E589-601C-4D46-9CC4-31E80C4B86DE}"/>
    <cellStyle name="Comma 2 4 2 2 3 7 3" xfId="27275" xr:uid="{FD32C222-7D89-4F4D-A3EE-54FA92E4A16D}"/>
    <cellStyle name="Comma 2 4 2 2 3 8" xfId="13353" xr:uid="{EADCAF46-0512-47EB-A61D-B54ADA7ED718}"/>
    <cellStyle name="Comma 2 4 2 2 3 9" xfId="23769" xr:uid="{37EA3FD1-E31A-44A0-A7E5-4FAF8A5A2C3E}"/>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2 2 2" xfId="19724" xr:uid="{E32C2046-F143-40DC-B3AF-3182E485DB43}"/>
    <cellStyle name="Comma 2 4 2 2 4 2 2 2 2 3" xfId="30140" xr:uid="{21C7BE39-F375-4DA1-81BE-BBC1E04DDC3B}"/>
    <cellStyle name="Comma 2 4 2 2 4 2 2 2 3" xfId="13366" xr:uid="{6769F4D2-AD45-4DB4-8ED6-454CBCD305C4}"/>
    <cellStyle name="Comma 2 4 2 2 4 2 2 2 4" xfId="23782" xr:uid="{D3125465-D7C5-494A-A0E2-7C48D9211E2B}"/>
    <cellStyle name="Comma 2 4 2 2 4 2 2 3" xfId="8177" xr:uid="{00000000-0005-0000-0000-0000DF090000}"/>
    <cellStyle name="Comma 2 4 2 2 4 2 2 3 2" xfId="19723" xr:uid="{AA3159AD-28EB-4258-93D3-48C0EED03362}"/>
    <cellStyle name="Comma 2 4 2 2 4 2 2 3 3" xfId="30139" xr:uid="{EBF9E776-4981-4581-B3C7-E283D52565D6}"/>
    <cellStyle name="Comma 2 4 2 2 4 2 2 4" xfId="5280" xr:uid="{00000000-0005-0000-0000-0000E0090000}"/>
    <cellStyle name="Comma 2 4 2 2 4 2 2 4 2" xfId="16866" xr:uid="{F3B01BF7-9473-4CAB-B863-465C7429B4B9}"/>
    <cellStyle name="Comma 2 4 2 2 4 2 2 4 3" xfId="27282" xr:uid="{E6AC536D-38E6-4BEB-A8FB-E1A47FBA55CD}"/>
    <cellStyle name="Comma 2 4 2 2 4 2 2 5" xfId="13365" xr:uid="{3D284791-9ACD-4ABB-A536-DF4C5A99EE3C}"/>
    <cellStyle name="Comma 2 4 2 2 4 2 2 6" xfId="23781" xr:uid="{08C29A00-5CDC-4C68-BAEF-71B08E0FCF39}"/>
    <cellStyle name="Comma 2 4 2 2 4 2 3" xfId="1032" xr:uid="{00000000-0005-0000-0000-0000E1090000}"/>
    <cellStyle name="Comma 2 4 2 2 4 2 3 2" xfId="8179" xr:uid="{00000000-0005-0000-0000-0000E2090000}"/>
    <cellStyle name="Comma 2 4 2 2 4 2 3 2 2" xfId="19725" xr:uid="{27643FDE-3F9B-4E65-A24E-2BE30458069B}"/>
    <cellStyle name="Comma 2 4 2 2 4 2 3 2 3" xfId="30141" xr:uid="{2D69EA82-2DB2-4E8E-AF1C-99DAADCA4C9E}"/>
    <cellStyle name="Comma 2 4 2 2 4 2 3 3" xfId="13367" xr:uid="{1640A525-28C7-4E79-9023-2C7222A741D7}"/>
    <cellStyle name="Comma 2 4 2 2 4 2 3 4" xfId="23783" xr:uid="{3FA3CED0-ABC7-45EA-B148-1E77179B1F7C}"/>
    <cellStyle name="Comma 2 4 2 2 4 2 4" xfId="8176" xr:uid="{00000000-0005-0000-0000-0000E3090000}"/>
    <cellStyle name="Comma 2 4 2 2 4 2 4 2" xfId="19722" xr:uid="{D1327B9B-E466-4B9A-9CAC-A7ADC3925958}"/>
    <cellStyle name="Comma 2 4 2 2 4 2 4 3" xfId="30138" xr:uid="{6F87AF6F-D702-4CBB-A690-0B8984211370}"/>
    <cellStyle name="Comma 2 4 2 2 4 2 5" xfId="5279" xr:uid="{00000000-0005-0000-0000-0000E4090000}"/>
    <cellStyle name="Comma 2 4 2 2 4 2 5 2" xfId="16865" xr:uid="{8277C7A9-7E50-4135-A51A-339ABE43EA2B}"/>
    <cellStyle name="Comma 2 4 2 2 4 2 5 3" xfId="27281" xr:uid="{E4804E1B-3C8A-4AC4-9878-2877EBA4724B}"/>
    <cellStyle name="Comma 2 4 2 2 4 2 6" xfId="13364" xr:uid="{30E1F403-00D8-4E43-8FE2-EAC1B204C3FC}"/>
    <cellStyle name="Comma 2 4 2 2 4 2 7" xfId="23780" xr:uid="{9CD2971E-3595-44F7-91D4-272656A2BF7D}"/>
    <cellStyle name="Comma 2 4 2 2 4 3" xfId="1033" xr:uid="{00000000-0005-0000-0000-0000E5090000}"/>
    <cellStyle name="Comma 2 4 2 2 4 3 2" xfId="1034" xr:uid="{00000000-0005-0000-0000-0000E6090000}"/>
    <cellStyle name="Comma 2 4 2 2 4 3 2 2" xfId="8181" xr:uid="{00000000-0005-0000-0000-0000E7090000}"/>
    <cellStyle name="Comma 2 4 2 2 4 3 2 2 2" xfId="19727" xr:uid="{2A85AFF9-8CFE-4FBA-9753-9F5954D34D79}"/>
    <cellStyle name="Comma 2 4 2 2 4 3 2 2 3" xfId="30143" xr:uid="{1BAC5269-6C97-47D9-8F0E-ED99E1152AD2}"/>
    <cellStyle name="Comma 2 4 2 2 4 3 2 3" xfId="13369" xr:uid="{D8D857A3-9308-40D3-B4FC-F9587A5A555B}"/>
    <cellStyle name="Comma 2 4 2 2 4 3 2 4" xfId="23785" xr:uid="{3A421F1A-C089-463A-8706-055C8469303B}"/>
    <cellStyle name="Comma 2 4 2 2 4 3 3" xfId="8180" xr:uid="{00000000-0005-0000-0000-0000E8090000}"/>
    <cellStyle name="Comma 2 4 2 2 4 3 3 2" xfId="19726" xr:uid="{26FCB6DB-FB29-4DE2-BCAE-DA74807879DD}"/>
    <cellStyle name="Comma 2 4 2 2 4 3 3 3" xfId="30142" xr:uid="{440B6865-3A94-4118-82BB-4D691855EE9A}"/>
    <cellStyle name="Comma 2 4 2 2 4 3 4" xfId="5281" xr:uid="{00000000-0005-0000-0000-0000E9090000}"/>
    <cellStyle name="Comma 2 4 2 2 4 3 4 2" xfId="16867" xr:uid="{A2CDEB66-B6BD-420D-BFB2-E983E286F8E8}"/>
    <cellStyle name="Comma 2 4 2 2 4 3 4 3" xfId="27283" xr:uid="{F9A4A8A4-7F5A-4C9F-BBD1-92B80FEA64C4}"/>
    <cellStyle name="Comma 2 4 2 2 4 3 5" xfId="13368" xr:uid="{2FEDA69C-919C-454A-87B7-B5AF30067AB0}"/>
    <cellStyle name="Comma 2 4 2 2 4 3 6" xfId="23784" xr:uid="{43873B10-D7D9-4CD6-AF82-7668A32EE91C}"/>
    <cellStyle name="Comma 2 4 2 2 4 4" xfId="1035" xr:uid="{00000000-0005-0000-0000-0000EA090000}"/>
    <cellStyle name="Comma 2 4 2 2 4 4 2" xfId="1036" xr:uid="{00000000-0005-0000-0000-0000EB090000}"/>
    <cellStyle name="Comma 2 4 2 2 4 4 2 2" xfId="8183" xr:uid="{00000000-0005-0000-0000-0000EC090000}"/>
    <cellStyle name="Comma 2 4 2 2 4 4 2 2 2" xfId="19729" xr:uid="{F39E56AB-4633-44B8-AE93-27CF94BB6CD4}"/>
    <cellStyle name="Comma 2 4 2 2 4 4 2 2 3" xfId="30145" xr:uid="{2F4DC3C1-3CF2-4370-9074-BB0DD2258CC5}"/>
    <cellStyle name="Comma 2 4 2 2 4 4 2 3" xfId="13371" xr:uid="{2567CEFE-27BA-4830-AEA9-658A4E0939CF}"/>
    <cellStyle name="Comma 2 4 2 2 4 4 2 4" xfId="23787" xr:uid="{D777FB9A-6E0A-4655-9E65-C1DD173F2508}"/>
    <cellStyle name="Comma 2 4 2 2 4 4 3" xfId="8182" xr:uid="{00000000-0005-0000-0000-0000ED090000}"/>
    <cellStyle name="Comma 2 4 2 2 4 4 3 2" xfId="19728" xr:uid="{E474358D-BD9C-4F60-B834-E3641D54BD97}"/>
    <cellStyle name="Comma 2 4 2 2 4 4 3 3" xfId="30144" xr:uid="{F794A945-1B8C-4EB2-8490-875364163D38}"/>
    <cellStyle name="Comma 2 4 2 2 4 4 4" xfId="5282" xr:uid="{00000000-0005-0000-0000-0000EE090000}"/>
    <cellStyle name="Comma 2 4 2 2 4 4 4 2" xfId="16868" xr:uid="{7EE35031-79E5-4DD6-A6EA-64B064C117B7}"/>
    <cellStyle name="Comma 2 4 2 2 4 4 4 3" xfId="27284" xr:uid="{D7A093E3-E708-4582-8B02-527EFB5997A5}"/>
    <cellStyle name="Comma 2 4 2 2 4 4 5" xfId="13370" xr:uid="{865A2F65-7253-4BCB-8848-C3F61830A159}"/>
    <cellStyle name="Comma 2 4 2 2 4 4 6" xfId="23786" xr:uid="{CBFE959C-65B9-4746-8C2C-1220FA069E2E}"/>
    <cellStyle name="Comma 2 4 2 2 4 5" xfId="1037" xr:uid="{00000000-0005-0000-0000-0000EF090000}"/>
    <cellStyle name="Comma 2 4 2 2 4 5 2" xfId="8184" xr:uid="{00000000-0005-0000-0000-0000F0090000}"/>
    <cellStyle name="Comma 2 4 2 2 4 5 2 2" xfId="19730" xr:uid="{6DF346DA-E67E-4760-B9A0-A304C644C205}"/>
    <cellStyle name="Comma 2 4 2 2 4 5 2 3" xfId="30146" xr:uid="{1E2F7AD8-69BE-42B5-897B-65ECA2B10F22}"/>
    <cellStyle name="Comma 2 4 2 2 4 5 3" xfId="13372" xr:uid="{A4725051-3795-4750-9730-2EAD1A1A0B6C}"/>
    <cellStyle name="Comma 2 4 2 2 4 5 4" xfId="23788" xr:uid="{594B6F36-8E0B-4294-808F-85F6BC375B60}"/>
    <cellStyle name="Comma 2 4 2 2 4 6" xfId="8175" xr:uid="{00000000-0005-0000-0000-0000F1090000}"/>
    <cellStyle name="Comma 2 4 2 2 4 6 2" xfId="19721" xr:uid="{0D5D722E-2CF5-400F-805B-98EFF2EBD372}"/>
    <cellStyle name="Comma 2 4 2 2 4 6 3" xfId="30137" xr:uid="{1F49171A-97DE-45B4-BC19-F9215C891CE5}"/>
    <cellStyle name="Comma 2 4 2 2 4 7" xfId="5278" xr:uid="{00000000-0005-0000-0000-0000F2090000}"/>
    <cellStyle name="Comma 2 4 2 2 4 7 2" xfId="16864" xr:uid="{234D560F-6FE3-4708-AF12-DF314142F4EB}"/>
    <cellStyle name="Comma 2 4 2 2 4 7 3" xfId="27280" xr:uid="{A0F98011-C865-4F1B-9646-E6B7A5206E87}"/>
    <cellStyle name="Comma 2 4 2 2 4 8" xfId="13363" xr:uid="{BD6509B0-FA69-4A3F-8C0B-E2A4CAA80FCC}"/>
    <cellStyle name="Comma 2 4 2 2 4 9" xfId="23779" xr:uid="{D3693459-F1FF-452F-88AE-F29D7FDC9478}"/>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2 2 2" xfId="19734" xr:uid="{2BE43F05-4BEB-4C3B-89B6-2AF9A7D7AFBB}"/>
    <cellStyle name="Comma 2 4 2 2 5 2 2 2 2 3" xfId="30150" xr:uid="{4E24C5C3-A110-4C19-84E6-9272A8C44B69}"/>
    <cellStyle name="Comma 2 4 2 2 5 2 2 2 3" xfId="13376" xr:uid="{6EB13A66-CA0A-416E-93E6-A198CF09447A}"/>
    <cellStyle name="Comma 2 4 2 2 5 2 2 2 4" xfId="23792" xr:uid="{1B7E02F9-8D34-4610-B971-00FF64D8C719}"/>
    <cellStyle name="Comma 2 4 2 2 5 2 2 3" xfId="8187" xr:uid="{00000000-0005-0000-0000-0000F8090000}"/>
    <cellStyle name="Comma 2 4 2 2 5 2 2 3 2" xfId="19733" xr:uid="{30BB8056-52BA-4C71-A19B-D652E5AD900E}"/>
    <cellStyle name="Comma 2 4 2 2 5 2 2 3 3" xfId="30149" xr:uid="{06D64603-69EB-453D-8658-C90DF0B767EE}"/>
    <cellStyle name="Comma 2 4 2 2 5 2 2 4" xfId="5285" xr:uid="{00000000-0005-0000-0000-0000F9090000}"/>
    <cellStyle name="Comma 2 4 2 2 5 2 2 4 2" xfId="16871" xr:uid="{0533D3E3-E4A8-4AF7-95DE-A30E259951D3}"/>
    <cellStyle name="Comma 2 4 2 2 5 2 2 4 3" xfId="27287" xr:uid="{8FC2C191-392A-4D8F-ADF7-4EA8A295FCCC}"/>
    <cellStyle name="Comma 2 4 2 2 5 2 2 5" xfId="13375" xr:uid="{58233F6C-46A1-4FB1-AFFB-236899F4936E}"/>
    <cellStyle name="Comma 2 4 2 2 5 2 2 6" xfId="23791" xr:uid="{D487E3D0-1CAB-4C43-9607-78CA5045CDEF}"/>
    <cellStyle name="Comma 2 4 2 2 5 2 3" xfId="1042" xr:uid="{00000000-0005-0000-0000-0000FA090000}"/>
    <cellStyle name="Comma 2 4 2 2 5 2 3 2" xfId="8189" xr:uid="{00000000-0005-0000-0000-0000FB090000}"/>
    <cellStyle name="Comma 2 4 2 2 5 2 3 2 2" xfId="19735" xr:uid="{ADFC72C8-FF7D-439B-8867-0F811B6AF12B}"/>
    <cellStyle name="Comma 2 4 2 2 5 2 3 2 3" xfId="30151" xr:uid="{C563AE46-BE12-4B38-8328-7E1ECF25C848}"/>
    <cellStyle name="Comma 2 4 2 2 5 2 3 3" xfId="13377" xr:uid="{26BE016E-BA2F-4931-9C90-4EDCB509C1A5}"/>
    <cellStyle name="Comma 2 4 2 2 5 2 3 4" xfId="23793" xr:uid="{8F0C2A8C-DD85-449F-BF6F-E176B6350810}"/>
    <cellStyle name="Comma 2 4 2 2 5 2 4" xfId="8186" xr:uid="{00000000-0005-0000-0000-0000FC090000}"/>
    <cellStyle name="Comma 2 4 2 2 5 2 4 2" xfId="19732" xr:uid="{293181FB-A7B5-4F85-A52D-8AA5B3DC4FCC}"/>
    <cellStyle name="Comma 2 4 2 2 5 2 4 3" xfId="30148" xr:uid="{A71367C3-F2F4-462C-9981-305D1CFE01C4}"/>
    <cellStyle name="Comma 2 4 2 2 5 2 5" xfId="5284" xr:uid="{00000000-0005-0000-0000-0000FD090000}"/>
    <cellStyle name="Comma 2 4 2 2 5 2 5 2" xfId="16870" xr:uid="{98AB7669-B52F-4055-8CB8-6DF3A0C570B5}"/>
    <cellStyle name="Comma 2 4 2 2 5 2 5 3" xfId="27286" xr:uid="{01007EEE-7EA8-478A-8427-16BB25A8EA84}"/>
    <cellStyle name="Comma 2 4 2 2 5 2 6" xfId="13374" xr:uid="{4F3EE328-923C-476D-BEBB-C10350889455}"/>
    <cellStyle name="Comma 2 4 2 2 5 2 7" xfId="23790" xr:uid="{C8A10C93-5CA8-424C-84D1-D9880D49CFED}"/>
    <cellStyle name="Comma 2 4 2 2 5 3" xfId="1043" xr:uid="{00000000-0005-0000-0000-0000FE090000}"/>
    <cellStyle name="Comma 2 4 2 2 5 3 2" xfId="1044" xr:uid="{00000000-0005-0000-0000-0000FF090000}"/>
    <cellStyle name="Comma 2 4 2 2 5 3 2 2" xfId="8191" xr:uid="{00000000-0005-0000-0000-0000000A0000}"/>
    <cellStyle name="Comma 2 4 2 2 5 3 2 2 2" xfId="19737" xr:uid="{32ED7E09-F44C-41B1-A583-6134CADE5517}"/>
    <cellStyle name="Comma 2 4 2 2 5 3 2 2 3" xfId="30153" xr:uid="{FBBE2FC8-FDF4-4538-85E3-252982164221}"/>
    <cellStyle name="Comma 2 4 2 2 5 3 2 3" xfId="13379" xr:uid="{3407B181-5B24-4E10-87B2-6DE8AE175054}"/>
    <cellStyle name="Comma 2 4 2 2 5 3 2 4" xfId="23795" xr:uid="{F24E51E7-46A7-4726-98C2-5658ED5F68B1}"/>
    <cellStyle name="Comma 2 4 2 2 5 3 3" xfId="8190" xr:uid="{00000000-0005-0000-0000-0000010A0000}"/>
    <cellStyle name="Comma 2 4 2 2 5 3 3 2" xfId="19736" xr:uid="{C0161B57-96D4-44E0-8637-BEE677D82A3D}"/>
    <cellStyle name="Comma 2 4 2 2 5 3 3 3" xfId="30152" xr:uid="{ADB8330C-1E8D-48A9-8DBC-2F576A407D66}"/>
    <cellStyle name="Comma 2 4 2 2 5 3 4" xfId="5286" xr:uid="{00000000-0005-0000-0000-0000020A0000}"/>
    <cellStyle name="Comma 2 4 2 2 5 3 4 2" xfId="16872" xr:uid="{F284B245-ADFB-418D-834B-541CC7343AE2}"/>
    <cellStyle name="Comma 2 4 2 2 5 3 4 3" xfId="27288" xr:uid="{D0FC1511-2CA5-40B0-AF39-D862F648A1B3}"/>
    <cellStyle name="Comma 2 4 2 2 5 3 5" xfId="13378" xr:uid="{71A326CD-737D-4C2C-8EE1-C1CA2C57F4D4}"/>
    <cellStyle name="Comma 2 4 2 2 5 3 6" xfId="23794" xr:uid="{E3FDCC7C-E242-4FE9-9BDA-0A0DF1910949}"/>
    <cellStyle name="Comma 2 4 2 2 5 4" xfId="1045" xr:uid="{00000000-0005-0000-0000-0000030A0000}"/>
    <cellStyle name="Comma 2 4 2 2 5 4 2" xfId="1046" xr:uid="{00000000-0005-0000-0000-0000040A0000}"/>
    <cellStyle name="Comma 2 4 2 2 5 4 2 2" xfId="8193" xr:uid="{00000000-0005-0000-0000-0000050A0000}"/>
    <cellStyle name="Comma 2 4 2 2 5 4 2 2 2" xfId="19739" xr:uid="{F345B1B0-4A01-4EB7-92B6-E65C7F4B2521}"/>
    <cellStyle name="Comma 2 4 2 2 5 4 2 2 3" xfId="30155" xr:uid="{C46DBC5F-FC50-4E15-9040-29E165D9A52E}"/>
    <cellStyle name="Comma 2 4 2 2 5 4 2 3" xfId="13381" xr:uid="{813EC090-432F-4140-B185-7F4E1A5EFB89}"/>
    <cellStyle name="Comma 2 4 2 2 5 4 2 4" xfId="23797" xr:uid="{52DC06C5-9903-41FA-A215-5625A38074FB}"/>
    <cellStyle name="Comma 2 4 2 2 5 4 3" xfId="8192" xr:uid="{00000000-0005-0000-0000-0000060A0000}"/>
    <cellStyle name="Comma 2 4 2 2 5 4 3 2" xfId="19738" xr:uid="{FD69D9EF-9ECE-4E4B-8704-A291736F6661}"/>
    <cellStyle name="Comma 2 4 2 2 5 4 3 3" xfId="30154" xr:uid="{ED707493-E078-4FAE-B818-650C5B9C448E}"/>
    <cellStyle name="Comma 2 4 2 2 5 4 4" xfId="5287" xr:uid="{00000000-0005-0000-0000-0000070A0000}"/>
    <cellStyle name="Comma 2 4 2 2 5 4 4 2" xfId="16873" xr:uid="{D2D8E9C7-908F-4677-B1EF-5271283D4D4C}"/>
    <cellStyle name="Comma 2 4 2 2 5 4 4 3" xfId="27289" xr:uid="{E8000E77-8F06-4E9F-A877-34CD8965730F}"/>
    <cellStyle name="Comma 2 4 2 2 5 4 5" xfId="13380" xr:uid="{2A87A158-1CF0-4A46-973E-DDEA69F095BD}"/>
    <cellStyle name="Comma 2 4 2 2 5 4 6" xfId="23796" xr:uid="{22F82D70-8553-4A34-8098-50DEF49A5753}"/>
    <cellStyle name="Comma 2 4 2 2 5 5" xfId="1047" xr:uid="{00000000-0005-0000-0000-0000080A0000}"/>
    <cellStyle name="Comma 2 4 2 2 5 5 2" xfId="8194" xr:uid="{00000000-0005-0000-0000-0000090A0000}"/>
    <cellStyle name="Comma 2 4 2 2 5 5 2 2" xfId="19740" xr:uid="{67C17606-86DF-41AD-996D-C217F8223A29}"/>
    <cellStyle name="Comma 2 4 2 2 5 5 2 3" xfId="30156" xr:uid="{AAA761C3-A83C-4A60-B4F2-F65C57D602C2}"/>
    <cellStyle name="Comma 2 4 2 2 5 5 3" xfId="13382" xr:uid="{A058C1D2-3DDF-400C-A3C5-4F2B7123BE35}"/>
    <cellStyle name="Comma 2 4 2 2 5 5 4" xfId="23798" xr:uid="{1D5FAA4E-639C-4FF7-93F5-13D31432E9F0}"/>
    <cellStyle name="Comma 2 4 2 2 5 6" xfId="8185" xr:uid="{00000000-0005-0000-0000-00000A0A0000}"/>
    <cellStyle name="Comma 2 4 2 2 5 6 2" xfId="19731" xr:uid="{262E4AD3-5225-4595-94C5-76F0367C97BD}"/>
    <cellStyle name="Comma 2 4 2 2 5 6 3" xfId="30147" xr:uid="{8E8A2CB8-9757-47BA-8EA1-8BD0301873BE}"/>
    <cellStyle name="Comma 2 4 2 2 5 7" xfId="5283" xr:uid="{00000000-0005-0000-0000-00000B0A0000}"/>
    <cellStyle name="Comma 2 4 2 2 5 7 2" xfId="16869" xr:uid="{0C572246-0BE3-46AF-B59B-44035E16CB7D}"/>
    <cellStyle name="Comma 2 4 2 2 5 7 3" xfId="27285" xr:uid="{2A1D2D58-5924-4A4C-9978-475A977B4EF2}"/>
    <cellStyle name="Comma 2 4 2 2 5 8" xfId="13373" xr:uid="{88ABB6F3-AC00-48F6-95DC-E9AA910CB990}"/>
    <cellStyle name="Comma 2 4 2 2 5 9" xfId="23789" xr:uid="{84EFB8F3-599C-44BE-B381-634E5DC84FD8}"/>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2 2 2" xfId="19743" xr:uid="{6EE60C58-8D82-4CFE-BB9C-035A51E52BB2}"/>
    <cellStyle name="Comma 2 4 2 2 6 2 2 2 3" xfId="30159" xr:uid="{238BBBCF-38E4-4361-B67E-D610CE413B6E}"/>
    <cellStyle name="Comma 2 4 2 2 6 2 2 3" xfId="13385" xr:uid="{F5062275-D777-4A6E-ACA9-BF46B9681DD0}"/>
    <cellStyle name="Comma 2 4 2 2 6 2 2 4" xfId="23801" xr:uid="{8B9ECAF0-FAD7-4F57-B5A0-9F2B82558B1C}"/>
    <cellStyle name="Comma 2 4 2 2 6 2 3" xfId="8196" xr:uid="{00000000-0005-0000-0000-0000100A0000}"/>
    <cellStyle name="Comma 2 4 2 2 6 2 3 2" xfId="19742" xr:uid="{44D46106-0C74-49BA-B96D-1D5D5A019A1E}"/>
    <cellStyle name="Comma 2 4 2 2 6 2 3 3" xfId="30158" xr:uid="{FAA94D89-E753-42A4-91E2-88146994C9CF}"/>
    <cellStyle name="Comma 2 4 2 2 6 2 4" xfId="5289" xr:uid="{00000000-0005-0000-0000-0000110A0000}"/>
    <cellStyle name="Comma 2 4 2 2 6 2 4 2" xfId="16875" xr:uid="{9C303E14-CC31-4989-ABCC-8ABC97BA9448}"/>
    <cellStyle name="Comma 2 4 2 2 6 2 4 3" xfId="27291" xr:uid="{8B1A9E30-BAB5-4657-BE9A-22842087E824}"/>
    <cellStyle name="Comma 2 4 2 2 6 2 5" xfId="13384" xr:uid="{528B6B36-BFEE-4C3C-87DD-56492347C14E}"/>
    <cellStyle name="Comma 2 4 2 2 6 2 6" xfId="23800" xr:uid="{107A0679-E2CB-4B21-9275-3A2FD9E7E978}"/>
    <cellStyle name="Comma 2 4 2 2 6 3" xfId="1051" xr:uid="{00000000-0005-0000-0000-0000120A0000}"/>
    <cellStyle name="Comma 2 4 2 2 6 3 2" xfId="1052" xr:uid="{00000000-0005-0000-0000-0000130A0000}"/>
    <cellStyle name="Comma 2 4 2 2 6 3 2 2" xfId="8199" xr:uid="{00000000-0005-0000-0000-0000140A0000}"/>
    <cellStyle name="Comma 2 4 2 2 6 3 2 2 2" xfId="19745" xr:uid="{483E6DB6-FB22-4010-AAAE-12A05805F8F4}"/>
    <cellStyle name="Comma 2 4 2 2 6 3 2 2 3" xfId="30161" xr:uid="{B0650300-6760-4FC2-B971-27CC3E096424}"/>
    <cellStyle name="Comma 2 4 2 2 6 3 2 3" xfId="13387" xr:uid="{8F80457F-8302-4802-A09B-EDE21D550498}"/>
    <cellStyle name="Comma 2 4 2 2 6 3 2 4" xfId="23803" xr:uid="{FF8100D2-7D54-4BED-B392-FD90D623B295}"/>
    <cellStyle name="Comma 2 4 2 2 6 3 3" xfId="8198" xr:uid="{00000000-0005-0000-0000-0000150A0000}"/>
    <cellStyle name="Comma 2 4 2 2 6 3 3 2" xfId="19744" xr:uid="{18F0D8C0-BF83-4E87-BA15-8B3F8097D42E}"/>
    <cellStyle name="Comma 2 4 2 2 6 3 3 3" xfId="30160" xr:uid="{BD6BCDCB-BA95-4CA8-8D39-58C33FB5FF49}"/>
    <cellStyle name="Comma 2 4 2 2 6 3 4" xfId="5290" xr:uid="{00000000-0005-0000-0000-0000160A0000}"/>
    <cellStyle name="Comma 2 4 2 2 6 3 4 2" xfId="16876" xr:uid="{9F89BAFE-3E12-4289-9872-BBB69205FCC3}"/>
    <cellStyle name="Comma 2 4 2 2 6 3 4 3" xfId="27292" xr:uid="{BAB90EA7-E1B3-41C2-8E52-F04221AE8645}"/>
    <cellStyle name="Comma 2 4 2 2 6 3 5" xfId="13386" xr:uid="{9A72D3A7-F662-4CA4-A813-572D2FFC735A}"/>
    <cellStyle name="Comma 2 4 2 2 6 3 6" xfId="23802" xr:uid="{31AB79E9-DD30-42BE-981F-AE4DBB44ED38}"/>
    <cellStyle name="Comma 2 4 2 2 6 4" xfId="1053" xr:uid="{00000000-0005-0000-0000-0000170A0000}"/>
    <cellStyle name="Comma 2 4 2 2 6 4 2" xfId="8200" xr:uid="{00000000-0005-0000-0000-0000180A0000}"/>
    <cellStyle name="Comma 2 4 2 2 6 4 2 2" xfId="19746" xr:uid="{7270114B-6ED6-42B3-BB2C-A578E8863007}"/>
    <cellStyle name="Comma 2 4 2 2 6 4 2 3" xfId="30162" xr:uid="{F55C2DA5-5AE6-4B00-B71C-EC03C5CBDAED}"/>
    <cellStyle name="Comma 2 4 2 2 6 4 3" xfId="13388" xr:uid="{904AC309-C8C3-4513-85BD-88CCA95D6D98}"/>
    <cellStyle name="Comma 2 4 2 2 6 4 4" xfId="23804" xr:uid="{A9764A9B-29BF-40BB-8680-1DB6C5D52ACB}"/>
    <cellStyle name="Comma 2 4 2 2 6 5" xfId="8195" xr:uid="{00000000-0005-0000-0000-0000190A0000}"/>
    <cellStyle name="Comma 2 4 2 2 6 5 2" xfId="19741" xr:uid="{CD0D49CF-79CD-4449-8AB2-82B27072FECA}"/>
    <cellStyle name="Comma 2 4 2 2 6 5 3" xfId="30157" xr:uid="{1BE84E2A-43D5-457E-903D-9699B41EC2B0}"/>
    <cellStyle name="Comma 2 4 2 2 6 6" xfId="5288" xr:uid="{00000000-0005-0000-0000-00001A0A0000}"/>
    <cellStyle name="Comma 2 4 2 2 6 6 2" xfId="16874" xr:uid="{1287DE22-F57D-40FE-9FDE-EDC837515CBE}"/>
    <cellStyle name="Comma 2 4 2 2 6 6 3" xfId="27290" xr:uid="{FBD612A3-60DA-4C64-AB4B-16EFD730435B}"/>
    <cellStyle name="Comma 2 4 2 2 6 7" xfId="13383" xr:uid="{11CD075A-8E62-4692-8011-7C630F5297B5}"/>
    <cellStyle name="Comma 2 4 2 2 6 8" xfId="23799" xr:uid="{80CFB63D-BB67-423C-9F3B-0AD52A787107}"/>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2 2 2" xfId="19749" xr:uid="{D0D0CDBD-10C5-48BE-BEE9-B080E24E1704}"/>
    <cellStyle name="Comma 2 4 2 2 7 2 2 2 3" xfId="30165" xr:uid="{9BB9E663-C5AB-4C08-9DBF-251FB54CE535}"/>
    <cellStyle name="Comma 2 4 2 2 7 2 2 3" xfId="13391" xr:uid="{7A64940C-AE92-4EF1-84E1-267E69DF8995}"/>
    <cellStyle name="Comma 2 4 2 2 7 2 2 4" xfId="23807" xr:uid="{395FA0BA-6ECF-423D-BA7C-A9035597A398}"/>
    <cellStyle name="Comma 2 4 2 2 7 2 3" xfId="8202" xr:uid="{00000000-0005-0000-0000-00001F0A0000}"/>
    <cellStyle name="Comma 2 4 2 2 7 2 3 2" xfId="19748" xr:uid="{33969B2E-FFE9-46D8-B4A1-9EF576EF69B0}"/>
    <cellStyle name="Comma 2 4 2 2 7 2 3 3" xfId="30164" xr:uid="{3729BEBE-54CD-41FF-B221-0365388ACF61}"/>
    <cellStyle name="Comma 2 4 2 2 7 2 4" xfId="5292" xr:uid="{00000000-0005-0000-0000-0000200A0000}"/>
    <cellStyle name="Comma 2 4 2 2 7 2 4 2" xfId="16878" xr:uid="{42C553C1-19E3-4167-A06D-F5E957CAD83B}"/>
    <cellStyle name="Comma 2 4 2 2 7 2 4 3" xfId="27294" xr:uid="{3ACC6A7D-8BB8-4C3F-BD60-AF54297A7DF2}"/>
    <cellStyle name="Comma 2 4 2 2 7 2 5" xfId="13390" xr:uid="{69CE196B-4AD3-4537-BA8F-90D58D020641}"/>
    <cellStyle name="Comma 2 4 2 2 7 2 6" xfId="23806" xr:uid="{1195FD1B-FCD8-43C5-A546-B7B34A842FA8}"/>
    <cellStyle name="Comma 2 4 2 2 7 3" xfId="1057" xr:uid="{00000000-0005-0000-0000-0000210A0000}"/>
    <cellStyle name="Comma 2 4 2 2 7 3 2" xfId="8204" xr:uid="{00000000-0005-0000-0000-0000220A0000}"/>
    <cellStyle name="Comma 2 4 2 2 7 3 2 2" xfId="19750" xr:uid="{E082C9B5-5C32-4018-8DC2-73E7D33E90CC}"/>
    <cellStyle name="Comma 2 4 2 2 7 3 2 3" xfId="30166" xr:uid="{82969798-4DD1-48EE-ADA7-C8E894F19625}"/>
    <cellStyle name="Comma 2 4 2 2 7 3 3" xfId="13392" xr:uid="{DA69F203-83AD-4B05-8E46-85D290444A98}"/>
    <cellStyle name="Comma 2 4 2 2 7 3 4" xfId="23808" xr:uid="{DB4BD7D8-38B1-4280-ABDE-356584B71B3B}"/>
    <cellStyle name="Comma 2 4 2 2 7 4" xfId="8201" xr:uid="{00000000-0005-0000-0000-0000230A0000}"/>
    <cellStyle name="Comma 2 4 2 2 7 4 2" xfId="19747" xr:uid="{C5E14F27-2D3F-4696-B23A-9EA8C5E109B6}"/>
    <cellStyle name="Comma 2 4 2 2 7 4 3" xfId="30163" xr:uid="{099819F4-8094-4766-A5AD-07F385714C66}"/>
    <cellStyle name="Comma 2 4 2 2 7 5" xfId="5291" xr:uid="{00000000-0005-0000-0000-0000240A0000}"/>
    <cellStyle name="Comma 2 4 2 2 7 5 2" xfId="16877" xr:uid="{8BCDD3BE-F40B-4304-A996-7C178CE9346A}"/>
    <cellStyle name="Comma 2 4 2 2 7 5 3" xfId="27293" xr:uid="{F146C8A3-3C2A-4A55-97D1-232BB7D53F08}"/>
    <cellStyle name="Comma 2 4 2 2 7 6" xfId="13389" xr:uid="{47AD9CAD-EAD0-4CE3-B1E4-6A78DFAF63B7}"/>
    <cellStyle name="Comma 2 4 2 2 7 7" xfId="23805" xr:uid="{06955F67-5E69-4571-844C-5D781D4057E2}"/>
    <cellStyle name="Comma 2 4 2 2 8" xfId="1058" xr:uid="{00000000-0005-0000-0000-0000250A0000}"/>
    <cellStyle name="Comma 2 4 2 2 8 2" xfId="1059" xr:uid="{00000000-0005-0000-0000-0000260A0000}"/>
    <cellStyle name="Comma 2 4 2 2 8 2 2" xfId="8206" xr:uid="{00000000-0005-0000-0000-0000270A0000}"/>
    <cellStyle name="Comma 2 4 2 2 8 2 2 2" xfId="19752" xr:uid="{77FCDCFE-BE3F-4C58-B131-3BFABA818FCE}"/>
    <cellStyle name="Comma 2 4 2 2 8 2 2 3" xfId="30168" xr:uid="{8CBAD519-BE30-4C07-9745-BDE5A65875F1}"/>
    <cellStyle name="Comma 2 4 2 2 8 2 3" xfId="13394" xr:uid="{33E77232-D80B-4178-AAA0-94B2D8E8CD4E}"/>
    <cellStyle name="Comma 2 4 2 2 8 2 4" xfId="23810" xr:uid="{FD7BC35E-0CA5-444F-9F64-47DD0E6C0A2B}"/>
    <cellStyle name="Comma 2 4 2 2 8 3" xfId="8205" xr:uid="{00000000-0005-0000-0000-0000280A0000}"/>
    <cellStyle name="Comma 2 4 2 2 8 3 2" xfId="19751" xr:uid="{1594893B-4BF3-4EA7-A4AD-78B4DDE45BAA}"/>
    <cellStyle name="Comma 2 4 2 2 8 3 3" xfId="30167" xr:uid="{55254063-E0A7-4E99-B832-D8F9D1B564B4}"/>
    <cellStyle name="Comma 2 4 2 2 8 4" xfId="5293" xr:uid="{00000000-0005-0000-0000-0000290A0000}"/>
    <cellStyle name="Comma 2 4 2 2 8 4 2" xfId="16879" xr:uid="{587E7795-B986-421B-B902-504086A785C9}"/>
    <cellStyle name="Comma 2 4 2 2 8 4 3" xfId="27295" xr:uid="{0B3B84CA-884F-464D-8CC9-975340B4365B}"/>
    <cellStyle name="Comma 2 4 2 2 8 5" xfId="13393" xr:uid="{1DC57EBC-7F86-4621-8FFC-6CFBE84588EB}"/>
    <cellStyle name="Comma 2 4 2 2 8 6" xfId="23809" xr:uid="{DA456285-8780-4B69-993D-0DAB74641F8F}"/>
    <cellStyle name="Comma 2 4 2 2 9" xfId="1060" xr:uid="{00000000-0005-0000-0000-00002A0A0000}"/>
    <cellStyle name="Comma 2 4 2 2 9 2" xfId="1061" xr:uid="{00000000-0005-0000-0000-00002B0A0000}"/>
    <cellStyle name="Comma 2 4 2 2 9 2 2" xfId="8208" xr:uid="{00000000-0005-0000-0000-00002C0A0000}"/>
    <cellStyle name="Comma 2 4 2 2 9 2 2 2" xfId="19754" xr:uid="{2D0FE3CE-7FA9-4C2B-9EDC-5A21E970D272}"/>
    <cellStyle name="Comma 2 4 2 2 9 2 2 3" xfId="30170" xr:uid="{0543F2CD-4158-42AB-856C-4FAE1FE6F9A5}"/>
    <cellStyle name="Comma 2 4 2 2 9 2 3" xfId="13396" xr:uid="{43459F52-A8E0-4D7E-94A1-6416FBA3CA79}"/>
    <cellStyle name="Comma 2 4 2 2 9 2 4" xfId="23812" xr:uid="{53DF8260-125F-47E1-9A75-17C1706BC3D4}"/>
    <cellStyle name="Comma 2 4 2 2 9 3" xfId="8207" xr:uid="{00000000-0005-0000-0000-00002D0A0000}"/>
    <cellStyle name="Comma 2 4 2 2 9 3 2" xfId="19753" xr:uid="{1E8FA726-0B34-49D9-96BC-FFF784E8BFE4}"/>
    <cellStyle name="Comma 2 4 2 2 9 3 3" xfId="30169" xr:uid="{0B5D089F-5B42-4300-89EE-5AB88C425971}"/>
    <cellStyle name="Comma 2 4 2 2 9 4" xfId="5294" xr:uid="{00000000-0005-0000-0000-00002E0A0000}"/>
    <cellStyle name="Comma 2 4 2 2 9 4 2" xfId="16880" xr:uid="{D603FBE6-1CF1-458F-BFB9-60AEDEE75BDF}"/>
    <cellStyle name="Comma 2 4 2 2 9 4 3" xfId="27296" xr:uid="{981D1EBE-E51F-4913-B3D2-34AF154A7084}"/>
    <cellStyle name="Comma 2 4 2 2 9 5" xfId="13395" xr:uid="{B95758D7-9E6F-44B0-A3F6-BC5D8F5DF8B2}"/>
    <cellStyle name="Comma 2 4 2 2 9 6" xfId="23811" xr:uid="{31D79B36-D448-4D1F-8E06-2B374C91390D}"/>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2 2 2" xfId="19758" xr:uid="{C2DE6962-4F19-4684-B39A-AE950B04147D}"/>
    <cellStyle name="Comma 2 4 2 3 2 2 2 2 3" xfId="30174" xr:uid="{7710523B-9FEA-4E8E-ADCC-6200CB5C76B3}"/>
    <cellStyle name="Comma 2 4 2 3 2 2 2 3" xfId="13400" xr:uid="{124278CF-8769-47B0-819B-477652844416}"/>
    <cellStyle name="Comma 2 4 2 3 2 2 2 4" xfId="23816" xr:uid="{190527E5-71E4-404F-92C1-0ABF12E48FB8}"/>
    <cellStyle name="Comma 2 4 2 3 2 2 3" xfId="8211" xr:uid="{00000000-0005-0000-0000-0000340A0000}"/>
    <cellStyle name="Comma 2 4 2 3 2 2 3 2" xfId="19757" xr:uid="{4CCDB69F-871F-4455-AA02-23A6E967F6BC}"/>
    <cellStyle name="Comma 2 4 2 3 2 2 3 3" xfId="30173" xr:uid="{381B62B4-C772-43B3-87A4-EBEC8470E7E1}"/>
    <cellStyle name="Comma 2 4 2 3 2 2 4" xfId="5297" xr:uid="{00000000-0005-0000-0000-0000350A0000}"/>
    <cellStyle name="Comma 2 4 2 3 2 2 4 2" xfId="16883" xr:uid="{819860FB-E066-4462-955A-AEFEE6DB569D}"/>
    <cellStyle name="Comma 2 4 2 3 2 2 4 3" xfId="27299" xr:uid="{8A66A90E-86A6-48B2-A949-4A7C5A4A59BF}"/>
    <cellStyle name="Comma 2 4 2 3 2 2 5" xfId="13399" xr:uid="{4A4D2A28-D501-4229-8A78-E475B1AC4A29}"/>
    <cellStyle name="Comma 2 4 2 3 2 2 6" xfId="23815" xr:uid="{9FBF3984-E94E-45B5-A4D4-76C730F13339}"/>
    <cellStyle name="Comma 2 4 2 3 2 3" xfId="1066" xr:uid="{00000000-0005-0000-0000-0000360A0000}"/>
    <cellStyle name="Comma 2 4 2 3 2 3 2" xfId="8213" xr:uid="{00000000-0005-0000-0000-0000370A0000}"/>
    <cellStyle name="Comma 2 4 2 3 2 3 2 2" xfId="19759" xr:uid="{AB7EE53D-874C-4959-A43D-89949BF86184}"/>
    <cellStyle name="Comma 2 4 2 3 2 3 2 3" xfId="30175" xr:uid="{834A38C2-E6CF-4978-BE4F-EC8723C95BFF}"/>
    <cellStyle name="Comma 2 4 2 3 2 3 3" xfId="13401" xr:uid="{04AE675E-5542-40DC-92DC-D022822CF7D7}"/>
    <cellStyle name="Comma 2 4 2 3 2 3 4" xfId="23817" xr:uid="{AC49CE9C-0A10-46CC-BF73-D1F8E540BDEC}"/>
    <cellStyle name="Comma 2 4 2 3 2 4" xfId="8210" xr:uid="{00000000-0005-0000-0000-0000380A0000}"/>
    <cellStyle name="Comma 2 4 2 3 2 4 2" xfId="19756" xr:uid="{2743A45B-92D4-4DAE-8C9D-4732C0A48029}"/>
    <cellStyle name="Comma 2 4 2 3 2 4 3" xfId="30172" xr:uid="{0719A71F-AE0E-4CF1-B0AE-E7BA382A2D8E}"/>
    <cellStyle name="Comma 2 4 2 3 2 5" xfId="5296" xr:uid="{00000000-0005-0000-0000-0000390A0000}"/>
    <cellStyle name="Comma 2 4 2 3 2 5 2" xfId="16882" xr:uid="{C31FD657-A1BF-4990-A1E3-951A9F5B1C53}"/>
    <cellStyle name="Comma 2 4 2 3 2 5 3" xfId="27298" xr:uid="{2C2AA128-1D96-4FF6-96FF-1519272B9906}"/>
    <cellStyle name="Comma 2 4 2 3 2 6" xfId="13398" xr:uid="{5A9D6747-A51A-4E79-B644-36C81B6A7D2A}"/>
    <cellStyle name="Comma 2 4 2 3 2 7" xfId="23814" xr:uid="{DC2C3761-BC09-43F7-BFF0-76A18885AAF0}"/>
    <cellStyle name="Comma 2 4 2 3 3" xfId="1067" xr:uid="{00000000-0005-0000-0000-00003A0A0000}"/>
    <cellStyle name="Comma 2 4 2 3 3 2" xfId="1068" xr:uid="{00000000-0005-0000-0000-00003B0A0000}"/>
    <cellStyle name="Comma 2 4 2 3 3 2 2" xfId="8215" xr:uid="{00000000-0005-0000-0000-00003C0A0000}"/>
    <cellStyle name="Comma 2 4 2 3 3 2 2 2" xfId="19761" xr:uid="{6F9A4666-7496-4037-A05E-A9A12F46F3F1}"/>
    <cellStyle name="Comma 2 4 2 3 3 2 2 3" xfId="30177" xr:uid="{CFBE63B0-17A2-43B5-9F46-1D66E0B8E32D}"/>
    <cellStyle name="Comma 2 4 2 3 3 2 3" xfId="13403" xr:uid="{A34AE695-9F86-4CF2-AFB7-429AD9418634}"/>
    <cellStyle name="Comma 2 4 2 3 3 2 4" xfId="23819" xr:uid="{4AD19B98-404F-4160-BC08-88C2361ED2E5}"/>
    <cellStyle name="Comma 2 4 2 3 3 3" xfId="8214" xr:uid="{00000000-0005-0000-0000-00003D0A0000}"/>
    <cellStyle name="Comma 2 4 2 3 3 3 2" xfId="19760" xr:uid="{3455D526-9EC7-482B-8E12-A6947D9859DB}"/>
    <cellStyle name="Comma 2 4 2 3 3 3 3" xfId="30176" xr:uid="{4F009C75-C1EB-4230-9622-30A59871D34F}"/>
    <cellStyle name="Comma 2 4 2 3 3 4" xfId="5298" xr:uid="{00000000-0005-0000-0000-00003E0A0000}"/>
    <cellStyle name="Comma 2 4 2 3 3 4 2" xfId="16884" xr:uid="{E07C852D-B32E-4571-BCCB-0DB0D4AB2059}"/>
    <cellStyle name="Comma 2 4 2 3 3 4 3" xfId="27300" xr:uid="{3CF44341-540A-4F9F-B13F-3E37EAFDF8CE}"/>
    <cellStyle name="Comma 2 4 2 3 3 5" xfId="13402" xr:uid="{966C3FBD-51C5-43F1-8BAC-39F1C2A0D4B5}"/>
    <cellStyle name="Comma 2 4 2 3 3 6" xfId="23818" xr:uid="{D2C038F5-1329-4908-B26D-691596816617}"/>
    <cellStyle name="Comma 2 4 2 3 4" xfId="1069" xr:uid="{00000000-0005-0000-0000-00003F0A0000}"/>
    <cellStyle name="Comma 2 4 2 3 4 2" xfId="1070" xr:uid="{00000000-0005-0000-0000-0000400A0000}"/>
    <cellStyle name="Comma 2 4 2 3 4 2 2" xfId="8217" xr:uid="{00000000-0005-0000-0000-0000410A0000}"/>
    <cellStyle name="Comma 2 4 2 3 4 2 2 2" xfId="19763" xr:uid="{0F6E57BE-FB23-4B62-A020-8BE5C9DFF326}"/>
    <cellStyle name="Comma 2 4 2 3 4 2 2 3" xfId="30179" xr:uid="{5B896F77-B0E0-425D-943C-A2D3919FD545}"/>
    <cellStyle name="Comma 2 4 2 3 4 2 3" xfId="13405" xr:uid="{CFDB0ABB-48AB-457B-B772-03301707C049}"/>
    <cellStyle name="Comma 2 4 2 3 4 2 4" xfId="23821" xr:uid="{D70C76E8-D190-4F1B-B604-BCAEF443D047}"/>
    <cellStyle name="Comma 2 4 2 3 4 3" xfId="8216" xr:uid="{00000000-0005-0000-0000-0000420A0000}"/>
    <cellStyle name="Comma 2 4 2 3 4 3 2" xfId="19762" xr:uid="{AD9274ED-9560-40A3-9158-BB60A9290487}"/>
    <cellStyle name="Comma 2 4 2 3 4 3 3" xfId="30178" xr:uid="{AAF93035-0496-436A-839A-06BEAFF35863}"/>
    <cellStyle name="Comma 2 4 2 3 4 4" xfId="5299" xr:uid="{00000000-0005-0000-0000-0000430A0000}"/>
    <cellStyle name="Comma 2 4 2 3 4 4 2" xfId="16885" xr:uid="{9B283597-D603-4DD0-9D1A-7E59BCAD2258}"/>
    <cellStyle name="Comma 2 4 2 3 4 4 3" xfId="27301" xr:uid="{8592852A-DCB3-40E0-9F0C-B22C017D905C}"/>
    <cellStyle name="Comma 2 4 2 3 4 5" xfId="13404" xr:uid="{3959F428-B6B4-4C01-90D6-56E9A0455A87}"/>
    <cellStyle name="Comma 2 4 2 3 4 6" xfId="23820" xr:uid="{5B4CC056-0910-47EA-B612-C886BF8C1167}"/>
    <cellStyle name="Comma 2 4 2 3 5" xfId="1071" xr:uid="{00000000-0005-0000-0000-0000440A0000}"/>
    <cellStyle name="Comma 2 4 2 3 5 2" xfId="8218" xr:uid="{00000000-0005-0000-0000-0000450A0000}"/>
    <cellStyle name="Comma 2 4 2 3 5 2 2" xfId="19764" xr:uid="{B7CC1BDE-C725-4095-8F3E-0CDCEDF90F1A}"/>
    <cellStyle name="Comma 2 4 2 3 5 2 3" xfId="30180" xr:uid="{479FDC09-5DB4-4B10-B7C0-98232C158628}"/>
    <cellStyle name="Comma 2 4 2 3 5 3" xfId="13406" xr:uid="{04A1356D-AFC7-4465-B1DB-166E571359C5}"/>
    <cellStyle name="Comma 2 4 2 3 5 4" xfId="23822" xr:uid="{E0A1ECD6-D8D6-4223-915C-9B025BEAF467}"/>
    <cellStyle name="Comma 2 4 2 3 6" xfId="8209" xr:uid="{00000000-0005-0000-0000-0000460A0000}"/>
    <cellStyle name="Comma 2 4 2 3 6 2" xfId="19755" xr:uid="{678A39E5-411C-46E3-8F0E-76D1AA49D1D6}"/>
    <cellStyle name="Comma 2 4 2 3 6 3" xfId="30171" xr:uid="{80DB268B-30AC-4388-AC88-BF855B5108C5}"/>
    <cellStyle name="Comma 2 4 2 3 7" xfId="5295" xr:uid="{00000000-0005-0000-0000-0000470A0000}"/>
    <cellStyle name="Comma 2 4 2 3 7 2" xfId="16881" xr:uid="{38574596-2681-4F8E-9805-E53AE58A66F7}"/>
    <cellStyle name="Comma 2 4 2 3 7 3" xfId="27297" xr:uid="{0C6A46E9-65FD-4E0B-96A8-ECDE30FEA86D}"/>
    <cellStyle name="Comma 2 4 2 3 8" xfId="13397" xr:uid="{96428D6C-2F1C-48F9-8FBA-BC356E23C38D}"/>
    <cellStyle name="Comma 2 4 2 3 9" xfId="23813" xr:uid="{38523CE4-5716-458F-9B3D-6E66D3E78B4D}"/>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2 2 2" xfId="19768" xr:uid="{CB23F228-F1AA-4238-A998-597DEC70FBE1}"/>
    <cellStyle name="Comma 2 4 2 4 2 2 2 2 3" xfId="30184" xr:uid="{5BD074D0-18CE-42A3-9834-1D44A13C5E75}"/>
    <cellStyle name="Comma 2 4 2 4 2 2 2 3" xfId="13410" xr:uid="{FBF14330-3B9D-48E7-A0A9-FAD7ADDBB009}"/>
    <cellStyle name="Comma 2 4 2 4 2 2 2 4" xfId="23826" xr:uid="{F655DE14-760A-434A-8E48-D8EA068BC260}"/>
    <cellStyle name="Comma 2 4 2 4 2 2 3" xfId="8221" xr:uid="{00000000-0005-0000-0000-00004D0A0000}"/>
    <cellStyle name="Comma 2 4 2 4 2 2 3 2" xfId="19767" xr:uid="{DB3B0DF7-E28E-479A-9D68-E3BAA91ADDD6}"/>
    <cellStyle name="Comma 2 4 2 4 2 2 3 3" xfId="30183" xr:uid="{53B7CD6D-ECBF-435F-BA32-50A48EEEAA21}"/>
    <cellStyle name="Comma 2 4 2 4 2 2 4" xfId="5302" xr:uid="{00000000-0005-0000-0000-00004E0A0000}"/>
    <cellStyle name="Comma 2 4 2 4 2 2 4 2" xfId="16888" xr:uid="{464BEBF5-1C5C-468A-8983-CF23C6E9D3EB}"/>
    <cellStyle name="Comma 2 4 2 4 2 2 4 3" xfId="27304" xr:uid="{B9BE960B-84C4-4F27-9552-FD9EECB0D153}"/>
    <cellStyle name="Comma 2 4 2 4 2 2 5" xfId="13409" xr:uid="{405E8485-3908-4B21-AEB9-892C927BFFFE}"/>
    <cellStyle name="Comma 2 4 2 4 2 2 6" xfId="23825" xr:uid="{8EF56942-A8C9-44A0-BAE9-5EFFC6A3BC1B}"/>
    <cellStyle name="Comma 2 4 2 4 2 3" xfId="1076" xr:uid="{00000000-0005-0000-0000-00004F0A0000}"/>
    <cellStyle name="Comma 2 4 2 4 2 3 2" xfId="8223" xr:uid="{00000000-0005-0000-0000-0000500A0000}"/>
    <cellStyle name="Comma 2 4 2 4 2 3 2 2" xfId="19769" xr:uid="{5CB12EB6-4AD6-4C0B-9273-C6DAD8220E8E}"/>
    <cellStyle name="Comma 2 4 2 4 2 3 2 3" xfId="30185" xr:uid="{5345CA01-D65F-4658-B8CE-0DBFA18505B4}"/>
    <cellStyle name="Comma 2 4 2 4 2 3 3" xfId="13411" xr:uid="{D0833D45-8592-44C9-867F-54290F80EB5F}"/>
    <cellStyle name="Comma 2 4 2 4 2 3 4" xfId="23827" xr:uid="{0055C249-F72E-48B7-B9ED-DBF6DF7B0DC9}"/>
    <cellStyle name="Comma 2 4 2 4 2 4" xfId="8220" xr:uid="{00000000-0005-0000-0000-0000510A0000}"/>
    <cellStyle name="Comma 2 4 2 4 2 4 2" xfId="19766" xr:uid="{584AEC21-77C8-4AAC-BABE-3E4424FF6DC7}"/>
    <cellStyle name="Comma 2 4 2 4 2 4 3" xfId="30182" xr:uid="{CFFC5220-A6ED-4C16-8CEA-069472A7EC8B}"/>
    <cellStyle name="Comma 2 4 2 4 2 5" xfId="5301" xr:uid="{00000000-0005-0000-0000-0000520A0000}"/>
    <cellStyle name="Comma 2 4 2 4 2 5 2" xfId="16887" xr:uid="{01D00DAE-E13D-4E93-9770-F7A38162D2A6}"/>
    <cellStyle name="Comma 2 4 2 4 2 5 3" xfId="27303" xr:uid="{01743139-12F1-44C8-9C09-BC515755BE7C}"/>
    <cellStyle name="Comma 2 4 2 4 2 6" xfId="13408" xr:uid="{19DA76B5-155F-4E76-85B4-D34C9248C59F}"/>
    <cellStyle name="Comma 2 4 2 4 2 7" xfId="23824" xr:uid="{AA8E038D-1D73-4E6F-854F-74135A7B6BF2}"/>
    <cellStyle name="Comma 2 4 2 4 3" xfId="1077" xr:uid="{00000000-0005-0000-0000-0000530A0000}"/>
    <cellStyle name="Comma 2 4 2 4 3 2" xfId="1078" xr:uid="{00000000-0005-0000-0000-0000540A0000}"/>
    <cellStyle name="Comma 2 4 2 4 3 2 2" xfId="8225" xr:uid="{00000000-0005-0000-0000-0000550A0000}"/>
    <cellStyle name="Comma 2 4 2 4 3 2 2 2" xfId="19771" xr:uid="{7393410E-1564-4AD5-BD0D-945BBAB19A30}"/>
    <cellStyle name="Comma 2 4 2 4 3 2 2 3" xfId="30187" xr:uid="{F936E46D-9407-4EBB-B59D-13111C88116A}"/>
    <cellStyle name="Comma 2 4 2 4 3 2 3" xfId="13413" xr:uid="{1199A68A-8176-413F-87F8-0EAF494E0CDE}"/>
    <cellStyle name="Comma 2 4 2 4 3 2 4" xfId="23829" xr:uid="{F961BCFA-0DDF-43B2-BB9A-81AE65F3F4D1}"/>
    <cellStyle name="Comma 2 4 2 4 3 3" xfId="8224" xr:uid="{00000000-0005-0000-0000-0000560A0000}"/>
    <cellStyle name="Comma 2 4 2 4 3 3 2" xfId="19770" xr:uid="{2B69AC09-0CF2-40B7-82CD-AD00F81517EC}"/>
    <cellStyle name="Comma 2 4 2 4 3 3 3" xfId="30186" xr:uid="{6B385653-78EA-4525-A510-730341051071}"/>
    <cellStyle name="Comma 2 4 2 4 3 4" xfId="5303" xr:uid="{00000000-0005-0000-0000-0000570A0000}"/>
    <cellStyle name="Comma 2 4 2 4 3 4 2" xfId="16889" xr:uid="{53661BEA-3C8E-455B-872F-7DCEC8656940}"/>
    <cellStyle name="Comma 2 4 2 4 3 4 3" xfId="27305" xr:uid="{6F649C83-ADEB-4A81-9A63-1FE25DFB65E8}"/>
    <cellStyle name="Comma 2 4 2 4 3 5" xfId="13412" xr:uid="{E32AEC3C-F9BA-492C-9F9A-2AA0D410C6EB}"/>
    <cellStyle name="Comma 2 4 2 4 3 6" xfId="23828" xr:uid="{F64B515B-1823-43C2-842C-644DA8F03CCA}"/>
    <cellStyle name="Comma 2 4 2 4 4" xfId="1079" xr:uid="{00000000-0005-0000-0000-0000580A0000}"/>
    <cellStyle name="Comma 2 4 2 4 4 2" xfId="1080" xr:uid="{00000000-0005-0000-0000-0000590A0000}"/>
    <cellStyle name="Comma 2 4 2 4 4 2 2" xfId="8227" xr:uid="{00000000-0005-0000-0000-00005A0A0000}"/>
    <cellStyle name="Comma 2 4 2 4 4 2 2 2" xfId="19773" xr:uid="{32D1B59C-3B13-4730-BE10-38FFEB8F8138}"/>
    <cellStyle name="Comma 2 4 2 4 4 2 2 3" xfId="30189" xr:uid="{5765DBC4-9AA0-4462-9F72-3E69FC368F32}"/>
    <cellStyle name="Comma 2 4 2 4 4 2 3" xfId="13415" xr:uid="{1CC052C4-6E5A-4375-B9CC-BA5AFB9173C9}"/>
    <cellStyle name="Comma 2 4 2 4 4 2 4" xfId="23831" xr:uid="{63024A7A-0434-40D0-8583-D08277AA5BCB}"/>
    <cellStyle name="Comma 2 4 2 4 4 3" xfId="8226" xr:uid="{00000000-0005-0000-0000-00005B0A0000}"/>
    <cellStyle name="Comma 2 4 2 4 4 3 2" xfId="19772" xr:uid="{334D7AFC-25CF-4E7D-BAF2-2D3B0EBAE5E7}"/>
    <cellStyle name="Comma 2 4 2 4 4 3 3" xfId="30188" xr:uid="{DD02E06E-7493-40BE-B30C-329121284721}"/>
    <cellStyle name="Comma 2 4 2 4 4 4" xfId="5304" xr:uid="{00000000-0005-0000-0000-00005C0A0000}"/>
    <cellStyle name="Comma 2 4 2 4 4 4 2" xfId="16890" xr:uid="{57945FE1-2C3C-4364-A3B5-80222448EFC2}"/>
    <cellStyle name="Comma 2 4 2 4 4 4 3" xfId="27306" xr:uid="{790C6F66-2F10-4A04-A132-FF00BAA4DCB7}"/>
    <cellStyle name="Comma 2 4 2 4 4 5" xfId="13414" xr:uid="{00E4FF0A-EA10-4F8F-A9B0-F746DC9A8140}"/>
    <cellStyle name="Comma 2 4 2 4 4 6" xfId="23830" xr:uid="{30D7D0A2-F6B6-43A8-9BA2-B95CBCFE4A8D}"/>
    <cellStyle name="Comma 2 4 2 4 5" xfId="1081" xr:uid="{00000000-0005-0000-0000-00005D0A0000}"/>
    <cellStyle name="Comma 2 4 2 4 5 2" xfId="8228" xr:uid="{00000000-0005-0000-0000-00005E0A0000}"/>
    <cellStyle name="Comma 2 4 2 4 5 2 2" xfId="19774" xr:uid="{D274531E-A1CE-4087-9138-CECFEF0549FA}"/>
    <cellStyle name="Comma 2 4 2 4 5 2 3" xfId="30190" xr:uid="{50287C08-5B70-4B12-8B2B-5A94FFC9118B}"/>
    <cellStyle name="Comma 2 4 2 4 5 3" xfId="13416" xr:uid="{34745669-C961-4D74-821E-545EC9D091C8}"/>
    <cellStyle name="Comma 2 4 2 4 5 4" xfId="23832" xr:uid="{C7A3974B-E35B-4093-BC4D-E77CC766EAE8}"/>
    <cellStyle name="Comma 2 4 2 4 6" xfId="8219" xr:uid="{00000000-0005-0000-0000-00005F0A0000}"/>
    <cellStyle name="Comma 2 4 2 4 6 2" xfId="19765" xr:uid="{D8FCFC12-3E5D-4F15-A6A1-E8B1C04CCAD7}"/>
    <cellStyle name="Comma 2 4 2 4 6 3" xfId="30181" xr:uid="{721A1EDB-2A44-4CA1-ABD8-358E20B16234}"/>
    <cellStyle name="Comma 2 4 2 4 7" xfId="5300" xr:uid="{00000000-0005-0000-0000-0000600A0000}"/>
    <cellStyle name="Comma 2 4 2 4 7 2" xfId="16886" xr:uid="{10A2E66A-88A4-45D1-8542-CF9EAEB7DD37}"/>
    <cellStyle name="Comma 2 4 2 4 7 3" xfId="27302" xr:uid="{DE254853-BD79-4595-8FB6-6A6117E6B7DA}"/>
    <cellStyle name="Comma 2 4 2 4 8" xfId="13407" xr:uid="{C214BF06-E919-4F07-9887-FA0A5F80B4D4}"/>
    <cellStyle name="Comma 2 4 2 4 9" xfId="23823" xr:uid="{CD124E41-0EC3-4A71-9116-E787ECDE6A7E}"/>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2 2 2" xfId="19778" xr:uid="{998EC1A9-E00C-4335-B35A-41611B29393F}"/>
    <cellStyle name="Comma 2 4 2 5 2 2 2 2 3" xfId="30194" xr:uid="{11EEF6C9-EC3E-462F-8AAB-2C24D6C537F4}"/>
    <cellStyle name="Comma 2 4 2 5 2 2 2 3" xfId="13420" xr:uid="{933D3A20-BBD1-4A25-BBB0-21E0A5E53CCF}"/>
    <cellStyle name="Comma 2 4 2 5 2 2 2 4" xfId="23836" xr:uid="{244AE569-4F97-4D0A-9855-7578369506C5}"/>
    <cellStyle name="Comma 2 4 2 5 2 2 3" xfId="8231" xr:uid="{00000000-0005-0000-0000-0000660A0000}"/>
    <cellStyle name="Comma 2 4 2 5 2 2 3 2" xfId="19777" xr:uid="{C1489682-4850-4249-BBD9-EF95D143899F}"/>
    <cellStyle name="Comma 2 4 2 5 2 2 3 3" xfId="30193" xr:uid="{ECABB696-26DB-4243-A1DD-72696E6ED339}"/>
    <cellStyle name="Comma 2 4 2 5 2 2 4" xfId="5307" xr:uid="{00000000-0005-0000-0000-0000670A0000}"/>
    <cellStyle name="Comma 2 4 2 5 2 2 4 2" xfId="16893" xr:uid="{5236C6DE-BAFA-4305-857B-7B67A3DF90B2}"/>
    <cellStyle name="Comma 2 4 2 5 2 2 4 3" xfId="27309" xr:uid="{18B7C34E-BF4F-446E-AD55-9A398DE028DC}"/>
    <cellStyle name="Comma 2 4 2 5 2 2 5" xfId="13419" xr:uid="{53F627F7-3707-4859-806D-284F2DC67741}"/>
    <cellStyle name="Comma 2 4 2 5 2 2 6" xfId="23835" xr:uid="{B4C6C257-2908-4C39-AB22-462BE102D767}"/>
    <cellStyle name="Comma 2 4 2 5 2 3" xfId="1086" xr:uid="{00000000-0005-0000-0000-0000680A0000}"/>
    <cellStyle name="Comma 2 4 2 5 2 3 2" xfId="8233" xr:uid="{00000000-0005-0000-0000-0000690A0000}"/>
    <cellStyle name="Comma 2 4 2 5 2 3 2 2" xfId="19779" xr:uid="{BA6991D9-2BC4-4115-A5BF-3FD54E7565FE}"/>
    <cellStyle name="Comma 2 4 2 5 2 3 2 3" xfId="30195" xr:uid="{C858616C-2F30-4A57-BF56-15D08B680DD7}"/>
    <cellStyle name="Comma 2 4 2 5 2 3 3" xfId="13421" xr:uid="{5A71CAEC-2429-4536-8FC8-502138A8AB0E}"/>
    <cellStyle name="Comma 2 4 2 5 2 3 4" xfId="23837" xr:uid="{D1B61A97-5E60-47B8-AB8D-95F2CBC984CB}"/>
    <cellStyle name="Comma 2 4 2 5 2 4" xfId="8230" xr:uid="{00000000-0005-0000-0000-00006A0A0000}"/>
    <cellStyle name="Comma 2 4 2 5 2 4 2" xfId="19776" xr:uid="{DA27A7FC-35B7-4100-8003-DF9DD6D47EAA}"/>
    <cellStyle name="Comma 2 4 2 5 2 4 3" xfId="30192" xr:uid="{FFA11602-EE57-4DC6-B89A-7222F22EA332}"/>
    <cellStyle name="Comma 2 4 2 5 2 5" xfId="5306" xr:uid="{00000000-0005-0000-0000-00006B0A0000}"/>
    <cellStyle name="Comma 2 4 2 5 2 5 2" xfId="16892" xr:uid="{15CF8F12-AB79-47F4-A4E1-DCA214142426}"/>
    <cellStyle name="Comma 2 4 2 5 2 5 3" xfId="27308" xr:uid="{488991BF-E40A-4B12-8383-B5AE49AEB5A7}"/>
    <cellStyle name="Comma 2 4 2 5 2 6" xfId="13418" xr:uid="{89399039-7C52-49B4-AB80-9237D3E02677}"/>
    <cellStyle name="Comma 2 4 2 5 2 7" xfId="23834" xr:uid="{2192B3F0-9C79-4C13-AC3C-220A5E4FEB9D}"/>
    <cellStyle name="Comma 2 4 2 5 3" xfId="1087" xr:uid="{00000000-0005-0000-0000-00006C0A0000}"/>
    <cellStyle name="Comma 2 4 2 5 3 2" xfId="1088" xr:uid="{00000000-0005-0000-0000-00006D0A0000}"/>
    <cellStyle name="Comma 2 4 2 5 3 2 2" xfId="8235" xr:uid="{00000000-0005-0000-0000-00006E0A0000}"/>
    <cellStyle name="Comma 2 4 2 5 3 2 2 2" xfId="19781" xr:uid="{F76E8E68-BA19-4D8E-9451-203A27B30FAF}"/>
    <cellStyle name="Comma 2 4 2 5 3 2 2 3" xfId="30197" xr:uid="{05BE5966-8E74-4C8B-999D-C26A3C982D28}"/>
    <cellStyle name="Comma 2 4 2 5 3 2 3" xfId="13423" xr:uid="{6E2EA28C-A99E-4252-B89B-6407C994B2F0}"/>
    <cellStyle name="Comma 2 4 2 5 3 2 4" xfId="23839" xr:uid="{44C50EDF-F045-4B7B-8389-B32346922115}"/>
    <cellStyle name="Comma 2 4 2 5 3 3" xfId="8234" xr:uid="{00000000-0005-0000-0000-00006F0A0000}"/>
    <cellStyle name="Comma 2 4 2 5 3 3 2" xfId="19780" xr:uid="{30460F69-14BB-4C4C-9324-8AD82BDF1BF6}"/>
    <cellStyle name="Comma 2 4 2 5 3 3 3" xfId="30196" xr:uid="{7B6D2F78-4B68-4306-8AB7-3516DF540189}"/>
    <cellStyle name="Comma 2 4 2 5 3 4" xfId="5308" xr:uid="{00000000-0005-0000-0000-0000700A0000}"/>
    <cellStyle name="Comma 2 4 2 5 3 4 2" xfId="16894" xr:uid="{F568D297-60BA-4140-A50E-5EBF69997F0E}"/>
    <cellStyle name="Comma 2 4 2 5 3 4 3" xfId="27310" xr:uid="{A2D29BCF-4E56-48FD-A9CE-CABD059F9322}"/>
    <cellStyle name="Comma 2 4 2 5 3 5" xfId="13422" xr:uid="{26EFE761-97A0-4A3B-8CEC-5A7C721FC913}"/>
    <cellStyle name="Comma 2 4 2 5 3 6" xfId="23838" xr:uid="{C0C3CF39-1014-4513-9F6A-02E9180A0026}"/>
    <cellStyle name="Comma 2 4 2 5 4" xfId="1089" xr:uid="{00000000-0005-0000-0000-0000710A0000}"/>
    <cellStyle name="Comma 2 4 2 5 4 2" xfId="1090" xr:uid="{00000000-0005-0000-0000-0000720A0000}"/>
    <cellStyle name="Comma 2 4 2 5 4 2 2" xfId="8237" xr:uid="{00000000-0005-0000-0000-0000730A0000}"/>
    <cellStyle name="Comma 2 4 2 5 4 2 2 2" xfId="19783" xr:uid="{B9B68997-AECC-4BD2-93A6-414266958260}"/>
    <cellStyle name="Comma 2 4 2 5 4 2 2 3" xfId="30199" xr:uid="{55CFD626-32D9-4834-8395-3A4A388A8598}"/>
    <cellStyle name="Comma 2 4 2 5 4 2 3" xfId="13425" xr:uid="{679CCB2D-78CE-4762-8516-FC8BF69AB07E}"/>
    <cellStyle name="Comma 2 4 2 5 4 2 4" xfId="23841" xr:uid="{56585CFB-2773-4202-B713-5673C4393222}"/>
    <cellStyle name="Comma 2 4 2 5 4 3" xfId="8236" xr:uid="{00000000-0005-0000-0000-0000740A0000}"/>
    <cellStyle name="Comma 2 4 2 5 4 3 2" xfId="19782" xr:uid="{1A1A4A87-D88C-40A4-B3CA-A2957113E64B}"/>
    <cellStyle name="Comma 2 4 2 5 4 3 3" xfId="30198" xr:uid="{E88245A8-0295-4931-AC47-379BE5CCFF02}"/>
    <cellStyle name="Comma 2 4 2 5 4 4" xfId="5309" xr:uid="{00000000-0005-0000-0000-0000750A0000}"/>
    <cellStyle name="Comma 2 4 2 5 4 4 2" xfId="16895" xr:uid="{A94A66D3-FF6B-4A44-9A95-DA99DD7DAAEC}"/>
    <cellStyle name="Comma 2 4 2 5 4 4 3" xfId="27311" xr:uid="{739BCFFD-A52D-4F6C-8518-5B38FC2DB183}"/>
    <cellStyle name="Comma 2 4 2 5 4 5" xfId="13424" xr:uid="{2E67B1EA-F720-45FC-B0FC-1CE93B909EDB}"/>
    <cellStyle name="Comma 2 4 2 5 4 6" xfId="23840" xr:uid="{29BBAB85-3EE5-4AA9-998C-A2F3C5F56FA0}"/>
    <cellStyle name="Comma 2 4 2 5 5" xfId="1091" xr:uid="{00000000-0005-0000-0000-0000760A0000}"/>
    <cellStyle name="Comma 2 4 2 5 5 2" xfId="8238" xr:uid="{00000000-0005-0000-0000-0000770A0000}"/>
    <cellStyle name="Comma 2 4 2 5 5 2 2" xfId="19784" xr:uid="{8E09950E-CCFB-4249-A50D-EBE277A35793}"/>
    <cellStyle name="Comma 2 4 2 5 5 2 3" xfId="30200" xr:uid="{92986415-9245-462C-B173-D8336DB07E9A}"/>
    <cellStyle name="Comma 2 4 2 5 5 3" xfId="13426" xr:uid="{079FB3F4-40C2-4C83-8711-56A75DC0E632}"/>
    <cellStyle name="Comma 2 4 2 5 5 4" xfId="23842" xr:uid="{8E7CED7B-0B1F-4E58-B2FB-02D5E477F1B4}"/>
    <cellStyle name="Comma 2 4 2 5 6" xfId="8229" xr:uid="{00000000-0005-0000-0000-0000780A0000}"/>
    <cellStyle name="Comma 2 4 2 5 6 2" xfId="19775" xr:uid="{039B1ABF-65E3-4CA5-A49D-22B8176EBAFD}"/>
    <cellStyle name="Comma 2 4 2 5 6 3" xfId="30191" xr:uid="{47A9303E-DC8E-47AB-8218-BB7ADF5C664F}"/>
    <cellStyle name="Comma 2 4 2 5 7" xfId="5305" xr:uid="{00000000-0005-0000-0000-0000790A0000}"/>
    <cellStyle name="Comma 2 4 2 5 7 2" xfId="16891" xr:uid="{2992C3A4-05CA-4D21-BFEF-3433211550C6}"/>
    <cellStyle name="Comma 2 4 2 5 7 3" xfId="27307" xr:uid="{67185AF4-E145-4A71-86F3-21AC8D7B9B7D}"/>
    <cellStyle name="Comma 2 4 2 5 8" xfId="13417" xr:uid="{0F10D820-E199-4581-AB6A-B0CF127BE6F7}"/>
    <cellStyle name="Comma 2 4 2 5 9" xfId="23833" xr:uid="{7392C3AA-2AF9-416E-A133-CC703B7FC483}"/>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2 2 2" xfId="19788" xr:uid="{34B4D6DB-5581-4732-B59E-EE71B9DD8BFF}"/>
    <cellStyle name="Comma 2 4 2 6 2 2 2 2 3" xfId="30204" xr:uid="{B46E58A5-B8E2-41C2-943A-3127084112DF}"/>
    <cellStyle name="Comma 2 4 2 6 2 2 2 3" xfId="13430" xr:uid="{42556E59-1BDA-4C58-A994-1C619843A208}"/>
    <cellStyle name="Comma 2 4 2 6 2 2 2 4" xfId="23846" xr:uid="{3B818ABB-51B6-4F9B-9727-202678193BB9}"/>
    <cellStyle name="Comma 2 4 2 6 2 2 3" xfId="8241" xr:uid="{00000000-0005-0000-0000-00007F0A0000}"/>
    <cellStyle name="Comma 2 4 2 6 2 2 3 2" xfId="19787" xr:uid="{1EA535A7-2251-4706-B3CC-364E72461BB9}"/>
    <cellStyle name="Comma 2 4 2 6 2 2 3 3" xfId="30203" xr:uid="{2D5B5639-22A4-42C5-A63A-06E43DA18D85}"/>
    <cellStyle name="Comma 2 4 2 6 2 2 4" xfId="5312" xr:uid="{00000000-0005-0000-0000-0000800A0000}"/>
    <cellStyle name="Comma 2 4 2 6 2 2 4 2" xfId="16898" xr:uid="{7931085B-6B53-4FE8-A6EC-21564F46F423}"/>
    <cellStyle name="Comma 2 4 2 6 2 2 4 3" xfId="27314" xr:uid="{57B958C7-4F75-483A-8E5F-E1BF6E3CA9C3}"/>
    <cellStyle name="Comma 2 4 2 6 2 2 5" xfId="13429" xr:uid="{E4ABE0BB-B704-4FFB-838F-5B644456DEF3}"/>
    <cellStyle name="Comma 2 4 2 6 2 2 6" xfId="23845" xr:uid="{A4A96234-F6EE-4AD8-8D7F-8E71BDF21F08}"/>
    <cellStyle name="Comma 2 4 2 6 2 3" xfId="1096" xr:uid="{00000000-0005-0000-0000-0000810A0000}"/>
    <cellStyle name="Comma 2 4 2 6 2 3 2" xfId="8243" xr:uid="{00000000-0005-0000-0000-0000820A0000}"/>
    <cellStyle name="Comma 2 4 2 6 2 3 2 2" xfId="19789" xr:uid="{1E9DA246-BCA2-472F-9F1E-79041F202DF7}"/>
    <cellStyle name="Comma 2 4 2 6 2 3 2 3" xfId="30205" xr:uid="{B3EE9527-F0AB-4F9D-9ED6-EF5630C424D1}"/>
    <cellStyle name="Comma 2 4 2 6 2 3 3" xfId="13431" xr:uid="{D3D52718-2CA4-4194-879C-4A597BBC22BD}"/>
    <cellStyle name="Comma 2 4 2 6 2 3 4" xfId="23847" xr:uid="{0CFB4119-B77D-4DAC-9EBF-BF38BD1EE9D2}"/>
    <cellStyle name="Comma 2 4 2 6 2 4" xfId="8240" xr:uid="{00000000-0005-0000-0000-0000830A0000}"/>
    <cellStyle name="Comma 2 4 2 6 2 4 2" xfId="19786" xr:uid="{A27FB114-98B1-4896-8726-7D3B047B1465}"/>
    <cellStyle name="Comma 2 4 2 6 2 4 3" xfId="30202" xr:uid="{B66B4927-5DC1-4792-A324-B1DE62F62380}"/>
    <cellStyle name="Comma 2 4 2 6 2 5" xfId="5311" xr:uid="{00000000-0005-0000-0000-0000840A0000}"/>
    <cellStyle name="Comma 2 4 2 6 2 5 2" xfId="16897" xr:uid="{88CE15C4-42F6-4302-B2E1-4B773434A11E}"/>
    <cellStyle name="Comma 2 4 2 6 2 5 3" xfId="27313" xr:uid="{88C876C0-4878-46E5-B744-2330F2F96F36}"/>
    <cellStyle name="Comma 2 4 2 6 2 6" xfId="13428" xr:uid="{9EFFFC3A-F0A0-474D-885E-41F646FABDED}"/>
    <cellStyle name="Comma 2 4 2 6 2 7" xfId="23844" xr:uid="{9885D020-5942-404F-A982-B5CD9D35160C}"/>
    <cellStyle name="Comma 2 4 2 6 3" xfId="1097" xr:uid="{00000000-0005-0000-0000-0000850A0000}"/>
    <cellStyle name="Comma 2 4 2 6 3 2" xfId="1098" xr:uid="{00000000-0005-0000-0000-0000860A0000}"/>
    <cellStyle name="Comma 2 4 2 6 3 2 2" xfId="8245" xr:uid="{00000000-0005-0000-0000-0000870A0000}"/>
    <cellStyle name="Comma 2 4 2 6 3 2 2 2" xfId="19791" xr:uid="{8720F84B-F91B-4305-BD99-EAD6A298C1DB}"/>
    <cellStyle name="Comma 2 4 2 6 3 2 2 3" xfId="30207" xr:uid="{2A1B72F3-1149-4C00-AA05-0C146A9F961F}"/>
    <cellStyle name="Comma 2 4 2 6 3 2 3" xfId="13433" xr:uid="{0F7A9D76-C9F3-4D4B-94A5-81D61171BA12}"/>
    <cellStyle name="Comma 2 4 2 6 3 2 4" xfId="23849" xr:uid="{2328B647-E741-40BA-96E5-F04638611A6A}"/>
    <cellStyle name="Comma 2 4 2 6 3 3" xfId="8244" xr:uid="{00000000-0005-0000-0000-0000880A0000}"/>
    <cellStyle name="Comma 2 4 2 6 3 3 2" xfId="19790" xr:uid="{C37A3D9E-FEE2-47F4-8CA7-F4CAF937189B}"/>
    <cellStyle name="Comma 2 4 2 6 3 3 3" xfId="30206" xr:uid="{CF4563CC-37BC-46F1-94D9-291AA182428F}"/>
    <cellStyle name="Comma 2 4 2 6 3 4" xfId="5313" xr:uid="{00000000-0005-0000-0000-0000890A0000}"/>
    <cellStyle name="Comma 2 4 2 6 3 4 2" xfId="16899" xr:uid="{CD034B05-6591-42EC-9E9F-5825C7B86BB1}"/>
    <cellStyle name="Comma 2 4 2 6 3 4 3" xfId="27315" xr:uid="{459CDB8E-9E11-44CC-A160-DB309FA165A3}"/>
    <cellStyle name="Comma 2 4 2 6 3 5" xfId="13432" xr:uid="{8AE37B33-9AFF-4574-B1C5-5BE4AC1A2D6A}"/>
    <cellStyle name="Comma 2 4 2 6 3 6" xfId="23848" xr:uid="{37454D14-CED1-4D37-846D-0F541B763840}"/>
    <cellStyle name="Comma 2 4 2 6 4" xfId="1099" xr:uid="{00000000-0005-0000-0000-00008A0A0000}"/>
    <cellStyle name="Comma 2 4 2 6 4 2" xfId="1100" xr:uid="{00000000-0005-0000-0000-00008B0A0000}"/>
    <cellStyle name="Comma 2 4 2 6 4 2 2" xfId="8247" xr:uid="{00000000-0005-0000-0000-00008C0A0000}"/>
    <cellStyle name="Comma 2 4 2 6 4 2 2 2" xfId="19793" xr:uid="{14A7C4A9-19A7-44B7-B6D9-F60670E49979}"/>
    <cellStyle name="Comma 2 4 2 6 4 2 2 3" xfId="30209" xr:uid="{8710437D-AC34-4566-B731-C019566F7F66}"/>
    <cellStyle name="Comma 2 4 2 6 4 2 3" xfId="13435" xr:uid="{40A2162C-2E2C-4275-AE23-82C4B2ECAF40}"/>
    <cellStyle name="Comma 2 4 2 6 4 2 4" xfId="23851" xr:uid="{7DDAC873-01DF-4180-A48F-4D9D500F5EC9}"/>
    <cellStyle name="Comma 2 4 2 6 4 3" xfId="8246" xr:uid="{00000000-0005-0000-0000-00008D0A0000}"/>
    <cellStyle name="Comma 2 4 2 6 4 3 2" xfId="19792" xr:uid="{EADF5501-05C5-4A9D-B213-1E0A8A2318A7}"/>
    <cellStyle name="Comma 2 4 2 6 4 3 3" xfId="30208" xr:uid="{8E619515-533D-43C8-ACC4-B9B4E0CEE002}"/>
    <cellStyle name="Comma 2 4 2 6 4 4" xfId="5314" xr:uid="{00000000-0005-0000-0000-00008E0A0000}"/>
    <cellStyle name="Comma 2 4 2 6 4 4 2" xfId="16900" xr:uid="{6A73AC4E-5176-44BC-B3EB-C7F3FE05F892}"/>
    <cellStyle name="Comma 2 4 2 6 4 4 3" xfId="27316" xr:uid="{2D15A547-8B28-44D0-9065-CB8405AA7242}"/>
    <cellStyle name="Comma 2 4 2 6 4 5" xfId="13434" xr:uid="{EC96ABAE-FF95-46FD-BF87-6720DC3C4DFB}"/>
    <cellStyle name="Comma 2 4 2 6 4 6" xfId="23850" xr:uid="{BAE35FF7-2C4D-4741-BD09-9CCC101D1CD0}"/>
    <cellStyle name="Comma 2 4 2 6 5" xfId="1101" xr:uid="{00000000-0005-0000-0000-00008F0A0000}"/>
    <cellStyle name="Comma 2 4 2 6 5 2" xfId="8248" xr:uid="{00000000-0005-0000-0000-0000900A0000}"/>
    <cellStyle name="Comma 2 4 2 6 5 2 2" xfId="19794" xr:uid="{B3B07517-B9E2-4A85-96E5-A9C9B37404FB}"/>
    <cellStyle name="Comma 2 4 2 6 5 2 3" xfId="30210" xr:uid="{59C5AB07-61B8-4A6F-BDD8-D27CCBCBE911}"/>
    <cellStyle name="Comma 2 4 2 6 5 3" xfId="13436" xr:uid="{FF6C0EE9-0B80-42B9-A8C5-E9B870D0BA3C}"/>
    <cellStyle name="Comma 2 4 2 6 5 4" xfId="23852" xr:uid="{AD38AFAD-7799-4DAB-8FBF-37617A0F68F1}"/>
    <cellStyle name="Comma 2 4 2 6 6" xfId="8239" xr:uid="{00000000-0005-0000-0000-0000910A0000}"/>
    <cellStyle name="Comma 2 4 2 6 6 2" xfId="19785" xr:uid="{FE4AC915-F88C-426B-A4A5-5A058DC91A68}"/>
    <cellStyle name="Comma 2 4 2 6 6 3" xfId="30201" xr:uid="{9D9FE463-AF3D-4DE9-BF13-BEA0A6C80D7C}"/>
    <cellStyle name="Comma 2 4 2 6 7" xfId="5310" xr:uid="{00000000-0005-0000-0000-0000920A0000}"/>
    <cellStyle name="Comma 2 4 2 6 7 2" xfId="16896" xr:uid="{E3EAF9AD-9535-4F19-9495-BB6FAE43A3C8}"/>
    <cellStyle name="Comma 2 4 2 6 7 3" xfId="27312" xr:uid="{977E2393-88E3-423F-89F5-B975B127847C}"/>
    <cellStyle name="Comma 2 4 2 6 8" xfId="13427" xr:uid="{98C94DD7-C196-4F08-AF06-444FF78C0EAC}"/>
    <cellStyle name="Comma 2 4 2 6 9" xfId="23843" xr:uid="{8F41450C-90B5-4964-A250-4B955D6E05EE}"/>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2 2 2" xfId="19797" xr:uid="{EACD3743-BBA2-4878-9496-0E99EC442CD5}"/>
    <cellStyle name="Comma 2 4 2 7 2 2 2 3" xfId="30213" xr:uid="{28AD3C55-9C71-4FE7-AECD-CCDDC584B32E}"/>
    <cellStyle name="Comma 2 4 2 7 2 2 3" xfId="13439" xr:uid="{351A8382-2A32-49D8-B920-F3F0F546681A}"/>
    <cellStyle name="Comma 2 4 2 7 2 2 4" xfId="23855" xr:uid="{336B5CD2-34A5-4580-B020-6B6DE87F92C9}"/>
    <cellStyle name="Comma 2 4 2 7 2 3" xfId="8250" xr:uid="{00000000-0005-0000-0000-0000970A0000}"/>
    <cellStyle name="Comma 2 4 2 7 2 3 2" xfId="19796" xr:uid="{39ECECA8-FE31-4B50-BC52-932E5A7DBDEE}"/>
    <cellStyle name="Comma 2 4 2 7 2 3 3" xfId="30212" xr:uid="{93604CFE-95D0-4C99-82CF-AEF29B47DECF}"/>
    <cellStyle name="Comma 2 4 2 7 2 4" xfId="5316" xr:uid="{00000000-0005-0000-0000-0000980A0000}"/>
    <cellStyle name="Comma 2 4 2 7 2 4 2" xfId="16902" xr:uid="{5F469712-AFE7-40F2-85CC-24DE05B0BA83}"/>
    <cellStyle name="Comma 2 4 2 7 2 4 3" xfId="27318" xr:uid="{C95D9526-012A-4C67-A90E-14876496F932}"/>
    <cellStyle name="Comma 2 4 2 7 2 5" xfId="13438" xr:uid="{EC4F1FF3-3E26-49D3-AD1D-837188152D1C}"/>
    <cellStyle name="Comma 2 4 2 7 2 6" xfId="23854" xr:uid="{B7BC3656-9AF5-4E2F-879E-2BFCB238A4BC}"/>
    <cellStyle name="Comma 2 4 2 7 3" xfId="1105" xr:uid="{00000000-0005-0000-0000-0000990A0000}"/>
    <cellStyle name="Comma 2 4 2 7 3 2" xfId="1106" xr:uid="{00000000-0005-0000-0000-00009A0A0000}"/>
    <cellStyle name="Comma 2 4 2 7 3 2 2" xfId="8253" xr:uid="{00000000-0005-0000-0000-00009B0A0000}"/>
    <cellStyle name="Comma 2 4 2 7 3 2 2 2" xfId="19799" xr:uid="{BEE1CF07-0901-469B-B690-F69FEA5C3461}"/>
    <cellStyle name="Comma 2 4 2 7 3 2 2 3" xfId="30215" xr:uid="{5B989069-DA69-444D-9EA1-AF50D628BB65}"/>
    <cellStyle name="Comma 2 4 2 7 3 2 3" xfId="13441" xr:uid="{2228AAFF-B52E-4B5E-B6E0-86C447B2E36C}"/>
    <cellStyle name="Comma 2 4 2 7 3 2 4" xfId="23857" xr:uid="{53684172-EC32-4B8B-A07F-C2876C997F45}"/>
    <cellStyle name="Comma 2 4 2 7 3 3" xfId="8252" xr:uid="{00000000-0005-0000-0000-00009C0A0000}"/>
    <cellStyle name="Comma 2 4 2 7 3 3 2" xfId="19798" xr:uid="{047C3209-0311-429F-9B07-0E748FE99B5F}"/>
    <cellStyle name="Comma 2 4 2 7 3 3 3" xfId="30214" xr:uid="{89FD2EC8-4E44-4E4B-BF39-40A8A0D2F66C}"/>
    <cellStyle name="Comma 2 4 2 7 3 4" xfId="5317" xr:uid="{00000000-0005-0000-0000-00009D0A0000}"/>
    <cellStyle name="Comma 2 4 2 7 3 4 2" xfId="16903" xr:uid="{DED47510-A86E-47E2-AF05-F24CFB31D97B}"/>
    <cellStyle name="Comma 2 4 2 7 3 4 3" xfId="27319" xr:uid="{B2F8D635-4405-47E6-BDC2-69F4CE18B72B}"/>
    <cellStyle name="Comma 2 4 2 7 3 5" xfId="13440" xr:uid="{E63078F2-1D89-4837-A5A6-E827A2BE39D8}"/>
    <cellStyle name="Comma 2 4 2 7 3 6" xfId="23856" xr:uid="{D30DB066-FC65-4E33-AA2E-9CDE9684D59C}"/>
    <cellStyle name="Comma 2 4 2 7 4" xfId="1107" xr:uid="{00000000-0005-0000-0000-00009E0A0000}"/>
    <cellStyle name="Comma 2 4 2 7 4 2" xfId="8254" xr:uid="{00000000-0005-0000-0000-00009F0A0000}"/>
    <cellStyle name="Comma 2 4 2 7 4 2 2" xfId="19800" xr:uid="{73C7FB02-969B-4F03-921C-86970CEB9A57}"/>
    <cellStyle name="Comma 2 4 2 7 4 2 3" xfId="30216" xr:uid="{CBD03D79-AB39-4C3B-A51E-67930D6AA096}"/>
    <cellStyle name="Comma 2 4 2 7 4 3" xfId="13442" xr:uid="{506E14F1-65EE-46C6-A317-640AF18B9DCC}"/>
    <cellStyle name="Comma 2 4 2 7 4 4" xfId="23858" xr:uid="{AFD52409-746B-4FA9-81EA-9EA5A81236A8}"/>
    <cellStyle name="Comma 2 4 2 7 5" xfId="8249" xr:uid="{00000000-0005-0000-0000-0000A00A0000}"/>
    <cellStyle name="Comma 2 4 2 7 5 2" xfId="19795" xr:uid="{E7C9870B-F348-4362-943F-86A47FE62238}"/>
    <cellStyle name="Comma 2 4 2 7 5 3" xfId="30211" xr:uid="{AD6ED382-2930-4332-814E-134AEDD88854}"/>
    <cellStyle name="Comma 2 4 2 7 6" xfId="5315" xr:uid="{00000000-0005-0000-0000-0000A10A0000}"/>
    <cellStyle name="Comma 2 4 2 7 6 2" xfId="16901" xr:uid="{3285B8D7-8F8E-4C10-9DF8-DE55F751F5B2}"/>
    <cellStyle name="Comma 2 4 2 7 6 3" xfId="27317" xr:uid="{FEFC6630-7EF1-4A95-854A-B94D91B40C15}"/>
    <cellStyle name="Comma 2 4 2 7 7" xfId="13437" xr:uid="{0AB83F5F-9FF6-420E-95A6-4AC688A6124B}"/>
    <cellStyle name="Comma 2 4 2 7 8" xfId="23853" xr:uid="{900C7EA9-91A8-4B5E-AD0F-9AF641B7F7EF}"/>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2 2 2" xfId="19803" xr:uid="{B55D08FD-ABDE-46A1-9370-4233CFD6F746}"/>
    <cellStyle name="Comma 2 4 2 8 2 2 2 3" xfId="30219" xr:uid="{EBFEA0E0-88BA-4120-91CB-EC893877DED3}"/>
    <cellStyle name="Comma 2 4 2 8 2 2 3" xfId="13445" xr:uid="{F3A5B06F-249A-4947-8C9D-8C8A70F95C25}"/>
    <cellStyle name="Comma 2 4 2 8 2 2 4" xfId="23861" xr:uid="{CA6DEAF4-F08E-4088-8598-38A048C235DE}"/>
    <cellStyle name="Comma 2 4 2 8 2 3" xfId="8256" xr:uid="{00000000-0005-0000-0000-0000A60A0000}"/>
    <cellStyle name="Comma 2 4 2 8 2 3 2" xfId="19802" xr:uid="{1672C38D-881E-4182-B798-D960B216F6FF}"/>
    <cellStyle name="Comma 2 4 2 8 2 3 3" xfId="30218" xr:uid="{6E91BE0F-0E45-424F-BD4D-A90288B3D5F3}"/>
    <cellStyle name="Comma 2 4 2 8 2 4" xfId="5319" xr:uid="{00000000-0005-0000-0000-0000A70A0000}"/>
    <cellStyle name="Comma 2 4 2 8 2 4 2" xfId="16905" xr:uid="{D2364A79-36D6-4652-96BB-1CDC5C344301}"/>
    <cellStyle name="Comma 2 4 2 8 2 4 3" xfId="27321" xr:uid="{2993462E-D8C1-4C27-A3A6-9731DA5A1447}"/>
    <cellStyle name="Comma 2 4 2 8 2 5" xfId="13444" xr:uid="{EE898A26-844F-4300-88EB-86895711F881}"/>
    <cellStyle name="Comma 2 4 2 8 2 6" xfId="23860" xr:uid="{A1F5B179-6717-43D5-A3DB-177DBE98228F}"/>
    <cellStyle name="Comma 2 4 2 8 3" xfId="1111" xr:uid="{00000000-0005-0000-0000-0000A80A0000}"/>
    <cellStyle name="Comma 2 4 2 8 3 2" xfId="8258" xr:uid="{00000000-0005-0000-0000-0000A90A0000}"/>
    <cellStyle name="Comma 2 4 2 8 3 2 2" xfId="19804" xr:uid="{DA08D453-AE50-4512-B16F-56079E18EBDA}"/>
    <cellStyle name="Comma 2 4 2 8 3 2 3" xfId="30220" xr:uid="{F86C2433-DE8D-497C-93FE-19F4671838A8}"/>
    <cellStyle name="Comma 2 4 2 8 3 3" xfId="13446" xr:uid="{80007B59-344E-4451-A79D-3DA930AA09E7}"/>
    <cellStyle name="Comma 2 4 2 8 3 4" xfId="23862" xr:uid="{551161AA-D210-4695-B7B1-B00D4E513B61}"/>
    <cellStyle name="Comma 2 4 2 8 4" xfId="8255" xr:uid="{00000000-0005-0000-0000-0000AA0A0000}"/>
    <cellStyle name="Comma 2 4 2 8 4 2" xfId="19801" xr:uid="{C89CEF8B-7024-40F2-B756-687A88D16ECD}"/>
    <cellStyle name="Comma 2 4 2 8 4 3" xfId="30217" xr:uid="{AA6CD9D7-CC3A-441B-B3C5-59A0423A4552}"/>
    <cellStyle name="Comma 2 4 2 8 5" xfId="5318" xr:uid="{00000000-0005-0000-0000-0000AB0A0000}"/>
    <cellStyle name="Comma 2 4 2 8 5 2" xfId="16904" xr:uid="{45E22C41-3A52-428F-AD16-1CE06985538C}"/>
    <cellStyle name="Comma 2 4 2 8 5 3" xfId="27320" xr:uid="{385B357D-0C54-4ED4-99AF-C437EAE1B025}"/>
    <cellStyle name="Comma 2 4 2 8 6" xfId="13443" xr:uid="{4FE14A97-D1E7-4A20-BA4C-6022EFF58F11}"/>
    <cellStyle name="Comma 2 4 2 8 7" xfId="23859" xr:uid="{3D57C8F0-F1DB-4DFE-8907-D1C65BA25BDF}"/>
    <cellStyle name="Comma 2 4 2 9" xfId="1112" xr:uid="{00000000-0005-0000-0000-0000AC0A0000}"/>
    <cellStyle name="Comma 2 4 2 9 2" xfId="1113" xr:uid="{00000000-0005-0000-0000-0000AD0A0000}"/>
    <cellStyle name="Comma 2 4 2 9 2 2" xfId="8260" xr:uid="{00000000-0005-0000-0000-0000AE0A0000}"/>
    <cellStyle name="Comma 2 4 2 9 2 2 2" xfId="19806" xr:uid="{7000B17A-3AA2-4AC6-9BEE-C0E81ABCC6C8}"/>
    <cellStyle name="Comma 2 4 2 9 2 2 3" xfId="30222" xr:uid="{E1F5E155-7E29-4425-B453-E2FD91FD9EED}"/>
    <cellStyle name="Comma 2 4 2 9 2 3" xfId="13448" xr:uid="{7AB37639-9C32-4064-AC91-4B2C1AFE4C8F}"/>
    <cellStyle name="Comma 2 4 2 9 2 4" xfId="23864" xr:uid="{88191E8A-D160-420A-A756-81F0C647188B}"/>
    <cellStyle name="Comma 2 4 2 9 3" xfId="8259" xr:uid="{00000000-0005-0000-0000-0000AF0A0000}"/>
    <cellStyle name="Comma 2 4 2 9 3 2" xfId="19805" xr:uid="{5287D377-8244-441E-9890-D1F3ECB124FE}"/>
    <cellStyle name="Comma 2 4 2 9 3 3" xfId="30221" xr:uid="{4986EFFF-A606-493B-8EE8-1DF7A8C4A020}"/>
    <cellStyle name="Comma 2 4 2 9 4" xfId="5320" xr:uid="{00000000-0005-0000-0000-0000B00A0000}"/>
    <cellStyle name="Comma 2 4 2 9 4 2" xfId="16906" xr:uid="{AFAC7AEA-9308-435E-9E28-1E9529303A44}"/>
    <cellStyle name="Comma 2 4 2 9 4 3" xfId="27322" xr:uid="{C24241E5-0C13-435A-AEF5-2E5240CB91B2}"/>
    <cellStyle name="Comma 2 4 2 9 5" xfId="13447" xr:uid="{BDFED373-9214-45F3-A273-AF62E7C14218}"/>
    <cellStyle name="Comma 2 4 2 9 6" xfId="23863" xr:uid="{94FAA44C-F51D-40B3-A69E-05E4161BDEFE}"/>
    <cellStyle name="Comma 2 4 20" xfId="23737" xr:uid="{F8EA046C-3AA0-4E61-8279-082082C3C4DF}"/>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2 2 2" xfId="19809" xr:uid="{26B12079-8282-4B5F-B9A4-2B88CEBB043D}"/>
    <cellStyle name="Comma 2 4 3 10 2 2 3" xfId="30225" xr:uid="{26AA900D-EAC5-48B3-8B93-C1144160F7BA}"/>
    <cellStyle name="Comma 2 4 3 10 2 3" xfId="13451" xr:uid="{C6CDB473-079D-4422-9264-B0DC98CCE457}"/>
    <cellStyle name="Comma 2 4 3 10 2 4" xfId="23867" xr:uid="{EC030779-766D-4EF4-858A-30028C270514}"/>
    <cellStyle name="Comma 2 4 3 10 3" xfId="8262" xr:uid="{00000000-0005-0000-0000-0000B50A0000}"/>
    <cellStyle name="Comma 2 4 3 10 3 2" xfId="19808" xr:uid="{1D1D0D28-C612-4DC1-972A-3926FBED21EA}"/>
    <cellStyle name="Comma 2 4 3 10 3 3" xfId="30224" xr:uid="{601D9D33-50ED-4E27-A049-AA0E8DD68CCD}"/>
    <cellStyle name="Comma 2 4 3 10 4" xfId="5322" xr:uid="{00000000-0005-0000-0000-0000B60A0000}"/>
    <cellStyle name="Comma 2 4 3 10 4 2" xfId="16908" xr:uid="{D378CECD-694D-42B3-BD34-F616AB63C84C}"/>
    <cellStyle name="Comma 2 4 3 10 4 3" xfId="27324" xr:uid="{CD27B3EC-EE32-43C2-8294-E519DF42FA99}"/>
    <cellStyle name="Comma 2 4 3 10 5" xfId="13450" xr:uid="{50A6EB4A-8F52-4AF8-B597-073B506F0B77}"/>
    <cellStyle name="Comma 2 4 3 10 6" xfId="23866" xr:uid="{8D1EB11C-4557-4B99-AB56-F29EADDDCD9F}"/>
    <cellStyle name="Comma 2 4 3 11" xfId="1117" xr:uid="{00000000-0005-0000-0000-0000B70A0000}"/>
    <cellStyle name="Comma 2 4 3 11 2" xfId="8264" xr:uid="{00000000-0005-0000-0000-0000B80A0000}"/>
    <cellStyle name="Comma 2 4 3 11 2 2" xfId="19810" xr:uid="{B724CDA8-F109-49A3-8E39-4C68128C9F56}"/>
    <cellStyle name="Comma 2 4 3 11 2 3" xfId="30226" xr:uid="{27BABE2A-3D17-434D-86F6-14E21741991F}"/>
    <cellStyle name="Comma 2 4 3 11 3" xfId="13452" xr:uid="{DFFA6903-8464-402D-A61D-E00323FBDD2F}"/>
    <cellStyle name="Comma 2 4 3 11 4" xfId="23868" xr:uid="{38D523A5-EABD-4266-AE3C-4479877E18C3}"/>
    <cellStyle name="Comma 2 4 3 12" xfId="8261" xr:uid="{00000000-0005-0000-0000-0000B90A0000}"/>
    <cellStyle name="Comma 2 4 3 12 2" xfId="19807" xr:uid="{DBC56368-56A3-4433-B7CF-36AF43C423A9}"/>
    <cellStyle name="Comma 2 4 3 12 3" xfId="30223" xr:uid="{44E7F019-A8D1-4CEE-9B2D-152402ECE33A}"/>
    <cellStyle name="Comma 2 4 3 13" xfId="5321" xr:uid="{00000000-0005-0000-0000-0000BA0A0000}"/>
    <cellStyle name="Comma 2 4 3 13 2" xfId="16907" xr:uid="{8169B341-1419-45F6-BF5C-159E87D1C625}"/>
    <cellStyle name="Comma 2 4 3 13 3" xfId="27323" xr:uid="{AC50DEFC-248D-4F9D-BEAC-338AB79A5D79}"/>
    <cellStyle name="Comma 2 4 3 14" xfId="13449" xr:uid="{435B44F9-74EA-47E0-A3A7-793EE72E79EF}"/>
    <cellStyle name="Comma 2 4 3 15" xfId="23865" xr:uid="{67D30092-9FC9-40F1-82BC-70AADD2471D0}"/>
    <cellStyle name="Comma 2 4 3 2" xfId="1118" xr:uid="{00000000-0005-0000-0000-0000BB0A0000}"/>
    <cellStyle name="Comma 2 4 3 2 10" xfId="1119" xr:uid="{00000000-0005-0000-0000-0000BC0A0000}"/>
    <cellStyle name="Comma 2 4 3 2 10 2" xfId="8266" xr:uid="{00000000-0005-0000-0000-0000BD0A0000}"/>
    <cellStyle name="Comma 2 4 3 2 10 2 2" xfId="19812" xr:uid="{135BAB12-02FC-4B88-AEAC-F48E858EF4DA}"/>
    <cellStyle name="Comma 2 4 3 2 10 2 3" xfId="30228" xr:uid="{CF563798-75E9-4173-9370-B8A59468E594}"/>
    <cellStyle name="Comma 2 4 3 2 10 3" xfId="13454" xr:uid="{473B3F27-DE54-4239-96E7-14568D845717}"/>
    <cellStyle name="Comma 2 4 3 2 10 4" xfId="23870" xr:uid="{23078C26-530C-4E20-A429-CE4D6A581733}"/>
    <cellStyle name="Comma 2 4 3 2 11" xfId="8265" xr:uid="{00000000-0005-0000-0000-0000BE0A0000}"/>
    <cellStyle name="Comma 2 4 3 2 11 2" xfId="19811" xr:uid="{6F9E8734-8A57-40E1-B89C-9695E0A46645}"/>
    <cellStyle name="Comma 2 4 3 2 11 3" xfId="30227" xr:uid="{6F2E5FA3-8149-4522-95C4-7775B41A359C}"/>
    <cellStyle name="Comma 2 4 3 2 12" xfId="5323" xr:uid="{00000000-0005-0000-0000-0000BF0A0000}"/>
    <cellStyle name="Comma 2 4 3 2 12 2" xfId="16909" xr:uid="{B6005DA6-3D0E-4B5B-AD5A-F25944B5230B}"/>
    <cellStyle name="Comma 2 4 3 2 12 3" xfId="27325" xr:uid="{4697557A-72A3-47AE-8249-BCAAED33A7C2}"/>
    <cellStyle name="Comma 2 4 3 2 13" xfId="13453" xr:uid="{B5BFC105-FCBF-4AE6-A91D-8AA7B4A9F378}"/>
    <cellStyle name="Comma 2 4 3 2 14" xfId="23869" xr:uid="{C6436220-BF5A-47DF-A644-AAF64357E48F}"/>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2 2 2" xfId="19816" xr:uid="{EFA38E66-1400-4F2E-B6A6-E064C68A9508}"/>
    <cellStyle name="Comma 2 4 3 2 2 2 2 2 2 3" xfId="30232" xr:uid="{53880BCB-88DC-48AD-8511-BA77243D92B2}"/>
    <cellStyle name="Comma 2 4 3 2 2 2 2 2 3" xfId="13458" xr:uid="{D0214A28-30F8-407E-BCD8-82CD9E391ECF}"/>
    <cellStyle name="Comma 2 4 3 2 2 2 2 2 4" xfId="23874" xr:uid="{463FF27E-0AB9-4C16-8B14-7C0962A5270A}"/>
    <cellStyle name="Comma 2 4 3 2 2 2 2 3" xfId="8269" xr:uid="{00000000-0005-0000-0000-0000C50A0000}"/>
    <cellStyle name="Comma 2 4 3 2 2 2 2 3 2" xfId="19815" xr:uid="{FF5F3013-B623-4DB2-8636-3711EE7ECA7D}"/>
    <cellStyle name="Comma 2 4 3 2 2 2 2 3 3" xfId="30231" xr:uid="{79CEC83B-CD91-42B2-8357-4DA7808F6EC2}"/>
    <cellStyle name="Comma 2 4 3 2 2 2 2 4" xfId="5326" xr:uid="{00000000-0005-0000-0000-0000C60A0000}"/>
    <cellStyle name="Comma 2 4 3 2 2 2 2 4 2" xfId="16912" xr:uid="{92C85323-C54D-45EF-8153-4873C60869DF}"/>
    <cellStyle name="Comma 2 4 3 2 2 2 2 4 3" xfId="27328" xr:uid="{1BD1663A-6A03-46B8-BC48-E56E30DE66C0}"/>
    <cellStyle name="Comma 2 4 3 2 2 2 2 5" xfId="13457" xr:uid="{75FA4224-E222-4127-8C8B-DDAF6CC0660C}"/>
    <cellStyle name="Comma 2 4 3 2 2 2 2 6" xfId="23873" xr:uid="{B39D9C47-D07F-4211-B866-88CC3B277016}"/>
    <cellStyle name="Comma 2 4 3 2 2 2 3" xfId="1124" xr:uid="{00000000-0005-0000-0000-0000C70A0000}"/>
    <cellStyle name="Comma 2 4 3 2 2 2 3 2" xfId="8271" xr:uid="{00000000-0005-0000-0000-0000C80A0000}"/>
    <cellStyle name="Comma 2 4 3 2 2 2 3 2 2" xfId="19817" xr:uid="{BD074182-094C-4852-8374-5CFB7B5A1C1F}"/>
    <cellStyle name="Comma 2 4 3 2 2 2 3 2 3" xfId="30233" xr:uid="{AD99A318-EA6C-4845-B419-DF2F645E74D8}"/>
    <cellStyle name="Comma 2 4 3 2 2 2 3 3" xfId="13459" xr:uid="{E8883DD1-A95A-4724-9DCE-15BCE2F73236}"/>
    <cellStyle name="Comma 2 4 3 2 2 2 3 4" xfId="23875" xr:uid="{D3FFF283-A5F6-41D7-865A-028400364081}"/>
    <cellStyle name="Comma 2 4 3 2 2 2 4" xfId="8268" xr:uid="{00000000-0005-0000-0000-0000C90A0000}"/>
    <cellStyle name="Comma 2 4 3 2 2 2 4 2" xfId="19814" xr:uid="{E946CB5A-7928-454D-B231-955B5517B627}"/>
    <cellStyle name="Comma 2 4 3 2 2 2 4 3" xfId="30230" xr:uid="{06329818-242B-4177-AE98-9CF9EB3D9BD6}"/>
    <cellStyle name="Comma 2 4 3 2 2 2 5" xfId="5325" xr:uid="{00000000-0005-0000-0000-0000CA0A0000}"/>
    <cellStyle name="Comma 2 4 3 2 2 2 5 2" xfId="16911" xr:uid="{EE65FD3A-65BF-4A57-96B2-5E0BD97FC669}"/>
    <cellStyle name="Comma 2 4 3 2 2 2 5 3" xfId="27327" xr:uid="{B4B7FF18-05A0-4D38-8902-10969B993C87}"/>
    <cellStyle name="Comma 2 4 3 2 2 2 6" xfId="13456" xr:uid="{4A3377F1-E6AB-4D97-A75D-67650C417890}"/>
    <cellStyle name="Comma 2 4 3 2 2 2 7" xfId="23872" xr:uid="{4CB1959D-BF02-4505-A781-6A8BA205C8AE}"/>
    <cellStyle name="Comma 2 4 3 2 2 3" xfId="1125" xr:uid="{00000000-0005-0000-0000-0000CB0A0000}"/>
    <cellStyle name="Comma 2 4 3 2 2 3 2" xfId="1126" xr:uid="{00000000-0005-0000-0000-0000CC0A0000}"/>
    <cellStyle name="Comma 2 4 3 2 2 3 2 2" xfId="8273" xr:uid="{00000000-0005-0000-0000-0000CD0A0000}"/>
    <cellStyle name="Comma 2 4 3 2 2 3 2 2 2" xfId="19819" xr:uid="{3F363A51-1EF9-48F5-9F39-A778F13D66F7}"/>
    <cellStyle name="Comma 2 4 3 2 2 3 2 2 3" xfId="30235" xr:uid="{E24D0037-6817-4243-A6A5-A14A429B929A}"/>
    <cellStyle name="Comma 2 4 3 2 2 3 2 3" xfId="13461" xr:uid="{ECB49F71-AF44-4935-AF9D-1CEF83549820}"/>
    <cellStyle name="Comma 2 4 3 2 2 3 2 4" xfId="23877" xr:uid="{B54A207A-B215-44A2-A4F6-D1258E994AB7}"/>
    <cellStyle name="Comma 2 4 3 2 2 3 3" xfId="8272" xr:uid="{00000000-0005-0000-0000-0000CE0A0000}"/>
    <cellStyle name="Comma 2 4 3 2 2 3 3 2" xfId="19818" xr:uid="{5E64037C-CF89-4688-BDAB-EE4ED9369EE9}"/>
    <cellStyle name="Comma 2 4 3 2 2 3 3 3" xfId="30234" xr:uid="{25BD79EF-E1BC-4B13-ADB1-1860E86DDDF3}"/>
    <cellStyle name="Comma 2 4 3 2 2 3 4" xfId="5327" xr:uid="{00000000-0005-0000-0000-0000CF0A0000}"/>
    <cellStyle name="Comma 2 4 3 2 2 3 4 2" xfId="16913" xr:uid="{33716F7D-3E62-4717-BAA7-043AF3CBC8BA}"/>
    <cellStyle name="Comma 2 4 3 2 2 3 4 3" xfId="27329" xr:uid="{A5727962-4A2E-481D-B88D-ACDF09ECF4F8}"/>
    <cellStyle name="Comma 2 4 3 2 2 3 5" xfId="13460" xr:uid="{43521168-18DC-4C05-B451-DE86DF47BF37}"/>
    <cellStyle name="Comma 2 4 3 2 2 3 6" xfId="23876" xr:uid="{A5E0E15B-BAB3-403D-A87B-C76E58EFFF91}"/>
    <cellStyle name="Comma 2 4 3 2 2 4" xfId="1127" xr:uid="{00000000-0005-0000-0000-0000D00A0000}"/>
    <cellStyle name="Comma 2 4 3 2 2 4 2" xfId="1128" xr:uid="{00000000-0005-0000-0000-0000D10A0000}"/>
    <cellStyle name="Comma 2 4 3 2 2 4 2 2" xfId="8275" xr:uid="{00000000-0005-0000-0000-0000D20A0000}"/>
    <cellStyle name="Comma 2 4 3 2 2 4 2 2 2" xfId="19821" xr:uid="{BA16EBE3-02E9-4F15-86B3-C26E000FA8DC}"/>
    <cellStyle name="Comma 2 4 3 2 2 4 2 2 3" xfId="30237" xr:uid="{E1AB5E71-978E-43D9-BB4A-0751311702C9}"/>
    <cellStyle name="Comma 2 4 3 2 2 4 2 3" xfId="13463" xr:uid="{3A7755B5-007B-4495-8DB1-98BC5FDFD2D2}"/>
    <cellStyle name="Comma 2 4 3 2 2 4 2 4" xfId="23879" xr:uid="{BA727DA1-F06E-425E-81AA-F2D75B2868F6}"/>
    <cellStyle name="Comma 2 4 3 2 2 4 3" xfId="8274" xr:uid="{00000000-0005-0000-0000-0000D30A0000}"/>
    <cellStyle name="Comma 2 4 3 2 2 4 3 2" xfId="19820" xr:uid="{787E618A-28F9-44D4-9CDF-07B265FDDA8D}"/>
    <cellStyle name="Comma 2 4 3 2 2 4 3 3" xfId="30236" xr:uid="{B17C81E7-6E2C-4265-8A60-EE4EC225CBE5}"/>
    <cellStyle name="Comma 2 4 3 2 2 4 4" xfId="5328" xr:uid="{00000000-0005-0000-0000-0000D40A0000}"/>
    <cellStyle name="Comma 2 4 3 2 2 4 4 2" xfId="16914" xr:uid="{68D670C2-DF92-45A5-844A-A2773EFA78BF}"/>
    <cellStyle name="Comma 2 4 3 2 2 4 4 3" xfId="27330" xr:uid="{51FD4390-CE49-41A9-A596-C5D2844B0906}"/>
    <cellStyle name="Comma 2 4 3 2 2 4 5" xfId="13462" xr:uid="{734480D7-45BF-4F71-8335-0458D9D834DD}"/>
    <cellStyle name="Comma 2 4 3 2 2 4 6" xfId="23878" xr:uid="{C627D272-46E8-486C-BE5A-D638F2EA05BA}"/>
    <cellStyle name="Comma 2 4 3 2 2 5" xfId="1129" xr:uid="{00000000-0005-0000-0000-0000D50A0000}"/>
    <cellStyle name="Comma 2 4 3 2 2 5 2" xfId="8276" xr:uid="{00000000-0005-0000-0000-0000D60A0000}"/>
    <cellStyle name="Comma 2 4 3 2 2 5 2 2" xfId="19822" xr:uid="{7B249F1F-919A-403C-91B3-7421B36DBCCE}"/>
    <cellStyle name="Comma 2 4 3 2 2 5 2 3" xfId="30238" xr:uid="{2943CFE8-A347-4CF9-A359-7F8FCE987E84}"/>
    <cellStyle name="Comma 2 4 3 2 2 5 3" xfId="13464" xr:uid="{21AA5E71-0B6D-40F5-AAE9-D84461EC3200}"/>
    <cellStyle name="Comma 2 4 3 2 2 5 4" xfId="23880" xr:uid="{3FC7B132-AAB2-49A5-BB91-F1D605BCAF22}"/>
    <cellStyle name="Comma 2 4 3 2 2 6" xfId="8267" xr:uid="{00000000-0005-0000-0000-0000D70A0000}"/>
    <cellStyle name="Comma 2 4 3 2 2 6 2" xfId="19813" xr:uid="{49D5359D-C24D-42CC-BED5-F68D1B024F3B}"/>
    <cellStyle name="Comma 2 4 3 2 2 6 3" xfId="30229" xr:uid="{4FCE52A0-08F0-4409-B948-B71747DF124D}"/>
    <cellStyle name="Comma 2 4 3 2 2 7" xfId="5324" xr:uid="{00000000-0005-0000-0000-0000D80A0000}"/>
    <cellStyle name="Comma 2 4 3 2 2 7 2" xfId="16910" xr:uid="{AF24C7CF-E135-4397-9118-2F163D32AC96}"/>
    <cellStyle name="Comma 2 4 3 2 2 7 3" xfId="27326" xr:uid="{1BA8E81F-6E2A-4A91-97C7-F49BF826D9EC}"/>
    <cellStyle name="Comma 2 4 3 2 2 8" xfId="13455" xr:uid="{0E6F6EE8-1C48-456C-AE2A-D6FC9326EF03}"/>
    <cellStyle name="Comma 2 4 3 2 2 9" xfId="23871" xr:uid="{2AE845A0-5465-468B-B7E6-B9B7F3672BAF}"/>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2 2 2" xfId="19826" xr:uid="{A6133F1A-AFB4-4374-A14A-B5F008868D46}"/>
    <cellStyle name="Comma 2 4 3 2 3 2 2 2 2 3" xfId="30242" xr:uid="{F1604C36-66CB-45B1-9070-0765930A93C9}"/>
    <cellStyle name="Comma 2 4 3 2 3 2 2 2 3" xfId="13468" xr:uid="{54D97FAE-0887-4A7D-ABC0-90121E70F5D8}"/>
    <cellStyle name="Comma 2 4 3 2 3 2 2 2 4" xfId="23884" xr:uid="{EE617B92-E43A-4EFD-867B-878E3FE0F8A0}"/>
    <cellStyle name="Comma 2 4 3 2 3 2 2 3" xfId="8279" xr:uid="{00000000-0005-0000-0000-0000DE0A0000}"/>
    <cellStyle name="Comma 2 4 3 2 3 2 2 3 2" xfId="19825" xr:uid="{FA763DB0-DFF9-48EF-A0B7-54F90C3DA018}"/>
    <cellStyle name="Comma 2 4 3 2 3 2 2 3 3" xfId="30241" xr:uid="{8348DF26-77D0-4F7C-8B95-CADAADCDF468}"/>
    <cellStyle name="Comma 2 4 3 2 3 2 2 4" xfId="5331" xr:uid="{00000000-0005-0000-0000-0000DF0A0000}"/>
    <cellStyle name="Comma 2 4 3 2 3 2 2 4 2" xfId="16917" xr:uid="{48CF9975-16FB-4A87-837B-AAAF73DD8874}"/>
    <cellStyle name="Comma 2 4 3 2 3 2 2 4 3" xfId="27333" xr:uid="{1CCDDAEA-9C22-4733-8F72-FAA0EA79C04A}"/>
    <cellStyle name="Comma 2 4 3 2 3 2 2 5" xfId="13467" xr:uid="{61D32C32-E463-4ADF-9869-91798050C123}"/>
    <cellStyle name="Comma 2 4 3 2 3 2 2 6" xfId="23883" xr:uid="{2FC673EB-2E10-418D-B29B-43C143C7FE66}"/>
    <cellStyle name="Comma 2 4 3 2 3 2 3" xfId="1134" xr:uid="{00000000-0005-0000-0000-0000E00A0000}"/>
    <cellStyle name="Comma 2 4 3 2 3 2 3 2" xfId="8281" xr:uid="{00000000-0005-0000-0000-0000E10A0000}"/>
    <cellStyle name="Comma 2 4 3 2 3 2 3 2 2" xfId="19827" xr:uid="{E641BEF8-2798-4206-931D-581171F6EEC9}"/>
    <cellStyle name="Comma 2 4 3 2 3 2 3 2 3" xfId="30243" xr:uid="{D1DF05E8-6737-4C36-A339-16B60C717744}"/>
    <cellStyle name="Comma 2 4 3 2 3 2 3 3" xfId="13469" xr:uid="{2DFEE04C-475E-4485-8A1D-E66216B235C9}"/>
    <cellStyle name="Comma 2 4 3 2 3 2 3 4" xfId="23885" xr:uid="{9CCFD88C-E615-4B49-BC4B-EFCACD15EFE3}"/>
    <cellStyle name="Comma 2 4 3 2 3 2 4" xfId="8278" xr:uid="{00000000-0005-0000-0000-0000E20A0000}"/>
    <cellStyle name="Comma 2 4 3 2 3 2 4 2" xfId="19824" xr:uid="{24A98BB3-FA92-4A62-A710-725E13886161}"/>
    <cellStyle name="Comma 2 4 3 2 3 2 4 3" xfId="30240" xr:uid="{731285D0-A841-445D-A790-30158408E4C9}"/>
    <cellStyle name="Comma 2 4 3 2 3 2 5" xfId="5330" xr:uid="{00000000-0005-0000-0000-0000E30A0000}"/>
    <cellStyle name="Comma 2 4 3 2 3 2 5 2" xfId="16916" xr:uid="{AACA7A33-A6D6-4856-9AC8-BE75AC332C72}"/>
    <cellStyle name="Comma 2 4 3 2 3 2 5 3" xfId="27332" xr:uid="{3CC8136F-2948-454B-B453-91B825E26FD6}"/>
    <cellStyle name="Comma 2 4 3 2 3 2 6" xfId="13466" xr:uid="{1A3A4D37-F0CB-4401-BE68-CB48119B7BE4}"/>
    <cellStyle name="Comma 2 4 3 2 3 2 7" xfId="23882" xr:uid="{1C787352-82FC-47E8-A8AE-DA8218FA23CE}"/>
    <cellStyle name="Comma 2 4 3 2 3 3" xfId="1135" xr:uid="{00000000-0005-0000-0000-0000E40A0000}"/>
    <cellStyle name="Comma 2 4 3 2 3 3 2" xfId="1136" xr:uid="{00000000-0005-0000-0000-0000E50A0000}"/>
    <cellStyle name="Comma 2 4 3 2 3 3 2 2" xfId="8283" xr:uid="{00000000-0005-0000-0000-0000E60A0000}"/>
    <cellStyle name="Comma 2 4 3 2 3 3 2 2 2" xfId="19829" xr:uid="{A082CB72-C614-4302-A28D-C60D5EBDA98E}"/>
    <cellStyle name="Comma 2 4 3 2 3 3 2 2 3" xfId="30245" xr:uid="{D019417F-9E7F-4EBF-A73F-C46ACB5ECC63}"/>
    <cellStyle name="Comma 2 4 3 2 3 3 2 3" xfId="13471" xr:uid="{24BC3988-4EB2-4C6B-995A-70DE8CC0C17D}"/>
    <cellStyle name="Comma 2 4 3 2 3 3 2 4" xfId="23887" xr:uid="{39862993-FF7C-4529-9D00-54F907A7D178}"/>
    <cellStyle name="Comma 2 4 3 2 3 3 3" xfId="8282" xr:uid="{00000000-0005-0000-0000-0000E70A0000}"/>
    <cellStyle name="Comma 2 4 3 2 3 3 3 2" xfId="19828" xr:uid="{FE790FCA-0D5D-4940-BCD4-E3C2AA1EB968}"/>
    <cellStyle name="Comma 2 4 3 2 3 3 3 3" xfId="30244" xr:uid="{1D982FF0-4F7A-461F-9F2D-0CCA9B7D66DD}"/>
    <cellStyle name="Comma 2 4 3 2 3 3 4" xfId="5332" xr:uid="{00000000-0005-0000-0000-0000E80A0000}"/>
    <cellStyle name="Comma 2 4 3 2 3 3 4 2" xfId="16918" xr:uid="{D0EA7F96-B01D-4DDA-A5F1-8732295EA477}"/>
    <cellStyle name="Comma 2 4 3 2 3 3 4 3" xfId="27334" xr:uid="{3E80F996-43F6-4F3E-A51F-FF348A17ED03}"/>
    <cellStyle name="Comma 2 4 3 2 3 3 5" xfId="13470" xr:uid="{F8A990F8-E966-46F6-98BB-FEE946501E47}"/>
    <cellStyle name="Comma 2 4 3 2 3 3 6" xfId="23886" xr:uid="{5C81F911-B2EC-4C3A-9289-B28C904FB3E0}"/>
    <cellStyle name="Comma 2 4 3 2 3 4" xfId="1137" xr:uid="{00000000-0005-0000-0000-0000E90A0000}"/>
    <cellStyle name="Comma 2 4 3 2 3 4 2" xfId="1138" xr:uid="{00000000-0005-0000-0000-0000EA0A0000}"/>
    <cellStyle name="Comma 2 4 3 2 3 4 2 2" xfId="8285" xr:uid="{00000000-0005-0000-0000-0000EB0A0000}"/>
    <cellStyle name="Comma 2 4 3 2 3 4 2 2 2" xfId="19831" xr:uid="{A04CCC9B-A039-4A1E-B8B2-12A07A64DE14}"/>
    <cellStyle name="Comma 2 4 3 2 3 4 2 2 3" xfId="30247" xr:uid="{B47F28C5-4AE5-4FD2-9F35-1A87E66DF6E2}"/>
    <cellStyle name="Comma 2 4 3 2 3 4 2 3" xfId="13473" xr:uid="{E024BF6F-510D-4DB2-9936-3BFBCB1918D6}"/>
    <cellStyle name="Comma 2 4 3 2 3 4 2 4" xfId="23889" xr:uid="{E430E0BC-5B91-4710-AF6A-23DF990174A9}"/>
    <cellStyle name="Comma 2 4 3 2 3 4 3" xfId="8284" xr:uid="{00000000-0005-0000-0000-0000EC0A0000}"/>
    <cellStyle name="Comma 2 4 3 2 3 4 3 2" xfId="19830" xr:uid="{B60C556B-28E6-485D-A220-2677F509EB8B}"/>
    <cellStyle name="Comma 2 4 3 2 3 4 3 3" xfId="30246" xr:uid="{5C1EA8C9-5BB7-408F-9F74-F7E0EF2F4802}"/>
    <cellStyle name="Comma 2 4 3 2 3 4 4" xfId="5333" xr:uid="{00000000-0005-0000-0000-0000ED0A0000}"/>
    <cellStyle name="Comma 2 4 3 2 3 4 4 2" xfId="16919" xr:uid="{4BCC723C-E1C7-4AB9-A314-9902AF53A92D}"/>
    <cellStyle name="Comma 2 4 3 2 3 4 4 3" xfId="27335" xr:uid="{11633597-6561-4FC3-93C8-DE205B71C04F}"/>
    <cellStyle name="Comma 2 4 3 2 3 4 5" xfId="13472" xr:uid="{6DA5FBB7-6568-412B-A1A0-34842E81AB78}"/>
    <cellStyle name="Comma 2 4 3 2 3 4 6" xfId="23888" xr:uid="{6612C6BA-B61F-434C-8B65-3064E7F9FECD}"/>
    <cellStyle name="Comma 2 4 3 2 3 5" xfId="1139" xr:uid="{00000000-0005-0000-0000-0000EE0A0000}"/>
    <cellStyle name="Comma 2 4 3 2 3 5 2" xfId="8286" xr:uid="{00000000-0005-0000-0000-0000EF0A0000}"/>
    <cellStyle name="Comma 2 4 3 2 3 5 2 2" xfId="19832" xr:uid="{BAD3A87D-EEE9-49EE-85C5-E484A64306B3}"/>
    <cellStyle name="Comma 2 4 3 2 3 5 2 3" xfId="30248" xr:uid="{C2922121-CC41-45D5-B72D-7BCFF1FD1BB4}"/>
    <cellStyle name="Comma 2 4 3 2 3 5 3" xfId="13474" xr:uid="{2026BBB5-9A65-43C2-BF21-57B601E9A478}"/>
    <cellStyle name="Comma 2 4 3 2 3 5 4" xfId="23890" xr:uid="{F8A76B1D-6105-4D52-BD8E-6B22713B7345}"/>
    <cellStyle name="Comma 2 4 3 2 3 6" xfId="8277" xr:uid="{00000000-0005-0000-0000-0000F00A0000}"/>
    <cellStyle name="Comma 2 4 3 2 3 6 2" xfId="19823" xr:uid="{89D46B69-1E32-44AE-886B-3411DE9D3759}"/>
    <cellStyle name="Comma 2 4 3 2 3 6 3" xfId="30239" xr:uid="{16A279D0-0AA4-4600-89F5-D5B3266C61CB}"/>
    <cellStyle name="Comma 2 4 3 2 3 7" xfId="5329" xr:uid="{00000000-0005-0000-0000-0000F10A0000}"/>
    <cellStyle name="Comma 2 4 3 2 3 7 2" xfId="16915" xr:uid="{AFE7BFC1-F735-4358-B68E-57354CDDFD08}"/>
    <cellStyle name="Comma 2 4 3 2 3 7 3" xfId="27331" xr:uid="{3B349506-BBD2-4E57-8CAB-1E8D013E7C80}"/>
    <cellStyle name="Comma 2 4 3 2 3 8" xfId="13465" xr:uid="{C873D46A-1062-474F-8BA6-E3B031D078CF}"/>
    <cellStyle name="Comma 2 4 3 2 3 9" xfId="23881" xr:uid="{EED7715B-7775-40B3-A02D-3E4A3086599B}"/>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2 2 2" xfId="19836" xr:uid="{7FCDC39E-C49B-4D59-A541-2075CE64C334}"/>
    <cellStyle name="Comma 2 4 3 2 4 2 2 2 2 3" xfId="30252" xr:uid="{AFE874A2-8C6E-4049-BA32-E66DFE21F720}"/>
    <cellStyle name="Comma 2 4 3 2 4 2 2 2 3" xfId="13478" xr:uid="{D8AED0F4-51E1-48A7-B663-C240F8AFD621}"/>
    <cellStyle name="Comma 2 4 3 2 4 2 2 2 4" xfId="23894" xr:uid="{3715146E-8DDB-4CD7-AE4E-AA5A85D7A2BA}"/>
    <cellStyle name="Comma 2 4 3 2 4 2 2 3" xfId="8289" xr:uid="{00000000-0005-0000-0000-0000F70A0000}"/>
    <cellStyle name="Comma 2 4 3 2 4 2 2 3 2" xfId="19835" xr:uid="{816AC34D-5828-45FF-B668-D8579FD2AC9D}"/>
    <cellStyle name="Comma 2 4 3 2 4 2 2 3 3" xfId="30251" xr:uid="{83BBE510-5812-418D-A544-3CB204CA03F6}"/>
    <cellStyle name="Comma 2 4 3 2 4 2 2 4" xfId="5336" xr:uid="{00000000-0005-0000-0000-0000F80A0000}"/>
    <cellStyle name="Comma 2 4 3 2 4 2 2 4 2" xfId="16922" xr:uid="{B82F6AF3-15D9-465F-A5F2-3FFB9A07B030}"/>
    <cellStyle name="Comma 2 4 3 2 4 2 2 4 3" xfId="27338" xr:uid="{22A39758-91D4-4BFF-B090-8EA58B654AC9}"/>
    <cellStyle name="Comma 2 4 3 2 4 2 2 5" xfId="13477" xr:uid="{C79EDDDA-044D-4984-9E5A-448E5BFF7AEF}"/>
    <cellStyle name="Comma 2 4 3 2 4 2 2 6" xfId="23893" xr:uid="{682CBF46-40AE-48E8-B982-EECE916D4D63}"/>
    <cellStyle name="Comma 2 4 3 2 4 2 3" xfId="1144" xr:uid="{00000000-0005-0000-0000-0000F90A0000}"/>
    <cellStyle name="Comma 2 4 3 2 4 2 3 2" xfId="8291" xr:uid="{00000000-0005-0000-0000-0000FA0A0000}"/>
    <cellStyle name="Comma 2 4 3 2 4 2 3 2 2" xfId="19837" xr:uid="{A1DC86CD-3B5B-4273-AEE9-3B435A3BE767}"/>
    <cellStyle name="Comma 2 4 3 2 4 2 3 2 3" xfId="30253" xr:uid="{CACF8A45-399E-452C-AB0E-735F06DBAB63}"/>
    <cellStyle name="Comma 2 4 3 2 4 2 3 3" xfId="13479" xr:uid="{71ED6F59-5AD7-402B-AC96-BE647D91F14B}"/>
    <cellStyle name="Comma 2 4 3 2 4 2 3 4" xfId="23895" xr:uid="{26962A67-6792-4B95-9C8D-E64D5293CA0D}"/>
    <cellStyle name="Comma 2 4 3 2 4 2 4" xfId="8288" xr:uid="{00000000-0005-0000-0000-0000FB0A0000}"/>
    <cellStyle name="Comma 2 4 3 2 4 2 4 2" xfId="19834" xr:uid="{2BDD53CA-A9F9-41FA-960E-ECA08CD43A0F}"/>
    <cellStyle name="Comma 2 4 3 2 4 2 4 3" xfId="30250" xr:uid="{64FA6225-DC0D-463A-A52E-F3BAB8008B01}"/>
    <cellStyle name="Comma 2 4 3 2 4 2 5" xfId="5335" xr:uid="{00000000-0005-0000-0000-0000FC0A0000}"/>
    <cellStyle name="Comma 2 4 3 2 4 2 5 2" xfId="16921" xr:uid="{3DAF6626-7D80-47E3-AA3B-9BFB9DA5F263}"/>
    <cellStyle name="Comma 2 4 3 2 4 2 5 3" xfId="27337" xr:uid="{8B676B27-C01A-450A-A679-D2145CE34782}"/>
    <cellStyle name="Comma 2 4 3 2 4 2 6" xfId="13476" xr:uid="{F2137B6A-5707-48B4-8A4F-753FFB75E493}"/>
    <cellStyle name="Comma 2 4 3 2 4 2 7" xfId="23892" xr:uid="{8105DEC7-BA6C-4C36-9E08-E9013A7A4D71}"/>
    <cellStyle name="Comma 2 4 3 2 4 3" xfId="1145" xr:uid="{00000000-0005-0000-0000-0000FD0A0000}"/>
    <cellStyle name="Comma 2 4 3 2 4 3 2" xfId="1146" xr:uid="{00000000-0005-0000-0000-0000FE0A0000}"/>
    <cellStyle name="Comma 2 4 3 2 4 3 2 2" xfId="8293" xr:uid="{00000000-0005-0000-0000-0000FF0A0000}"/>
    <cellStyle name="Comma 2 4 3 2 4 3 2 2 2" xfId="19839" xr:uid="{55CAFB2C-C443-4231-8BA0-C9E14C7BDF3C}"/>
    <cellStyle name="Comma 2 4 3 2 4 3 2 2 3" xfId="30255" xr:uid="{649BA2A6-91A0-42A6-9552-F94F8567838B}"/>
    <cellStyle name="Comma 2 4 3 2 4 3 2 3" xfId="13481" xr:uid="{2A330122-C5E0-4E6C-A428-33427E1FFF11}"/>
    <cellStyle name="Comma 2 4 3 2 4 3 2 4" xfId="23897" xr:uid="{88E66BB1-2CEA-4D26-AB52-268B31BEEBB9}"/>
    <cellStyle name="Comma 2 4 3 2 4 3 3" xfId="8292" xr:uid="{00000000-0005-0000-0000-0000000B0000}"/>
    <cellStyle name="Comma 2 4 3 2 4 3 3 2" xfId="19838" xr:uid="{4676A0F0-76FE-4714-A13F-745F4796988D}"/>
    <cellStyle name="Comma 2 4 3 2 4 3 3 3" xfId="30254" xr:uid="{A82026ED-FFB5-4249-BF90-5CF17C82FCA2}"/>
    <cellStyle name="Comma 2 4 3 2 4 3 4" xfId="5337" xr:uid="{00000000-0005-0000-0000-0000010B0000}"/>
    <cellStyle name="Comma 2 4 3 2 4 3 4 2" xfId="16923" xr:uid="{0AA4FD14-1DBF-4D09-A58C-A4A3C0CC3B34}"/>
    <cellStyle name="Comma 2 4 3 2 4 3 4 3" xfId="27339" xr:uid="{C272D586-E5D4-465D-BCCE-4542E08B2230}"/>
    <cellStyle name="Comma 2 4 3 2 4 3 5" xfId="13480" xr:uid="{70A845A4-8E3F-4282-B9B8-BA99DBA99133}"/>
    <cellStyle name="Comma 2 4 3 2 4 3 6" xfId="23896" xr:uid="{ADB81ECA-2BDB-4F71-9151-5E7FBC63FB75}"/>
    <cellStyle name="Comma 2 4 3 2 4 4" xfId="1147" xr:uid="{00000000-0005-0000-0000-0000020B0000}"/>
    <cellStyle name="Comma 2 4 3 2 4 4 2" xfId="1148" xr:uid="{00000000-0005-0000-0000-0000030B0000}"/>
    <cellStyle name="Comma 2 4 3 2 4 4 2 2" xfId="8295" xr:uid="{00000000-0005-0000-0000-0000040B0000}"/>
    <cellStyle name="Comma 2 4 3 2 4 4 2 2 2" xfId="19841" xr:uid="{7F14EBEE-269F-4A2B-9DDD-BEA70044B8E3}"/>
    <cellStyle name="Comma 2 4 3 2 4 4 2 2 3" xfId="30257" xr:uid="{3071C9A6-8B22-4327-844B-DE759EE6632A}"/>
    <cellStyle name="Comma 2 4 3 2 4 4 2 3" xfId="13483" xr:uid="{B4E4DB45-58D7-46F6-A454-24C9734A1BD7}"/>
    <cellStyle name="Comma 2 4 3 2 4 4 2 4" xfId="23899" xr:uid="{2273B9B4-5821-4DBB-A6A6-C624CDF5E10A}"/>
    <cellStyle name="Comma 2 4 3 2 4 4 3" xfId="8294" xr:uid="{00000000-0005-0000-0000-0000050B0000}"/>
    <cellStyle name="Comma 2 4 3 2 4 4 3 2" xfId="19840" xr:uid="{9874259A-0929-405D-9000-F1AE29F19079}"/>
    <cellStyle name="Comma 2 4 3 2 4 4 3 3" xfId="30256" xr:uid="{6D27E89A-4853-477C-82A2-BB06AFE41AFA}"/>
    <cellStyle name="Comma 2 4 3 2 4 4 4" xfId="5338" xr:uid="{00000000-0005-0000-0000-0000060B0000}"/>
    <cellStyle name="Comma 2 4 3 2 4 4 4 2" xfId="16924" xr:uid="{6C99AA70-72CB-42CE-971E-A64A243142D9}"/>
    <cellStyle name="Comma 2 4 3 2 4 4 4 3" xfId="27340" xr:uid="{7CEBDEEB-0767-4653-9A25-55BADB5F7696}"/>
    <cellStyle name="Comma 2 4 3 2 4 4 5" xfId="13482" xr:uid="{BEAF7907-DCED-4966-AEBB-575AB5E1F663}"/>
    <cellStyle name="Comma 2 4 3 2 4 4 6" xfId="23898" xr:uid="{0AB34DDA-D05C-405B-A5DE-6559F2F1B0B3}"/>
    <cellStyle name="Comma 2 4 3 2 4 5" xfId="1149" xr:uid="{00000000-0005-0000-0000-0000070B0000}"/>
    <cellStyle name="Comma 2 4 3 2 4 5 2" xfId="8296" xr:uid="{00000000-0005-0000-0000-0000080B0000}"/>
    <cellStyle name="Comma 2 4 3 2 4 5 2 2" xfId="19842" xr:uid="{223FE78F-1FE5-4611-865E-340698EA3D0A}"/>
    <cellStyle name="Comma 2 4 3 2 4 5 2 3" xfId="30258" xr:uid="{3F4C8542-7CAC-4401-9AEA-81861EA63D98}"/>
    <cellStyle name="Comma 2 4 3 2 4 5 3" xfId="13484" xr:uid="{1D6ED227-C35F-49AB-B1B6-F5B60F74026B}"/>
    <cellStyle name="Comma 2 4 3 2 4 5 4" xfId="23900" xr:uid="{1CD234DF-4F7B-4CCD-9D90-152D4C07881F}"/>
    <cellStyle name="Comma 2 4 3 2 4 6" xfId="8287" xr:uid="{00000000-0005-0000-0000-0000090B0000}"/>
    <cellStyle name="Comma 2 4 3 2 4 6 2" xfId="19833" xr:uid="{E336D454-D47B-4ECC-82A8-C221B8FB0FCC}"/>
    <cellStyle name="Comma 2 4 3 2 4 6 3" xfId="30249" xr:uid="{6A742598-4A78-4DE2-98EC-D46DE16477DA}"/>
    <cellStyle name="Comma 2 4 3 2 4 7" xfId="5334" xr:uid="{00000000-0005-0000-0000-00000A0B0000}"/>
    <cellStyle name="Comma 2 4 3 2 4 7 2" xfId="16920" xr:uid="{6414939F-D31F-44D2-821E-D2B055B88FB2}"/>
    <cellStyle name="Comma 2 4 3 2 4 7 3" xfId="27336" xr:uid="{7A154905-03A0-40E5-AEBD-600639266FE0}"/>
    <cellStyle name="Comma 2 4 3 2 4 8" xfId="13475" xr:uid="{F91ED8E6-4D5A-4CE9-92F1-7F4440F39BC8}"/>
    <cellStyle name="Comma 2 4 3 2 4 9" xfId="23891" xr:uid="{139037B0-4E1A-4093-87E8-B302775585A8}"/>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2 2 2" xfId="19846" xr:uid="{73508091-F618-44F3-96CA-1246AB9BF1F6}"/>
    <cellStyle name="Comma 2 4 3 2 5 2 2 2 2 3" xfId="30262" xr:uid="{AC95B366-18BB-4A4C-9DEE-3470D1B64E92}"/>
    <cellStyle name="Comma 2 4 3 2 5 2 2 2 3" xfId="13488" xr:uid="{9D3C5AB1-C794-4F06-B869-886298A145A2}"/>
    <cellStyle name="Comma 2 4 3 2 5 2 2 2 4" xfId="23904" xr:uid="{DAFAC597-E379-4AC8-BAE0-91B2675A068E}"/>
    <cellStyle name="Comma 2 4 3 2 5 2 2 3" xfId="8299" xr:uid="{00000000-0005-0000-0000-0000100B0000}"/>
    <cellStyle name="Comma 2 4 3 2 5 2 2 3 2" xfId="19845" xr:uid="{25D1280E-9E48-4F15-A997-04A58B821081}"/>
    <cellStyle name="Comma 2 4 3 2 5 2 2 3 3" xfId="30261" xr:uid="{EACF13F0-299D-48F0-BF9A-F6A709BD63D9}"/>
    <cellStyle name="Comma 2 4 3 2 5 2 2 4" xfId="5341" xr:uid="{00000000-0005-0000-0000-0000110B0000}"/>
    <cellStyle name="Comma 2 4 3 2 5 2 2 4 2" xfId="16927" xr:uid="{73012AD6-3ED3-4CAB-8A9E-4C2138B00ECB}"/>
    <cellStyle name="Comma 2 4 3 2 5 2 2 4 3" xfId="27343" xr:uid="{121F655F-78A4-4991-8626-96EE244362AF}"/>
    <cellStyle name="Comma 2 4 3 2 5 2 2 5" xfId="13487" xr:uid="{F07AD8AF-303F-42FB-AF3B-8BB361E7E7A5}"/>
    <cellStyle name="Comma 2 4 3 2 5 2 2 6" xfId="23903" xr:uid="{AC0861BE-3BE5-4E1E-A20D-64E3D730D79F}"/>
    <cellStyle name="Comma 2 4 3 2 5 2 3" xfId="1154" xr:uid="{00000000-0005-0000-0000-0000120B0000}"/>
    <cellStyle name="Comma 2 4 3 2 5 2 3 2" xfId="8301" xr:uid="{00000000-0005-0000-0000-0000130B0000}"/>
    <cellStyle name="Comma 2 4 3 2 5 2 3 2 2" xfId="19847" xr:uid="{ADE3EBDF-7331-44ED-B63B-61F6E5DD2108}"/>
    <cellStyle name="Comma 2 4 3 2 5 2 3 2 3" xfId="30263" xr:uid="{B554122A-8BA4-4910-9282-40747F7E999C}"/>
    <cellStyle name="Comma 2 4 3 2 5 2 3 3" xfId="13489" xr:uid="{28D1DB7E-338F-41F2-B122-FBA4DF720D94}"/>
    <cellStyle name="Comma 2 4 3 2 5 2 3 4" xfId="23905" xr:uid="{F18EB34C-BD94-4656-97C1-7B14F0D39B1E}"/>
    <cellStyle name="Comma 2 4 3 2 5 2 4" xfId="8298" xr:uid="{00000000-0005-0000-0000-0000140B0000}"/>
    <cellStyle name="Comma 2 4 3 2 5 2 4 2" xfId="19844" xr:uid="{71255FAB-6BA6-4A42-9384-BDF021383EA1}"/>
    <cellStyle name="Comma 2 4 3 2 5 2 4 3" xfId="30260" xr:uid="{8C8FD3BA-0B99-40A5-A6FF-CFEC58F512DD}"/>
    <cellStyle name="Comma 2 4 3 2 5 2 5" xfId="5340" xr:uid="{00000000-0005-0000-0000-0000150B0000}"/>
    <cellStyle name="Comma 2 4 3 2 5 2 5 2" xfId="16926" xr:uid="{844AAFE1-5E22-4253-86AC-0E368D249BC0}"/>
    <cellStyle name="Comma 2 4 3 2 5 2 5 3" xfId="27342" xr:uid="{D7F333FC-EE96-4692-8117-5B04DD91D8D9}"/>
    <cellStyle name="Comma 2 4 3 2 5 2 6" xfId="13486" xr:uid="{F5E16826-C2C5-4B54-9321-7044B4A8C7B0}"/>
    <cellStyle name="Comma 2 4 3 2 5 2 7" xfId="23902" xr:uid="{2196E7F2-CBBD-47E1-ACDB-8ABA40D2C462}"/>
    <cellStyle name="Comma 2 4 3 2 5 3" xfId="1155" xr:uid="{00000000-0005-0000-0000-0000160B0000}"/>
    <cellStyle name="Comma 2 4 3 2 5 3 2" xfId="1156" xr:uid="{00000000-0005-0000-0000-0000170B0000}"/>
    <cellStyle name="Comma 2 4 3 2 5 3 2 2" xfId="8303" xr:uid="{00000000-0005-0000-0000-0000180B0000}"/>
    <cellStyle name="Comma 2 4 3 2 5 3 2 2 2" xfId="19849" xr:uid="{A1071327-F752-45F0-81EA-A21ACFD29FFB}"/>
    <cellStyle name="Comma 2 4 3 2 5 3 2 2 3" xfId="30265" xr:uid="{C0A395E0-A47C-4AF8-93A8-7713CACEAB6E}"/>
    <cellStyle name="Comma 2 4 3 2 5 3 2 3" xfId="13491" xr:uid="{C426CBCD-1CE5-407B-A4D2-4D0B65781577}"/>
    <cellStyle name="Comma 2 4 3 2 5 3 2 4" xfId="23907" xr:uid="{889C8F81-4F49-4256-B8FC-24652FBE7067}"/>
    <cellStyle name="Comma 2 4 3 2 5 3 3" xfId="8302" xr:uid="{00000000-0005-0000-0000-0000190B0000}"/>
    <cellStyle name="Comma 2 4 3 2 5 3 3 2" xfId="19848" xr:uid="{AEC148CB-6EF0-4E6A-BD91-5142C292642D}"/>
    <cellStyle name="Comma 2 4 3 2 5 3 3 3" xfId="30264" xr:uid="{BD3D5370-EA4B-4657-B7A6-62D9540ED8C7}"/>
    <cellStyle name="Comma 2 4 3 2 5 3 4" xfId="5342" xr:uid="{00000000-0005-0000-0000-00001A0B0000}"/>
    <cellStyle name="Comma 2 4 3 2 5 3 4 2" xfId="16928" xr:uid="{81070E86-E5FA-4456-888C-B9BB09A614D7}"/>
    <cellStyle name="Comma 2 4 3 2 5 3 4 3" xfId="27344" xr:uid="{D9798C42-D7E3-45AB-9A09-7753ECB65339}"/>
    <cellStyle name="Comma 2 4 3 2 5 3 5" xfId="13490" xr:uid="{E612088D-BB18-4F5B-82D6-67F7551FA791}"/>
    <cellStyle name="Comma 2 4 3 2 5 3 6" xfId="23906" xr:uid="{8F91768B-AFF5-4384-A616-3199C94D6707}"/>
    <cellStyle name="Comma 2 4 3 2 5 4" xfId="1157" xr:uid="{00000000-0005-0000-0000-00001B0B0000}"/>
    <cellStyle name="Comma 2 4 3 2 5 4 2" xfId="1158" xr:uid="{00000000-0005-0000-0000-00001C0B0000}"/>
    <cellStyle name="Comma 2 4 3 2 5 4 2 2" xfId="8305" xr:uid="{00000000-0005-0000-0000-00001D0B0000}"/>
    <cellStyle name="Comma 2 4 3 2 5 4 2 2 2" xfId="19851" xr:uid="{13B2F941-DD91-40C9-B73F-D66246073E4F}"/>
    <cellStyle name="Comma 2 4 3 2 5 4 2 2 3" xfId="30267" xr:uid="{0416A3F9-FB05-431B-A451-1FD34AFFF609}"/>
    <cellStyle name="Comma 2 4 3 2 5 4 2 3" xfId="13493" xr:uid="{530B3357-0B76-47C8-9C35-18B77F3C62E7}"/>
    <cellStyle name="Comma 2 4 3 2 5 4 2 4" xfId="23909" xr:uid="{A0C6BB92-C1CD-45B4-A445-5142CBADAE85}"/>
    <cellStyle name="Comma 2 4 3 2 5 4 3" xfId="8304" xr:uid="{00000000-0005-0000-0000-00001E0B0000}"/>
    <cellStyle name="Comma 2 4 3 2 5 4 3 2" xfId="19850" xr:uid="{8BF12E7A-6387-4D59-BE95-971E4A8D18D7}"/>
    <cellStyle name="Comma 2 4 3 2 5 4 3 3" xfId="30266" xr:uid="{1D746C57-FE2E-4541-B522-C8DB6B3F9E6D}"/>
    <cellStyle name="Comma 2 4 3 2 5 4 4" xfId="5343" xr:uid="{00000000-0005-0000-0000-00001F0B0000}"/>
    <cellStyle name="Comma 2 4 3 2 5 4 4 2" xfId="16929" xr:uid="{47ABEA5A-2460-45B4-B3BF-DF1EF0AA5E51}"/>
    <cellStyle name="Comma 2 4 3 2 5 4 4 3" xfId="27345" xr:uid="{8DF548BD-1140-4714-9BC2-95D71BBAAE51}"/>
    <cellStyle name="Comma 2 4 3 2 5 4 5" xfId="13492" xr:uid="{92DB6380-57B4-4F18-AC23-6D53F3A76543}"/>
    <cellStyle name="Comma 2 4 3 2 5 4 6" xfId="23908" xr:uid="{E89EF9C9-5048-4876-8D50-444D7C356937}"/>
    <cellStyle name="Comma 2 4 3 2 5 5" xfId="1159" xr:uid="{00000000-0005-0000-0000-0000200B0000}"/>
    <cellStyle name="Comma 2 4 3 2 5 5 2" xfId="8306" xr:uid="{00000000-0005-0000-0000-0000210B0000}"/>
    <cellStyle name="Comma 2 4 3 2 5 5 2 2" xfId="19852" xr:uid="{4618F54D-0DCA-44A9-9B9C-723F21245EA2}"/>
    <cellStyle name="Comma 2 4 3 2 5 5 2 3" xfId="30268" xr:uid="{6BB93116-561D-4DDC-A4FC-3033F45F18C3}"/>
    <cellStyle name="Comma 2 4 3 2 5 5 3" xfId="13494" xr:uid="{98CCA3A4-66C6-48C8-9703-E5CDE241756E}"/>
    <cellStyle name="Comma 2 4 3 2 5 5 4" xfId="23910" xr:uid="{3FFB93E3-A9DD-4914-99BF-395B14D33BF5}"/>
    <cellStyle name="Comma 2 4 3 2 5 6" xfId="8297" xr:uid="{00000000-0005-0000-0000-0000220B0000}"/>
    <cellStyle name="Comma 2 4 3 2 5 6 2" xfId="19843" xr:uid="{743B8F97-2709-42DF-873E-B9DA0F3740B3}"/>
    <cellStyle name="Comma 2 4 3 2 5 6 3" xfId="30259" xr:uid="{BEEEFC82-CECB-4FE4-9D9F-750F32D5387A}"/>
    <cellStyle name="Comma 2 4 3 2 5 7" xfId="5339" xr:uid="{00000000-0005-0000-0000-0000230B0000}"/>
    <cellStyle name="Comma 2 4 3 2 5 7 2" xfId="16925" xr:uid="{305BE1C2-8895-49D4-AE16-71150EC9AE13}"/>
    <cellStyle name="Comma 2 4 3 2 5 7 3" xfId="27341" xr:uid="{F43E4743-A845-4076-9BD8-14A2EE7656E5}"/>
    <cellStyle name="Comma 2 4 3 2 5 8" xfId="13485" xr:uid="{C4B0A297-E189-44A1-97BF-77CCD6A17123}"/>
    <cellStyle name="Comma 2 4 3 2 5 9" xfId="23901" xr:uid="{E25008A6-3946-41D6-8394-4EB74CF19277}"/>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2 2 2" xfId="19855" xr:uid="{82D6CC2C-21BB-4E62-BE07-57351AAA78D9}"/>
    <cellStyle name="Comma 2 4 3 2 6 2 2 2 3" xfId="30271" xr:uid="{0B1C55F8-C72D-40EC-917E-5100870385D1}"/>
    <cellStyle name="Comma 2 4 3 2 6 2 2 3" xfId="13497" xr:uid="{E17ED61F-51C4-4231-A603-70F5643C7E84}"/>
    <cellStyle name="Comma 2 4 3 2 6 2 2 4" xfId="23913" xr:uid="{294027B1-1CCF-4FFC-98EA-03853D1710BF}"/>
    <cellStyle name="Comma 2 4 3 2 6 2 3" xfId="8308" xr:uid="{00000000-0005-0000-0000-0000280B0000}"/>
    <cellStyle name="Comma 2 4 3 2 6 2 3 2" xfId="19854" xr:uid="{E0DC32CA-35C4-433F-BF99-B7C1F80E546A}"/>
    <cellStyle name="Comma 2 4 3 2 6 2 3 3" xfId="30270" xr:uid="{E13A683B-6AFB-4B9C-9882-A19BACFCA9A2}"/>
    <cellStyle name="Comma 2 4 3 2 6 2 4" xfId="5345" xr:uid="{00000000-0005-0000-0000-0000290B0000}"/>
    <cellStyle name="Comma 2 4 3 2 6 2 4 2" xfId="16931" xr:uid="{8142CE4B-1779-4D2F-BBEA-94C88B5D145B}"/>
    <cellStyle name="Comma 2 4 3 2 6 2 4 3" xfId="27347" xr:uid="{8F3E0742-BD10-4B29-9C10-828EB4EE2B33}"/>
    <cellStyle name="Comma 2 4 3 2 6 2 5" xfId="13496" xr:uid="{BA4C4382-60EF-4661-A9C1-E65E635898E5}"/>
    <cellStyle name="Comma 2 4 3 2 6 2 6" xfId="23912" xr:uid="{AFDFA48C-282E-4D8C-AF3C-41C8C226EA74}"/>
    <cellStyle name="Comma 2 4 3 2 6 3" xfId="1163" xr:uid="{00000000-0005-0000-0000-00002A0B0000}"/>
    <cellStyle name="Comma 2 4 3 2 6 3 2" xfId="1164" xr:uid="{00000000-0005-0000-0000-00002B0B0000}"/>
    <cellStyle name="Comma 2 4 3 2 6 3 2 2" xfId="8311" xr:uid="{00000000-0005-0000-0000-00002C0B0000}"/>
    <cellStyle name="Comma 2 4 3 2 6 3 2 2 2" xfId="19857" xr:uid="{71B913E5-D1E6-4DD7-835B-27C5BAFD223D}"/>
    <cellStyle name="Comma 2 4 3 2 6 3 2 2 3" xfId="30273" xr:uid="{93AAE06B-D2A9-4EEC-BC35-D5798026E5FB}"/>
    <cellStyle name="Comma 2 4 3 2 6 3 2 3" xfId="13499" xr:uid="{D3104EB8-B9AC-4416-9062-AC34F63BBC9E}"/>
    <cellStyle name="Comma 2 4 3 2 6 3 2 4" xfId="23915" xr:uid="{38507490-BE9B-4732-837C-FB6D622CC981}"/>
    <cellStyle name="Comma 2 4 3 2 6 3 3" xfId="8310" xr:uid="{00000000-0005-0000-0000-00002D0B0000}"/>
    <cellStyle name="Comma 2 4 3 2 6 3 3 2" xfId="19856" xr:uid="{962BCD77-EF3F-46F2-970A-F710E6575A9E}"/>
    <cellStyle name="Comma 2 4 3 2 6 3 3 3" xfId="30272" xr:uid="{C2DE8389-5B86-4026-85D3-4F0EEC703B82}"/>
    <cellStyle name="Comma 2 4 3 2 6 3 4" xfId="5346" xr:uid="{00000000-0005-0000-0000-00002E0B0000}"/>
    <cellStyle name="Comma 2 4 3 2 6 3 4 2" xfId="16932" xr:uid="{C2376BA5-5A65-40A8-B19B-FA03B0F9A764}"/>
    <cellStyle name="Comma 2 4 3 2 6 3 4 3" xfId="27348" xr:uid="{95AD76E7-789A-487D-840A-5503C411D48B}"/>
    <cellStyle name="Comma 2 4 3 2 6 3 5" xfId="13498" xr:uid="{91E0A797-55D6-47B8-BE1F-A64710DC9E07}"/>
    <cellStyle name="Comma 2 4 3 2 6 3 6" xfId="23914" xr:uid="{F736A613-3ACB-4E04-8467-11DC5918C4A1}"/>
    <cellStyle name="Comma 2 4 3 2 6 4" xfId="1165" xr:uid="{00000000-0005-0000-0000-00002F0B0000}"/>
    <cellStyle name="Comma 2 4 3 2 6 4 2" xfId="8312" xr:uid="{00000000-0005-0000-0000-0000300B0000}"/>
    <cellStyle name="Comma 2 4 3 2 6 4 2 2" xfId="19858" xr:uid="{9A088FF1-47BB-4004-829A-664980969BF3}"/>
    <cellStyle name="Comma 2 4 3 2 6 4 2 3" xfId="30274" xr:uid="{1291A5E5-7928-4D95-A6DD-375989214743}"/>
    <cellStyle name="Comma 2 4 3 2 6 4 3" xfId="13500" xr:uid="{B889007B-464E-45E7-8CAC-F43BD85B5B55}"/>
    <cellStyle name="Comma 2 4 3 2 6 4 4" xfId="23916" xr:uid="{4EDE0369-44BD-463E-864E-45463BBEA458}"/>
    <cellStyle name="Comma 2 4 3 2 6 5" xfId="8307" xr:uid="{00000000-0005-0000-0000-0000310B0000}"/>
    <cellStyle name="Comma 2 4 3 2 6 5 2" xfId="19853" xr:uid="{1005F83C-7305-445B-9C0C-2BF69CC25AFB}"/>
    <cellStyle name="Comma 2 4 3 2 6 5 3" xfId="30269" xr:uid="{C0F02D12-F39E-42CE-88BD-060CC6BE1A97}"/>
    <cellStyle name="Comma 2 4 3 2 6 6" xfId="5344" xr:uid="{00000000-0005-0000-0000-0000320B0000}"/>
    <cellStyle name="Comma 2 4 3 2 6 6 2" xfId="16930" xr:uid="{C950EE53-19A7-4C62-AFFE-E266C50C855B}"/>
    <cellStyle name="Comma 2 4 3 2 6 6 3" xfId="27346" xr:uid="{B5F4B1A7-4195-47F1-8603-69772E20F98D}"/>
    <cellStyle name="Comma 2 4 3 2 6 7" xfId="13495" xr:uid="{1F4BC799-36FC-425F-9FBC-08E34BE227D4}"/>
    <cellStyle name="Comma 2 4 3 2 6 8" xfId="23911" xr:uid="{61697A9C-0C31-4CCF-9223-97A7EFE7AB91}"/>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2 2 2" xfId="19861" xr:uid="{A25ECC1A-1DEE-4721-B14A-90DFBADA48F1}"/>
    <cellStyle name="Comma 2 4 3 2 7 2 2 2 3" xfId="30277" xr:uid="{96512B81-66E6-49BF-9416-8AB366D951B0}"/>
    <cellStyle name="Comma 2 4 3 2 7 2 2 3" xfId="13503" xr:uid="{D08B8F6B-6D3E-4C6D-ADB1-95F31CDC53BA}"/>
    <cellStyle name="Comma 2 4 3 2 7 2 2 4" xfId="23919" xr:uid="{88EFB65C-A208-4FCB-A526-2D75C93451ED}"/>
    <cellStyle name="Comma 2 4 3 2 7 2 3" xfId="8314" xr:uid="{00000000-0005-0000-0000-0000370B0000}"/>
    <cellStyle name="Comma 2 4 3 2 7 2 3 2" xfId="19860" xr:uid="{3B1FF7EF-A799-4AD8-8B42-2F439957F954}"/>
    <cellStyle name="Comma 2 4 3 2 7 2 3 3" xfId="30276" xr:uid="{AC4B6E04-9C73-4FD5-9D97-BA78DD79F450}"/>
    <cellStyle name="Comma 2 4 3 2 7 2 4" xfId="5348" xr:uid="{00000000-0005-0000-0000-0000380B0000}"/>
    <cellStyle name="Comma 2 4 3 2 7 2 4 2" xfId="16934" xr:uid="{6E8B17F9-B754-460B-9268-1DF2E7EB21A9}"/>
    <cellStyle name="Comma 2 4 3 2 7 2 4 3" xfId="27350" xr:uid="{B47AA07F-A44C-4E20-91C5-6E1A5C24EC64}"/>
    <cellStyle name="Comma 2 4 3 2 7 2 5" xfId="13502" xr:uid="{6BE6AC7F-6EB3-4FB9-8ED8-455A2E56778A}"/>
    <cellStyle name="Comma 2 4 3 2 7 2 6" xfId="23918" xr:uid="{CA781598-7A89-43F5-9D83-1CEC069D1C6C}"/>
    <cellStyle name="Comma 2 4 3 2 7 3" xfId="1169" xr:uid="{00000000-0005-0000-0000-0000390B0000}"/>
    <cellStyle name="Comma 2 4 3 2 7 3 2" xfId="8316" xr:uid="{00000000-0005-0000-0000-00003A0B0000}"/>
    <cellStyle name="Comma 2 4 3 2 7 3 2 2" xfId="19862" xr:uid="{5BC2A610-D7F4-42A9-9521-B14E857869CF}"/>
    <cellStyle name="Comma 2 4 3 2 7 3 2 3" xfId="30278" xr:uid="{E9C0E2A7-FF37-457B-BB67-33FA23C3CF9A}"/>
    <cellStyle name="Comma 2 4 3 2 7 3 3" xfId="13504" xr:uid="{F678923A-7C0B-4E59-9206-7E89565FB168}"/>
    <cellStyle name="Comma 2 4 3 2 7 3 4" xfId="23920" xr:uid="{3E879AE2-F062-425D-BF4F-9A97159069EB}"/>
    <cellStyle name="Comma 2 4 3 2 7 4" xfId="8313" xr:uid="{00000000-0005-0000-0000-00003B0B0000}"/>
    <cellStyle name="Comma 2 4 3 2 7 4 2" xfId="19859" xr:uid="{9C5F4903-B66F-4622-AC81-5DC2263493C1}"/>
    <cellStyle name="Comma 2 4 3 2 7 4 3" xfId="30275" xr:uid="{8D6DDA21-9DC6-477B-8D4B-EE26EAB5C2CE}"/>
    <cellStyle name="Comma 2 4 3 2 7 5" xfId="5347" xr:uid="{00000000-0005-0000-0000-00003C0B0000}"/>
    <cellStyle name="Comma 2 4 3 2 7 5 2" xfId="16933" xr:uid="{0333491A-3EAB-46D1-BEEB-1FA0DEC44BA8}"/>
    <cellStyle name="Comma 2 4 3 2 7 5 3" xfId="27349" xr:uid="{1AEEF38A-31AB-4749-907B-F8CE6A636404}"/>
    <cellStyle name="Comma 2 4 3 2 7 6" xfId="13501" xr:uid="{728B2991-FB09-423E-ACB5-62245E17F78D}"/>
    <cellStyle name="Comma 2 4 3 2 7 7" xfId="23917" xr:uid="{6264D9E6-00CF-4BD6-9226-49D30B046D22}"/>
    <cellStyle name="Comma 2 4 3 2 8" xfId="1170" xr:uid="{00000000-0005-0000-0000-00003D0B0000}"/>
    <cellStyle name="Comma 2 4 3 2 8 2" xfId="1171" xr:uid="{00000000-0005-0000-0000-00003E0B0000}"/>
    <cellStyle name="Comma 2 4 3 2 8 2 2" xfId="8318" xr:uid="{00000000-0005-0000-0000-00003F0B0000}"/>
    <cellStyle name="Comma 2 4 3 2 8 2 2 2" xfId="19864" xr:uid="{4672A7C4-17AB-48FD-83B3-BDF7F9A1FD05}"/>
    <cellStyle name="Comma 2 4 3 2 8 2 2 3" xfId="30280" xr:uid="{30C8EF57-122A-47EA-A638-73A3F7C809CC}"/>
    <cellStyle name="Comma 2 4 3 2 8 2 3" xfId="13506" xr:uid="{CC42C907-3DF5-4C3F-8CAD-CF131CD8F8FF}"/>
    <cellStyle name="Comma 2 4 3 2 8 2 4" xfId="23922" xr:uid="{144B54A8-74FC-4645-AFC8-29A711E459C5}"/>
    <cellStyle name="Comma 2 4 3 2 8 3" xfId="8317" xr:uid="{00000000-0005-0000-0000-0000400B0000}"/>
    <cellStyle name="Comma 2 4 3 2 8 3 2" xfId="19863" xr:uid="{4EE31012-24BF-4CBB-A0A6-3E60B44370EF}"/>
    <cellStyle name="Comma 2 4 3 2 8 3 3" xfId="30279" xr:uid="{94CC9F44-C889-48D4-AA03-31798A83FFBB}"/>
    <cellStyle name="Comma 2 4 3 2 8 4" xfId="5349" xr:uid="{00000000-0005-0000-0000-0000410B0000}"/>
    <cellStyle name="Comma 2 4 3 2 8 4 2" xfId="16935" xr:uid="{BA1049D1-D3E6-4DB0-8974-BB41CA48A8FB}"/>
    <cellStyle name="Comma 2 4 3 2 8 4 3" xfId="27351" xr:uid="{74DDA629-412A-477C-BA8E-C12C2C3A91DE}"/>
    <cellStyle name="Comma 2 4 3 2 8 5" xfId="13505" xr:uid="{0B0795B7-327B-4669-9D48-E0E802D21A41}"/>
    <cellStyle name="Comma 2 4 3 2 8 6" xfId="23921" xr:uid="{8A825C93-78C8-4F48-A17E-8F07DF354010}"/>
    <cellStyle name="Comma 2 4 3 2 9" xfId="1172" xr:uid="{00000000-0005-0000-0000-0000420B0000}"/>
    <cellStyle name="Comma 2 4 3 2 9 2" xfId="1173" xr:uid="{00000000-0005-0000-0000-0000430B0000}"/>
    <cellStyle name="Comma 2 4 3 2 9 2 2" xfId="8320" xr:uid="{00000000-0005-0000-0000-0000440B0000}"/>
    <cellStyle name="Comma 2 4 3 2 9 2 2 2" xfId="19866" xr:uid="{EDAA332F-E9E1-4CF9-91FF-58A456A5D975}"/>
    <cellStyle name="Comma 2 4 3 2 9 2 2 3" xfId="30282" xr:uid="{AA234322-DB84-4A54-95A1-F9BAA7CEF146}"/>
    <cellStyle name="Comma 2 4 3 2 9 2 3" xfId="13508" xr:uid="{BFA39F43-9B5A-4C91-B785-7999E5CE5F0B}"/>
    <cellStyle name="Comma 2 4 3 2 9 2 4" xfId="23924" xr:uid="{39B1199A-BDDB-4F99-9B54-D914B2041883}"/>
    <cellStyle name="Comma 2 4 3 2 9 3" xfId="8319" xr:uid="{00000000-0005-0000-0000-0000450B0000}"/>
    <cellStyle name="Comma 2 4 3 2 9 3 2" xfId="19865" xr:uid="{E92697E0-85AF-4F78-9CF9-79A571FB482E}"/>
    <cellStyle name="Comma 2 4 3 2 9 3 3" xfId="30281" xr:uid="{FA6E8A0D-C474-4C65-A6AB-AE32449D4356}"/>
    <cellStyle name="Comma 2 4 3 2 9 4" xfId="5350" xr:uid="{00000000-0005-0000-0000-0000460B0000}"/>
    <cellStyle name="Comma 2 4 3 2 9 4 2" xfId="16936" xr:uid="{8353061A-8DAD-43C1-99FC-9E3F4A500DE0}"/>
    <cellStyle name="Comma 2 4 3 2 9 4 3" xfId="27352" xr:uid="{0293375E-3673-4458-AF70-088FFCAD0110}"/>
    <cellStyle name="Comma 2 4 3 2 9 5" xfId="13507" xr:uid="{5D65BC00-207A-4D94-A582-F7CC35BEF221}"/>
    <cellStyle name="Comma 2 4 3 2 9 6" xfId="23923" xr:uid="{931762C0-114D-4881-8E22-39CAF8C9AD09}"/>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2 2 2" xfId="19870" xr:uid="{F02EFCA8-8C26-480C-9F87-AC7516C87338}"/>
    <cellStyle name="Comma 2 4 3 3 2 2 2 2 3" xfId="30286" xr:uid="{672EF808-93D1-4703-9F66-2ECE5954585B}"/>
    <cellStyle name="Comma 2 4 3 3 2 2 2 3" xfId="13512" xr:uid="{64AF7F20-8656-4D79-A3F0-7D56A8CE1010}"/>
    <cellStyle name="Comma 2 4 3 3 2 2 2 4" xfId="23928" xr:uid="{993313DA-3375-45BC-8DBA-F37A9F63FBC2}"/>
    <cellStyle name="Comma 2 4 3 3 2 2 3" xfId="8323" xr:uid="{00000000-0005-0000-0000-00004C0B0000}"/>
    <cellStyle name="Comma 2 4 3 3 2 2 3 2" xfId="19869" xr:uid="{1EA466F9-A4B7-4200-863E-93E7739FD7FD}"/>
    <cellStyle name="Comma 2 4 3 3 2 2 3 3" xfId="30285" xr:uid="{517DAEC7-17B3-4949-93D8-4B9F2DDBC04A}"/>
    <cellStyle name="Comma 2 4 3 3 2 2 4" xfId="5353" xr:uid="{00000000-0005-0000-0000-00004D0B0000}"/>
    <cellStyle name="Comma 2 4 3 3 2 2 4 2" xfId="16939" xr:uid="{383CFE9C-2FD5-4030-AFD2-067A5887F7C7}"/>
    <cellStyle name="Comma 2 4 3 3 2 2 4 3" xfId="27355" xr:uid="{B4A63F7F-6346-4BFD-A6E6-2DAED20533B3}"/>
    <cellStyle name="Comma 2 4 3 3 2 2 5" xfId="13511" xr:uid="{712E7ADF-A52E-4B30-A0FE-CB1B78B13D4B}"/>
    <cellStyle name="Comma 2 4 3 3 2 2 6" xfId="23927" xr:uid="{A3E8CCC4-B1DD-47E5-9B93-A0C1B4DAC2A7}"/>
    <cellStyle name="Comma 2 4 3 3 2 3" xfId="1178" xr:uid="{00000000-0005-0000-0000-00004E0B0000}"/>
    <cellStyle name="Comma 2 4 3 3 2 3 2" xfId="8325" xr:uid="{00000000-0005-0000-0000-00004F0B0000}"/>
    <cellStyle name="Comma 2 4 3 3 2 3 2 2" xfId="19871" xr:uid="{78B6176E-F4ED-4FF8-BD78-582F6AEFDD2A}"/>
    <cellStyle name="Comma 2 4 3 3 2 3 2 3" xfId="30287" xr:uid="{FB1B6643-FECF-4DFA-9425-B820CE713E2A}"/>
    <cellStyle name="Comma 2 4 3 3 2 3 3" xfId="13513" xr:uid="{2F76EF5C-E160-44F9-BE0D-D86B5998536B}"/>
    <cellStyle name="Comma 2 4 3 3 2 3 4" xfId="23929" xr:uid="{6A847962-0E85-4254-855B-83C41FF6377A}"/>
    <cellStyle name="Comma 2 4 3 3 2 4" xfId="8322" xr:uid="{00000000-0005-0000-0000-0000500B0000}"/>
    <cellStyle name="Comma 2 4 3 3 2 4 2" xfId="19868" xr:uid="{35152F46-7933-4C2E-8B16-172FEA73E2B1}"/>
    <cellStyle name="Comma 2 4 3 3 2 4 3" xfId="30284" xr:uid="{47E9A356-D6B9-4BE6-B271-013AD27A415D}"/>
    <cellStyle name="Comma 2 4 3 3 2 5" xfId="5352" xr:uid="{00000000-0005-0000-0000-0000510B0000}"/>
    <cellStyle name="Comma 2 4 3 3 2 5 2" xfId="16938" xr:uid="{B9136069-1F20-407A-A6D4-6C92375929AE}"/>
    <cellStyle name="Comma 2 4 3 3 2 5 3" xfId="27354" xr:uid="{2F1ED34E-DEFD-4778-A514-DFF68E204F30}"/>
    <cellStyle name="Comma 2 4 3 3 2 6" xfId="13510" xr:uid="{A31EC8AB-BF09-4C77-B170-BEE3FEA5DC36}"/>
    <cellStyle name="Comma 2 4 3 3 2 7" xfId="23926" xr:uid="{6D435A68-BE5C-4030-9655-B61E33D10F53}"/>
    <cellStyle name="Comma 2 4 3 3 3" xfId="1179" xr:uid="{00000000-0005-0000-0000-0000520B0000}"/>
    <cellStyle name="Comma 2 4 3 3 3 2" xfId="1180" xr:uid="{00000000-0005-0000-0000-0000530B0000}"/>
    <cellStyle name="Comma 2 4 3 3 3 2 2" xfId="8327" xr:uid="{00000000-0005-0000-0000-0000540B0000}"/>
    <cellStyle name="Comma 2 4 3 3 3 2 2 2" xfId="19873" xr:uid="{7F651E27-939B-4DDD-AF4E-1A3F49FD6F67}"/>
    <cellStyle name="Comma 2 4 3 3 3 2 2 3" xfId="30289" xr:uid="{867433EE-0354-497A-A1FE-3FC1D16EAEE3}"/>
    <cellStyle name="Comma 2 4 3 3 3 2 3" xfId="13515" xr:uid="{290C1B17-A525-4DC4-B82F-628271055915}"/>
    <cellStyle name="Comma 2 4 3 3 3 2 4" xfId="23931" xr:uid="{034D63B4-5ADB-4C04-9B03-2C0C9B2C92EF}"/>
    <cellStyle name="Comma 2 4 3 3 3 3" xfId="8326" xr:uid="{00000000-0005-0000-0000-0000550B0000}"/>
    <cellStyle name="Comma 2 4 3 3 3 3 2" xfId="19872" xr:uid="{1A4D0CD9-EF7E-498A-B3BC-5DDDC4E75264}"/>
    <cellStyle name="Comma 2 4 3 3 3 3 3" xfId="30288" xr:uid="{79755F8F-8F58-49C7-B8B7-3406919E3695}"/>
    <cellStyle name="Comma 2 4 3 3 3 4" xfId="5354" xr:uid="{00000000-0005-0000-0000-0000560B0000}"/>
    <cellStyle name="Comma 2 4 3 3 3 4 2" xfId="16940" xr:uid="{019392F1-6E7C-4611-845B-8B5AF8737043}"/>
    <cellStyle name="Comma 2 4 3 3 3 4 3" xfId="27356" xr:uid="{4946F341-FE2A-4172-A127-B5BFD23BDFFF}"/>
    <cellStyle name="Comma 2 4 3 3 3 5" xfId="13514" xr:uid="{FE38BE5D-0F31-45BE-83F9-0599F24B2D79}"/>
    <cellStyle name="Comma 2 4 3 3 3 6" xfId="23930" xr:uid="{D86510F6-02D8-4C35-AC02-491EA51E8AE2}"/>
    <cellStyle name="Comma 2 4 3 3 4" xfId="1181" xr:uid="{00000000-0005-0000-0000-0000570B0000}"/>
    <cellStyle name="Comma 2 4 3 3 4 2" xfId="1182" xr:uid="{00000000-0005-0000-0000-0000580B0000}"/>
    <cellStyle name="Comma 2 4 3 3 4 2 2" xfId="8329" xr:uid="{00000000-0005-0000-0000-0000590B0000}"/>
    <cellStyle name="Comma 2 4 3 3 4 2 2 2" xfId="19875" xr:uid="{78E6EB40-7449-43A3-89AD-C70A7B708860}"/>
    <cellStyle name="Comma 2 4 3 3 4 2 2 3" xfId="30291" xr:uid="{F9E7450A-BD8B-4D0A-8552-1C268CAFA4AB}"/>
    <cellStyle name="Comma 2 4 3 3 4 2 3" xfId="13517" xr:uid="{4229AAE4-EC04-4BA9-A580-60A96CD89490}"/>
    <cellStyle name="Comma 2 4 3 3 4 2 4" xfId="23933" xr:uid="{9B493CA9-950C-4F6E-872C-9A8D231F0FB7}"/>
    <cellStyle name="Comma 2 4 3 3 4 3" xfId="8328" xr:uid="{00000000-0005-0000-0000-00005A0B0000}"/>
    <cellStyle name="Comma 2 4 3 3 4 3 2" xfId="19874" xr:uid="{13334169-DE90-4339-AC0E-192586FD3748}"/>
    <cellStyle name="Comma 2 4 3 3 4 3 3" xfId="30290" xr:uid="{A2BE4BF6-7EBC-48EE-B915-33AECE4AD287}"/>
    <cellStyle name="Comma 2 4 3 3 4 4" xfId="5355" xr:uid="{00000000-0005-0000-0000-00005B0B0000}"/>
    <cellStyle name="Comma 2 4 3 3 4 4 2" xfId="16941" xr:uid="{8EA6C174-484C-41D2-BC3A-8B1544BD1482}"/>
    <cellStyle name="Comma 2 4 3 3 4 4 3" xfId="27357" xr:uid="{8A92726F-FC7F-457D-9B36-35362CFB01C5}"/>
    <cellStyle name="Comma 2 4 3 3 4 5" xfId="13516" xr:uid="{3462B0AF-5D1D-4519-B3DA-1189D0C546C6}"/>
    <cellStyle name="Comma 2 4 3 3 4 6" xfId="23932" xr:uid="{A028F048-DF73-4C16-8872-8571851F4AED}"/>
    <cellStyle name="Comma 2 4 3 3 5" xfId="1183" xr:uid="{00000000-0005-0000-0000-00005C0B0000}"/>
    <cellStyle name="Comma 2 4 3 3 5 2" xfId="8330" xr:uid="{00000000-0005-0000-0000-00005D0B0000}"/>
    <cellStyle name="Comma 2 4 3 3 5 2 2" xfId="19876" xr:uid="{D8DE4CDB-5B1D-4C18-BC7E-4DDA3F8B1003}"/>
    <cellStyle name="Comma 2 4 3 3 5 2 3" xfId="30292" xr:uid="{9C9A23B2-072F-4A8A-B2FB-1C903463AD08}"/>
    <cellStyle name="Comma 2 4 3 3 5 3" xfId="13518" xr:uid="{C67EDA38-5453-407A-9AC2-29B70196FB24}"/>
    <cellStyle name="Comma 2 4 3 3 5 4" xfId="23934" xr:uid="{C1E37D33-40D6-4AC5-895E-41700CF5F559}"/>
    <cellStyle name="Comma 2 4 3 3 6" xfId="8321" xr:uid="{00000000-0005-0000-0000-00005E0B0000}"/>
    <cellStyle name="Comma 2 4 3 3 6 2" xfId="19867" xr:uid="{810822E1-6CBF-4313-BE5A-921345BA77BA}"/>
    <cellStyle name="Comma 2 4 3 3 6 3" xfId="30283" xr:uid="{54B3F603-4A82-4157-9D9C-0BA054562B7C}"/>
    <cellStyle name="Comma 2 4 3 3 7" xfId="5351" xr:uid="{00000000-0005-0000-0000-00005F0B0000}"/>
    <cellStyle name="Comma 2 4 3 3 7 2" xfId="16937" xr:uid="{68589346-C859-4A72-9CA0-7BE14FCE7B0E}"/>
    <cellStyle name="Comma 2 4 3 3 7 3" xfId="27353" xr:uid="{811BE946-E6B5-4CB3-BC1F-BF872C354123}"/>
    <cellStyle name="Comma 2 4 3 3 8" xfId="13509" xr:uid="{B2D3A96C-0322-4C08-96EF-B07DC8E89D7C}"/>
    <cellStyle name="Comma 2 4 3 3 9" xfId="23925" xr:uid="{04FEFC31-CEBA-4639-8DD5-C123EA42610C}"/>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2 2 2" xfId="19880" xr:uid="{36D0C9A2-B701-4F00-993C-34A59C070C8A}"/>
    <cellStyle name="Comma 2 4 3 4 2 2 2 2 3" xfId="30296" xr:uid="{5E100A25-E358-40BF-80FF-EB49FDC4B965}"/>
    <cellStyle name="Comma 2 4 3 4 2 2 2 3" xfId="13522" xr:uid="{A9E18B94-7697-4C25-9E66-BC67B2E8758B}"/>
    <cellStyle name="Comma 2 4 3 4 2 2 2 4" xfId="23938" xr:uid="{E818F4C6-6241-4F12-8B40-CCEE8B5AF5A3}"/>
    <cellStyle name="Comma 2 4 3 4 2 2 3" xfId="8333" xr:uid="{00000000-0005-0000-0000-0000650B0000}"/>
    <cellStyle name="Comma 2 4 3 4 2 2 3 2" xfId="19879" xr:uid="{D5E9131F-A7AF-41C3-8828-5EAB320A134B}"/>
    <cellStyle name="Comma 2 4 3 4 2 2 3 3" xfId="30295" xr:uid="{D01450D8-4B86-41B0-BF98-A52104872954}"/>
    <cellStyle name="Comma 2 4 3 4 2 2 4" xfId="5358" xr:uid="{00000000-0005-0000-0000-0000660B0000}"/>
    <cellStyle name="Comma 2 4 3 4 2 2 4 2" xfId="16944" xr:uid="{1F359BF0-4C90-4045-844A-0675AD3A2536}"/>
    <cellStyle name="Comma 2 4 3 4 2 2 4 3" xfId="27360" xr:uid="{EADFF3D9-4DE9-4AC3-8430-12249D06F0B9}"/>
    <cellStyle name="Comma 2 4 3 4 2 2 5" xfId="13521" xr:uid="{1F59F416-1978-4EA6-BED3-628877A4EA83}"/>
    <cellStyle name="Comma 2 4 3 4 2 2 6" xfId="23937" xr:uid="{358A4E14-C74D-4FCB-A8C2-0DB1A229F3DD}"/>
    <cellStyle name="Comma 2 4 3 4 2 3" xfId="1188" xr:uid="{00000000-0005-0000-0000-0000670B0000}"/>
    <cellStyle name="Comma 2 4 3 4 2 3 2" xfId="8335" xr:uid="{00000000-0005-0000-0000-0000680B0000}"/>
    <cellStyle name="Comma 2 4 3 4 2 3 2 2" xfId="19881" xr:uid="{90513503-495E-46D0-9F1D-2E91DAD417D0}"/>
    <cellStyle name="Comma 2 4 3 4 2 3 2 3" xfId="30297" xr:uid="{A05BDA60-13A9-4BA0-9DF7-F9F20723B867}"/>
    <cellStyle name="Comma 2 4 3 4 2 3 3" xfId="13523" xr:uid="{68474999-0A8A-4E1F-B005-C15091E0F8A7}"/>
    <cellStyle name="Comma 2 4 3 4 2 3 4" xfId="23939" xr:uid="{137BAED1-AC10-4DAC-8A83-A389E510DA48}"/>
    <cellStyle name="Comma 2 4 3 4 2 4" xfId="8332" xr:uid="{00000000-0005-0000-0000-0000690B0000}"/>
    <cellStyle name="Comma 2 4 3 4 2 4 2" xfId="19878" xr:uid="{A835849E-675E-4F21-AA3C-C2A99A9684B8}"/>
    <cellStyle name="Comma 2 4 3 4 2 4 3" xfId="30294" xr:uid="{39115367-B888-440A-849E-5B819E44E6E2}"/>
    <cellStyle name="Comma 2 4 3 4 2 5" xfId="5357" xr:uid="{00000000-0005-0000-0000-00006A0B0000}"/>
    <cellStyle name="Comma 2 4 3 4 2 5 2" xfId="16943" xr:uid="{A6DF53C5-25BE-42B0-AA37-8B23491C1EBE}"/>
    <cellStyle name="Comma 2 4 3 4 2 5 3" xfId="27359" xr:uid="{010116B6-2B93-4AC9-95C2-B34DCF185967}"/>
    <cellStyle name="Comma 2 4 3 4 2 6" xfId="13520" xr:uid="{E77BB1B5-3B69-404E-B392-8EE8BE18A12E}"/>
    <cellStyle name="Comma 2 4 3 4 2 7" xfId="23936" xr:uid="{0BDFD1AF-3129-483B-8C0F-8DC51C12AE12}"/>
    <cellStyle name="Comma 2 4 3 4 3" xfId="1189" xr:uid="{00000000-0005-0000-0000-00006B0B0000}"/>
    <cellStyle name="Comma 2 4 3 4 3 2" xfId="1190" xr:uid="{00000000-0005-0000-0000-00006C0B0000}"/>
    <cellStyle name="Comma 2 4 3 4 3 2 2" xfId="8337" xr:uid="{00000000-0005-0000-0000-00006D0B0000}"/>
    <cellStyle name="Comma 2 4 3 4 3 2 2 2" xfId="19883" xr:uid="{A1880104-912A-4AE4-B153-287DE970C758}"/>
    <cellStyle name="Comma 2 4 3 4 3 2 2 3" xfId="30299" xr:uid="{89A15B4D-2420-48A6-8814-C533C542369F}"/>
    <cellStyle name="Comma 2 4 3 4 3 2 3" xfId="13525" xr:uid="{B9B3653D-714D-4A1D-98DF-3D7E12E1FDFD}"/>
    <cellStyle name="Comma 2 4 3 4 3 2 4" xfId="23941" xr:uid="{458E54A0-9ADE-4963-A992-97EF4300ED88}"/>
    <cellStyle name="Comma 2 4 3 4 3 3" xfId="8336" xr:uid="{00000000-0005-0000-0000-00006E0B0000}"/>
    <cellStyle name="Comma 2 4 3 4 3 3 2" xfId="19882" xr:uid="{5CE20CE3-6BD5-485E-BFC0-E1B92BD5A1E6}"/>
    <cellStyle name="Comma 2 4 3 4 3 3 3" xfId="30298" xr:uid="{031327F3-15B1-40D1-9BB6-FCCDFE5E2446}"/>
    <cellStyle name="Comma 2 4 3 4 3 4" xfId="5359" xr:uid="{00000000-0005-0000-0000-00006F0B0000}"/>
    <cellStyle name="Comma 2 4 3 4 3 4 2" xfId="16945" xr:uid="{C45A58AC-4F36-46EE-B61A-3D65F797F7A7}"/>
    <cellStyle name="Comma 2 4 3 4 3 4 3" xfId="27361" xr:uid="{651EFB1A-CC1A-4DCF-99FD-7B2FF411DB74}"/>
    <cellStyle name="Comma 2 4 3 4 3 5" xfId="13524" xr:uid="{D5D30702-BD9C-446F-A29A-C85223F5776F}"/>
    <cellStyle name="Comma 2 4 3 4 3 6" xfId="23940" xr:uid="{9EB910D5-02DE-4C03-A715-DA5E8DC3CCDB}"/>
    <cellStyle name="Comma 2 4 3 4 4" xfId="1191" xr:uid="{00000000-0005-0000-0000-0000700B0000}"/>
    <cellStyle name="Comma 2 4 3 4 4 2" xfId="1192" xr:uid="{00000000-0005-0000-0000-0000710B0000}"/>
    <cellStyle name="Comma 2 4 3 4 4 2 2" xfId="8339" xr:uid="{00000000-0005-0000-0000-0000720B0000}"/>
    <cellStyle name="Comma 2 4 3 4 4 2 2 2" xfId="19885" xr:uid="{36F692CB-AD8D-44D3-9C76-9C016A23A0E0}"/>
    <cellStyle name="Comma 2 4 3 4 4 2 2 3" xfId="30301" xr:uid="{A85C8076-73D4-4F18-88AE-900BE69518A6}"/>
    <cellStyle name="Comma 2 4 3 4 4 2 3" xfId="13527" xr:uid="{5CFA01E5-AEDF-4818-97A4-06F4032AA78D}"/>
    <cellStyle name="Comma 2 4 3 4 4 2 4" xfId="23943" xr:uid="{B6451470-F801-4AF0-B52A-510E5ADE71E7}"/>
    <cellStyle name="Comma 2 4 3 4 4 3" xfId="8338" xr:uid="{00000000-0005-0000-0000-0000730B0000}"/>
    <cellStyle name="Comma 2 4 3 4 4 3 2" xfId="19884" xr:uid="{22D62791-CC1D-4E3C-91D0-ED143F26008E}"/>
    <cellStyle name="Comma 2 4 3 4 4 3 3" xfId="30300" xr:uid="{8985EF9C-1021-48FB-9EFF-C59CA0E37F7A}"/>
    <cellStyle name="Comma 2 4 3 4 4 4" xfId="5360" xr:uid="{00000000-0005-0000-0000-0000740B0000}"/>
    <cellStyle name="Comma 2 4 3 4 4 4 2" xfId="16946" xr:uid="{8A09DB8E-9D4D-4CE9-A67A-1704DCB509A3}"/>
    <cellStyle name="Comma 2 4 3 4 4 4 3" xfId="27362" xr:uid="{6B2DDAF3-746A-4044-89D3-BDC66A91C4FD}"/>
    <cellStyle name="Comma 2 4 3 4 4 5" xfId="13526" xr:uid="{C99BB51F-354C-450B-AA48-A6D4DA2AF893}"/>
    <cellStyle name="Comma 2 4 3 4 4 6" xfId="23942" xr:uid="{90B1D16B-A324-4DFE-9D0C-F77C2C8F0B5E}"/>
    <cellStyle name="Comma 2 4 3 4 5" xfId="1193" xr:uid="{00000000-0005-0000-0000-0000750B0000}"/>
    <cellStyle name="Comma 2 4 3 4 5 2" xfId="8340" xr:uid="{00000000-0005-0000-0000-0000760B0000}"/>
    <cellStyle name="Comma 2 4 3 4 5 2 2" xfId="19886" xr:uid="{96863D13-4131-4BC2-AF0B-9EF8F135179B}"/>
    <cellStyle name="Comma 2 4 3 4 5 2 3" xfId="30302" xr:uid="{17F22C1A-E5E6-478B-B984-3E4F3B2C4189}"/>
    <cellStyle name="Comma 2 4 3 4 5 3" xfId="13528" xr:uid="{84924DA2-9682-4299-9E9C-E74FA208F36F}"/>
    <cellStyle name="Comma 2 4 3 4 5 4" xfId="23944" xr:uid="{DC14A4BA-D698-4E53-9D22-00E4AA789F96}"/>
    <cellStyle name="Comma 2 4 3 4 6" xfId="8331" xr:uid="{00000000-0005-0000-0000-0000770B0000}"/>
    <cellStyle name="Comma 2 4 3 4 6 2" xfId="19877" xr:uid="{629EC068-DC2F-4E1D-9400-FD9E44C4C60C}"/>
    <cellStyle name="Comma 2 4 3 4 6 3" xfId="30293" xr:uid="{FCDD0D19-258E-41D8-AD3E-A1C6766E326E}"/>
    <cellStyle name="Comma 2 4 3 4 7" xfId="5356" xr:uid="{00000000-0005-0000-0000-0000780B0000}"/>
    <cellStyle name="Comma 2 4 3 4 7 2" xfId="16942" xr:uid="{CDCB8875-7E13-47CF-A3B1-13D6E6ECB385}"/>
    <cellStyle name="Comma 2 4 3 4 7 3" xfId="27358" xr:uid="{49C3A875-2811-4033-8AE2-6CED8A40E0B8}"/>
    <cellStyle name="Comma 2 4 3 4 8" xfId="13519" xr:uid="{6F81EED2-6DDC-42AB-9FD3-27717966A20F}"/>
    <cellStyle name="Comma 2 4 3 4 9" xfId="23935" xr:uid="{BF7A25FC-0FC0-439D-8E32-8B59F5FD5A07}"/>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2 2 2" xfId="19890" xr:uid="{8B230638-3191-492C-8D13-D9C3717EC669}"/>
    <cellStyle name="Comma 2 4 3 5 2 2 2 2 3" xfId="30306" xr:uid="{F03C97AF-70F2-4B6E-A42D-0CB52A7A09C3}"/>
    <cellStyle name="Comma 2 4 3 5 2 2 2 3" xfId="13532" xr:uid="{25495146-0BD2-4E1F-B471-DE483EEE8208}"/>
    <cellStyle name="Comma 2 4 3 5 2 2 2 4" xfId="23948" xr:uid="{6E349F59-1C5E-4D3D-8574-F99E82308ADA}"/>
    <cellStyle name="Comma 2 4 3 5 2 2 3" xfId="8343" xr:uid="{00000000-0005-0000-0000-00007E0B0000}"/>
    <cellStyle name="Comma 2 4 3 5 2 2 3 2" xfId="19889" xr:uid="{9334C3C7-D206-4CC8-BA50-4B8ED32E17C7}"/>
    <cellStyle name="Comma 2 4 3 5 2 2 3 3" xfId="30305" xr:uid="{245435DB-960A-4FB5-8B9A-8FE80786EB0B}"/>
    <cellStyle name="Comma 2 4 3 5 2 2 4" xfId="5363" xr:uid="{00000000-0005-0000-0000-00007F0B0000}"/>
    <cellStyle name="Comma 2 4 3 5 2 2 4 2" xfId="16949" xr:uid="{8C626D9E-051D-4A85-BD57-E01448EA9C13}"/>
    <cellStyle name="Comma 2 4 3 5 2 2 4 3" xfId="27365" xr:uid="{E6066A09-E5C2-46F7-B39E-7FF4DBE870E6}"/>
    <cellStyle name="Comma 2 4 3 5 2 2 5" xfId="13531" xr:uid="{1F7AB5C2-1842-4543-98AF-FCE175816B52}"/>
    <cellStyle name="Comma 2 4 3 5 2 2 6" xfId="23947" xr:uid="{EC4A7FD1-F6E0-4B28-B41D-684EA79689D2}"/>
    <cellStyle name="Comma 2 4 3 5 2 3" xfId="1198" xr:uid="{00000000-0005-0000-0000-0000800B0000}"/>
    <cellStyle name="Comma 2 4 3 5 2 3 2" xfId="8345" xr:uid="{00000000-0005-0000-0000-0000810B0000}"/>
    <cellStyle name="Comma 2 4 3 5 2 3 2 2" xfId="19891" xr:uid="{61B9FA8B-9C76-466F-B2A6-EF408EF6F211}"/>
    <cellStyle name="Comma 2 4 3 5 2 3 2 3" xfId="30307" xr:uid="{1F765ED2-A8FC-4432-9637-115CD07A6D3A}"/>
    <cellStyle name="Comma 2 4 3 5 2 3 3" xfId="13533" xr:uid="{E80F64CB-A8B5-49EF-A8C8-865F96C04278}"/>
    <cellStyle name="Comma 2 4 3 5 2 3 4" xfId="23949" xr:uid="{145E41E8-FBA9-45B1-BB12-DCDFEC60AE35}"/>
    <cellStyle name="Comma 2 4 3 5 2 4" xfId="8342" xr:uid="{00000000-0005-0000-0000-0000820B0000}"/>
    <cellStyle name="Comma 2 4 3 5 2 4 2" xfId="19888" xr:uid="{3CDABB7B-F84C-4672-A74D-B3E5CA87F864}"/>
    <cellStyle name="Comma 2 4 3 5 2 4 3" xfId="30304" xr:uid="{7CA4DF77-B257-4F52-9EBF-3E1F2C40D98B}"/>
    <cellStyle name="Comma 2 4 3 5 2 5" xfId="5362" xr:uid="{00000000-0005-0000-0000-0000830B0000}"/>
    <cellStyle name="Comma 2 4 3 5 2 5 2" xfId="16948" xr:uid="{21C47F9F-2FD3-4F11-8B4A-FB7B1C01259F}"/>
    <cellStyle name="Comma 2 4 3 5 2 5 3" xfId="27364" xr:uid="{3B2118AC-03A0-4A36-B3CC-2E36DFE9AC5A}"/>
    <cellStyle name="Comma 2 4 3 5 2 6" xfId="13530" xr:uid="{C34868C2-8BF2-4CDE-8E8D-1235F94572D2}"/>
    <cellStyle name="Comma 2 4 3 5 2 7" xfId="23946" xr:uid="{F4E74AB6-50FC-44FA-AB56-6DD749EB169B}"/>
    <cellStyle name="Comma 2 4 3 5 3" xfId="1199" xr:uid="{00000000-0005-0000-0000-0000840B0000}"/>
    <cellStyle name="Comma 2 4 3 5 3 2" xfId="1200" xr:uid="{00000000-0005-0000-0000-0000850B0000}"/>
    <cellStyle name="Comma 2 4 3 5 3 2 2" xfId="8347" xr:uid="{00000000-0005-0000-0000-0000860B0000}"/>
    <cellStyle name="Comma 2 4 3 5 3 2 2 2" xfId="19893" xr:uid="{FD10F299-1A8C-4892-9477-A14BCE6EA48D}"/>
    <cellStyle name="Comma 2 4 3 5 3 2 2 3" xfId="30309" xr:uid="{30529BC2-2947-4496-988F-85B9D90D000B}"/>
    <cellStyle name="Comma 2 4 3 5 3 2 3" xfId="13535" xr:uid="{634AD6BD-C28C-4601-B6A9-B32742CC1356}"/>
    <cellStyle name="Comma 2 4 3 5 3 2 4" xfId="23951" xr:uid="{C0EA0D73-72E1-4F92-BACD-6EF314C80F59}"/>
    <cellStyle name="Comma 2 4 3 5 3 3" xfId="8346" xr:uid="{00000000-0005-0000-0000-0000870B0000}"/>
    <cellStyle name="Comma 2 4 3 5 3 3 2" xfId="19892" xr:uid="{DC68BDE5-8181-4AC5-8DBE-5794A0701AC5}"/>
    <cellStyle name="Comma 2 4 3 5 3 3 3" xfId="30308" xr:uid="{CDABFFE4-E86E-454E-BB32-CA862A6B0D3C}"/>
    <cellStyle name="Comma 2 4 3 5 3 4" xfId="5364" xr:uid="{00000000-0005-0000-0000-0000880B0000}"/>
    <cellStyle name="Comma 2 4 3 5 3 4 2" xfId="16950" xr:uid="{FFD5B1D6-27A5-4388-8B5E-CBF7BE8C14B7}"/>
    <cellStyle name="Comma 2 4 3 5 3 4 3" xfId="27366" xr:uid="{B3B4E4AD-5975-496E-8DC5-415E4D93F6A7}"/>
    <cellStyle name="Comma 2 4 3 5 3 5" xfId="13534" xr:uid="{1ACED870-3494-4933-B2DB-1F37BCB10370}"/>
    <cellStyle name="Comma 2 4 3 5 3 6" xfId="23950" xr:uid="{4F5E2B7B-B5E4-490C-A30B-AA1DC9BE0059}"/>
    <cellStyle name="Comma 2 4 3 5 4" xfId="1201" xr:uid="{00000000-0005-0000-0000-0000890B0000}"/>
    <cellStyle name="Comma 2 4 3 5 4 2" xfId="1202" xr:uid="{00000000-0005-0000-0000-00008A0B0000}"/>
    <cellStyle name="Comma 2 4 3 5 4 2 2" xfId="8349" xr:uid="{00000000-0005-0000-0000-00008B0B0000}"/>
    <cellStyle name="Comma 2 4 3 5 4 2 2 2" xfId="19895" xr:uid="{71AE1D5B-A2F6-412B-92A1-15F51774711A}"/>
    <cellStyle name="Comma 2 4 3 5 4 2 2 3" xfId="30311" xr:uid="{C25604B0-7D3D-4612-B302-A13EAF9A7ECA}"/>
    <cellStyle name="Comma 2 4 3 5 4 2 3" xfId="13537" xr:uid="{5A389464-0353-4345-8E69-E5C76AB4DD52}"/>
    <cellStyle name="Comma 2 4 3 5 4 2 4" xfId="23953" xr:uid="{AFAB384E-FEC9-4667-AE26-12A20D62A956}"/>
    <cellStyle name="Comma 2 4 3 5 4 3" xfId="8348" xr:uid="{00000000-0005-0000-0000-00008C0B0000}"/>
    <cellStyle name="Comma 2 4 3 5 4 3 2" xfId="19894" xr:uid="{DB318CE0-4958-44E5-BACA-DFCC47768B4C}"/>
    <cellStyle name="Comma 2 4 3 5 4 3 3" xfId="30310" xr:uid="{BD7A6EC6-C23E-4741-9300-516559AEC370}"/>
    <cellStyle name="Comma 2 4 3 5 4 4" xfId="5365" xr:uid="{00000000-0005-0000-0000-00008D0B0000}"/>
    <cellStyle name="Comma 2 4 3 5 4 4 2" xfId="16951" xr:uid="{93198451-6D1E-4FE5-8780-F53AC4415F68}"/>
    <cellStyle name="Comma 2 4 3 5 4 4 3" xfId="27367" xr:uid="{855C3FF3-5591-4DB9-8729-DAF3E6BE5568}"/>
    <cellStyle name="Comma 2 4 3 5 4 5" xfId="13536" xr:uid="{24A58DAA-6D76-4482-972B-B438E891824B}"/>
    <cellStyle name="Comma 2 4 3 5 4 6" xfId="23952" xr:uid="{448A4DAC-21D4-4679-AEB4-055FBC954244}"/>
    <cellStyle name="Comma 2 4 3 5 5" xfId="1203" xr:uid="{00000000-0005-0000-0000-00008E0B0000}"/>
    <cellStyle name="Comma 2 4 3 5 5 2" xfId="8350" xr:uid="{00000000-0005-0000-0000-00008F0B0000}"/>
    <cellStyle name="Comma 2 4 3 5 5 2 2" xfId="19896" xr:uid="{1C741F23-C279-40A7-939F-98FA2CC87479}"/>
    <cellStyle name="Comma 2 4 3 5 5 2 3" xfId="30312" xr:uid="{EE12B2CA-DAFD-47BB-B74E-871F335D3B92}"/>
    <cellStyle name="Comma 2 4 3 5 5 3" xfId="13538" xr:uid="{B5D0C939-DA4F-440D-AACC-43E010BBDFFF}"/>
    <cellStyle name="Comma 2 4 3 5 5 4" xfId="23954" xr:uid="{02EBBF26-D242-4A59-8863-62C0FD6CCCA6}"/>
    <cellStyle name="Comma 2 4 3 5 6" xfId="8341" xr:uid="{00000000-0005-0000-0000-0000900B0000}"/>
    <cellStyle name="Comma 2 4 3 5 6 2" xfId="19887" xr:uid="{62FD2CF2-FB89-4943-970E-4074431DF220}"/>
    <cellStyle name="Comma 2 4 3 5 6 3" xfId="30303" xr:uid="{15C9B409-F7F3-4674-BF58-AB8F4813EB68}"/>
    <cellStyle name="Comma 2 4 3 5 7" xfId="5361" xr:uid="{00000000-0005-0000-0000-0000910B0000}"/>
    <cellStyle name="Comma 2 4 3 5 7 2" xfId="16947" xr:uid="{A1CAFA23-48D4-49D9-8D36-04ABEB2DF29C}"/>
    <cellStyle name="Comma 2 4 3 5 7 3" xfId="27363" xr:uid="{434FAFEC-FD2E-49DD-AAD8-BC0A90882D5A}"/>
    <cellStyle name="Comma 2 4 3 5 8" xfId="13529" xr:uid="{5F3E0583-3F5F-43C0-B45D-4D97EDE75DE9}"/>
    <cellStyle name="Comma 2 4 3 5 9" xfId="23945" xr:uid="{BA8A51FD-59EC-4F53-B8FE-E3A881B79781}"/>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2 2 2" xfId="19900" xr:uid="{857DA069-7ABF-4EB7-88DA-13EECFC86636}"/>
    <cellStyle name="Comma 2 4 3 6 2 2 2 2 3" xfId="30316" xr:uid="{9B417734-8A62-438F-A247-24AAC266C6B2}"/>
    <cellStyle name="Comma 2 4 3 6 2 2 2 3" xfId="13542" xr:uid="{E77B5D88-9D90-43EE-A25C-D9BE04FBEC07}"/>
    <cellStyle name="Comma 2 4 3 6 2 2 2 4" xfId="23958" xr:uid="{B6867260-D0AB-45ED-8E49-9C68034D6C9F}"/>
    <cellStyle name="Comma 2 4 3 6 2 2 3" xfId="8353" xr:uid="{00000000-0005-0000-0000-0000970B0000}"/>
    <cellStyle name="Comma 2 4 3 6 2 2 3 2" xfId="19899" xr:uid="{A3F455E5-8D31-4270-A6B7-92799DA51B46}"/>
    <cellStyle name="Comma 2 4 3 6 2 2 3 3" xfId="30315" xr:uid="{64E8393A-B30E-4F62-8D61-D56190D20B1C}"/>
    <cellStyle name="Comma 2 4 3 6 2 2 4" xfId="5368" xr:uid="{00000000-0005-0000-0000-0000980B0000}"/>
    <cellStyle name="Comma 2 4 3 6 2 2 4 2" xfId="16954" xr:uid="{12E3DAC7-5302-495D-AFD9-E0AE8B4FE527}"/>
    <cellStyle name="Comma 2 4 3 6 2 2 4 3" xfId="27370" xr:uid="{C1B75F18-2909-4BAB-A55E-E0A8993F080C}"/>
    <cellStyle name="Comma 2 4 3 6 2 2 5" xfId="13541" xr:uid="{CF6CF55B-4FE0-41EA-B7DC-7F31BEB3364C}"/>
    <cellStyle name="Comma 2 4 3 6 2 2 6" xfId="23957" xr:uid="{50EF541B-4BA9-4283-8990-D343EFD61E0E}"/>
    <cellStyle name="Comma 2 4 3 6 2 3" xfId="1208" xr:uid="{00000000-0005-0000-0000-0000990B0000}"/>
    <cellStyle name="Comma 2 4 3 6 2 3 2" xfId="8355" xr:uid="{00000000-0005-0000-0000-00009A0B0000}"/>
    <cellStyle name="Comma 2 4 3 6 2 3 2 2" xfId="19901" xr:uid="{23659FCC-5C07-47B0-8019-1004420A3F9C}"/>
    <cellStyle name="Comma 2 4 3 6 2 3 2 3" xfId="30317" xr:uid="{0245C0B9-CFC1-45FE-A15D-040A075B6941}"/>
    <cellStyle name="Comma 2 4 3 6 2 3 3" xfId="13543" xr:uid="{7395A4EC-706D-43AF-9265-C5A6F61AE8FF}"/>
    <cellStyle name="Comma 2 4 3 6 2 3 4" xfId="23959" xr:uid="{E8A6A09F-AFBC-4252-9760-AA6DD3605445}"/>
    <cellStyle name="Comma 2 4 3 6 2 4" xfId="8352" xr:uid="{00000000-0005-0000-0000-00009B0B0000}"/>
    <cellStyle name="Comma 2 4 3 6 2 4 2" xfId="19898" xr:uid="{72E51F19-979C-4B82-8061-026C756EB2F5}"/>
    <cellStyle name="Comma 2 4 3 6 2 4 3" xfId="30314" xr:uid="{2A27F83E-BF90-4AFA-AFC9-BB04AD7F7F29}"/>
    <cellStyle name="Comma 2 4 3 6 2 5" xfId="5367" xr:uid="{00000000-0005-0000-0000-00009C0B0000}"/>
    <cellStyle name="Comma 2 4 3 6 2 5 2" xfId="16953" xr:uid="{D3D80024-B67A-49AD-BB50-5546396F1260}"/>
    <cellStyle name="Comma 2 4 3 6 2 5 3" xfId="27369" xr:uid="{58A25A2B-051F-4B8F-97E4-CDC75E68C15A}"/>
    <cellStyle name="Comma 2 4 3 6 2 6" xfId="13540" xr:uid="{EA52B09A-BADD-4DDD-8843-14ED5BEB6FFD}"/>
    <cellStyle name="Comma 2 4 3 6 2 7" xfId="23956" xr:uid="{08E1FD52-5236-44EA-9612-95D168026AA4}"/>
    <cellStyle name="Comma 2 4 3 6 3" xfId="1209" xr:uid="{00000000-0005-0000-0000-00009D0B0000}"/>
    <cellStyle name="Comma 2 4 3 6 3 2" xfId="1210" xr:uid="{00000000-0005-0000-0000-00009E0B0000}"/>
    <cellStyle name="Comma 2 4 3 6 3 2 2" xfId="8357" xr:uid="{00000000-0005-0000-0000-00009F0B0000}"/>
    <cellStyle name="Comma 2 4 3 6 3 2 2 2" xfId="19903" xr:uid="{B4F386BD-A09A-444D-9EF0-878E8EA6DD60}"/>
    <cellStyle name="Comma 2 4 3 6 3 2 2 3" xfId="30319" xr:uid="{887EE655-0686-4BF1-9BC8-358AB53137FC}"/>
    <cellStyle name="Comma 2 4 3 6 3 2 3" xfId="13545" xr:uid="{5F1BCB47-A214-453C-B0CD-86F6687079C2}"/>
    <cellStyle name="Comma 2 4 3 6 3 2 4" xfId="23961" xr:uid="{B44F4880-237A-4630-BA48-D7EE7087352B}"/>
    <cellStyle name="Comma 2 4 3 6 3 3" xfId="8356" xr:uid="{00000000-0005-0000-0000-0000A00B0000}"/>
    <cellStyle name="Comma 2 4 3 6 3 3 2" xfId="19902" xr:uid="{D28D532C-BB64-4B85-A998-C54DF2D721FA}"/>
    <cellStyle name="Comma 2 4 3 6 3 3 3" xfId="30318" xr:uid="{9D51CE8C-A7A1-4613-8500-12C2A98CCA00}"/>
    <cellStyle name="Comma 2 4 3 6 3 4" xfId="5369" xr:uid="{00000000-0005-0000-0000-0000A10B0000}"/>
    <cellStyle name="Comma 2 4 3 6 3 4 2" xfId="16955" xr:uid="{F49C4578-5594-4C0F-8103-09F47E50E867}"/>
    <cellStyle name="Comma 2 4 3 6 3 4 3" xfId="27371" xr:uid="{CEEC377E-BB7B-43BF-B689-CBE0697DD079}"/>
    <cellStyle name="Comma 2 4 3 6 3 5" xfId="13544" xr:uid="{AA04F39A-1DED-446B-87CD-201EB22A70EA}"/>
    <cellStyle name="Comma 2 4 3 6 3 6" xfId="23960" xr:uid="{D7A6732A-C4F0-473E-83B7-A625A87EC857}"/>
    <cellStyle name="Comma 2 4 3 6 4" xfId="1211" xr:uid="{00000000-0005-0000-0000-0000A20B0000}"/>
    <cellStyle name="Comma 2 4 3 6 4 2" xfId="1212" xr:uid="{00000000-0005-0000-0000-0000A30B0000}"/>
    <cellStyle name="Comma 2 4 3 6 4 2 2" xfId="8359" xr:uid="{00000000-0005-0000-0000-0000A40B0000}"/>
    <cellStyle name="Comma 2 4 3 6 4 2 2 2" xfId="19905" xr:uid="{842A83BB-E05C-419A-B441-F7D916971E80}"/>
    <cellStyle name="Comma 2 4 3 6 4 2 2 3" xfId="30321" xr:uid="{77180F04-6807-4C52-B772-CE19383D7ADA}"/>
    <cellStyle name="Comma 2 4 3 6 4 2 3" xfId="13547" xr:uid="{96F95B39-FE75-43D5-A881-170E6719E85A}"/>
    <cellStyle name="Comma 2 4 3 6 4 2 4" xfId="23963" xr:uid="{C494BFF6-0965-4A61-A241-03FA3BBAB4AF}"/>
    <cellStyle name="Comma 2 4 3 6 4 3" xfId="8358" xr:uid="{00000000-0005-0000-0000-0000A50B0000}"/>
    <cellStyle name="Comma 2 4 3 6 4 3 2" xfId="19904" xr:uid="{11ACC0C4-6B09-4EE7-AFA6-AFBB59FB40A4}"/>
    <cellStyle name="Comma 2 4 3 6 4 3 3" xfId="30320" xr:uid="{C623C7DC-C063-49C2-B8EC-340E0BCD5449}"/>
    <cellStyle name="Comma 2 4 3 6 4 4" xfId="5370" xr:uid="{00000000-0005-0000-0000-0000A60B0000}"/>
    <cellStyle name="Comma 2 4 3 6 4 4 2" xfId="16956" xr:uid="{38880534-F63B-4ADA-BD70-955437B44824}"/>
    <cellStyle name="Comma 2 4 3 6 4 4 3" xfId="27372" xr:uid="{8DDB6289-5FB4-409E-93D3-84D34870AB31}"/>
    <cellStyle name="Comma 2 4 3 6 4 5" xfId="13546" xr:uid="{34A31B57-777E-4FC9-9DF3-B7E0DD0A9F51}"/>
    <cellStyle name="Comma 2 4 3 6 4 6" xfId="23962" xr:uid="{B02ED231-274D-4FA1-9C35-1413C50D34EC}"/>
    <cellStyle name="Comma 2 4 3 6 5" xfId="1213" xr:uid="{00000000-0005-0000-0000-0000A70B0000}"/>
    <cellStyle name="Comma 2 4 3 6 5 2" xfId="8360" xr:uid="{00000000-0005-0000-0000-0000A80B0000}"/>
    <cellStyle name="Comma 2 4 3 6 5 2 2" xfId="19906" xr:uid="{71D077E2-6FE1-45A7-A917-B7FF05E0676B}"/>
    <cellStyle name="Comma 2 4 3 6 5 2 3" xfId="30322" xr:uid="{AA7D339A-B5BD-4F35-BE18-75BDBA0475A3}"/>
    <cellStyle name="Comma 2 4 3 6 5 3" xfId="13548" xr:uid="{F0B4A001-6F56-460A-93A3-B01EA422BE89}"/>
    <cellStyle name="Comma 2 4 3 6 5 4" xfId="23964" xr:uid="{8CB0B8E1-9213-43E6-A34C-E9B77F56C7CC}"/>
    <cellStyle name="Comma 2 4 3 6 6" xfId="8351" xr:uid="{00000000-0005-0000-0000-0000A90B0000}"/>
    <cellStyle name="Comma 2 4 3 6 6 2" xfId="19897" xr:uid="{F82C1202-6FBD-4D2B-BF3C-7F90B64E73ED}"/>
    <cellStyle name="Comma 2 4 3 6 6 3" xfId="30313" xr:uid="{86FB6189-90AD-4271-B385-CF07F9DFB4A7}"/>
    <cellStyle name="Comma 2 4 3 6 7" xfId="5366" xr:uid="{00000000-0005-0000-0000-0000AA0B0000}"/>
    <cellStyle name="Comma 2 4 3 6 7 2" xfId="16952" xr:uid="{2F3CC50D-E1F3-4C95-A7C5-5849FFFDDC2C}"/>
    <cellStyle name="Comma 2 4 3 6 7 3" xfId="27368" xr:uid="{EB6BBE45-A29B-456B-B391-328F3D43582B}"/>
    <cellStyle name="Comma 2 4 3 6 8" xfId="13539" xr:uid="{14175F15-936F-4E87-A661-E6628AF790CD}"/>
    <cellStyle name="Comma 2 4 3 6 9" xfId="23955" xr:uid="{518EC2A3-C378-4B4F-B3F5-DC53B44CA2CA}"/>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2 2 2" xfId="19909" xr:uid="{E342A711-55F9-47AA-A768-4FF6E68FD541}"/>
    <cellStyle name="Comma 2 4 3 7 2 2 2 3" xfId="30325" xr:uid="{FED6C8FF-6DD8-49F7-A1DA-D35012F18835}"/>
    <cellStyle name="Comma 2 4 3 7 2 2 3" xfId="13551" xr:uid="{C1F5D467-173E-4963-AC04-9A04C6FB491A}"/>
    <cellStyle name="Comma 2 4 3 7 2 2 4" xfId="23967" xr:uid="{CDEFB48A-CEFE-45D8-8548-4351ED40393C}"/>
    <cellStyle name="Comma 2 4 3 7 2 3" xfId="8362" xr:uid="{00000000-0005-0000-0000-0000AF0B0000}"/>
    <cellStyle name="Comma 2 4 3 7 2 3 2" xfId="19908" xr:uid="{12419D9D-41B9-417C-840D-55E3F3699B77}"/>
    <cellStyle name="Comma 2 4 3 7 2 3 3" xfId="30324" xr:uid="{7421BD65-D7CF-47D0-B393-A76DFCF9579F}"/>
    <cellStyle name="Comma 2 4 3 7 2 4" xfId="5372" xr:uid="{00000000-0005-0000-0000-0000B00B0000}"/>
    <cellStyle name="Comma 2 4 3 7 2 4 2" xfId="16958" xr:uid="{A34FD08A-1078-47A2-9406-EB91C87D55F7}"/>
    <cellStyle name="Comma 2 4 3 7 2 4 3" xfId="27374" xr:uid="{8697AA9C-1BAB-42CC-85A4-B05F7E9F6A9E}"/>
    <cellStyle name="Comma 2 4 3 7 2 5" xfId="13550" xr:uid="{B2710658-FCDA-4379-AA3E-DAA47672E5EC}"/>
    <cellStyle name="Comma 2 4 3 7 2 6" xfId="23966" xr:uid="{C06D7EC5-50D0-4332-A82B-A3A518D152C9}"/>
    <cellStyle name="Comma 2 4 3 7 3" xfId="1217" xr:uid="{00000000-0005-0000-0000-0000B10B0000}"/>
    <cellStyle name="Comma 2 4 3 7 3 2" xfId="1218" xr:uid="{00000000-0005-0000-0000-0000B20B0000}"/>
    <cellStyle name="Comma 2 4 3 7 3 2 2" xfId="8365" xr:uid="{00000000-0005-0000-0000-0000B30B0000}"/>
    <cellStyle name="Comma 2 4 3 7 3 2 2 2" xfId="19911" xr:uid="{F633B2F3-F5D8-4C74-BCD1-40725E81546B}"/>
    <cellStyle name="Comma 2 4 3 7 3 2 2 3" xfId="30327" xr:uid="{05C982A8-ED74-439A-A385-301C6B980957}"/>
    <cellStyle name="Comma 2 4 3 7 3 2 3" xfId="13553" xr:uid="{2A771947-CF3D-4373-BBF5-61FBA683B66C}"/>
    <cellStyle name="Comma 2 4 3 7 3 2 4" xfId="23969" xr:uid="{59F73382-5AC2-494D-9F58-5F35F6707E24}"/>
    <cellStyle name="Comma 2 4 3 7 3 3" xfId="8364" xr:uid="{00000000-0005-0000-0000-0000B40B0000}"/>
    <cellStyle name="Comma 2 4 3 7 3 3 2" xfId="19910" xr:uid="{338DB235-CC11-4DF8-8773-E9EE1202ED8D}"/>
    <cellStyle name="Comma 2 4 3 7 3 3 3" xfId="30326" xr:uid="{1ED80ED6-48B3-4660-81B0-1004F8ABB016}"/>
    <cellStyle name="Comma 2 4 3 7 3 4" xfId="5373" xr:uid="{00000000-0005-0000-0000-0000B50B0000}"/>
    <cellStyle name="Comma 2 4 3 7 3 4 2" xfId="16959" xr:uid="{EACA4463-7923-4B73-B1DC-F608B48F9ADA}"/>
    <cellStyle name="Comma 2 4 3 7 3 4 3" xfId="27375" xr:uid="{089B9D88-5AA5-4B67-9B1B-914D64FB1029}"/>
    <cellStyle name="Comma 2 4 3 7 3 5" xfId="13552" xr:uid="{A5E9CF6C-1C71-4403-884D-2B617A060697}"/>
    <cellStyle name="Comma 2 4 3 7 3 6" xfId="23968" xr:uid="{CB6545BE-19E9-4611-8ED2-B650F328784F}"/>
    <cellStyle name="Comma 2 4 3 7 4" xfId="1219" xr:uid="{00000000-0005-0000-0000-0000B60B0000}"/>
    <cellStyle name="Comma 2 4 3 7 4 2" xfId="8366" xr:uid="{00000000-0005-0000-0000-0000B70B0000}"/>
    <cellStyle name="Comma 2 4 3 7 4 2 2" xfId="19912" xr:uid="{FDD19B26-48B6-4998-BC2D-C316C9939FB2}"/>
    <cellStyle name="Comma 2 4 3 7 4 2 3" xfId="30328" xr:uid="{A211CEF5-44DB-43B1-A507-6C7778F92B30}"/>
    <cellStyle name="Comma 2 4 3 7 4 3" xfId="13554" xr:uid="{96881AF5-8630-4A3F-9E29-476EB59C811E}"/>
    <cellStyle name="Comma 2 4 3 7 4 4" xfId="23970" xr:uid="{27726E16-1944-45B5-A248-0089A3833584}"/>
    <cellStyle name="Comma 2 4 3 7 5" xfId="8361" xr:uid="{00000000-0005-0000-0000-0000B80B0000}"/>
    <cellStyle name="Comma 2 4 3 7 5 2" xfId="19907" xr:uid="{7FBE3C17-8A90-42BA-881D-BE96C65E89F2}"/>
    <cellStyle name="Comma 2 4 3 7 5 3" xfId="30323" xr:uid="{0101599F-3030-41C3-AF42-BFAD21956EB3}"/>
    <cellStyle name="Comma 2 4 3 7 6" xfId="5371" xr:uid="{00000000-0005-0000-0000-0000B90B0000}"/>
    <cellStyle name="Comma 2 4 3 7 6 2" xfId="16957" xr:uid="{B5EC5B05-8E46-4406-B1E6-1AB586A154F0}"/>
    <cellStyle name="Comma 2 4 3 7 6 3" xfId="27373" xr:uid="{9BE2EECC-F8EC-42F1-97FA-D8157AC57280}"/>
    <cellStyle name="Comma 2 4 3 7 7" xfId="13549" xr:uid="{29E63B7A-33F0-4F2C-84C3-A48EB07FC129}"/>
    <cellStyle name="Comma 2 4 3 7 8" xfId="23965" xr:uid="{D42FED4F-DF3C-4754-B57F-AF975BEF643A}"/>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2 2 2" xfId="19915" xr:uid="{3A2A7783-5B5A-4407-8D69-8AA1CA25D815}"/>
    <cellStyle name="Comma 2 4 3 8 2 2 2 3" xfId="30331" xr:uid="{D94B8F29-43F7-4979-A598-050C7EF3D671}"/>
    <cellStyle name="Comma 2 4 3 8 2 2 3" xfId="13557" xr:uid="{F2897391-87A2-4E32-9E8B-97FEC50AACDD}"/>
    <cellStyle name="Comma 2 4 3 8 2 2 4" xfId="23973" xr:uid="{C39D6C7A-0D9F-49F9-BF18-EB2148550886}"/>
    <cellStyle name="Comma 2 4 3 8 2 3" xfId="8368" xr:uid="{00000000-0005-0000-0000-0000BE0B0000}"/>
    <cellStyle name="Comma 2 4 3 8 2 3 2" xfId="19914" xr:uid="{5E63AD53-6A87-4748-9D19-A95976C0CFA8}"/>
    <cellStyle name="Comma 2 4 3 8 2 3 3" xfId="30330" xr:uid="{5728938D-00A5-42F4-AA8C-A017FE6F3C3F}"/>
    <cellStyle name="Comma 2 4 3 8 2 4" xfId="5375" xr:uid="{00000000-0005-0000-0000-0000BF0B0000}"/>
    <cellStyle name="Comma 2 4 3 8 2 4 2" xfId="16961" xr:uid="{E692FB97-3CA0-4EAD-A8BD-122D0B409867}"/>
    <cellStyle name="Comma 2 4 3 8 2 4 3" xfId="27377" xr:uid="{D347DB35-2FBA-4288-AAC1-95A24BAA64C4}"/>
    <cellStyle name="Comma 2 4 3 8 2 5" xfId="13556" xr:uid="{2A7FA0F2-00D3-4CCD-ADDF-B6170C5898C0}"/>
    <cellStyle name="Comma 2 4 3 8 2 6" xfId="23972" xr:uid="{6385F9FB-75CB-4363-9C5C-1AD351D8F39F}"/>
    <cellStyle name="Comma 2 4 3 8 3" xfId="1223" xr:uid="{00000000-0005-0000-0000-0000C00B0000}"/>
    <cellStyle name="Comma 2 4 3 8 3 2" xfId="8370" xr:uid="{00000000-0005-0000-0000-0000C10B0000}"/>
    <cellStyle name="Comma 2 4 3 8 3 2 2" xfId="19916" xr:uid="{26E29A5A-A455-460F-AAE4-B4235AFAB805}"/>
    <cellStyle name="Comma 2 4 3 8 3 2 3" xfId="30332" xr:uid="{545459FE-41C6-43A1-81EA-F95047DD4A2B}"/>
    <cellStyle name="Comma 2 4 3 8 3 3" xfId="13558" xr:uid="{45D0245B-4D23-4916-BDB8-7B616D193BAA}"/>
    <cellStyle name="Comma 2 4 3 8 3 4" xfId="23974" xr:uid="{202DD45F-9515-49F4-A94C-750597D01C9F}"/>
    <cellStyle name="Comma 2 4 3 8 4" xfId="8367" xr:uid="{00000000-0005-0000-0000-0000C20B0000}"/>
    <cellStyle name="Comma 2 4 3 8 4 2" xfId="19913" xr:uid="{4B838BB0-2DD0-43EE-8A08-0ADCA1560D24}"/>
    <cellStyle name="Comma 2 4 3 8 4 3" xfId="30329" xr:uid="{61244D89-2175-4D08-8B89-CFA57F59BD55}"/>
    <cellStyle name="Comma 2 4 3 8 5" xfId="5374" xr:uid="{00000000-0005-0000-0000-0000C30B0000}"/>
    <cellStyle name="Comma 2 4 3 8 5 2" xfId="16960" xr:uid="{4E27ACEC-FD8B-4055-872C-61EB4452E90F}"/>
    <cellStyle name="Comma 2 4 3 8 5 3" xfId="27376" xr:uid="{D9296A0D-B598-473C-8C48-19E2D4DB8A52}"/>
    <cellStyle name="Comma 2 4 3 8 6" xfId="13555" xr:uid="{D38D9A1E-DB07-47FC-927E-50EA17AB7841}"/>
    <cellStyle name="Comma 2 4 3 8 7" xfId="23971" xr:uid="{3271CF96-2A7A-4C6C-AE65-BC778D890DF3}"/>
    <cellStyle name="Comma 2 4 3 9" xfId="1224" xr:uid="{00000000-0005-0000-0000-0000C40B0000}"/>
    <cellStyle name="Comma 2 4 3 9 2" xfId="1225" xr:uid="{00000000-0005-0000-0000-0000C50B0000}"/>
    <cellStyle name="Comma 2 4 3 9 2 2" xfId="8372" xr:uid="{00000000-0005-0000-0000-0000C60B0000}"/>
    <cellStyle name="Comma 2 4 3 9 2 2 2" xfId="19918" xr:uid="{53729F8D-C713-4135-B4E5-AACF3B12BDC4}"/>
    <cellStyle name="Comma 2 4 3 9 2 2 3" xfId="30334" xr:uid="{60BB39B8-35B1-4D1D-B877-E43175EFFCF9}"/>
    <cellStyle name="Comma 2 4 3 9 2 3" xfId="13560" xr:uid="{4CAFAB7B-3D25-406D-871C-5EDEED85D131}"/>
    <cellStyle name="Comma 2 4 3 9 2 4" xfId="23976" xr:uid="{2340BA00-220F-45C6-8D65-8EFE233ED564}"/>
    <cellStyle name="Comma 2 4 3 9 3" xfId="8371" xr:uid="{00000000-0005-0000-0000-0000C70B0000}"/>
    <cellStyle name="Comma 2 4 3 9 3 2" xfId="19917" xr:uid="{EAF8C70E-1523-43F5-A016-9CB5F926917E}"/>
    <cellStyle name="Comma 2 4 3 9 3 3" xfId="30333" xr:uid="{AB9B2863-29C7-47E7-A014-D0AE26B66EC6}"/>
    <cellStyle name="Comma 2 4 3 9 4" xfId="5376" xr:uid="{00000000-0005-0000-0000-0000C80B0000}"/>
    <cellStyle name="Comma 2 4 3 9 4 2" xfId="16962" xr:uid="{91BC759B-6CDC-455B-AFC6-A78BBD4CCF6C}"/>
    <cellStyle name="Comma 2 4 3 9 4 3" xfId="27378" xr:uid="{DC857D6B-2FB3-4C33-B2F3-C518F9A1BD22}"/>
    <cellStyle name="Comma 2 4 3 9 5" xfId="13559" xr:uid="{7BCE7B59-1570-439F-8C0E-1F491E9CB9A0}"/>
    <cellStyle name="Comma 2 4 3 9 6" xfId="23975" xr:uid="{11A59D06-CE8C-432E-83BA-594B1B1BDAC4}"/>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2 2 2" xfId="19921" xr:uid="{72E27554-A0FF-4717-AE7A-96441FEEC2C5}"/>
    <cellStyle name="Comma 2 4 4 10 2 2 3" xfId="30337" xr:uid="{D4C7C80F-3A21-4747-AE06-50746F1F1EDB}"/>
    <cellStyle name="Comma 2 4 4 10 2 3" xfId="13563" xr:uid="{D552E1A4-19F9-400F-8F87-69132E01E0A9}"/>
    <cellStyle name="Comma 2 4 4 10 2 4" xfId="23979" xr:uid="{998CD2A7-C5A6-4B54-B26B-705F3CCF3079}"/>
    <cellStyle name="Comma 2 4 4 10 3" xfId="8374" xr:uid="{00000000-0005-0000-0000-0000CD0B0000}"/>
    <cellStyle name="Comma 2 4 4 10 3 2" xfId="19920" xr:uid="{EF40128E-4046-4DD7-A665-C6A7BA6A3A66}"/>
    <cellStyle name="Comma 2 4 4 10 3 3" xfId="30336" xr:uid="{820FE12C-19FE-4731-BD4F-C2133C395AF0}"/>
    <cellStyle name="Comma 2 4 4 10 4" xfId="5378" xr:uid="{00000000-0005-0000-0000-0000CE0B0000}"/>
    <cellStyle name="Comma 2 4 4 10 4 2" xfId="16964" xr:uid="{C5E5C27C-80AF-4FBA-8716-CC4BA6422414}"/>
    <cellStyle name="Comma 2 4 4 10 4 3" xfId="27380" xr:uid="{C4D544E8-09B1-4CFB-8F2C-4ADD43CBC92A}"/>
    <cellStyle name="Comma 2 4 4 10 5" xfId="13562" xr:uid="{DCBB9119-E023-41F2-BA0A-0137C13CE834}"/>
    <cellStyle name="Comma 2 4 4 10 6" xfId="23978" xr:uid="{3459F720-D230-4F69-B3A4-3E3D12A5BC4F}"/>
    <cellStyle name="Comma 2 4 4 11" xfId="1229" xr:uid="{00000000-0005-0000-0000-0000CF0B0000}"/>
    <cellStyle name="Comma 2 4 4 11 2" xfId="8376" xr:uid="{00000000-0005-0000-0000-0000D00B0000}"/>
    <cellStyle name="Comma 2 4 4 11 2 2" xfId="19922" xr:uid="{6D17E0CB-F87B-46CF-918B-877492A4310D}"/>
    <cellStyle name="Comma 2 4 4 11 2 3" xfId="30338" xr:uid="{CDC16623-43D8-432D-AB3A-B8B3D11A665B}"/>
    <cellStyle name="Comma 2 4 4 11 3" xfId="13564" xr:uid="{0EB090AF-34B1-4E48-B195-A8CE67F7CD74}"/>
    <cellStyle name="Comma 2 4 4 11 4" xfId="23980" xr:uid="{30D4CE86-B4E3-4B2A-BBBE-7F33A38F9811}"/>
    <cellStyle name="Comma 2 4 4 12" xfId="8373" xr:uid="{00000000-0005-0000-0000-0000D10B0000}"/>
    <cellStyle name="Comma 2 4 4 12 2" xfId="19919" xr:uid="{8E953540-2B12-4EAB-A711-9FA0A405D1A3}"/>
    <cellStyle name="Comma 2 4 4 12 3" xfId="30335" xr:uid="{737C5525-4901-45B9-AA77-B1FF86282E9C}"/>
    <cellStyle name="Comma 2 4 4 13" xfId="5377" xr:uid="{00000000-0005-0000-0000-0000D20B0000}"/>
    <cellStyle name="Comma 2 4 4 13 2" xfId="16963" xr:uid="{8B66E859-EDD6-4C00-8E40-315276F7DC0E}"/>
    <cellStyle name="Comma 2 4 4 13 3" xfId="27379" xr:uid="{63346CD8-8FDE-4D8B-B3A5-2037C20BC282}"/>
    <cellStyle name="Comma 2 4 4 14" xfId="13561" xr:uid="{0822CAE8-350C-48A3-ACEE-4B023F7BEF55}"/>
    <cellStyle name="Comma 2 4 4 15" xfId="23977" xr:uid="{ACFFBE6D-702C-4516-9F2B-8784213E3FEE}"/>
    <cellStyle name="Comma 2 4 4 2" xfId="1230" xr:uid="{00000000-0005-0000-0000-0000D30B0000}"/>
    <cellStyle name="Comma 2 4 4 2 10" xfId="1231" xr:uid="{00000000-0005-0000-0000-0000D40B0000}"/>
    <cellStyle name="Comma 2 4 4 2 10 2" xfId="8378" xr:uid="{00000000-0005-0000-0000-0000D50B0000}"/>
    <cellStyle name="Comma 2 4 4 2 10 2 2" xfId="19924" xr:uid="{2B9A8D96-89F3-49E1-B886-8E6081F53715}"/>
    <cellStyle name="Comma 2 4 4 2 10 2 3" xfId="30340" xr:uid="{6A6C0ABD-764D-4940-870F-B883DD93BF4F}"/>
    <cellStyle name="Comma 2 4 4 2 10 3" xfId="13566" xr:uid="{86F83897-F012-4456-AE06-EE2B69FE13A9}"/>
    <cellStyle name="Comma 2 4 4 2 10 4" xfId="23982" xr:uid="{E965BD72-9E87-4B84-B49B-6A4BD3BC5A88}"/>
    <cellStyle name="Comma 2 4 4 2 11" xfId="8377" xr:uid="{00000000-0005-0000-0000-0000D60B0000}"/>
    <cellStyle name="Comma 2 4 4 2 11 2" xfId="19923" xr:uid="{F543639B-8F72-4E3D-A2C4-8945F120E6C7}"/>
    <cellStyle name="Comma 2 4 4 2 11 3" xfId="30339" xr:uid="{6FF7326D-01B1-4CA1-B39E-BFE4CE9AF00E}"/>
    <cellStyle name="Comma 2 4 4 2 12" xfId="5379" xr:uid="{00000000-0005-0000-0000-0000D70B0000}"/>
    <cellStyle name="Comma 2 4 4 2 12 2" xfId="16965" xr:uid="{CEC30975-4EC6-4A77-B710-CF685BADFAF9}"/>
    <cellStyle name="Comma 2 4 4 2 12 3" xfId="27381" xr:uid="{6383EFCF-6E1D-4E80-AD8B-3F92B233116E}"/>
    <cellStyle name="Comma 2 4 4 2 13" xfId="13565" xr:uid="{A24320D7-7F25-438D-9F82-DF255CB1CD6C}"/>
    <cellStyle name="Comma 2 4 4 2 14" xfId="23981" xr:uid="{F2F65C52-A8D9-4CF4-91A8-B2C214701BCA}"/>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2 2 2" xfId="19928" xr:uid="{F3EF24DD-100E-4B3E-891E-EA3FE095CD08}"/>
    <cellStyle name="Comma 2 4 4 2 2 2 2 2 2 3" xfId="30344" xr:uid="{6E5F1BAC-DE5A-42B9-9F47-14BA08F17D7F}"/>
    <cellStyle name="Comma 2 4 4 2 2 2 2 2 3" xfId="13570" xr:uid="{EE4677C2-6B67-4C54-B827-50B9BC506609}"/>
    <cellStyle name="Comma 2 4 4 2 2 2 2 2 4" xfId="23986" xr:uid="{45B72D99-B521-4745-BC45-AE7D063A3003}"/>
    <cellStyle name="Comma 2 4 4 2 2 2 2 3" xfId="8381" xr:uid="{00000000-0005-0000-0000-0000DD0B0000}"/>
    <cellStyle name="Comma 2 4 4 2 2 2 2 3 2" xfId="19927" xr:uid="{997A5317-ED59-4692-9EA7-53D1539DADF4}"/>
    <cellStyle name="Comma 2 4 4 2 2 2 2 3 3" xfId="30343" xr:uid="{3603E2DB-5A8E-406F-B640-CCF4AE6C56E0}"/>
    <cellStyle name="Comma 2 4 4 2 2 2 2 4" xfId="5382" xr:uid="{00000000-0005-0000-0000-0000DE0B0000}"/>
    <cellStyle name="Comma 2 4 4 2 2 2 2 4 2" xfId="16968" xr:uid="{E76DB296-EB17-4A01-9CA4-5A50D6FAE2D8}"/>
    <cellStyle name="Comma 2 4 4 2 2 2 2 4 3" xfId="27384" xr:uid="{56CD49FD-13A8-4995-820B-452DA4956BA1}"/>
    <cellStyle name="Comma 2 4 4 2 2 2 2 5" xfId="13569" xr:uid="{3BA919F9-AD8D-462D-80E2-F2E383CB9B4E}"/>
    <cellStyle name="Comma 2 4 4 2 2 2 2 6" xfId="23985" xr:uid="{D2AAF8D4-B9A4-45BF-BACD-AA7DE14B0FB9}"/>
    <cellStyle name="Comma 2 4 4 2 2 2 3" xfId="1236" xr:uid="{00000000-0005-0000-0000-0000DF0B0000}"/>
    <cellStyle name="Comma 2 4 4 2 2 2 3 2" xfId="8383" xr:uid="{00000000-0005-0000-0000-0000E00B0000}"/>
    <cellStyle name="Comma 2 4 4 2 2 2 3 2 2" xfId="19929" xr:uid="{037EA0DD-1F25-4FA2-92DB-A87FD1642C7A}"/>
    <cellStyle name="Comma 2 4 4 2 2 2 3 2 3" xfId="30345" xr:uid="{01F7C374-AAE7-41CC-A559-2BBC1E71665E}"/>
    <cellStyle name="Comma 2 4 4 2 2 2 3 3" xfId="13571" xr:uid="{CD788B9E-7D6A-43A2-BA5D-95A50F2DC199}"/>
    <cellStyle name="Comma 2 4 4 2 2 2 3 4" xfId="23987" xr:uid="{D02F7AB2-47D0-4732-90AC-059368686B1E}"/>
    <cellStyle name="Comma 2 4 4 2 2 2 4" xfId="8380" xr:uid="{00000000-0005-0000-0000-0000E10B0000}"/>
    <cellStyle name="Comma 2 4 4 2 2 2 4 2" xfId="19926" xr:uid="{C671E298-1076-4858-AAD1-D7333F2873F2}"/>
    <cellStyle name="Comma 2 4 4 2 2 2 4 3" xfId="30342" xr:uid="{55F56BB0-86C2-4CC3-BCAC-E5496529225C}"/>
    <cellStyle name="Comma 2 4 4 2 2 2 5" xfId="5381" xr:uid="{00000000-0005-0000-0000-0000E20B0000}"/>
    <cellStyle name="Comma 2 4 4 2 2 2 5 2" xfId="16967" xr:uid="{1C0221DB-F3B5-4BF7-83BA-906321D233DB}"/>
    <cellStyle name="Comma 2 4 4 2 2 2 5 3" xfId="27383" xr:uid="{10F85BCB-B175-43D6-9F0D-9D165ADE4751}"/>
    <cellStyle name="Comma 2 4 4 2 2 2 6" xfId="13568" xr:uid="{42BEFE2A-7751-4713-8D43-4544E86C1401}"/>
    <cellStyle name="Comma 2 4 4 2 2 2 7" xfId="23984" xr:uid="{BA51ACE2-02E3-4C4F-AA54-FB2FEDE8921B}"/>
    <cellStyle name="Comma 2 4 4 2 2 3" xfId="1237" xr:uid="{00000000-0005-0000-0000-0000E30B0000}"/>
    <cellStyle name="Comma 2 4 4 2 2 3 2" xfId="1238" xr:uid="{00000000-0005-0000-0000-0000E40B0000}"/>
    <cellStyle name="Comma 2 4 4 2 2 3 2 2" xfId="8385" xr:uid="{00000000-0005-0000-0000-0000E50B0000}"/>
    <cellStyle name="Comma 2 4 4 2 2 3 2 2 2" xfId="19931" xr:uid="{2E374E65-75E5-417C-AF03-787A88405C9F}"/>
    <cellStyle name="Comma 2 4 4 2 2 3 2 2 3" xfId="30347" xr:uid="{8955F223-EB3D-400E-B9FB-C182822EA3B4}"/>
    <cellStyle name="Comma 2 4 4 2 2 3 2 3" xfId="13573" xr:uid="{4831D176-3325-4CD9-A571-A4F55E8F3056}"/>
    <cellStyle name="Comma 2 4 4 2 2 3 2 4" xfId="23989" xr:uid="{F3AC1EC2-D2C4-43AF-B8BC-DC64EC6B3979}"/>
    <cellStyle name="Comma 2 4 4 2 2 3 3" xfId="8384" xr:uid="{00000000-0005-0000-0000-0000E60B0000}"/>
    <cellStyle name="Comma 2 4 4 2 2 3 3 2" xfId="19930" xr:uid="{C0E8CE6F-64A1-41C2-ACCE-73DC2A0F0ED0}"/>
    <cellStyle name="Comma 2 4 4 2 2 3 3 3" xfId="30346" xr:uid="{56F5D5E5-2D76-43E3-8321-C10CEB8F76B0}"/>
    <cellStyle name="Comma 2 4 4 2 2 3 4" xfId="5383" xr:uid="{00000000-0005-0000-0000-0000E70B0000}"/>
    <cellStyle name="Comma 2 4 4 2 2 3 4 2" xfId="16969" xr:uid="{3D2A556D-60AE-4624-A298-D440CB2074ED}"/>
    <cellStyle name="Comma 2 4 4 2 2 3 4 3" xfId="27385" xr:uid="{99C7388D-B3D1-4AC4-8C8F-54CEC0A74D00}"/>
    <cellStyle name="Comma 2 4 4 2 2 3 5" xfId="13572" xr:uid="{A48F57BD-F21D-42F0-93B7-F7E691F1C2EF}"/>
    <cellStyle name="Comma 2 4 4 2 2 3 6" xfId="23988" xr:uid="{81AC5DD5-2FE8-44C8-9F54-778CDDFB174F}"/>
    <cellStyle name="Comma 2 4 4 2 2 4" xfId="1239" xr:uid="{00000000-0005-0000-0000-0000E80B0000}"/>
    <cellStyle name="Comma 2 4 4 2 2 4 2" xfId="1240" xr:uid="{00000000-0005-0000-0000-0000E90B0000}"/>
    <cellStyle name="Comma 2 4 4 2 2 4 2 2" xfId="8387" xr:uid="{00000000-0005-0000-0000-0000EA0B0000}"/>
    <cellStyle name="Comma 2 4 4 2 2 4 2 2 2" xfId="19933" xr:uid="{1620DC9B-FDBB-407D-A419-F096255F5254}"/>
    <cellStyle name="Comma 2 4 4 2 2 4 2 2 3" xfId="30349" xr:uid="{D8F526A8-0D7B-4165-81EA-A5927DFAD27D}"/>
    <cellStyle name="Comma 2 4 4 2 2 4 2 3" xfId="13575" xr:uid="{58ACF13F-ACDB-492C-92A2-59E0610BF096}"/>
    <cellStyle name="Comma 2 4 4 2 2 4 2 4" xfId="23991" xr:uid="{40B03D6E-C22A-4974-9780-7D0D9BB1EC45}"/>
    <cellStyle name="Comma 2 4 4 2 2 4 3" xfId="8386" xr:uid="{00000000-0005-0000-0000-0000EB0B0000}"/>
    <cellStyle name="Comma 2 4 4 2 2 4 3 2" xfId="19932" xr:uid="{06B0F0D4-BD63-4C69-BA17-C92131ED7005}"/>
    <cellStyle name="Comma 2 4 4 2 2 4 3 3" xfId="30348" xr:uid="{465F238C-7FDD-45CC-B8F7-1480F571EC11}"/>
    <cellStyle name="Comma 2 4 4 2 2 4 4" xfId="5384" xr:uid="{00000000-0005-0000-0000-0000EC0B0000}"/>
    <cellStyle name="Comma 2 4 4 2 2 4 4 2" xfId="16970" xr:uid="{C614BE8E-7EED-4B13-AABE-171D7B9C1ECE}"/>
    <cellStyle name="Comma 2 4 4 2 2 4 4 3" xfId="27386" xr:uid="{F189E495-9882-49BC-AF5C-7292FE15C08E}"/>
    <cellStyle name="Comma 2 4 4 2 2 4 5" xfId="13574" xr:uid="{119243DC-36AB-4EC2-B707-5070EAD10EF3}"/>
    <cellStyle name="Comma 2 4 4 2 2 4 6" xfId="23990" xr:uid="{3208A186-F769-4824-9D49-119B1628EA60}"/>
    <cellStyle name="Comma 2 4 4 2 2 5" xfId="1241" xr:uid="{00000000-0005-0000-0000-0000ED0B0000}"/>
    <cellStyle name="Comma 2 4 4 2 2 5 2" xfId="8388" xr:uid="{00000000-0005-0000-0000-0000EE0B0000}"/>
    <cellStyle name="Comma 2 4 4 2 2 5 2 2" xfId="19934" xr:uid="{C9DF5AA1-405F-4553-BD04-D17D1E4105F7}"/>
    <cellStyle name="Comma 2 4 4 2 2 5 2 3" xfId="30350" xr:uid="{47CE3C0D-BAAF-4BEA-A088-48B567D034A0}"/>
    <cellStyle name="Comma 2 4 4 2 2 5 3" xfId="13576" xr:uid="{3EC1F7E0-1E23-4023-BAD8-0DCFE88AB9DF}"/>
    <cellStyle name="Comma 2 4 4 2 2 5 4" xfId="23992" xr:uid="{1C270B45-DF37-46E5-9560-3B7E3ABA00FF}"/>
    <cellStyle name="Comma 2 4 4 2 2 6" xfId="8379" xr:uid="{00000000-0005-0000-0000-0000EF0B0000}"/>
    <cellStyle name="Comma 2 4 4 2 2 6 2" xfId="19925" xr:uid="{46AEC451-2B61-41C8-94A6-EF3F5F02D4E6}"/>
    <cellStyle name="Comma 2 4 4 2 2 6 3" xfId="30341" xr:uid="{248DDB3E-A60C-4BD5-A9EC-9A3CB3D5E6C3}"/>
    <cellStyle name="Comma 2 4 4 2 2 7" xfId="5380" xr:uid="{00000000-0005-0000-0000-0000F00B0000}"/>
    <cellStyle name="Comma 2 4 4 2 2 7 2" xfId="16966" xr:uid="{790EF32E-70E6-43F7-8053-1EBF27C999C5}"/>
    <cellStyle name="Comma 2 4 4 2 2 7 3" xfId="27382" xr:uid="{189AFB30-45DE-49C5-9CF8-AF238231EF77}"/>
    <cellStyle name="Comma 2 4 4 2 2 8" xfId="13567" xr:uid="{0D3EC0C7-A458-44EA-ACD8-70BABE92746B}"/>
    <cellStyle name="Comma 2 4 4 2 2 9" xfId="23983" xr:uid="{8E9C6300-521D-4CCF-A86E-61C686782971}"/>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2 2 2" xfId="19938" xr:uid="{7F0AD123-3F09-41E6-A372-EFD76E61F488}"/>
    <cellStyle name="Comma 2 4 4 2 3 2 2 2 2 3" xfId="30354" xr:uid="{DB3DA9EC-C450-4010-A7D1-E9A9748CAE0A}"/>
    <cellStyle name="Comma 2 4 4 2 3 2 2 2 3" xfId="13580" xr:uid="{59111816-352E-4272-B96F-AFC1AD895B8D}"/>
    <cellStyle name="Comma 2 4 4 2 3 2 2 2 4" xfId="23996" xr:uid="{6C4605B2-EBC5-4887-8684-9DC9E1243DB9}"/>
    <cellStyle name="Comma 2 4 4 2 3 2 2 3" xfId="8391" xr:uid="{00000000-0005-0000-0000-0000F60B0000}"/>
    <cellStyle name="Comma 2 4 4 2 3 2 2 3 2" xfId="19937" xr:uid="{A69B1E38-3B34-4291-A1CF-36A575606A36}"/>
    <cellStyle name="Comma 2 4 4 2 3 2 2 3 3" xfId="30353" xr:uid="{43FA77E0-CBAD-4982-9C97-989110B63100}"/>
    <cellStyle name="Comma 2 4 4 2 3 2 2 4" xfId="5387" xr:uid="{00000000-0005-0000-0000-0000F70B0000}"/>
    <cellStyle name="Comma 2 4 4 2 3 2 2 4 2" xfId="16973" xr:uid="{90FED413-0694-470C-A49E-5B551EABDA03}"/>
    <cellStyle name="Comma 2 4 4 2 3 2 2 4 3" xfId="27389" xr:uid="{E88F1A1C-0E6E-4857-8CF3-B9B8D13FE694}"/>
    <cellStyle name="Comma 2 4 4 2 3 2 2 5" xfId="13579" xr:uid="{BD8B4376-48EF-41E4-9B59-CC0144CCCF60}"/>
    <cellStyle name="Comma 2 4 4 2 3 2 2 6" xfId="23995" xr:uid="{5AA4455E-B0CD-48FD-BC2A-D7829B7B791B}"/>
    <cellStyle name="Comma 2 4 4 2 3 2 3" xfId="1246" xr:uid="{00000000-0005-0000-0000-0000F80B0000}"/>
    <cellStyle name="Comma 2 4 4 2 3 2 3 2" xfId="8393" xr:uid="{00000000-0005-0000-0000-0000F90B0000}"/>
    <cellStyle name="Comma 2 4 4 2 3 2 3 2 2" xfId="19939" xr:uid="{BD1E6F24-7415-4A81-8496-C915B1D72514}"/>
    <cellStyle name="Comma 2 4 4 2 3 2 3 2 3" xfId="30355" xr:uid="{0ECA4FA0-6837-45E8-8EB9-15785C28F2B5}"/>
    <cellStyle name="Comma 2 4 4 2 3 2 3 3" xfId="13581" xr:uid="{775E2BC5-6DF6-49AA-8F6C-3CD25C90EF08}"/>
    <cellStyle name="Comma 2 4 4 2 3 2 3 4" xfId="23997" xr:uid="{4C0BEF8F-E8DB-4294-A46E-C733B878D855}"/>
    <cellStyle name="Comma 2 4 4 2 3 2 4" xfId="8390" xr:uid="{00000000-0005-0000-0000-0000FA0B0000}"/>
    <cellStyle name="Comma 2 4 4 2 3 2 4 2" xfId="19936" xr:uid="{3C7A2ACD-3A86-4D38-9B79-3DCCF5DF326B}"/>
    <cellStyle name="Comma 2 4 4 2 3 2 4 3" xfId="30352" xr:uid="{C721C1E9-7923-4C42-A093-419C96D9EA6E}"/>
    <cellStyle name="Comma 2 4 4 2 3 2 5" xfId="5386" xr:uid="{00000000-0005-0000-0000-0000FB0B0000}"/>
    <cellStyle name="Comma 2 4 4 2 3 2 5 2" xfId="16972" xr:uid="{E1DCFCD0-E96A-4E93-BEA3-C79CCC9834EC}"/>
    <cellStyle name="Comma 2 4 4 2 3 2 5 3" xfId="27388" xr:uid="{9A90FE4F-7FD5-47A7-A795-BAB0A6A8F048}"/>
    <cellStyle name="Comma 2 4 4 2 3 2 6" xfId="13578" xr:uid="{C05F8C21-C407-449C-9A0F-15EEC4F6DEFE}"/>
    <cellStyle name="Comma 2 4 4 2 3 2 7" xfId="23994" xr:uid="{DD434F56-CB6E-40CF-9DCC-89735208869E}"/>
    <cellStyle name="Comma 2 4 4 2 3 3" xfId="1247" xr:uid="{00000000-0005-0000-0000-0000FC0B0000}"/>
    <cellStyle name="Comma 2 4 4 2 3 3 2" xfId="1248" xr:uid="{00000000-0005-0000-0000-0000FD0B0000}"/>
    <cellStyle name="Comma 2 4 4 2 3 3 2 2" xfId="8395" xr:uid="{00000000-0005-0000-0000-0000FE0B0000}"/>
    <cellStyle name="Comma 2 4 4 2 3 3 2 2 2" xfId="19941" xr:uid="{5EC56188-CC67-46AF-AAE4-0FDE78AF9051}"/>
    <cellStyle name="Comma 2 4 4 2 3 3 2 2 3" xfId="30357" xr:uid="{306E264C-430B-462F-B2B4-719C376DEECA}"/>
    <cellStyle name="Comma 2 4 4 2 3 3 2 3" xfId="13583" xr:uid="{F5A27FED-6D5A-46E0-9FB1-5E7665FFE6B4}"/>
    <cellStyle name="Comma 2 4 4 2 3 3 2 4" xfId="23999" xr:uid="{B7D21332-30A9-42D7-9238-8EE6F5954C3D}"/>
    <cellStyle name="Comma 2 4 4 2 3 3 3" xfId="8394" xr:uid="{00000000-0005-0000-0000-0000FF0B0000}"/>
    <cellStyle name="Comma 2 4 4 2 3 3 3 2" xfId="19940" xr:uid="{01DCAB81-C8EE-40F6-8D50-D1C074E5E2D7}"/>
    <cellStyle name="Comma 2 4 4 2 3 3 3 3" xfId="30356" xr:uid="{597A69B2-2F4D-4BD9-B6CA-CE0DEB7C831D}"/>
    <cellStyle name="Comma 2 4 4 2 3 3 4" xfId="5388" xr:uid="{00000000-0005-0000-0000-0000000C0000}"/>
    <cellStyle name="Comma 2 4 4 2 3 3 4 2" xfId="16974" xr:uid="{3230A6C2-8913-4945-A4E3-70D9C0F1410A}"/>
    <cellStyle name="Comma 2 4 4 2 3 3 4 3" xfId="27390" xr:uid="{E3C712A7-452D-4FD9-BAF8-68DC24E80CDA}"/>
    <cellStyle name="Comma 2 4 4 2 3 3 5" xfId="13582" xr:uid="{E970654A-BA75-429F-9109-7FBE57722A85}"/>
    <cellStyle name="Comma 2 4 4 2 3 3 6" xfId="23998" xr:uid="{1CE09207-CF65-45DA-A2C3-65F48A93EAF2}"/>
    <cellStyle name="Comma 2 4 4 2 3 4" xfId="1249" xr:uid="{00000000-0005-0000-0000-0000010C0000}"/>
    <cellStyle name="Comma 2 4 4 2 3 4 2" xfId="1250" xr:uid="{00000000-0005-0000-0000-0000020C0000}"/>
    <cellStyle name="Comma 2 4 4 2 3 4 2 2" xfId="8397" xr:uid="{00000000-0005-0000-0000-0000030C0000}"/>
    <cellStyle name="Comma 2 4 4 2 3 4 2 2 2" xfId="19943" xr:uid="{B3C26D8F-9D76-42EE-B59D-104186B6769C}"/>
    <cellStyle name="Comma 2 4 4 2 3 4 2 2 3" xfId="30359" xr:uid="{FCECB886-49B0-4FBB-960E-8B95835CDF62}"/>
    <cellStyle name="Comma 2 4 4 2 3 4 2 3" xfId="13585" xr:uid="{77F3AE38-0519-4967-BE57-14D135E065F5}"/>
    <cellStyle name="Comma 2 4 4 2 3 4 2 4" xfId="24001" xr:uid="{BDF6CEA8-2C45-4D12-8039-7156386D9448}"/>
    <cellStyle name="Comma 2 4 4 2 3 4 3" xfId="8396" xr:uid="{00000000-0005-0000-0000-0000040C0000}"/>
    <cellStyle name="Comma 2 4 4 2 3 4 3 2" xfId="19942" xr:uid="{7B0AA3DE-A331-4345-8BE4-E1E26790A941}"/>
    <cellStyle name="Comma 2 4 4 2 3 4 3 3" xfId="30358" xr:uid="{C65424F1-71D0-49FB-B178-CB9C2B4B2255}"/>
    <cellStyle name="Comma 2 4 4 2 3 4 4" xfId="5389" xr:uid="{00000000-0005-0000-0000-0000050C0000}"/>
    <cellStyle name="Comma 2 4 4 2 3 4 4 2" xfId="16975" xr:uid="{E4B0F09F-79C0-417D-9724-E611A870258D}"/>
    <cellStyle name="Comma 2 4 4 2 3 4 4 3" xfId="27391" xr:uid="{A3B83A03-A0FC-4BBF-B879-2FA183B27702}"/>
    <cellStyle name="Comma 2 4 4 2 3 4 5" xfId="13584" xr:uid="{043815A0-BF3F-4B12-A534-1A5EA8BBD3E9}"/>
    <cellStyle name="Comma 2 4 4 2 3 4 6" xfId="24000" xr:uid="{838C785D-13DF-42D5-9A9A-BB50FA5FCFC0}"/>
    <cellStyle name="Comma 2 4 4 2 3 5" xfId="1251" xr:uid="{00000000-0005-0000-0000-0000060C0000}"/>
    <cellStyle name="Comma 2 4 4 2 3 5 2" xfId="8398" xr:uid="{00000000-0005-0000-0000-0000070C0000}"/>
    <cellStyle name="Comma 2 4 4 2 3 5 2 2" xfId="19944" xr:uid="{FBEC1DD0-4A0D-4316-81E0-7483150D8EEE}"/>
    <cellStyle name="Comma 2 4 4 2 3 5 2 3" xfId="30360" xr:uid="{C5581E9C-F8A5-43AD-A1A7-F45D37A9756A}"/>
    <cellStyle name="Comma 2 4 4 2 3 5 3" xfId="13586" xr:uid="{AD1B5975-B515-4D54-9CDD-7CC6CFD2F670}"/>
    <cellStyle name="Comma 2 4 4 2 3 5 4" xfId="24002" xr:uid="{2B38B84E-5993-4964-8161-87B0686DA2CD}"/>
    <cellStyle name="Comma 2 4 4 2 3 6" xfId="8389" xr:uid="{00000000-0005-0000-0000-0000080C0000}"/>
    <cellStyle name="Comma 2 4 4 2 3 6 2" xfId="19935" xr:uid="{7E0712AD-3CFB-4DBF-87AB-0B47627568EA}"/>
    <cellStyle name="Comma 2 4 4 2 3 6 3" xfId="30351" xr:uid="{7999F552-87EF-457F-BA79-3F3A033EA94F}"/>
    <cellStyle name="Comma 2 4 4 2 3 7" xfId="5385" xr:uid="{00000000-0005-0000-0000-0000090C0000}"/>
    <cellStyle name="Comma 2 4 4 2 3 7 2" xfId="16971" xr:uid="{5E8B5858-417F-441B-9B79-A1438377512F}"/>
    <cellStyle name="Comma 2 4 4 2 3 7 3" xfId="27387" xr:uid="{5EFD599D-7AAC-48F8-B846-A735F5F75177}"/>
    <cellStyle name="Comma 2 4 4 2 3 8" xfId="13577" xr:uid="{FC112CFE-6E69-40D4-BBFD-17A05623BE96}"/>
    <cellStyle name="Comma 2 4 4 2 3 9" xfId="23993" xr:uid="{4E9A7262-B11A-4935-A66B-6AC1D2B91E68}"/>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2 2 2" xfId="19948" xr:uid="{CA7C877B-6259-4C8E-904C-458F2BFD2AAE}"/>
    <cellStyle name="Comma 2 4 4 2 4 2 2 2 2 3" xfId="30364" xr:uid="{C7B666B4-742D-490E-81E0-80A0B1E6D410}"/>
    <cellStyle name="Comma 2 4 4 2 4 2 2 2 3" xfId="13590" xr:uid="{61B3D3F3-8D2B-4350-9A8F-0D9DEB6CFB45}"/>
    <cellStyle name="Comma 2 4 4 2 4 2 2 2 4" xfId="24006" xr:uid="{6240A7D4-FFC3-4C08-9DA3-C60DE88608D5}"/>
    <cellStyle name="Comma 2 4 4 2 4 2 2 3" xfId="8401" xr:uid="{00000000-0005-0000-0000-00000F0C0000}"/>
    <cellStyle name="Comma 2 4 4 2 4 2 2 3 2" xfId="19947" xr:uid="{44BBA1A9-4C93-4C3E-89AE-34C02426941E}"/>
    <cellStyle name="Comma 2 4 4 2 4 2 2 3 3" xfId="30363" xr:uid="{4FE0A871-2498-435F-A38F-E00D5CB70972}"/>
    <cellStyle name="Comma 2 4 4 2 4 2 2 4" xfId="5392" xr:uid="{00000000-0005-0000-0000-0000100C0000}"/>
    <cellStyle name="Comma 2 4 4 2 4 2 2 4 2" xfId="16978" xr:uid="{693CE6C4-AABF-4138-A3A4-1588438CA29D}"/>
    <cellStyle name="Comma 2 4 4 2 4 2 2 4 3" xfId="27394" xr:uid="{0E394FC0-E6F1-4D2D-AFD4-A83F9570CBFF}"/>
    <cellStyle name="Comma 2 4 4 2 4 2 2 5" xfId="13589" xr:uid="{E5E8A2A5-BEB4-4E54-9C32-A87939545F09}"/>
    <cellStyle name="Comma 2 4 4 2 4 2 2 6" xfId="24005" xr:uid="{E14DFA74-7895-4C5E-A587-C1F0BA891A44}"/>
    <cellStyle name="Comma 2 4 4 2 4 2 3" xfId="1256" xr:uid="{00000000-0005-0000-0000-0000110C0000}"/>
    <cellStyle name="Comma 2 4 4 2 4 2 3 2" xfId="8403" xr:uid="{00000000-0005-0000-0000-0000120C0000}"/>
    <cellStyle name="Comma 2 4 4 2 4 2 3 2 2" xfId="19949" xr:uid="{114A603E-7235-483B-8E24-0685CB5C811E}"/>
    <cellStyle name="Comma 2 4 4 2 4 2 3 2 3" xfId="30365" xr:uid="{DC686E51-3B71-4758-9C97-85C4C7974518}"/>
    <cellStyle name="Comma 2 4 4 2 4 2 3 3" xfId="13591" xr:uid="{231021F4-2AEA-4DF5-A49B-6473AC886AA3}"/>
    <cellStyle name="Comma 2 4 4 2 4 2 3 4" xfId="24007" xr:uid="{EB8A494E-0023-4E40-BBF8-66D4831EE3C9}"/>
    <cellStyle name="Comma 2 4 4 2 4 2 4" xfId="8400" xr:uid="{00000000-0005-0000-0000-0000130C0000}"/>
    <cellStyle name="Comma 2 4 4 2 4 2 4 2" xfId="19946" xr:uid="{5517C0C4-85D3-43C0-920E-A2237AE699D6}"/>
    <cellStyle name="Comma 2 4 4 2 4 2 4 3" xfId="30362" xr:uid="{D29C1A3F-0045-4F34-8268-92DF22069558}"/>
    <cellStyle name="Comma 2 4 4 2 4 2 5" xfId="5391" xr:uid="{00000000-0005-0000-0000-0000140C0000}"/>
    <cellStyle name="Comma 2 4 4 2 4 2 5 2" xfId="16977" xr:uid="{659799F2-9B15-48C5-AB2B-4413AED4CBD5}"/>
    <cellStyle name="Comma 2 4 4 2 4 2 5 3" xfId="27393" xr:uid="{790F11E2-3917-46CC-AD51-2EC803DDB9EB}"/>
    <cellStyle name="Comma 2 4 4 2 4 2 6" xfId="13588" xr:uid="{8A0848C6-CD7B-461E-B965-807ACA604ACA}"/>
    <cellStyle name="Comma 2 4 4 2 4 2 7" xfId="24004" xr:uid="{B7510318-A512-4B73-9E13-1869E9BD7FAE}"/>
    <cellStyle name="Comma 2 4 4 2 4 3" xfId="1257" xr:uid="{00000000-0005-0000-0000-0000150C0000}"/>
    <cellStyle name="Comma 2 4 4 2 4 3 2" xfId="1258" xr:uid="{00000000-0005-0000-0000-0000160C0000}"/>
    <cellStyle name="Comma 2 4 4 2 4 3 2 2" xfId="8405" xr:uid="{00000000-0005-0000-0000-0000170C0000}"/>
    <cellStyle name="Comma 2 4 4 2 4 3 2 2 2" xfId="19951" xr:uid="{486A8254-C20B-4558-9918-7B133170B141}"/>
    <cellStyle name="Comma 2 4 4 2 4 3 2 2 3" xfId="30367" xr:uid="{764D0DF0-6FC1-4522-84FD-9CA2A547AC08}"/>
    <cellStyle name="Comma 2 4 4 2 4 3 2 3" xfId="13593" xr:uid="{243860D7-C678-4A4E-9E26-5F3BD56B700F}"/>
    <cellStyle name="Comma 2 4 4 2 4 3 2 4" xfId="24009" xr:uid="{79E63407-686A-4604-B892-B86E51B2FB51}"/>
    <cellStyle name="Comma 2 4 4 2 4 3 3" xfId="8404" xr:uid="{00000000-0005-0000-0000-0000180C0000}"/>
    <cellStyle name="Comma 2 4 4 2 4 3 3 2" xfId="19950" xr:uid="{1FE53983-369A-4C8E-905A-901DAE408247}"/>
    <cellStyle name="Comma 2 4 4 2 4 3 3 3" xfId="30366" xr:uid="{84884FFC-39C4-40B6-AE35-9E1B317A680C}"/>
    <cellStyle name="Comma 2 4 4 2 4 3 4" xfId="5393" xr:uid="{00000000-0005-0000-0000-0000190C0000}"/>
    <cellStyle name="Comma 2 4 4 2 4 3 4 2" xfId="16979" xr:uid="{F21CE63F-154A-419A-9CDA-D6C62CDD6C67}"/>
    <cellStyle name="Comma 2 4 4 2 4 3 4 3" xfId="27395" xr:uid="{C025C6C2-04D8-43C8-BE4D-E79EDCE92485}"/>
    <cellStyle name="Comma 2 4 4 2 4 3 5" xfId="13592" xr:uid="{EB5B28D2-361F-47FA-8F1F-5A8715AE4B98}"/>
    <cellStyle name="Comma 2 4 4 2 4 3 6" xfId="24008" xr:uid="{0F50A709-096B-4E1E-ACDB-FE8D4D3BCF57}"/>
    <cellStyle name="Comma 2 4 4 2 4 4" xfId="1259" xr:uid="{00000000-0005-0000-0000-00001A0C0000}"/>
    <cellStyle name="Comma 2 4 4 2 4 4 2" xfId="1260" xr:uid="{00000000-0005-0000-0000-00001B0C0000}"/>
    <cellStyle name="Comma 2 4 4 2 4 4 2 2" xfId="8407" xr:uid="{00000000-0005-0000-0000-00001C0C0000}"/>
    <cellStyle name="Comma 2 4 4 2 4 4 2 2 2" xfId="19953" xr:uid="{740DD9BC-0BEB-49AE-841F-FD816998EAD0}"/>
    <cellStyle name="Comma 2 4 4 2 4 4 2 2 3" xfId="30369" xr:uid="{5E9AC711-634C-48F4-877C-52DE88A89E88}"/>
    <cellStyle name="Comma 2 4 4 2 4 4 2 3" xfId="13595" xr:uid="{9151F737-0697-47B6-A88D-E946D14DD3CF}"/>
    <cellStyle name="Comma 2 4 4 2 4 4 2 4" xfId="24011" xr:uid="{F33F1AD1-1A42-4BA5-A41A-41AD4181D920}"/>
    <cellStyle name="Comma 2 4 4 2 4 4 3" xfId="8406" xr:uid="{00000000-0005-0000-0000-00001D0C0000}"/>
    <cellStyle name="Comma 2 4 4 2 4 4 3 2" xfId="19952" xr:uid="{F6EA8BD5-AB06-48E6-9939-752FB6F081AA}"/>
    <cellStyle name="Comma 2 4 4 2 4 4 3 3" xfId="30368" xr:uid="{0C6F0527-0398-4A06-8F15-D107B9A67A69}"/>
    <cellStyle name="Comma 2 4 4 2 4 4 4" xfId="5394" xr:uid="{00000000-0005-0000-0000-00001E0C0000}"/>
    <cellStyle name="Comma 2 4 4 2 4 4 4 2" xfId="16980" xr:uid="{B86CA390-65BA-4447-A1E2-25CFC1D9BBFF}"/>
    <cellStyle name="Comma 2 4 4 2 4 4 4 3" xfId="27396" xr:uid="{6BF2F7AB-8F4D-474A-863A-0B9701120134}"/>
    <cellStyle name="Comma 2 4 4 2 4 4 5" xfId="13594" xr:uid="{B9430B74-95CC-4633-A2F2-5F9BFEC79745}"/>
    <cellStyle name="Comma 2 4 4 2 4 4 6" xfId="24010" xr:uid="{57EA1394-C4A6-49C9-A11F-490D2EFD0087}"/>
    <cellStyle name="Comma 2 4 4 2 4 5" xfId="1261" xr:uid="{00000000-0005-0000-0000-00001F0C0000}"/>
    <cellStyle name="Comma 2 4 4 2 4 5 2" xfId="8408" xr:uid="{00000000-0005-0000-0000-0000200C0000}"/>
    <cellStyle name="Comma 2 4 4 2 4 5 2 2" xfId="19954" xr:uid="{0E64A745-69C0-4233-BAE9-367B301CD980}"/>
    <cellStyle name="Comma 2 4 4 2 4 5 2 3" xfId="30370" xr:uid="{9643C84A-B410-4562-A089-B73B4610F7E4}"/>
    <cellStyle name="Comma 2 4 4 2 4 5 3" xfId="13596" xr:uid="{9C968E63-C7EA-49C0-B244-DFC7E0C6AD54}"/>
    <cellStyle name="Comma 2 4 4 2 4 5 4" xfId="24012" xr:uid="{FE864A9D-6CE6-4027-999E-421D04350D16}"/>
    <cellStyle name="Comma 2 4 4 2 4 6" xfId="8399" xr:uid="{00000000-0005-0000-0000-0000210C0000}"/>
    <cellStyle name="Comma 2 4 4 2 4 6 2" xfId="19945" xr:uid="{7B2CB10B-958E-48C7-921B-B1E277D30862}"/>
    <cellStyle name="Comma 2 4 4 2 4 6 3" xfId="30361" xr:uid="{D78F35FA-D3FF-4999-9E69-94CE86B10E66}"/>
    <cellStyle name="Comma 2 4 4 2 4 7" xfId="5390" xr:uid="{00000000-0005-0000-0000-0000220C0000}"/>
    <cellStyle name="Comma 2 4 4 2 4 7 2" xfId="16976" xr:uid="{893A1AF1-3B01-4C51-9E2F-8AAF9E2A9C96}"/>
    <cellStyle name="Comma 2 4 4 2 4 7 3" xfId="27392" xr:uid="{F2759D2B-BAB9-4015-86C6-A416E5340BCA}"/>
    <cellStyle name="Comma 2 4 4 2 4 8" xfId="13587" xr:uid="{79B05078-5509-4921-AEEC-8101F02912F2}"/>
    <cellStyle name="Comma 2 4 4 2 4 9" xfId="24003" xr:uid="{B1EE9B1D-564A-4A0B-B8D7-A3C6D4EF2E75}"/>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2 2 2" xfId="19958" xr:uid="{B42174CE-146C-4EB9-948B-CA9EB1E32B4F}"/>
    <cellStyle name="Comma 2 4 4 2 5 2 2 2 2 3" xfId="30374" xr:uid="{93F72AB5-C0BB-44F6-9869-4737EE2BE068}"/>
    <cellStyle name="Comma 2 4 4 2 5 2 2 2 3" xfId="13600" xr:uid="{6ECD0E20-2B0F-4EF3-A806-FC5DB58E7B4D}"/>
    <cellStyle name="Comma 2 4 4 2 5 2 2 2 4" xfId="24016" xr:uid="{4A4E9491-A0D5-4897-BED6-054424415FC7}"/>
    <cellStyle name="Comma 2 4 4 2 5 2 2 3" xfId="8411" xr:uid="{00000000-0005-0000-0000-0000280C0000}"/>
    <cellStyle name="Comma 2 4 4 2 5 2 2 3 2" xfId="19957" xr:uid="{88AA9F60-EA16-4A20-AB94-96247AEDB0FD}"/>
    <cellStyle name="Comma 2 4 4 2 5 2 2 3 3" xfId="30373" xr:uid="{AFF04810-F0C9-49C9-8534-D8DEA17D1740}"/>
    <cellStyle name="Comma 2 4 4 2 5 2 2 4" xfId="5397" xr:uid="{00000000-0005-0000-0000-0000290C0000}"/>
    <cellStyle name="Comma 2 4 4 2 5 2 2 4 2" xfId="16983" xr:uid="{826FB545-9690-4B49-9816-ED55F6B2334D}"/>
    <cellStyle name="Comma 2 4 4 2 5 2 2 4 3" xfId="27399" xr:uid="{A5657440-9568-4EC6-A809-B4A9FABBAADF}"/>
    <cellStyle name="Comma 2 4 4 2 5 2 2 5" xfId="13599" xr:uid="{95010F3F-EAD3-490B-8C48-26C29DDFA44B}"/>
    <cellStyle name="Comma 2 4 4 2 5 2 2 6" xfId="24015" xr:uid="{E2097A95-CD00-4035-AFD3-5DBBB2AF65CD}"/>
    <cellStyle name="Comma 2 4 4 2 5 2 3" xfId="1266" xr:uid="{00000000-0005-0000-0000-00002A0C0000}"/>
    <cellStyle name="Comma 2 4 4 2 5 2 3 2" xfId="8413" xr:uid="{00000000-0005-0000-0000-00002B0C0000}"/>
    <cellStyle name="Comma 2 4 4 2 5 2 3 2 2" xfId="19959" xr:uid="{FACB54E9-9C23-44BE-B184-568CB0A3AAF9}"/>
    <cellStyle name="Comma 2 4 4 2 5 2 3 2 3" xfId="30375" xr:uid="{CDBA125B-4A22-41A2-AA9C-7C8DB1E48700}"/>
    <cellStyle name="Comma 2 4 4 2 5 2 3 3" xfId="13601" xr:uid="{C3F61A94-1178-41B2-809C-DD42D0036D97}"/>
    <cellStyle name="Comma 2 4 4 2 5 2 3 4" xfId="24017" xr:uid="{0EC05937-CF97-4A23-87F0-1D7DD97D3F2E}"/>
    <cellStyle name="Comma 2 4 4 2 5 2 4" xfId="8410" xr:uid="{00000000-0005-0000-0000-00002C0C0000}"/>
    <cellStyle name="Comma 2 4 4 2 5 2 4 2" xfId="19956" xr:uid="{C7C361AF-09D8-40EA-AE1C-6E22238C637B}"/>
    <cellStyle name="Comma 2 4 4 2 5 2 4 3" xfId="30372" xr:uid="{4FB63857-90B4-4956-817B-51A42C97F073}"/>
    <cellStyle name="Comma 2 4 4 2 5 2 5" xfId="5396" xr:uid="{00000000-0005-0000-0000-00002D0C0000}"/>
    <cellStyle name="Comma 2 4 4 2 5 2 5 2" xfId="16982" xr:uid="{CF80B7CA-960D-4095-B062-F8F8BE9D27F0}"/>
    <cellStyle name="Comma 2 4 4 2 5 2 5 3" xfId="27398" xr:uid="{79E84E39-4815-402C-9535-61B6F54B5381}"/>
    <cellStyle name="Comma 2 4 4 2 5 2 6" xfId="13598" xr:uid="{DC0A185F-CCD7-41B4-8BC6-1F4129609635}"/>
    <cellStyle name="Comma 2 4 4 2 5 2 7" xfId="24014" xr:uid="{B73288C6-ABA7-4D29-8977-11B5D634ED7D}"/>
    <cellStyle name="Comma 2 4 4 2 5 3" xfId="1267" xr:uid="{00000000-0005-0000-0000-00002E0C0000}"/>
    <cellStyle name="Comma 2 4 4 2 5 3 2" xfId="1268" xr:uid="{00000000-0005-0000-0000-00002F0C0000}"/>
    <cellStyle name="Comma 2 4 4 2 5 3 2 2" xfId="8415" xr:uid="{00000000-0005-0000-0000-0000300C0000}"/>
    <cellStyle name="Comma 2 4 4 2 5 3 2 2 2" xfId="19961" xr:uid="{B5F5B0B3-8AC5-4131-9C37-6D4017B27717}"/>
    <cellStyle name="Comma 2 4 4 2 5 3 2 2 3" xfId="30377" xr:uid="{BF0DFE42-80CF-49F3-A26E-A4D5FFBAA3A3}"/>
    <cellStyle name="Comma 2 4 4 2 5 3 2 3" xfId="13603" xr:uid="{09A23735-9787-4E66-8B82-77570C0B95DF}"/>
    <cellStyle name="Comma 2 4 4 2 5 3 2 4" xfId="24019" xr:uid="{FF0E0205-8D14-4D01-BC17-07F5CA274C52}"/>
    <cellStyle name="Comma 2 4 4 2 5 3 3" xfId="8414" xr:uid="{00000000-0005-0000-0000-0000310C0000}"/>
    <cellStyle name="Comma 2 4 4 2 5 3 3 2" xfId="19960" xr:uid="{40E81683-8AF7-401B-B8CB-77C423C5CB20}"/>
    <cellStyle name="Comma 2 4 4 2 5 3 3 3" xfId="30376" xr:uid="{324190CD-1ED0-433A-ADFA-AEF679F9E6F3}"/>
    <cellStyle name="Comma 2 4 4 2 5 3 4" xfId="5398" xr:uid="{00000000-0005-0000-0000-0000320C0000}"/>
    <cellStyle name="Comma 2 4 4 2 5 3 4 2" xfId="16984" xr:uid="{40A71417-BBC7-486C-BA27-30799AB42B0E}"/>
    <cellStyle name="Comma 2 4 4 2 5 3 4 3" xfId="27400" xr:uid="{E90949EC-7B62-4F72-A926-5459DF16DC31}"/>
    <cellStyle name="Comma 2 4 4 2 5 3 5" xfId="13602" xr:uid="{E1981F2E-2969-440F-A2D0-8A059B111913}"/>
    <cellStyle name="Comma 2 4 4 2 5 3 6" xfId="24018" xr:uid="{60379685-25EB-4513-82AF-D28A4EA3A9F0}"/>
    <cellStyle name="Comma 2 4 4 2 5 4" xfId="1269" xr:uid="{00000000-0005-0000-0000-0000330C0000}"/>
    <cellStyle name="Comma 2 4 4 2 5 4 2" xfId="1270" xr:uid="{00000000-0005-0000-0000-0000340C0000}"/>
    <cellStyle name="Comma 2 4 4 2 5 4 2 2" xfId="8417" xr:uid="{00000000-0005-0000-0000-0000350C0000}"/>
    <cellStyle name="Comma 2 4 4 2 5 4 2 2 2" xfId="19963" xr:uid="{737A06C8-103E-40F4-94A0-22ECBEE3F694}"/>
    <cellStyle name="Comma 2 4 4 2 5 4 2 2 3" xfId="30379" xr:uid="{D5A33B3D-BCC5-419B-A82E-0AE4CAC1778E}"/>
    <cellStyle name="Comma 2 4 4 2 5 4 2 3" xfId="13605" xr:uid="{3CFFF9EE-C996-4DEF-8C74-F78932CD37AD}"/>
    <cellStyle name="Comma 2 4 4 2 5 4 2 4" xfId="24021" xr:uid="{225E7DE0-CE5C-4143-8910-245476408349}"/>
    <cellStyle name="Comma 2 4 4 2 5 4 3" xfId="8416" xr:uid="{00000000-0005-0000-0000-0000360C0000}"/>
    <cellStyle name="Comma 2 4 4 2 5 4 3 2" xfId="19962" xr:uid="{635F015D-2915-4359-A6FD-D46F6222B154}"/>
    <cellStyle name="Comma 2 4 4 2 5 4 3 3" xfId="30378" xr:uid="{8BCC8F1B-4403-4C24-905A-A412C3B208D8}"/>
    <cellStyle name="Comma 2 4 4 2 5 4 4" xfId="5399" xr:uid="{00000000-0005-0000-0000-0000370C0000}"/>
    <cellStyle name="Comma 2 4 4 2 5 4 4 2" xfId="16985" xr:uid="{B0D1FEC6-45D2-4D5F-9583-72422DCF8E0A}"/>
    <cellStyle name="Comma 2 4 4 2 5 4 4 3" xfId="27401" xr:uid="{278BBF24-D31A-42B5-9FBB-7B78A1489E03}"/>
    <cellStyle name="Comma 2 4 4 2 5 4 5" xfId="13604" xr:uid="{E07CD537-CD94-4580-BF3B-477867010D08}"/>
    <cellStyle name="Comma 2 4 4 2 5 4 6" xfId="24020" xr:uid="{09B51093-0A3E-45ED-9E96-D0546AEEF851}"/>
    <cellStyle name="Comma 2 4 4 2 5 5" xfId="1271" xr:uid="{00000000-0005-0000-0000-0000380C0000}"/>
    <cellStyle name="Comma 2 4 4 2 5 5 2" xfId="8418" xr:uid="{00000000-0005-0000-0000-0000390C0000}"/>
    <cellStyle name="Comma 2 4 4 2 5 5 2 2" xfId="19964" xr:uid="{8D9C0C0F-AF57-46F5-B57D-FBA5AC8D5C9E}"/>
    <cellStyle name="Comma 2 4 4 2 5 5 2 3" xfId="30380" xr:uid="{369FE405-920E-4F64-B4F5-CA9D11A61012}"/>
    <cellStyle name="Comma 2 4 4 2 5 5 3" xfId="13606" xr:uid="{C0E24470-963B-4877-8409-ECD740F12194}"/>
    <cellStyle name="Comma 2 4 4 2 5 5 4" xfId="24022" xr:uid="{2536E05B-0E61-477A-83F8-3B12B9C1E73E}"/>
    <cellStyle name="Comma 2 4 4 2 5 6" xfId="8409" xr:uid="{00000000-0005-0000-0000-00003A0C0000}"/>
    <cellStyle name="Comma 2 4 4 2 5 6 2" xfId="19955" xr:uid="{C9456E23-1D56-47F3-A8D1-6B0A86CF7544}"/>
    <cellStyle name="Comma 2 4 4 2 5 6 3" xfId="30371" xr:uid="{BB6230A0-2B85-4279-B849-8920CC23409F}"/>
    <cellStyle name="Comma 2 4 4 2 5 7" xfId="5395" xr:uid="{00000000-0005-0000-0000-00003B0C0000}"/>
    <cellStyle name="Comma 2 4 4 2 5 7 2" xfId="16981" xr:uid="{1B321883-AD4F-4013-9ED3-B23B0BBDD835}"/>
    <cellStyle name="Comma 2 4 4 2 5 7 3" xfId="27397" xr:uid="{F3600591-64F0-4F79-9AF6-E5AC9C930679}"/>
    <cellStyle name="Comma 2 4 4 2 5 8" xfId="13597" xr:uid="{CBB81411-5FFD-470A-A7E9-059E878F7494}"/>
    <cellStyle name="Comma 2 4 4 2 5 9" xfId="24013" xr:uid="{CBBAC7FF-C0D2-46D8-826E-1517E7E003A9}"/>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2 2 2" xfId="19967" xr:uid="{56AC84FB-5B0D-483B-A234-0B4B288E409D}"/>
    <cellStyle name="Comma 2 4 4 2 6 2 2 2 3" xfId="30383" xr:uid="{70DF109E-59E9-4622-8BEB-D802C697FCD2}"/>
    <cellStyle name="Comma 2 4 4 2 6 2 2 3" xfId="13609" xr:uid="{B2CD54B2-8028-4D17-97F2-E887DABFF741}"/>
    <cellStyle name="Comma 2 4 4 2 6 2 2 4" xfId="24025" xr:uid="{3B62F39D-5DD4-4FC6-A270-E8DFFBD6281D}"/>
    <cellStyle name="Comma 2 4 4 2 6 2 3" xfId="8420" xr:uid="{00000000-0005-0000-0000-0000400C0000}"/>
    <cellStyle name="Comma 2 4 4 2 6 2 3 2" xfId="19966" xr:uid="{631D6A8D-2237-4977-A5BF-D97AFDCFC401}"/>
    <cellStyle name="Comma 2 4 4 2 6 2 3 3" xfId="30382" xr:uid="{E15692E5-5209-4B5B-98F9-177AB66299F7}"/>
    <cellStyle name="Comma 2 4 4 2 6 2 4" xfId="5401" xr:uid="{00000000-0005-0000-0000-0000410C0000}"/>
    <cellStyle name="Comma 2 4 4 2 6 2 4 2" xfId="16987" xr:uid="{EA163145-AEC7-43DB-9777-65392611EC10}"/>
    <cellStyle name="Comma 2 4 4 2 6 2 4 3" xfId="27403" xr:uid="{AE7BC776-F566-4548-9A92-C2E2716787F7}"/>
    <cellStyle name="Comma 2 4 4 2 6 2 5" xfId="13608" xr:uid="{703D987F-7E22-4147-AAF5-D48798DBFD64}"/>
    <cellStyle name="Comma 2 4 4 2 6 2 6" xfId="24024" xr:uid="{CE28B27C-0428-4A67-A6DA-FD41B92349E4}"/>
    <cellStyle name="Comma 2 4 4 2 6 3" xfId="1275" xr:uid="{00000000-0005-0000-0000-0000420C0000}"/>
    <cellStyle name="Comma 2 4 4 2 6 3 2" xfId="1276" xr:uid="{00000000-0005-0000-0000-0000430C0000}"/>
    <cellStyle name="Comma 2 4 4 2 6 3 2 2" xfId="8423" xr:uid="{00000000-0005-0000-0000-0000440C0000}"/>
    <cellStyle name="Comma 2 4 4 2 6 3 2 2 2" xfId="19969" xr:uid="{9DB4A5FF-13FC-466D-B992-A4AB84DA132E}"/>
    <cellStyle name="Comma 2 4 4 2 6 3 2 2 3" xfId="30385" xr:uid="{D2C5CA28-6FDC-41FB-830E-8EC286BF5665}"/>
    <cellStyle name="Comma 2 4 4 2 6 3 2 3" xfId="13611" xr:uid="{8B8782BD-2CFA-48BF-ACD7-1D7742C9C400}"/>
    <cellStyle name="Comma 2 4 4 2 6 3 2 4" xfId="24027" xr:uid="{B3DFC3CF-B844-4030-947C-144C60063168}"/>
    <cellStyle name="Comma 2 4 4 2 6 3 3" xfId="8422" xr:uid="{00000000-0005-0000-0000-0000450C0000}"/>
    <cellStyle name="Comma 2 4 4 2 6 3 3 2" xfId="19968" xr:uid="{5D4F642C-331E-4D94-979C-DF4112EA3EF6}"/>
    <cellStyle name="Comma 2 4 4 2 6 3 3 3" xfId="30384" xr:uid="{E6B0BD45-DDBC-4452-9CA1-C6FCB50E0725}"/>
    <cellStyle name="Comma 2 4 4 2 6 3 4" xfId="5402" xr:uid="{00000000-0005-0000-0000-0000460C0000}"/>
    <cellStyle name="Comma 2 4 4 2 6 3 4 2" xfId="16988" xr:uid="{7C5F9A93-7472-4392-8156-592AD285CEA2}"/>
    <cellStyle name="Comma 2 4 4 2 6 3 4 3" xfId="27404" xr:uid="{2D8D84CA-5653-4BA4-B4A8-8B154660385E}"/>
    <cellStyle name="Comma 2 4 4 2 6 3 5" xfId="13610" xr:uid="{122B413F-6A41-4FB0-99E3-A6EE803CC84A}"/>
    <cellStyle name="Comma 2 4 4 2 6 3 6" xfId="24026" xr:uid="{3EBFD500-5C5A-465E-BCDF-DDCC07D940A2}"/>
    <cellStyle name="Comma 2 4 4 2 6 4" xfId="1277" xr:uid="{00000000-0005-0000-0000-0000470C0000}"/>
    <cellStyle name="Comma 2 4 4 2 6 4 2" xfId="8424" xr:uid="{00000000-0005-0000-0000-0000480C0000}"/>
    <cellStyle name="Comma 2 4 4 2 6 4 2 2" xfId="19970" xr:uid="{42E21365-6694-4185-8AB6-7D2E2723BCF4}"/>
    <cellStyle name="Comma 2 4 4 2 6 4 2 3" xfId="30386" xr:uid="{18A6A335-8A8F-4D36-82F4-2C9251E40FBE}"/>
    <cellStyle name="Comma 2 4 4 2 6 4 3" xfId="13612" xr:uid="{003F0FA5-93E6-42A5-8471-5BD9AF77FD88}"/>
    <cellStyle name="Comma 2 4 4 2 6 4 4" xfId="24028" xr:uid="{BFB332FB-0E0E-40EF-9F1B-077EEFA77C2B}"/>
    <cellStyle name="Comma 2 4 4 2 6 5" xfId="8419" xr:uid="{00000000-0005-0000-0000-0000490C0000}"/>
    <cellStyle name="Comma 2 4 4 2 6 5 2" xfId="19965" xr:uid="{1F85FEE3-201D-4EB5-8749-DAB9B4FCEC21}"/>
    <cellStyle name="Comma 2 4 4 2 6 5 3" xfId="30381" xr:uid="{A824F1DF-4AC5-43F5-80DF-92BC8744FA95}"/>
    <cellStyle name="Comma 2 4 4 2 6 6" xfId="5400" xr:uid="{00000000-0005-0000-0000-00004A0C0000}"/>
    <cellStyle name="Comma 2 4 4 2 6 6 2" xfId="16986" xr:uid="{CF41244E-9528-4BB9-B801-B19151C9B7B2}"/>
    <cellStyle name="Comma 2 4 4 2 6 6 3" xfId="27402" xr:uid="{ACF16862-A107-48F8-977D-E127C021C2CA}"/>
    <cellStyle name="Comma 2 4 4 2 6 7" xfId="13607" xr:uid="{80641740-2EF5-4BF8-83A6-4D8256DC190F}"/>
    <cellStyle name="Comma 2 4 4 2 6 8" xfId="24023" xr:uid="{2189C9D1-3365-4EA2-B5F8-7090415CDA7E}"/>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2 2 2" xfId="19973" xr:uid="{788C71AD-3D29-483B-8F87-F7772457CBC7}"/>
    <cellStyle name="Comma 2 4 4 2 7 2 2 2 3" xfId="30389" xr:uid="{EA039F80-0575-40E3-97DA-1A6018B81E13}"/>
    <cellStyle name="Comma 2 4 4 2 7 2 2 3" xfId="13615" xr:uid="{202B853F-7251-4824-A608-7164B73AF781}"/>
    <cellStyle name="Comma 2 4 4 2 7 2 2 4" xfId="24031" xr:uid="{23B92814-CF57-4C45-9D0E-49C3FC928A54}"/>
    <cellStyle name="Comma 2 4 4 2 7 2 3" xfId="8426" xr:uid="{00000000-0005-0000-0000-00004F0C0000}"/>
    <cellStyle name="Comma 2 4 4 2 7 2 3 2" xfId="19972" xr:uid="{12BD93B4-EEFB-4944-8961-9320E7A95719}"/>
    <cellStyle name="Comma 2 4 4 2 7 2 3 3" xfId="30388" xr:uid="{BB4FF073-A822-47EF-A265-855D7994DF1C}"/>
    <cellStyle name="Comma 2 4 4 2 7 2 4" xfId="5404" xr:uid="{00000000-0005-0000-0000-0000500C0000}"/>
    <cellStyle name="Comma 2 4 4 2 7 2 4 2" xfId="16990" xr:uid="{975DD3A9-DCFB-4D63-BECD-2AF461CFD4E8}"/>
    <cellStyle name="Comma 2 4 4 2 7 2 4 3" xfId="27406" xr:uid="{D3EE34C0-E25F-4D86-8BD6-A6C5213500E7}"/>
    <cellStyle name="Comma 2 4 4 2 7 2 5" xfId="13614" xr:uid="{C96A0C6D-E006-4A63-A0E9-1592E955B6E9}"/>
    <cellStyle name="Comma 2 4 4 2 7 2 6" xfId="24030" xr:uid="{6295BD76-ECC9-4135-9D57-890F145C4BA5}"/>
    <cellStyle name="Comma 2 4 4 2 7 3" xfId="1281" xr:uid="{00000000-0005-0000-0000-0000510C0000}"/>
    <cellStyle name="Comma 2 4 4 2 7 3 2" xfId="8428" xr:uid="{00000000-0005-0000-0000-0000520C0000}"/>
    <cellStyle name="Comma 2 4 4 2 7 3 2 2" xfId="19974" xr:uid="{155F94FC-4A23-4683-B62E-24E4B91FD530}"/>
    <cellStyle name="Comma 2 4 4 2 7 3 2 3" xfId="30390" xr:uid="{4A9AC4D9-F90A-4B38-AF4B-24EC7AF16A22}"/>
    <cellStyle name="Comma 2 4 4 2 7 3 3" xfId="13616" xr:uid="{34C92A7D-0B11-4A44-8E8B-82470BA10020}"/>
    <cellStyle name="Comma 2 4 4 2 7 3 4" xfId="24032" xr:uid="{904A0500-7B6B-44E3-9387-628F5D4D37C1}"/>
    <cellStyle name="Comma 2 4 4 2 7 4" xfId="8425" xr:uid="{00000000-0005-0000-0000-0000530C0000}"/>
    <cellStyle name="Comma 2 4 4 2 7 4 2" xfId="19971" xr:uid="{D111387E-FD23-4E46-B769-2F66B35CFFA1}"/>
    <cellStyle name="Comma 2 4 4 2 7 4 3" xfId="30387" xr:uid="{647B6B00-AA8C-418A-8F54-A926BF5F9830}"/>
    <cellStyle name="Comma 2 4 4 2 7 5" xfId="5403" xr:uid="{00000000-0005-0000-0000-0000540C0000}"/>
    <cellStyle name="Comma 2 4 4 2 7 5 2" xfId="16989" xr:uid="{E2A56B45-F15B-42E7-8C5C-166067D9EB62}"/>
    <cellStyle name="Comma 2 4 4 2 7 5 3" xfId="27405" xr:uid="{C9017096-E88F-44BC-B1CA-28F510D28A09}"/>
    <cellStyle name="Comma 2 4 4 2 7 6" xfId="13613" xr:uid="{6D9E388F-C7BF-4739-B7AA-F15AF88ABD52}"/>
    <cellStyle name="Comma 2 4 4 2 7 7" xfId="24029" xr:uid="{DDA6B921-12D7-4A37-85F1-776B6013D3A8}"/>
    <cellStyle name="Comma 2 4 4 2 8" xfId="1282" xr:uid="{00000000-0005-0000-0000-0000550C0000}"/>
    <cellStyle name="Comma 2 4 4 2 8 2" xfId="1283" xr:uid="{00000000-0005-0000-0000-0000560C0000}"/>
    <cellStyle name="Comma 2 4 4 2 8 2 2" xfId="8430" xr:uid="{00000000-0005-0000-0000-0000570C0000}"/>
    <cellStyle name="Comma 2 4 4 2 8 2 2 2" xfId="19976" xr:uid="{E2224045-34DF-4205-A02D-C3B53C24EF41}"/>
    <cellStyle name="Comma 2 4 4 2 8 2 2 3" xfId="30392" xr:uid="{4E13F71D-CC71-4875-8F5D-1AC296DD8480}"/>
    <cellStyle name="Comma 2 4 4 2 8 2 3" xfId="13618" xr:uid="{7A0733A4-ED0C-4441-AC33-6FDEB62C184E}"/>
    <cellStyle name="Comma 2 4 4 2 8 2 4" xfId="24034" xr:uid="{D49DF946-7729-4F60-A466-1E0BB417F081}"/>
    <cellStyle name="Comma 2 4 4 2 8 3" xfId="8429" xr:uid="{00000000-0005-0000-0000-0000580C0000}"/>
    <cellStyle name="Comma 2 4 4 2 8 3 2" xfId="19975" xr:uid="{7514BC90-BAA4-4C32-8738-27E9101EC422}"/>
    <cellStyle name="Comma 2 4 4 2 8 3 3" xfId="30391" xr:uid="{88A78A0E-38F2-4C03-8977-D2647D4EB7BA}"/>
    <cellStyle name="Comma 2 4 4 2 8 4" xfId="5405" xr:uid="{00000000-0005-0000-0000-0000590C0000}"/>
    <cellStyle name="Comma 2 4 4 2 8 4 2" xfId="16991" xr:uid="{0F5742B6-3A80-4EBA-9F8E-5A0ACA21A5CE}"/>
    <cellStyle name="Comma 2 4 4 2 8 4 3" xfId="27407" xr:uid="{6A2A2B8C-B6F9-4C42-8C30-A143A3B49B47}"/>
    <cellStyle name="Comma 2 4 4 2 8 5" xfId="13617" xr:uid="{55A2B94D-7564-4BBB-88DF-42FEE52C26BA}"/>
    <cellStyle name="Comma 2 4 4 2 8 6" xfId="24033" xr:uid="{E2677FA0-B51D-4744-BC90-D223E4DBC4D0}"/>
    <cellStyle name="Comma 2 4 4 2 9" xfId="1284" xr:uid="{00000000-0005-0000-0000-00005A0C0000}"/>
    <cellStyle name="Comma 2 4 4 2 9 2" xfId="1285" xr:uid="{00000000-0005-0000-0000-00005B0C0000}"/>
    <cellStyle name="Comma 2 4 4 2 9 2 2" xfId="8432" xr:uid="{00000000-0005-0000-0000-00005C0C0000}"/>
    <cellStyle name="Comma 2 4 4 2 9 2 2 2" xfId="19978" xr:uid="{006AB623-4ABB-4940-9A5C-25085A46498E}"/>
    <cellStyle name="Comma 2 4 4 2 9 2 2 3" xfId="30394" xr:uid="{8E754947-EE7B-44F3-B1FA-904561F3E252}"/>
    <cellStyle name="Comma 2 4 4 2 9 2 3" xfId="13620" xr:uid="{1ACBAA3A-0977-4FC4-87E1-448DE6F665AE}"/>
    <cellStyle name="Comma 2 4 4 2 9 2 4" xfId="24036" xr:uid="{CF7004F8-25D2-4299-AC19-69C8965336B6}"/>
    <cellStyle name="Comma 2 4 4 2 9 3" xfId="8431" xr:uid="{00000000-0005-0000-0000-00005D0C0000}"/>
    <cellStyle name="Comma 2 4 4 2 9 3 2" xfId="19977" xr:uid="{DA6B23A5-7863-4B7A-989E-86F6BFBAE969}"/>
    <cellStyle name="Comma 2 4 4 2 9 3 3" xfId="30393" xr:uid="{F0A908AD-0E8E-4D59-8333-D569C6D81982}"/>
    <cellStyle name="Comma 2 4 4 2 9 4" xfId="5406" xr:uid="{00000000-0005-0000-0000-00005E0C0000}"/>
    <cellStyle name="Comma 2 4 4 2 9 4 2" xfId="16992" xr:uid="{057EBCF3-88E9-4C98-AB87-7D15D7FC8067}"/>
    <cellStyle name="Comma 2 4 4 2 9 4 3" xfId="27408" xr:uid="{0D3EC533-0247-48AA-8E8C-E9524CBD0FB1}"/>
    <cellStyle name="Comma 2 4 4 2 9 5" xfId="13619" xr:uid="{1F1C8F79-B716-4DAF-9ABF-AB2D49500CAB}"/>
    <cellStyle name="Comma 2 4 4 2 9 6" xfId="24035" xr:uid="{31EBFED9-C693-40B8-B611-C0D86648D0A3}"/>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2 2 2" xfId="19982" xr:uid="{8BEDE87F-845A-4612-B52A-4157CC7D7A81}"/>
    <cellStyle name="Comma 2 4 4 3 2 2 2 2 3" xfId="30398" xr:uid="{C36B6D26-DFF5-456D-AFA6-E0AB31897A9C}"/>
    <cellStyle name="Comma 2 4 4 3 2 2 2 3" xfId="13624" xr:uid="{4DAEC367-B330-49BA-9CF5-7B32BFDAB880}"/>
    <cellStyle name="Comma 2 4 4 3 2 2 2 4" xfId="24040" xr:uid="{F02E42B5-1B5A-45C7-9675-E48E404F381B}"/>
    <cellStyle name="Comma 2 4 4 3 2 2 3" xfId="8435" xr:uid="{00000000-0005-0000-0000-0000640C0000}"/>
    <cellStyle name="Comma 2 4 4 3 2 2 3 2" xfId="19981" xr:uid="{556C7AE0-B294-4E5B-A9FE-8A82C1B8B7E8}"/>
    <cellStyle name="Comma 2 4 4 3 2 2 3 3" xfId="30397" xr:uid="{B105FB1B-0E23-4532-88EB-9B6F360975DF}"/>
    <cellStyle name="Comma 2 4 4 3 2 2 4" xfId="5409" xr:uid="{00000000-0005-0000-0000-0000650C0000}"/>
    <cellStyle name="Comma 2 4 4 3 2 2 4 2" xfId="16995" xr:uid="{549D0FA9-8815-4733-BE3C-D5AEAE20FF14}"/>
    <cellStyle name="Comma 2 4 4 3 2 2 4 3" xfId="27411" xr:uid="{E2548AC5-E903-4BAB-9510-C98CC45B24E5}"/>
    <cellStyle name="Comma 2 4 4 3 2 2 5" xfId="13623" xr:uid="{2D358E49-6DAB-4ADB-9DA7-1F3AA27EE591}"/>
    <cellStyle name="Comma 2 4 4 3 2 2 6" xfId="24039" xr:uid="{A62BEE2D-31AF-405D-87DE-D364B943D4B5}"/>
    <cellStyle name="Comma 2 4 4 3 2 3" xfId="1290" xr:uid="{00000000-0005-0000-0000-0000660C0000}"/>
    <cellStyle name="Comma 2 4 4 3 2 3 2" xfId="8437" xr:uid="{00000000-0005-0000-0000-0000670C0000}"/>
    <cellStyle name="Comma 2 4 4 3 2 3 2 2" xfId="19983" xr:uid="{5F688A6D-6334-42CE-9A73-CD5E8B8A0E04}"/>
    <cellStyle name="Comma 2 4 4 3 2 3 2 3" xfId="30399" xr:uid="{A5B0FC82-6068-43D7-B7EC-E97A026C02DE}"/>
    <cellStyle name="Comma 2 4 4 3 2 3 3" xfId="13625" xr:uid="{B983DFAB-D478-4740-8487-BAC87E7AD661}"/>
    <cellStyle name="Comma 2 4 4 3 2 3 4" xfId="24041" xr:uid="{8483F1C0-B4B8-4C62-99FB-3ACF406AEC95}"/>
    <cellStyle name="Comma 2 4 4 3 2 4" xfId="8434" xr:uid="{00000000-0005-0000-0000-0000680C0000}"/>
    <cellStyle name="Comma 2 4 4 3 2 4 2" xfId="19980" xr:uid="{AAA1CBCA-A1C2-4A8E-BFA2-0D49C28EEBC2}"/>
    <cellStyle name="Comma 2 4 4 3 2 4 3" xfId="30396" xr:uid="{9E22EDCC-92D7-43D8-B58D-7A4575DC1B50}"/>
    <cellStyle name="Comma 2 4 4 3 2 5" xfId="5408" xr:uid="{00000000-0005-0000-0000-0000690C0000}"/>
    <cellStyle name="Comma 2 4 4 3 2 5 2" xfId="16994" xr:uid="{59E41938-9DCA-4535-97BE-5315152E5510}"/>
    <cellStyle name="Comma 2 4 4 3 2 5 3" xfId="27410" xr:uid="{6F7F2AD0-DD18-4423-AD7C-7C553D2FFE06}"/>
    <cellStyle name="Comma 2 4 4 3 2 6" xfId="13622" xr:uid="{70E7A194-A193-4D87-A47C-52102AE91D44}"/>
    <cellStyle name="Comma 2 4 4 3 2 7" xfId="24038" xr:uid="{3A18CD72-F669-4069-BDEA-53071E14941E}"/>
    <cellStyle name="Comma 2 4 4 3 3" xfId="1291" xr:uid="{00000000-0005-0000-0000-00006A0C0000}"/>
    <cellStyle name="Comma 2 4 4 3 3 2" xfId="1292" xr:uid="{00000000-0005-0000-0000-00006B0C0000}"/>
    <cellStyle name="Comma 2 4 4 3 3 2 2" xfId="8439" xr:uid="{00000000-0005-0000-0000-00006C0C0000}"/>
    <cellStyle name="Comma 2 4 4 3 3 2 2 2" xfId="19985" xr:uid="{395754C4-E436-47F6-BEFD-B9F79B1931B8}"/>
    <cellStyle name="Comma 2 4 4 3 3 2 2 3" xfId="30401" xr:uid="{0A260604-54C5-4A06-9C70-EDD072849D57}"/>
    <cellStyle name="Comma 2 4 4 3 3 2 3" xfId="13627" xr:uid="{96CB6750-8E52-4E18-80F1-3335A1CC8BC0}"/>
    <cellStyle name="Comma 2 4 4 3 3 2 4" xfId="24043" xr:uid="{5A136673-0F67-465C-9352-E0CBD265FDEE}"/>
    <cellStyle name="Comma 2 4 4 3 3 3" xfId="8438" xr:uid="{00000000-0005-0000-0000-00006D0C0000}"/>
    <cellStyle name="Comma 2 4 4 3 3 3 2" xfId="19984" xr:uid="{1FCFE924-75F3-413E-9D0B-D7A670C9A27E}"/>
    <cellStyle name="Comma 2 4 4 3 3 3 3" xfId="30400" xr:uid="{131D0CBC-3847-416C-9456-14F1BA0659B6}"/>
    <cellStyle name="Comma 2 4 4 3 3 4" xfId="5410" xr:uid="{00000000-0005-0000-0000-00006E0C0000}"/>
    <cellStyle name="Comma 2 4 4 3 3 4 2" xfId="16996" xr:uid="{3C63D30D-36D4-4676-AA25-036016874C70}"/>
    <cellStyle name="Comma 2 4 4 3 3 4 3" xfId="27412" xr:uid="{CDDCB37D-7284-4E93-92DC-19181A8562E5}"/>
    <cellStyle name="Comma 2 4 4 3 3 5" xfId="13626" xr:uid="{3F379E07-8C09-4FCB-BA27-49902C4A922F}"/>
    <cellStyle name="Comma 2 4 4 3 3 6" xfId="24042" xr:uid="{1169B1EB-FFE2-4B04-843A-B95316492836}"/>
    <cellStyle name="Comma 2 4 4 3 4" xfId="1293" xr:uid="{00000000-0005-0000-0000-00006F0C0000}"/>
    <cellStyle name="Comma 2 4 4 3 4 2" xfId="1294" xr:uid="{00000000-0005-0000-0000-0000700C0000}"/>
    <cellStyle name="Comma 2 4 4 3 4 2 2" xfId="8441" xr:uid="{00000000-0005-0000-0000-0000710C0000}"/>
    <cellStyle name="Comma 2 4 4 3 4 2 2 2" xfId="19987" xr:uid="{B409E4BB-CC6D-4764-9499-34E4C08E9829}"/>
    <cellStyle name="Comma 2 4 4 3 4 2 2 3" xfId="30403" xr:uid="{CF48B139-A5CB-47F2-81BB-9062547F791C}"/>
    <cellStyle name="Comma 2 4 4 3 4 2 3" xfId="13629" xr:uid="{BDD78A4A-525E-4D16-BE48-7EB4BD721F20}"/>
    <cellStyle name="Comma 2 4 4 3 4 2 4" xfId="24045" xr:uid="{9352F2FA-452B-4EF6-9F08-28588C79AA0F}"/>
    <cellStyle name="Comma 2 4 4 3 4 3" xfId="8440" xr:uid="{00000000-0005-0000-0000-0000720C0000}"/>
    <cellStyle name="Comma 2 4 4 3 4 3 2" xfId="19986" xr:uid="{C88E0020-7F98-457C-934B-D97AE95830A1}"/>
    <cellStyle name="Comma 2 4 4 3 4 3 3" xfId="30402" xr:uid="{147B2D78-1B76-4B90-A62F-28204CCD27EA}"/>
    <cellStyle name="Comma 2 4 4 3 4 4" xfId="5411" xr:uid="{00000000-0005-0000-0000-0000730C0000}"/>
    <cellStyle name="Comma 2 4 4 3 4 4 2" xfId="16997" xr:uid="{33CCE977-AB12-4A39-A04C-C457685B454E}"/>
    <cellStyle name="Comma 2 4 4 3 4 4 3" xfId="27413" xr:uid="{0C8987E5-5A54-4328-A58D-30FAF5483E28}"/>
    <cellStyle name="Comma 2 4 4 3 4 5" xfId="13628" xr:uid="{FF8F9F2E-C724-4AD9-8607-6B433D9D46EF}"/>
    <cellStyle name="Comma 2 4 4 3 4 6" xfId="24044" xr:uid="{E3DB2B66-721E-40A7-B6AC-49B98470C36F}"/>
    <cellStyle name="Comma 2 4 4 3 5" xfId="1295" xr:uid="{00000000-0005-0000-0000-0000740C0000}"/>
    <cellStyle name="Comma 2 4 4 3 5 2" xfId="8442" xr:uid="{00000000-0005-0000-0000-0000750C0000}"/>
    <cellStyle name="Comma 2 4 4 3 5 2 2" xfId="19988" xr:uid="{5C6CF76C-73C9-4C6F-8CA8-C4BE3A80FBCF}"/>
    <cellStyle name="Comma 2 4 4 3 5 2 3" xfId="30404" xr:uid="{810203E9-F781-4CB1-B1A7-4A386446B7A1}"/>
    <cellStyle name="Comma 2 4 4 3 5 3" xfId="13630" xr:uid="{832A6659-1B8D-4E29-A0E6-A94454E0191B}"/>
    <cellStyle name="Comma 2 4 4 3 5 4" xfId="24046" xr:uid="{D652CF96-C408-4829-99E7-66AF82EE9910}"/>
    <cellStyle name="Comma 2 4 4 3 6" xfId="8433" xr:uid="{00000000-0005-0000-0000-0000760C0000}"/>
    <cellStyle name="Comma 2 4 4 3 6 2" xfId="19979" xr:uid="{BA0772F6-D5E8-46AE-A536-B4F37A67D527}"/>
    <cellStyle name="Comma 2 4 4 3 6 3" xfId="30395" xr:uid="{746804BC-7803-4036-A75A-7630F5034730}"/>
    <cellStyle name="Comma 2 4 4 3 7" xfId="5407" xr:uid="{00000000-0005-0000-0000-0000770C0000}"/>
    <cellStyle name="Comma 2 4 4 3 7 2" xfId="16993" xr:uid="{C0EFFD49-4298-4836-9551-9C4B0C41F0DE}"/>
    <cellStyle name="Comma 2 4 4 3 7 3" xfId="27409" xr:uid="{2001E74B-33DA-4CAE-9BBB-E15C6275C699}"/>
    <cellStyle name="Comma 2 4 4 3 8" xfId="13621" xr:uid="{91C7697B-DB25-4F80-94AC-02884D2E4AFE}"/>
    <cellStyle name="Comma 2 4 4 3 9" xfId="24037" xr:uid="{EA517B0E-42BB-4567-9B78-70915C62C065}"/>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2 2 2" xfId="19992" xr:uid="{807E91DB-E305-4495-B838-E8DEBC4C713E}"/>
    <cellStyle name="Comma 2 4 4 4 2 2 2 2 3" xfId="30408" xr:uid="{96009F10-B030-499F-82DE-E6505BEFF229}"/>
    <cellStyle name="Comma 2 4 4 4 2 2 2 3" xfId="13634" xr:uid="{FEE33705-3659-4EC3-BB0B-1D8541F69760}"/>
    <cellStyle name="Comma 2 4 4 4 2 2 2 4" xfId="24050" xr:uid="{3384155D-B1A0-4BE6-8FDB-4B374AA127DA}"/>
    <cellStyle name="Comma 2 4 4 4 2 2 3" xfId="8445" xr:uid="{00000000-0005-0000-0000-00007D0C0000}"/>
    <cellStyle name="Comma 2 4 4 4 2 2 3 2" xfId="19991" xr:uid="{8E7EDA98-E6EA-4847-80E0-3240B64A8AB7}"/>
    <cellStyle name="Comma 2 4 4 4 2 2 3 3" xfId="30407" xr:uid="{BCFB2FE8-6242-4487-A198-7D6A41BBCD4A}"/>
    <cellStyle name="Comma 2 4 4 4 2 2 4" xfId="5414" xr:uid="{00000000-0005-0000-0000-00007E0C0000}"/>
    <cellStyle name="Comma 2 4 4 4 2 2 4 2" xfId="17000" xr:uid="{0E3A5E66-DBC1-48C9-A2D0-5D15230577D1}"/>
    <cellStyle name="Comma 2 4 4 4 2 2 4 3" xfId="27416" xr:uid="{D5245B6C-878A-419C-9E7D-59B752390689}"/>
    <cellStyle name="Comma 2 4 4 4 2 2 5" xfId="13633" xr:uid="{B003D1D2-987D-4333-A79F-1664636887F4}"/>
    <cellStyle name="Comma 2 4 4 4 2 2 6" xfId="24049" xr:uid="{24176779-24F5-40DD-A7B1-3E2CD632AC77}"/>
    <cellStyle name="Comma 2 4 4 4 2 3" xfId="1300" xr:uid="{00000000-0005-0000-0000-00007F0C0000}"/>
    <cellStyle name="Comma 2 4 4 4 2 3 2" xfId="8447" xr:uid="{00000000-0005-0000-0000-0000800C0000}"/>
    <cellStyle name="Comma 2 4 4 4 2 3 2 2" xfId="19993" xr:uid="{04D41ABD-7775-488D-BE1D-897769793451}"/>
    <cellStyle name="Comma 2 4 4 4 2 3 2 3" xfId="30409" xr:uid="{D45ED90C-5205-4645-B1F5-1DBCE5534492}"/>
    <cellStyle name="Comma 2 4 4 4 2 3 3" xfId="13635" xr:uid="{5A892570-5454-4548-8034-072B08E8C68E}"/>
    <cellStyle name="Comma 2 4 4 4 2 3 4" xfId="24051" xr:uid="{6D1431BD-0FFD-45BF-8A32-2E0A86948E41}"/>
    <cellStyle name="Comma 2 4 4 4 2 4" xfId="8444" xr:uid="{00000000-0005-0000-0000-0000810C0000}"/>
    <cellStyle name="Comma 2 4 4 4 2 4 2" xfId="19990" xr:uid="{FFBDCD86-D6D8-411A-B8D8-4C400CE1C375}"/>
    <cellStyle name="Comma 2 4 4 4 2 4 3" xfId="30406" xr:uid="{1A0E3D50-804C-4DCD-95DB-95502E780C93}"/>
    <cellStyle name="Comma 2 4 4 4 2 5" xfId="5413" xr:uid="{00000000-0005-0000-0000-0000820C0000}"/>
    <cellStyle name="Comma 2 4 4 4 2 5 2" xfId="16999" xr:uid="{EB8623ED-19F8-41DF-9F57-D14DA293CD84}"/>
    <cellStyle name="Comma 2 4 4 4 2 5 3" xfId="27415" xr:uid="{23264C80-099F-4403-BD40-6FFCE03D3BF4}"/>
    <cellStyle name="Comma 2 4 4 4 2 6" xfId="13632" xr:uid="{8A349BC3-67EF-46FA-8351-22190424ACD4}"/>
    <cellStyle name="Comma 2 4 4 4 2 7" xfId="24048" xr:uid="{871262E4-DC27-411E-95E4-4D28D1A64A6F}"/>
    <cellStyle name="Comma 2 4 4 4 3" xfId="1301" xr:uid="{00000000-0005-0000-0000-0000830C0000}"/>
    <cellStyle name="Comma 2 4 4 4 3 2" xfId="1302" xr:uid="{00000000-0005-0000-0000-0000840C0000}"/>
    <cellStyle name="Comma 2 4 4 4 3 2 2" xfId="8449" xr:uid="{00000000-0005-0000-0000-0000850C0000}"/>
    <cellStyle name="Comma 2 4 4 4 3 2 2 2" xfId="19995" xr:uid="{8DF11754-0F47-4B8E-9907-3ACA5A3FEF45}"/>
    <cellStyle name="Comma 2 4 4 4 3 2 2 3" xfId="30411" xr:uid="{FCCF47DB-4E6E-4A05-94F0-333616D60FBC}"/>
    <cellStyle name="Comma 2 4 4 4 3 2 3" xfId="13637" xr:uid="{8994555F-0520-4A20-A509-4193E77BC763}"/>
    <cellStyle name="Comma 2 4 4 4 3 2 4" xfId="24053" xr:uid="{993BC126-9944-4FC0-B4F7-70A0A8AA79EB}"/>
    <cellStyle name="Comma 2 4 4 4 3 3" xfId="8448" xr:uid="{00000000-0005-0000-0000-0000860C0000}"/>
    <cellStyle name="Comma 2 4 4 4 3 3 2" xfId="19994" xr:uid="{AE4C6BE8-75C4-4D9B-AFDF-32E05E4A5EC6}"/>
    <cellStyle name="Comma 2 4 4 4 3 3 3" xfId="30410" xr:uid="{5F6C447B-CEE7-4EF3-864A-0F7D1CEAA7FC}"/>
    <cellStyle name="Comma 2 4 4 4 3 4" xfId="5415" xr:uid="{00000000-0005-0000-0000-0000870C0000}"/>
    <cellStyle name="Comma 2 4 4 4 3 4 2" xfId="17001" xr:uid="{487C742C-D395-4829-BF5A-107E7A2203A3}"/>
    <cellStyle name="Comma 2 4 4 4 3 4 3" xfId="27417" xr:uid="{D3C5183B-7E8D-4666-BAB4-1ECA8348F2D2}"/>
    <cellStyle name="Comma 2 4 4 4 3 5" xfId="13636" xr:uid="{BDCBDFCD-F215-4D82-924C-CE73FA378644}"/>
    <cellStyle name="Comma 2 4 4 4 3 6" xfId="24052" xr:uid="{2EDB40EF-D1DB-4BB5-9ADD-F6B6BC5E8663}"/>
    <cellStyle name="Comma 2 4 4 4 4" xfId="1303" xr:uid="{00000000-0005-0000-0000-0000880C0000}"/>
    <cellStyle name="Comma 2 4 4 4 4 2" xfId="1304" xr:uid="{00000000-0005-0000-0000-0000890C0000}"/>
    <cellStyle name="Comma 2 4 4 4 4 2 2" xfId="8451" xr:uid="{00000000-0005-0000-0000-00008A0C0000}"/>
    <cellStyle name="Comma 2 4 4 4 4 2 2 2" xfId="19997" xr:uid="{4D30EDB8-3466-452A-BF48-A9515A935C8B}"/>
    <cellStyle name="Comma 2 4 4 4 4 2 2 3" xfId="30413" xr:uid="{988A5970-5DB5-4520-BA0C-D068D720CF5B}"/>
    <cellStyle name="Comma 2 4 4 4 4 2 3" xfId="13639" xr:uid="{BC60C6D8-171C-47A5-BC45-6E33D9126903}"/>
    <cellStyle name="Comma 2 4 4 4 4 2 4" xfId="24055" xr:uid="{A1BF0F8C-5D1A-4DC4-AD8F-6944C66DADD1}"/>
    <cellStyle name="Comma 2 4 4 4 4 3" xfId="8450" xr:uid="{00000000-0005-0000-0000-00008B0C0000}"/>
    <cellStyle name="Comma 2 4 4 4 4 3 2" xfId="19996" xr:uid="{C72D3004-71BE-491D-8E7F-51195CFABAE9}"/>
    <cellStyle name="Comma 2 4 4 4 4 3 3" xfId="30412" xr:uid="{9433C5DA-1E32-4532-82B4-D3C39A727F4E}"/>
    <cellStyle name="Comma 2 4 4 4 4 4" xfId="5416" xr:uid="{00000000-0005-0000-0000-00008C0C0000}"/>
    <cellStyle name="Comma 2 4 4 4 4 4 2" xfId="17002" xr:uid="{F025728B-CF43-4C47-9572-191AC36628B9}"/>
    <cellStyle name="Comma 2 4 4 4 4 4 3" xfId="27418" xr:uid="{0C9CD968-0D47-443B-8D2A-E74602C9CB59}"/>
    <cellStyle name="Comma 2 4 4 4 4 5" xfId="13638" xr:uid="{CE67F01B-8B50-485D-BB64-6CEBF4F242EA}"/>
    <cellStyle name="Comma 2 4 4 4 4 6" xfId="24054" xr:uid="{FBE185A4-786E-481A-BE68-84BCE9864227}"/>
    <cellStyle name="Comma 2 4 4 4 5" xfId="1305" xr:uid="{00000000-0005-0000-0000-00008D0C0000}"/>
    <cellStyle name="Comma 2 4 4 4 5 2" xfId="8452" xr:uid="{00000000-0005-0000-0000-00008E0C0000}"/>
    <cellStyle name="Comma 2 4 4 4 5 2 2" xfId="19998" xr:uid="{8ECF0271-C85C-44AC-9960-FD7BAAA5776E}"/>
    <cellStyle name="Comma 2 4 4 4 5 2 3" xfId="30414" xr:uid="{B3652BAB-4811-443A-A0C7-648BA621072A}"/>
    <cellStyle name="Comma 2 4 4 4 5 3" xfId="13640" xr:uid="{7DAFC28B-4FE8-4F81-811A-3A513FFD0943}"/>
    <cellStyle name="Comma 2 4 4 4 5 4" xfId="24056" xr:uid="{19DA92F2-C937-4A2F-B7B4-15F10C05E76B}"/>
    <cellStyle name="Comma 2 4 4 4 6" xfId="8443" xr:uid="{00000000-0005-0000-0000-00008F0C0000}"/>
    <cellStyle name="Comma 2 4 4 4 6 2" xfId="19989" xr:uid="{F14CE387-5941-4802-B000-CFA1C42C2EC6}"/>
    <cellStyle name="Comma 2 4 4 4 6 3" xfId="30405" xr:uid="{2C6649BC-86C5-4E2C-879D-D0836B1904A6}"/>
    <cellStyle name="Comma 2 4 4 4 7" xfId="5412" xr:uid="{00000000-0005-0000-0000-0000900C0000}"/>
    <cellStyle name="Comma 2 4 4 4 7 2" xfId="16998" xr:uid="{9AD96569-3EA5-44FF-8165-4712F5DE5526}"/>
    <cellStyle name="Comma 2 4 4 4 7 3" xfId="27414" xr:uid="{82F95EF5-6356-43CF-994B-D418637CC018}"/>
    <cellStyle name="Comma 2 4 4 4 8" xfId="13631" xr:uid="{752939CF-D9E8-4D4B-9077-B6A1F16248F6}"/>
    <cellStyle name="Comma 2 4 4 4 9" xfId="24047" xr:uid="{AD9D283C-C733-469B-9A26-EEEE1898F081}"/>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2 2 2" xfId="20002" xr:uid="{122CD22B-E52F-47AC-8674-EAAC7CC891B1}"/>
    <cellStyle name="Comma 2 4 4 5 2 2 2 2 3" xfId="30418" xr:uid="{5605B3D1-FF33-438D-9D1B-FD5762D99E39}"/>
    <cellStyle name="Comma 2 4 4 5 2 2 2 3" xfId="13644" xr:uid="{29044562-A965-43B9-BA88-05ABEE52B9ED}"/>
    <cellStyle name="Comma 2 4 4 5 2 2 2 4" xfId="24060" xr:uid="{EAEE507F-8A83-4FD8-93E2-3E8B8A9FDA1B}"/>
    <cellStyle name="Comma 2 4 4 5 2 2 3" xfId="8455" xr:uid="{00000000-0005-0000-0000-0000960C0000}"/>
    <cellStyle name="Comma 2 4 4 5 2 2 3 2" xfId="20001" xr:uid="{ACCA9E4D-91AF-4899-B410-84D1055B03B3}"/>
    <cellStyle name="Comma 2 4 4 5 2 2 3 3" xfId="30417" xr:uid="{5DF92CF7-E4E5-4576-9CE5-07D90D3DAEE8}"/>
    <cellStyle name="Comma 2 4 4 5 2 2 4" xfId="5419" xr:uid="{00000000-0005-0000-0000-0000970C0000}"/>
    <cellStyle name="Comma 2 4 4 5 2 2 4 2" xfId="17005" xr:uid="{CD9BBFF6-86D7-41A7-904C-CF4AA07EEAA4}"/>
    <cellStyle name="Comma 2 4 4 5 2 2 4 3" xfId="27421" xr:uid="{C7031FD0-C0E1-45A0-9C55-766CDED3B1D9}"/>
    <cellStyle name="Comma 2 4 4 5 2 2 5" xfId="13643" xr:uid="{25795B65-2E98-4B74-B735-A7416F3037D2}"/>
    <cellStyle name="Comma 2 4 4 5 2 2 6" xfId="24059" xr:uid="{E7F0AC4E-4036-4E9C-B803-58E50B567819}"/>
    <cellStyle name="Comma 2 4 4 5 2 3" xfId="1310" xr:uid="{00000000-0005-0000-0000-0000980C0000}"/>
    <cellStyle name="Comma 2 4 4 5 2 3 2" xfId="8457" xr:uid="{00000000-0005-0000-0000-0000990C0000}"/>
    <cellStyle name="Comma 2 4 4 5 2 3 2 2" xfId="20003" xr:uid="{22E93DF5-25C9-4B73-870D-9F1405DD4447}"/>
    <cellStyle name="Comma 2 4 4 5 2 3 2 3" xfId="30419" xr:uid="{F035F91A-093A-4CBA-AA95-F4A54EE7EE66}"/>
    <cellStyle name="Comma 2 4 4 5 2 3 3" xfId="13645" xr:uid="{24E03881-CDB1-45DE-9753-B48C3D555D96}"/>
    <cellStyle name="Comma 2 4 4 5 2 3 4" xfId="24061" xr:uid="{A106176B-E25C-469A-8CE0-B37E113F0275}"/>
    <cellStyle name="Comma 2 4 4 5 2 4" xfId="8454" xr:uid="{00000000-0005-0000-0000-00009A0C0000}"/>
    <cellStyle name="Comma 2 4 4 5 2 4 2" xfId="20000" xr:uid="{3CAC1E76-CE9C-4A2A-81F1-64C58F93CDD2}"/>
    <cellStyle name="Comma 2 4 4 5 2 4 3" xfId="30416" xr:uid="{2E17CBF3-4838-45D9-9991-B0312952B370}"/>
    <cellStyle name="Comma 2 4 4 5 2 5" xfId="5418" xr:uid="{00000000-0005-0000-0000-00009B0C0000}"/>
    <cellStyle name="Comma 2 4 4 5 2 5 2" xfId="17004" xr:uid="{D5B2CE1A-97D5-4B5F-878D-FB741DFD86D7}"/>
    <cellStyle name="Comma 2 4 4 5 2 5 3" xfId="27420" xr:uid="{03FABAB7-F12F-4DFE-B684-BCC5B503E3B1}"/>
    <cellStyle name="Comma 2 4 4 5 2 6" xfId="13642" xr:uid="{CD76EFFE-AE62-4204-8500-70DF5AE9E32A}"/>
    <cellStyle name="Comma 2 4 4 5 2 7" xfId="24058" xr:uid="{65C440ED-E5B7-4910-A5CF-D21F8606107B}"/>
    <cellStyle name="Comma 2 4 4 5 3" xfId="1311" xr:uid="{00000000-0005-0000-0000-00009C0C0000}"/>
    <cellStyle name="Comma 2 4 4 5 3 2" xfId="1312" xr:uid="{00000000-0005-0000-0000-00009D0C0000}"/>
    <cellStyle name="Comma 2 4 4 5 3 2 2" xfId="8459" xr:uid="{00000000-0005-0000-0000-00009E0C0000}"/>
    <cellStyle name="Comma 2 4 4 5 3 2 2 2" xfId="20005" xr:uid="{999DA25C-57CA-4325-93E5-C43296BF6376}"/>
    <cellStyle name="Comma 2 4 4 5 3 2 2 3" xfId="30421" xr:uid="{935275D9-445A-48F8-BF34-C72B9FD4CDCF}"/>
    <cellStyle name="Comma 2 4 4 5 3 2 3" xfId="13647" xr:uid="{1E7A4A22-EDCF-4817-93BF-3F60626CC6E8}"/>
    <cellStyle name="Comma 2 4 4 5 3 2 4" xfId="24063" xr:uid="{39AC9973-99D7-4FF1-9E2B-5B909CEFDF95}"/>
    <cellStyle name="Comma 2 4 4 5 3 3" xfId="8458" xr:uid="{00000000-0005-0000-0000-00009F0C0000}"/>
    <cellStyle name="Comma 2 4 4 5 3 3 2" xfId="20004" xr:uid="{FB93E4E6-3D1C-4D75-A634-51435303A715}"/>
    <cellStyle name="Comma 2 4 4 5 3 3 3" xfId="30420" xr:uid="{DA5706B6-4EC9-4DD6-90C5-DDD859495CCA}"/>
    <cellStyle name="Comma 2 4 4 5 3 4" xfId="5420" xr:uid="{00000000-0005-0000-0000-0000A00C0000}"/>
    <cellStyle name="Comma 2 4 4 5 3 4 2" xfId="17006" xr:uid="{3BFC491E-04A6-48E6-9850-4201C4018BFC}"/>
    <cellStyle name="Comma 2 4 4 5 3 4 3" xfId="27422" xr:uid="{1A480633-CF81-4095-8BA2-DA5802D22E11}"/>
    <cellStyle name="Comma 2 4 4 5 3 5" xfId="13646" xr:uid="{BDAE4885-0ADE-465D-8F9C-3319789424B0}"/>
    <cellStyle name="Comma 2 4 4 5 3 6" xfId="24062" xr:uid="{FF0DFAC9-8E8C-423F-9657-C0FA714D88CA}"/>
    <cellStyle name="Comma 2 4 4 5 4" xfId="1313" xr:uid="{00000000-0005-0000-0000-0000A10C0000}"/>
    <cellStyle name="Comma 2 4 4 5 4 2" xfId="1314" xr:uid="{00000000-0005-0000-0000-0000A20C0000}"/>
    <cellStyle name="Comma 2 4 4 5 4 2 2" xfId="8461" xr:uid="{00000000-0005-0000-0000-0000A30C0000}"/>
    <cellStyle name="Comma 2 4 4 5 4 2 2 2" xfId="20007" xr:uid="{DC5DB295-17FA-4F52-AFF7-030CB816C011}"/>
    <cellStyle name="Comma 2 4 4 5 4 2 2 3" xfId="30423" xr:uid="{9CDD7FEF-B291-4059-B80E-D159C40FD668}"/>
    <cellStyle name="Comma 2 4 4 5 4 2 3" xfId="13649" xr:uid="{1026B498-EAF9-4CD0-8371-34A8696307BF}"/>
    <cellStyle name="Comma 2 4 4 5 4 2 4" xfId="24065" xr:uid="{5DB7B7F4-9D28-4F21-BE10-852D271E95AA}"/>
    <cellStyle name="Comma 2 4 4 5 4 3" xfId="8460" xr:uid="{00000000-0005-0000-0000-0000A40C0000}"/>
    <cellStyle name="Comma 2 4 4 5 4 3 2" xfId="20006" xr:uid="{439A470C-63DA-4CDF-8593-93C343D0E2C7}"/>
    <cellStyle name="Comma 2 4 4 5 4 3 3" xfId="30422" xr:uid="{D42AEE60-C7DA-44C3-BB5D-40A3422177B6}"/>
    <cellStyle name="Comma 2 4 4 5 4 4" xfId="5421" xr:uid="{00000000-0005-0000-0000-0000A50C0000}"/>
    <cellStyle name="Comma 2 4 4 5 4 4 2" xfId="17007" xr:uid="{0D0412B9-C97F-4841-9E52-830CD93E215C}"/>
    <cellStyle name="Comma 2 4 4 5 4 4 3" xfId="27423" xr:uid="{806EB2D6-5C3D-4CB6-99B3-D121509021A5}"/>
    <cellStyle name="Comma 2 4 4 5 4 5" xfId="13648" xr:uid="{B015754C-30C9-420C-AC81-EF8FEF43F61F}"/>
    <cellStyle name="Comma 2 4 4 5 4 6" xfId="24064" xr:uid="{38968BF9-A1A5-4B1D-AA0F-C54804F09514}"/>
    <cellStyle name="Comma 2 4 4 5 5" xfId="1315" xr:uid="{00000000-0005-0000-0000-0000A60C0000}"/>
    <cellStyle name="Comma 2 4 4 5 5 2" xfId="8462" xr:uid="{00000000-0005-0000-0000-0000A70C0000}"/>
    <cellStyle name="Comma 2 4 4 5 5 2 2" xfId="20008" xr:uid="{E6F00169-CDDC-4579-B531-4F399E16EAA9}"/>
    <cellStyle name="Comma 2 4 4 5 5 2 3" xfId="30424" xr:uid="{9C16BFB5-27B1-402B-9179-3D34EEF8C11F}"/>
    <cellStyle name="Comma 2 4 4 5 5 3" xfId="13650" xr:uid="{F526F639-C10A-48FA-9F5E-CD4E13BB09DB}"/>
    <cellStyle name="Comma 2 4 4 5 5 4" xfId="24066" xr:uid="{70773FC0-E86B-4530-BFF3-6CE67EAA9B3C}"/>
    <cellStyle name="Comma 2 4 4 5 6" xfId="8453" xr:uid="{00000000-0005-0000-0000-0000A80C0000}"/>
    <cellStyle name="Comma 2 4 4 5 6 2" xfId="19999" xr:uid="{A6D7E4C2-BA55-4BE9-8415-65F6EDE94A06}"/>
    <cellStyle name="Comma 2 4 4 5 6 3" xfId="30415" xr:uid="{CDA269AF-8338-4540-B7E7-C94BEFD1D0FC}"/>
    <cellStyle name="Comma 2 4 4 5 7" xfId="5417" xr:uid="{00000000-0005-0000-0000-0000A90C0000}"/>
    <cellStyle name="Comma 2 4 4 5 7 2" xfId="17003" xr:uid="{D84A6F7D-9021-47E9-91D3-9E84188EED4D}"/>
    <cellStyle name="Comma 2 4 4 5 7 3" xfId="27419" xr:uid="{A71EFB60-58DB-4554-8870-281291E7CEE6}"/>
    <cellStyle name="Comma 2 4 4 5 8" xfId="13641" xr:uid="{FE37AE40-76CA-49E0-9305-B074B7DFE0DC}"/>
    <cellStyle name="Comma 2 4 4 5 9" xfId="24057" xr:uid="{269F0230-1C59-4BD1-8770-C401813DAA8D}"/>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2 2 2" xfId="20012" xr:uid="{8B492C96-381C-43DE-B1D2-9C8047039787}"/>
    <cellStyle name="Comma 2 4 4 6 2 2 2 2 3" xfId="30428" xr:uid="{9A170416-2E72-4D02-BFA2-3F0BBAAED0D6}"/>
    <cellStyle name="Comma 2 4 4 6 2 2 2 3" xfId="13654" xr:uid="{EC007800-7F28-4BBC-B7C1-D3E2AF7E5468}"/>
    <cellStyle name="Comma 2 4 4 6 2 2 2 4" xfId="24070" xr:uid="{83C02432-B6F8-498A-886F-C42F85835BEB}"/>
    <cellStyle name="Comma 2 4 4 6 2 2 3" xfId="8465" xr:uid="{00000000-0005-0000-0000-0000AF0C0000}"/>
    <cellStyle name="Comma 2 4 4 6 2 2 3 2" xfId="20011" xr:uid="{9FB00F8F-1B73-4401-BAC4-3B31AD8A58D7}"/>
    <cellStyle name="Comma 2 4 4 6 2 2 3 3" xfId="30427" xr:uid="{1C72B056-73BD-4993-837A-FFA82B747217}"/>
    <cellStyle name="Comma 2 4 4 6 2 2 4" xfId="5424" xr:uid="{00000000-0005-0000-0000-0000B00C0000}"/>
    <cellStyle name="Comma 2 4 4 6 2 2 4 2" xfId="17010" xr:uid="{0BB3AC7D-32CC-4878-A4EA-62BBD5F15844}"/>
    <cellStyle name="Comma 2 4 4 6 2 2 4 3" xfId="27426" xr:uid="{2597686F-EB15-4811-B591-96A12383DB9A}"/>
    <cellStyle name="Comma 2 4 4 6 2 2 5" xfId="13653" xr:uid="{28FF4360-D71F-4F91-8B38-EDF12002D936}"/>
    <cellStyle name="Comma 2 4 4 6 2 2 6" xfId="24069" xr:uid="{200DED06-54D3-4DDF-83F6-641B8F4053B4}"/>
    <cellStyle name="Comma 2 4 4 6 2 3" xfId="1320" xr:uid="{00000000-0005-0000-0000-0000B10C0000}"/>
    <cellStyle name="Comma 2 4 4 6 2 3 2" xfId="8467" xr:uid="{00000000-0005-0000-0000-0000B20C0000}"/>
    <cellStyle name="Comma 2 4 4 6 2 3 2 2" xfId="20013" xr:uid="{FAAEC205-B447-4FC7-8934-0D94A9A87503}"/>
    <cellStyle name="Comma 2 4 4 6 2 3 2 3" xfId="30429" xr:uid="{15132E2A-C43C-404F-BB42-03904212BDD5}"/>
    <cellStyle name="Comma 2 4 4 6 2 3 3" xfId="13655" xr:uid="{248AE101-102F-4816-8F81-B5FBE330D67C}"/>
    <cellStyle name="Comma 2 4 4 6 2 3 4" xfId="24071" xr:uid="{97F52832-F016-4743-BA2B-85BBD3E9A848}"/>
    <cellStyle name="Comma 2 4 4 6 2 4" xfId="8464" xr:uid="{00000000-0005-0000-0000-0000B30C0000}"/>
    <cellStyle name="Comma 2 4 4 6 2 4 2" xfId="20010" xr:uid="{F8DA9061-CA89-4B06-8889-0E56772C7720}"/>
    <cellStyle name="Comma 2 4 4 6 2 4 3" xfId="30426" xr:uid="{33F27470-E320-4261-9DB8-2EF5AE638FC0}"/>
    <cellStyle name="Comma 2 4 4 6 2 5" xfId="5423" xr:uid="{00000000-0005-0000-0000-0000B40C0000}"/>
    <cellStyle name="Comma 2 4 4 6 2 5 2" xfId="17009" xr:uid="{43B852D6-B5DB-470B-901B-86A0D7D63258}"/>
    <cellStyle name="Comma 2 4 4 6 2 5 3" xfId="27425" xr:uid="{13324F14-B2F8-4BDF-928C-2D8FD7D3F60B}"/>
    <cellStyle name="Comma 2 4 4 6 2 6" xfId="13652" xr:uid="{E46E698B-1CE7-4333-ABA0-B12CFA6FEB2D}"/>
    <cellStyle name="Comma 2 4 4 6 2 7" xfId="24068" xr:uid="{18EC2E6A-F93E-4C80-89F8-DCC76345F2EE}"/>
    <cellStyle name="Comma 2 4 4 6 3" xfId="1321" xr:uid="{00000000-0005-0000-0000-0000B50C0000}"/>
    <cellStyle name="Comma 2 4 4 6 3 2" xfId="1322" xr:uid="{00000000-0005-0000-0000-0000B60C0000}"/>
    <cellStyle name="Comma 2 4 4 6 3 2 2" xfId="8469" xr:uid="{00000000-0005-0000-0000-0000B70C0000}"/>
    <cellStyle name="Comma 2 4 4 6 3 2 2 2" xfId="20015" xr:uid="{C1CB2ED2-400F-4FB9-824D-BFFFAD21F58F}"/>
    <cellStyle name="Comma 2 4 4 6 3 2 2 3" xfId="30431" xr:uid="{D62F3653-2BC4-4E05-BD40-F844C4150A9C}"/>
    <cellStyle name="Comma 2 4 4 6 3 2 3" xfId="13657" xr:uid="{76D39569-2653-4755-A9F9-9ED3B0D9A473}"/>
    <cellStyle name="Comma 2 4 4 6 3 2 4" xfId="24073" xr:uid="{51313918-5F92-4882-B7A0-2176BB386331}"/>
    <cellStyle name="Comma 2 4 4 6 3 3" xfId="8468" xr:uid="{00000000-0005-0000-0000-0000B80C0000}"/>
    <cellStyle name="Comma 2 4 4 6 3 3 2" xfId="20014" xr:uid="{71AC0BF1-A2BD-471C-B67A-C49F76B64D5B}"/>
    <cellStyle name="Comma 2 4 4 6 3 3 3" xfId="30430" xr:uid="{1FD0BD9E-6ED9-4031-A51E-7C2A5C810BF6}"/>
    <cellStyle name="Comma 2 4 4 6 3 4" xfId="5425" xr:uid="{00000000-0005-0000-0000-0000B90C0000}"/>
    <cellStyle name="Comma 2 4 4 6 3 4 2" xfId="17011" xr:uid="{1A38A542-9C1D-4FF3-B690-B90EA5CB3BE1}"/>
    <cellStyle name="Comma 2 4 4 6 3 4 3" xfId="27427" xr:uid="{411D716C-D3CA-4C04-AA1F-DFB5C6237DB5}"/>
    <cellStyle name="Comma 2 4 4 6 3 5" xfId="13656" xr:uid="{86121CED-5199-45E5-A4A7-F720A1E6219F}"/>
    <cellStyle name="Comma 2 4 4 6 3 6" xfId="24072" xr:uid="{3A2ADED3-A87F-4EE1-A7F3-819C07AD00A2}"/>
    <cellStyle name="Comma 2 4 4 6 4" xfId="1323" xr:uid="{00000000-0005-0000-0000-0000BA0C0000}"/>
    <cellStyle name="Comma 2 4 4 6 4 2" xfId="1324" xr:uid="{00000000-0005-0000-0000-0000BB0C0000}"/>
    <cellStyle name="Comma 2 4 4 6 4 2 2" xfId="8471" xr:uid="{00000000-0005-0000-0000-0000BC0C0000}"/>
    <cellStyle name="Comma 2 4 4 6 4 2 2 2" xfId="20017" xr:uid="{8EC10EC5-39E3-4E5F-AF41-62D478E0A5A0}"/>
    <cellStyle name="Comma 2 4 4 6 4 2 2 3" xfId="30433" xr:uid="{64797EAB-8E63-4FB8-86E9-6DDBD57FAB23}"/>
    <cellStyle name="Comma 2 4 4 6 4 2 3" xfId="13659" xr:uid="{7666B43B-B11E-47FB-9C8C-D1DCFF028966}"/>
    <cellStyle name="Comma 2 4 4 6 4 2 4" xfId="24075" xr:uid="{D0AA8B74-8A3B-438B-9699-683AFB26DBDD}"/>
    <cellStyle name="Comma 2 4 4 6 4 3" xfId="8470" xr:uid="{00000000-0005-0000-0000-0000BD0C0000}"/>
    <cellStyle name="Comma 2 4 4 6 4 3 2" xfId="20016" xr:uid="{7AA20D86-C58B-4837-A5C1-E7BBFA11E9E4}"/>
    <cellStyle name="Comma 2 4 4 6 4 3 3" xfId="30432" xr:uid="{A13672CC-CBEA-4955-9015-FA048EEF4F35}"/>
    <cellStyle name="Comma 2 4 4 6 4 4" xfId="5426" xr:uid="{00000000-0005-0000-0000-0000BE0C0000}"/>
    <cellStyle name="Comma 2 4 4 6 4 4 2" xfId="17012" xr:uid="{D9AFB966-5F44-4204-A2C6-6149B4D70B2D}"/>
    <cellStyle name="Comma 2 4 4 6 4 4 3" xfId="27428" xr:uid="{EB18ED35-6F5C-498F-9657-CC5840CF6F41}"/>
    <cellStyle name="Comma 2 4 4 6 4 5" xfId="13658" xr:uid="{14CCBDA1-66B5-41C0-9B9E-28DD334D2713}"/>
    <cellStyle name="Comma 2 4 4 6 4 6" xfId="24074" xr:uid="{6EF644CB-075D-4698-A51F-B55C93803D68}"/>
    <cellStyle name="Comma 2 4 4 6 5" xfId="1325" xr:uid="{00000000-0005-0000-0000-0000BF0C0000}"/>
    <cellStyle name="Comma 2 4 4 6 5 2" xfId="8472" xr:uid="{00000000-0005-0000-0000-0000C00C0000}"/>
    <cellStyle name="Comma 2 4 4 6 5 2 2" xfId="20018" xr:uid="{4926CE60-59AC-4ED2-A557-EF0B69E169D2}"/>
    <cellStyle name="Comma 2 4 4 6 5 2 3" xfId="30434" xr:uid="{A97163E0-BC73-417D-9F69-CA24D0217C5D}"/>
    <cellStyle name="Comma 2 4 4 6 5 3" xfId="13660" xr:uid="{4F96E8CD-87CA-4D44-855E-9D2DDEAC2099}"/>
    <cellStyle name="Comma 2 4 4 6 5 4" xfId="24076" xr:uid="{8AE78894-BFA5-4191-A597-45ECE8DAC5C1}"/>
    <cellStyle name="Comma 2 4 4 6 6" xfId="8463" xr:uid="{00000000-0005-0000-0000-0000C10C0000}"/>
    <cellStyle name="Comma 2 4 4 6 6 2" xfId="20009" xr:uid="{117B4366-CF39-44E0-870B-DDFB6013E989}"/>
    <cellStyle name="Comma 2 4 4 6 6 3" xfId="30425" xr:uid="{9F9F00F1-18CA-48FF-860E-8693F7611BB4}"/>
    <cellStyle name="Comma 2 4 4 6 7" xfId="5422" xr:uid="{00000000-0005-0000-0000-0000C20C0000}"/>
    <cellStyle name="Comma 2 4 4 6 7 2" xfId="17008" xr:uid="{1B260CDC-8E43-484D-90FE-61C575504DB5}"/>
    <cellStyle name="Comma 2 4 4 6 7 3" xfId="27424" xr:uid="{66F4CC5B-9126-4D12-B740-21E450EC1D79}"/>
    <cellStyle name="Comma 2 4 4 6 8" xfId="13651" xr:uid="{3013DDDD-E0E5-4796-8F7D-1BF404A93F51}"/>
    <cellStyle name="Comma 2 4 4 6 9" xfId="24067" xr:uid="{F1003B32-98E4-4BA5-A8F6-7A636EB5F83A}"/>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2 2 2" xfId="20021" xr:uid="{27A6C947-D66D-4DB8-96A0-96EB3075B074}"/>
    <cellStyle name="Comma 2 4 4 7 2 2 2 3" xfId="30437" xr:uid="{5A66FD30-6D64-403C-885F-F1C3752E2A4D}"/>
    <cellStyle name="Comma 2 4 4 7 2 2 3" xfId="13663" xr:uid="{AC795727-B991-4F67-A73F-B0C37151BDBE}"/>
    <cellStyle name="Comma 2 4 4 7 2 2 4" xfId="24079" xr:uid="{07FC1B01-4F98-4891-A530-E3C83DE8C4DD}"/>
    <cellStyle name="Comma 2 4 4 7 2 3" xfId="8474" xr:uid="{00000000-0005-0000-0000-0000C70C0000}"/>
    <cellStyle name="Comma 2 4 4 7 2 3 2" xfId="20020" xr:uid="{FD5F46E4-BD35-4764-B53F-D6B5055BE2A8}"/>
    <cellStyle name="Comma 2 4 4 7 2 3 3" xfId="30436" xr:uid="{32542244-E118-4609-B3C9-B1CC9C3A68FA}"/>
    <cellStyle name="Comma 2 4 4 7 2 4" xfId="5428" xr:uid="{00000000-0005-0000-0000-0000C80C0000}"/>
    <cellStyle name="Comma 2 4 4 7 2 4 2" xfId="17014" xr:uid="{5A80EBD5-9B8E-45C9-BD51-F34BFE96D7B8}"/>
    <cellStyle name="Comma 2 4 4 7 2 4 3" xfId="27430" xr:uid="{54F4CCD1-8DA5-429D-925E-3D533F3C7511}"/>
    <cellStyle name="Comma 2 4 4 7 2 5" xfId="13662" xr:uid="{9B9633E6-1B96-4763-92FE-BEA9E5E01FDF}"/>
    <cellStyle name="Comma 2 4 4 7 2 6" xfId="24078" xr:uid="{96520ED8-CA8D-402A-B1D4-ABD26AE34BB5}"/>
    <cellStyle name="Comma 2 4 4 7 3" xfId="1329" xr:uid="{00000000-0005-0000-0000-0000C90C0000}"/>
    <cellStyle name="Comma 2 4 4 7 3 2" xfId="1330" xr:uid="{00000000-0005-0000-0000-0000CA0C0000}"/>
    <cellStyle name="Comma 2 4 4 7 3 2 2" xfId="8477" xr:uid="{00000000-0005-0000-0000-0000CB0C0000}"/>
    <cellStyle name="Comma 2 4 4 7 3 2 2 2" xfId="20023" xr:uid="{5FF99277-0C8D-4679-976F-25135BE71AF2}"/>
    <cellStyle name="Comma 2 4 4 7 3 2 2 3" xfId="30439" xr:uid="{6ED74309-7A66-4E62-BBD2-442942EC1DBF}"/>
    <cellStyle name="Comma 2 4 4 7 3 2 3" xfId="13665" xr:uid="{ECA5B5D6-307D-4006-9629-2EC50C46E190}"/>
    <cellStyle name="Comma 2 4 4 7 3 2 4" xfId="24081" xr:uid="{979A702E-78A3-4D8E-B169-4E6624E64EB8}"/>
    <cellStyle name="Comma 2 4 4 7 3 3" xfId="8476" xr:uid="{00000000-0005-0000-0000-0000CC0C0000}"/>
    <cellStyle name="Comma 2 4 4 7 3 3 2" xfId="20022" xr:uid="{DD57AAF3-B327-4CDA-BFFC-057F98C0893D}"/>
    <cellStyle name="Comma 2 4 4 7 3 3 3" xfId="30438" xr:uid="{D4E0658A-F04E-4634-AF5D-E3607C2D49FD}"/>
    <cellStyle name="Comma 2 4 4 7 3 4" xfId="5429" xr:uid="{00000000-0005-0000-0000-0000CD0C0000}"/>
    <cellStyle name="Comma 2 4 4 7 3 4 2" xfId="17015" xr:uid="{EE8B4A53-5ED3-4CC7-B22E-4EFAB93329EC}"/>
    <cellStyle name="Comma 2 4 4 7 3 4 3" xfId="27431" xr:uid="{20748146-04F3-451B-8A54-A86863B84402}"/>
    <cellStyle name="Comma 2 4 4 7 3 5" xfId="13664" xr:uid="{AB3CACD1-6C56-496E-9171-F7B56E1E0BE2}"/>
    <cellStyle name="Comma 2 4 4 7 3 6" xfId="24080" xr:uid="{CAC57E44-9D93-417A-A253-25E00538B762}"/>
    <cellStyle name="Comma 2 4 4 7 4" xfId="1331" xr:uid="{00000000-0005-0000-0000-0000CE0C0000}"/>
    <cellStyle name="Comma 2 4 4 7 4 2" xfId="8478" xr:uid="{00000000-0005-0000-0000-0000CF0C0000}"/>
    <cellStyle name="Comma 2 4 4 7 4 2 2" xfId="20024" xr:uid="{060F7CDE-A39F-42CF-89B8-E4B0B030E446}"/>
    <cellStyle name="Comma 2 4 4 7 4 2 3" xfId="30440" xr:uid="{318D270B-CD74-49CF-8F2B-97F1553E7322}"/>
    <cellStyle name="Comma 2 4 4 7 4 3" xfId="13666" xr:uid="{C35D48DE-5D7F-4835-BBA2-909D657C998D}"/>
    <cellStyle name="Comma 2 4 4 7 4 4" xfId="24082" xr:uid="{75060024-3FE9-4905-9238-590141D96B9A}"/>
    <cellStyle name="Comma 2 4 4 7 5" xfId="8473" xr:uid="{00000000-0005-0000-0000-0000D00C0000}"/>
    <cellStyle name="Comma 2 4 4 7 5 2" xfId="20019" xr:uid="{DF5E17FA-8F31-4DAD-A430-4157CDBC7588}"/>
    <cellStyle name="Comma 2 4 4 7 5 3" xfId="30435" xr:uid="{8E2CF3FF-29FF-4CBB-BCD5-1CA071D6DE91}"/>
    <cellStyle name="Comma 2 4 4 7 6" xfId="5427" xr:uid="{00000000-0005-0000-0000-0000D10C0000}"/>
    <cellStyle name="Comma 2 4 4 7 6 2" xfId="17013" xr:uid="{F136B158-C715-4EF0-BC48-D74CCBE4C5A8}"/>
    <cellStyle name="Comma 2 4 4 7 6 3" xfId="27429" xr:uid="{9B949943-A824-4732-B23D-A4779FD9FF2F}"/>
    <cellStyle name="Comma 2 4 4 7 7" xfId="13661" xr:uid="{67DAECFA-11C9-4627-9168-8B953D32E6DA}"/>
    <cellStyle name="Comma 2 4 4 7 8" xfId="24077" xr:uid="{22718F60-C315-4119-9F63-EB0068472C26}"/>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2 2 2" xfId="20027" xr:uid="{3F3CCEC8-7DB2-4975-840B-3A6AAAEDB9FF}"/>
    <cellStyle name="Comma 2 4 4 8 2 2 2 3" xfId="30443" xr:uid="{F2DA5E5C-566F-4B07-B946-7ECDF1CB7903}"/>
    <cellStyle name="Comma 2 4 4 8 2 2 3" xfId="13669" xr:uid="{270EC957-3CE5-46EE-AFFC-0ED993F7FB12}"/>
    <cellStyle name="Comma 2 4 4 8 2 2 4" xfId="24085" xr:uid="{DEC698B3-7829-41C1-85D9-A746F54ECC9D}"/>
    <cellStyle name="Comma 2 4 4 8 2 3" xfId="8480" xr:uid="{00000000-0005-0000-0000-0000D60C0000}"/>
    <cellStyle name="Comma 2 4 4 8 2 3 2" xfId="20026" xr:uid="{377E317B-762B-4614-B4F4-EBDFD2F21C1E}"/>
    <cellStyle name="Comma 2 4 4 8 2 3 3" xfId="30442" xr:uid="{DABA8748-A1BE-4F2E-BDD6-BC95EE92DCC4}"/>
    <cellStyle name="Comma 2 4 4 8 2 4" xfId="5431" xr:uid="{00000000-0005-0000-0000-0000D70C0000}"/>
    <cellStyle name="Comma 2 4 4 8 2 4 2" xfId="17017" xr:uid="{F71C82D5-0E18-4856-957B-77B6ECA9D1EB}"/>
    <cellStyle name="Comma 2 4 4 8 2 4 3" xfId="27433" xr:uid="{E97059EC-7E09-42CD-83DA-336464C9342B}"/>
    <cellStyle name="Comma 2 4 4 8 2 5" xfId="13668" xr:uid="{03937D7E-0080-4EF9-AAC7-1B9270258013}"/>
    <cellStyle name="Comma 2 4 4 8 2 6" xfId="24084" xr:uid="{3B49F2B2-1ED1-48AF-885F-DC2D5162F077}"/>
    <cellStyle name="Comma 2 4 4 8 3" xfId="1335" xr:uid="{00000000-0005-0000-0000-0000D80C0000}"/>
    <cellStyle name="Comma 2 4 4 8 3 2" xfId="8482" xr:uid="{00000000-0005-0000-0000-0000D90C0000}"/>
    <cellStyle name="Comma 2 4 4 8 3 2 2" xfId="20028" xr:uid="{5E3CD057-132C-43B2-8883-2FE21D190CB9}"/>
    <cellStyle name="Comma 2 4 4 8 3 2 3" xfId="30444" xr:uid="{BF5E35EB-184E-4D2A-B73A-26E78CF236E0}"/>
    <cellStyle name="Comma 2 4 4 8 3 3" xfId="13670" xr:uid="{3B38DCD8-B85C-4CCE-A946-3E68E5A6A145}"/>
    <cellStyle name="Comma 2 4 4 8 3 4" xfId="24086" xr:uid="{5A3ECFC5-231B-4394-98B2-7D983EEDF34C}"/>
    <cellStyle name="Comma 2 4 4 8 4" xfId="8479" xr:uid="{00000000-0005-0000-0000-0000DA0C0000}"/>
    <cellStyle name="Comma 2 4 4 8 4 2" xfId="20025" xr:uid="{7FCF095A-1396-4FD3-8238-63EAC78820C2}"/>
    <cellStyle name="Comma 2 4 4 8 4 3" xfId="30441" xr:uid="{F77DF631-6CC6-4A8F-99AB-4D487AFE5B57}"/>
    <cellStyle name="Comma 2 4 4 8 5" xfId="5430" xr:uid="{00000000-0005-0000-0000-0000DB0C0000}"/>
    <cellStyle name="Comma 2 4 4 8 5 2" xfId="17016" xr:uid="{36263927-BC9A-48EE-A567-C2636650260A}"/>
    <cellStyle name="Comma 2 4 4 8 5 3" xfId="27432" xr:uid="{77941706-714A-4D22-99C4-1CE5F05BEC82}"/>
    <cellStyle name="Comma 2 4 4 8 6" xfId="13667" xr:uid="{9C79083C-777C-4DF6-968B-E56953B962BF}"/>
    <cellStyle name="Comma 2 4 4 8 7" xfId="24083" xr:uid="{0D0FB4C3-808D-42D6-BABE-369D64FD4D1C}"/>
    <cellStyle name="Comma 2 4 4 9" xfId="1336" xr:uid="{00000000-0005-0000-0000-0000DC0C0000}"/>
    <cellStyle name="Comma 2 4 4 9 2" xfId="1337" xr:uid="{00000000-0005-0000-0000-0000DD0C0000}"/>
    <cellStyle name="Comma 2 4 4 9 2 2" xfId="8484" xr:uid="{00000000-0005-0000-0000-0000DE0C0000}"/>
    <cellStyle name="Comma 2 4 4 9 2 2 2" xfId="20030" xr:uid="{26E09CD5-51FA-4A4D-816D-C3A396146E50}"/>
    <cellStyle name="Comma 2 4 4 9 2 2 3" xfId="30446" xr:uid="{40B7DF8F-44A8-4B03-8A4F-3B4FF4D3D6E5}"/>
    <cellStyle name="Comma 2 4 4 9 2 3" xfId="13672" xr:uid="{C2114A6A-381A-451F-913B-93D4F3DC7BB6}"/>
    <cellStyle name="Comma 2 4 4 9 2 4" xfId="24088" xr:uid="{F730717C-A635-4FD0-9EB8-8C292BBA759B}"/>
    <cellStyle name="Comma 2 4 4 9 3" xfId="8483" xr:uid="{00000000-0005-0000-0000-0000DF0C0000}"/>
    <cellStyle name="Comma 2 4 4 9 3 2" xfId="20029" xr:uid="{13FEB65E-CABC-40B0-8B50-C01E5104E1D7}"/>
    <cellStyle name="Comma 2 4 4 9 3 3" xfId="30445" xr:uid="{6930354F-1C19-4389-AA4D-2CF3BB878B3A}"/>
    <cellStyle name="Comma 2 4 4 9 4" xfId="5432" xr:uid="{00000000-0005-0000-0000-0000E00C0000}"/>
    <cellStyle name="Comma 2 4 4 9 4 2" xfId="17018" xr:uid="{83902798-6F8A-45C1-8668-53096A8327CE}"/>
    <cellStyle name="Comma 2 4 4 9 4 3" xfId="27434" xr:uid="{DC13636E-022B-48E2-AB89-FB55FB4DD196}"/>
    <cellStyle name="Comma 2 4 4 9 5" xfId="13671" xr:uid="{16FADD04-6CD7-414B-84BF-190306A5EA4C}"/>
    <cellStyle name="Comma 2 4 4 9 6" xfId="24087" xr:uid="{F26A6923-9461-48C6-BCF8-E9BED1842C46}"/>
    <cellStyle name="Comma 2 4 5" xfId="1338" xr:uid="{00000000-0005-0000-0000-0000E10C0000}"/>
    <cellStyle name="Comma 2 4 5 10" xfId="1339" xr:uid="{00000000-0005-0000-0000-0000E20C0000}"/>
    <cellStyle name="Comma 2 4 5 10 2" xfId="8486" xr:uid="{00000000-0005-0000-0000-0000E30C0000}"/>
    <cellStyle name="Comma 2 4 5 10 2 2" xfId="20032" xr:uid="{E1FCAE1E-6ECE-4460-9CA5-084A9A289792}"/>
    <cellStyle name="Comma 2 4 5 10 2 3" xfId="30448" xr:uid="{C0197404-A25C-49CE-9700-BC15A88DE3F5}"/>
    <cellStyle name="Comma 2 4 5 10 3" xfId="13674" xr:uid="{5406962B-4F07-4188-9EC8-CC78C6EE82D7}"/>
    <cellStyle name="Comma 2 4 5 10 4" xfId="24090" xr:uid="{41349D91-1CB2-43D0-AD57-932FE9556DA7}"/>
    <cellStyle name="Comma 2 4 5 11" xfId="8485" xr:uid="{00000000-0005-0000-0000-0000E40C0000}"/>
    <cellStyle name="Comma 2 4 5 11 2" xfId="20031" xr:uid="{5213883C-9E7A-41A7-AB1E-0C463D8E5331}"/>
    <cellStyle name="Comma 2 4 5 11 3" xfId="30447" xr:uid="{9CA7C4A9-EBAA-4CC4-8827-2FF0A494CCBF}"/>
    <cellStyle name="Comma 2 4 5 12" xfId="5433" xr:uid="{00000000-0005-0000-0000-0000E50C0000}"/>
    <cellStyle name="Comma 2 4 5 12 2" xfId="17019" xr:uid="{A3E2D97E-CA06-4273-A441-7DC634D5ECD4}"/>
    <cellStyle name="Comma 2 4 5 12 3" xfId="27435" xr:uid="{03BEB04B-3057-44CD-8ED0-C171414A4317}"/>
    <cellStyle name="Comma 2 4 5 13" xfId="13673" xr:uid="{5147FC8E-0516-4889-B2D0-C6983AE58B09}"/>
    <cellStyle name="Comma 2 4 5 14" xfId="24089" xr:uid="{6AC6D5F6-E0F0-4970-A7C3-3C46C9B89E4D}"/>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2 2 2" xfId="20036" xr:uid="{3382BD3C-B1BB-43FA-855D-79D51AC8BE7D}"/>
    <cellStyle name="Comma 2 4 5 2 2 2 2 2 3" xfId="30452" xr:uid="{3D1309EE-687A-4CB1-A9D6-560E7CB5F8EB}"/>
    <cellStyle name="Comma 2 4 5 2 2 2 2 3" xfId="13678" xr:uid="{29166492-A876-446B-A184-D10BD9749D3C}"/>
    <cellStyle name="Comma 2 4 5 2 2 2 2 4" xfId="24094" xr:uid="{418CC9FB-603A-4852-A01D-9D0CD02A65E7}"/>
    <cellStyle name="Comma 2 4 5 2 2 2 3" xfId="8489" xr:uid="{00000000-0005-0000-0000-0000EB0C0000}"/>
    <cellStyle name="Comma 2 4 5 2 2 2 3 2" xfId="20035" xr:uid="{197ECF2D-B269-4DA0-8CA1-650E525EE622}"/>
    <cellStyle name="Comma 2 4 5 2 2 2 3 3" xfId="30451" xr:uid="{D71DA04E-D806-4A2E-AB68-9DF111AB8AEF}"/>
    <cellStyle name="Comma 2 4 5 2 2 2 4" xfId="5436" xr:uid="{00000000-0005-0000-0000-0000EC0C0000}"/>
    <cellStyle name="Comma 2 4 5 2 2 2 4 2" xfId="17022" xr:uid="{3CD4A6BD-9964-4A0B-BB83-5BFB8CB4521B}"/>
    <cellStyle name="Comma 2 4 5 2 2 2 4 3" xfId="27438" xr:uid="{75D3F48B-0176-44B8-8226-CA161C778AB1}"/>
    <cellStyle name="Comma 2 4 5 2 2 2 5" xfId="13677" xr:uid="{038CFA5C-3048-4342-BF15-E234F247A5A7}"/>
    <cellStyle name="Comma 2 4 5 2 2 2 6" xfId="24093" xr:uid="{B6062D20-0EA8-4723-B168-7CD70D18DC4D}"/>
    <cellStyle name="Comma 2 4 5 2 2 3" xfId="1344" xr:uid="{00000000-0005-0000-0000-0000ED0C0000}"/>
    <cellStyle name="Comma 2 4 5 2 2 3 2" xfId="8491" xr:uid="{00000000-0005-0000-0000-0000EE0C0000}"/>
    <cellStyle name="Comma 2 4 5 2 2 3 2 2" xfId="20037" xr:uid="{36818B11-66B3-4A3C-95D5-A6E00C556DD6}"/>
    <cellStyle name="Comma 2 4 5 2 2 3 2 3" xfId="30453" xr:uid="{020A8649-F2E1-4364-A059-A7E86CF4AB52}"/>
    <cellStyle name="Comma 2 4 5 2 2 3 3" xfId="13679" xr:uid="{5E9D45A2-8214-47E9-B4CE-1536A1FEACF2}"/>
    <cellStyle name="Comma 2 4 5 2 2 3 4" xfId="24095" xr:uid="{BEA9E509-5DD5-4539-BF80-2C116EB118E7}"/>
    <cellStyle name="Comma 2 4 5 2 2 4" xfId="8488" xr:uid="{00000000-0005-0000-0000-0000EF0C0000}"/>
    <cellStyle name="Comma 2 4 5 2 2 4 2" xfId="20034" xr:uid="{EB7DA913-D63B-41D1-8A83-4B156E07E3B2}"/>
    <cellStyle name="Comma 2 4 5 2 2 4 3" xfId="30450" xr:uid="{73CCB1EB-DA88-47C7-A6C4-2A230F8859C1}"/>
    <cellStyle name="Comma 2 4 5 2 2 5" xfId="5435" xr:uid="{00000000-0005-0000-0000-0000F00C0000}"/>
    <cellStyle name="Comma 2 4 5 2 2 5 2" xfId="17021" xr:uid="{275E1AFF-E338-4AA4-8BC6-8CEE97D5AC0B}"/>
    <cellStyle name="Comma 2 4 5 2 2 5 3" xfId="27437" xr:uid="{BAABF1F4-7FBE-4DE3-8DBB-DA41A7BACB16}"/>
    <cellStyle name="Comma 2 4 5 2 2 6" xfId="13676" xr:uid="{567C5A10-692E-415E-9AC7-626CE0A919B9}"/>
    <cellStyle name="Comma 2 4 5 2 2 7" xfId="24092" xr:uid="{8EB50B2B-831F-416A-90EB-033E49377F13}"/>
    <cellStyle name="Comma 2 4 5 2 3" xfId="1345" xr:uid="{00000000-0005-0000-0000-0000F10C0000}"/>
    <cellStyle name="Comma 2 4 5 2 3 2" xfId="1346" xr:uid="{00000000-0005-0000-0000-0000F20C0000}"/>
    <cellStyle name="Comma 2 4 5 2 3 2 2" xfId="8493" xr:uid="{00000000-0005-0000-0000-0000F30C0000}"/>
    <cellStyle name="Comma 2 4 5 2 3 2 2 2" xfId="20039" xr:uid="{A9B47571-C806-48B1-B8D7-8909F22D1FE0}"/>
    <cellStyle name="Comma 2 4 5 2 3 2 2 3" xfId="30455" xr:uid="{83877291-81DE-4957-9E68-B82C41B3BA4C}"/>
    <cellStyle name="Comma 2 4 5 2 3 2 3" xfId="13681" xr:uid="{242FABAD-CBD3-4BD8-8B88-61C0C05E5A33}"/>
    <cellStyle name="Comma 2 4 5 2 3 2 4" xfId="24097" xr:uid="{B6B8994D-79EB-46E3-B2B1-E2283B4F3298}"/>
    <cellStyle name="Comma 2 4 5 2 3 3" xfId="8492" xr:uid="{00000000-0005-0000-0000-0000F40C0000}"/>
    <cellStyle name="Comma 2 4 5 2 3 3 2" xfId="20038" xr:uid="{EB7C7DBD-FED0-4748-8B45-3FC475FE8652}"/>
    <cellStyle name="Comma 2 4 5 2 3 3 3" xfId="30454" xr:uid="{F31FAEC7-9306-449C-AFBB-7B93E0E2EBF1}"/>
    <cellStyle name="Comma 2 4 5 2 3 4" xfId="5437" xr:uid="{00000000-0005-0000-0000-0000F50C0000}"/>
    <cellStyle name="Comma 2 4 5 2 3 4 2" xfId="17023" xr:uid="{90F49C54-162F-4429-AF04-935A06C4846F}"/>
    <cellStyle name="Comma 2 4 5 2 3 4 3" xfId="27439" xr:uid="{9E31CDB3-279A-4210-8603-6B35FF9031F9}"/>
    <cellStyle name="Comma 2 4 5 2 3 5" xfId="13680" xr:uid="{8865AAE4-7B39-49E2-A573-2B34F7A43C3B}"/>
    <cellStyle name="Comma 2 4 5 2 3 6" xfId="24096" xr:uid="{7F4962DB-E58C-4E74-9261-F828E3936FA5}"/>
    <cellStyle name="Comma 2 4 5 2 4" xfId="1347" xr:uid="{00000000-0005-0000-0000-0000F60C0000}"/>
    <cellStyle name="Comma 2 4 5 2 4 2" xfId="1348" xr:uid="{00000000-0005-0000-0000-0000F70C0000}"/>
    <cellStyle name="Comma 2 4 5 2 4 2 2" xfId="8495" xr:uid="{00000000-0005-0000-0000-0000F80C0000}"/>
    <cellStyle name="Comma 2 4 5 2 4 2 2 2" xfId="20041" xr:uid="{D115590C-EC8B-4870-B3BE-F0B7A8D08403}"/>
    <cellStyle name="Comma 2 4 5 2 4 2 2 3" xfId="30457" xr:uid="{0ED66399-BA36-4A0A-8D4A-1DAFB6D73815}"/>
    <cellStyle name="Comma 2 4 5 2 4 2 3" xfId="13683" xr:uid="{F6E49F95-951A-487C-AE4E-D926DAB2D1D2}"/>
    <cellStyle name="Comma 2 4 5 2 4 2 4" xfId="24099" xr:uid="{66FBC227-1ECA-4DA5-9D7B-0400DB0A46C4}"/>
    <cellStyle name="Comma 2 4 5 2 4 3" xfId="8494" xr:uid="{00000000-0005-0000-0000-0000F90C0000}"/>
    <cellStyle name="Comma 2 4 5 2 4 3 2" xfId="20040" xr:uid="{2A9EB96C-118C-4558-B704-555F52C55782}"/>
    <cellStyle name="Comma 2 4 5 2 4 3 3" xfId="30456" xr:uid="{B52C2A01-76B8-4EE1-BCBD-9AE5BD3453F0}"/>
    <cellStyle name="Comma 2 4 5 2 4 4" xfId="5438" xr:uid="{00000000-0005-0000-0000-0000FA0C0000}"/>
    <cellStyle name="Comma 2 4 5 2 4 4 2" xfId="17024" xr:uid="{CAB3C8D8-F2A8-4CE6-8E66-66FB9CC8F9BC}"/>
    <cellStyle name="Comma 2 4 5 2 4 4 3" xfId="27440" xr:uid="{94663AD0-6DAD-458C-BB62-12885DA07AAE}"/>
    <cellStyle name="Comma 2 4 5 2 4 5" xfId="13682" xr:uid="{50C2882E-EF66-420B-8D35-8A54CC8C4FD7}"/>
    <cellStyle name="Comma 2 4 5 2 4 6" xfId="24098" xr:uid="{B3A88D47-FA63-4361-B4B8-CCE4BFD61FFE}"/>
    <cellStyle name="Comma 2 4 5 2 5" xfId="1349" xr:uid="{00000000-0005-0000-0000-0000FB0C0000}"/>
    <cellStyle name="Comma 2 4 5 2 5 2" xfId="8496" xr:uid="{00000000-0005-0000-0000-0000FC0C0000}"/>
    <cellStyle name="Comma 2 4 5 2 5 2 2" xfId="20042" xr:uid="{C0901BAC-E539-4146-BD06-922E2120FAD4}"/>
    <cellStyle name="Comma 2 4 5 2 5 2 3" xfId="30458" xr:uid="{9838D05A-6387-4E15-B868-D5FBBD2F58DC}"/>
    <cellStyle name="Comma 2 4 5 2 5 3" xfId="13684" xr:uid="{FB77E47E-ABAC-40AC-BDF6-15F046A850DE}"/>
    <cellStyle name="Comma 2 4 5 2 5 4" xfId="24100" xr:uid="{DD199168-CA33-4728-8F88-B7AA310FC20F}"/>
    <cellStyle name="Comma 2 4 5 2 6" xfId="8487" xr:uid="{00000000-0005-0000-0000-0000FD0C0000}"/>
    <cellStyle name="Comma 2 4 5 2 6 2" xfId="20033" xr:uid="{3CA6365E-0F69-4724-9AE2-E8DDF1B11FC0}"/>
    <cellStyle name="Comma 2 4 5 2 6 3" xfId="30449" xr:uid="{7F329C8C-A844-4C18-BB53-864A7C1FDBBC}"/>
    <cellStyle name="Comma 2 4 5 2 7" xfId="5434" xr:uid="{00000000-0005-0000-0000-0000FE0C0000}"/>
    <cellStyle name="Comma 2 4 5 2 7 2" xfId="17020" xr:uid="{28C0D00B-F83A-4946-ADEB-833CD99A70E5}"/>
    <cellStyle name="Comma 2 4 5 2 7 3" xfId="27436" xr:uid="{B403A882-04F9-42D3-AA06-B4212AB153C6}"/>
    <cellStyle name="Comma 2 4 5 2 8" xfId="13675" xr:uid="{D61CA03D-F5BB-4744-995F-0D3068028048}"/>
    <cellStyle name="Comma 2 4 5 2 9" xfId="24091" xr:uid="{7F795CD5-9E59-4A0D-B527-046F3F710BD4}"/>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2 2 2" xfId="20046" xr:uid="{DA0906EB-28B0-48A2-9227-B5C7374476F0}"/>
    <cellStyle name="Comma 2 4 5 3 2 2 2 2 3" xfId="30462" xr:uid="{0008E330-CD60-4142-848D-9082291F22DA}"/>
    <cellStyle name="Comma 2 4 5 3 2 2 2 3" xfId="13688" xr:uid="{4C3BE259-B320-4666-9EDC-6475A3504548}"/>
    <cellStyle name="Comma 2 4 5 3 2 2 2 4" xfId="24104" xr:uid="{B3A84D75-82F4-4E6F-AF39-C38B41F78E97}"/>
    <cellStyle name="Comma 2 4 5 3 2 2 3" xfId="8499" xr:uid="{00000000-0005-0000-0000-0000040D0000}"/>
    <cellStyle name="Comma 2 4 5 3 2 2 3 2" xfId="20045" xr:uid="{2B5ABAE0-2B99-493B-A7B5-79F5B843081D}"/>
    <cellStyle name="Comma 2 4 5 3 2 2 3 3" xfId="30461" xr:uid="{8D47259B-45DF-4721-B228-B230A37B4463}"/>
    <cellStyle name="Comma 2 4 5 3 2 2 4" xfId="5441" xr:uid="{00000000-0005-0000-0000-0000050D0000}"/>
    <cellStyle name="Comma 2 4 5 3 2 2 4 2" xfId="17027" xr:uid="{408FAD5D-862B-4727-A7CC-BA94D7E1F5CA}"/>
    <cellStyle name="Comma 2 4 5 3 2 2 4 3" xfId="27443" xr:uid="{EB7218D8-7911-4987-A4FC-F6E8144ABC99}"/>
    <cellStyle name="Comma 2 4 5 3 2 2 5" xfId="13687" xr:uid="{E2C4FDA4-F506-45E7-8308-2122E9122872}"/>
    <cellStyle name="Comma 2 4 5 3 2 2 6" xfId="24103" xr:uid="{0C7CCB76-7E72-4468-BD59-25826D3E5962}"/>
    <cellStyle name="Comma 2 4 5 3 2 3" xfId="1354" xr:uid="{00000000-0005-0000-0000-0000060D0000}"/>
    <cellStyle name="Comma 2 4 5 3 2 3 2" xfId="8501" xr:uid="{00000000-0005-0000-0000-0000070D0000}"/>
    <cellStyle name="Comma 2 4 5 3 2 3 2 2" xfId="20047" xr:uid="{7FBF83F4-81C9-40CB-BBB4-04286D52D11C}"/>
    <cellStyle name="Comma 2 4 5 3 2 3 2 3" xfId="30463" xr:uid="{AA065FC6-9F3C-44A1-BC20-92AE007FE285}"/>
    <cellStyle name="Comma 2 4 5 3 2 3 3" xfId="13689" xr:uid="{466A21A7-A7F4-47EB-9FDD-D90E41D71272}"/>
    <cellStyle name="Comma 2 4 5 3 2 3 4" xfId="24105" xr:uid="{4C9478B7-55B8-4AB6-B3ED-7B1F0B0D3BF9}"/>
    <cellStyle name="Comma 2 4 5 3 2 4" xfId="8498" xr:uid="{00000000-0005-0000-0000-0000080D0000}"/>
    <cellStyle name="Comma 2 4 5 3 2 4 2" xfId="20044" xr:uid="{02A0B432-8AB1-4337-BDAD-82E7636D24BB}"/>
    <cellStyle name="Comma 2 4 5 3 2 4 3" xfId="30460" xr:uid="{7B5B4B41-C3D5-49C4-AC97-89F92DDEF559}"/>
    <cellStyle name="Comma 2 4 5 3 2 5" xfId="5440" xr:uid="{00000000-0005-0000-0000-0000090D0000}"/>
    <cellStyle name="Comma 2 4 5 3 2 5 2" xfId="17026" xr:uid="{E8E78A7C-5FF9-4441-8949-F6EBDCF53B87}"/>
    <cellStyle name="Comma 2 4 5 3 2 5 3" xfId="27442" xr:uid="{E0023FAA-920C-4237-89BB-D3BFA40756C9}"/>
    <cellStyle name="Comma 2 4 5 3 2 6" xfId="13686" xr:uid="{74CBCA7B-169B-45D8-B0D6-F5A541833C02}"/>
    <cellStyle name="Comma 2 4 5 3 2 7" xfId="24102" xr:uid="{D1CB4E9F-EC9E-4344-83F5-6934A964EF2B}"/>
    <cellStyle name="Comma 2 4 5 3 3" xfId="1355" xr:uid="{00000000-0005-0000-0000-00000A0D0000}"/>
    <cellStyle name="Comma 2 4 5 3 3 2" xfId="1356" xr:uid="{00000000-0005-0000-0000-00000B0D0000}"/>
    <cellStyle name="Comma 2 4 5 3 3 2 2" xfId="8503" xr:uid="{00000000-0005-0000-0000-00000C0D0000}"/>
    <cellStyle name="Comma 2 4 5 3 3 2 2 2" xfId="20049" xr:uid="{2BC2BEDC-D9B0-47DF-B6AB-7B215E91E524}"/>
    <cellStyle name="Comma 2 4 5 3 3 2 2 3" xfId="30465" xr:uid="{455DF680-3706-4606-9602-55ED34EAF74F}"/>
    <cellStyle name="Comma 2 4 5 3 3 2 3" xfId="13691" xr:uid="{E9EFCABA-9367-4A8C-B377-D72F2437D539}"/>
    <cellStyle name="Comma 2 4 5 3 3 2 4" xfId="24107" xr:uid="{BC5B9A68-A7D3-4537-8B89-9C8EA5F1FB5B}"/>
    <cellStyle name="Comma 2 4 5 3 3 3" xfId="8502" xr:uid="{00000000-0005-0000-0000-00000D0D0000}"/>
    <cellStyle name="Comma 2 4 5 3 3 3 2" xfId="20048" xr:uid="{C7CD560E-9D2F-4739-99CC-6440D6AADE34}"/>
    <cellStyle name="Comma 2 4 5 3 3 3 3" xfId="30464" xr:uid="{304DFE71-2A19-470F-8B8C-0516B00F6FA1}"/>
    <cellStyle name="Comma 2 4 5 3 3 4" xfId="5442" xr:uid="{00000000-0005-0000-0000-00000E0D0000}"/>
    <cellStyle name="Comma 2 4 5 3 3 4 2" xfId="17028" xr:uid="{21D57AD0-9834-4DAE-A069-91856A48AD67}"/>
    <cellStyle name="Comma 2 4 5 3 3 4 3" xfId="27444" xr:uid="{48EA56A0-EF82-4994-8ABA-E73288A8D9EF}"/>
    <cellStyle name="Comma 2 4 5 3 3 5" xfId="13690" xr:uid="{371F0F1D-CBB1-4A7D-9BC1-FF5291E90F63}"/>
    <cellStyle name="Comma 2 4 5 3 3 6" xfId="24106" xr:uid="{771DDA41-FDB1-431F-AFB4-971AC52C8867}"/>
    <cellStyle name="Comma 2 4 5 3 4" xfId="1357" xr:uid="{00000000-0005-0000-0000-00000F0D0000}"/>
    <cellStyle name="Comma 2 4 5 3 4 2" xfId="1358" xr:uid="{00000000-0005-0000-0000-0000100D0000}"/>
    <cellStyle name="Comma 2 4 5 3 4 2 2" xfId="8505" xr:uid="{00000000-0005-0000-0000-0000110D0000}"/>
    <cellStyle name="Comma 2 4 5 3 4 2 2 2" xfId="20051" xr:uid="{5F82BC42-C030-47EB-9C19-09A3FAB111D6}"/>
    <cellStyle name="Comma 2 4 5 3 4 2 2 3" xfId="30467" xr:uid="{114529C3-A289-49CD-8E8B-320FDC6FBFE0}"/>
    <cellStyle name="Comma 2 4 5 3 4 2 3" xfId="13693" xr:uid="{5AB8AC9E-4180-436B-A991-851BCC535536}"/>
    <cellStyle name="Comma 2 4 5 3 4 2 4" xfId="24109" xr:uid="{E4E231C5-EC1E-4FBA-AD49-FD4E98A9312C}"/>
    <cellStyle name="Comma 2 4 5 3 4 3" xfId="8504" xr:uid="{00000000-0005-0000-0000-0000120D0000}"/>
    <cellStyle name="Comma 2 4 5 3 4 3 2" xfId="20050" xr:uid="{849DE6C1-27F4-47F0-AB1F-40A41ACBE97B}"/>
    <cellStyle name="Comma 2 4 5 3 4 3 3" xfId="30466" xr:uid="{879F01C2-6846-49EB-B9B8-F3497BA42536}"/>
    <cellStyle name="Comma 2 4 5 3 4 4" xfId="5443" xr:uid="{00000000-0005-0000-0000-0000130D0000}"/>
    <cellStyle name="Comma 2 4 5 3 4 4 2" xfId="17029" xr:uid="{FEFE38E5-25C9-437F-95F9-D71D67D2AF4B}"/>
    <cellStyle name="Comma 2 4 5 3 4 4 3" xfId="27445" xr:uid="{E39A0D6C-22A6-4820-831E-6D233097E392}"/>
    <cellStyle name="Comma 2 4 5 3 4 5" xfId="13692" xr:uid="{B1BC4E3A-DA54-4CA3-BFF1-9AC80CDC70D8}"/>
    <cellStyle name="Comma 2 4 5 3 4 6" xfId="24108" xr:uid="{A4382585-6BE8-4206-9E46-48F3D5734084}"/>
    <cellStyle name="Comma 2 4 5 3 5" xfId="1359" xr:uid="{00000000-0005-0000-0000-0000140D0000}"/>
    <cellStyle name="Comma 2 4 5 3 5 2" xfId="8506" xr:uid="{00000000-0005-0000-0000-0000150D0000}"/>
    <cellStyle name="Comma 2 4 5 3 5 2 2" xfId="20052" xr:uid="{DCC67E56-EBFC-4C3B-9A24-78B5C78FA49D}"/>
    <cellStyle name="Comma 2 4 5 3 5 2 3" xfId="30468" xr:uid="{5A936B6A-7B61-41CA-A01D-635CC260C108}"/>
    <cellStyle name="Comma 2 4 5 3 5 3" xfId="13694" xr:uid="{11C73334-4070-4368-9635-C9FAD5DAF070}"/>
    <cellStyle name="Comma 2 4 5 3 5 4" xfId="24110" xr:uid="{99B758C9-9309-4AF3-BA74-EFA9CA76814F}"/>
    <cellStyle name="Comma 2 4 5 3 6" xfId="8497" xr:uid="{00000000-0005-0000-0000-0000160D0000}"/>
    <cellStyle name="Comma 2 4 5 3 6 2" xfId="20043" xr:uid="{D10906DD-C4C0-454D-AB03-31FB4C86B11B}"/>
    <cellStyle name="Comma 2 4 5 3 6 3" xfId="30459" xr:uid="{2C55AA1B-3854-4588-A32D-E4FBD710EF5F}"/>
    <cellStyle name="Comma 2 4 5 3 7" xfId="5439" xr:uid="{00000000-0005-0000-0000-0000170D0000}"/>
    <cellStyle name="Comma 2 4 5 3 7 2" xfId="17025" xr:uid="{99A8A282-0199-46D6-A853-2D779E104A0D}"/>
    <cellStyle name="Comma 2 4 5 3 7 3" xfId="27441" xr:uid="{16BCD06B-55FD-4515-B957-FB942A33B3A5}"/>
    <cellStyle name="Comma 2 4 5 3 8" xfId="13685" xr:uid="{CA0FA811-FDB3-4597-9EF8-AC67BA746989}"/>
    <cellStyle name="Comma 2 4 5 3 9" xfId="24101" xr:uid="{5D182DAC-8CE4-4374-881E-F24838D2B9D1}"/>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2 2 2" xfId="20056" xr:uid="{1D595489-C517-44F8-A3AF-993A9C351931}"/>
    <cellStyle name="Comma 2 4 5 4 2 2 2 2 3" xfId="30472" xr:uid="{1E602BB4-FB19-4E14-85C3-A5F4FF8C56AC}"/>
    <cellStyle name="Comma 2 4 5 4 2 2 2 3" xfId="13698" xr:uid="{A2550852-76BC-4EEF-9358-8AB4844EB178}"/>
    <cellStyle name="Comma 2 4 5 4 2 2 2 4" xfId="24114" xr:uid="{28B5EAB9-D442-4107-BD54-D9591BC09051}"/>
    <cellStyle name="Comma 2 4 5 4 2 2 3" xfId="8509" xr:uid="{00000000-0005-0000-0000-00001D0D0000}"/>
    <cellStyle name="Comma 2 4 5 4 2 2 3 2" xfId="20055" xr:uid="{4A7BD7DB-D3E8-4A4A-A74E-1E140FB27E01}"/>
    <cellStyle name="Comma 2 4 5 4 2 2 3 3" xfId="30471" xr:uid="{17945B3D-9FA7-4D3E-B86B-0EEDBC81DCF4}"/>
    <cellStyle name="Comma 2 4 5 4 2 2 4" xfId="5446" xr:uid="{00000000-0005-0000-0000-00001E0D0000}"/>
    <cellStyle name="Comma 2 4 5 4 2 2 4 2" xfId="17032" xr:uid="{B8BBF553-7B70-40C1-B03C-175A704B3DA4}"/>
    <cellStyle name="Comma 2 4 5 4 2 2 4 3" xfId="27448" xr:uid="{B07A36DF-44CF-4458-8198-7289BF6E3E6A}"/>
    <cellStyle name="Comma 2 4 5 4 2 2 5" xfId="13697" xr:uid="{0B51EF57-F0A5-432B-8616-E8CCBC708987}"/>
    <cellStyle name="Comma 2 4 5 4 2 2 6" xfId="24113" xr:uid="{3021E740-FEEA-4278-AD6A-5C2550251BAA}"/>
    <cellStyle name="Comma 2 4 5 4 2 3" xfId="1364" xr:uid="{00000000-0005-0000-0000-00001F0D0000}"/>
    <cellStyle name="Comma 2 4 5 4 2 3 2" xfId="8511" xr:uid="{00000000-0005-0000-0000-0000200D0000}"/>
    <cellStyle name="Comma 2 4 5 4 2 3 2 2" xfId="20057" xr:uid="{40843C23-6402-46BA-AA45-4FA9387953EC}"/>
    <cellStyle name="Comma 2 4 5 4 2 3 2 3" xfId="30473" xr:uid="{6FE85D8F-A7A4-41C4-B519-CCE820E29724}"/>
    <cellStyle name="Comma 2 4 5 4 2 3 3" xfId="13699" xr:uid="{6DF692E1-AACB-4BF2-8D41-9980D592A7C8}"/>
    <cellStyle name="Comma 2 4 5 4 2 3 4" xfId="24115" xr:uid="{257A3CA4-CB00-46B8-81E6-D16DB986FF93}"/>
    <cellStyle name="Comma 2 4 5 4 2 4" xfId="8508" xr:uid="{00000000-0005-0000-0000-0000210D0000}"/>
    <cellStyle name="Comma 2 4 5 4 2 4 2" xfId="20054" xr:uid="{9B98A6BC-869F-4EBC-9320-3CA00C89DB8B}"/>
    <cellStyle name="Comma 2 4 5 4 2 4 3" xfId="30470" xr:uid="{615FBBEB-0F9A-4BF5-9674-FAFDC47BE78C}"/>
    <cellStyle name="Comma 2 4 5 4 2 5" xfId="5445" xr:uid="{00000000-0005-0000-0000-0000220D0000}"/>
    <cellStyle name="Comma 2 4 5 4 2 5 2" xfId="17031" xr:uid="{8976685D-E38E-4F95-AE83-F849E08D18F1}"/>
    <cellStyle name="Comma 2 4 5 4 2 5 3" xfId="27447" xr:uid="{8F58D4BF-FA65-4BA6-A0A0-C14333ABBF27}"/>
    <cellStyle name="Comma 2 4 5 4 2 6" xfId="13696" xr:uid="{3BDC06DB-2CDA-4B75-9014-4EE1AF7BEC1D}"/>
    <cellStyle name="Comma 2 4 5 4 2 7" xfId="24112" xr:uid="{5E1CB859-424D-4375-A261-B033C593989E}"/>
    <cellStyle name="Comma 2 4 5 4 3" xfId="1365" xr:uid="{00000000-0005-0000-0000-0000230D0000}"/>
    <cellStyle name="Comma 2 4 5 4 3 2" xfId="1366" xr:uid="{00000000-0005-0000-0000-0000240D0000}"/>
    <cellStyle name="Comma 2 4 5 4 3 2 2" xfId="8513" xr:uid="{00000000-0005-0000-0000-0000250D0000}"/>
    <cellStyle name="Comma 2 4 5 4 3 2 2 2" xfId="20059" xr:uid="{9F070287-D2DB-4E09-B302-0B16197C65FA}"/>
    <cellStyle name="Comma 2 4 5 4 3 2 2 3" xfId="30475" xr:uid="{9163C371-31FC-4E13-BCB2-D6C8A07DAADB}"/>
    <cellStyle name="Comma 2 4 5 4 3 2 3" xfId="13701" xr:uid="{FC6A3D3D-9DBC-4515-BA4B-CE1F6F31A4AA}"/>
    <cellStyle name="Comma 2 4 5 4 3 2 4" xfId="24117" xr:uid="{79E7F143-5E96-4425-9397-DF2ED2A36B84}"/>
    <cellStyle name="Comma 2 4 5 4 3 3" xfId="8512" xr:uid="{00000000-0005-0000-0000-0000260D0000}"/>
    <cellStyle name="Comma 2 4 5 4 3 3 2" xfId="20058" xr:uid="{AE28688B-0D3A-456A-8453-989489A82649}"/>
    <cellStyle name="Comma 2 4 5 4 3 3 3" xfId="30474" xr:uid="{69168EE3-9181-4ABD-812A-9F7304C0018B}"/>
    <cellStyle name="Comma 2 4 5 4 3 4" xfId="5447" xr:uid="{00000000-0005-0000-0000-0000270D0000}"/>
    <cellStyle name="Comma 2 4 5 4 3 4 2" xfId="17033" xr:uid="{D343FCD7-A884-445D-8B1E-33A3AEF3264D}"/>
    <cellStyle name="Comma 2 4 5 4 3 4 3" xfId="27449" xr:uid="{D58032AB-80ED-482B-8BA7-5497CB23EDDA}"/>
    <cellStyle name="Comma 2 4 5 4 3 5" xfId="13700" xr:uid="{46568B3C-225D-4352-A263-9AF4B835015E}"/>
    <cellStyle name="Comma 2 4 5 4 3 6" xfId="24116" xr:uid="{192B0CD8-A2AD-4AFD-8CCD-906C621D1F17}"/>
    <cellStyle name="Comma 2 4 5 4 4" xfId="1367" xr:uid="{00000000-0005-0000-0000-0000280D0000}"/>
    <cellStyle name="Comma 2 4 5 4 4 2" xfId="1368" xr:uid="{00000000-0005-0000-0000-0000290D0000}"/>
    <cellStyle name="Comma 2 4 5 4 4 2 2" xfId="8515" xr:uid="{00000000-0005-0000-0000-00002A0D0000}"/>
    <cellStyle name="Comma 2 4 5 4 4 2 2 2" xfId="20061" xr:uid="{963ED744-05AA-401A-A98B-ADE372892006}"/>
    <cellStyle name="Comma 2 4 5 4 4 2 2 3" xfId="30477" xr:uid="{00018EA5-1B7A-4C58-A4CE-675F75F9817C}"/>
    <cellStyle name="Comma 2 4 5 4 4 2 3" xfId="13703" xr:uid="{04431082-96AB-4322-8CB1-E3CD28B3D432}"/>
    <cellStyle name="Comma 2 4 5 4 4 2 4" xfId="24119" xr:uid="{2B3C566A-4FF6-46CB-8607-FC10D671320A}"/>
    <cellStyle name="Comma 2 4 5 4 4 3" xfId="8514" xr:uid="{00000000-0005-0000-0000-00002B0D0000}"/>
    <cellStyle name="Comma 2 4 5 4 4 3 2" xfId="20060" xr:uid="{5F25E195-E631-4E1B-B7C0-CC66BF58614D}"/>
    <cellStyle name="Comma 2 4 5 4 4 3 3" xfId="30476" xr:uid="{2D4190AC-0192-43FD-A226-C29E8475F1A2}"/>
    <cellStyle name="Comma 2 4 5 4 4 4" xfId="5448" xr:uid="{00000000-0005-0000-0000-00002C0D0000}"/>
    <cellStyle name="Comma 2 4 5 4 4 4 2" xfId="17034" xr:uid="{C217DD21-C887-46F4-8EB1-9719A80A4FA4}"/>
    <cellStyle name="Comma 2 4 5 4 4 4 3" xfId="27450" xr:uid="{A1A6D9A4-9170-43C7-BF2E-85F90D2C0B5D}"/>
    <cellStyle name="Comma 2 4 5 4 4 5" xfId="13702" xr:uid="{9735C0AA-2C99-4D06-84B5-3CB023DE4449}"/>
    <cellStyle name="Comma 2 4 5 4 4 6" xfId="24118" xr:uid="{CC3CB814-55C0-44B6-BF3C-F5264B1486F5}"/>
    <cellStyle name="Comma 2 4 5 4 5" xfId="1369" xr:uid="{00000000-0005-0000-0000-00002D0D0000}"/>
    <cellStyle name="Comma 2 4 5 4 5 2" xfId="8516" xr:uid="{00000000-0005-0000-0000-00002E0D0000}"/>
    <cellStyle name="Comma 2 4 5 4 5 2 2" xfId="20062" xr:uid="{0A0E98C7-6F3B-4B53-B97E-080BA1F698BD}"/>
    <cellStyle name="Comma 2 4 5 4 5 2 3" xfId="30478" xr:uid="{5FD53C6C-4090-4874-9A27-62A9DC19A011}"/>
    <cellStyle name="Comma 2 4 5 4 5 3" xfId="13704" xr:uid="{945530C4-33C2-4363-896F-A89740F586FE}"/>
    <cellStyle name="Comma 2 4 5 4 5 4" xfId="24120" xr:uid="{3DEF4455-8B8C-49E3-97E2-7DE3FF3B4CFE}"/>
    <cellStyle name="Comma 2 4 5 4 6" xfId="8507" xr:uid="{00000000-0005-0000-0000-00002F0D0000}"/>
    <cellStyle name="Comma 2 4 5 4 6 2" xfId="20053" xr:uid="{CE073249-8A1A-4FF3-BC17-62CBC4EE0E9C}"/>
    <cellStyle name="Comma 2 4 5 4 6 3" xfId="30469" xr:uid="{99F9E460-CFC4-4B66-A797-C89286DE3016}"/>
    <cellStyle name="Comma 2 4 5 4 7" xfId="5444" xr:uid="{00000000-0005-0000-0000-0000300D0000}"/>
    <cellStyle name="Comma 2 4 5 4 7 2" xfId="17030" xr:uid="{E363A464-EE83-4A99-879D-3FE5872B078D}"/>
    <cellStyle name="Comma 2 4 5 4 7 3" xfId="27446" xr:uid="{C60AEFAB-D421-48EC-A1DA-B6B7418D3D7D}"/>
    <cellStyle name="Comma 2 4 5 4 8" xfId="13695" xr:uid="{04C308FD-9CA2-4101-B6D1-60B8AD0E549E}"/>
    <cellStyle name="Comma 2 4 5 4 9" xfId="24111" xr:uid="{F5804A35-7959-4FDE-A942-C1845674C9C4}"/>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2 2 2" xfId="20066" xr:uid="{89E5B6F5-C76C-4025-A7E0-4149CC830AF8}"/>
    <cellStyle name="Comma 2 4 5 5 2 2 2 2 3" xfId="30482" xr:uid="{7E32DD62-0382-4376-A1B7-C6CCBDCDD412}"/>
    <cellStyle name="Comma 2 4 5 5 2 2 2 3" xfId="13708" xr:uid="{0F9A4100-D3D9-4828-AB24-4582829064E3}"/>
    <cellStyle name="Comma 2 4 5 5 2 2 2 4" xfId="24124" xr:uid="{E8CC4D3C-81DE-4801-962A-6D07196362D3}"/>
    <cellStyle name="Comma 2 4 5 5 2 2 3" xfId="8519" xr:uid="{00000000-0005-0000-0000-0000360D0000}"/>
    <cellStyle name="Comma 2 4 5 5 2 2 3 2" xfId="20065" xr:uid="{7E35B666-906E-476B-BEE6-9C77799F94F7}"/>
    <cellStyle name="Comma 2 4 5 5 2 2 3 3" xfId="30481" xr:uid="{AE87EE6F-3747-4A47-A91C-394CB40A8530}"/>
    <cellStyle name="Comma 2 4 5 5 2 2 4" xfId="5451" xr:uid="{00000000-0005-0000-0000-0000370D0000}"/>
    <cellStyle name="Comma 2 4 5 5 2 2 4 2" xfId="17037" xr:uid="{7D77541C-015E-4F8E-8ECD-1895D21F4871}"/>
    <cellStyle name="Comma 2 4 5 5 2 2 4 3" xfId="27453" xr:uid="{55D0CD42-8294-46AC-BC03-F3C49A3E08BD}"/>
    <cellStyle name="Comma 2 4 5 5 2 2 5" xfId="13707" xr:uid="{D7C88DCC-9E67-47EC-ADEF-FABC46BF642F}"/>
    <cellStyle name="Comma 2 4 5 5 2 2 6" xfId="24123" xr:uid="{4463BCED-5E36-40CE-B24B-0B3560833622}"/>
    <cellStyle name="Comma 2 4 5 5 2 3" xfId="1374" xr:uid="{00000000-0005-0000-0000-0000380D0000}"/>
    <cellStyle name="Comma 2 4 5 5 2 3 2" xfId="8521" xr:uid="{00000000-0005-0000-0000-0000390D0000}"/>
    <cellStyle name="Comma 2 4 5 5 2 3 2 2" xfId="20067" xr:uid="{79A4A83E-AB07-4B71-A5A8-0029A58ED23D}"/>
    <cellStyle name="Comma 2 4 5 5 2 3 2 3" xfId="30483" xr:uid="{708642C7-F744-43FD-ACE4-28C9C8563B07}"/>
    <cellStyle name="Comma 2 4 5 5 2 3 3" xfId="13709" xr:uid="{DFB70E23-DCDA-4445-912A-F37F0F6525DE}"/>
    <cellStyle name="Comma 2 4 5 5 2 3 4" xfId="24125" xr:uid="{E2B67A7C-97C1-415D-B44B-E297CE028B82}"/>
    <cellStyle name="Comma 2 4 5 5 2 4" xfId="8518" xr:uid="{00000000-0005-0000-0000-00003A0D0000}"/>
    <cellStyle name="Comma 2 4 5 5 2 4 2" xfId="20064" xr:uid="{1C050E6E-69F5-43F0-B546-0749CA4AE1E8}"/>
    <cellStyle name="Comma 2 4 5 5 2 4 3" xfId="30480" xr:uid="{5C74CA1D-9FFE-41A1-BB2A-49E87AD9F6CB}"/>
    <cellStyle name="Comma 2 4 5 5 2 5" xfId="5450" xr:uid="{00000000-0005-0000-0000-00003B0D0000}"/>
    <cellStyle name="Comma 2 4 5 5 2 5 2" xfId="17036" xr:uid="{D875C269-7B97-42B0-9DB3-28BF132C373B}"/>
    <cellStyle name="Comma 2 4 5 5 2 5 3" xfId="27452" xr:uid="{3C548A4D-1371-4F31-A59C-E3362AAE19CE}"/>
    <cellStyle name="Comma 2 4 5 5 2 6" xfId="13706" xr:uid="{DB018FCE-A8DB-44C6-9EC8-3AC639CD01EA}"/>
    <cellStyle name="Comma 2 4 5 5 2 7" xfId="24122" xr:uid="{62B9FAA2-9856-4D9A-87FC-28C8BFCC9B06}"/>
    <cellStyle name="Comma 2 4 5 5 3" xfId="1375" xr:uid="{00000000-0005-0000-0000-00003C0D0000}"/>
    <cellStyle name="Comma 2 4 5 5 3 2" xfId="1376" xr:uid="{00000000-0005-0000-0000-00003D0D0000}"/>
    <cellStyle name="Comma 2 4 5 5 3 2 2" xfId="8523" xr:uid="{00000000-0005-0000-0000-00003E0D0000}"/>
    <cellStyle name="Comma 2 4 5 5 3 2 2 2" xfId="20069" xr:uid="{48FCEA64-3B5D-4923-BEC0-CF7FD2FFDA24}"/>
    <cellStyle name="Comma 2 4 5 5 3 2 2 3" xfId="30485" xr:uid="{E8F95A55-F4E9-438B-A354-FE5296A099B7}"/>
    <cellStyle name="Comma 2 4 5 5 3 2 3" xfId="13711" xr:uid="{B75E57DB-7C68-41A6-A23B-FB904680D9D0}"/>
    <cellStyle name="Comma 2 4 5 5 3 2 4" xfId="24127" xr:uid="{DA2C963F-D147-4749-9206-BC7E38078084}"/>
    <cellStyle name="Comma 2 4 5 5 3 3" xfId="8522" xr:uid="{00000000-0005-0000-0000-00003F0D0000}"/>
    <cellStyle name="Comma 2 4 5 5 3 3 2" xfId="20068" xr:uid="{B236D512-B4DC-4AE9-8D3A-0D1300D4EED9}"/>
    <cellStyle name="Comma 2 4 5 5 3 3 3" xfId="30484" xr:uid="{5B9A0568-04A5-4E83-8444-FCA2B54BFFAD}"/>
    <cellStyle name="Comma 2 4 5 5 3 4" xfId="5452" xr:uid="{00000000-0005-0000-0000-0000400D0000}"/>
    <cellStyle name="Comma 2 4 5 5 3 4 2" xfId="17038" xr:uid="{1566F76F-DB8F-4D77-BEF0-FA266123F1D3}"/>
    <cellStyle name="Comma 2 4 5 5 3 4 3" xfId="27454" xr:uid="{F7331BC4-A044-4B18-BB53-7BD581AC72FD}"/>
    <cellStyle name="Comma 2 4 5 5 3 5" xfId="13710" xr:uid="{7492BD71-2B0F-4648-BE87-1E101663BE00}"/>
    <cellStyle name="Comma 2 4 5 5 3 6" xfId="24126" xr:uid="{AB106A6D-1457-44FB-B2B8-FB68EE85C144}"/>
    <cellStyle name="Comma 2 4 5 5 4" xfId="1377" xr:uid="{00000000-0005-0000-0000-0000410D0000}"/>
    <cellStyle name="Comma 2 4 5 5 4 2" xfId="1378" xr:uid="{00000000-0005-0000-0000-0000420D0000}"/>
    <cellStyle name="Comma 2 4 5 5 4 2 2" xfId="8525" xr:uid="{00000000-0005-0000-0000-0000430D0000}"/>
    <cellStyle name="Comma 2 4 5 5 4 2 2 2" xfId="20071" xr:uid="{257FC017-4D38-4E77-9230-78881A9E863D}"/>
    <cellStyle name="Comma 2 4 5 5 4 2 2 3" xfId="30487" xr:uid="{B5CB367B-FDD2-4E6E-82BC-63AA0700C0BF}"/>
    <cellStyle name="Comma 2 4 5 5 4 2 3" xfId="13713" xr:uid="{25FC50F6-C244-4D11-8600-BC49B6151B9D}"/>
    <cellStyle name="Comma 2 4 5 5 4 2 4" xfId="24129" xr:uid="{DBA1E069-DAD2-40EB-8FFA-1935E2B0D6FA}"/>
    <cellStyle name="Comma 2 4 5 5 4 3" xfId="8524" xr:uid="{00000000-0005-0000-0000-0000440D0000}"/>
    <cellStyle name="Comma 2 4 5 5 4 3 2" xfId="20070" xr:uid="{FF359E0F-AB02-418F-9C4C-C7AC81A67FB4}"/>
    <cellStyle name="Comma 2 4 5 5 4 3 3" xfId="30486" xr:uid="{16BF3C7A-F613-4854-8751-96A9B103C495}"/>
    <cellStyle name="Comma 2 4 5 5 4 4" xfId="5453" xr:uid="{00000000-0005-0000-0000-0000450D0000}"/>
    <cellStyle name="Comma 2 4 5 5 4 4 2" xfId="17039" xr:uid="{76558258-F50C-42C2-BE05-77B4926A8963}"/>
    <cellStyle name="Comma 2 4 5 5 4 4 3" xfId="27455" xr:uid="{6417FC24-02E3-4551-AF85-C47E8036C5BD}"/>
    <cellStyle name="Comma 2 4 5 5 4 5" xfId="13712" xr:uid="{C791CA15-7D4D-40D0-B45A-F3CABFA00339}"/>
    <cellStyle name="Comma 2 4 5 5 4 6" xfId="24128" xr:uid="{67099CF5-9195-406E-A5D2-8A47FEB001A4}"/>
    <cellStyle name="Comma 2 4 5 5 5" xfId="1379" xr:uid="{00000000-0005-0000-0000-0000460D0000}"/>
    <cellStyle name="Comma 2 4 5 5 5 2" xfId="8526" xr:uid="{00000000-0005-0000-0000-0000470D0000}"/>
    <cellStyle name="Comma 2 4 5 5 5 2 2" xfId="20072" xr:uid="{29C08C6F-89BA-4575-98E0-AF555EA2257B}"/>
    <cellStyle name="Comma 2 4 5 5 5 2 3" xfId="30488" xr:uid="{BD84A6A4-27E9-45F7-A929-5BBF9D417161}"/>
    <cellStyle name="Comma 2 4 5 5 5 3" xfId="13714" xr:uid="{AA75CAB3-AE94-4917-BB5A-398934393CE5}"/>
    <cellStyle name="Comma 2 4 5 5 5 4" xfId="24130" xr:uid="{15900D51-41DA-419C-81E1-D51E3E3940F4}"/>
    <cellStyle name="Comma 2 4 5 5 6" xfId="8517" xr:uid="{00000000-0005-0000-0000-0000480D0000}"/>
    <cellStyle name="Comma 2 4 5 5 6 2" xfId="20063" xr:uid="{0775B6D8-42ED-4D11-BD41-D6001AA27F3A}"/>
    <cellStyle name="Comma 2 4 5 5 6 3" xfId="30479" xr:uid="{4FBD46F1-1B80-425C-9560-E941D57E6D15}"/>
    <cellStyle name="Comma 2 4 5 5 7" xfId="5449" xr:uid="{00000000-0005-0000-0000-0000490D0000}"/>
    <cellStyle name="Comma 2 4 5 5 7 2" xfId="17035" xr:uid="{3C1F0F7D-BC0E-43A5-B605-8A0AE46AB440}"/>
    <cellStyle name="Comma 2 4 5 5 7 3" xfId="27451" xr:uid="{A5021019-4864-400D-983E-100EC73542CB}"/>
    <cellStyle name="Comma 2 4 5 5 8" xfId="13705" xr:uid="{0612B745-3777-4E32-9473-644E15AB759C}"/>
    <cellStyle name="Comma 2 4 5 5 9" xfId="24121" xr:uid="{4134F7FA-CC08-4EAC-9247-EC6B2CC29066}"/>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2 2 2" xfId="20075" xr:uid="{1DDA4EAD-3B4E-43BC-BFB4-BC3941590216}"/>
    <cellStyle name="Comma 2 4 5 6 2 2 2 3" xfId="30491" xr:uid="{9D2B5BD2-259F-4293-8E91-C14822976CE4}"/>
    <cellStyle name="Comma 2 4 5 6 2 2 3" xfId="13717" xr:uid="{5DB76DA2-C52E-404A-BD47-4BB5DD094077}"/>
    <cellStyle name="Comma 2 4 5 6 2 2 4" xfId="24133" xr:uid="{A1CCE825-174B-4451-9742-DA0B89C65E5A}"/>
    <cellStyle name="Comma 2 4 5 6 2 3" xfId="8528" xr:uid="{00000000-0005-0000-0000-00004E0D0000}"/>
    <cellStyle name="Comma 2 4 5 6 2 3 2" xfId="20074" xr:uid="{585A3CDD-CF2E-4D03-85EA-63DB93FB5DD9}"/>
    <cellStyle name="Comma 2 4 5 6 2 3 3" xfId="30490" xr:uid="{4A1C11AE-AC0B-4990-973C-C5E7E3826C7C}"/>
    <cellStyle name="Comma 2 4 5 6 2 4" xfId="5455" xr:uid="{00000000-0005-0000-0000-00004F0D0000}"/>
    <cellStyle name="Comma 2 4 5 6 2 4 2" xfId="17041" xr:uid="{403E4623-D3FE-4484-B226-FCED147387BA}"/>
    <cellStyle name="Comma 2 4 5 6 2 4 3" xfId="27457" xr:uid="{F8B38C71-4CA0-487D-BCB7-490D1A461955}"/>
    <cellStyle name="Comma 2 4 5 6 2 5" xfId="13716" xr:uid="{A5869DF6-A085-43B8-9CEE-44AC5D6FBEBF}"/>
    <cellStyle name="Comma 2 4 5 6 2 6" xfId="24132" xr:uid="{B5345FD5-0A6C-485F-9206-C5DA8C1C8568}"/>
    <cellStyle name="Comma 2 4 5 6 3" xfId="1383" xr:uid="{00000000-0005-0000-0000-0000500D0000}"/>
    <cellStyle name="Comma 2 4 5 6 3 2" xfId="1384" xr:uid="{00000000-0005-0000-0000-0000510D0000}"/>
    <cellStyle name="Comma 2 4 5 6 3 2 2" xfId="8531" xr:uid="{00000000-0005-0000-0000-0000520D0000}"/>
    <cellStyle name="Comma 2 4 5 6 3 2 2 2" xfId="20077" xr:uid="{72FFA184-4F79-4254-BBEC-A34E3C2C4FF1}"/>
    <cellStyle name="Comma 2 4 5 6 3 2 2 3" xfId="30493" xr:uid="{A8487668-1A2B-44CD-B215-D99AEA413B1F}"/>
    <cellStyle name="Comma 2 4 5 6 3 2 3" xfId="13719" xr:uid="{2032863D-2DC1-401C-A7CE-7693302EDE74}"/>
    <cellStyle name="Comma 2 4 5 6 3 2 4" xfId="24135" xr:uid="{1C846F1D-DBB3-45B7-B5E7-808429C746CD}"/>
    <cellStyle name="Comma 2 4 5 6 3 3" xfId="8530" xr:uid="{00000000-0005-0000-0000-0000530D0000}"/>
    <cellStyle name="Comma 2 4 5 6 3 3 2" xfId="20076" xr:uid="{1E5367E0-5888-4F47-BAA5-86DD9E08D2FC}"/>
    <cellStyle name="Comma 2 4 5 6 3 3 3" xfId="30492" xr:uid="{5218B4D8-F7CE-4C0A-9257-BC7D098A27A1}"/>
    <cellStyle name="Comma 2 4 5 6 3 4" xfId="5456" xr:uid="{00000000-0005-0000-0000-0000540D0000}"/>
    <cellStyle name="Comma 2 4 5 6 3 4 2" xfId="17042" xr:uid="{2C682C0F-EC97-40EB-81D3-BEBB7AC9CE5E}"/>
    <cellStyle name="Comma 2 4 5 6 3 4 3" xfId="27458" xr:uid="{0EBFB6C2-FDE3-465D-B6AC-DFD02566D278}"/>
    <cellStyle name="Comma 2 4 5 6 3 5" xfId="13718" xr:uid="{FA334F65-37FE-4975-976E-8C834EC89DE5}"/>
    <cellStyle name="Comma 2 4 5 6 3 6" xfId="24134" xr:uid="{B36E0C6A-33D3-4188-9D42-8552CEF45743}"/>
    <cellStyle name="Comma 2 4 5 6 4" xfId="1385" xr:uid="{00000000-0005-0000-0000-0000550D0000}"/>
    <cellStyle name="Comma 2 4 5 6 4 2" xfId="8532" xr:uid="{00000000-0005-0000-0000-0000560D0000}"/>
    <cellStyle name="Comma 2 4 5 6 4 2 2" xfId="20078" xr:uid="{383711A5-DD80-40E4-8691-C3E7475E8C23}"/>
    <cellStyle name="Comma 2 4 5 6 4 2 3" xfId="30494" xr:uid="{CFEF7EB5-D2E8-4F77-A605-89AEA87368BF}"/>
    <cellStyle name="Comma 2 4 5 6 4 3" xfId="13720" xr:uid="{72CD79C5-46BA-4B65-99DB-94260388A3B3}"/>
    <cellStyle name="Comma 2 4 5 6 4 4" xfId="24136" xr:uid="{CAC14154-3CC2-4F18-9833-C5DADDDCC883}"/>
    <cellStyle name="Comma 2 4 5 6 5" xfId="8527" xr:uid="{00000000-0005-0000-0000-0000570D0000}"/>
    <cellStyle name="Comma 2 4 5 6 5 2" xfId="20073" xr:uid="{A4697943-F7C6-4C7D-8DF2-6A0A3307264B}"/>
    <cellStyle name="Comma 2 4 5 6 5 3" xfId="30489" xr:uid="{B5F8D415-8A5D-42CB-93C3-0ABB3F6DDF04}"/>
    <cellStyle name="Comma 2 4 5 6 6" xfId="5454" xr:uid="{00000000-0005-0000-0000-0000580D0000}"/>
    <cellStyle name="Comma 2 4 5 6 6 2" xfId="17040" xr:uid="{1B886924-6B8D-4786-9415-18BE082183B0}"/>
    <cellStyle name="Comma 2 4 5 6 6 3" xfId="27456" xr:uid="{2BB0B8C0-C4BD-4135-8AA0-61526C00BC13}"/>
    <cellStyle name="Comma 2 4 5 6 7" xfId="13715" xr:uid="{A36FDD37-C5BF-4144-9FA6-18EB3AC5489E}"/>
    <cellStyle name="Comma 2 4 5 6 8" xfId="24131" xr:uid="{88090ABA-87D1-4CFF-A0AE-B2C086F425D3}"/>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2 2 2" xfId="20081" xr:uid="{68212803-8D48-421D-A96C-D73E65711E28}"/>
    <cellStyle name="Comma 2 4 5 7 2 2 2 3" xfId="30497" xr:uid="{9E42FE19-FB0D-4E20-A904-82C251F21328}"/>
    <cellStyle name="Comma 2 4 5 7 2 2 3" xfId="13723" xr:uid="{BE04818E-A1EC-41FA-89E8-63E29B74A35B}"/>
    <cellStyle name="Comma 2 4 5 7 2 2 4" xfId="24139" xr:uid="{DB9D72F6-5DF7-474C-863B-DA980CF50C2C}"/>
    <cellStyle name="Comma 2 4 5 7 2 3" xfId="8534" xr:uid="{00000000-0005-0000-0000-00005D0D0000}"/>
    <cellStyle name="Comma 2 4 5 7 2 3 2" xfId="20080" xr:uid="{0BE39AED-0F90-4BC1-989D-068C1AF22B0D}"/>
    <cellStyle name="Comma 2 4 5 7 2 3 3" xfId="30496" xr:uid="{D82D53B4-1D67-4798-83BE-F50DDF8E6BC1}"/>
    <cellStyle name="Comma 2 4 5 7 2 4" xfId="5458" xr:uid="{00000000-0005-0000-0000-00005E0D0000}"/>
    <cellStyle name="Comma 2 4 5 7 2 4 2" xfId="17044" xr:uid="{60FB2B09-8DFC-41E2-A2DB-627C245778ED}"/>
    <cellStyle name="Comma 2 4 5 7 2 4 3" xfId="27460" xr:uid="{2359E0F9-9E50-454E-B097-8231BA5ABBCE}"/>
    <cellStyle name="Comma 2 4 5 7 2 5" xfId="13722" xr:uid="{A7D4F81F-EDE4-4490-A550-1D5E93C50FBD}"/>
    <cellStyle name="Comma 2 4 5 7 2 6" xfId="24138" xr:uid="{D8716B26-AA4E-46FD-A7F1-9B8A1B13644E}"/>
    <cellStyle name="Comma 2 4 5 7 3" xfId="1389" xr:uid="{00000000-0005-0000-0000-00005F0D0000}"/>
    <cellStyle name="Comma 2 4 5 7 3 2" xfId="8536" xr:uid="{00000000-0005-0000-0000-0000600D0000}"/>
    <cellStyle name="Comma 2 4 5 7 3 2 2" xfId="20082" xr:uid="{195F71A6-3670-41EF-9E7B-236653867502}"/>
    <cellStyle name="Comma 2 4 5 7 3 2 3" xfId="30498" xr:uid="{63D5FAD1-D8E4-40A1-AC90-45611CB6EBC7}"/>
    <cellStyle name="Comma 2 4 5 7 3 3" xfId="13724" xr:uid="{FD059836-99A5-40A5-AB47-CEB0B7641291}"/>
    <cellStyle name="Comma 2 4 5 7 3 4" xfId="24140" xr:uid="{85BDB8E0-CFD7-4840-9FF8-2958558DEF0B}"/>
    <cellStyle name="Comma 2 4 5 7 4" xfId="8533" xr:uid="{00000000-0005-0000-0000-0000610D0000}"/>
    <cellStyle name="Comma 2 4 5 7 4 2" xfId="20079" xr:uid="{B8C538B5-48D8-4F05-9313-A353200564EA}"/>
    <cellStyle name="Comma 2 4 5 7 4 3" xfId="30495" xr:uid="{882D10A6-1AEF-4CC4-A71D-55CE6D0D7862}"/>
    <cellStyle name="Comma 2 4 5 7 5" xfId="5457" xr:uid="{00000000-0005-0000-0000-0000620D0000}"/>
    <cellStyle name="Comma 2 4 5 7 5 2" xfId="17043" xr:uid="{27052B0B-A570-4537-B420-02096D572157}"/>
    <cellStyle name="Comma 2 4 5 7 5 3" xfId="27459" xr:uid="{23211931-85E6-4DD9-8975-A84D8A4B8C11}"/>
    <cellStyle name="Comma 2 4 5 7 6" xfId="13721" xr:uid="{1C7AC64C-E316-44BD-9858-D0818B0339EF}"/>
    <cellStyle name="Comma 2 4 5 7 7" xfId="24137" xr:uid="{AAAB210D-0C8B-45F9-A1AE-30AD79DEE580}"/>
    <cellStyle name="Comma 2 4 5 8" xfId="1390" xr:uid="{00000000-0005-0000-0000-0000630D0000}"/>
    <cellStyle name="Comma 2 4 5 8 2" xfId="1391" xr:uid="{00000000-0005-0000-0000-0000640D0000}"/>
    <cellStyle name="Comma 2 4 5 8 2 2" xfId="8538" xr:uid="{00000000-0005-0000-0000-0000650D0000}"/>
    <cellStyle name="Comma 2 4 5 8 2 2 2" xfId="20084" xr:uid="{D56048E9-F0B0-4912-B331-42B61BB4ED5C}"/>
    <cellStyle name="Comma 2 4 5 8 2 2 3" xfId="30500" xr:uid="{473C8B64-422C-4EBD-BA7A-BBC372BA3CDF}"/>
    <cellStyle name="Comma 2 4 5 8 2 3" xfId="13726" xr:uid="{CF4A4BC7-60A0-4B81-836B-788947E14CD2}"/>
    <cellStyle name="Comma 2 4 5 8 2 4" xfId="24142" xr:uid="{165CDE7C-3234-429B-ADE7-A388E9D87AD5}"/>
    <cellStyle name="Comma 2 4 5 8 3" xfId="8537" xr:uid="{00000000-0005-0000-0000-0000660D0000}"/>
    <cellStyle name="Comma 2 4 5 8 3 2" xfId="20083" xr:uid="{9EBCF61A-C6FD-4F83-89DF-9E564556CF25}"/>
    <cellStyle name="Comma 2 4 5 8 3 3" xfId="30499" xr:uid="{0CCCF805-BB8E-4880-84CC-0C4B792301B2}"/>
    <cellStyle name="Comma 2 4 5 8 4" xfId="5459" xr:uid="{00000000-0005-0000-0000-0000670D0000}"/>
    <cellStyle name="Comma 2 4 5 8 4 2" xfId="17045" xr:uid="{5C095C7D-2157-4880-AF09-84D51B000AA0}"/>
    <cellStyle name="Comma 2 4 5 8 4 3" xfId="27461" xr:uid="{1B008A3B-DB4C-4932-98F4-C927ABC15367}"/>
    <cellStyle name="Comma 2 4 5 8 5" xfId="13725" xr:uid="{221AB70C-7377-4CAA-AFB9-920018261E58}"/>
    <cellStyle name="Comma 2 4 5 8 6" xfId="24141" xr:uid="{D3AE38DA-7FB4-4073-ADE8-C43EBCB02240}"/>
    <cellStyle name="Comma 2 4 5 9" xfId="1392" xr:uid="{00000000-0005-0000-0000-0000680D0000}"/>
    <cellStyle name="Comma 2 4 5 9 2" xfId="1393" xr:uid="{00000000-0005-0000-0000-0000690D0000}"/>
    <cellStyle name="Comma 2 4 5 9 2 2" xfId="8540" xr:uid="{00000000-0005-0000-0000-00006A0D0000}"/>
    <cellStyle name="Comma 2 4 5 9 2 2 2" xfId="20086" xr:uid="{4B0AC087-BC1A-4083-8BE2-571B52B6BE99}"/>
    <cellStyle name="Comma 2 4 5 9 2 2 3" xfId="30502" xr:uid="{B71C1FA4-903C-44FB-AA36-1799FD578ED0}"/>
    <cellStyle name="Comma 2 4 5 9 2 3" xfId="13728" xr:uid="{376BE75C-79BC-4C88-8B8F-70412819F2D6}"/>
    <cellStyle name="Comma 2 4 5 9 2 4" xfId="24144" xr:uid="{2F74D884-F331-4522-88DE-7AAB7323BE33}"/>
    <cellStyle name="Comma 2 4 5 9 3" xfId="8539" xr:uid="{00000000-0005-0000-0000-00006B0D0000}"/>
    <cellStyle name="Comma 2 4 5 9 3 2" xfId="20085" xr:uid="{3C39AF77-DFC1-48E8-ACB9-8A5913A4972C}"/>
    <cellStyle name="Comma 2 4 5 9 3 3" xfId="30501" xr:uid="{9C84C282-ED84-4F9F-99B7-584060D63520}"/>
    <cellStyle name="Comma 2 4 5 9 4" xfId="5460" xr:uid="{00000000-0005-0000-0000-00006C0D0000}"/>
    <cellStyle name="Comma 2 4 5 9 4 2" xfId="17046" xr:uid="{4D5BAFDD-8E6F-41CE-985C-EE94E93DE972}"/>
    <cellStyle name="Comma 2 4 5 9 4 3" xfId="27462" xr:uid="{878D0B19-5E62-4089-8D94-6EF5F558E3D2}"/>
    <cellStyle name="Comma 2 4 5 9 5" xfId="13727" xr:uid="{8E78EB35-93A2-4EF5-AEAC-6ADF94CE20A2}"/>
    <cellStyle name="Comma 2 4 5 9 6" xfId="24143" xr:uid="{65B087F3-43BA-4176-9F17-BB77011662A8}"/>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2 2 2" xfId="20090" xr:uid="{3B4731E3-48C0-4651-A31E-D529BA2FE2F8}"/>
    <cellStyle name="Comma 2 4 6 2 2 2 2 3" xfId="30506" xr:uid="{B74EC3F1-B862-4698-A04E-3EAFDA14C3A0}"/>
    <cellStyle name="Comma 2 4 6 2 2 2 3" xfId="13732" xr:uid="{FADAF73F-5D75-402B-84F3-0E084B2DF4B2}"/>
    <cellStyle name="Comma 2 4 6 2 2 2 4" xfId="24148" xr:uid="{834F5462-F10E-435D-896A-4CD7204A45D9}"/>
    <cellStyle name="Comma 2 4 6 2 2 3" xfId="8543" xr:uid="{00000000-0005-0000-0000-0000720D0000}"/>
    <cellStyle name="Comma 2 4 6 2 2 3 2" xfId="20089" xr:uid="{41D61122-E893-457A-A999-9908621B1DA3}"/>
    <cellStyle name="Comma 2 4 6 2 2 3 3" xfId="30505" xr:uid="{214EF588-0017-42DD-AD0D-E3C98523B6E8}"/>
    <cellStyle name="Comma 2 4 6 2 2 4" xfId="5463" xr:uid="{00000000-0005-0000-0000-0000730D0000}"/>
    <cellStyle name="Comma 2 4 6 2 2 4 2" xfId="17049" xr:uid="{69DDFAD7-08F6-486A-8083-2646F643A5FA}"/>
    <cellStyle name="Comma 2 4 6 2 2 4 3" xfId="27465" xr:uid="{0C34E13B-ADDC-4236-ADD8-EAE10F013428}"/>
    <cellStyle name="Comma 2 4 6 2 2 5" xfId="13731" xr:uid="{B28E63ED-0F59-43C7-8FDD-9890F4222F2A}"/>
    <cellStyle name="Comma 2 4 6 2 2 6" xfId="24147" xr:uid="{F4AE7AD3-3699-4043-87D3-A2B735E99CD8}"/>
    <cellStyle name="Comma 2 4 6 2 3" xfId="1398" xr:uid="{00000000-0005-0000-0000-0000740D0000}"/>
    <cellStyle name="Comma 2 4 6 2 3 2" xfId="8545" xr:uid="{00000000-0005-0000-0000-0000750D0000}"/>
    <cellStyle name="Comma 2 4 6 2 3 2 2" xfId="20091" xr:uid="{DBA80A9F-6A5E-4D87-8E51-3D5522579CAC}"/>
    <cellStyle name="Comma 2 4 6 2 3 2 3" xfId="30507" xr:uid="{3D730586-0CB4-4619-8085-0EAAC95F14D4}"/>
    <cellStyle name="Comma 2 4 6 2 3 3" xfId="13733" xr:uid="{5E959967-A5C0-46E3-8108-0B9EE9355F69}"/>
    <cellStyle name="Comma 2 4 6 2 3 4" xfId="24149" xr:uid="{D0DEC462-F14D-43DF-A4D4-0558E5570CDB}"/>
    <cellStyle name="Comma 2 4 6 2 4" xfId="8542" xr:uid="{00000000-0005-0000-0000-0000760D0000}"/>
    <cellStyle name="Comma 2 4 6 2 4 2" xfId="20088" xr:uid="{1444EA9E-9DF2-4E73-87D7-A1394BFA5745}"/>
    <cellStyle name="Comma 2 4 6 2 4 3" xfId="30504" xr:uid="{65C29DA9-58CF-4384-A83D-231FC4509F6A}"/>
    <cellStyle name="Comma 2 4 6 2 5" xfId="5462" xr:uid="{00000000-0005-0000-0000-0000770D0000}"/>
    <cellStyle name="Comma 2 4 6 2 5 2" xfId="17048" xr:uid="{CD85A70F-F6D4-4A95-ABE6-E9DF59E579CD}"/>
    <cellStyle name="Comma 2 4 6 2 5 3" xfId="27464" xr:uid="{C9C3ED3A-7A1D-4C1A-A98D-A020DD0190FD}"/>
    <cellStyle name="Comma 2 4 6 2 6" xfId="13730" xr:uid="{56190DE3-324E-4425-91D0-E7AE777538FE}"/>
    <cellStyle name="Comma 2 4 6 2 7" xfId="24146" xr:uid="{94D3AF74-F77F-4D10-836E-6622F0C5795A}"/>
    <cellStyle name="Comma 2 4 6 3" xfId="1399" xr:uid="{00000000-0005-0000-0000-0000780D0000}"/>
    <cellStyle name="Comma 2 4 6 3 2" xfId="1400" xr:uid="{00000000-0005-0000-0000-0000790D0000}"/>
    <cellStyle name="Comma 2 4 6 3 2 2" xfId="8547" xr:uid="{00000000-0005-0000-0000-00007A0D0000}"/>
    <cellStyle name="Comma 2 4 6 3 2 2 2" xfId="20093" xr:uid="{9881EA4E-23F2-4B74-9285-E468A3E63B11}"/>
    <cellStyle name="Comma 2 4 6 3 2 2 3" xfId="30509" xr:uid="{DE7BF386-A85A-4A76-A3CA-A0DEAD1239E7}"/>
    <cellStyle name="Comma 2 4 6 3 2 3" xfId="13735" xr:uid="{FAF8E205-CBEA-41C5-9CF1-0D168F939B39}"/>
    <cellStyle name="Comma 2 4 6 3 2 4" xfId="24151" xr:uid="{A13CF164-4044-4B5A-A6EA-56488624E407}"/>
    <cellStyle name="Comma 2 4 6 3 3" xfId="8546" xr:uid="{00000000-0005-0000-0000-00007B0D0000}"/>
    <cellStyle name="Comma 2 4 6 3 3 2" xfId="20092" xr:uid="{9C12B7F5-7EDF-4308-B198-0D2FC28AB939}"/>
    <cellStyle name="Comma 2 4 6 3 3 3" xfId="30508" xr:uid="{6236FD8E-CACA-45D9-B388-6AE0E4231D10}"/>
    <cellStyle name="Comma 2 4 6 3 4" xfId="5464" xr:uid="{00000000-0005-0000-0000-00007C0D0000}"/>
    <cellStyle name="Comma 2 4 6 3 4 2" xfId="17050" xr:uid="{A4E52C82-11D4-42DF-B4A4-5EB31612774D}"/>
    <cellStyle name="Comma 2 4 6 3 4 3" xfId="27466" xr:uid="{A12B60DD-CA86-4CD7-841E-BC0A7786BB26}"/>
    <cellStyle name="Comma 2 4 6 3 5" xfId="13734" xr:uid="{C6E97D71-5F26-4403-B466-AE9B11B9C0AC}"/>
    <cellStyle name="Comma 2 4 6 3 6" xfId="24150" xr:uid="{C426A174-EA76-47C8-8C20-E11670358B94}"/>
    <cellStyle name="Comma 2 4 6 4" xfId="1401" xr:uid="{00000000-0005-0000-0000-00007D0D0000}"/>
    <cellStyle name="Comma 2 4 6 4 2" xfId="1402" xr:uid="{00000000-0005-0000-0000-00007E0D0000}"/>
    <cellStyle name="Comma 2 4 6 4 2 2" xfId="8549" xr:uid="{00000000-0005-0000-0000-00007F0D0000}"/>
    <cellStyle name="Comma 2 4 6 4 2 2 2" xfId="20095" xr:uid="{402BFADE-5454-4695-B4C4-8E6C389BBDCC}"/>
    <cellStyle name="Comma 2 4 6 4 2 2 3" xfId="30511" xr:uid="{C5F222FA-A539-480C-99C0-3FB53A3A4D17}"/>
    <cellStyle name="Comma 2 4 6 4 2 3" xfId="13737" xr:uid="{3F032D8C-C2E7-432E-BD59-27DCEB963028}"/>
    <cellStyle name="Comma 2 4 6 4 2 4" xfId="24153" xr:uid="{346E4BBB-8400-4814-803A-D5DCE1A62F86}"/>
    <cellStyle name="Comma 2 4 6 4 3" xfId="8548" xr:uid="{00000000-0005-0000-0000-0000800D0000}"/>
    <cellStyle name="Comma 2 4 6 4 3 2" xfId="20094" xr:uid="{74D959D6-BAFB-4178-A9E7-304ED27620E4}"/>
    <cellStyle name="Comma 2 4 6 4 3 3" xfId="30510" xr:uid="{F96D3168-DA32-4387-BBE0-57C0C95662E3}"/>
    <cellStyle name="Comma 2 4 6 4 4" xfId="5465" xr:uid="{00000000-0005-0000-0000-0000810D0000}"/>
    <cellStyle name="Comma 2 4 6 4 4 2" xfId="17051" xr:uid="{C8CC8378-16DC-4434-98C0-8544239889AB}"/>
    <cellStyle name="Comma 2 4 6 4 4 3" xfId="27467" xr:uid="{6D8AD778-41EE-4CD2-9011-4609DA68D45C}"/>
    <cellStyle name="Comma 2 4 6 4 5" xfId="13736" xr:uid="{40F2D549-9316-4A14-9E64-CCA47152FE43}"/>
    <cellStyle name="Comma 2 4 6 4 6" xfId="24152" xr:uid="{B62D93CB-DC77-4F33-AE31-BB950C03998B}"/>
    <cellStyle name="Comma 2 4 6 5" xfId="1403" xr:uid="{00000000-0005-0000-0000-0000820D0000}"/>
    <cellStyle name="Comma 2 4 6 5 2" xfId="8550" xr:uid="{00000000-0005-0000-0000-0000830D0000}"/>
    <cellStyle name="Comma 2 4 6 5 2 2" xfId="20096" xr:uid="{88ED441C-507F-47BE-B120-A4A23473EA83}"/>
    <cellStyle name="Comma 2 4 6 5 2 3" xfId="30512" xr:uid="{4342850F-CA9B-4C4B-8570-91D1B99CBD76}"/>
    <cellStyle name="Comma 2 4 6 5 3" xfId="13738" xr:uid="{F326653F-59D6-48EC-B657-183B002F99F4}"/>
    <cellStyle name="Comma 2 4 6 5 4" xfId="24154" xr:uid="{FE251ACE-0F04-4D8A-A2C0-9A1A4B5EF505}"/>
    <cellStyle name="Comma 2 4 6 6" xfId="8541" xr:uid="{00000000-0005-0000-0000-0000840D0000}"/>
    <cellStyle name="Comma 2 4 6 6 2" xfId="20087" xr:uid="{6E8A324E-1409-466B-9251-305CEF31B0FB}"/>
    <cellStyle name="Comma 2 4 6 6 3" xfId="30503" xr:uid="{F9BD9854-335B-4B79-ADE6-C0439A4600C6}"/>
    <cellStyle name="Comma 2 4 6 7" xfId="5461" xr:uid="{00000000-0005-0000-0000-0000850D0000}"/>
    <cellStyle name="Comma 2 4 6 7 2" xfId="17047" xr:uid="{BD1122F8-FFE9-4018-8DEA-BE559E99D8F9}"/>
    <cellStyle name="Comma 2 4 6 7 3" xfId="27463" xr:uid="{CED8AA11-7CA6-4FDE-BE8F-69CF1127EA17}"/>
    <cellStyle name="Comma 2 4 6 8" xfId="13729" xr:uid="{69E7C18D-4BB7-4EFD-B001-6C32DE8CEC23}"/>
    <cellStyle name="Comma 2 4 6 9" xfId="24145" xr:uid="{51DE5147-2FF4-4E7B-AD59-B8CFCC42636A}"/>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2 2 2" xfId="20100" xr:uid="{9952D12D-7069-4778-8F41-24348EB6C81C}"/>
    <cellStyle name="Comma 2 4 7 2 2 2 2 3" xfId="30516" xr:uid="{2EC49CF2-75E0-48B8-8820-4DD7924A4CE2}"/>
    <cellStyle name="Comma 2 4 7 2 2 2 3" xfId="13742" xr:uid="{BB21ADB4-DAA3-406B-A395-8C68C6C646FD}"/>
    <cellStyle name="Comma 2 4 7 2 2 2 4" xfId="24158" xr:uid="{8A044C9A-DEE3-41AA-BF59-19D18277EC65}"/>
    <cellStyle name="Comma 2 4 7 2 2 3" xfId="8553" xr:uid="{00000000-0005-0000-0000-00008B0D0000}"/>
    <cellStyle name="Comma 2 4 7 2 2 3 2" xfId="20099" xr:uid="{9D4EFFD1-9BC0-4598-A23B-10116FFCC64E}"/>
    <cellStyle name="Comma 2 4 7 2 2 3 3" xfId="30515" xr:uid="{927EE129-8D27-4845-928C-05EB97E0BAE4}"/>
    <cellStyle name="Comma 2 4 7 2 2 4" xfId="5468" xr:uid="{00000000-0005-0000-0000-00008C0D0000}"/>
    <cellStyle name="Comma 2 4 7 2 2 4 2" xfId="17054" xr:uid="{CD43C5C4-A950-477B-BC85-FBE7B0DB6DFD}"/>
    <cellStyle name="Comma 2 4 7 2 2 4 3" xfId="27470" xr:uid="{18B5F0D2-B092-4ABD-B57D-D82575FF1D94}"/>
    <cellStyle name="Comma 2 4 7 2 2 5" xfId="13741" xr:uid="{5EC1A8E7-2365-41CE-9778-84EC71DDF4CA}"/>
    <cellStyle name="Comma 2 4 7 2 2 6" xfId="24157" xr:uid="{F5883146-9B0C-438E-9125-B5FE820530FC}"/>
    <cellStyle name="Comma 2 4 7 2 3" xfId="1408" xr:uid="{00000000-0005-0000-0000-00008D0D0000}"/>
    <cellStyle name="Comma 2 4 7 2 3 2" xfId="8555" xr:uid="{00000000-0005-0000-0000-00008E0D0000}"/>
    <cellStyle name="Comma 2 4 7 2 3 2 2" xfId="20101" xr:uid="{7688FA92-55AD-4E07-AB11-3FF62360BF2C}"/>
    <cellStyle name="Comma 2 4 7 2 3 2 3" xfId="30517" xr:uid="{A3E11264-D772-4001-A6ED-5B0B45B0108A}"/>
    <cellStyle name="Comma 2 4 7 2 3 3" xfId="13743" xr:uid="{7E308FE6-4710-4779-AC61-324D3DAE792B}"/>
    <cellStyle name="Comma 2 4 7 2 3 4" xfId="24159" xr:uid="{172725D1-65E1-4619-AFB7-3C219ED1FC08}"/>
    <cellStyle name="Comma 2 4 7 2 4" xfId="8552" xr:uid="{00000000-0005-0000-0000-00008F0D0000}"/>
    <cellStyle name="Comma 2 4 7 2 4 2" xfId="20098" xr:uid="{DB31BD72-8DF7-427E-8601-68D29405690F}"/>
    <cellStyle name="Comma 2 4 7 2 4 3" xfId="30514" xr:uid="{38055403-485D-414D-8AAC-4CC30D323E65}"/>
    <cellStyle name="Comma 2 4 7 2 5" xfId="5467" xr:uid="{00000000-0005-0000-0000-0000900D0000}"/>
    <cellStyle name="Comma 2 4 7 2 5 2" xfId="17053" xr:uid="{89C8298E-ACBB-4F78-9A0B-1769EA4E0AF7}"/>
    <cellStyle name="Comma 2 4 7 2 5 3" xfId="27469" xr:uid="{049A7571-DEBA-451C-A886-C8EB56970A70}"/>
    <cellStyle name="Comma 2 4 7 2 6" xfId="13740" xr:uid="{40055243-49CB-4583-A21E-E6F58154D081}"/>
    <cellStyle name="Comma 2 4 7 2 7" xfId="24156" xr:uid="{4AC92C56-DC6C-4813-AF0B-9D4376B6E142}"/>
    <cellStyle name="Comma 2 4 7 3" xfId="1409" xr:uid="{00000000-0005-0000-0000-0000910D0000}"/>
    <cellStyle name="Comma 2 4 7 3 2" xfId="1410" xr:uid="{00000000-0005-0000-0000-0000920D0000}"/>
    <cellStyle name="Comma 2 4 7 3 2 2" xfId="8557" xr:uid="{00000000-0005-0000-0000-0000930D0000}"/>
    <cellStyle name="Comma 2 4 7 3 2 2 2" xfId="20103" xr:uid="{9418D252-D4A1-406D-B72A-2319EAFE2A75}"/>
    <cellStyle name="Comma 2 4 7 3 2 2 3" xfId="30519" xr:uid="{EB4DF23B-6034-44EE-A326-08A2637BDC0A}"/>
    <cellStyle name="Comma 2 4 7 3 2 3" xfId="13745" xr:uid="{59FBBBF5-A6D2-45A3-B362-75AD3C9DD8D5}"/>
    <cellStyle name="Comma 2 4 7 3 2 4" xfId="24161" xr:uid="{7CA6E39C-59AE-45B8-80E2-F2D680D50DA3}"/>
    <cellStyle name="Comma 2 4 7 3 3" xfId="8556" xr:uid="{00000000-0005-0000-0000-0000940D0000}"/>
    <cellStyle name="Comma 2 4 7 3 3 2" xfId="20102" xr:uid="{0FD51A22-7A58-4063-9411-19DFB1428C8D}"/>
    <cellStyle name="Comma 2 4 7 3 3 3" xfId="30518" xr:uid="{2EBB53C6-35F1-4149-9300-2C7B89382E72}"/>
    <cellStyle name="Comma 2 4 7 3 4" xfId="5469" xr:uid="{00000000-0005-0000-0000-0000950D0000}"/>
    <cellStyle name="Comma 2 4 7 3 4 2" xfId="17055" xr:uid="{7655DBD6-D9ED-41C7-A15A-8C958FDB04B8}"/>
    <cellStyle name="Comma 2 4 7 3 4 3" xfId="27471" xr:uid="{B35F5D7D-D63B-425A-8C5F-E541F00B2E60}"/>
    <cellStyle name="Comma 2 4 7 3 5" xfId="13744" xr:uid="{853E6B15-CF38-4202-B0E1-9D419F832494}"/>
    <cellStyle name="Comma 2 4 7 3 6" xfId="24160" xr:uid="{35855B12-D54A-4ACF-8DCA-E64C9A5FCE46}"/>
    <cellStyle name="Comma 2 4 7 4" xfId="1411" xr:uid="{00000000-0005-0000-0000-0000960D0000}"/>
    <cellStyle name="Comma 2 4 7 4 2" xfId="1412" xr:uid="{00000000-0005-0000-0000-0000970D0000}"/>
    <cellStyle name="Comma 2 4 7 4 2 2" xfId="8559" xr:uid="{00000000-0005-0000-0000-0000980D0000}"/>
    <cellStyle name="Comma 2 4 7 4 2 2 2" xfId="20105" xr:uid="{319EE48E-D26F-4CA3-8A31-0F6B83881B91}"/>
    <cellStyle name="Comma 2 4 7 4 2 2 3" xfId="30521" xr:uid="{910FFDEA-6DCF-41EF-B4FC-16F9ABA8A49E}"/>
    <cellStyle name="Comma 2 4 7 4 2 3" xfId="13747" xr:uid="{7270B06E-221B-4BBA-8D7A-684D25F70849}"/>
    <cellStyle name="Comma 2 4 7 4 2 4" xfId="24163" xr:uid="{7100C927-960F-4BFD-89DA-B724EC85F1A6}"/>
    <cellStyle name="Comma 2 4 7 4 3" xfId="8558" xr:uid="{00000000-0005-0000-0000-0000990D0000}"/>
    <cellStyle name="Comma 2 4 7 4 3 2" xfId="20104" xr:uid="{7BFB2813-EC2C-4403-AFDA-4E0F1C811842}"/>
    <cellStyle name="Comma 2 4 7 4 3 3" xfId="30520" xr:uid="{FE78B048-C03F-4E07-822B-80E620DF8808}"/>
    <cellStyle name="Comma 2 4 7 4 4" xfId="5470" xr:uid="{00000000-0005-0000-0000-00009A0D0000}"/>
    <cellStyle name="Comma 2 4 7 4 4 2" xfId="17056" xr:uid="{0598A0C2-1B9E-47EB-B4C0-BB19BEA606A6}"/>
    <cellStyle name="Comma 2 4 7 4 4 3" xfId="27472" xr:uid="{8DD6F3C5-EE3F-47DB-8CF9-BEAB795DC896}"/>
    <cellStyle name="Comma 2 4 7 4 5" xfId="13746" xr:uid="{44069DCE-11FD-47E1-84E1-E7AEC4B2269E}"/>
    <cellStyle name="Comma 2 4 7 4 6" xfId="24162" xr:uid="{BA5CE908-EEBF-4D34-80FC-381242D2163E}"/>
    <cellStyle name="Comma 2 4 7 5" xfId="1413" xr:uid="{00000000-0005-0000-0000-00009B0D0000}"/>
    <cellStyle name="Comma 2 4 7 5 2" xfId="8560" xr:uid="{00000000-0005-0000-0000-00009C0D0000}"/>
    <cellStyle name="Comma 2 4 7 5 2 2" xfId="20106" xr:uid="{770F4EBF-9FC1-44F2-8A30-156E17037987}"/>
    <cellStyle name="Comma 2 4 7 5 2 3" xfId="30522" xr:uid="{5CCE458D-EAAE-4997-9935-4ABF333C2F43}"/>
    <cellStyle name="Comma 2 4 7 5 3" xfId="13748" xr:uid="{D4F9C434-BAC1-4D8A-BA62-E1D1806DA739}"/>
    <cellStyle name="Comma 2 4 7 5 4" xfId="24164" xr:uid="{AFF67B07-19C1-435F-9CDB-1E7D60187DFF}"/>
    <cellStyle name="Comma 2 4 7 6" xfId="8551" xr:uid="{00000000-0005-0000-0000-00009D0D0000}"/>
    <cellStyle name="Comma 2 4 7 6 2" xfId="20097" xr:uid="{1F6D6246-C087-44C3-9113-C64C96DFB1EF}"/>
    <cellStyle name="Comma 2 4 7 6 3" xfId="30513" xr:uid="{78F483A7-986B-4125-B7DE-EB638EE23DE8}"/>
    <cellStyle name="Comma 2 4 7 7" xfId="5466" xr:uid="{00000000-0005-0000-0000-00009E0D0000}"/>
    <cellStyle name="Comma 2 4 7 7 2" xfId="17052" xr:uid="{33D18833-F352-4805-8C64-3E062890F012}"/>
    <cellStyle name="Comma 2 4 7 7 3" xfId="27468" xr:uid="{391AD6BC-11EA-4489-93D3-9F96850CCCB9}"/>
    <cellStyle name="Comma 2 4 7 8" xfId="13739" xr:uid="{2949F9A5-56BB-4620-94F1-767D45320F12}"/>
    <cellStyle name="Comma 2 4 7 9" xfId="24155" xr:uid="{1C5BED0D-44F6-426F-ADF7-27E2A8BA64B3}"/>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2 2 2" xfId="20110" xr:uid="{464D8D30-6D9B-45F1-B7A8-A6BE9B03CC84}"/>
    <cellStyle name="Comma 2 4 8 2 2 2 2 3" xfId="30526" xr:uid="{14EA5D35-7046-48FA-AD32-B408299FDCAB}"/>
    <cellStyle name="Comma 2 4 8 2 2 2 3" xfId="13752" xr:uid="{570EFDBA-59D0-48D1-8B06-224589A723AE}"/>
    <cellStyle name="Comma 2 4 8 2 2 2 4" xfId="24168" xr:uid="{EC91F0DE-9DD8-4F9E-B773-72DE3E2C3DA5}"/>
    <cellStyle name="Comma 2 4 8 2 2 3" xfId="8563" xr:uid="{00000000-0005-0000-0000-0000A40D0000}"/>
    <cellStyle name="Comma 2 4 8 2 2 3 2" xfId="20109" xr:uid="{76DCD358-2AD3-427D-8631-083DC581E96A}"/>
    <cellStyle name="Comma 2 4 8 2 2 3 3" xfId="30525" xr:uid="{ABAC142A-0828-4D83-9871-99A6B330EE49}"/>
    <cellStyle name="Comma 2 4 8 2 2 4" xfId="5473" xr:uid="{00000000-0005-0000-0000-0000A50D0000}"/>
    <cellStyle name="Comma 2 4 8 2 2 4 2" xfId="17059" xr:uid="{80721BF8-A6A3-49EB-B994-8296B9360818}"/>
    <cellStyle name="Comma 2 4 8 2 2 4 3" xfId="27475" xr:uid="{A2E1955C-D306-433C-963E-03155B31246C}"/>
    <cellStyle name="Comma 2 4 8 2 2 5" xfId="13751" xr:uid="{8122C8DF-C444-4781-9615-0520451B4551}"/>
    <cellStyle name="Comma 2 4 8 2 2 6" xfId="24167" xr:uid="{E48D15C4-4211-4807-8C07-C641DFA33559}"/>
    <cellStyle name="Comma 2 4 8 2 3" xfId="1418" xr:uid="{00000000-0005-0000-0000-0000A60D0000}"/>
    <cellStyle name="Comma 2 4 8 2 3 2" xfId="8565" xr:uid="{00000000-0005-0000-0000-0000A70D0000}"/>
    <cellStyle name="Comma 2 4 8 2 3 2 2" xfId="20111" xr:uid="{CDBC7D2C-9FD1-4D00-94D0-478792464C17}"/>
    <cellStyle name="Comma 2 4 8 2 3 2 3" xfId="30527" xr:uid="{7C833699-A2EE-4081-9FFC-F9886201F46A}"/>
    <cellStyle name="Comma 2 4 8 2 3 3" xfId="13753" xr:uid="{E7A71AB6-AB58-4E6C-B1CE-22A6A4BAB62F}"/>
    <cellStyle name="Comma 2 4 8 2 3 4" xfId="24169" xr:uid="{51DFCFAC-9984-4B37-B9B5-DC5B3A54D852}"/>
    <cellStyle name="Comma 2 4 8 2 4" xfId="8562" xr:uid="{00000000-0005-0000-0000-0000A80D0000}"/>
    <cellStyle name="Comma 2 4 8 2 4 2" xfId="20108" xr:uid="{495305FB-B4F8-4898-BE52-70B3E5D08352}"/>
    <cellStyle name="Comma 2 4 8 2 4 3" xfId="30524" xr:uid="{18C5636F-ACAA-4BD6-B1F9-E506155E4CC8}"/>
    <cellStyle name="Comma 2 4 8 2 5" xfId="5472" xr:uid="{00000000-0005-0000-0000-0000A90D0000}"/>
    <cellStyle name="Comma 2 4 8 2 5 2" xfId="17058" xr:uid="{365EA951-AF45-438C-BE63-4AD9BE5470B1}"/>
    <cellStyle name="Comma 2 4 8 2 5 3" xfId="27474" xr:uid="{4BA28A43-E823-4139-B9DE-428F4A7B1520}"/>
    <cellStyle name="Comma 2 4 8 2 6" xfId="13750" xr:uid="{43B40175-271F-4AEF-8125-601D112E7A2E}"/>
    <cellStyle name="Comma 2 4 8 2 7" xfId="24166" xr:uid="{490A45CA-3D15-4791-BBDF-5351395897FF}"/>
    <cellStyle name="Comma 2 4 8 3" xfId="1419" xr:uid="{00000000-0005-0000-0000-0000AA0D0000}"/>
    <cellStyle name="Comma 2 4 8 3 2" xfId="1420" xr:uid="{00000000-0005-0000-0000-0000AB0D0000}"/>
    <cellStyle name="Comma 2 4 8 3 2 2" xfId="8567" xr:uid="{00000000-0005-0000-0000-0000AC0D0000}"/>
    <cellStyle name="Comma 2 4 8 3 2 2 2" xfId="20113" xr:uid="{5BC75692-7054-4682-81CC-0EB706C36A0C}"/>
    <cellStyle name="Comma 2 4 8 3 2 2 3" xfId="30529" xr:uid="{9066EA0B-0D69-4911-A8B3-0C24541FFD7E}"/>
    <cellStyle name="Comma 2 4 8 3 2 3" xfId="13755" xr:uid="{B4CF9308-F7F2-4690-9015-E92475F618EA}"/>
    <cellStyle name="Comma 2 4 8 3 2 4" xfId="24171" xr:uid="{72A68C02-78E6-45FD-9363-EAF9D9E70C21}"/>
    <cellStyle name="Comma 2 4 8 3 3" xfId="8566" xr:uid="{00000000-0005-0000-0000-0000AD0D0000}"/>
    <cellStyle name="Comma 2 4 8 3 3 2" xfId="20112" xr:uid="{99DDFFC6-C134-4AFC-B37D-45166DA99239}"/>
    <cellStyle name="Comma 2 4 8 3 3 3" xfId="30528" xr:uid="{4146DB0B-E999-41BE-A301-D1055C841573}"/>
    <cellStyle name="Comma 2 4 8 3 4" xfId="5474" xr:uid="{00000000-0005-0000-0000-0000AE0D0000}"/>
    <cellStyle name="Comma 2 4 8 3 4 2" xfId="17060" xr:uid="{FC594F51-7E39-4342-935A-FB3F2F6F1FF2}"/>
    <cellStyle name="Comma 2 4 8 3 4 3" xfId="27476" xr:uid="{11606DE1-894E-4138-9B44-2EA7F40D78D5}"/>
    <cellStyle name="Comma 2 4 8 3 5" xfId="13754" xr:uid="{1422476B-95FC-45FB-8FA2-F59208F52A9A}"/>
    <cellStyle name="Comma 2 4 8 3 6" xfId="24170" xr:uid="{DF30ED3B-9242-4392-91AC-FBEA27BFAE92}"/>
    <cellStyle name="Comma 2 4 8 4" xfId="1421" xr:uid="{00000000-0005-0000-0000-0000AF0D0000}"/>
    <cellStyle name="Comma 2 4 8 4 2" xfId="1422" xr:uid="{00000000-0005-0000-0000-0000B00D0000}"/>
    <cellStyle name="Comma 2 4 8 4 2 2" xfId="8569" xr:uid="{00000000-0005-0000-0000-0000B10D0000}"/>
    <cellStyle name="Comma 2 4 8 4 2 2 2" xfId="20115" xr:uid="{1CBB0EF7-D0DF-450E-A35E-6B89FCFE2760}"/>
    <cellStyle name="Comma 2 4 8 4 2 2 3" xfId="30531" xr:uid="{C63CB8B2-855F-4F0F-84F7-689C66712064}"/>
    <cellStyle name="Comma 2 4 8 4 2 3" xfId="13757" xr:uid="{E6988473-1870-4303-AC35-8D21B7E3FFE5}"/>
    <cellStyle name="Comma 2 4 8 4 2 4" xfId="24173" xr:uid="{3880931E-6288-40BD-9EFA-40735C9360B6}"/>
    <cellStyle name="Comma 2 4 8 4 3" xfId="8568" xr:uid="{00000000-0005-0000-0000-0000B20D0000}"/>
    <cellStyle name="Comma 2 4 8 4 3 2" xfId="20114" xr:uid="{F7D285B6-F99B-4F78-910C-AC4EC1AEFBC9}"/>
    <cellStyle name="Comma 2 4 8 4 3 3" xfId="30530" xr:uid="{898BE910-D88F-4D94-AA1F-9A37452C2685}"/>
    <cellStyle name="Comma 2 4 8 4 4" xfId="5475" xr:uid="{00000000-0005-0000-0000-0000B30D0000}"/>
    <cellStyle name="Comma 2 4 8 4 4 2" xfId="17061" xr:uid="{B95806E6-1D6F-40BC-99FC-7251C9C9CC8F}"/>
    <cellStyle name="Comma 2 4 8 4 4 3" xfId="27477" xr:uid="{CD3F1419-8911-424F-8F7B-911A8B919841}"/>
    <cellStyle name="Comma 2 4 8 4 5" xfId="13756" xr:uid="{0DA576E3-7789-4233-8F71-EA075B2AA534}"/>
    <cellStyle name="Comma 2 4 8 4 6" xfId="24172" xr:uid="{8C55E809-F8C8-42D9-8C6D-A5595F2C1512}"/>
    <cellStyle name="Comma 2 4 8 5" xfId="1423" xr:uid="{00000000-0005-0000-0000-0000B40D0000}"/>
    <cellStyle name="Comma 2 4 8 5 2" xfId="8570" xr:uid="{00000000-0005-0000-0000-0000B50D0000}"/>
    <cellStyle name="Comma 2 4 8 5 2 2" xfId="20116" xr:uid="{6C3380EC-BFE7-4765-8F24-22AB908E9A05}"/>
    <cellStyle name="Comma 2 4 8 5 2 3" xfId="30532" xr:uid="{25A89BDE-36C2-4310-9394-F58381816E92}"/>
    <cellStyle name="Comma 2 4 8 5 3" xfId="13758" xr:uid="{440BA0B6-F16B-4636-A139-ECDAE4C87C21}"/>
    <cellStyle name="Comma 2 4 8 5 4" xfId="24174" xr:uid="{072BF726-A886-4A82-939C-A102A0604BFF}"/>
    <cellStyle name="Comma 2 4 8 6" xfId="8561" xr:uid="{00000000-0005-0000-0000-0000B60D0000}"/>
    <cellStyle name="Comma 2 4 8 6 2" xfId="20107" xr:uid="{CA267693-F6A5-40E3-80FC-686004B5FB55}"/>
    <cellStyle name="Comma 2 4 8 6 3" xfId="30523" xr:uid="{4AF4D74D-6436-44FC-9ABF-97D5DEDA625E}"/>
    <cellStyle name="Comma 2 4 8 7" xfId="5471" xr:uid="{00000000-0005-0000-0000-0000B70D0000}"/>
    <cellStyle name="Comma 2 4 8 7 2" xfId="17057" xr:uid="{C37C0B70-9560-43F2-AB57-B61276EA6D48}"/>
    <cellStyle name="Comma 2 4 8 7 3" xfId="27473" xr:uid="{64992BBD-4AEA-4D7C-AEFD-AE37150B42F9}"/>
    <cellStyle name="Comma 2 4 8 8" xfId="13749" xr:uid="{2619B583-86A1-4D57-8888-1DB80B6D7F8A}"/>
    <cellStyle name="Comma 2 4 8 9" xfId="24165" xr:uid="{9E943EC0-16BC-4B12-87EA-78B8BECF4DD5}"/>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2 2 2" xfId="20120" xr:uid="{C14F763A-9FA4-48E6-8285-8150F4034B12}"/>
    <cellStyle name="Comma 2 4 9 2 2 2 2 3" xfId="30536" xr:uid="{BCF1303D-BB6F-4FD1-BBD7-3D9695E25BC6}"/>
    <cellStyle name="Comma 2 4 9 2 2 2 3" xfId="13762" xr:uid="{CA7BD2C1-6475-4EF6-AA8A-B6C48CCB9177}"/>
    <cellStyle name="Comma 2 4 9 2 2 2 4" xfId="24178" xr:uid="{E6ACCB50-0F35-4113-A850-83AE000856E8}"/>
    <cellStyle name="Comma 2 4 9 2 2 3" xfId="8573" xr:uid="{00000000-0005-0000-0000-0000BD0D0000}"/>
    <cellStyle name="Comma 2 4 9 2 2 3 2" xfId="20119" xr:uid="{B927CB89-07CA-4E42-A5E0-B9EDA62913D1}"/>
    <cellStyle name="Comma 2 4 9 2 2 3 3" xfId="30535" xr:uid="{8E034758-CCAF-4A83-984F-0EFE89931CD3}"/>
    <cellStyle name="Comma 2 4 9 2 2 4" xfId="5478" xr:uid="{00000000-0005-0000-0000-0000BE0D0000}"/>
    <cellStyle name="Comma 2 4 9 2 2 4 2" xfId="17064" xr:uid="{DF5F9501-FBE0-4929-901E-0B3079B5C45E}"/>
    <cellStyle name="Comma 2 4 9 2 2 4 3" xfId="27480" xr:uid="{A66205BA-726D-4D90-8CDA-F458D8661F22}"/>
    <cellStyle name="Comma 2 4 9 2 2 5" xfId="13761" xr:uid="{A09B2746-F692-43C4-9C68-CBD2B773E008}"/>
    <cellStyle name="Comma 2 4 9 2 2 6" xfId="24177" xr:uid="{855C8862-59B6-43C6-B198-8611F05DE409}"/>
    <cellStyle name="Comma 2 4 9 2 3" xfId="1428" xr:uid="{00000000-0005-0000-0000-0000BF0D0000}"/>
    <cellStyle name="Comma 2 4 9 2 3 2" xfId="8575" xr:uid="{00000000-0005-0000-0000-0000C00D0000}"/>
    <cellStyle name="Comma 2 4 9 2 3 2 2" xfId="20121" xr:uid="{D3891E41-90D9-4FEB-B897-55AA3DF75E15}"/>
    <cellStyle name="Comma 2 4 9 2 3 2 3" xfId="30537" xr:uid="{B5C27735-A5BD-4F31-859A-4993B2660531}"/>
    <cellStyle name="Comma 2 4 9 2 3 3" xfId="13763" xr:uid="{18498B5F-4E6A-410B-8E37-795961E4860C}"/>
    <cellStyle name="Comma 2 4 9 2 3 4" xfId="24179" xr:uid="{9A47BDE0-A6BB-4132-A2D6-0085FF96B8B1}"/>
    <cellStyle name="Comma 2 4 9 2 4" xfId="8572" xr:uid="{00000000-0005-0000-0000-0000C10D0000}"/>
    <cellStyle name="Comma 2 4 9 2 4 2" xfId="20118" xr:uid="{969563AE-7D63-449D-978C-B6E6C066CBBC}"/>
    <cellStyle name="Comma 2 4 9 2 4 3" xfId="30534" xr:uid="{E61FFAB4-A64B-48FE-9373-4C13520C3216}"/>
    <cellStyle name="Comma 2 4 9 2 5" xfId="5477" xr:uid="{00000000-0005-0000-0000-0000C20D0000}"/>
    <cellStyle name="Comma 2 4 9 2 5 2" xfId="17063" xr:uid="{F6FC6FA2-2416-4AB1-8A21-69706BE08D19}"/>
    <cellStyle name="Comma 2 4 9 2 5 3" xfId="27479" xr:uid="{C60673D0-85D4-46EA-8A7E-0C1801DF63FE}"/>
    <cellStyle name="Comma 2 4 9 2 6" xfId="13760" xr:uid="{82172551-AA3C-4C5E-A3C1-F904714AE538}"/>
    <cellStyle name="Comma 2 4 9 2 7" xfId="24176" xr:uid="{9520CDE5-1C61-49A1-93CB-9F394828FF69}"/>
    <cellStyle name="Comma 2 4 9 3" xfId="1429" xr:uid="{00000000-0005-0000-0000-0000C30D0000}"/>
    <cellStyle name="Comma 2 4 9 3 2" xfId="1430" xr:uid="{00000000-0005-0000-0000-0000C40D0000}"/>
    <cellStyle name="Comma 2 4 9 3 2 2" xfId="8577" xr:uid="{00000000-0005-0000-0000-0000C50D0000}"/>
    <cellStyle name="Comma 2 4 9 3 2 2 2" xfId="20123" xr:uid="{6F055C79-AF0D-4FCA-8974-3FB083EF0E84}"/>
    <cellStyle name="Comma 2 4 9 3 2 2 3" xfId="30539" xr:uid="{AF419D86-FFA7-44DC-AA41-ACBCB2C4BB35}"/>
    <cellStyle name="Comma 2 4 9 3 2 3" xfId="13765" xr:uid="{464EFD18-0C4A-49C6-A9D9-9AA7937C51A2}"/>
    <cellStyle name="Comma 2 4 9 3 2 4" xfId="24181" xr:uid="{73BE1878-7CC6-4ABB-A7FB-6CE4006E61C8}"/>
    <cellStyle name="Comma 2 4 9 3 3" xfId="8576" xr:uid="{00000000-0005-0000-0000-0000C60D0000}"/>
    <cellStyle name="Comma 2 4 9 3 3 2" xfId="20122" xr:uid="{AFEC58E7-FB58-4E9E-B434-D8D348092BA5}"/>
    <cellStyle name="Comma 2 4 9 3 3 3" xfId="30538" xr:uid="{F924066B-4F95-48CD-9983-80E8448231B3}"/>
    <cellStyle name="Comma 2 4 9 3 4" xfId="5479" xr:uid="{00000000-0005-0000-0000-0000C70D0000}"/>
    <cellStyle name="Comma 2 4 9 3 4 2" xfId="17065" xr:uid="{15CC95AE-3616-4682-A782-9AAFA0924D1F}"/>
    <cellStyle name="Comma 2 4 9 3 4 3" xfId="27481" xr:uid="{D774DE84-2184-4BC6-9534-C22DCA88EA91}"/>
    <cellStyle name="Comma 2 4 9 3 5" xfId="13764" xr:uid="{EA508AA3-9E77-4E24-BF6D-3B851515B334}"/>
    <cellStyle name="Comma 2 4 9 3 6" xfId="24180" xr:uid="{2ED1BC63-AFF2-4149-A01B-F2AB95E30E0F}"/>
    <cellStyle name="Comma 2 4 9 4" xfId="1431" xr:uid="{00000000-0005-0000-0000-0000C80D0000}"/>
    <cellStyle name="Comma 2 4 9 4 2" xfId="1432" xr:uid="{00000000-0005-0000-0000-0000C90D0000}"/>
    <cellStyle name="Comma 2 4 9 4 2 2" xfId="8579" xr:uid="{00000000-0005-0000-0000-0000CA0D0000}"/>
    <cellStyle name="Comma 2 4 9 4 2 2 2" xfId="20125" xr:uid="{35E2D1BC-6A24-4D3F-B07F-6DF59437C2AA}"/>
    <cellStyle name="Comma 2 4 9 4 2 2 3" xfId="30541" xr:uid="{AB01ED32-A9C2-4FE7-A2A0-F1E7ECABF2AF}"/>
    <cellStyle name="Comma 2 4 9 4 2 3" xfId="13767" xr:uid="{BC688280-7B8C-4C2B-A6BA-65B5B4B69409}"/>
    <cellStyle name="Comma 2 4 9 4 2 4" xfId="24183" xr:uid="{7614AACC-8C4B-44D5-BE1F-91E0C3C746EA}"/>
    <cellStyle name="Comma 2 4 9 4 3" xfId="8578" xr:uid="{00000000-0005-0000-0000-0000CB0D0000}"/>
    <cellStyle name="Comma 2 4 9 4 3 2" xfId="20124" xr:uid="{48CE6942-5ACE-4D08-8602-2D3344ACD78D}"/>
    <cellStyle name="Comma 2 4 9 4 3 3" xfId="30540" xr:uid="{2550D1FE-6738-4D15-B2F2-01D6D7E2E834}"/>
    <cellStyle name="Comma 2 4 9 4 4" xfId="5480" xr:uid="{00000000-0005-0000-0000-0000CC0D0000}"/>
    <cellStyle name="Comma 2 4 9 4 4 2" xfId="17066" xr:uid="{00DA6EB8-CA27-40B6-A011-B30F6C69051A}"/>
    <cellStyle name="Comma 2 4 9 4 4 3" xfId="27482" xr:uid="{45687BC5-A001-4833-A4E8-DF4C45517AED}"/>
    <cellStyle name="Comma 2 4 9 4 5" xfId="13766" xr:uid="{E395E6AC-DD8C-4C5B-84B3-0DA862F6EF47}"/>
    <cellStyle name="Comma 2 4 9 4 6" xfId="24182" xr:uid="{486C865B-5BED-43F0-A49F-9E8BD1A711E3}"/>
    <cellStyle name="Comma 2 4 9 5" xfId="1433" xr:uid="{00000000-0005-0000-0000-0000CD0D0000}"/>
    <cellStyle name="Comma 2 4 9 5 2" xfId="8580" xr:uid="{00000000-0005-0000-0000-0000CE0D0000}"/>
    <cellStyle name="Comma 2 4 9 5 2 2" xfId="20126" xr:uid="{FEAF66CD-6C17-4D30-AEA2-B72BF685B775}"/>
    <cellStyle name="Comma 2 4 9 5 2 3" xfId="30542" xr:uid="{E3B4729E-E097-447B-8E3D-7C6318965B31}"/>
    <cellStyle name="Comma 2 4 9 5 3" xfId="13768" xr:uid="{ADEA6726-FDDC-4293-BB0F-D1A568AC4DB7}"/>
    <cellStyle name="Comma 2 4 9 5 4" xfId="24184" xr:uid="{878AFA92-321C-4671-8777-221BDFB1F53B}"/>
    <cellStyle name="Comma 2 4 9 6" xfId="8571" xr:uid="{00000000-0005-0000-0000-0000CF0D0000}"/>
    <cellStyle name="Comma 2 4 9 6 2" xfId="20117" xr:uid="{530B660F-0F58-4EDC-915F-D29C2FE12BCA}"/>
    <cellStyle name="Comma 2 4 9 6 3" xfId="30533" xr:uid="{57D56967-89DF-4730-ADBE-17F4EF390A22}"/>
    <cellStyle name="Comma 2 4 9 7" xfId="5476" xr:uid="{00000000-0005-0000-0000-0000D00D0000}"/>
    <cellStyle name="Comma 2 4 9 7 2" xfId="17062" xr:uid="{175ADE49-E3C8-48F8-8F77-AF2137903FE5}"/>
    <cellStyle name="Comma 2 4 9 7 3" xfId="27478" xr:uid="{16482A3E-160C-4BBF-9E8D-2BC6ECE8FB64}"/>
    <cellStyle name="Comma 2 4 9 8" xfId="13759" xr:uid="{29631CA6-9301-48C5-8324-3A732B48B915}"/>
    <cellStyle name="Comma 2 4 9 9" xfId="24175" xr:uid="{69722FD4-E337-48E5-966C-5EB7B1137BAE}"/>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2 2 2" xfId="20130" xr:uid="{6FA35C83-53A6-412B-ADEE-CABCC5660A82}"/>
    <cellStyle name="Comma 2 5 10 2 2 2 3" xfId="30546" xr:uid="{2DDC0E3C-AF44-4234-9339-63FBCBA57CB1}"/>
    <cellStyle name="Comma 2 5 10 2 2 3" xfId="13772" xr:uid="{F2FC3CBE-BBBE-45AE-A2DD-3D9729939A9E}"/>
    <cellStyle name="Comma 2 5 10 2 2 4" xfId="24188" xr:uid="{C5D65B2C-F98D-4997-B658-035528CB11D1}"/>
    <cellStyle name="Comma 2 5 10 2 3" xfId="8583" xr:uid="{00000000-0005-0000-0000-0000D60D0000}"/>
    <cellStyle name="Comma 2 5 10 2 3 2" xfId="20129" xr:uid="{2349F994-2B26-4E6E-B43B-D00C3983F8C4}"/>
    <cellStyle name="Comma 2 5 10 2 3 3" xfId="30545" xr:uid="{4C8AA081-81F3-4C61-81E4-A04E2ED4C246}"/>
    <cellStyle name="Comma 2 5 10 2 4" xfId="5483" xr:uid="{00000000-0005-0000-0000-0000D70D0000}"/>
    <cellStyle name="Comma 2 5 10 2 4 2" xfId="17069" xr:uid="{ABC049AC-3C07-4A35-82DA-5EFF0024B6D1}"/>
    <cellStyle name="Comma 2 5 10 2 4 3" xfId="27485" xr:uid="{C0BFA11B-3B75-4DE2-96B7-573CE29DEC48}"/>
    <cellStyle name="Comma 2 5 10 2 5" xfId="13771" xr:uid="{D2D95CE3-5112-4CB8-BD66-0C40B4666676}"/>
    <cellStyle name="Comma 2 5 10 2 6" xfId="24187" xr:uid="{196CA9A5-3B83-4426-AFEC-7AA4BB5EC4DA}"/>
    <cellStyle name="Comma 2 5 10 3" xfId="1438" xr:uid="{00000000-0005-0000-0000-0000D80D0000}"/>
    <cellStyle name="Comma 2 5 10 3 2" xfId="1439" xr:uid="{00000000-0005-0000-0000-0000D90D0000}"/>
    <cellStyle name="Comma 2 5 10 3 2 2" xfId="8586" xr:uid="{00000000-0005-0000-0000-0000DA0D0000}"/>
    <cellStyle name="Comma 2 5 10 3 2 2 2" xfId="20132" xr:uid="{BF2E6F82-16FC-4C2A-B265-AF920F30BAC1}"/>
    <cellStyle name="Comma 2 5 10 3 2 2 3" xfId="30548" xr:uid="{097421E0-9270-4CAA-B864-A22E6370AC3D}"/>
    <cellStyle name="Comma 2 5 10 3 2 3" xfId="13774" xr:uid="{7A7F91A9-9C3A-4A8F-9AF6-CD05D119ADC8}"/>
    <cellStyle name="Comma 2 5 10 3 2 4" xfId="24190" xr:uid="{1A9B33D4-A807-40FD-A5A5-4EC92F135775}"/>
    <cellStyle name="Comma 2 5 10 3 3" xfId="8585" xr:uid="{00000000-0005-0000-0000-0000DB0D0000}"/>
    <cellStyle name="Comma 2 5 10 3 3 2" xfId="20131" xr:uid="{81879C3A-2196-4FBE-8C94-BAB9697D166B}"/>
    <cellStyle name="Comma 2 5 10 3 3 3" xfId="30547" xr:uid="{895E321B-6E6D-4C2F-BDE2-F416E1ECA9F9}"/>
    <cellStyle name="Comma 2 5 10 3 4" xfId="5484" xr:uid="{00000000-0005-0000-0000-0000DC0D0000}"/>
    <cellStyle name="Comma 2 5 10 3 4 2" xfId="17070" xr:uid="{2C626840-29B1-4FCC-BC51-63CBE2C2C66E}"/>
    <cellStyle name="Comma 2 5 10 3 4 3" xfId="27486" xr:uid="{E8CF1804-0491-4ED2-9807-35909E2850DC}"/>
    <cellStyle name="Comma 2 5 10 3 5" xfId="13773" xr:uid="{D516D7B5-063F-49E5-BEB3-E221FEF5A857}"/>
    <cellStyle name="Comma 2 5 10 3 6" xfId="24189" xr:uid="{415C3865-14AD-4EA6-8E81-635DAB924791}"/>
    <cellStyle name="Comma 2 5 10 4" xfId="1440" xr:uid="{00000000-0005-0000-0000-0000DD0D0000}"/>
    <cellStyle name="Comma 2 5 10 4 2" xfId="8587" xr:uid="{00000000-0005-0000-0000-0000DE0D0000}"/>
    <cellStyle name="Comma 2 5 10 4 2 2" xfId="20133" xr:uid="{88419723-98E7-4A23-841F-8625A5920D86}"/>
    <cellStyle name="Comma 2 5 10 4 2 3" xfId="30549" xr:uid="{4A3AF141-5811-46E5-84B9-406732000223}"/>
    <cellStyle name="Comma 2 5 10 4 3" xfId="13775" xr:uid="{9FEE210F-F20A-42C7-A54D-AE72F2139C24}"/>
    <cellStyle name="Comma 2 5 10 4 4" xfId="24191" xr:uid="{8A5F473A-BD13-4147-BCAE-196F5B90939C}"/>
    <cellStyle name="Comma 2 5 10 5" xfId="8582" xr:uid="{00000000-0005-0000-0000-0000DF0D0000}"/>
    <cellStyle name="Comma 2 5 10 5 2" xfId="20128" xr:uid="{D83A111D-56C0-4C0F-A787-A1C8E96BED2A}"/>
    <cellStyle name="Comma 2 5 10 5 3" xfId="30544" xr:uid="{1FF69F5E-4604-443E-A6FC-E3ED9EAA098B}"/>
    <cellStyle name="Comma 2 5 10 6" xfId="5482" xr:uid="{00000000-0005-0000-0000-0000E00D0000}"/>
    <cellStyle name="Comma 2 5 10 6 2" xfId="17068" xr:uid="{730C2F04-F753-49A0-97F6-2E16EB79A67A}"/>
    <cellStyle name="Comma 2 5 10 6 3" xfId="27484" xr:uid="{2D5A6D90-D7D1-46E5-ADE1-96FFE5010C73}"/>
    <cellStyle name="Comma 2 5 10 7" xfId="13770" xr:uid="{AD0C9660-A4BB-4E7A-8DB0-43F540571DE5}"/>
    <cellStyle name="Comma 2 5 10 8" xfId="24186" xr:uid="{08350D9E-C65A-45DC-A64D-7337E9CC6522}"/>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2 2 2" xfId="20136" xr:uid="{0FB4C60E-7485-4DE4-8C8C-C41B4A7FFC9B}"/>
    <cellStyle name="Comma 2 5 11 2 2 2 3" xfId="30552" xr:uid="{871E754E-9EE7-466F-BBC1-19ADD4E03AD6}"/>
    <cellStyle name="Comma 2 5 11 2 2 3" xfId="13778" xr:uid="{35B1DDBC-BB2E-4535-A618-9EEAB8DC9AF2}"/>
    <cellStyle name="Comma 2 5 11 2 2 4" xfId="24194" xr:uid="{83FCF833-FC7A-48E4-95ED-1BC1E357F44C}"/>
    <cellStyle name="Comma 2 5 11 2 3" xfId="8589" xr:uid="{00000000-0005-0000-0000-0000E50D0000}"/>
    <cellStyle name="Comma 2 5 11 2 3 2" xfId="20135" xr:uid="{99F60F73-BEDB-45DE-8B52-BA0320B5784C}"/>
    <cellStyle name="Comma 2 5 11 2 3 3" xfId="30551" xr:uid="{6784B79A-0DE6-48EB-9D57-7068F888E5E6}"/>
    <cellStyle name="Comma 2 5 11 2 4" xfId="5486" xr:uid="{00000000-0005-0000-0000-0000E60D0000}"/>
    <cellStyle name="Comma 2 5 11 2 4 2" xfId="17072" xr:uid="{3ADECE91-A75E-4498-8F15-AAEC843DADF8}"/>
    <cellStyle name="Comma 2 5 11 2 4 3" xfId="27488" xr:uid="{5A1C28C7-D962-4B98-A5B0-D9B7208F79F8}"/>
    <cellStyle name="Comma 2 5 11 2 5" xfId="13777" xr:uid="{47164D9A-E6EA-4D85-83A6-4EC1CAB70C30}"/>
    <cellStyle name="Comma 2 5 11 2 6" xfId="24193" xr:uid="{DD15E1A0-91C2-45E9-BE26-1FAEFDD433F3}"/>
    <cellStyle name="Comma 2 5 11 3" xfId="1444" xr:uid="{00000000-0005-0000-0000-0000E70D0000}"/>
    <cellStyle name="Comma 2 5 11 3 2" xfId="8591" xr:uid="{00000000-0005-0000-0000-0000E80D0000}"/>
    <cellStyle name="Comma 2 5 11 3 2 2" xfId="20137" xr:uid="{EB97C17E-51FF-484A-9B4B-F1FB863150FE}"/>
    <cellStyle name="Comma 2 5 11 3 2 3" xfId="30553" xr:uid="{B3525743-1310-407F-AD5F-F5BACEE3FAD3}"/>
    <cellStyle name="Comma 2 5 11 3 3" xfId="13779" xr:uid="{EFCA5C49-2BED-41C3-900F-9CCBAE33E183}"/>
    <cellStyle name="Comma 2 5 11 3 4" xfId="24195" xr:uid="{812EF677-37C5-495E-8224-D0FF7BFA05D3}"/>
    <cellStyle name="Comma 2 5 11 4" xfId="8588" xr:uid="{00000000-0005-0000-0000-0000E90D0000}"/>
    <cellStyle name="Comma 2 5 11 4 2" xfId="20134" xr:uid="{BABAA84F-6199-4812-B4C4-39CB57644F3E}"/>
    <cellStyle name="Comma 2 5 11 4 3" xfId="30550" xr:uid="{E3695008-B9EC-44CC-8E20-D61C132035A4}"/>
    <cellStyle name="Comma 2 5 11 5" xfId="5485" xr:uid="{00000000-0005-0000-0000-0000EA0D0000}"/>
    <cellStyle name="Comma 2 5 11 5 2" xfId="17071" xr:uid="{EF5FDF10-BE0C-4A1A-B4D3-0714ED663BD2}"/>
    <cellStyle name="Comma 2 5 11 5 3" xfId="27487" xr:uid="{DC1821FC-3CC0-4B1B-A2BB-1B69414C1BAC}"/>
    <cellStyle name="Comma 2 5 11 6" xfId="13776" xr:uid="{5C92AC02-9341-4F6E-A768-AA65A7CF92DA}"/>
    <cellStyle name="Comma 2 5 11 7" xfId="24192" xr:uid="{6081262D-9336-40EE-BA15-97AC937D8EFC}"/>
    <cellStyle name="Comma 2 5 12" xfId="1445" xr:uid="{00000000-0005-0000-0000-0000EB0D0000}"/>
    <cellStyle name="Comma 2 5 12 2" xfId="1446" xr:uid="{00000000-0005-0000-0000-0000EC0D0000}"/>
    <cellStyle name="Comma 2 5 12 2 2" xfId="8593" xr:uid="{00000000-0005-0000-0000-0000ED0D0000}"/>
    <cellStyle name="Comma 2 5 12 2 2 2" xfId="20139" xr:uid="{AA2A4D4D-5AE2-4D33-8237-21D14F647FCF}"/>
    <cellStyle name="Comma 2 5 12 2 2 3" xfId="30555" xr:uid="{6116CA5F-0C5A-408A-B6B4-C64ABFC85DE6}"/>
    <cellStyle name="Comma 2 5 12 2 3" xfId="13781" xr:uid="{3708F3EA-E1F5-4E31-9DAE-39DF2A04EF86}"/>
    <cellStyle name="Comma 2 5 12 2 4" xfId="24197" xr:uid="{04673B90-B0B7-44FB-BC84-789A6EC0125B}"/>
    <cellStyle name="Comma 2 5 12 3" xfId="8592" xr:uid="{00000000-0005-0000-0000-0000EE0D0000}"/>
    <cellStyle name="Comma 2 5 12 3 2" xfId="20138" xr:uid="{9A2C8B24-69BE-4A4F-ADFB-A89800001D6E}"/>
    <cellStyle name="Comma 2 5 12 3 3" xfId="30554" xr:uid="{85BB05DE-CE78-41FC-85C6-2C9A5EE08FA2}"/>
    <cellStyle name="Comma 2 5 12 4" xfId="5487" xr:uid="{00000000-0005-0000-0000-0000EF0D0000}"/>
    <cellStyle name="Comma 2 5 12 4 2" xfId="17073" xr:uid="{0FD00ACA-2184-40AE-8D48-FEE53D952812}"/>
    <cellStyle name="Comma 2 5 12 4 3" xfId="27489" xr:uid="{8B9E81A4-FA14-497D-A2FE-ACC5BD5C0CE4}"/>
    <cellStyle name="Comma 2 5 12 5" xfId="13780" xr:uid="{6C265CEB-E2DA-45D1-B2EF-81D460C09D40}"/>
    <cellStyle name="Comma 2 5 12 6" xfId="24196" xr:uid="{FCC3A665-A5E7-4E6D-9D32-DF7DFEEF9FF7}"/>
    <cellStyle name="Comma 2 5 13" xfId="1447" xr:uid="{00000000-0005-0000-0000-0000F00D0000}"/>
    <cellStyle name="Comma 2 5 13 2" xfId="1448" xr:uid="{00000000-0005-0000-0000-0000F10D0000}"/>
    <cellStyle name="Comma 2 5 13 2 2" xfId="8595" xr:uid="{00000000-0005-0000-0000-0000F20D0000}"/>
    <cellStyle name="Comma 2 5 13 2 2 2" xfId="20141" xr:uid="{A635B7AF-AC91-47C0-8C6E-F4F0764E6414}"/>
    <cellStyle name="Comma 2 5 13 2 2 3" xfId="30557" xr:uid="{881EDC28-A4ED-42E0-A170-09D110A3CE54}"/>
    <cellStyle name="Comma 2 5 13 2 3" xfId="13783" xr:uid="{B92925B3-759C-4FEE-88DE-88BC3D272905}"/>
    <cellStyle name="Comma 2 5 13 2 4" xfId="24199" xr:uid="{E1B435D3-C141-4CBF-93EA-31A2928A8499}"/>
    <cellStyle name="Comma 2 5 13 3" xfId="8594" xr:uid="{00000000-0005-0000-0000-0000F30D0000}"/>
    <cellStyle name="Comma 2 5 13 3 2" xfId="20140" xr:uid="{62200C4C-36FE-49E6-A385-B5B489781336}"/>
    <cellStyle name="Comma 2 5 13 3 3" xfId="30556" xr:uid="{F6A7973B-ECAB-4A3E-B490-6B82D9C4D78B}"/>
    <cellStyle name="Comma 2 5 13 4" xfId="5488" xr:uid="{00000000-0005-0000-0000-0000F40D0000}"/>
    <cellStyle name="Comma 2 5 13 4 2" xfId="17074" xr:uid="{BD7275BC-B7F5-4A6C-B83E-5F0653C6F5DC}"/>
    <cellStyle name="Comma 2 5 13 4 3" xfId="27490" xr:uid="{EB906EA8-DB39-4431-BD8F-EB198EC752AB}"/>
    <cellStyle name="Comma 2 5 13 5" xfId="13782" xr:uid="{23BD2209-99FC-4974-A7AD-659F1CBBC98F}"/>
    <cellStyle name="Comma 2 5 13 6" xfId="24198" xr:uid="{E68AB741-9B3A-4522-A174-B4C53DAAFA69}"/>
    <cellStyle name="Comma 2 5 14" xfId="1449" xr:uid="{00000000-0005-0000-0000-0000F50D0000}"/>
    <cellStyle name="Comma 2 5 14 2" xfId="8596" xr:uid="{00000000-0005-0000-0000-0000F60D0000}"/>
    <cellStyle name="Comma 2 5 14 2 2" xfId="20142" xr:uid="{5929781B-D70F-4476-893A-D2EB618C8C54}"/>
    <cellStyle name="Comma 2 5 14 2 3" xfId="30558" xr:uid="{22B79DB0-B5F2-4F9F-9978-05AF7D8D9530}"/>
    <cellStyle name="Comma 2 5 14 3" xfId="13784" xr:uid="{9418A1A8-D4CB-4F8D-83E3-DB1B776618A1}"/>
    <cellStyle name="Comma 2 5 14 4" xfId="24200" xr:uid="{3ABFC733-E252-4631-AC38-8C272E8FE3FB}"/>
    <cellStyle name="Comma 2 5 15" xfId="8581" xr:uid="{00000000-0005-0000-0000-0000F70D0000}"/>
    <cellStyle name="Comma 2 5 15 2" xfId="20127" xr:uid="{47923D22-22AD-47AA-AB8F-B417875BE10F}"/>
    <cellStyle name="Comma 2 5 15 3" xfId="30543" xr:uid="{F38D65A5-FEDB-480E-90DF-45F887A9E57B}"/>
    <cellStyle name="Comma 2 5 16" xfId="5481" xr:uid="{00000000-0005-0000-0000-0000F80D0000}"/>
    <cellStyle name="Comma 2 5 16 2" xfId="17067" xr:uid="{A8579997-571B-42DC-9AD1-628D43B42C92}"/>
    <cellStyle name="Comma 2 5 16 3" xfId="27483" xr:uid="{850F433E-752C-449B-82E2-97C8839926B0}"/>
    <cellStyle name="Comma 2 5 17" xfId="13769" xr:uid="{40642B09-74F5-41D2-B9C5-9A8405367B28}"/>
    <cellStyle name="Comma 2 5 18" xfId="24185" xr:uid="{C58850F8-1EE5-4E26-8D42-81DFC88424C2}"/>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2 2 2" xfId="20145" xr:uid="{2B578BCA-5CF8-4509-8E83-F7F454A50A8D}"/>
    <cellStyle name="Comma 2 5 2 10 2 2 3" xfId="30561" xr:uid="{EB2EA449-41A3-458D-AE91-9F25DF53C21F}"/>
    <cellStyle name="Comma 2 5 2 10 2 3" xfId="13787" xr:uid="{697949EE-1D5A-4020-B19E-C2F1D12E0B76}"/>
    <cellStyle name="Comma 2 5 2 10 2 4" xfId="24203" xr:uid="{102A21CD-3577-48B3-AB91-0789BB9EEBED}"/>
    <cellStyle name="Comma 2 5 2 10 3" xfId="8598" xr:uid="{00000000-0005-0000-0000-0000FD0D0000}"/>
    <cellStyle name="Comma 2 5 2 10 3 2" xfId="20144" xr:uid="{88132768-BCD3-4F77-BE66-F187CF3A3D2D}"/>
    <cellStyle name="Comma 2 5 2 10 3 3" xfId="30560" xr:uid="{B41885B5-BE78-48C8-932C-5BBDF43D80D8}"/>
    <cellStyle name="Comma 2 5 2 10 4" xfId="5490" xr:uid="{00000000-0005-0000-0000-0000FE0D0000}"/>
    <cellStyle name="Comma 2 5 2 10 4 2" xfId="17076" xr:uid="{2C2BB1B4-FAE3-4A21-8996-B139F401DE36}"/>
    <cellStyle name="Comma 2 5 2 10 4 3" xfId="27492" xr:uid="{9F1E2FA8-A70B-472C-B9E1-C6FE4DB0565D}"/>
    <cellStyle name="Comma 2 5 2 10 5" xfId="13786" xr:uid="{7FAF2161-9DB6-4AAE-B735-704CA0E91418}"/>
    <cellStyle name="Comma 2 5 2 10 6" xfId="24202" xr:uid="{AE3B9855-3CC6-4BC4-B80E-27DBB7847273}"/>
    <cellStyle name="Comma 2 5 2 11" xfId="1453" xr:uid="{00000000-0005-0000-0000-0000FF0D0000}"/>
    <cellStyle name="Comma 2 5 2 11 2" xfId="8600" xr:uid="{00000000-0005-0000-0000-0000000E0000}"/>
    <cellStyle name="Comma 2 5 2 11 2 2" xfId="20146" xr:uid="{05C784EE-54C4-49CA-9EE5-2DCC5740D8F3}"/>
    <cellStyle name="Comma 2 5 2 11 2 3" xfId="30562" xr:uid="{534603DB-B3EA-4E48-98E6-404F467AC3E6}"/>
    <cellStyle name="Comma 2 5 2 11 3" xfId="13788" xr:uid="{5F9BE5DC-3B50-4E16-B308-6F44F32B5423}"/>
    <cellStyle name="Comma 2 5 2 11 4" xfId="24204" xr:uid="{12104132-7079-450C-9315-DE10AB21C662}"/>
    <cellStyle name="Comma 2 5 2 12" xfId="8597" xr:uid="{00000000-0005-0000-0000-0000010E0000}"/>
    <cellStyle name="Comma 2 5 2 12 2" xfId="20143" xr:uid="{08FC3D3B-AAFE-4372-BF3B-07CE0E889798}"/>
    <cellStyle name="Comma 2 5 2 12 3" xfId="30559" xr:uid="{055F4AC1-704E-46EC-AA5D-0E79E93020F0}"/>
    <cellStyle name="Comma 2 5 2 13" xfId="5489" xr:uid="{00000000-0005-0000-0000-0000020E0000}"/>
    <cellStyle name="Comma 2 5 2 13 2" xfId="17075" xr:uid="{FD9FACC5-5B33-4CA9-A012-009879781280}"/>
    <cellStyle name="Comma 2 5 2 13 3" xfId="27491" xr:uid="{856E6E70-7F8A-4221-8B0F-818B8925B724}"/>
    <cellStyle name="Comma 2 5 2 14" xfId="13785" xr:uid="{CA6417FB-F5E4-411A-8E14-B7A34E0C1DBD}"/>
    <cellStyle name="Comma 2 5 2 15" xfId="24201" xr:uid="{C9C5AFB3-92C3-4984-9BD7-4F16A6667AAA}"/>
    <cellStyle name="Comma 2 5 2 2" xfId="1454" xr:uid="{00000000-0005-0000-0000-0000030E0000}"/>
    <cellStyle name="Comma 2 5 2 2 10" xfId="1455" xr:uid="{00000000-0005-0000-0000-0000040E0000}"/>
    <cellStyle name="Comma 2 5 2 2 10 2" xfId="8602" xr:uid="{00000000-0005-0000-0000-0000050E0000}"/>
    <cellStyle name="Comma 2 5 2 2 10 2 2" xfId="20148" xr:uid="{0C1A243D-EF97-4BA5-8D17-DCBE1B0AA34D}"/>
    <cellStyle name="Comma 2 5 2 2 10 2 3" xfId="30564" xr:uid="{065D4B3C-6A95-4818-B8F0-5A573DB82916}"/>
    <cellStyle name="Comma 2 5 2 2 10 3" xfId="13790" xr:uid="{A77ACB36-A5E2-4981-B565-9062C45C9F94}"/>
    <cellStyle name="Comma 2 5 2 2 10 4" xfId="24206" xr:uid="{7B617F36-3DE6-40B2-BF60-935AA8567F24}"/>
    <cellStyle name="Comma 2 5 2 2 11" xfId="8601" xr:uid="{00000000-0005-0000-0000-0000060E0000}"/>
    <cellStyle name="Comma 2 5 2 2 11 2" xfId="20147" xr:uid="{D3CA80A1-152B-4704-82E1-A20208BEE16D}"/>
    <cellStyle name="Comma 2 5 2 2 11 3" xfId="30563" xr:uid="{6AF182F8-98EA-4338-870C-362F7AD79879}"/>
    <cellStyle name="Comma 2 5 2 2 12" xfId="5491" xr:uid="{00000000-0005-0000-0000-0000070E0000}"/>
    <cellStyle name="Comma 2 5 2 2 12 2" xfId="17077" xr:uid="{8D38571B-A56B-4542-9AE0-F3953E53DC19}"/>
    <cellStyle name="Comma 2 5 2 2 12 3" xfId="27493" xr:uid="{01ACE498-1853-4114-906E-5C075BF193F3}"/>
    <cellStyle name="Comma 2 5 2 2 13" xfId="13789" xr:uid="{078D5E40-2A2D-42F9-AB78-D981BCE13053}"/>
    <cellStyle name="Comma 2 5 2 2 14" xfId="24205" xr:uid="{B17A4D4B-85F4-4552-A5D4-203728804292}"/>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2 2 2" xfId="20152" xr:uid="{7CED9A96-CB8F-4F80-844F-5FEF863B1FB2}"/>
    <cellStyle name="Comma 2 5 2 2 2 2 2 2 2 3" xfId="30568" xr:uid="{32A8AF6E-279F-4DFC-9E67-7A3FB777267B}"/>
    <cellStyle name="Comma 2 5 2 2 2 2 2 2 3" xfId="13794" xr:uid="{A2F9E01D-89E5-4CB6-A10D-696B9FEE92BF}"/>
    <cellStyle name="Comma 2 5 2 2 2 2 2 2 4" xfId="24210" xr:uid="{CF1C3DE3-AA77-4838-95FA-2CFC94013529}"/>
    <cellStyle name="Comma 2 5 2 2 2 2 2 3" xfId="8605" xr:uid="{00000000-0005-0000-0000-00000D0E0000}"/>
    <cellStyle name="Comma 2 5 2 2 2 2 2 3 2" xfId="20151" xr:uid="{7138F6F1-C444-42EE-BD5F-91D8E1507B99}"/>
    <cellStyle name="Comma 2 5 2 2 2 2 2 3 3" xfId="30567" xr:uid="{C42B4F33-EB4E-4BF9-9053-BE4E78B2DBB2}"/>
    <cellStyle name="Comma 2 5 2 2 2 2 2 4" xfId="5494" xr:uid="{00000000-0005-0000-0000-00000E0E0000}"/>
    <cellStyle name="Comma 2 5 2 2 2 2 2 4 2" xfId="17080" xr:uid="{6091EB0D-D1E0-4F32-B0FB-63697609B279}"/>
    <cellStyle name="Comma 2 5 2 2 2 2 2 4 3" xfId="27496" xr:uid="{0C037E55-F739-444B-A58A-EF7A2CC954D4}"/>
    <cellStyle name="Comma 2 5 2 2 2 2 2 5" xfId="13793" xr:uid="{1919E9E7-F552-49BD-A822-06A3F71CD861}"/>
    <cellStyle name="Comma 2 5 2 2 2 2 2 6" xfId="24209" xr:uid="{419663C4-FEC1-42FE-9C86-C080A97ED1D8}"/>
    <cellStyle name="Comma 2 5 2 2 2 2 3" xfId="1460" xr:uid="{00000000-0005-0000-0000-00000F0E0000}"/>
    <cellStyle name="Comma 2 5 2 2 2 2 3 2" xfId="8607" xr:uid="{00000000-0005-0000-0000-0000100E0000}"/>
    <cellStyle name="Comma 2 5 2 2 2 2 3 2 2" xfId="20153" xr:uid="{9EF4EC3A-B73E-4A29-8222-0F17A12D6232}"/>
    <cellStyle name="Comma 2 5 2 2 2 2 3 2 3" xfId="30569" xr:uid="{160ABFD4-D7AD-4703-A2BB-B0181B291018}"/>
    <cellStyle name="Comma 2 5 2 2 2 2 3 3" xfId="13795" xr:uid="{7D8EDB48-DA7C-45CB-9168-4D15CAB9A3A9}"/>
    <cellStyle name="Comma 2 5 2 2 2 2 3 4" xfId="24211" xr:uid="{60B712B5-0BF2-4F56-8513-BBD79EA04794}"/>
    <cellStyle name="Comma 2 5 2 2 2 2 4" xfId="8604" xr:uid="{00000000-0005-0000-0000-0000110E0000}"/>
    <cellStyle name="Comma 2 5 2 2 2 2 4 2" xfId="20150" xr:uid="{9213E828-4311-4A67-B1E2-4CF1A6065394}"/>
    <cellStyle name="Comma 2 5 2 2 2 2 4 3" xfId="30566" xr:uid="{7AAB076B-57E6-472B-A17D-690BE4F9FEE5}"/>
    <cellStyle name="Comma 2 5 2 2 2 2 5" xfId="5493" xr:uid="{00000000-0005-0000-0000-0000120E0000}"/>
    <cellStyle name="Comma 2 5 2 2 2 2 5 2" xfId="17079" xr:uid="{582C68F8-FE74-4B6A-A678-6A3A04A8FD6C}"/>
    <cellStyle name="Comma 2 5 2 2 2 2 5 3" xfId="27495" xr:uid="{41C9E186-0FB8-49D6-9B0F-40C36FC07C4A}"/>
    <cellStyle name="Comma 2 5 2 2 2 2 6" xfId="13792" xr:uid="{56DF35E9-5637-4F7C-AD52-0F38CBBEE7B1}"/>
    <cellStyle name="Comma 2 5 2 2 2 2 7" xfId="24208" xr:uid="{BC1E0468-7FF3-4ADA-AE76-7313288D6C41}"/>
    <cellStyle name="Comma 2 5 2 2 2 3" xfId="1461" xr:uid="{00000000-0005-0000-0000-0000130E0000}"/>
    <cellStyle name="Comma 2 5 2 2 2 3 2" xfId="1462" xr:uid="{00000000-0005-0000-0000-0000140E0000}"/>
    <cellStyle name="Comma 2 5 2 2 2 3 2 2" xfId="8609" xr:uid="{00000000-0005-0000-0000-0000150E0000}"/>
    <cellStyle name="Comma 2 5 2 2 2 3 2 2 2" xfId="20155" xr:uid="{3242AE9B-871D-4CF4-9515-4FD5115CDF43}"/>
    <cellStyle name="Comma 2 5 2 2 2 3 2 2 3" xfId="30571" xr:uid="{96127575-5E5C-42E1-AA23-E25A1323FB64}"/>
    <cellStyle name="Comma 2 5 2 2 2 3 2 3" xfId="13797" xr:uid="{46634F66-11EF-472E-AA85-86CE13A6DB65}"/>
    <cellStyle name="Comma 2 5 2 2 2 3 2 4" xfId="24213" xr:uid="{074173EE-7CAB-42DD-ACE9-D0D92FB3BF96}"/>
    <cellStyle name="Comma 2 5 2 2 2 3 3" xfId="8608" xr:uid="{00000000-0005-0000-0000-0000160E0000}"/>
    <cellStyle name="Comma 2 5 2 2 2 3 3 2" xfId="20154" xr:uid="{24FEF146-87EF-487D-8EA2-2BE4313449B5}"/>
    <cellStyle name="Comma 2 5 2 2 2 3 3 3" xfId="30570" xr:uid="{4D1230EE-BE50-4DCA-B661-749336584CD4}"/>
    <cellStyle name="Comma 2 5 2 2 2 3 4" xfId="5495" xr:uid="{00000000-0005-0000-0000-0000170E0000}"/>
    <cellStyle name="Comma 2 5 2 2 2 3 4 2" xfId="17081" xr:uid="{B555FC7C-33BD-469D-A058-2C7CA2DBE19C}"/>
    <cellStyle name="Comma 2 5 2 2 2 3 4 3" xfId="27497" xr:uid="{79D522CE-F2F6-4C95-833E-7E6C990F8FA5}"/>
    <cellStyle name="Comma 2 5 2 2 2 3 5" xfId="13796" xr:uid="{E9AA7D9E-62D6-44C7-AFCE-09E755064557}"/>
    <cellStyle name="Comma 2 5 2 2 2 3 6" xfId="24212" xr:uid="{4A6BE91A-B5CD-4930-A50C-6DF024A2A2CD}"/>
    <cellStyle name="Comma 2 5 2 2 2 4" xfId="1463" xr:uid="{00000000-0005-0000-0000-0000180E0000}"/>
    <cellStyle name="Comma 2 5 2 2 2 4 2" xfId="1464" xr:uid="{00000000-0005-0000-0000-0000190E0000}"/>
    <cellStyle name="Comma 2 5 2 2 2 4 2 2" xfId="8611" xr:uid="{00000000-0005-0000-0000-00001A0E0000}"/>
    <cellStyle name="Comma 2 5 2 2 2 4 2 2 2" xfId="20157" xr:uid="{BFC7D1E9-D061-477C-9063-C85090A2C8B4}"/>
    <cellStyle name="Comma 2 5 2 2 2 4 2 2 3" xfId="30573" xr:uid="{C201F65D-BA30-482E-9BAA-80181EA3C91C}"/>
    <cellStyle name="Comma 2 5 2 2 2 4 2 3" xfId="13799" xr:uid="{CA0491E0-B2F5-4A35-A0E6-3092FBF2EB98}"/>
    <cellStyle name="Comma 2 5 2 2 2 4 2 4" xfId="24215" xr:uid="{C26006AC-E5DD-435C-B797-A0F22689FDE3}"/>
    <cellStyle name="Comma 2 5 2 2 2 4 3" xfId="8610" xr:uid="{00000000-0005-0000-0000-00001B0E0000}"/>
    <cellStyle name="Comma 2 5 2 2 2 4 3 2" xfId="20156" xr:uid="{11811475-64C8-4538-834C-BF509A700BC8}"/>
    <cellStyle name="Comma 2 5 2 2 2 4 3 3" xfId="30572" xr:uid="{AB17517A-9078-49ED-AD67-43A090746562}"/>
    <cellStyle name="Comma 2 5 2 2 2 4 4" xfId="5496" xr:uid="{00000000-0005-0000-0000-00001C0E0000}"/>
    <cellStyle name="Comma 2 5 2 2 2 4 4 2" xfId="17082" xr:uid="{B9C2F060-1E8A-4AE1-B738-252A6FAFA688}"/>
    <cellStyle name="Comma 2 5 2 2 2 4 4 3" xfId="27498" xr:uid="{83E0C93C-6BE9-41C1-9A11-8E70B835866E}"/>
    <cellStyle name="Comma 2 5 2 2 2 4 5" xfId="13798" xr:uid="{98CE3570-B667-4EA1-82ED-A935694778F8}"/>
    <cellStyle name="Comma 2 5 2 2 2 4 6" xfId="24214" xr:uid="{B0E63C32-27FE-4757-97D5-626D29DAC2D8}"/>
    <cellStyle name="Comma 2 5 2 2 2 5" xfId="1465" xr:uid="{00000000-0005-0000-0000-00001D0E0000}"/>
    <cellStyle name="Comma 2 5 2 2 2 5 2" xfId="8612" xr:uid="{00000000-0005-0000-0000-00001E0E0000}"/>
    <cellStyle name="Comma 2 5 2 2 2 5 2 2" xfId="20158" xr:uid="{14A59CFA-E722-4E2C-BEE6-FF3D2F63C650}"/>
    <cellStyle name="Comma 2 5 2 2 2 5 2 3" xfId="30574" xr:uid="{1B1BAE33-E230-416F-B4E6-0FDBC1720952}"/>
    <cellStyle name="Comma 2 5 2 2 2 5 3" xfId="13800" xr:uid="{ABE6B844-A3D5-43B0-86FD-B8CDC4B7F672}"/>
    <cellStyle name="Comma 2 5 2 2 2 5 4" xfId="24216" xr:uid="{59139F8E-11A8-4A0A-80AB-753B8D93E8FB}"/>
    <cellStyle name="Comma 2 5 2 2 2 6" xfId="8603" xr:uid="{00000000-0005-0000-0000-00001F0E0000}"/>
    <cellStyle name="Comma 2 5 2 2 2 6 2" xfId="20149" xr:uid="{ACE0969A-141A-4D2C-8681-1C1CBED1261A}"/>
    <cellStyle name="Comma 2 5 2 2 2 6 3" xfId="30565" xr:uid="{3EA45521-CEF5-4BE5-9EA0-BA8F31D3C6E4}"/>
    <cellStyle name="Comma 2 5 2 2 2 7" xfId="5492" xr:uid="{00000000-0005-0000-0000-0000200E0000}"/>
    <cellStyle name="Comma 2 5 2 2 2 7 2" xfId="17078" xr:uid="{F18E4119-5784-4AD1-B6DA-EB048BE5D45D}"/>
    <cellStyle name="Comma 2 5 2 2 2 7 3" xfId="27494" xr:uid="{4F7BB998-9A93-427F-8273-1F43385865B0}"/>
    <cellStyle name="Comma 2 5 2 2 2 8" xfId="13791" xr:uid="{917235F8-75E2-4C55-A30D-A8B0B6DA0136}"/>
    <cellStyle name="Comma 2 5 2 2 2 9" xfId="24207" xr:uid="{5F4512A7-768E-4A48-B0C6-566ACD0FF47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2 2 2" xfId="20162" xr:uid="{ED1BB0C5-1198-4ACB-9D4E-C3B0D9206784}"/>
    <cellStyle name="Comma 2 5 2 2 3 2 2 2 2 3" xfId="30578" xr:uid="{2DCFD9E6-20C4-4E74-AD9B-BC6926DD8CDE}"/>
    <cellStyle name="Comma 2 5 2 2 3 2 2 2 3" xfId="13804" xr:uid="{8053B72F-CA3F-4605-A0D7-64E363223BD4}"/>
    <cellStyle name="Comma 2 5 2 2 3 2 2 2 4" xfId="24220" xr:uid="{BC1D9E07-D0BD-42A6-B347-F9335E63E457}"/>
    <cellStyle name="Comma 2 5 2 2 3 2 2 3" xfId="8615" xr:uid="{00000000-0005-0000-0000-0000260E0000}"/>
    <cellStyle name="Comma 2 5 2 2 3 2 2 3 2" xfId="20161" xr:uid="{37818FAF-F80A-4D21-A377-40B1574DFE0D}"/>
    <cellStyle name="Comma 2 5 2 2 3 2 2 3 3" xfId="30577" xr:uid="{4FA6B820-B2B0-4399-81C4-1F0663DD8CCC}"/>
    <cellStyle name="Comma 2 5 2 2 3 2 2 4" xfId="5499" xr:uid="{00000000-0005-0000-0000-0000270E0000}"/>
    <cellStyle name="Comma 2 5 2 2 3 2 2 4 2" xfId="17085" xr:uid="{052EE715-D7F3-4E57-9DD2-058C214265D6}"/>
    <cellStyle name="Comma 2 5 2 2 3 2 2 4 3" xfId="27501" xr:uid="{F706326E-42B6-44C1-9AB6-480F95069A9B}"/>
    <cellStyle name="Comma 2 5 2 2 3 2 2 5" xfId="13803" xr:uid="{3E94C11E-8E57-4760-AF73-76BCD3323F20}"/>
    <cellStyle name="Comma 2 5 2 2 3 2 2 6" xfId="24219" xr:uid="{40E721C7-9BEC-4432-A54A-1CACD3A829F1}"/>
    <cellStyle name="Comma 2 5 2 2 3 2 3" xfId="1470" xr:uid="{00000000-0005-0000-0000-0000280E0000}"/>
    <cellStyle name="Comma 2 5 2 2 3 2 3 2" xfId="8617" xr:uid="{00000000-0005-0000-0000-0000290E0000}"/>
    <cellStyle name="Comma 2 5 2 2 3 2 3 2 2" xfId="20163" xr:uid="{7E7761F9-6F84-4EFB-8092-D9CF2A635898}"/>
    <cellStyle name="Comma 2 5 2 2 3 2 3 2 3" xfId="30579" xr:uid="{12E95E87-D662-4B16-A1C3-1AF4384285BF}"/>
    <cellStyle name="Comma 2 5 2 2 3 2 3 3" xfId="13805" xr:uid="{FA8D38A2-FF61-40EF-BCFD-F784407CC143}"/>
    <cellStyle name="Comma 2 5 2 2 3 2 3 4" xfId="24221" xr:uid="{90A24A1A-6E1E-4737-A9FD-A8C6F9DA847A}"/>
    <cellStyle name="Comma 2 5 2 2 3 2 4" xfId="8614" xr:uid="{00000000-0005-0000-0000-00002A0E0000}"/>
    <cellStyle name="Comma 2 5 2 2 3 2 4 2" xfId="20160" xr:uid="{4850A3D6-EEB8-4D02-85AB-6454303AD6D9}"/>
    <cellStyle name="Comma 2 5 2 2 3 2 4 3" xfId="30576" xr:uid="{D180A113-98B5-4FD9-8086-CD5A595D9F65}"/>
    <cellStyle name="Comma 2 5 2 2 3 2 5" xfId="5498" xr:uid="{00000000-0005-0000-0000-00002B0E0000}"/>
    <cellStyle name="Comma 2 5 2 2 3 2 5 2" xfId="17084" xr:uid="{17773BF4-B58A-46B0-A93A-FFD96AF6E1F9}"/>
    <cellStyle name="Comma 2 5 2 2 3 2 5 3" xfId="27500" xr:uid="{7984E71D-B6B6-412C-AC08-F700204B1CED}"/>
    <cellStyle name="Comma 2 5 2 2 3 2 6" xfId="13802" xr:uid="{C65E3977-7A8D-42E9-9A7D-021A5001C0B7}"/>
    <cellStyle name="Comma 2 5 2 2 3 2 7" xfId="24218" xr:uid="{FBCF5E0D-4517-4E87-AA69-A6C27FCB975C}"/>
    <cellStyle name="Comma 2 5 2 2 3 3" xfId="1471" xr:uid="{00000000-0005-0000-0000-00002C0E0000}"/>
    <cellStyle name="Comma 2 5 2 2 3 3 2" xfId="1472" xr:uid="{00000000-0005-0000-0000-00002D0E0000}"/>
    <cellStyle name="Comma 2 5 2 2 3 3 2 2" xfId="8619" xr:uid="{00000000-0005-0000-0000-00002E0E0000}"/>
    <cellStyle name="Comma 2 5 2 2 3 3 2 2 2" xfId="20165" xr:uid="{B4A499D6-FE9E-4455-97B1-D363A37B237C}"/>
    <cellStyle name="Comma 2 5 2 2 3 3 2 2 3" xfId="30581" xr:uid="{4E1BE90B-F5FE-4178-B49C-C67C6812937B}"/>
    <cellStyle name="Comma 2 5 2 2 3 3 2 3" xfId="13807" xr:uid="{70A78C97-D36A-4F0E-802B-C4E4C82BA3AC}"/>
    <cellStyle name="Comma 2 5 2 2 3 3 2 4" xfId="24223" xr:uid="{63A39742-D50B-44D3-B502-87D6ED7AA532}"/>
    <cellStyle name="Comma 2 5 2 2 3 3 3" xfId="8618" xr:uid="{00000000-0005-0000-0000-00002F0E0000}"/>
    <cellStyle name="Comma 2 5 2 2 3 3 3 2" xfId="20164" xr:uid="{EE1789F3-B046-4FBB-AFEC-C6B66DC41BD3}"/>
    <cellStyle name="Comma 2 5 2 2 3 3 3 3" xfId="30580" xr:uid="{049D7F9A-0D65-4440-B831-FA20F23FF160}"/>
    <cellStyle name="Comma 2 5 2 2 3 3 4" xfId="5500" xr:uid="{00000000-0005-0000-0000-0000300E0000}"/>
    <cellStyle name="Comma 2 5 2 2 3 3 4 2" xfId="17086" xr:uid="{98820414-09F0-4AED-A9A7-8BF20CED122F}"/>
    <cellStyle name="Comma 2 5 2 2 3 3 4 3" xfId="27502" xr:uid="{FE5D99D1-0BF6-4A45-BA94-D7E8066F4668}"/>
    <cellStyle name="Comma 2 5 2 2 3 3 5" xfId="13806" xr:uid="{21226149-879E-4F79-9955-D84FB7EF0B02}"/>
    <cellStyle name="Comma 2 5 2 2 3 3 6" xfId="24222" xr:uid="{2132CAB1-7C38-4915-937A-CD71E5BC47AC}"/>
    <cellStyle name="Comma 2 5 2 2 3 4" xfId="1473" xr:uid="{00000000-0005-0000-0000-0000310E0000}"/>
    <cellStyle name="Comma 2 5 2 2 3 4 2" xfId="1474" xr:uid="{00000000-0005-0000-0000-0000320E0000}"/>
    <cellStyle name="Comma 2 5 2 2 3 4 2 2" xfId="8621" xr:uid="{00000000-0005-0000-0000-0000330E0000}"/>
    <cellStyle name="Comma 2 5 2 2 3 4 2 2 2" xfId="20167" xr:uid="{12287705-3313-4AD2-9870-534856B1C9F5}"/>
    <cellStyle name="Comma 2 5 2 2 3 4 2 2 3" xfId="30583" xr:uid="{0F1AD45D-7158-4B4E-B576-DB136B44F58E}"/>
    <cellStyle name="Comma 2 5 2 2 3 4 2 3" xfId="13809" xr:uid="{A862C2D1-FBB4-466A-80FF-B61DB5F33F86}"/>
    <cellStyle name="Comma 2 5 2 2 3 4 2 4" xfId="24225" xr:uid="{90C4AB59-DF4E-4F8C-A17C-45CCF73390E0}"/>
    <cellStyle name="Comma 2 5 2 2 3 4 3" xfId="8620" xr:uid="{00000000-0005-0000-0000-0000340E0000}"/>
    <cellStyle name="Comma 2 5 2 2 3 4 3 2" xfId="20166" xr:uid="{C6FBE7E0-17DD-46FA-8FD1-8AF8E2337010}"/>
    <cellStyle name="Comma 2 5 2 2 3 4 3 3" xfId="30582" xr:uid="{E608C531-3F16-49F9-B7E0-BDD7637FCFF4}"/>
    <cellStyle name="Comma 2 5 2 2 3 4 4" xfId="5501" xr:uid="{00000000-0005-0000-0000-0000350E0000}"/>
    <cellStyle name="Comma 2 5 2 2 3 4 4 2" xfId="17087" xr:uid="{B87A71A5-FE5F-44BB-B95A-5783E8E3907C}"/>
    <cellStyle name="Comma 2 5 2 2 3 4 4 3" xfId="27503" xr:uid="{BBBF03E0-8A21-421A-B3CF-4FA11853F2DA}"/>
    <cellStyle name="Comma 2 5 2 2 3 4 5" xfId="13808" xr:uid="{613B755C-7576-45B6-BF31-253E916D9056}"/>
    <cellStyle name="Comma 2 5 2 2 3 4 6" xfId="24224" xr:uid="{50FD92CE-A626-4358-B618-50513249ABDA}"/>
    <cellStyle name="Comma 2 5 2 2 3 5" xfId="1475" xr:uid="{00000000-0005-0000-0000-0000360E0000}"/>
    <cellStyle name="Comma 2 5 2 2 3 5 2" xfId="8622" xr:uid="{00000000-0005-0000-0000-0000370E0000}"/>
    <cellStyle name="Comma 2 5 2 2 3 5 2 2" xfId="20168" xr:uid="{3C7A35A1-D833-49EE-A747-67A21FD4D276}"/>
    <cellStyle name="Comma 2 5 2 2 3 5 2 3" xfId="30584" xr:uid="{E0C6873E-3C9E-4CFF-996D-1241CD765813}"/>
    <cellStyle name="Comma 2 5 2 2 3 5 3" xfId="13810" xr:uid="{A865B8AE-ABB5-4C24-9056-158417A45C74}"/>
    <cellStyle name="Comma 2 5 2 2 3 5 4" xfId="24226" xr:uid="{A15BA053-C044-4008-AADF-1F1FA12675F9}"/>
    <cellStyle name="Comma 2 5 2 2 3 6" xfId="8613" xr:uid="{00000000-0005-0000-0000-0000380E0000}"/>
    <cellStyle name="Comma 2 5 2 2 3 6 2" xfId="20159" xr:uid="{882A0DEB-25CA-4589-9088-B4E724E5374B}"/>
    <cellStyle name="Comma 2 5 2 2 3 6 3" xfId="30575" xr:uid="{BDB386CD-12FD-4CFA-A6BB-0681B9F4BE20}"/>
    <cellStyle name="Comma 2 5 2 2 3 7" xfId="5497" xr:uid="{00000000-0005-0000-0000-0000390E0000}"/>
    <cellStyle name="Comma 2 5 2 2 3 7 2" xfId="17083" xr:uid="{04107379-80EF-4A56-96B5-11EEB2E39492}"/>
    <cellStyle name="Comma 2 5 2 2 3 7 3" xfId="27499" xr:uid="{0340D321-AE65-4EEA-BBFE-914520781107}"/>
    <cellStyle name="Comma 2 5 2 2 3 8" xfId="13801" xr:uid="{FB222289-7180-4A41-B1EE-5F709F795595}"/>
    <cellStyle name="Comma 2 5 2 2 3 9" xfId="24217" xr:uid="{B3156400-2BA1-4996-858F-E4FBFE12F7C3}"/>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2 2 2" xfId="20172" xr:uid="{8F9D7377-254E-4215-8C8E-969487E4EB48}"/>
    <cellStyle name="Comma 2 5 2 2 4 2 2 2 2 3" xfId="30588" xr:uid="{3B556A87-1269-4732-A031-2F547B53363D}"/>
    <cellStyle name="Comma 2 5 2 2 4 2 2 2 3" xfId="13814" xr:uid="{6A76401E-B790-46D9-A17C-83E0159E4E26}"/>
    <cellStyle name="Comma 2 5 2 2 4 2 2 2 4" xfId="24230" xr:uid="{1E788A74-1394-45CA-ABFE-72774C6A5610}"/>
    <cellStyle name="Comma 2 5 2 2 4 2 2 3" xfId="8625" xr:uid="{00000000-0005-0000-0000-00003F0E0000}"/>
    <cellStyle name="Comma 2 5 2 2 4 2 2 3 2" xfId="20171" xr:uid="{72DABDBD-7D23-44BE-822A-B79C441BEE51}"/>
    <cellStyle name="Comma 2 5 2 2 4 2 2 3 3" xfId="30587" xr:uid="{BB0717A2-5F88-4B34-B450-62226266C0C0}"/>
    <cellStyle name="Comma 2 5 2 2 4 2 2 4" xfId="5504" xr:uid="{00000000-0005-0000-0000-0000400E0000}"/>
    <cellStyle name="Comma 2 5 2 2 4 2 2 4 2" xfId="17090" xr:uid="{A5E5904E-A491-474A-89F7-D59D1E74748D}"/>
    <cellStyle name="Comma 2 5 2 2 4 2 2 4 3" xfId="27506" xr:uid="{B5B3D2A7-6748-41A3-9698-9DFF461B4D21}"/>
    <cellStyle name="Comma 2 5 2 2 4 2 2 5" xfId="13813" xr:uid="{8BBB636B-9168-4AAB-8D0D-A6A3CC1F9FDB}"/>
    <cellStyle name="Comma 2 5 2 2 4 2 2 6" xfId="24229" xr:uid="{8C19EC2B-B65D-48F2-89BD-AF9367817F0C}"/>
    <cellStyle name="Comma 2 5 2 2 4 2 3" xfId="1480" xr:uid="{00000000-0005-0000-0000-0000410E0000}"/>
    <cellStyle name="Comma 2 5 2 2 4 2 3 2" xfId="8627" xr:uid="{00000000-0005-0000-0000-0000420E0000}"/>
    <cellStyle name="Comma 2 5 2 2 4 2 3 2 2" xfId="20173" xr:uid="{925C3338-5C55-404B-AC2E-77AB18889E87}"/>
    <cellStyle name="Comma 2 5 2 2 4 2 3 2 3" xfId="30589" xr:uid="{ED3780A4-5F1A-47F9-8C23-BE788493EA6E}"/>
    <cellStyle name="Comma 2 5 2 2 4 2 3 3" xfId="13815" xr:uid="{4354EA32-8957-4011-A824-4C4688051824}"/>
    <cellStyle name="Comma 2 5 2 2 4 2 3 4" xfId="24231" xr:uid="{E8587287-BEFD-4341-91C0-C07DA3821F01}"/>
    <cellStyle name="Comma 2 5 2 2 4 2 4" xfId="8624" xr:uid="{00000000-0005-0000-0000-0000430E0000}"/>
    <cellStyle name="Comma 2 5 2 2 4 2 4 2" xfId="20170" xr:uid="{397E1C03-A870-4B1C-82D5-3BE6CA5239BE}"/>
    <cellStyle name="Comma 2 5 2 2 4 2 4 3" xfId="30586" xr:uid="{A88A40F8-5154-47FA-996C-D09674C0EBCD}"/>
    <cellStyle name="Comma 2 5 2 2 4 2 5" xfId="5503" xr:uid="{00000000-0005-0000-0000-0000440E0000}"/>
    <cellStyle name="Comma 2 5 2 2 4 2 5 2" xfId="17089" xr:uid="{6D496973-2B3C-400E-B045-D8C69103473F}"/>
    <cellStyle name="Comma 2 5 2 2 4 2 5 3" xfId="27505" xr:uid="{720E9C7C-693A-45E0-8E45-DD69C479AF18}"/>
    <cellStyle name="Comma 2 5 2 2 4 2 6" xfId="13812" xr:uid="{44557C56-B4B9-409A-ABA5-5752538027E7}"/>
    <cellStyle name="Comma 2 5 2 2 4 2 7" xfId="24228" xr:uid="{3C5897F6-CB86-45F9-8571-3F9892B06ABA}"/>
    <cellStyle name="Comma 2 5 2 2 4 3" xfId="1481" xr:uid="{00000000-0005-0000-0000-0000450E0000}"/>
    <cellStyle name="Comma 2 5 2 2 4 3 2" xfId="1482" xr:uid="{00000000-0005-0000-0000-0000460E0000}"/>
    <cellStyle name="Comma 2 5 2 2 4 3 2 2" xfId="8629" xr:uid="{00000000-0005-0000-0000-0000470E0000}"/>
    <cellStyle name="Comma 2 5 2 2 4 3 2 2 2" xfId="20175" xr:uid="{EF3D5B98-D1E1-4DF3-AB3E-CB42D34F2DCC}"/>
    <cellStyle name="Comma 2 5 2 2 4 3 2 2 3" xfId="30591" xr:uid="{34275F10-85EE-42F6-9A36-B9FF1B47F028}"/>
    <cellStyle name="Comma 2 5 2 2 4 3 2 3" xfId="13817" xr:uid="{F2106507-F12C-4769-BD63-EDE05144787B}"/>
    <cellStyle name="Comma 2 5 2 2 4 3 2 4" xfId="24233" xr:uid="{172DB8C3-0458-43CC-9130-3C84FBB74A88}"/>
    <cellStyle name="Comma 2 5 2 2 4 3 3" xfId="8628" xr:uid="{00000000-0005-0000-0000-0000480E0000}"/>
    <cellStyle name="Comma 2 5 2 2 4 3 3 2" xfId="20174" xr:uid="{FEA25CF5-C2A1-492C-9001-61C5E1884EE4}"/>
    <cellStyle name="Comma 2 5 2 2 4 3 3 3" xfId="30590" xr:uid="{CD51C317-884B-48A2-9725-7B3F36487710}"/>
    <cellStyle name="Comma 2 5 2 2 4 3 4" xfId="5505" xr:uid="{00000000-0005-0000-0000-0000490E0000}"/>
    <cellStyle name="Comma 2 5 2 2 4 3 4 2" xfId="17091" xr:uid="{ABD45ABB-FF86-4FD7-A5CE-751705BC828D}"/>
    <cellStyle name="Comma 2 5 2 2 4 3 4 3" xfId="27507" xr:uid="{C99C1C49-569D-4B7D-BCEE-5BA8F4409985}"/>
    <cellStyle name="Comma 2 5 2 2 4 3 5" xfId="13816" xr:uid="{2351B6EC-EF53-40CD-86EF-E1F0C09C6E25}"/>
    <cellStyle name="Comma 2 5 2 2 4 3 6" xfId="24232" xr:uid="{385FF784-9B17-4A45-86E2-1E22DB18FB53}"/>
    <cellStyle name="Comma 2 5 2 2 4 4" xfId="1483" xr:uid="{00000000-0005-0000-0000-00004A0E0000}"/>
    <cellStyle name="Comma 2 5 2 2 4 4 2" xfId="1484" xr:uid="{00000000-0005-0000-0000-00004B0E0000}"/>
    <cellStyle name="Comma 2 5 2 2 4 4 2 2" xfId="8631" xr:uid="{00000000-0005-0000-0000-00004C0E0000}"/>
    <cellStyle name="Comma 2 5 2 2 4 4 2 2 2" xfId="20177" xr:uid="{789D4D4B-90CE-498F-B124-B046DEA7F4F7}"/>
    <cellStyle name="Comma 2 5 2 2 4 4 2 2 3" xfId="30593" xr:uid="{F5DA38DA-E6EA-46DE-ACDF-AC87B9BC5DD2}"/>
    <cellStyle name="Comma 2 5 2 2 4 4 2 3" xfId="13819" xr:uid="{302647FB-B3AD-48F7-A5CC-0F8A7013CE67}"/>
    <cellStyle name="Comma 2 5 2 2 4 4 2 4" xfId="24235" xr:uid="{76AB6BDB-6988-4D91-BBE1-FF5C81494E0D}"/>
    <cellStyle name="Comma 2 5 2 2 4 4 3" xfId="8630" xr:uid="{00000000-0005-0000-0000-00004D0E0000}"/>
    <cellStyle name="Comma 2 5 2 2 4 4 3 2" xfId="20176" xr:uid="{FC72BC97-E4F2-4594-BAB8-FF218968CCBC}"/>
    <cellStyle name="Comma 2 5 2 2 4 4 3 3" xfId="30592" xr:uid="{96E68585-DEA7-4DBF-AFF6-9387BFCD8915}"/>
    <cellStyle name="Comma 2 5 2 2 4 4 4" xfId="5506" xr:uid="{00000000-0005-0000-0000-00004E0E0000}"/>
    <cellStyle name="Comma 2 5 2 2 4 4 4 2" xfId="17092" xr:uid="{D25BD36E-58F9-4AA7-97D4-9FDD7E608774}"/>
    <cellStyle name="Comma 2 5 2 2 4 4 4 3" xfId="27508" xr:uid="{58122E6F-093D-45CB-99C0-85E6DA481181}"/>
    <cellStyle name="Comma 2 5 2 2 4 4 5" xfId="13818" xr:uid="{08FFD5C9-87D6-4DB2-A1E2-A17271306F7C}"/>
    <cellStyle name="Comma 2 5 2 2 4 4 6" xfId="24234" xr:uid="{C19A16C1-3BBA-45CB-B775-08389DA2EF12}"/>
    <cellStyle name="Comma 2 5 2 2 4 5" xfId="1485" xr:uid="{00000000-0005-0000-0000-00004F0E0000}"/>
    <cellStyle name="Comma 2 5 2 2 4 5 2" xfId="8632" xr:uid="{00000000-0005-0000-0000-0000500E0000}"/>
    <cellStyle name="Comma 2 5 2 2 4 5 2 2" xfId="20178" xr:uid="{BCF667D0-4FA1-4776-8C76-AA4D242AD097}"/>
    <cellStyle name="Comma 2 5 2 2 4 5 2 3" xfId="30594" xr:uid="{B1C61EEC-DED7-4B74-84D2-095BBD8F6943}"/>
    <cellStyle name="Comma 2 5 2 2 4 5 3" xfId="13820" xr:uid="{ADDEE80B-581C-410B-8EC3-628B329ACBBF}"/>
    <cellStyle name="Comma 2 5 2 2 4 5 4" xfId="24236" xr:uid="{0A3158C4-CD38-42A9-8426-E116EF4175D3}"/>
    <cellStyle name="Comma 2 5 2 2 4 6" xfId="8623" xr:uid="{00000000-0005-0000-0000-0000510E0000}"/>
    <cellStyle name="Comma 2 5 2 2 4 6 2" xfId="20169" xr:uid="{73F2031D-9879-440D-B349-8373089F3309}"/>
    <cellStyle name="Comma 2 5 2 2 4 6 3" xfId="30585" xr:uid="{B1F2165F-BA04-4C9B-9627-171606A8686D}"/>
    <cellStyle name="Comma 2 5 2 2 4 7" xfId="5502" xr:uid="{00000000-0005-0000-0000-0000520E0000}"/>
    <cellStyle name="Comma 2 5 2 2 4 7 2" xfId="17088" xr:uid="{47D19AEB-F661-4E95-8106-37A84A947C70}"/>
    <cellStyle name="Comma 2 5 2 2 4 7 3" xfId="27504" xr:uid="{E01769FB-16DA-4CDA-B087-5F3E574D2D56}"/>
    <cellStyle name="Comma 2 5 2 2 4 8" xfId="13811" xr:uid="{88084A17-A821-4B62-8008-E8B2B4842B03}"/>
    <cellStyle name="Comma 2 5 2 2 4 9" xfId="24227" xr:uid="{78445635-0F8E-436C-9AE3-B31F95730D95}"/>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2 2 2" xfId="20182" xr:uid="{C4F7BEC3-3F51-439F-9C1E-90FA209DE1C9}"/>
    <cellStyle name="Comma 2 5 2 2 5 2 2 2 2 3" xfId="30598" xr:uid="{2EB678F1-16B7-4933-8C40-C0A6C95EF4B6}"/>
    <cellStyle name="Comma 2 5 2 2 5 2 2 2 3" xfId="13824" xr:uid="{8F70341A-08E2-48EE-980C-2BFE7D74B25F}"/>
    <cellStyle name="Comma 2 5 2 2 5 2 2 2 4" xfId="24240" xr:uid="{446A7F49-2A30-4E61-98E4-63D859110D6B}"/>
    <cellStyle name="Comma 2 5 2 2 5 2 2 3" xfId="8635" xr:uid="{00000000-0005-0000-0000-0000580E0000}"/>
    <cellStyle name="Comma 2 5 2 2 5 2 2 3 2" xfId="20181" xr:uid="{2B58707A-6B46-47C7-BD00-062E62437F08}"/>
    <cellStyle name="Comma 2 5 2 2 5 2 2 3 3" xfId="30597" xr:uid="{C1E7AEE5-AE8D-4C6A-9AC5-19333052D69B}"/>
    <cellStyle name="Comma 2 5 2 2 5 2 2 4" xfId="5509" xr:uid="{00000000-0005-0000-0000-0000590E0000}"/>
    <cellStyle name="Comma 2 5 2 2 5 2 2 4 2" xfId="17095" xr:uid="{42979FE0-45CE-4D99-94BF-B37E6AE9115E}"/>
    <cellStyle name="Comma 2 5 2 2 5 2 2 4 3" xfId="27511" xr:uid="{2AD00005-F889-4F6D-B12C-9831EFE65B65}"/>
    <cellStyle name="Comma 2 5 2 2 5 2 2 5" xfId="13823" xr:uid="{50A54439-47C3-47A3-9AF4-B438F739E3AF}"/>
    <cellStyle name="Comma 2 5 2 2 5 2 2 6" xfId="24239" xr:uid="{24938003-0955-47C5-BBF7-8AF474E4E724}"/>
    <cellStyle name="Comma 2 5 2 2 5 2 3" xfId="1490" xr:uid="{00000000-0005-0000-0000-00005A0E0000}"/>
    <cellStyle name="Comma 2 5 2 2 5 2 3 2" xfId="8637" xr:uid="{00000000-0005-0000-0000-00005B0E0000}"/>
    <cellStyle name="Comma 2 5 2 2 5 2 3 2 2" xfId="20183" xr:uid="{DE326203-514E-4011-8E1E-3A8174563F67}"/>
    <cellStyle name="Comma 2 5 2 2 5 2 3 2 3" xfId="30599" xr:uid="{932EB5DF-8BFF-4E54-9D03-5B0B71A21383}"/>
    <cellStyle name="Comma 2 5 2 2 5 2 3 3" xfId="13825" xr:uid="{8CAAA042-5AEA-44FA-83CC-599E4B9655F1}"/>
    <cellStyle name="Comma 2 5 2 2 5 2 3 4" xfId="24241" xr:uid="{6EA8F0EA-0495-4176-B196-7036BD6F8A8F}"/>
    <cellStyle name="Comma 2 5 2 2 5 2 4" xfId="8634" xr:uid="{00000000-0005-0000-0000-00005C0E0000}"/>
    <cellStyle name="Comma 2 5 2 2 5 2 4 2" xfId="20180" xr:uid="{70CD703F-FDA9-4ECB-9D67-83E2617C337A}"/>
    <cellStyle name="Comma 2 5 2 2 5 2 4 3" xfId="30596" xr:uid="{08B211A9-48D1-4041-BA70-2C89C08730FF}"/>
    <cellStyle name="Comma 2 5 2 2 5 2 5" xfId="5508" xr:uid="{00000000-0005-0000-0000-00005D0E0000}"/>
    <cellStyle name="Comma 2 5 2 2 5 2 5 2" xfId="17094" xr:uid="{04FAC452-8570-4013-8EC9-A8C618D12261}"/>
    <cellStyle name="Comma 2 5 2 2 5 2 5 3" xfId="27510" xr:uid="{A33BBAD5-75E2-4FC8-A3B5-916AC9768A53}"/>
    <cellStyle name="Comma 2 5 2 2 5 2 6" xfId="13822" xr:uid="{F4F98D76-C9D1-49BF-907A-F2ADCFA08E85}"/>
    <cellStyle name="Comma 2 5 2 2 5 2 7" xfId="24238" xr:uid="{79793343-2995-408A-9C15-7B02CF039AE6}"/>
    <cellStyle name="Comma 2 5 2 2 5 3" xfId="1491" xr:uid="{00000000-0005-0000-0000-00005E0E0000}"/>
    <cellStyle name="Comma 2 5 2 2 5 3 2" xfId="1492" xr:uid="{00000000-0005-0000-0000-00005F0E0000}"/>
    <cellStyle name="Comma 2 5 2 2 5 3 2 2" xfId="8639" xr:uid="{00000000-0005-0000-0000-0000600E0000}"/>
    <cellStyle name="Comma 2 5 2 2 5 3 2 2 2" xfId="20185" xr:uid="{2755E881-532F-417D-82E2-1A408DB1D385}"/>
    <cellStyle name="Comma 2 5 2 2 5 3 2 2 3" xfId="30601" xr:uid="{C8F061D5-E4D0-47E5-BFB3-20A015CEE0AF}"/>
    <cellStyle name="Comma 2 5 2 2 5 3 2 3" xfId="13827" xr:uid="{B94FE8F1-7E9C-4E7E-8180-410EF3BD1AEE}"/>
    <cellStyle name="Comma 2 5 2 2 5 3 2 4" xfId="24243" xr:uid="{552EC022-C9C4-43B5-BC45-EECBB2C16E95}"/>
    <cellStyle name="Comma 2 5 2 2 5 3 3" xfId="8638" xr:uid="{00000000-0005-0000-0000-0000610E0000}"/>
    <cellStyle name="Comma 2 5 2 2 5 3 3 2" xfId="20184" xr:uid="{71956D8A-E60F-4BAB-B1D0-606095BBD2B4}"/>
    <cellStyle name="Comma 2 5 2 2 5 3 3 3" xfId="30600" xr:uid="{C7AC49E8-A02E-49C5-8E47-69CF8BC905DF}"/>
    <cellStyle name="Comma 2 5 2 2 5 3 4" xfId="5510" xr:uid="{00000000-0005-0000-0000-0000620E0000}"/>
    <cellStyle name="Comma 2 5 2 2 5 3 4 2" xfId="17096" xr:uid="{E13002BB-79F0-4C6E-9329-C3DB73F5EC18}"/>
    <cellStyle name="Comma 2 5 2 2 5 3 4 3" xfId="27512" xr:uid="{B2EDEDAF-E409-4789-8A46-F47E96A260D4}"/>
    <cellStyle name="Comma 2 5 2 2 5 3 5" xfId="13826" xr:uid="{0FD90C33-2B4E-408B-B87A-3FEEC13E7099}"/>
    <cellStyle name="Comma 2 5 2 2 5 3 6" xfId="24242" xr:uid="{880D0CD8-1291-4DD3-A167-958796A3C4E1}"/>
    <cellStyle name="Comma 2 5 2 2 5 4" xfId="1493" xr:uid="{00000000-0005-0000-0000-0000630E0000}"/>
    <cellStyle name="Comma 2 5 2 2 5 4 2" xfId="1494" xr:uid="{00000000-0005-0000-0000-0000640E0000}"/>
    <cellStyle name="Comma 2 5 2 2 5 4 2 2" xfId="8641" xr:uid="{00000000-0005-0000-0000-0000650E0000}"/>
    <cellStyle name="Comma 2 5 2 2 5 4 2 2 2" xfId="20187" xr:uid="{F300DB81-0AD8-4895-99CD-2A680304A73F}"/>
    <cellStyle name="Comma 2 5 2 2 5 4 2 2 3" xfId="30603" xr:uid="{FA36F342-0F48-4257-B9AE-7312EC00F693}"/>
    <cellStyle name="Comma 2 5 2 2 5 4 2 3" xfId="13829" xr:uid="{799AC515-48F2-455C-BE27-19558A44D457}"/>
    <cellStyle name="Comma 2 5 2 2 5 4 2 4" xfId="24245" xr:uid="{2E08DC6A-9F94-4F02-B344-6F7F332E6D40}"/>
    <cellStyle name="Comma 2 5 2 2 5 4 3" xfId="8640" xr:uid="{00000000-0005-0000-0000-0000660E0000}"/>
    <cellStyle name="Comma 2 5 2 2 5 4 3 2" xfId="20186" xr:uid="{A6B2F5E6-239E-4E5F-9168-D0E4807BD4AD}"/>
    <cellStyle name="Comma 2 5 2 2 5 4 3 3" xfId="30602" xr:uid="{8A2912AA-6E70-48C9-9AC4-B9D0E80760C3}"/>
    <cellStyle name="Comma 2 5 2 2 5 4 4" xfId="5511" xr:uid="{00000000-0005-0000-0000-0000670E0000}"/>
    <cellStyle name="Comma 2 5 2 2 5 4 4 2" xfId="17097" xr:uid="{FD71D639-DE21-4AEB-BA6D-E12B54CC33F0}"/>
    <cellStyle name="Comma 2 5 2 2 5 4 4 3" xfId="27513" xr:uid="{F0D9A4C6-BC25-449F-87C7-BAF873E877C2}"/>
    <cellStyle name="Comma 2 5 2 2 5 4 5" xfId="13828" xr:uid="{ED0EBD52-4C58-4371-A920-C090989A041F}"/>
    <cellStyle name="Comma 2 5 2 2 5 4 6" xfId="24244" xr:uid="{C2D4B55C-5323-4BE8-9BC3-BF9429AD293A}"/>
    <cellStyle name="Comma 2 5 2 2 5 5" xfId="1495" xr:uid="{00000000-0005-0000-0000-0000680E0000}"/>
    <cellStyle name="Comma 2 5 2 2 5 5 2" xfId="8642" xr:uid="{00000000-0005-0000-0000-0000690E0000}"/>
    <cellStyle name="Comma 2 5 2 2 5 5 2 2" xfId="20188" xr:uid="{34BB76B3-3DF9-44AD-B70C-78AE2E697AD7}"/>
    <cellStyle name="Comma 2 5 2 2 5 5 2 3" xfId="30604" xr:uid="{577AB8F2-7175-4B5B-93D4-D103550DD730}"/>
    <cellStyle name="Comma 2 5 2 2 5 5 3" xfId="13830" xr:uid="{AB260BC1-B5F8-453C-9164-162B72DD5EBF}"/>
    <cellStyle name="Comma 2 5 2 2 5 5 4" xfId="24246" xr:uid="{0CA61EFC-731D-458E-B14F-CF33A269AECA}"/>
    <cellStyle name="Comma 2 5 2 2 5 6" xfId="8633" xr:uid="{00000000-0005-0000-0000-00006A0E0000}"/>
    <cellStyle name="Comma 2 5 2 2 5 6 2" xfId="20179" xr:uid="{1D54691C-9375-4AD3-AF57-C3F5C5EDFCB4}"/>
    <cellStyle name="Comma 2 5 2 2 5 6 3" xfId="30595" xr:uid="{FD5F9838-2550-417F-97CF-31D9E9C4F81D}"/>
    <cellStyle name="Comma 2 5 2 2 5 7" xfId="5507" xr:uid="{00000000-0005-0000-0000-00006B0E0000}"/>
    <cellStyle name="Comma 2 5 2 2 5 7 2" xfId="17093" xr:uid="{A2E6ABAD-9A93-4885-9DDE-295AE94B9C5B}"/>
    <cellStyle name="Comma 2 5 2 2 5 7 3" xfId="27509" xr:uid="{42DCCE68-8686-4902-BBC2-F22D4B18CCD5}"/>
    <cellStyle name="Comma 2 5 2 2 5 8" xfId="13821" xr:uid="{6306337E-DCAD-4DA7-804F-9D8FE29EBA8A}"/>
    <cellStyle name="Comma 2 5 2 2 5 9" xfId="24237" xr:uid="{4C39140A-38F4-4C68-AC2D-515AFE031044}"/>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2 2 2" xfId="20191" xr:uid="{3E70DF04-B91C-40F6-B2EA-45F73BE9963D}"/>
    <cellStyle name="Comma 2 5 2 2 6 2 2 2 3" xfId="30607" xr:uid="{776E0F02-C0AC-4530-A65E-B8242A2AA76E}"/>
    <cellStyle name="Comma 2 5 2 2 6 2 2 3" xfId="13833" xr:uid="{92642927-DD4C-49F4-A484-9E6ACF426C2F}"/>
    <cellStyle name="Comma 2 5 2 2 6 2 2 4" xfId="24249" xr:uid="{767C2FC5-2519-465F-8073-64EA2BED79A3}"/>
    <cellStyle name="Comma 2 5 2 2 6 2 3" xfId="8644" xr:uid="{00000000-0005-0000-0000-0000700E0000}"/>
    <cellStyle name="Comma 2 5 2 2 6 2 3 2" xfId="20190" xr:uid="{42348017-C552-4FB8-AE6A-B85E0621909C}"/>
    <cellStyle name="Comma 2 5 2 2 6 2 3 3" xfId="30606" xr:uid="{A27BDBF4-C59E-478C-A815-47D2B824D452}"/>
    <cellStyle name="Comma 2 5 2 2 6 2 4" xfId="5513" xr:uid="{00000000-0005-0000-0000-0000710E0000}"/>
    <cellStyle name="Comma 2 5 2 2 6 2 4 2" xfId="17099" xr:uid="{92022AC7-A171-4E8D-9E3C-E50BB09A841A}"/>
    <cellStyle name="Comma 2 5 2 2 6 2 4 3" xfId="27515" xr:uid="{1126EE1B-FBDA-45D9-985A-3CEBA727D75E}"/>
    <cellStyle name="Comma 2 5 2 2 6 2 5" xfId="13832" xr:uid="{5A7F87BA-49C5-429A-86A4-B6BA96A09F8A}"/>
    <cellStyle name="Comma 2 5 2 2 6 2 6" xfId="24248" xr:uid="{74929879-F249-4765-B8BA-E9651D539A86}"/>
    <cellStyle name="Comma 2 5 2 2 6 3" xfId="1499" xr:uid="{00000000-0005-0000-0000-0000720E0000}"/>
    <cellStyle name="Comma 2 5 2 2 6 3 2" xfId="1500" xr:uid="{00000000-0005-0000-0000-0000730E0000}"/>
    <cellStyle name="Comma 2 5 2 2 6 3 2 2" xfId="8647" xr:uid="{00000000-0005-0000-0000-0000740E0000}"/>
    <cellStyle name="Comma 2 5 2 2 6 3 2 2 2" xfId="20193" xr:uid="{31A1CB5F-ECB8-4D76-AC6A-AB504065AEB2}"/>
    <cellStyle name="Comma 2 5 2 2 6 3 2 2 3" xfId="30609" xr:uid="{549D80FC-2F4C-4A7E-81DB-65477C0A81E3}"/>
    <cellStyle name="Comma 2 5 2 2 6 3 2 3" xfId="13835" xr:uid="{A5363642-4F4E-4DCD-B10A-BB2E9ABFE647}"/>
    <cellStyle name="Comma 2 5 2 2 6 3 2 4" xfId="24251" xr:uid="{E60D7D4A-92CF-428B-8AC6-DDA630A3BD35}"/>
    <cellStyle name="Comma 2 5 2 2 6 3 3" xfId="8646" xr:uid="{00000000-0005-0000-0000-0000750E0000}"/>
    <cellStyle name="Comma 2 5 2 2 6 3 3 2" xfId="20192" xr:uid="{5ED394FD-99F2-4493-B723-E0FCFF1CE636}"/>
    <cellStyle name="Comma 2 5 2 2 6 3 3 3" xfId="30608" xr:uid="{C5F0A158-A1BF-4FE4-94CB-025EDA228BD0}"/>
    <cellStyle name="Comma 2 5 2 2 6 3 4" xfId="5514" xr:uid="{00000000-0005-0000-0000-0000760E0000}"/>
    <cellStyle name="Comma 2 5 2 2 6 3 4 2" xfId="17100" xr:uid="{15E3F8FE-2989-4585-B7F3-D203B27F22EE}"/>
    <cellStyle name="Comma 2 5 2 2 6 3 4 3" xfId="27516" xr:uid="{22ED1C50-80BE-4CB9-B4C6-E14E8DA64DF6}"/>
    <cellStyle name="Comma 2 5 2 2 6 3 5" xfId="13834" xr:uid="{E05DA98B-B3C6-4395-B375-C3BCA9E1ABC2}"/>
    <cellStyle name="Comma 2 5 2 2 6 3 6" xfId="24250" xr:uid="{E0B3C092-01E7-4488-AB0C-33D95EC55BF7}"/>
    <cellStyle name="Comma 2 5 2 2 6 4" xfId="1501" xr:uid="{00000000-0005-0000-0000-0000770E0000}"/>
    <cellStyle name="Comma 2 5 2 2 6 4 2" xfId="8648" xr:uid="{00000000-0005-0000-0000-0000780E0000}"/>
    <cellStyle name="Comma 2 5 2 2 6 4 2 2" xfId="20194" xr:uid="{C675BADA-A153-4CBE-9227-A543786C4524}"/>
    <cellStyle name="Comma 2 5 2 2 6 4 2 3" xfId="30610" xr:uid="{B7AFFD83-6129-466D-8A56-26F38A5B39D9}"/>
    <cellStyle name="Comma 2 5 2 2 6 4 3" xfId="13836" xr:uid="{FCC75270-74D9-4A6B-8ECF-AC4935507887}"/>
    <cellStyle name="Comma 2 5 2 2 6 4 4" xfId="24252" xr:uid="{FE52A2C1-2745-44AF-B7D0-0D65F675B987}"/>
    <cellStyle name="Comma 2 5 2 2 6 5" xfId="8643" xr:uid="{00000000-0005-0000-0000-0000790E0000}"/>
    <cellStyle name="Comma 2 5 2 2 6 5 2" xfId="20189" xr:uid="{07365C00-DFE0-4086-9D9C-EB9460D9D3E7}"/>
    <cellStyle name="Comma 2 5 2 2 6 5 3" xfId="30605" xr:uid="{7F69879C-599A-4B60-BFBF-F9793CF99EC6}"/>
    <cellStyle name="Comma 2 5 2 2 6 6" xfId="5512" xr:uid="{00000000-0005-0000-0000-00007A0E0000}"/>
    <cellStyle name="Comma 2 5 2 2 6 6 2" xfId="17098" xr:uid="{3AA3D498-9AAA-44B2-BB13-E7BE7B8D5EB0}"/>
    <cellStyle name="Comma 2 5 2 2 6 6 3" xfId="27514" xr:uid="{758DB7D3-B7F8-473C-A6AB-AB141C8F3DA9}"/>
    <cellStyle name="Comma 2 5 2 2 6 7" xfId="13831" xr:uid="{2DB81782-BBC5-4E32-B42B-E26704EFD381}"/>
    <cellStyle name="Comma 2 5 2 2 6 8" xfId="24247" xr:uid="{CA034863-154A-4D13-ACDD-0831E7F72AF1}"/>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2 2 2" xfId="20197" xr:uid="{8353EEF7-9B09-4540-B7D6-EEFBBDB45B80}"/>
    <cellStyle name="Comma 2 5 2 2 7 2 2 2 3" xfId="30613" xr:uid="{3FC5900B-A127-4E95-B3C7-ACC1BF57751C}"/>
    <cellStyle name="Comma 2 5 2 2 7 2 2 3" xfId="13839" xr:uid="{2296CB4F-9FAC-4242-8F52-19B85EEAE081}"/>
    <cellStyle name="Comma 2 5 2 2 7 2 2 4" xfId="24255" xr:uid="{347DA6DC-05C9-49A6-976E-7ED658C4ED88}"/>
    <cellStyle name="Comma 2 5 2 2 7 2 3" xfId="8650" xr:uid="{00000000-0005-0000-0000-00007F0E0000}"/>
    <cellStyle name="Comma 2 5 2 2 7 2 3 2" xfId="20196" xr:uid="{5FDDE363-EB6C-46B4-ACB3-840B330B8E05}"/>
    <cellStyle name="Comma 2 5 2 2 7 2 3 3" xfId="30612" xr:uid="{937F74FB-D3B1-4E2C-B625-BC0D6395102F}"/>
    <cellStyle name="Comma 2 5 2 2 7 2 4" xfId="5516" xr:uid="{00000000-0005-0000-0000-0000800E0000}"/>
    <cellStyle name="Comma 2 5 2 2 7 2 4 2" xfId="17102" xr:uid="{39A31A42-D1F4-4F98-A104-AA83866DAA7C}"/>
    <cellStyle name="Comma 2 5 2 2 7 2 4 3" xfId="27518" xr:uid="{47EC031D-95B3-4C17-8F67-0F5F64288AC1}"/>
    <cellStyle name="Comma 2 5 2 2 7 2 5" xfId="13838" xr:uid="{ECD1BA08-AD2F-4B31-BCDA-3C1C5A34A3D5}"/>
    <cellStyle name="Comma 2 5 2 2 7 2 6" xfId="24254" xr:uid="{612A7706-9823-4669-9899-003FD469169E}"/>
    <cellStyle name="Comma 2 5 2 2 7 3" xfId="1505" xr:uid="{00000000-0005-0000-0000-0000810E0000}"/>
    <cellStyle name="Comma 2 5 2 2 7 3 2" xfId="8652" xr:uid="{00000000-0005-0000-0000-0000820E0000}"/>
    <cellStyle name="Comma 2 5 2 2 7 3 2 2" xfId="20198" xr:uid="{128C3983-B92F-4F4E-90AA-FE87B92C8F43}"/>
    <cellStyle name="Comma 2 5 2 2 7 3 2 3" xfId="30614" xr:uid="{852DE178-0D98-443D-899C-128DC5985FC0}"/>
    <cellStyle name="Comma 2 5 2 2 7 3 3" xfId="13840" xr:uid="{49CBBF6E-6BD9-4E1E-B40B-E28E2B55A231}"/>
    <cellStyle name="Comma 2 5 2 2 7 3 4" xfId="24256" xr:uid="{D1BFF54A-616C-4759-B69F-15DAFE9139D8}"/>
    <cellStyle name="Comma 2 5 2 2 7 4" xfId="8649" xr:uid="{00000000-0005-0000-0000-0000830E0000}"/>
    <cellStyle name="Comma 2 5 2 2 7 4 2" xfId="20195" xr:uid="{4933F010-53B9-469E-ABC3-FF2EE78B5E15}"/>
    <cellStyle name="Comma 2 5 2 2 7 4 3" xfId="30611" xr:uid="{ADD4FD94-51D3-4F89-9CED-1A0D21D5072E}"/>
    <cellStyle name="Comma 2 5 2 2 7 5" xfId="5515" xr:uid="{00000000-0005-0000-0000-0000840E0000}"/>
    <cellStyle name="Comma 2 5 2 2 7 5 2" xfId="17101" xr:uid="{72FF36B7-A665-4955-8A92-B092E4E8E426}"/>
    <cellStyle name="Comma 2 5 2 2 7 5 3" xfId="27517" xr:uid="{CBA41FFA-79C6-4338-8FF5-CD8F383B3CE3}"/>
    <cellStyle name="Comma 2 5 2 2 7 6" xfId="13837" xr:uid="{3CBC02C3-FB15-431B-BDB9-EDC9E80A7F13}"/>
    <cellStyle name="Comma 2 5 2 2 7 7" xfId="24253" xr:uid="{D7F0EB6D-B46A-4320-96F9-E962ECB6AD47}"/>
    <cellStyle name="Comma 2 5 2 2 8" xfId="1506" xr:uid="{00000000-0005-0000-0000-0000850E0000}"/>
    <cellStyle name="Comma 2 5 2 2 8 2" xfId="1507" xr:uid="{00000000-0005-0000-0000-0000860E0000}"/>
    <cellStyle name="Comma 2 5 2 2 8 2 2" xfId="8654" xr:uid="{00000000-0005-0000-0000-0000870E0000}"/>
    <cellStyle name="Comma 2 5 2 2 8 2 2 2" xfId="20200" xr:uid="{4AF7309F-3CEB-4041-90D2-E8A1DA276905}"/>
    <cellStyle name="Comma 2 5 2 2 8 2 2 3" xfId="30616" xr:uid="{5BF4F0DC-3CE9-442C-867B-41C29AC35FA9}"/>
    <cellStyle name="Comma 2 5 2 2 8 2 3" xfId="13842" xr:uid="{042EA9A9-954B-4B87-8E8E-C5720F557360}"/>
    <cellStyle name="Comma 2 5 2 2 8 2 4" xfId="24258" xr:uid="{F90DB1A5-0E30-4F45-844E-EF1A4F1381C0}"/>
    <cellStyle name="Comma 2 5 2 2 8 3" xfId="8653" xr:uid="{00000000-0005-0000-0000-0000880E0000}"/>
    <cellStyle name="Comma 2 5 2 2 8 3 2" xfId="20199" xr:uid="{48A8CB5A-99B8-4020-BD02-B840FA67EE22}"/>
    <cellStyle name="Comma 2 5 2 2 8 3 3" xfId="30615" xr:uid="{90116390-89C5-4C22-83BD-FD57C18480D2}"/>
    <cellStyle name="Comma 2 5 2 2 8 4" xfId="5517" xr:uid="{00000000-0005-0000-0000-0000890E0000}"/>
    <cellStyle name="Comma 2 5 2 2 8 4 2" xfId="17103" xr:uid="{2E37E8A3-2BDA-4251-BF6B-DFD9C9C313A7}"/>
    <cellStyle name="Comma 2 5 2 2 8 4 3" xfId="27519" xr:uid="{CFB74982-ADA3-44E2-A362-3204FA707F9B}"/>
    <cellStyle name="Comma 2 5 2 2 8 5" xfId="13841" xr:uid="{D3837132-F07A-4165-8FA2-705BE5C6BDF4}"/>
    <cellStyle name="Comma 2 5 2 2 8 6" xfId="24257" xr:uid="{B859A232-12C1-4798-B76B-7BEB409FEBA6}"/>
    <cellStyle name="Comma 2 5 2 2 9" xfId="1508" xr:uid="{00000000-0005-0000-0000-00008A0E0000}"/>
    <cellStyle name="Comma 2 5 2 2 9 2" xfId="1509" xr:uid="{00000000-0005-0000-0000-00008B0E0000}"/>
    <cellStyle name="Comma 2 5 2 2 9 2 2" xfId="8656" xr:uid="{00000000-0005-0000-0000-00008C0E0000}"/>
    <cellStyle name="Comma 2 5 2 2 9 2 2 2" xfId="20202" xr:uid="{5332A2CE-D67B-43DC-96BF-F6432B48ED4D}"/>
    <cellStyle name="Comma 2 5 2 2 9 2 2 3" xfId="30618" xr:uid="{1DF0D85F-2515-474A-B719-EF8020D38CE4}"/>
    <cellStyle name="Comma 2 5 2 2 9 2 3" xfId="13844" xr:uid="{E2095E0B-2087-4C51-BCFB-AD74ED757C58}"/>
    <cellStyle name="Comma 2 5 2 2 9 2 4" xfId="24260" xr:uid="{9B6AF547-8767-40C5-A068-16A66F62F9FE}"/>
    <cellStyle name="Comma 2 5 2 2 9 3" xfId="8655" xr:uid="{00000000-0005-0000-0000-00008D0E0000}"/>
    <cellStyle name="Comma 2 5 2 2 9 3 2" xfId="20201" xr:uid="{6CD3E83C-E6E1-4CD9-89BA-0BFF076D4075}"/>
    <cellStyle name="Comma 2 5 2 2 9 3 3" xfId="30617" xr:uid="{40E47DB4-1061-4DF5-9680-8375FDD3EA96}"/>
    <cellStyle name="Comma 2 5 2 2 9 4" xfId="5518" xr:uid="{00000000-0005-0000-0000-00008E0E0000}"/>
    <cellStyle name="Comma 2 5 2 2 9 4 2" xfId="17104" xr:uid="{25A44DC1-638F-4E9E-A0FA-7270D79C6621}"/>
    <cellStyle name="Comma 2 5 2 2 9 4 3" xfId="27520" xr:uid="{181463F8-0B6D-4077-AF32-31A09CEFD851}"/>
    <cellStyle name="Comma 2 5 2 2 9 5" xfId="13843" xr:uid="{3B634C5A-3D80-40E8-939D-5F84AF4DA55E}"/>
    <cellStyle name="Comma 2 5 2 2 9 6" xfId="24259" xr:uid="{667E1E18-0BB5-422F-9DC0-259ED5FA00AE}"/>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2 2 2" xfId="20206" xr:uid="{7AC12E28-2C71-4171-896E-5261874795EF}"/>
    <cellStyle name="Comma 2 5 2 3 2 2 2 2 3" xfId="30622" xr:uid="{F2A1CA08-A4C8-4722-A6BB-D30457884C0C}"/>
    <cellStyle name="Comma 2 5 2 3 2 2 2 3" xfId="13848" xr:uid="{66E48F36-E7F3-4492-9095-44C686C66D7D}"/>
    <cellStyle name="Comma 2 5 2 3 2 2 2 4" xfId="24264" xr:uid="{0802B910-A685-40A4-89C9-4DB2E5F657B6}"/>
    <cellStyle name="Comma 2 5 2 3 2 2 3" xfId="8659" xr:uid="{00000000-0005-0000-0000-0000940E0000}"/>
    <cellStyle name="Comma 2 5 2 3 2 2 3 2" xfId="20205" xr:uid="{0AF4438E-F328-411E-B5A4-762445531B72}"/>
    <cellStyle name="Comma 2 5 2 3 2 2 3 3" xfId="30621" xr:uid="{6D174671-90F8-43F6-9F6F-1C8EC9E0A799}"/>
    <cellStyle name="Comma 2 5 2 3 2 2 4" xfId="5521" xr:uid="{00000000-0005-0000-0000-0000950E0000}"/>
    <cellStyle name="Comma 2 5 2 3 2 2 4 2" xfId="17107" xr:uid="{C7368417-750D-4C8E-9830-098D7726FB03}"/>
    <cellStyle name="Comma 2 5 2 3 2 2 4 3" xfId="27523" xr:uid="{E26CC4C4-6ADB-492C-A051-5C7E22D87751}"/>
    <cellStyle name="Comma 2 5 2 3 2 2 5" xfId="13847" xr:uid="{3C085903-FD36-460D-9299-F3378EDE60FC}"/>
    <cellStyle name="Comma 2 5 2 3 2 2 6" xfId="24263" xr:uid="{A92FFFBA-B53B-4E14-9BB1-E0674837623B}"/>
    <cellStyle name="Comma 2 5 2 3 2 3" xfId="1514" xr:uid="{00000000-0005-0000-0000-0000960E0000}"/>
    <cellStyle name="Comma 2 5 2 3 2 3 2" xfId="8661" xr:uid="{00000000-0005-0000-0000-0000970E0000}"/>
    <cellStyle name="Comma 2 5 2 3 2 3 2 2" xfId="20207" xr:uid="{74AD5F4B-7187-41CC-B422-5C2BA09F4952}"/>
    <cellStyle name="Comma 2 5 2 3 2 3 2 3" xfId="30623" xr:uid="{2DCDED18-1619-4E1F-8BA2-5926F55C676F}"/>
    <cellStyle name="Comma 2 5 2 3 2 3 3" xfId="13849" xr:uid="{1487632E-E5DA-4500-855B-3D3FA25BF0DF}"/>
    <cellStyle name="Comma 2 5 2 3 2 3 4" xfId="24265" xr:uid="{4B75F0FA-CD59-44BC-9425-D549BCBEA609}"/>
    <cellStyle name="Comma 2 5 2 3 2 4" xfId="8658" xr:uid="{00000000-0005-0000-0000-0000980E0000}"/>
    <cellStyle name="Comma 2 5 2 3 2 4 2" xfId="20204" xr:uid="{AFB86FA3-9C05-4ED0-92F8-8011BEACA701}"/>
    <cellStyle name="Comma 2 5 2 3 2 4 3" xfId="30620" xr:uid="{D23C669D-745D-4090-BC00-5147CF1D7178}"/>
    <cellStyle name="Comma 2 5 2 3 2 5" xfId="5520" xr:uid="{00000000-0005-0000-0000-0000990E0000}"/>
    <cellStyle name="Comma 2 5 2 3 2 5 2" xfId="17106" xr:uid="{802B9023-EC41-43CE-91D5-D791476DD9CC}"/>
    <cellStyle name="Comma 2 5 2 3 2 5 3" xfId="27522" xr:uid="{7A4F3B52-72A9-4D04-A453-0B2581F359FC}"/>
    <cellStyle name="Comma 2 5 2 3 2 6" xfId="13846" xr:uid="{73E79A36-DBA2-4283-88CD-A4606BE6EEA6}"/>
    <cellStyle name="Comma 2 5 2 3 2 7" xfId="24262" xr:uid="{BCA7E7BE-CEC8-45B2-B0F8-B7258E58AC84}"/>
    <cellStyle name="Comma 2 5 2 3 3" xfId="1515" xr:uid="{00000000-0005-0000-0000-00009A0E0000}"/>
    <cellStyle name="Comma 2 5 2 3 3 2" xfId="1516" xr:uid="{00000000-0005-0000-0000-00009B0E0000}"/>
    <cellStyle name="Comma 2 5 2 3 3 2 2" xfId="8663" xr:uid="{00000000-0005-0000-0000-00009C0E0000}"/>
    <cellStyle name="Comma 2 5 2 3 3 2 2 2" xfId="20209" xr:uid="{1E2AFEEC-F2B2-43DA-863A-61B5BD4AC88F}"/>
    <cellStyle name="Comma 2 5 2 3 3 2 2 3" xfId="30625" xr:uid="{506B330D-DA25-4858-BE88-4FC595A8631D}"/>
    <cellStyle name="Comma 2 5 2 3 3 2 3" xfId="13851" xr:uid="{ED93EC75-E889-46E2-B33C-306021843BE9}"/>
    <cellStyle name="Comma 2 5 2 3 3 2 4" xfId="24267" xr:uid="{BF4C4D7A-B442-4CFC-AAFC-02053915C810}"/>
    <cellStyle name="Comma 2 5 2 3 3 3" xfId="8662" xr:uid="{00000000-0005-0000-0000-00009D0E0000}"/>
    <cellStyle name="Comma 2 5 2 3 3 3 2" xfId="20208" xr:uid="{9FAA6147-BA0E-49F3-A37E-E9C765DE21DD}"/>
    <cellStyle name="Comma 2 5 2 3 3 3 3" xfId="30624" xr:uid="{E7EBE7E6-4A84-4F3B-AFD9-F678D49F6CC5}"/>
    <cellStyle name="Comma 2 5 2 3 3 4" xfId="5522" xr:uid="{00000000-0005-0000-0000-00009E0E0000}"/>
    <cellStyle name="Comma 2 5 2 3 3 4 2" xfId="17108" xr:uid="{E84F85F9-14CF-4472-A1BB-79024453E000}"/>
    <cellStyle name="Comma 2 5 2 3 3 4 3" xfId="27524" xr:uid="{0F9612A8-E525-42B3-A269-5490C0B37003}"/>
    <cellStyle name="Comma 2 5 2 3 3 5" xfId="13850" xr:uid="{846CFD95-49BA-45AD-8091-7B3C2AAB9E79}"/>
    <cellStyle name="Comma 2 5 2 3 3 6" xfId="24266" xr:uid="{10331BAF-520A-467C-9D8B-22EBCE2C8A4F}"/>
    <cellStyle name="Comma 2 5 2 3 4" xfId="1517" xr:uid="{00000000-0005-0000-0000-00009F0E0000}"/>
    <cellStyle name="Comma 2 5 2 3 4 2" xfId="1518" xr:uid="{00000000-0005-0000-0000-0000A00E0000}"/>
    <cellStyle name="Comma 2 5 2 3 4 2 2" xfId="8665" xr:uid="{00000000-0005-0000-0000-0000A10E0000}"/>
    <cellStyle name="Comma 2 5 2 3 4 2 2 2" xfId="20211" xr:uid="{7EBD8ACA-528D-464A-B4BE-2B0985A78EB9}"/>
    <cellStyle name="Comma 2 5 2 3 4 2 2 3" xfId="30627" xr:uid="{D2DB4AC8-1E88-41E9-B458-F35CE55EB02E}"/>
    <cellStyle name="Comma 2 5 2 3 4 2 3" xfId="13853" xr:uid="{56AB9256-840B-43D2-AF3A-A49771535721}"/>
    <cellStyle name="Comma 2 5 2 3 4 2 4" xfId="24269" xr:uid="{C2EF08B3-48E3-477B-89EA-EC96FCC232DA}"/>
    <cellStyle name="Comma 2 5 2 3 4 3" xfId="8664" xr:uid="{00000000-0005-0000-0000-0000A20E0000}"/>
    <cellStyle name="Comma 2 5 2 3 4 3 2" xfId="20210" xr:uid="{48F486C8-8DFB-40BD-8604-E10A5D36B261}"/>
    <cellStyle name="Comma 2 5 2 3 4 3 3" xfId="30626" xr:uid="{7AEDF3D6-FCB2-4BB2-A460-3036CE6CA369}"/>
    <cellStyle name="Comma 2 5 2 3 4 4" xfId="5523" xr:uid="{00000000-0005-0000-0000-0000A30E0000}"/>
    <cellStyle name="Comma 2 5 2 3 4 4 2" xfId="17109" xr:uid="{677DEE94-B927-42B0-9E44-EBD028799DD5}"/>
    <cellStyle name="Comma 2 5 2 3 4 4 3" xfId="27525" xr:uid="{12B8FBEE-9E77-4038-B797-BC1F1D2DF25B}"/>
    <cellStyle name="Comma 2 5 2 3 4 5" xfId="13852" xr:uid="{AEF39186-B8E7-4BC9-ABC9-01040E6EB39A}"/>
    <cellStyle name="Comma 2 5 2 3 4 6" xfId="24268" xr:uid="{1F748EAF-828E-4086-BFB4-CEE1435605BA}"/>
    <cellStyle name="Comma 2 5 2 3 5" xfId="1519" xr:uid="{00000000-0005-0000-0000-0000A40E0000}"/>
    <cellStyle name="Comma 2 5 2 3 5 2" xfId="8666" xr:uid="{00000000-0005-0000-0000-0000A50E0000}"/>
    <cellStyle name="Comma 2 5 2 3 5 2 2" xfId="20212" xr:uid="{3BC85F02-7E5B-470C-8E9B-CECF1B7FE57C}"/>
    <cellStyle name="Comma 2 5 2 3 5 2 3" xfId="30628" xr:uid="{24C4D1CD-78BF-478D-8BD8-96213D170FC6}"/>
    <cellStyle name="Comma 2 5 2 3 5 3" xfId="13854" xr:uid="{40E0D065-B9CA-4D8C-8462-87B3D3A56572}"/>
    <cellStyle name="Comma 2 5 2 3 5 4" xfId="24270" xr:uid="{154B0514-219F-459C-944C-CA9E6C97801F}"/>
    <cellStyle name="Comma 2 5 2 3 6" xfId="8657" xr:uid="{00000000-0005-0000-0000-0000A60E0000}"/>
    <cellStyle name="Comma 2 5 2 3 6 2" xfId="20203" xr:uid="{654E37F2-42C7-408C-A57A-314CFE148572}"/>
    <cellStyle name="Comma 2 5 2 3 6 3" xfId="30619" xr:uid="{87781C7B-68B7-4A83-8101-AD2B9290F988}"/>
    <cellStyle name="Comma 2 5 2 3 7" xfId="5519" xr:uid="{00000000-0005-0000-0000-0000A70E0000}"/>
    <cellStyle name="Comma 2 5 2 3 7 2" xfId="17105" xr:uid="{6BF4F612-9263-458F-8D6B-8C8D4CB2DEFB}"/>
    <cellStyle name="Comma 2 5 2 3 7 3" xfId="27521" xr:uid="{A94CFE7C-E21B-4513-8B41-09F84C8BF41C}"/>
    <cellStyle name="Comma 2 5 2 3 8" xfId="13845" xr:uid="{871B0871-A70D-4B8C-8756-5E8BB0AC4D4F}"/>
    <cellStyle name="Comma 2 5 2 3 9" xfId="24261" xr:uid="{CC19AE40-568D-4059-96BA-21C45DC9AB2E}"/>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2 2 2" xfId="20216" xr:uid="{B7F78751-9CF3-4D50-9441-B9D02777FBDB}"/>
    <cellStyle name="Comma 2 5 2 4 2 2 2 2 3" xfId="30632" xr:uid="{22133162-C31A-4564-9A98-803BA4B57EE3}"/>
    <cellStyle name="Comma 2 5 2 4 2 2 2 3" xfId="13858" xr:uid="{4FBD13F0-6838-43A9-B235-9622DE40FEC8}"/>
    <cellStyle name="Comma 2 5 2 4 2 2 2 4" xfId="24274" xr:uid="{A55C39CA-1FB9-4CC3-8723-63C1BC030603}"/>
    <cellStyle name="Comma 2 5 2 4 2 2 3" xfId="8669" xr:uid="{00000000-0005-0000-0000-0000AD0E0000}"/>
    <cellStyle name="Comma 2 5 2 4 2 2 3 2" xfId="20215" xr:uid="{0AE0A876-A4D0-4F63-9352-E4B19D315888}"/>
    <cellStyle name="Comma 2 5 2 4 2 2 3 3" xfId="30631" xr:uid="{119872FB-385A-4A00-BFE7-E27DA9BF90A6}"/>
    <cellStyle name="Comma 2 5 2 4 2 2 4" xfId="5526" xr:uid="{00000000-0005-0000-0000-0000AE0E0000}"/>
    <cellStyle name="Comma 2 5 2 4 2 2 4 2" xfId="17112" xr:uid="{FB15CBAC-7849-4CEE-B4DD-8F4AC3D4E48F}"/>
    <cellStyle name="Comma 2 5 2 4 2 2 4 3" xfId="27528" xr:uid="{A0AD10B1-ECC9-4E2B-AF01-406FA7918026}"/>
    <cellStyle name="Comma 2 5 2 4 2 2 5" xfId="13857" xr:uid="{341D2B1C-4CA3-4361-B9A2-EF1F6D071AC4}"/>
    <cellStyle name="Comma 2 5 2 4 2 2 6" xfId="24273" xr:uid="{DB1A5D56-4FEB-4649-B679-01C65E601BB9}"/>
    <cellStyle name="Comma 2 5 2 4 2 3" xfId="1524" xr:uid="{00000000-0005-0000-0000-0000AF0E0000}"/>
    <cellStyle name="Comma 2 5 2 4 2 3 2" xfId="8671" xr:uid="{00000000-0005-0000-0000-0000B00E0000}"/>
    <cellStyle name="Comma 2 5 2 4 2 3 2 2" xfId="20217" xr:uid="{81263BF0-8F61-4C58-B507-DCBCF1B1B271}"/>
    <cellStyle name="Comma 2 5 2 4 2 3 2 3" xfId="30633" xr:uid="{DF9E1D92-765A-4491-98E0-3CF14E7B7488}"/>
    <cellStyle name="Comma 2 5 2 4 2 3 3" xfId="13859" xr:uid="{57D7BB23-98CC-4F63-BA35-8D8280AED011}"/>
    <cellStyle name="Comma 2 5 2 4 2 3 4" xfId="24275" xr:uid="{D53EFFD0-9C6E-4E48-9395-8FB2F1384131}"/>
    <cellStyle name="Comma 2 5 2 4 2 4" xfId="8668" xr:uid="{00000000-0005-0000-0000-0000B10E0000}"/>
    <cellStyle name="Comma 2 5 2 4 2 4 2" xfId="20214" xr:uid="{B0D93E90-47D8-463A-A330-8C121DFAF9A9}"/>
    <cellStyle name="Comma 2 5 2 4 2 4 3" xfId="30630" xr:uid="{364739AF-3B2E-40CC-BC43-C79A93736582}"/>
    <cellStyle name="Comma 2 5 2 4 2 5" xfId="5525" xr:uid="{00000000-0005-0000-0000-0000B20E0000}"/>
    <cellStyle name="Comma 2 5 2 4 2 5 2" xfId="17111" xr:uid="{48423975-D07E-434B-8159-B573A48FF781}"/>
    <cellStyle name="Comma 2 5 2 4 2 5 3" xfId="27527" xr:uid="{D426C41F-103F-4E45-A878-AAAA8B6CF7C6}"/>
    <cellStyle name="Comma 2 5 2 4 2 6" xfId="13856" xr:uid="{D2A53B64-203D-47E4-8CFC-C72CD7853DE5}"/>
    <cellStyle name="Comma 2 5 2 4 2 7" xfId="24272" xr:uid="{DDC3E881-3903-4983-942F-4084C1BD37D5}"/>
    <cellStyle name="Comma 2 5 2 4 3" xfId="1525" xr:uid="{00000000-0005-0000-0000-0000B30E0000}"/>
    <cellStyle name="Comma 2 5 2 4 3 2" xfId="1526" xr:uid="{00000000-0005-0000-0000-0000B40E0000}"/>
    <cellStyle name="Comma 2 5 2 4 3 2 2" xfId="8673" xr:uid="{00000000-0005-0000-0000-0000B50E0000}"/>
    <cellStyle name="Comma 2 5 2 4 3 2 2 2" xfId="20219" xr:uid="{1F30BC7C-D8F1-4E45-83AF-80CCF941D3F4}"/>
    <cellStyle name="Comma 2 5 2 4 3 2 2 3" xfId="30635" xr:uid="{2B00BCC0-F500-4F8E-B47E-0A6F02B45FF0}"/>
    <cellStyle name="Comma 2 5 2 4 3 2 3" xfId="13861" xr:uid="{7396FECE-6236-42F9-AFBF-EEFFBF88177D}"/>
    <cellStyle name="Comma 2 5 2 4 3 2 4" xfId="24277" xr:uid="{E68B5E0C-6DAA-4BD9-8A5B-57C6FBC60B9B}"/>
    <cellStyle name="Comma 2 5 2 4 3 3" xfId="8672" xr:uid="{00000000-0005-0000-0000-0000B60E0000}"/>
    <cellStyle name="Comma 2 5 2 4 3 3 2" xfId="20218" xr:uid="{E353D520-673B-4221-BE35-9EDEBB84DF80}"/>
    <cellStyle name="Comma 2 5 2 4 3 3 3" xfId="30634" xr:uid="{772F6A4D-C8BF-4A51-83B1-66A3CCB4A09D}"/>
    <cellStyle name="Comma 2 5 2 4 3 4" xfId="5527" xr:uid="{00000000-0005-0000-0000-0000B70E0000}"/>
    <cellStyle name="Comma 2 5 2 4 3 4 2" xfId="17113" xr:uid="{30FD4CF4-5358-405A-AC20-2C971DADDEB7}"/>
    <cellStyle name="Comma 2 5 2 4 3 4 3" xfId="27529" xr:uid="{CD360596-663F-452B-9B3D-06E775DCFD1E}"/>
    <cellStyle name="Comma 2 5 2 4 3 5" xfId="13860" xr:uid="{4E17E96C-70D1-45F8-96CE-3701F64FEC23}"/>
    <cellStyle name="Comma 2 5 2 4 3 6" xfId="24276" xr:uid="{CBBC0DB0-CD31-43A5-8863-65B270AA4F04}"/>
    <cellStyle name="Comma 2 5 2 4 4" xfId="1527" xr:uid="{00000000-0005-0000-0000-0000B80E0000}"/>
    <cellStyle name="Comma 2 5 2 4 4 2" xfId="1528" xr:uid="{00000000-0005-0000-0000-0000B90E0000}"/>
    <cellStyle name="Comma 2 5 2 4 4 2 2" xfId="8675" xr:uid="{00000000-0005-0000-0000-0000BA0E0000}"/>
    <cellStyle name="Comma 2 5 2 4 4 2 2 2" xfId="20221" xr:uid="{93851D77-2E6A-4AC2-8456-A968B2F72988}"/>
    <cellStyle name="Comma 2 5 2 4 4 2 2 3" xfId="30637" xr:uid="{6E2BF467-8947-49B9-8FB7-0BA2D94BA483}"/>
    <cellStyle name="Comma 2 5 2 4 4 2 3" xfId="13863" xr:uid="{452824A0-FDD8-4E84-9818-F148A1298A41}"/>
    <cellStyle name="Comma 2 5 2 4 4 2 4" xfId="24279" xr:uid="{3F5FC1CF-09B7-42EB-BC62-92B7B935900F}"/>
    <cellStyle name="Comma 2 5 2 4 4 3" xfId="8674" xr:uid="{00000000-0005-0000-0000-0000BB0E0000}"/>
    <cellStyle name="Comma 2 5 2 4 4 3 2" xfId="20220" xr:uid="{9126F666-314E-4E01-B6C2-59E1184F1B91}"/>
    <cellStyle name="Comma 2 5 2 4 4 3 3" xfId="30636" xr:uid="{2B1D98BA-EE1B-46EB-A275-F112571C2680}"/>
    <cellStyle name="Comma 2 5 2 4 4 4" xfId="5528" xr:uid="{00000000-0005-0000-0000-0000BC0E0000}"/>
    <cellStyle name="Comma 2 5 2 4 4 4 2" xfId="17114" xr:uid="{BAEB5BA4-865E-4713-81B1-396DF53334EB}"/>
    <cellStyle name="Comma 2 5 2 4 4 4 3" xfId="27530" xr:uid="{300A9F11-B7D2-4CD2-A194-4BB135C634C1}"/>
    <cellStyle name="Comma 2 5 2 4 4 5" xfId="13862" xr:uid="{6DFAF83F-81B5-4D8B-BF12-FA26A4D65D38}"/>
    <cellStyle name="Comma 2 5 2 4 4 6" xfId="24278" xr:uid="{93C971FA-6910-4063-A201-0E2CCC8D4F03}"/>
    <cellStyle name="Comma 2 5 2 4 5" xfId="1529" xr:uid="{00000000-0005-0000-0000-0000BD0E0000}"/>
    <cellStyle name="Comma 2 5 2 4 5 2" xfId="8676" xr:uid="{00000000-0005-0000-0000-0000BE0E0000}"/>
    <cellStyle name="Comma 2 5 2 4 5 2 2" xfId="20222" xr:uid="{84C6A40E-8771-41C1-84D4-32D4EB8F2430}"/>
    <cellStyle name="Comma 2 5 2 4 5 2 3" xfId="30638" xr:uid="{ED864331-635B-4107-B9FA-FDF461B5F02C}"/>
    <cellStyle name="Comma 2 5 2 4 5 3" xfId="13864" xr:uid="{E42780CF-36CA-4901-BCD9-2BB1F004685D}"/>
    <cellStyle name="Comma 2 5 2 4 5 4" xfId="24280" xr:uid="{B344B630-0A4A-4018-993B-D5716298AF00}"/>
    <cellStyle name="Comma 2 5 2 4 6" xfId="8667" xr:uid="{00000000-0005-0000-0000-0000BF0E0000}"/>
    <cellStyle name="Comma 2 5 2 4 6 2" xfId="20213" xr:uid="{B5DCA6F1-10CC-4FCE-A942-BCE8DDFB4094}"/>
    <cellStyle name="Comma 2 5 2 4 6 3" xfId="30629" xr:uid="{AF8F88C2-D79D-400B-B8FB-CB201BD56EBA}"/>
    <cellStyle name="Comma 2 5 2 4 7" xfId="5524" xr:uid="{00000000-0005-0000-0000-0000C00E0000}"/>
    <cellStyle name="Comma 2 5 2 4 7 2" xfId="17110" xr:uid="{43A5F3DE-FFB9-4C80-84DB-34E9A994D74C}"/>
    <cellStyle name="Comma 2 5 2 4 7 3" xfId="27526" xr:uid="{3C125A6A-67A0-4D98-857E-7D7B31AD4E1C}"/>
    <cellStyle name="Comma 2 5 2 4 8" xfId="13855" xr:uid="{6156FDBC-4F4E-4461-AE86-956ED5B87E8C}"/>
    <cellStyle name="Comma 2 5 2 4 9" xfId="24271" xr:uid="{D5F90EC2-9D91-482C-B0DD-F9F53BAE4F7A}"/>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2 2 2" xfId="20226" xr:uid="{7B1FCDD0-88A3-4906-B3B9-FF5B8EBE8625}"/>
    <cellStyle name="Comma 2 5 2 5 2 2 2 2 3" xfId="30642" xr:uid="{5263AF36-C867-4705-9B3E-8AD70C7D90ED}"/>
    <cellStyle name="Comma 2 5 2 5 2 2 2 3" xfId="13868" xr:uid="{D4D3D83C-53A4-487A-9C7A-40D982A24D15}"/>
    <cellStyle name="Comma 2 5 2 5 2 2 2 4" xfId="24284" xr:uid="{339F5FA7-C8CC-488C-B1DB-28FED672B49D}"/>
    <cellStyle name="Comma 2 5 2 5 2 2 3" xfId="8679" xr:uid="{00000000-0005-0000-0000-0000C60E0000}"/>
    <cellStyle name="Comma 2 5 2 5 2 2 3 2" xfId="20225" xr:uid="{7AC578C1-FA15-4F88-8D8C-CB931884E85C}"/>
    <cellStyle name="Comma 2 5 2 5 2 2 3 3" xfId="30641" xr:uid="{646BC0B8-F666-47F3-8789-BA565A3080A5}"/>
    <cellStyle name="Comma 2 5 2 5 2 2 4" xfId="5531" xr:uid="{00000000-0005-0000-0000-0000C70E0000}"/>
    <cellStyle name="Comma 2 5 2 5 2 2 4 2" xfId="17117" xr:uid="{34618CF5-F9BD-48A3-B1F3-FCAC3DC28988}"/>
    <cellStyle name="Comma 2 5 2 5 2 2 4 3" xfId="27533" xr:uid="{934E1C45-7A5F-4241-8FF5-D89639D9EB75}"/>
    <cellStyle name="Comma 2 5 2 5 2 2 5" xfId="13867" xr:uid="{4E92E68D-372F-41E2-81FE-55AACEA3B437}"/>
    <cellStyle name="Comma 2 5 2 5 2 2 6" xfId="24283" xr:uid="{50E9A084-B60A-4E3E-B404-F0F9FB995813}"/>
    <cellStyle name="Comma 2 5 2 5 2 3" xfId="1534" xr:uid="{00000000-0005-0000-0000-0000C80E0000}"/>
    <cellStyle name="Comma 2 5 2 5 2 3 2" xfId="8681" xr:uid="{00000000-0005-0000-0000-0000C90E0000}"/>
    <cellStyle name="Comma 2 5 2 5 2 3 2 2" xfId="20227" xr:uid="{7D1D7D0D-A920-462A-955F-C97B9DCA772B}"/>
    <cellStyle name="Comma 2 5 2 5 2 3 2 3" xfId="30643" xr:uid="{81D1472A-7D15-47C3-9BAD-925DA8134B2C}"/>
    <cellStyle name="Comma 2 5 2 5 2 3 3" xfId="13869" xr:uid="{6213D44E-E6F0-47F5-948F-8948D5C2E90A}"/>
    <cellStyle name="Comma 2 5 2 5 2 3 4" xfId="24285" xr:uid="{1C64FA27-909A-4CF1-844B-B76D94587D40}"/>
    <cellStyle name="Comma 2 5 2 5 2 4" xfId="8678" xr:uid="{00000000-0005-0000-0000-0000CA0E0000}"/>
    <cellStyle name="Comma 2 5 2 5 2 4 2" xfId="20224" xr:uid="{AB3BC509-6A85-4D3B-937C-17F44C26169D}"/>
    <cellStyle name="Comma 2 5 2 5 2 4 3" xfId="30640" xr:uid="{0BEE9BA2-B3F7-4364-BCDF-708020A8D410}"/>
    <cellStyle name="Comma 2 5 2 5 2 5" xfId="5530" xr:uid="{00000000-0005-0000-0000-0000CB0E0000}"/>
    <cellStyle name="Comma 2 5 2 5 2 5 2" xfId="17116" xr:uid="{77D8062D-0A68-4C4B-A5F8-D22DDE6A43D1}"/>
    <cellStyle name="Comma 2 5 2 5 2 5 3" xfId="27532" xr:uid="{EE6E9645-F0CF-49CE-81A9-568711055A7D}"/>
    <cellStyle name="Comma 2 5 2 5 2 6" xfId="13866" xr:uid="{9D77BA2D-2B76-4212-B056-230AEAFB4233}"/>
    <cellStyle name="Comma 2 5 2 5 2 7" xfId="24282" xr:uid="{D57672DC-CF19-4BBB-B00B-20D9A08001F1}"/>
    <cellStyle name="Comma 2 5 2 5 3" xfId="1535" xr:uid="{00000000-0005-0000-0000-0000CC0E0000}"/>
    <cellStyle name="Comma 2 5 2 5 3 2" xfId="1536" xr:uid="{00000000-0005-0000-0000-0000CD0E0000}"/>
    <cellStyle name="Comma 2 5 2 5 3 2 2" xfId="8683" xr:uid="{00000000-0005-0000-0000-0000CE0E0000}"/>
    <cellStyle name="Comma 2 5 2 5 3 2 2 2" xfId="20229" xr:uid="{F07D0468-E3AD-4D8B-9F30-01100C465DDC}"/>
    <cellStyle name="Comma 2 5 2 5 3 2 2 3" xfId="30645" xr:uid="{1F387FD3-7E4A-47B3-930C-4B935BF22C1B}"/>
    <cellStyle name="Comma 2 5 2 5 3 2 3" xfId="13871" xr:uid="{E77C0F00-90DF-450F-9355-4326CDE0E505}"/>
    <cellStyle name="Comma 2 5 2 5 3 2 4" xfId="24287" xr:uid="{D22FC1E2-84B4-41FA-9BE0-419B95EBB4A1}"/>
    <cellStyle name="Comma 2 5 2 5 3 3" xfId="8682" xr:uid="{00000000-0005-0000-0000-0000CF0E0000}"/>
    <cellStyle name="Comma 2 5 2 5 3 3 2" xfId="20228" xr:uid="{4D1511C0-8647-462C-8986-480C8D82E240}"/>
    <cellStyle name="Comma 2 5 2 5 3 3 3" xfId="30644" xr:uid="{24FDE40A-7CB5-4443-BB20-26E9A041C230}"/>
    <cellStyle name="Comma 2 5 2 5 3 4" xfId="5532" xr:uid="{00000000-0005-0000-0000-0000D00E0000}"/>
    <cellStyle name="Comma 2 5 2 5 3 4 2" xfId="17118" xr:uid="{A616E1D1-A47E-49EA-82C4-538944962D0E}"/>
    <cellStyle name="Comma 2 5 2 5 3 4 3" xfId="27534" xr:uid="{27FB019C-3D24-4E07-B500-D0A54DDBCAB2}"/>
    <cellStyle name="Comma 2 5 2 5 3 5" xfId="13870" xr:uid="{ED9CF2AB-91C6-4F05-8FF9-CC67FD20E072}"/>
    <cellStyle name="Comma 2 5 2 5 3 6" xfId="24286" xr:uid="{898312B5-89F8-4AA1-94FD-183F24CCD407}"/>
    <cellStyle name="Comma 2 5 2 5 4" xfId="1537" xr:uid="{00000000-0005-0000-0000-0000D10E0000}"/>
    <cellStyle name="Comma 2 5 2 5 4 2" xfId="1538" xr:uid="{00000000-0005-0000-0000-0000D20E0000}"/>
    <cellStyle name="Comma 2 5 2 5 4 2 2" xfId="8685" xr:uid="{00000000-0005-0000-0000-0000D30E0000}"/>
    <cellStyle name="Comma 2 5 2 5 4 2 2 2" xfId="20231" xr:uid="{E41C60D0-5EB9-4971-8BAD-4B5413673BFE}"/>
    <cellStyle name="Comma 2 5 2 5 4 2 2 3" xfId="30647" xr:uid="{F3D9DADB-D035-4D87-89D9-AF1BF314CFA1}"/>
    <cellStyle name="Comma 2 5 2 5 4 2 3" xfId="13873" xr:uid="{55138B9D-B4E8-46E4-BF97-F6B737DD833F}"/>
    <cellStyle name="Comma 2 5 2 5 4 2 4" xfId="24289" xr:uid="{0073CFC0-59F4-4985-8D9D-0CF3F14534C7}"/>
    <cellStyle name="Comma 2 5 2 5 4 3" xfId="8684" xr:uid="{00000000-0005-0000-0000-0000D40E0000}"/>
    <cellStyle name="Comma 2 5 2 5 4 3 2" xfId="20230" xr:uid="{DB6B27A6-58FF-45E5-8A75-B355923BFE85}"/>
    <cellStyle name="Comma 2 5 2 5 4 3 3" xfId="30646" xr:uid="{C266F0D3-63A3-4BAE-BA26-C71D779FB3F5}"/>
    <cellStyle name="Comma 2 5 2 5 4 4" xfId="5533" xr:uid="{00000000-0005-0000-0000-0000D50E0000}"/>
    <cellStyle name="Comma 2 5 2 5 4 4 2" xfId="17119" xr:uid="{70A4D6D3-C295-4A8D-BD4A-3AA0CE3C6932}"/>
    <cellStyle name="Comma 2 5 2 5 4 4 3" xfId="27535" xr:uid="{A7DCA588-AA6B-44E8-9AE6-52C5A47DD67E}"/>
    <cellStyle name="Comma 2 5 2 5 4 5" xfId="13872" xr:uid="{1025E493-F2D2-413C-B0FA-8AD4F6EACC76}"/>
    <cellStyle name="Comma 2 5 2 5 4 6" xfId="24288" xr:uid="{08EEAFBD-129E-4E15-935B-3B7A5718BA7D}"/>
    <cellStyle name="Comma 2 5 2 5 5" xfId="1539" xr:uid="{00000000-0005-0000-0000-0000D60E0000}"/>
    <cellStyle name="Comma 2 5 2 5 5 2" xfId="8686" xr:uid="{00000000-0005-0000-0000-0000D70E0000}"/>
    <cellStyle name="Comma 2 5 2 5 5 2 2" xfId="20232" xr:uid="{1BE857A7-1342-4916-9166-C18FE458D438}"/>
    <cellStyle name="Comma 2 5 2 5 5 2 3" xfId="30648" xr:uid="{C5A2BDB8-D89B-4468-81CB-E7AA06FDB7E3}"/>
    <cellStyle name="Comma 2 5 2 5 5 3" xfId="13874" xr:uid="{742253E3-BEF7-4256-A24F-D34928F621A2}"/>
    <cellStyle name="Comma 2 5 2 5 5 4" xfId="24290" xr:uid="{29BC00D8-339C-43CF-B9D8-47874F92B1F7}"/>
    <cellStyle name="Comma 2 5 2 5 6" xfId="8677" xr:uid="{00000000-0005-0000-0000-0000D80E0000}"/>
    <cellStyle name="Comma 2 5 2 5 6 2" xfId="20223" xr:uid="{F5E1A423-BB5A-4A88-AF61-5C7F937C1FFA}"/>
    <cellStyle name="Comma 2 5 2 5 6 3" xfId="30639" xr:uid="{5FB985E7-71A3-4A45-A975-37AB7C713F36}"/>
    <cellStyle name="Comma 2 5 2 5 7" xfId="5529" xr:uid="{00000000-0005-0000-0000-0000D90E0000}"/>
    <cellStyle name="Comma 2 5 2 5 7 2" xfId="17115" xr:uid="{CF327CA9-E685-4E56-8FBA-37793AAA4AF3}"/>
    <cellStyle name="Comma 2 5 2 5 7 3" xfId="27531" xr:uid="{048710AD-315D-473B-8137-7F10EA00BD67}"/>
    <cellStyle name="Comma 2 5 2 5 8" xfId="13865" xr:uid="{0F0ED5AC-1EF7-4C49-91F9-C19F3522399D}"/>
    <cellStyle name="Comma 2 5 2 5 9" xfId="24281" xr:uid="{42AEFE50-9763-44FF-A574-8F7C9E761122}"/>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2 2 2" xfId="20236" xr:uid="{88627DC4-F3B8-4A0D-BD62-88C165A5F08B}"/>
    <cellStyle name="Comma 2 5 2 6 2 2 2 2 3" xfId="30652" xr:uid="{E7A868EC-C053-441B-B0E0-0D870AB97434}"/>
    <cellStyle name="Comma 2 5 2 6 2 2 2 3" xfId="13878" xr:uid="{D68239E3-85C5-415C-8081-7693D5120B54}"/>
    <cellStyle name="Comma 2 5 2 6 2 2 2 4" xfId="24294" xr:uid="{659B25FB-7F9D-4D22-BDED-032C1A3A7A71}"/>
    <cellStyle name="Comma 2 5 2 6 2 2 3" xfId="8689" xr:uid="{00000000-0005-0000-0000-0000DF0E0000}"/>
    <cellStyle name="Comma 2 5 2 6 2 2 3 2" xfId="20235" xr:uid="{5785E1B2-9A5C-4C6D-8C9D-D7EBC8554FE2}"/>
    <cellStyle name="Comma 2 5 2 6 2 2 3 3" xfId="30651" xr:uid="{D2122950-11F0-4A61-AC24-1B8669CF345B}"/>
    <cellStyle name="Comma 2 5 2 6 2 2 4" xfId="5536" xr:uid="{00000000-0005-0000-0000-0000E00E0000}"/>
    <cellStyle name="Comma 2 5 2 6 2 2 4 2" xfId="17122" xr:uid="{819DCBA7-42B7-4770-81B2-5A90FA3588A7}"/>
    <cellStyle name="Comma 2 5 2 6 2 2 4 3" xfId="27538" xr:uid="{A1DE0A40-4176-4983-BE77-28DF650AD215}"/>
    <cellStyle name="Comma 2 5 2 6 2 2 5" xfId="13877" xr:uid="{B42B863C-0AE1-4B1A-B25E-D397EA1937EF}"/>
    <cellStyle name="Comma 2 5 2 6 2 2 6" xfId="24293" xr:uid="{39341659-46D4-41A0-A83B-B0E012017221}"/>
    <cellStyle name="Comma 2 5 2 6 2 3" xfId="1544" xr:uid="{00000000-0005-0000-0000-0000E10E0000}"/>
    <cellStyle name="Comma 2 5 2 6 2 3 2" xfId="8691" xr:uid="{00000000-0005-0000-0000-0000E20E0000}"/>
    <cellStyle name="Comma 2 5 2 6 2 3 2 2" xfId="20237" xr:uid="{53382AAE-26F0-4489-9C8C-FD5BA02D226E}"/>
    <cellStyle name="Comma 2 5 2 6 2 3 2 3" xfId="30653" xr:uid="{3064114E-68C0-4F2D-8B82-28A0B00EF7FF}"/>
    <cellStyle name="Comma 2 5 2 6 2 3 3" xfId="13879" xr:uid="{6ACD0262-8C55-4EF2-8BBA-9DC5F83EB202}"/>
    <cellStyle name="Comma 2 5 2 6 2 3 4" xfId="24295" xr:uid="{87EEB704-5464-4DEB-9A19-C42ED09B8423}"/>
    <cellStyle name="Comma 2 5 2 6 2 4" xfId="8688" xr:uid="{00000000-0005-0000-0000-0000E30E0000}"/>
    <cellStyle name="Comma 2 5 2 6 2 4 2" xfId="20234" xr:uid="{7BD51D71-E490-40F8-9422-70ED56AB75C1}"/>
    <cellStyle name="Comma 2 5 2 6 2 4 3" xfId="30650" xr:uid="{5DA1B2D3-AE18-4E40-93F0-AAD004AABCAF}"/>
    <cellStyle name="Comma 2 5 2 6 2 5" xfId="5535" xr:uid="{00000000-0005-0000-0000-0000E40E0000}"/>
    <cellStyle name="Comma 2 5 2 6 2 5 2" xfId="17121" xr:uid="{BBCDAB76-92AD-47E0-B9F8-5D5250213F97}"/>
    <cellStyle name="Comma 2 5 2 6 2 5 3" xfId="27537" xr:uid="{31DF23E5-64D9-404F-AE46-79EC6531A5B4}"/>
    <cellStyle name="Comma 2 5 2 6 2 6" xfId="13876" xr:uid="{B8A7E8BF-2269-4874-BB9B-B751E31D6F84}"/>
    <cellStyle name="Comma 2 5 2 6 2 7" xfId="24292" xr:uid="{A53767B4-E6C9-4479-A93F-DBFDF48AAECF}"/>
    <cellStyle name="Comma 2 5 2 6 3" xfId="1545" xr:uid="{00000000-0005-0000-0000-0000E50E0000}"/>
    <cellStyle name="Comma 2 5 2 6 3 2" xfId="1546" xr:uid="{00000000-0005-0000-0000-0000E60E0000}"/>
    <cellStyle name="Comma 2 5 2 6 3 2 2" xfId="8693" xr:uid="{00000000-0005-0000-0000-0000E70E0000}"/>
    <cellStyle name="Comma 2 5 2 6 3 2 2 2" xfId="20239" xr:uid="{C2169B1C-7A43-4E2F-9DCC-E382DAD90CCB}"/>
    <cellStyle name="Comma 2 5 2 6 3 2 2 3" xfId="30655" xr:uid="{A1BE9398-F95C-4854-9821-55B6F7FA73F8}"/>
    <cellStyle name="Comma 2 5 2 6 3 2 3" xfId="13881" xr:uid="{4232D1A5-AE33-4068-A550-989746A61619}"/>
    <cellStyle name="Comma 2 5 2 6 3 2 4" xfId="24297" xr:uid="{0AB1145F-9D96-47FC-A1E2-049698B6B9CC}"/>
    <cellStyle name="Comma 2 5 2 6 3 3" xfId="8692" xr:uid="{00000000-0005-0000-0000-0000E80E0000}"/>
    <cellStyle name="Comma 2 5 2 6 3 3 2" xfId="20238" xr:uid="{8B93003A-5289-49E8-9C42-A1BABE98FA3D}"/>
    <cellStyle name="Comma 2 5 2 6 3 3 3" xfId="30654" xr:uid="{245FE20B-A4E8-4269-BEE9-59B4BBF28BEE}"/>
    <cellStyle name="Comma 2 5 2 6 3 4" xfId="5537" xr:uid="{00000000-0005-0000-0000-0000E90E0000}"/>
    <cellStyle name="Comma 2 5 2 6 3 4 2" xfId="17123" xr:uid="{30BB1EC7-E036-4237-8D71-7475FF52551A}"/>
    <cellStyle name="Comma 2 5 2 6 3 4 3" xfId="27539" xr:uid="{FA3C1570-143C-4007-9EDB-8A6DF91F5D83}"/>
    <cellStyle name="Comma 2 5 2 6 3 5" xfId="13880" xr:uid="{4D66A3C8-B992-4AC0-9B88-D42A688949D1}"/>
    <cellStyle name="Comma 2 5 2 6 3 6" xfId="24296" xr:uid="{FD80DD4A-03DA-41FD-892A-077E410486EF}"/>
    <cellStyle name="Comma 2 5 2 6 4" xfId="1547" xr:uid="{00000000-0005-0000-0000-0000EA0E0000}"/>
    <cellStyle name="Comma 2 5 2 6 4 2" xfId="1548" xr:uid="{00000000-0005-0000-0000-0000EB0E0000}"/>
    <cellStyle name="Comma 2 5 2 6 4 2 2" xfId="8695" xr:uid="{00000000-0005-0000-0000-0000EC0E0000}"/>
    <cellStyle name="Comma 2 5 2 6 4 2 2 2" xfId="20241" xr:uid="{80309351-F016-4DA0-AF8D-4FA752335E13}"/>
    <cellStyle name="Comma 2 5 2 6 4 2 2 3" xfId="30657" xr:uid="{2E77C94D-3E02-41E1-9EA8-2AE36D1DBA8B}"/>
    <cellStyle name="Comma 2 5 2 6 4 2 3" xfId="13883" xr:uid="{5581FC90-2503-4C24-8039-3F2822C21815}"/>
    <cellStyle name="Comma 2 5 2 6 4 2 4" xfId="24299" xr:uid="{3F4779F7-7EC9-487A-9880-0B5DFD27EA48}"/>
    <cellStyle name="Comma 2 5 2 6 4 3" xfId="8694" xr:uid="{00000000-0005-0000-0000-0000ED0E0000}"/>
    <cellStyle name="Comma 2 5 2 6 4 3 2" xfId="20240" xr:uid="{2DF4406C-3A53-46D9-A6ED-337F1B5D447C}"/>
    <cellStyle name="Comma 2 5 2 6 4 3 3" xfId="30656" xr:uid="{8247DC8F-0A84-4289-81E9-083C3EC0D8E4}"/>
    <cellStyle name="Comma 2 5 2 6 4 4" xfId="5538" xr:uid="{00000000-0005-0000-0000-0000EE0E0000}"/>
    <cellStyle name="Comma 2 5 2 6 4 4 2" xfId="17124" xr:uid="{1C2BB569-EDA4-4EA2-9676-8694DC58657D}"/>
    <cellStyle name="Comma 2 5 2 6 4 4 3" xfId="27540" xr:uid="{2227EE8C-3284-47C2-8620-567E32BE4B3D}"/>
    <cellStyle name="Comma 2 5 2 6 4 5" xfId="13882" xr:uid="{A9DB4327-48E9-4002-8FC9-171B318278FF}"/>
    <cellStyle name="Comma 2 5 2 6 4 6" xfId="24298" xr:uid="{194CCA03-A169-4958-BE2A-081A2F197047}"/>
    <cellStyle name="Comma 2 5 2 6 5" xfId="1549" xr:uid="{00000000-0005-0000-0000-0000EF0E0000}"/>
    <cellStyle name="Comma 2 5 2 6 5 2" xfId="8696" xr:uid="{00000000-0005-0000-0000-0000F00E0000}"/>
    <cellStyle name="Comma 2 5 2 6 5 2 2" xfId="20242" xr:uid="{EBDD191B-7102-49DD-A4D2-D04D197103B2}"/>
    <cellStyle name="Comma 2 5 2 6 5 2 3" xfId="30658" xr:uid="{C26724B8-6B4C-485C-A0A6-462A81165932}"/>
    <cellStyle name="Comma 2 5 2 6 5 3" xfId="13884" xr:uid="{6BD15BBC-83D8-4EB5-A393-17DE34854BF3}"/>
    <cellStyle name="Comma 2 5 2 6 5 4" xfId="24300" xr:uid="{42A7D4AA-0AEB-449B-876C-11A86F58FC7A}"/>
    <cellStyle name="Comma 2 5 2 6 6" xfId="8687" xr:uid="{00000000-0005-0000-0000-0000F10E0000}"/>
    <cellStyle name="Comma 2 5 2 6 6 2" xfId="20233" xr:uid="{40F50F9E-517F-45F5-8836-0BB798ACF459}"/>
    <cellStyle name="Comma 2 5 2 6 6 3" xfId="30649" xr:uid="{ADA1A493-3B33-464B-83D3-48C977231F13}"/>
    <cellStyle name="Comma 2 5 2 6 7" xfId="5534" xr:uid="{00000000-0005-0000-0000-0000F20E0000}"/>
    <cellStyle name="Comma 2 5 2 6 7 2" xfId="17120" xr:uid="{332E421D-B428-40BB-8E6E-171C32BB491F}"/>
    <cellStyle name="Comma 2 5 2 6 7 3" xfId="27536" xr:uid="{8D650BF2-6B0C-40B8-BECC-292544E646A2}"/>
    <cellStyle name="Comma 2 5 2 6 8" xfId="13875" xr:uid="{2E84A564-FA8D-4237-AF84-5B075DE05FE8}"/>
    <cellStyle name="Comma 2 5 2 6 9" xfId="24291" xr:uid="{1B55D113-FA8B-44C3-B847-11DDCFBB3A88}"/>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2 2 2" xfId="20245" xr:uid="{ED038426-F1D4-43C1-961B-C5A5F93A6DED}"/>
    <cellStyle name="Comma 2 5 2 7 2 2 2 3" xfId="30661" xr:uid="{EC0A8237-A664-46AE-A684-50AAF5E508DF}"/>
    <cellStyle name="Comma 2 5 2 7 2 2 3" xfId="13887" xr:uid="{624E228A-01AA-424D-AF16-1CFC77A288E5}"/>
    <cellStyle name="Comma 2 5 2 7 2 2 4" xfId="24303" xr:uid="{650D3F26-5A10-4A3D-932A-02F659B966F2}"/>
    <cellStyle name="Comma 2 5 2 7 2 3" xfId="8698" xr:uid="{00000000-0005-0000-0000-0000F70E0000}"/>
    <cellStyle name="Comma 2 5 2 7 2 3 2" xfId="20244" xr:uid="{2F0A1717-5329-451D-84C5-5CE43F6AC729}"/>
    <cellStyle name="Comma 2 5 2 7 2 3 3" xfId="30660" xr:uid="{8EA13493-E667-4131-8A03-FAB0312890E3}"/>
    <cellStyle name="Comma 2 5 2 7 2 4" xfId="5540" xr:uid="{00000000-0005-0000-0000-0000F80E0000}"/>
    <cellStyle name="Comma 2 5 2 7 2 4 2" xfId="17126" xr:uid="{18B04D36-C616-4444-99E0-D513722B2A26}"/>
    <cellStyle name="Comma 2 5 2 7 2 4 3" xfId="27542" xr:uid="{60E0FC89-88B3-482E-8EFA-DCBDDB827716}"/>
    <cellStyle name="Comma 2 5 2 7 2 5" xfId="13886" xr:uid="{1D72422E-45A7-4B30-994B-2C6E1C200795}"/>
    <cellStyle name="Comma 2 5 2 7 2 6" xfId="24302" xr:uid="{35793490-FCAD-484D-8C3D-3CBA66948465}"/>
    <cellStyle name="Comma 2 5 2 7 3" xfId="1553" xr:uid="{00000000-0005-0000-0000-0000F90E0000}"/>
    <cellStyle name="Comma 2 5 2 7 3 2" xfId="1554" xr:uid="{00000000-0005-0000-0000-0000FA0E0000}"/>
    <cellStyle name="Comma 2 5 2 7 3 2 2" xfId="8701" xr:uid="{00000000-0005-0000-0000-0000FB0E0000}"/>
    <cellStyle name="Comma 2 5 2 7 3 2 2 2" xfId="20247" xr:uid="{05C82C8B-F67A-4E5C-A093-A4400EDB1A92}"/>
    <cellStyle name="Comma 2 5 2 7 3 2 2 3" xfId="30663" xr:uid="{A3FBE470-D669-4C83-B501-3EC00ADC1CD6}"/>
    <cellStyle name="Comma 2 5 2 7 3 2 3" xfId="13889" xr:uid="{AE033A74-E73C-4B80-989F-D92C5958BBAD}"/>
    <cellStyle name="Comma 2 5 2 7 3 2 4" xfId="24305" xr:uid="{AEDC87F1-2B3D-465C-9333-8F6060E01633}"/>
    <cellStyle name="Comma 2 5 2 7 3 3" xfId="8700" xr:uid="{00000000-0005-0000-0000-0000FC0E0000}"/>
    <cellStyle name="Comma 2 5 2 7 3 3 2" xfId="20246" xr:uid="{9FB87E09-965B-4B5E-BE18-BF9E4187FF2A}"/>
    <cellStyle name="Comma 2 5 2 7 3 3 3" xfId="30662" xr:uid="{4B122111-210A-4D33-A4FC-C6AB5FD9FB68}"/>
    <cellStyle name="Comma 2 5 2 7 3 4" xfId="5541" xr:uid="{00000000-0005-0000-0000-0000FD0E0000}"/>
    <cellStyle name="Comma 2 5 2 7 3 4 2" xfId="17127" xr:uid="{7786327F-E45E-40CC-AD56-CCD3EF408054}"/>
    <cellStyle name="Comma 2 5 2 7 3 4 3" xfId="27543" xr:uid="{922516BB-6E14-4A67-8942-85BF4CD14AEF}"/>
    <cellStyle name="Comma 2 5 2 7 3 5" xfId="13888" xr:uid="{32ACA28D-3DB5-44A1-BCEA-2698C129231D}"/>
    <cellStyle name="Comma 2 5 2 7 3 6" xfId="24304" xr:uid="{072E0F80-EB89-46BD-96AF-0A7FAAFFC433}"/>
    <cellStyle name="Comma 2 5 2 7 4" xfId="1555" xr:uid="{00000000-0005-0000-0000-0000FE0E0000}"/>
    <cellStyle name="Comma 2 5 2 7 4 2" xfId="8702" xr:uid="{00000000-0005-0000-0000-0000FF0E0000}"/>
    <cellStyle name="Comma 2 5 2 7 4 2 2" xfId="20248" xr:uid="{EFEC1E4F-9080-45ED-9806-E69357A78279}"/>
    <cellStyle name="Comma 2 5 2 7 4 2 3" xfId="30664" xr:uid="{A44F0E8B-F00A-40F6-AFAC-A8F5B10C421C}"/>
    <cellStyle name="Comma 2 5 2 7 4 3" xfId="13890" xr:uid="{0E7251C9-27D3-4D2F-B9C5-3B6A6E726923}"/>
    <cellStyle name="Comma 2 5 2 7 4 4" xfId="24306" xr:uid="{139C6FF3-3644-41FA-9A57-2AA1A2D01D38}"/>
    <cellStyle name="Comma 2 5 2 7 5" xfId="8697" xr:uid="{00000000-0005-0000-0000-0000000F0000}"/>
    <cellStyle name="Comma 2 5 2 7 5 2" xfId="20243" xr:uid="{FD417E35-8860-4897-BB3B-A4199C91B04D}"/>
    <cellStyle name="Comma 2 5 2 7 5 3" xfId="30659" xr:uid="{E3F1414B-2DCB-4AF1-A98C-FA6C7110F4E5}"/>
    <cellStyle name="Comma 2 5 2 7 6" xfId="5539" xr:uid="{00000000-0005-0000-0000-0000010F0000}"/>
    <cellStyle name="Comma 2 5 2 7 6 2" xfId="17125" xr:uid="{95580D60-20D1-4F06-9DC4-8E1A3F67053A}"/>
    <cellStyle name="Comma 2 5 2 7 6 3" xfId="27541" xr:uid="{63CEA11B-8E89-498B-8E68-62061A4EE2AD}"/>
    <cellStyle name="Comma 2 5 2 7 7" xfId="13885" xr:uid="{B91116C0-944F-40E3-9098-A0CCADD14D76}"/>
    <cellStyle name="Comma 2 5 2 7 8" xfId="24301" xr:uid="{A5D88022-DF53-4632-B28B-96A9C876BF39}"/>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2 2 2" xfId="20251" xr:uid="{61F12C0D-D0DB-4F90-B730-063AD4CC4491}"/>
    <cellStyle name="Comma 2 5 2 8 2 2 2 3" xfId="30667" xr:uid="{45A8B388-AE79-485E-9829-6BC848089EEC}"/>
    <cellStyle name="Comma 2 5 2 8 2 2 3" xfId="13893" xr:uid="{91891606-B6DF-4E73-BADF-806BBA760321}"/>
    <cellStyle name="Comma 2 5 2 8 2 2 4" xfId="24309" xr:uid="{6C317BA4-E7DE-444C-8A3E-D415334B274D}"/>
    <cellStyle name="Comma 2 5 2 8 2 3" xfId="8704" xr:uid="{00000000-0005-0000-0000-0000060F0000}"/>
    <cellStyle name="Comma 2 5 2 8 2 3 2" xfId="20250" xr:uid="{5EF12FFB-438B-4E10-A5E9-C13043E100E0}"/>
    <cellStyle name="Comma 2 5 2 8 2 3 3" xfId="30666" xr:uid="{023D897D-B08A-4CC5-90DD-57A238054607}"/>
    <cellStyle name="Comma 2 5 2 8 2 4" xfId="5543" xr:uid="{00000000-0005-0000-0000-0000070F0000}"/>
    <cellStyle name="Comma 2 5 2 8 2 4 2" xfId="17129" xr:uid="{4BCEC762-76A1-42D5-8089-FF662B94978D}"/>
    <cellStyle name="Comma 2 5 2 8 2 4 3" xfId="27545" xr:uid="{CA1393B3-7970-4579-94F6-F95597E85E81}"/>
    <cellStyle name="Comma 2 5 2 8 2 5" xfId="13892" xr:uid="{C6CB554D-4DAE-426E-965A-2F7CF75A7CB3}"/>
    <cellStyle name="Comma 2 5 2 8 2 6" xfId="24308" xr:uid="{A1DE0F14-F74C-4926-A6E7-9845A28DAF65}"/>
    <cellStyle name="Comma 2 5 2 8 3" xfId="1559" xr:uid="{00000000-0005-0000-0000-0000080F0000}"/>
    <cellStyle name="Comma 2 5 2 8 3 2" xfId="8706" xr:uid="{00000000-0005-0000-0000-0000090F0000}"/>
    <cellStyle name="Comma 2 5 2 8 3 2 2" xfId="20252" xr:uid="{A947482A-07DF-435F-AED9-E2A51D90EC47}"/>
    <cellStyle name="Comma 2 5 2 8 3 2 3" xfId="30668" xr:uid="{638F39AC-95D8-4FB0-8E9C-6B86D4C99D31}"/>
    <cellStyle name="Comma 2 5 2 8 3 3" xfId="13894" xr:uid="{03E301DF-89EC-4DC2-AAF6-550906CC5542}"/>
    <cellStyle name="Comma 2 5 2 8 3 4" xfId="24310" xr:uid="{0C037041-3786-402F-95AB-35384CD75D11}"/>
    <cellStyle name="Comma 2 5 2 8 4" xfId="8703" xr:uid="{00000000-0005-0000-0000-00000A0F0000}"/>
    <cellStyle name="Comma 2 5 2 8 4 2" xfId="20249" xr:uid="{CB466793-32F0-4E8D-B1E0-98F4E9BC00D3}"/>
    <cellStyle name="Comma 2 5 2 8 4 3" xfId="30665" xr:uid="{D23E08FC-1905-4256-B040-3438BB260962}"/>
    <cellStyle name="Comma 2 5 2 8 5" xfId="5542" xr:uid="{00000000-0005-0000-0000-00000B0F0000}"/>
    <cellStyle name="Comma 2 5 2 8 5 2" xfId="17128" xr:uid="{69809B1B-6A46-4692-9584-3B7715359831}"/>
    <cellStyle name="Comma 2 5 2 8 5 3" xfId="27544" xr:uid="{5E7FA217-077B-4BEF-A2D2-AD7373195003}"/>
    <cellStyle name="Comma 2 5 2 8 6" xfId="13891" xr:uid="{17F471DA-E3F7-4D54-9567-FED2B0D457BA}"/>
    <cellStyle name="Comma 2 5 2 8 7" xfId="24307" xr:uid="{DE1B767C-45D9-4452-B8AA-CC1EFB77E7CB}"/>
    <cellStyle name="Comma 2 5 2 9" xfId="1560" xr:uid="{00000000-0005-0000-0000-00000C0F0000}"/>
    <cellStyle name="Comma 2 5 2 9 2" xfId="1561" xr:uid="{00000000-0005-0000-0000-00000D0F0000}"/>
    <cellStyle name="Comma 2 5 2 9 2 2" xfId="8708" xr:uid="{00000000-0005-0000-0000-00000E0F0000}"/>
    <cellStyle name="Comma 2 5 2 9 2 2 2" xfId="20254" xr:uid="{9EB31C4E-7D4C-416F-8AE0-99C04BDA446B}"/>
    <cellStyle name="Comma 2 5 2 9 2 2 3" xfId="30670" xr:uid="{22FF1936-8708-48C8-B47F-AB24E357E853}"/>
    <cellStyle name="Comma 2 5 2 9 2 3" xfId="13896" xr:uid="{DA3509F5-A992-44B4-B624-1B840DC713E0}"/>
    <cellStyle name="Comma 2 5 2 9 2 4" xfId="24312" xr:uid="{3D0E108E-7CF7-4C65-AF8A-95514280F284}"/>
    <cellStyle name="Comma 2 5 2 9 3" xfId="8707" xr:uid="{00000000-0005-0000-0000-00000F0F0000}"/>
    <cellStyle name="Comma 2 5 2 9 3 2" xfId="20253" xr:uid="{169F0A6E-0235-44EE-BCB1-BB9977D30086}"/>
    <cellStyle name="Comma 2 5 2 9 3 3" xfId="30669" xr:uid="{0B094967-E213-4AD0-A4AA-91C6F8DC3767}"/>
    <cellStyle name="Comma 2 5 2 9 4" xfId="5544" xr:uid="{00000000-0005-0000-0000-0000100F0000}"/>
    <cellStyle name="Comma 2 5 2 9 4 2" xfId="17130" xr:uid="{80214055-4611-45F2-B683-48DCF72F2687}"/>
    <cellStyle name="Comma 2 5 2 9 4 3" xfId="27546" xr:uid="{64C5884C-2302-4E9B-B834-326410F256D9}"/>
    <cellStyle name="Comma 2 5 2 9 5" xfId="13895" xr:uid="{30800EB9-B8F4-4057-B027-1401A72A5E85}"/>
    <cellStyle name="Comma 2 5 2 9 6" xfId="24311" xr:uid="{69BA1A31-9B70-4863-A7F6-F5B55D4EF263}"/>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2 2 2" xfId="20257" xr:uid="{D130B9F4-5AA1-4239-9A1F-E3BFE33F58B9}"/>
    <cellStyle name="Comma 2 5 3 10 2 2 3" xfId="30673" xr:uid="{B64DBAD6-B733-40F9-BC13-F1971540DFC3}"/>
    <cellStyle name="Comma 2 5 3 10 2 3" xfId="13899" xr:uid="{B7DE79F5-CC2D-4C5A-9008-2A12D8855FDE}"/>
    <cellStyle name="Comma 2 5 3 10 2 4" xfId="24315" xr:uid="{4813C474-34A6-4B0E-8015-204A71FA8556}"/>
    <cellStyle name="Comma 2 5 3 10 3" xfId="8710" xr:uid="{00000000-0005-0000-0000-0000150F0000}"/>
    <cellStyle name="Comma 2 5 3 10 3 2" xfId="20256" xr:uid="{203D2E03-9E9A-47A2-815F-45547455F0BB}"/>
    <cellStyle name="Comma 2 5 3 10 3 3" xfId="30672" xr:uid="{55B9403F-88A3-45BD-AA23-AC288B89E384}"/>
    <cellStyle name="Comma 2 5 3 10 4" xfId="5546" xr:uid="{00000000-0005-0000-0000-0000160F0000}"/>
    <cellStyle name="Comma 2 5 3 10 4 2" xfId="17132" xr:uid="{1B9F0B5E-999C-448D-A6B3-C6AC07E53BF9}"/>
    <cellStyle name="Comma 2 5 3 10 4 3" xfId="27548" xr:uid="{31180B87-A425-4DA3-B8CD-7A8B560B7695}"/>
    <cellStyle name="Comma 2 5 3 10 5" xfId="13898" xr:uid="{029F11FF-90DF-47F8-A4D2-A89AD1CE8FF0}"/>
    <cellStyle name="Comma 2 5 3 10 6" xfId="24314" xr:uid="{700E71F6-5A4B-4C4F-A2BA-7F3A753D428C}"/>
    <cellStyle name="Comma 2 5 3 11" xfId="1565" xr:uid="{00000000-0005-0000-0000-0000170F0000}"/>
    <cellStyle name="Comma 2 5 3 11 2" xfId="8712" xr:uid="{00000000-0005-0000-0000-0000180F0000}"/>
    <cellStyle name="Comma 2 5 3 11 2 2" xfId="20258" xr:uid="{C747CCBC-0075-4505-8C4C-FD05F105D72D}"/>
    <cellStyle name="Comma 2 5 3 11 2 3" xfId="30674" xr:uid="{978F9071-27A2-47CD-92CD-36CF188A5AA9}"/>
    <cellStyle name="Comma 2 5 3 11 3" xfId="13900" xr:uid="{11104866-5430-4961-B3F2-1F7134B6368C}"/>
    <cellStyle name="Comma 2 5 3 11 4" xfId="24316" xr:uid="{1F3EFF7A-B765-4FCC-BE56-6743703B17A6}"/>
    <cellStyle name="Comma 2 5 3 12" xfId="8709" xr:uid="{00000000-0005-0000-0000-0000190F0000}"/>
    <cellStyle name="Comma 2 5 3 12 2" xfId="20255" xr:uid="{80A8EB11-68F0-47BC-93D9-0D7282E4719F}"/>
    <cellStyle name="Comma 2 5 3 12 3" xfId="30671" xr:uid="{5969F75E-7DD2-4B31-A4AA-D2F93503703D}"/>
    <cellStyle name="Comma 2 5 3 13" xfId="5545" xr:uid="{00000000-0005-0000-0000-00001A0F0000}"/>
    <cellStyle name="Comma 2 5 3 13 2" xfId="17131" xr:uid="{D8CDF8C3-67A9-4984-89BE-8177B419EE87}"/>
    <cellStyle name="Comma 2 5 3 13 3" xfId="27547" xr:uid="{B5B55B8E-A1EE-4E0C-BCFA-99E0CD086F1B}"/>
    <cellStyle name="Comma 2 5 3 14" xfId="13897" xr:uid="{609DA751-219E-4AAD-A506-9A63ADD27769}"/>
    <cellStyle name="Comma 2 5 3 15" xfId="24313" xr:uid="{3043413F-A2E4-49AC-B70D-2AA0509C9F25}"/>
    <cellStyle name="Comma 2 5 3 2" xfId="1566" xr:uid="{00000000-0005-0000-0000-00001B0F0000}"/>
    <cellStyle name="Comma 2 5 3 2 10" xfId="1567" xr:uid="{00000000-0005-0000-0000-00001C0F0000}"/>
    <cellStyle name="Comma 2 5 3 2 10 2" xfId="8714" xr:uid="{00000000-0005-0000-0000-00001D0F0000}"/>
    <cellStyle name="Comma 2 5 3 2 10 2 2" xfId="20260" xr:uid="{12E271D9-DC50-482B-A6FC-85B1332B0F7A}"/>
    <cellStyle name="Comma 2 5 3 2 10 2 3" xfId="30676" xr:uid="{6D357607-4760-4B89-8EE1-F3E967A722F3}"/>
    <cellStyle name="Comma 2 5 3 2 10 3" xfId="13902" xr:uid="{F5B9C417-E464-43A9-871D-0C2C34C24C79}"/>
    <cellStyle name="Comma 2 5 3 2 10 4" xfId="24318" xr:uid="{817696B5-2650-4D3E-9346-E1047ECABE83}"/>
    <cellStyle name="Comma 2 5 3 2 11" xfId="8713" xr:uid="{00000000-0005-0000-0000-00001E0F0000}"/>
    <cellStyle name="Comma 2 5 3 2 11 2" xfId="20259" xr:uid="{27FC88B6-9DBA-4686-828D-CCCFD0771CE9}"/>
    <cellStyle name="Comma 2 5 3 2 11 3" xfId="30675" xr:uid="{CE7B7677-CBED-41EE-B713-6D1A558864FC}"/>
    <cellStyle name="Comma 2 5 3 2 12" xfId="5547" xr:uid="{00000000-0005-0000-0000-00001F0F0000}"/>
    <cellStyle name="Comma 2 5 3 2 12 2" xfId="17133" xr:uid="{7870B159-C770-45C3-8D95-7E65BA14FB12}"/>
    <cellStyle name="Comma 2 5 3 2 12 3" xfId="27549" xr:uid="{BCBBD0F9-1F0D-452B-BAC7-1D8818C6CF5B}"/>
    <cellStyle name="Comma 2 5 3 2 13" xfId="13901" xr:uid="{38EA1F4A-3269-47ED-A57A-421978ABE33C}"/>
    <cellStyle name="Comma 2 5 3 2 14" xfId="24317" xr:uid="{6BAF0486-09A8-4E4F-8E63-0E5775F0C434}"/>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2 2 2" xfId="20264" xr:uid="{1F822918-7C8E-4ABE-A860-9F0CA5C441AB}"/>
    <cellStyle name="Comma 2 5 3 2 2 2 2 2 2 3" xfId="30680" xr:uid="{CBBF177D-EF7F-4762-B028-EE78CA4D8F4C}"/>
    <cellStyle name="Comma 2 5 3 2 2 2 2 2 3" xfId="13906" xr:uid="{81703D32-55D5-4990-BF2A-B51CDE5351E3}"/>
    <cellStyle name="Comma 2 5 3 2 2 2 2 2 4" xfId="24322" xr:uid="{9929F6A7-9BF7-4EEE-9B03-A9D015599BE1}"/>
    <cellStyle name="Comma 2 5 3 2 2 2 2 3" xfId="8717" xr:uid="{00000000-0005-0000-0000-0000250F0000}"/>
    <cellStyle name="Comma 2 5 3 2 2 2 2 3 2" xfId="20263" xr:uid="{40A69ADD-3B2A-4840-9180-73E370C41FCD}"/>
    <cellStyle name="Comma 2 5 3 2 2 2 2 3 3" xfId="30679" xr:uid="{3C8FF666-53A0-4304-86D8-42A5DF9EB4BE}"/>
    <cellStyle name="Comma 2 5 3 2 2 2 2 4" xfId="5550" xr:uid="{00000000-0005-0000-0000-0000260F0000}"/>
    <cellStyle name="Comma 2 5 3 2 2 2 2 4 2" xfId="17136" xr:uid="{54D3466C-44D6-4497-969D-030CB04A3FBA}"/>
    <cellStyle name="Comma 2 5 3 2 2 2 2 4 3" xfId="27552" xr:uid="{1CDEB1F6-62AF-45E6-8475-662A22A43407}"/>
    <cellStyle name="Comma 2 5 3 2 2 2 2 5" xfId="13905" xr:uid="{4BFB3802-E30F-4720-B868-B43844735E80}"/>
    <cellStyle name="Comma 2 5 3 2 2 2 2 6" xfId="24321" xr:uid="{D39671A8-A970-4781-A405-B3E10DCB05C0}"/>
    <cellStyle name="Comma 2 5 3 2 2 2 3" xfId="1572" xr:uid="{00000000-0005-0000-0000-0000270F0000}"/>
    <cellStyle name="Comma 2 5 3 2 2 2 3 2" xfId="8719" xr:uid="{00000000-0005-0000-0000-0000280F0000}"/>
    <cellStyle name="Comma 2 5 3 2 2 2 3 2 2" xfId="20265" xr:uid="{59FF8141-C367-4ADC-9307-D514EF5320F2}"/>
    <cellStyle name="Comma 2 5 3 2 2 2 3 2 3" xfId="30681" xr:uid="{A978512D-4048-4B68-B355-540940CF24E2}"/>
    <cellStyle name="Comma 2 5 3 2 2 2 3 3" xfId="13907" xr:uid="{0732A438-7755-4D44-8CB9-30B286EC861D}"/>
    <cellStyle name="Comma 2 5 3 2 2 2 3 4" xfId="24323" xr:uid="{E64C2E32-648E-4A70-97F6-004B46CAC40F}"/>
    <cellStyle name="Comma 2 5 3 2 2 2 4" xfId="8716" xr:uid="{00000000-0005-0000-0000-0000290F0000}"/>
    <cellStyle name="Comma 2 5 3 2 2 2 4 2" xfId="20262" xr:uid="{76C93783-84EC-4E24-976E-B3E75A7B6474}"/>
    <cellStyle name="Comma 2 5 3 2 2 2 4 3" xfId="30678" xr:uid="{6741EA4F-2ED6-4906-9827-829C0207C5E6}"/>
    <cellStyle name="Comma 2 5 3 2 2 2 5" xfId="5549" xr:uid="{00000000-0005-0000-0000-00002A0F0000}"/>
    <cellStyle name="Comma 2 5 3 2 2 2 5 2" xfId="17135" xr:uid="{C8A2381E-5FF3-4936-A016-EF2C71822A51}"/>
    <cellStyle name="Comma 2 5 3 2 2 2 5 3" xfId="27551" xr:uid="{FFFA75CF-76AC-461D-8547-C0CED8AFCEB5}"/>
    <cellStyle name="Comma 2 5 3 2 2 2 6" xfId="13904" xr:uid="{D86E8A36-877C-4731-8B4F-4C6EC071941E}"/>
    <cellStyle name="Comma 2 5 3 2 2 2 7" xfId="24320" xr:uid="{B541E26C-1AF5-4F59-AF86-81B900386908}"/>
    <cellStyle name="Comma 2 5 3 2 2 3" xfId="1573" xr:uid="{00000000-0005-0000-0000-00002B0F0000}"/>
    <cellStyle name="Comma 2 5 3 2 2 3 2" xfId="1574" xr:uid="{00000000-0005-0000-0000-00002C0F0000}"/>
    <cellStyle name="Comma 2 5 3 2 2 3 2 2" xfId="8721" xr:uid="{00000000-0005-0000-0000-00002D0F0000}"/>
    <cellStyle name="Comma 2 5 3 2 2 3 2 2 2" xfId="20267" xr:uid="{ECCC02B8-BAF4-4C41-A07A-305DA2C6EA90}"/>
    <cellStyle name="Comma 2 5 3 2 2 3 2 2 3" xfId="30683" xr:uid="{7817BB6C-DD31-45F2-9352-046F2DAC9CAE}"/>
    <cellStyle name="Comma 2 5 3 2 2 3 2 3" xfId="13909" xr:uid="{D6BD2B22-9A43-421D-A6CE-2F66DA0A05C9}"/>
    <cellStyle name="Comma 2 5 3 2 2 3 2 4" xfId="24325" xr:uid="{B056C023-37A0-4A3C-B00C-73408A550F85}"/>
    <cellStyle name="Comma 2 5 3 2 2 3 3" xfId="8720" xr:uid="{00000000-0005-0000-0000-00002E0F0000}"/>
    <cellStyle name="Comma 2 5 3 2 2 3 3 2" xfId="20266" xr:uid="{D85BF494-59AB-436B-9AC1-FAFC07DFF962}"/>
    <cellStyle name="Comma 2 5 3 2 2 3 3 3" xfId="30682" xr:uid="{C8404B0F-C6A2-4FD3-AA82-D09251491488}"/>
    <cellStyle name="Comma 2 5 3 2 2 3 4" xfId="5551" xr:uid="{00000000-0005-0000-0000-00002F0F0000}"/>
    <cellStyle name="Comma 2 5 3 2 2 3 4 2" xfId="17137" xr:uid="{290B4C6C-17E3-4DFA-ABFB-E2CD091B7A26}"/>
    <cellStyle name="Comma 2 5 3 2 2 3 4 3" xfId="27553" xr:uid="{D2B9E7E4-5128-4777-8585-1812BCD1D857}"/>
    <cellStyle name="Comma 2 5 3 2 2 3 5" xfId="13908" xr:uid="{FDAC7B64-4E1C-4BFA-9B4E-CCB746CBFB5C}"/>
    <cellStyle name="Comma 2 5 3 2 2 3 6" xfId="24324" xr:uid="{11552D97-8887-470F-A5F6-25F9A346398B}"/>
    <cellStyle name="Comma 2 5 3 2 2 4" xfId="1575" xr:uid="{00000000-0005-0000-0000-0000300F0000}"/>
    <cellStyle name="Comma 2 5 3 2 2 4 2" xfId="1576" xr:uid="{00000000-0005-0000-0000-0000310F0000}"/>
    <cellStyle name="Comma 2 5 3 2 2 4 2 2" xfId="8723" xr:uid="{00000000-0005-0000-0000-0000320F0000}"/>
    <cellStyle name="Comma 2 5 3 2 2 4 2 2 2" xfId="20269" xr:uid="{AFF4C9B8-B997-4B60-9B77-FD82CD862906}"/>
    <cellStyle name="Comma 2 5 3 2 2 4 2 2 3" xfId="30685" xr:uid="{F426D56D-905B-4AFF-9975-325F0E9FCE1B}"/>
    <cellStyle name="Comma 2 5 3 2 2 4 2 3" xfId="13911" xr:uid="{659C04FB-9304-497E-A8E2-A25609FB2EF2}"/>
    <cellStyle name="Comma 2 5 3 2 2 4 2 4" xfId="24327" xr:uid="{3D48E55D-170B-45AF-8B38-2C90650271ED}"/>
    <cellStyle name="Comma 2 5 3 2 2 4 3" xfId="8722" xr:uid="{00000000-0005-0000-0000-0000330F0000}"/>
    <cellStyle name="Comma 2 5 3 2 2 4 3 2" xfId="20268" xr:uid="{DCFF5D1B-E46C-4CD7-A218-E0D19BCFFA48}"/>
    <cellStyle name="Comma 2 5 3 2 2 4 3 3" xfId="30684" xr:uid="{15BF98C9-9A7B-463A-88F3-25DB7A11A7EA}"/>
    <cellStyle name="Comma 2 5 3 2 2 4 4" xfId="5552" xr:uid="{00000000-0005-0000-0000-0000340F0000}"/>
    <cellStyle name="Comma 2 5 3 2 2 4 4 2" xfId="17138" xr:uid="{E33446F8-7F9C-4DE4-8418-C000822BC790}"/>
    <cellStyle name="Comma 2 5 3 2 2 4 4 3" xfId="27554" xr:uid="{C9574DE3-F3DF-4FB2-A1FD-066E1B874090}"/>
    <cellStyle name="Comma 2 5 3 2 2 4 5" xfId="13910" xr:uid="{AF768D0F-9991-4984-B16A-DAA7E6D49851}"/>
    <cellStyle name="Comma 2 5 3 2 2 4 6" xfId="24326" xr:uid="{2EEC8E59-E202-4F6E-8D41-1B0CB27828C7}"/>
    <cellStyle name="Comma 2 5 3 2 2 5" xfId="1577" xr:uid="{00000000-0005-0000-0000-0000350F0000}"/>
    <cellStyle name="Comma 2 5 3 2 2 5 2" xfId="8724" xr:uid="{00000000-0005-0000-0000-0000360F0000}"/>
    <cellStyle name="Comma 2 5 3 2 2 5 2 2" xfId="20270" xr:uid="{91335EA4-2307-4F12-A159-EAE082F96129}"/>
    <cellStyle name="Comma 2 5 3 2 2 5 2 3" xfId="30686" xr:uid="{5D3F5323-E390-40FD-BE03-EDFA704A87FD}"/>
    <cellStyle name="Comma 2 5 3 2 2 5 3" xfId="13912" xr:uid="{CD1B8755-714F-4169-A51B-930F757EEC2F}"/>
    <cellStyle name="Comma 2 5 3 2 2 5 4" xfId="24328" xr:uid="{8A9C5F66-7343-4843-8482-2576EA9C7E28}"/>
    <cellStyle name="Comma 2 5 3 2 2 6" xfId="8715" xr:uid="{00000000-0005-0000-0000-0000370F0000}"/>
    <cellStyle name="Comma 2 5 3 2 2 6 2" xfId="20261" xr:uid="{4CE774A0-7584-4D07-BC43-5226D22CE003}"/>
    <cellStyle name="Comma 2 5 3 2 2 6 3" xfId="30677" xr:uid="{90BC39A4-6AD7-4368-9249-A300175E55B8}"/>
    <cellStyle name="Comma 2 5 3 2 2 7" xfId="5548" xr:uid="{00000000-0005-0000-0000-0000380F0000}"/>
    <cellStyle name="Comma 2 5 3 2 2 7 2" xfId="17134" xr:uid="{C2C9080F-9367-43D2-897B-BBB36C0C09D1}"/>
    <cellStyle name="Comma 2 5 3 2 2 7 3" xfId="27550" xr:uid="{105CF440-56BA-4DAC-AD13-09F9C963EB35}"/>
    <cellStyle name="Comma 2 5 3 2 2 8" xfId="13903" xr:uid="{E1E57061-1B5A-4DD8-8945-8C6EE97E0F5E}"/>
    <cellStyle name="Comma 2 5 3 2 2 9" xfId="24319" xr:uid="{0EC28277-93E9-485D-87F6-2B1699F63B25}"/>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2 2 2" xfId="20274" xr:uid="{C6CC5EF5-D61E-4A62-9231-0140CA73008D}"/>
    <cellStyle name="Comma 2 5 3 2 3 2 2 2 2 3" xfId="30690" xr:uid="{13ECDC85-DFC4-4DA4-B008-72B496CA7590}"/>
    <cellStyle name="Comma 2 5 3 2 3 2 2 2 3" xfId="13916" xr:uid="{402428D9-C83D-4B00-950F-43F4594BF7D1}"/>
    <cellStyle name="Comma 2 5 3 2 3 2 2 2 4" xfId="24332" xr:uid="{EBAC1969-5791-40F0-9D36-5CE92DC25A45}"/>
    <cellStyle name="Comma 2 5 3 2 3 2 2 3" xfId="8727" xr:uid="{00000000-0005-0000-0000-00003E0F0000}"/>
    <cellStyle name="Comma 2 5 3 2 3 2 2 3 2" xfId="20273" xr:uid="{23D2887A-0B7D-4C40-88F7-04C8C74BCD69}"/>
    <cellStyle name="Comma 2 5 3 2 3 2 2 3 3" xfId="30689" xr:uid="{5FDBD0E2-285B-4018-AA5D-663F78ABADF7}"/>
    <cellStyle name="Comma 2 5 3 2 3 2 2 4" xfId="5555" xr:uid="{00000000-0005-0000-0000-00003F0F0000}"/>
    <cellStyle name="Comma 2 5 3 2 3 2 2 4 2" xfId="17141" xr:uid="{162E0943-229F-4E67-8873-6F2FEDE7F1F7}"/>
    <cellStyle name="Comma 2 5 3 2 3 2 2 4 3" xfId="27557" xr:uid="{E1BA5FCF-B506-4E26-BEF0-E4C46E6BC422}"/>
    <cellStyle name="Comma 2 5 3 2 3 2 2 5" xfId="13915" xr:uid="{124DB123-4A2D-4C4E-86E6-4D9409F8EC04}"/>
    <cellStyle name="Comma 2 5 3 2 3 2 2 6" xfId="24331" xr:uid="{6F97DACA-37BC-4C6D-B57A-D65C44BF5C3E}"/>
    <cellStyle name="Comma 2 5 3 2 3 2 3" xfId="1582" xr:uid="{00000000-0005-0000-0000-0000400F0000}"/>
    <cellStyle name="Comma 2 5 3 2 3 2 3 2" xfId="8729" xr:uid="{00000000-0005-0000-0000-0000410F0000}"/>
    <cellStyle name="Comma 2 5 3 2 3 2 3 2 2" xfId="20275" xr:uid="{B28217FF-8E0F-43E3-8740-202D513AEED5}"/>
    <cellStyle name="Comma 2 5 3 2 3 2 3 2 3" xfId="30691" xr:uid="{719E64E9-AD8D-4A08-8BF9-11CF2B422D8C}"/>
    <cellStyle name="Comma 2 5 3 2 3 2 3 3" xfId="13917" xr:uid="{9A065028-56DF-400C-8662-2F1D53E8AF16}"/>
    <cellStyle name="Comma 2 5 3 2 3 2 3 4" xfId="24333" xr:uid="{58CA19C1-8773-429D-9974-3441F8D0AF8A}"/>
    <cellStyle name="Comma 2 5 3 2 3 2 4" xfId="8726" xr:uid="{00000000-0005-0000-0000-0000420F0000}"/>
    <cellStyle name="Comma 2 5 3 2 3 2 4 2" xfId="20272" xr:uid="{241B13D3-49FD-4DDD-9C33-D57B938601C2}"/>
    <cellStyle name="Comma 2 5 3 2 3 2 4 3" xfId="30688" xr:uid="{B6DD88B7-E005-4F52-BC53-B4989579AD55}"/>
    <cellStyle name="Comma 2 5 3 2 3 2 5" xfId="5554" xr:uid="{00000000-0005-0000-0000-0000430F0000}"/>
    <cellStyle name="Comma 2 5 3 2 3 2 5 2" xfId="17140" xr:uid="{B8B552A4-28AA-4ED8-8E74-216ED2B41585}"/>
    <cellStyle name="Comma 2 5 3 2 3 2 5 3" xfId="27556" xr:uid="{E35040CA-4F7A-4F58-9793-6A219B77C5FF}"/>
    <cellStyle name="Comma 2 5 3 2 3 2 6" xfId="13914" xr:uid="{BEC733A4-E503-4DF4-8B29-5F309A60CF7B}"/>
    <cellStyle name="Comma 2 5 3 2 3 2 7" xfId="24330" xr:uid="{756A8C9E-6609-42DB-B237-8771F0736718}"/>
    <cellStyle name="Comma 2 5 3 2 3 3" xfId="1583" xr:uid="{00000000-0005-0000-0000-0000440F0000}"/>
    <cellStyle name="Comma 2 5 3 2 3 3 2" xfId="1584" xr:uid="{00000000-0005-0000-0000-0000450F0000}"/>
    <cellStyle name="Comma 2 5 3 2 3 3 2 2" xfId="8731" xr:uid="{00000000-0005-0000-0000-0000460F0000}"/>
    <cellStyle name="Comma 2 5 3 2 3 3 2 2 2" xfId="20277" xr:uid="{9023E3E4-4918-408A-BAFC-93CA404E362E}"/>
    <cellStyle name="Comma 2 5 3 2 3 3 2 2 3" xfId="30693" xr:uid="{8641DF99-264E-4FF3-9198-22F13147CEEC}"/>
    <cellStyle name="Comma 2 5 3 2 3 3 2 3" xfId="13919" xr:uid="{46F552FE-7782-4856-B1FF-FFFFFF8927A5}"/>
    <cellStyle name="Comma 2 5 3 2 3 3 2 4" xfId="24335" xr:uid="{A67DCE55-B968-4D34-88A5-FF3D9DD28CFD}"/>
    <cellStyle name="Comma 2 5 3 2 3 3 3" xfId="8730" xr:uid="{00000000-0005-0000-0000-0000470F0000}"/>
    <cellStyle name="Comma 2 5 3 2 3 3 3 2" xfId="20276" xr:uid="{3B3DE486-EC7F-4695-A87D-C6E6DF314B80}"/>
    <cellStyle name="Comma 2 5 3 2 3 3 3 3" xfId="30692" xr:uid="{8E3B3408-7755-4056-AEFF-80EC8BA8BDF0}"/>
    <cellStyle name="Comma 2 5 3 2 3 3 4" xfId="5556" xr:uid="{00000000-0005-0000-0000-0000480F0000}"/>
    <cellStyle name="Comma 2 5 3 2 3 3 4 2" xfId="17142" xr:uid="{0C5C874C-DBCE-4729-A433-7ECB1FB2F0B1}"/>
    <cellStyle name="Comma 2 5 3 2 3 3 4 3" xfId="27558" xr:uid="{E47576CF-42A8-4834-A792-93BB69E70708}"/>
    <cellStyle name="Comma 2 5 3 2 3 3 5" xfId="13918" xr:uid="{E9256847-04FC-4A05-8B03-DE5ABB272A62}"/>
    <cellStyle name="Comma 2 5 3 2 3 3 6" xfId="24334" xr:uid="{91E20D99-DF19-40C3-B9DE-4AFB94D49AFD}"/>
    <cellStyle name="Comma 2 5 3 2 3 4" xfId="1585" xr:uid="{00000000-0005-0000-0000-0000490F0000}"/>
    <cellStyle name="Comma 2 5 3 2 3 4 2" xfId="1586" xr:uid="{00000000-0005-0000-0000-00004A0F0000}"/>
    <cellStyle name="Comma 2 5 3 2 3 4 2 2" xfId="8733" xr:uid="{00000000-0005-0000-0000-00004B0F0000}"/>
    <cellStyle name="Comma 2 5 3 2 3 4 2 2 2" xfId="20279" xr:uid="{019A284B-A8FA-490A-8D5A-32AE27472CFD}"/>
    <cellStyle name="Comma 2 5 3 2 3 4 2 2 3" xfId="30695" xr:uid="{038C62D7-75D9-48CC-9D06-F050D781F7AB}"/>
    <cellStyle name="Comma 2 5 3 2 3 4 2 3" xfId="13921" xr:uid="{31EA2C95-08B6-438D-9BE0-C448CFD00D84}"/>
    <cellStyle name="Comma 2 5 3 2 3 4 2 4" xfId="24337" xr:uid="{16AE4954-CB89-4312-B6CC-98916E6D3E49}"/>
    <cellStyle name="Comma 2 5 3 2 3 4 3" xfId="8732" xr:uid="{00000000-0005-0000-0000-00004C0F0000}"/>
    <cellStyle name="Comma 2 5 3 2 3 4 3 2" xfId="20278" xr:uid="{10D0E145-D7D2-4D48-9315-8496E681735A}"/>
    <cellStyle name="Comma 2 5 3 2 3 4 3 3" xfId="30694" xr:uid="{0E9E0707-0537-4080-AC26-ABD32C9B21C9}"/>
    <cellStyle name="Comma 2 5 3 2 3 4 4" xfId="5557" xr:uid="{00000000-0005-0000-0000-00004D0F0000}"/>
    <cellStyle name="Comma 2 5 3 2 3 4 4 2" xfId="17143" xr:uid="{5E51318E-B59E-4640-94CE-7972A2F78162}"/>
    <cellStyle name="Comma 2 5 3 2 3 4 4 3" xfId="27559" xr:uid="{F0E57670-F139-4C39-954A-378CC41D60EA}"/>
    <cellStyle name="Comma 2 5 3 2 3 4 5" xfId="13920" xr:uid="{8AF9BA77-D0EE-48D4-9266-119F78FE9033}"/>
    <cellStyle name="Comma 2 5 3 2 3 4 6" xfId="24336" xr:uid="{A4A28A69-541D-4C7F-ADD0-08721BF3858D}"/>
    <cellStyle name="Comma 2 5 3 2 3 5" xfId="1587" xr:uid="{00000000-0005-0000-0000-00004E0F0000}"/>
    <cellStyle name="Comma 2 5 3 2 3 5 2" xfId="8734" xr:uid="{00000000-0005-0000-0000-00004F0F0000}"/>
    <cellStyle name="Comma 2 5 3 2 3 5 2 2" xfId="20280" xr:uid="{9FFBDD69-6F04-4477-9C26-8BD692B74538}"/>
    <cellStyle name="Comma 2 5 3 2 3 5 2 3" xfId="30696" xr:uid="{C0D9137D-8274-4CF4-8FC5-F286D345DE40}"/>
    <cellStyle name="Comma 2 5 3 2 3 5 3" xfId="13922" xr:uid="{7B708649-E5C0-4559-9A57-3ACECDB4F5AD}"/>
    <cellStyle name="Comma 2 5 3 2 3 5 4" xfId="24338" xr:uid="{4A7ABA2E-6D07-418A-85EF-5B454A21A3F3}"/>
    <cellStyle name="Comma 2 5 3 2 3 6" xfId="8725" xr:uid="{00000000-0005-0000-0000-0000500F0000}"/>
    <cellStyle name="Comma 2 5 3 2 3 6 2" xfId="20271" xr:uid="{2C75CAC2-8181-4386-B718-DF8C3991FE34}"/>
    <cellStyle name="Comma 2 5 3 2 3 6 3" xfId="30687" xr:uid="{1675FFE9-00C9-41F3-AE43-BBC5F59F00CF}"/>
    <cellStyle name="Comma 2 5 3 2 3 7" xfId="5553" xr:uid="{00000000-0005-0000-0000-0000510F0000}"/>
    <cellStyle name="Comma 2 5 3 2 3 7 2" xfId="17139" xr:uid="{BAD059F3-FD49-44F2-AE0C-73F4FB364A9B}"/>
    <cellStyle name="Comma 2 5 3 2 3 7 3" xfId="27555" xr:uid="{0A4E30DA-8F3F-4548-AB37-8CDC0EBF26DF}"/>
    <cellStyle name="Comma 2 5 3 2 3 8" xfId="13913" xr:uid="{37E97115-276B-4EC5-BDC1-863241A2950A}"/>
    <cellStyle name="Comma 2 5 3 2 3 9" xfId="24329" xr:uid="{20E032A0-146F-48D2-9CB3-612D978E303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2 2 2" xfId="20284" xr:uid="{BB943EAB-157E-4008-A2FE-6EB8FD79F658}"/>
    <cellStyle name="Comma 2 5 3 2 4 2 2 2 2 3" xfId="30700" xr:uid="{B1FD08A5-F6C1-49AD-A95B-02CE08719F00}"/>
    <cellStyle name="Comma 2 5 3 2 4 2 2 2 3" xfId="13926" xr:uid="{313A210C-D185-47D6-995B-3A62F7E0EA84}"/>
    <cellStyle name="Comma 2 5 3 2 4 2 2 2 4" xfId="24342" xr:uid="{0F4E64F0-5E43-4AC8-8CAD-E4C8C08BBC99}"/>
    <cellStyle name="Comma 2 5 3 2 4 2 2 3" xfId="8737" xr:uid="{00000000-0005-0000-0000-0000570F0000}"/>
    <cellStyle name="Comma 2 5 3 2 4 2 2 3 2" xfId="20283" xr:uid="{229C9F64-9BE0-4221-ABE3-557D5BDF9306}"/>
    <cellStyle name="Comma 2 5 3 2 4 2 2 3 3" xfId="30699" xr:uid="{3C9868C6-36AD-46BF-8EC2-B0BC13851012}"/>
    <cellStyle name="Comma 2 5 3 2 4 2 2 4" xfId="5560" xr:uid="{00000000-0005-0000-0000-0000580F0000}"/>
    <cellStyle name="Comma 2 5 3 2 4 2 2 4 2" xfId="17146" xr:uid="{250D4710-4B06-4A37-82D7-EC423B2E26CE}"/>
    <cellStyle name="Comma 2 5 3 2 4 2 2 4 3" xfId="27562" xr:uid="{77666214-ED9B-450C-A55D-3814EACEBF96}"/>
    <cellStyle name="Comma 2 5 3 2 4 2 2 5" xfId="13925" xr:uid="{2A9F5CD8-9D28-4B55-A980-A44FF256C718}"/>
    <cellStyle name="Comma 2 5 3 2 4 2 2 6" xfId="24341" xr:uid="{0DFB3965-255D-4383-A0FB-829AA1D65BD9}"/>
    <cellStyle name="Comma 2 5 3 2 4 2 3" xfId="1592" xr:uid="{00000000-0005-0000-0000-0000590F0000}"/>
    <cellStyle name="Comma 2 5 3 2 4 2 3 2" xfId="8739" xr:uid="{00000000-0005-0000-0000-00005A0F0000}"/>
    <cellStyle name="Comma 2 5 3 2 4 2 3 2 2" xfId="20285" xr:uid="{D9408A10-61D4-47B6-B4FA-B88F83CDEF75}"/>
    <cellStyle name="Comma 2 5 3 2 4 2 3 2 3" xfId="30701" xr:uid="{88E53C5C-BEB4-415B-8B5F-7D84CF661CF7}"/>
    <cellStyle name="Comma 2 5 3 2 4 2 3 3" xfId="13927" xr:uid="{9FB448AC-3B99-4927-9528-DE2FDABE3B1E}"/>
    <cellStyle name="Comma 2 5 3 2 4 2 3 4" xfId="24343" xr:uid="{5F794A5B-BBDB-4FF3-BB46-C78BC9246FBA}"/>
    <cellStyle name="Comma 2 5 3 2 4 2 4" xfId="8736" xr:uid="{00000000-0005-0000-0000-00005B0F0000}"/>
    <cellStyle name="Comma 2 5 3 2 4 2 4 2" xfId="20282" xr:uid="{C9C773F2-4C7E-4CB3-B4F7-A53329E87A0D}"/>
    <cellStyle name="Comma 2 5 3 2 4 2 4 3" xfId="30698" xr:uid="{2611C058-0213-47E1-8277-0819BBACA5F7}"/>
    <cellStyle name="Comma 2 5 3 2 4 2 5" xfId="5559" xr:uid="{00000000-0005-0000-0000-00005C0F0000}"/>
    <cellStyle name="Comma 2 5 3 2 4 2 5 2" xfId="17145" xr:uid="{F25A37FE-E76B-4AE5-AB3A-37C482975D8F}"/>
    <cellStyle name="Comma 2 5 3 2 4 2 5 3" xfId="27561" xr:uid="{E1AE1FB0-2E0C-4467-8D5B-C5DB65D424B9}"/>
    <cellStyle name="Comma 2 5 3 2 4 2 6" xfId="13924" xr:uid="{1E2EF09D-A405-4DDD-B9DB-9FF9A3C69B87}"/>
    <cellStyle name="Comma 2 5 3 2 4 2 7" xfId="24340" xr:uid="{80AC2E4A-42CB-4C39-9B4C-49C622FE199E}"/>
    <cellStyle name="Comma 2 5 3 2 4 3" xfId="1593" xr:uid="{00000000-0005-0000-0000-00005D0F0000}"/>
    <cellStyle name="Comma 2 5 3 2 4 3 2" xfId="1594" xr:uid="{00000000-0005-0000-0000-00005E0F0000}"/>
    <cellStyle name="Comma 2 5 3 2 4 3 2 2" xfId="8741" xr:uid="{00000000-0005-0000-0000-00005F0F0000}"/>
    <cellStyle name="Comma 2 5 3 2 4 3 2 2 2" xfId="20287" xr:uid="{A61AFB97-5626-4600-BCF8-0076F3EAF41A}"/>
    <cellStyle name="Comma 2 5 3 2 4 3 2 2 3" xfId="30703" xr:uid="{E110F0C3-0DDC-4D26-8A1C-1FF565802E8E}"/>
    <cellStyle name="Comma 2 5 3 2 4 3 2 3" xfId="13929" xr:uid="{1602619A-240E-4CE1-B3A0-2D16830A6B6B}"/>
    <cellStyle name="Comma 2 5 3 2 4 3 2 4" xfId="24345" xr:uid="{26E09522-7253-4D6E-AAFF-AA7EA0E3D735}"/>
    <cellStyle name="Comma 2 5 3 2 4 3 3" xfId="8740" xr:uid="{00000000-0005-0000-0000-0000600F0000}"/>
    <cellStyle name="Comma 2 5 3 2 4 3 3 2" xfId="20286" xr:uid="{AA0B8ABC-6219-4729-9803-A8501D11CF3E}"/>
    <cellStyle name="Comma 2 5 3 2 4 3 3 3" xfId="30702" xr:uid="{979A663D-47DB-4971-BDE6-4FF0AFED8D66}"/>
    <cellStyle name="Comma 2 5 3 2 4 3 4" xfId="5561" xr:uid="{00000000-0005-0000-0000-0000610F0000}"/>
    <cellStyle name="Comma 2 5 3 2 4 3 4 2" xfId="17147" xr:uid="{AB3C95A7-8AE7-4FED-A078-6C9BB9A8085B}"/>
    <cellStyle name="Comma 2 5 3 2 4 3 4 3" xfId="27563" xr:uid="{720823AC-8634-4084-8CFB-15CE13BD23EA}"/>
    <cellStyle name="Comma 2 5 3 2 4 3 5" xfId="13928" xr:uid="{D467DDE0-7926-4D61-A57B-64CCEEC6EE56}"/>
    <cellStyle name="Comma 2 5 3 2 4 3 6" xfId="24344" xr:uid="{B9479C99-E8AC-40C3-B714-628A4E649E9B}"/>
    <cellStyle name="Comma 2 5 3 2 4 4" xfId="1595" xr:uid="{00000000-0005-0000-0000-0000620F0000}"/>
    <cellStyle name="Comma 2 5 3 2 4 4 2" xfId="1596" xr:uid="{00000000-0005-0000-0000-0000630F0000}"/>
    <cellStyle name="Comma 2 5 3 2 4 4 2 2" xfId="8743" xr:uid="{00000000-0005-0000-0000-0000640F0000}"/>
    <cellStyle name="Comma 2 5 3 2 4 4 2 2 2" xfId="20289" xr:uid="{17518270-D5DD-49FF-B180-CC07EB45FB6C}"/>
    <cellStyle name="Comma 2 5 3 2 4 4 2 2 3" xfId="30705" xr:uid="{59DDD72E-2092-4367-857C-32E9E29EE54D}"/>
    <cellStyle name="Comma 2 5 3 2 4 4 2 3" xfId="13931" xr:uid="{C6BA549D-A2FA-488C-A9C4-E2AA2E2EA460}"/>
    <cellStyle name="Comma 2 5 3 2 4 4 2 4" xfId="24347" xr:uid="{85126A11-358C-4A21-BB94-BC9AC8384C16}"/>
    <cellStyle name="Comma 2 5 3 2 4 4 3" xfId="8742" xr:uid="{00000000-0005-0000-0000-0000650F0000}"/>
    <cellStyle name="Comma 2 5 3 2 4 4 3 2" xfId="20288" xr:uid="{413AAA3B-A73A-4975-A579-6DA3B040F20C}"/>
    <cellStyle name="Comma 2 5 3 2 4 4 3 3" xfId="30704" xr:uid="{D8D5E0FC-BC44-40B0-B7D2-F7099632E0CB}"/>
    <cellStyle name="Comma 2 5 3 2 4 4 4" xfId="5562" xr:uid="{00000000-0005-0000-0000-0000660F0000}"/>
    <cellStyle name="Comma 2 5 3 2 4 4 4 2" xfId="17148" xr:uid="{73FACB24-DF0B-473B-88B5-5B88E7FFEAA1}"/>
    <cellStyle name="Comma 2 5 3 2 4 4 4 3" xfId="27564" xr:uid="{D14F8F34-4112-434D-BD19-D68D88E2567F}"/>
    <cellStyle name="Comma 2 5 3 2 4 4 5" xfId="13930" xr:uid="{64633E9B-A849-405B-85A0-3A90ED90CB36}"/>
    <cellStyle name="Comma 2 5 3 2 4 4 6" xfId="24346" xr:uid="{A7BEB63F-35D2-4BD3-8012-E550F5ADC7BD}"/>
    <cellStyle name="Comma 2 5 3 2 4 5" xfId="1597" xr:uid="{00000000-0005-0000-0000-0000670F0000}"/>
    <cellStyle name="Comma 2 5 3 2 4 5 2" xfId="8744" xr:uid="{00000000-0005-0000-0000-0000680F0000}"/>
    <cellStyle name="Comma 2 5 3 2 4 5 2 2" xfId="20290" xr:uid="{AB423D33-4052-4E9F-ABEC-CFBF367FCE22}"/>
    <cellStyle name="Comma 2 5 3 2 4 5 2 3" xfId="30706" xr:uid="{327937F4-3A28-4476-9CB5-E0650890E396}"/>
    <cellStyle name="Comma 2 5 3 2 4 5 3" xfId="13932" xr:uid="{11CA9BFA-BA6F-48B5-B1C4-3045E4032957}"/>
    <cellStyle name="Comma 2 5 3 2 4 5 4" xfId="24348" xr:uid="{D512C567-B799-4783-B020-82BCD9EFB25C}"/>
    <cellStyle name="Comma 2 5 3 2 4 6" xfId="8735" xr:uid="{00000000-0005-0000-0000-0000690F0000}"/>
    <cellStyle name="Comma 2 5 3 2 4 6 2" xfId="20281" xr:uid="{311C943C-8657-4D53-A262-8F2D6F551317}"/>
    <cellStyle name="Comma 2 5 3 2 4 6 3" xfId="30697" xr:uid="{644B1F35-0152-46DF-BDAF-04DF2A3668C5}"/>
    <cellStyle name="Comma 2 5 3 2 4 7" xfId="5558" xr:uid="{00000000-0005-0000-0000-00006A0F0000}"/>
    <cellStyle name="Comma 2 5 3 2 4 7 2" xfId="17144" xr:uid="{14F8230F-2B0B-4671-99AF-161E8FB51667}"/>
    <cellStyle name="Comma 2 5 3 2 4 7 3" xfId="27560" xr:uid="{275C7046-87B5-4610-9647-36E1A2D83D30}"/>
    <cellStyle name="Comma 2 5 3 2 4 8" xfId="13923" xr:uid="{18D04C3F-2AE4-4A30-8B43-2047C22C28F0}"/>
    <cellStyle name="Comma 2 5 3 2 4 9" xfId="24339" xr:uid="{9452B619-3CF9-4739-B493-6ADC491AAD44}"/>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2 2 2" xfId="20294" xr:uid="{67A2E2A4-1555-4D81-879D-A0A4F97600A7}"/>
    <cellStyle name="Comma 2 5 3 2 5 2 2 2 2 3" xfId="30710" xr:uid="{B4C951F2-08CD-423D-94F6-D081C8A62165}"/>
    <cellStyle name="Comma 2 5 3 2 5 2 2 2 3" xfId="13936" xr:uid="{1998E446-CD8F-4F1D-B127-80A2F5344210}"/>
    <cellStyle name="Comma 2 5 3 2 5 2 2 2 4" xfId="24352" xr:uid="{C0B14297-9AE4-45E9-9B32-DBB01E0EA889}"/>
    <cellStyle name="Comma 2 5 3 2 5 2 2 3" xfId="8747" xr:uid="{00000000-0005-0000-0000-0000700F0000}"/>
    <cellStyle name="Comma 2 5 3 2 5 2 2 3 2" xfId="20293" xr:uid="{13AE4338-CEFE-4CCB-A489-D2EA27DADB60}"/>
    <cellStyle name="Comma 2 5 3 2 5 2 2 3 3" xfId="30709" xr:uid="{0DEF4F14-CFB2-4C8A-BF37-6E1D2BB3206E}"/>
    <cellStyle name="Comma 2 5 3 2 5 2 2 4" xfId="5565" xr:uid="{00000000-0005-0000-0000-0000710F0000}"/>
    <cellStyle name="Comma 2 5 3 2 5 2 2 4 2" xfId="17151" xr:uid="{2A2A830C-D3F2-4531-BC31-EAA62E044146}"/>
    <cellStyle name="Comma 2 5 3 2 5 2 2 4 3" xfId="27567" xr:uid="{8ABFB604-1BE8-4B0F-A431-65A547B585DF}"/>
    <cellStyle name="Comma 2 5 3 2 5 2 2 5" xfId="13935" xr:uid="{7B2D1C38-D6A3-498F-A579-7CDF8BE6B281}"/>
    <cellStyle name="Comma 2 5 3 2 5 2 2 6" xfId="24351" xr:uid="{873464EA-F849-49A0-B86A-7FCE2FC0B609}"/>
    <cellStyle name="Comma 2 5 3 2 5 2 3" xfId="1602" xr:uid="{00000000-0005-0000-0000-0000720F0000}"/>
    <cellStyle name="Comma 2 5 3 2 5 2 3 2" xfId="8749" xr:uid="{00000000-0005-0000-0000-0000730F0000}"/>
    <cellStyle name="Comma 2 5 3 2 5 2 3 2 2" xfId="20295" xr:uid="{543EA63F-9A3E-47AE-A0FB-73359092AEDE}"/>
    <cellStyle name="Comma 2 5 3 2 5 2 3 2 3" xfId="30711" xr:uid="{53C07CF5-DF52-474F-976F-D0B7A479DDB6}"/>
    <cellStyle name="Comma 2 5 3 2 5 2 3 3" xfId="13937" xr:uid="{8CC8C0D3-FFAC-49C2-8CC2-A8AE6E763D45}"/>
    <cellStyle name="Comma 2 5 3 2 5 2 3 4" xfId="24353" xr:uid="{E63DB2E4-EBEE-4CDD-BCF3-F48FD6EA1166}"/>
    <cellStyle name="Comma 2 5 3 2 5 2 4" xfId="8746" xr:uid="{00000000-0005-0000-0000-0000740F0000}"/>
    <cellStyle name="Comma 2 5 3 2 5 2 4 2" xfId="20292" xr:uid="{2FCFBBD5-2B62-41B9-9E40-B03E6E9B21F6}"/>
    <cellStyle name="Comma 2 5 3 2 5 2 4 3" xfId="30708" xr:uid="{A8E2304C-F606-4371-8CBE-6094E6228281}"/>
    <cellStyle name="Comma 2 5 3 2 5 2 5" xfId="5564" xr:uid="{00000000-0005-0000-0000-0000750F0000}"/>
    <cellStyle name="Comma 2 5 3 2 5 2 5 2" xfId="17150" xr:uid="{83CAAD56-9A2C-45AE-91AF-4C3333F2D841}"/>
    <cellStyle name="Comma 2 5 3 2 5 2 5 3" xfId="27566" xr:uid="{1F4C6170-5A5C-45FA-84AA-CD5D8FE4D7DC}"/>
    <cellStyle name="Comma 2 5 3 2 5 2 6" xfId="13934" xr:uid="{0F41C6DC-093B-41D9-B8F7-A29E293613FF}"/>
    <cellStyle name="Comma 2 5 3 2 5 2 7" xfId="24350" xr:uid="{F2EB02EF-6BFF-4147-9F2D-1926BBEAF4A1}"/>
    <cellStyle name="Comma 2 5 3 2 5 3" xfId="1603" xr:uid="{00000000-0005-0000-0000-0000760F0000}"/>
    <cellStyle name="Comma 2 5 3 2 5 3 2" xfId="1604" xr:uid="{00000000-0005-0000-0000-0000770F0000}"/>
    <cellStyle name="Comma 2 5 3 2 5 3 2 2" xfId="8751" xr:uid="{00000000-0005-0000-0000-0000780F0000}"/>
    <cellStyle name="Comma 2 5 3 2 5 3 2 2 2" xfId="20297" xr:uid="{2595D3EC-93AE-4C8D-9FDA-6D3AD21D5D84}"/>
    <cellStyle name="Comma 2 5 3 2 5 3 2 2 3" xfId="30713" xr:uid="{E3DFAA56-47F0-4230-B808-5D8C0069F476}"/>
    <cellStyle name="Comma 2 5 3 2 5 3 2 3" xfId="13939" xr:uid="{2BE54BD6-EE2C-48B5-9561-1BE0DF410752}"/>
    <cellStyle name="Comma 2 5 3 2 5 3 2 4" xfId="24355" xr:uid="{DAA25C58-6047-41D7-A213-4DFA781151E3}"/>
    <cellStyle name="Comma 2 5 3 2 5 3 3" xfId="8750" xr:uid="{00000000-0005-0000-0000-0000790F0000}"/>
    <cellStyle name="Comma 2 5 3 2 5 3 3 2" xfId="20296" xr:uid="{B354AEA2-5DBE-4B8F-BBE7-1F1BF6C9FB36}"/>
    <cellStyle name="Comma 2 5 3 2 5 3 3 3" xfId="30712" xr:uid="{EDA04B09-8CFE-459E-8A92-F4FC87F90A4F}"/>
    <cellStyle name="Comma 2 5 3 2 5 3 4" xfId="5566" xr:uid="{00000000-0005-0000-0000-00007A0F0000}"/>
    <cellStyle name="Comma 2 5 3 2 5 3 4 2" xfId="17152" xr:uid="{4706607E-A024-4BC3-BB63-D5F6B3450E6D}"/>
    <cellStyle name="Comma 2 5 3 2 5 3 4 3" xfId="27568" xr:uid="{D27A0F68-8A5A-4359-B612-04C1731F167D}"/>
    <cellStyle name="Comma 2 5 3 2 5 3 5" xfId="13938" xr:uid="{67EB4395-AA9C-447A-8A59-73A178BA0EAE}"/>
    <cellStyle name="Comma 2 5 3 2 5 3 6" xfId="24354" xr:uid="{8420B67E-B34F-46DF-9A30-B6A7C384D07D}"/>
    <cellStyle name="Comma 2 5 3 2 5 4" xfId="1605" xr:uid="{00000000-0005-0000-0000-00007B0F0000}"/>
    <cellStyle name="Comma 2 5 3 2 5 4 2" xfId="1606" xr:uid="{00000000-0005-0000-0000-00007C0F0000}"/>
    <cellStyle name="Comma 2 5 3 2 5 4 2 2" xfId="8753" xr:uid="{00000000-0005-0000-0000-00007D0F0000}"/>
    <cellStyle name="Comma 2 5 3 2 5 4 2 2 2" xfId="20299" xr:uid="{FAD055AD-A576-4C71-B0B4-5CD1ED7A2BE1}"/>
    <cellStyle name="Comma 2 5 3 2 5 4 2 2 3" xfId="30715" xr:uid="{4C65EEDD-725E-45CE-ABE7-0D6FA9AA68D3}"/>
    <cellStyle name="Comma 2 5 3 2 5 4 2 3" xfId="13941" xr:uid="{36061EF9-8FD7-4AAD-94B6-C9AF7C64252F}"/>
    <cellStyle name="Comma 2 5 3 2 5 4 2 4" xfId="24357" xr:uid="{32237E34-14A6-41CB-AD0C-A9B6AAAE357C}"/>
    <cellStyle name="Comma 2 5 3 2 5 4 3" xfId="8752" xr:uid="{00000000-0005-0000-0000-00007E0F0000}"/>
    <cellStyle name="Comma 2 5 3 2 5 4 3 2" xfId="20298" xr:uid="{3B59A520-E025-4DB1-A314-06638F0899A4}"/>
    <cellStyle name="Comma 2 5 3 2 5 4 3 3" xfId="30714" xr:uid="{F70A0C63-EFEA-4E00-81C8-C7066FFBCDDE}"/>
    <cellStyle name="Comma 2 5 3 2 5 4 4" xfId="5567" xr:uid="{00000000-0005-0000-0000-00007F0F0000}"/>
    <cellStyle name="Comma 2 5 3 2 5 4 4 2" xfId="17153" xr:uid="{62B63D28-607B-48F0-8888-37A4CEA0EC5B}"/>
    <cellStyle name="Comma 2 5 3 2 5 4 4 3" xfId="27569" xr:uid="{BE6AFD0C-311B-4628-A64A-06399A04790B}"/>
    <cellStyle name="Comma 2 5 3 2 5 4 5" xfId="13940" xr:uid="{19E7B12A-942D-4051-9C1B-F5B66CA5BA8C}"/>
    <cellStyle name="Comma 2 5 3 2 5 4 6" xfId="24356" xr:uid="{69938D14-F7F5-4579-B49C-DC7AFA411092}"/>
    <cellStyle name="Comma 2 5 3 2 5 5" xfId="1607" xr:uid="{00000000-0005-0000-0000-0000800F0000}"/>
    <cellStyle name="Comma 2 5 3 2 5 5 2" xfId="8754" xr:uid="{00000000-0005-0000-0000-0000810F0000}"/>
    <cellStyle name="Comma 2 5 3 2 5 5 2 2" xfId="20300" xr:uid="{1C3305BD-FE0B-49E4-97A5-4FD8CD1BC6E0}"/>
    <cellStyle name="Comma 2 5 3 2 5 5 2 3" xfId="30716" xr:uid="{9C85F9A1-EDAB-4C01-A42A-24E1F99251CE}"/>
    <cellStyle name="Comma 2 5 3 2 5 5 3" xfId="13942" xr:uid="{68960F36-FF6B-4149-9F3B-250FE5B696E0}"/>
    <cellStyle name="Comma 2 5 3 2 5 5 4" xfId="24358" xr:uid="{5084589F-CB41-46A0-BF4E-0AD2AF3A7047}"/>
    <cellStyle name="Comma 2 5 3 2 5 6" xfId="8745" xr:uid="{00000000-0005-0000-0000-0000820F0000}"/>
    <cellStyle name="Comma 2 5 3 2 5 6 2" xfId="20291" xr:uid="{D7842CC6-73F8-4EC1-B360-0B9F221FF21D}"/>
    <cellStyle name="Comma 2 5 3 2 5 6 3" xfId="30707" xr:uid="{9DF5D094-AE9C-4D51-A043-4A1DE8137DB3}"/>
    <cellStyle name="Comma 2 5 3 2 5 7" xfId="5563" xr:uid="{00000000-0005-0000-0000-0000830F0000}"/>
    <cellStyle name="Comma 2 5 3 2 5 7 2" xfId="17149" xr:uid="{56B27677-2891-416B-A9FD-942FAF5A7222}"/>
    <cellStyle name="Comma 2 5 3 2 5 7 3" xfId="27565" xr:uid="{E2B5A896-3FBA-42FE-BB3D-A4A2999B90B9}"/>
    <cellStyle name="Comma 2 5 3 2 5 8" xfId="13933" xr:uid="{751BF74F-8EA6-4116-B8DF-226DAD2EDEF5}"/>
    <cellStyle name="Comma 2 5 3 2 5 9" xfId="24349" xr:uid="{3AFE650F-D735-429C-9EE3-289B24802F95}"/>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2 2 2" xfId="20303" xr:uid="{E53698C9-E726-42DA-BB53-E7CF6F29F4B8}"/>
    <cellStyle name="Comma 2 5 3 2 6 2 2 2 3" xfId="30719" xr:uid="{81547226-1157-460F-80AF-B9D1DE1C0EF3}"/>
    <cellStyle name="Comma 2 5 3 2 6 2 2 3" xfId="13945" xr:uid="{6F8597DC-FB76-4F45-9B5A-BFE0BDAC27A7}"/>
    <cellStyle name="Comma 2 5 3 2 6 2 2 4" xfId="24361" xr:uid="{893E97E9-55B3-46E7-BC36-BACDF62D29A4}"/>
    <cellStyle name="Comma 2 5 3 2 6 2 3" xfId="8756" xr:uid="{00000000-0005-0000-0000-0000880F0000}"/>
    <cellStyle name="Comma 2 5 3 2 6 2 3 2" xfId="20302" xr:uid="{976E6E30-F427-4079-B8BD-272DF979B5F8}"/>
    <cellStyle name="Comma 2 5 3 2 6 2 3 3" xfId="30718" xr:uid="{2B3229C2-CE59-47C8-80EF-CAE969CA3F4E}"/>
    <cellStyle name="Comma 2 5 3 2 6 2 4" xfId="5569" xr:uid="{00000000-0005-0000-0000-0000890F0000}"/>
    <cellStyle name="Comma 2 5 3 2 6 2 4 2" xfId="17155" xr:uid="{E2F6B3B6-1E25-44A0-8685-07AC0ED29515}"/>
    <cellStyle name="Comma 2 5 3 2 6 2 4 3" xfId="27571" xr:uid="{795A3EAE-9260-4C6E-82C3-85ED11B831BA}"/>
    <cellStyle name="Comma 2 5 3 2 6 2 5" xfId="13944" xr:uid="{9894E8B7-AE06-4663-843C-B1E280CFE585}"/>
    <cellStyle name="Comma 2 5 3 2 6 2 6" xfId="24360" xr:uid="{8AD8251D-F78D-411E-8EB7-53640B5627DD}"/>
    <cellStyle name="Comma 2 5 3 2 6 3" xfId="1611" xr:uid="{00000000-0005-0000-0000-00008A0F0000}"/>
    <cellStyle name="Comma 2 5 3 2 6 3 2" xfId="1612" xr:uid="{00000000-0005-0000-0000-00008B0F0000}"/>
    <cellStyle name="Comma 2 5 3 2 6 3 2 2" xfId="8759" xr:uid="{00000000-0005-0000-0000-00008C0F0000}"/>
    <cellStyle name="Comma 2 5 3 2 6 3 2 2 2" xfId="20305" xr:uid="{1A775A6B-5FED-4BBD-9201-CD69332631E7}"/>
    <cellStyle name="Comma 2 5 3 2 6 3 2 2 3" xfId="30721" xr:uid="{BA541D4B-F50D-4C95-8CB9-54E64180FCD1}"/>
    <cellStyle name="Comma 2 5 3 2 6 3 2 3" xfId="13947" xr:uid="{F146849C-BA0B-4926-9DB3-CF5359B9CFCB}"/>
    <cellStyle name="Comma 2 5 3 2 6 3 2 4" xfId="24363" xr:uid="{0F4D5204-E2B1-464B-93A0-C7BDE5DF04F6}"/>
    <cellStyle name="Comma 2 5 3 2 6 3 3" xfId="8758" xr:uid="{00000000-0005-0000-0000-00008D0F0000}"/>
    <cellStyle name="Comma 2 5 3 2 6 3 3 2" xfId="20304" xr:uid="{D3001BE1-72B5-4A21-8962-6EB6BC4130A1}"/>
    <cellStyle name="Comma 2 5 3 2 6 3 3 3" xfId="30720" xr:uid="{B73BCF5A-1049-444D-B581-E7331986A2D1}"/>
    <cellStyle name="Comma 2 5 3 2 6 3 4" xfId="5570" xr:uid="{00000000-0005-0000-0000-00008E0F0000}"/>
    <cellStyle name="Comma 2 5 3 2 6 3 4 2" xfId="17156" xr:uid="{AA7120B5-06E6-4EED-ABEF-0F207564B779}"/>
    <cellStyle name="Comma 2 5 3 2 6 3 4 3" xfId="27572" xr:uid="{64A822AD-8071-4AF1-9461-6B2457BBCDAC}"/>
    <cellStyle name="Comma 2 5 3 2 6 3 5" xfId="13946" xr:uid="{E00247D6-A05A-4A41-AE3D-7D6A114BA37A}"/>
    <cellStyle name="Comma 2 5 3 2 6 3 6" xfId="24362" xr:uid="{96F25B3D-78D5-41A6-9BEA-4621AD04DD23}"/>
    <cellStyle name="Comma 2 5 3 2 6 4" xfId="1613" xr:uid="{00000000-0005-0000-0000-00008F0F0000}"/>
    <cellStyle name="Comma 2 5 3 2 6 4 2" xfId="8760" xr:uid="{00000000-0005-0000-0000-0000900F0000}"/>
    <cellStyle name="Comma 2 5 3 2 6 4 2 2" xfId="20306" xr:uid="{C8BB74D8-2A60-48C1-8B86-EBB33D63B9C5}"/>
    <cellStyle name="Comma 2 5 3 2 6 4 2 3" xfId="30722" xr:uid="{3007C718-1A1C-4C72-89AD-389316573A73}"/>
    <cellStyle name="Comma 2 5 3 2 6 4 3" xfId="13948" xr:uid="{8CD4FCF1-D18C-4586-819C-B99006B2909F}"/>
    <cellStyle name="Comma 2 5 3 2 6 4 4" xfId="24364" xr:uid="{77264FF2-7B92-4B3A-A031-739A91DFB5AB}"/>
    <cellStyle name="Comma 2 5 3 2 6 5" xfId="8755" xr:uid="{00000000-0005-0000-0000-0000910F0000}"/>
    <cellStyle name="Comma 2 5 3 2 6 5 2" xfId="20301" xr:uid="{A77F30A5-7C34-4154-8352-0B120420EB5C}"/>
    <cellStyle name="Comma 2 5 3 2 6 5 3" xfId="30717" xr:uid="{B712AE27-05A9-4DAA-AD39-558CA87DCC2A}"/>
    <cellStyle name="Comma 2 5 3 2 6 6" xfId="5568" xr:uid="{00000000-0005-0000-0000-0000920F0000}"/>
    <cellStyle name="Comma 2 5 3 2 6 6 2" xfId="17154" xr:uid="{D52C9715-85D6-4DF0-83FB-2EE03108AC2A}"/>
    <cellStyle name="Comma 2 5 3 2 6 6 3" xfId="27570" xr:uid="{5F9679A7-9BCF-4B5C-9016-111AD0726554}"/>
    <cellStyle name="Comma 2 5 3 2 6 7" xfId="13943" xr:uid="{972C62ED-4871-41A1-BFEC-D3561693B80D}"/>
    <cellStyle name="Comma 2 5 3 2 6 8" xfId="24359" xr:uid="{1237FEFE-5F09-42F0-ACFE-D095491CEB0D}"/>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2 2 2" xfId="20309" xr:uid="{64029C88-BDA6-431E-8F99-0EA165BA4B94}"/>
    <cellStyle name="Comma 2 5 3 2 7 2 2 2 3" xfId="30725" xr:uid="{5A43BAD4-58FC-4F42-B92B-3F17594AA408}"/>
    <cellStyle name="Comma 2 5 3 2 7 2 2 3" xfId="13951" xr:uid="{8866DFE7-631B-4348-8B2A-DD1C35C237F2}"/>
    <cellStyle name="Comma 2 5 3 2 7 2 2 4" xfId="24367" xr:uid="{9D1EA5DD-1B42-4006-8457-7CEFE5991C02}"/>
    <cellStyle name="Comma 2 5 3 2 7 2 3" xfId="8762" xr:uid="{00000000-0005-0000-0000-0000970F0000}"/>
    <cellStyle name="Comma 2 5 3 2 7 2 3 2" xfId="20308" xr:uid="{673FF1B7-4D82-4B35-9CE5-F243F9186FEA}"/>
    <cellStyle name="Comma 2 5 3 2 7 2 3 3" xfId="30724" xr:uid="{EBFC6C55-4DFF-42E2-809E-ABE9559EEF48}"/>
    <cellStyle name="Comma 2 5 3 2 7 2 4" xfId="5572" xr:uid="{00000000-0005-0000-0000-0000980F0000}"/>
    <cellStyle name="Comma 2 5 3 2 7 2 4 2" xfId="17158" xr:uid="{63DA916B-5E82-493E-9655-98BF95AD6F56}"/>
    <cellStyle name="Comma 2 5 3 2 7 2 4 3" xfId="27574" xr:uid="{F846C186-0ED8-41AC-A9FB-591321E0C839}"/>
    <cellStyle name="Comma 2 5 3 2 7 2 5" xfId="13950" xr:uid="{A04C9CD6-8290-452A-9AD2-5ED4D6BDA32E}"/>
    <cellStyle name="Comma 2 5 3 2 7 2 6" xfId="24366" xr:uid="{967CB16B-BFE6-489C-A0A8-0C35E279768C}"/>
    <cellStyle name="Comma 2 5 3 2 7 3" xfId="1617" xr:uid="{00000000-0005-0000-0000-0000990F0000}"/>
    <cellStyle name="Comma 2 5 3 2 7 3 2" xfId="8764" xr:uid="{00000000-0005-0000-0000-00009A0F0000}"/>
    <cellStyle name="Comma 2 5 3 2 7 3 2 2" xfId="20310" xr:uid="{9BF57AB3-D12C-4690-AA38-B2BFD880610E}"/>
    <cellStyle name="Comma 2 5 3 2 7 3 2 3" xfId="30726" xr:uid="{FB93D6D8-C6E3-49FB-97D1-6CF90ECAEB93}"/>
    <cellStyle name="Comma 2 5 3 2 7 3 3" xfId="13952" xr:uid="{F5A79F75-9991-49A8-9484-99CFE47B0C56}"/>
    <cellStyle name="Comma 2 5 3 2 7 3 4" xfId="24368" xr:uid="{9AE4732F-81FA-4453-88C1-DD52303727FC}"/>
    <cellStyle name="Comma 2 5 3 2 7 4" xfId="8761" xr:uid="{00000000-0005-0000-0000-00009B0F0000}"/>
    <cellStyle name="Comma 2 5 3 2 7 4 2" xfId="20307" xr:uid="{DB896B9A-FC76-4315-90EB-19D545893698}"/>
    <cellStyle name="Comma 2 5 3 2 7 4 3" xfId="30723" xr:uid="{FBA8B6E5-3E57-484F-936F-D24EE6782499}"/>
    <cellStyle name="Comma 2 5 3 2 7 5" xfId="5571" xr:uid="{00000000-0005-0000-0000-00009C0F0000}"/>
    <cellStyle name="Comma 2 5 3 2 7 5 2" xfId="17157" xr:uid="{3F2B7D7F-D755-4BAC-8CFD-83E44B824A4F}"/>
    <cellStyle name="Comma 2 5 3 2 7 5 3" xfId="27573" xr:uid="{9A464C07-8F71-4529-AA2B-F3187DDCDEC8}"/>
    <cellStyle name="Comma 2 5 3 2 7 6" xfId="13949" xr:uid="{37A011F6-76CD-4BD6-A222-7B450B969361}"/>
    <cellStyle name="Comma 2 5 3 2 7 7" xfId="24365" xr:uid="{EEDD86FE-D398-4056-9033-739D39DE1C43}"/>
    <cellStyle name="Comma 2 5 3 2 8" xfId="1618" xr:uid="{00000000-0005-0000-0000-00009D0F0000}"/>
    <cellStyle name="Comma 2 5 3 2 8 2" xfId="1619" xr:uid="{00000000-0005-0000-0000-00009E0F0000}"/>
    <cellStyle name="Comma 2 5 3 2 8 2 2" xfId="8766" xr:uid="{00000000-0005-0000-0000-00009F0F0000}"/>
    <cellStyle name="Comma 2 5 3 2 8 2 2 2" xfId="20312" xr:uid="{C168ADA7-21B3-421C-A311-6D3B229F8744}"/>
    <cellStyle name="Comma 2 5 3 2 8 2 2 3" xfId="30728" xr:uid="{55E05536-A2AB-46EF-BC17-97D0A098A813}"/>
    <cellStyle name="Comma 2 5 3 2 8 2 3" xfId="13954" xr:uid="{23829F76-4DF9-4C89-83FE-03C3A00F817F}"/>
    <cellStyle name="Comma 2 5 3 2 8 2 4" xfId="24370" xr:uid="{192D5036-D59B-426A-9857-BC7BEF47E5CD}"/>
    <cellStyle name="Comma 2 5 3 2 8 3" xfId="8765" xr:uid="{00000000-0005-0000-0000-0000A00F0000}"/>
    <cellStyle name="Comma 2 5 3 2 8 3 2" xfId="20311" xr:uid="{4741B49B-1D4B-489A-B8CB-8393D73F483F}"/>
    <cellStyle name="Comma 2 5 3 2 8 3 3" xfId="30727" xr:uid="{73A05E89-5AFB-4D7E-AB22-98B3E677AB6E}"/>
    <cellStyle name="Comma 2 5 3 2 8 4" xfId="5573" xr:uid="{00000000-0005-0000-0000-0000A10F0000}"/>
    <cellStyle name="Comma 2 5 3 2 8 4 2" xfId="17159" xr:uid="{094E87E4-026A-474C-BB59-9DDDA295149D}"/>
    <cellStyle name="Comma 2 5 3 2 8 4 3" xfId="27575" xr:uid="{37C72BF0-323C-4498-A51A-4548D68569D3}"/>
    <cellStyle name="Comma 2 5 3 2 8 5" xfId="13953" xr:uid="{DDD20302-E186-4B6D-B8E9-4CD08DF40DC2}"/>
    <cellStyle name="Comma 2 5 3 2 8 6" xfId="24369" xr:uid="{AD342610-12F5-484C-939F-2AFD49B2ED87}"/>
    <cellStyle name="Comma 2 5 3 2 9" xfId="1620" xr:uid="{00000000-0005-0000-0000-0000A20F0000}"/>
    <cellStyle name="Comma 2 5 3 2 9 2" xfId="1621" xr:uid="{00000000-0005-0000-0000-0000A30F0000}"/>
    <cellStyle name="Comma 2 5 3 2 9 2 2" xfId="8768" xr:uid="{00000000-0005-0000-0000-0000A40F0000}"/>
    <cellStyle name="Comma 2 5 3 2 9 2 2 2" xfId="20314" xr:uid="{30E29F48-E9F6-46D0-917B-A57B720999D5}"/>
    <cellStyle name="Comma 2 5 3 2 9 2 2 3" xfId="30730" xr:uid="{821CA780-071A-4386-B5A1-A5023AEBC4A4}"/>
    <cellStyle name="Comma 2 5 3 2 9 2 3" xfId="13956" xr:uid="{0603DE2B-E42D-4C6D-9E2B-B8976ADC687E}"/>
    <cellStyle name="Comma 2 5 3 2 9 2 4" xfId="24372" xr:uid="{D8B86AC5-090D-4F0F-B12C-F69F9BB5D2BB}"/>
    <cellStyle name="Comma 2 5 3 2 9 3" xfId="8767" xr:uid="{00000000-0005-0000-0000-0000A50F0000}"/>
    <cellStyle name="Comma 2 5 3 2 9 3 2" xfId="20313" xr:uid="{A07BB0EC-FC63-40FD-9F22-6B07749B3DA6}"/>
    <cellStyle name="Comma 2 5 3 2 9 3 3" xfId="30729" xr:uid="{698F18F1-A801-4B9A-8626-2DB9780E7570}"/>
    <cellStyle name="Comma 2 5 3 2 9 4" xfId="5574" xr:uid="{00000000-0005-0000-0000-0000A60F0000}"/>
    <cellStyle name="Comma 2 5 3 2 9 4 2" xfId="17160" xr:uid="{75652372-6C66-44A8-8A22-2C1C65DC6B4F}"/>
    <cellStyle name="Comma 2 5 3 2 9 4 3" xfId="27576" xr:uid="{AD649847-5967-4DE5-978D-84ED7E33E7E4}"/>
    <cellStyle name="Comma 2 5 3 2 9 5" xfId="13955" xr:uid="{08710BD8-C47B-45A7-A83F-394EAD7F8041}"/>
    <cellStyle name="Comma 2 5 3 2 9 6" xfId="24371" xr:uid="{6FEB4FF0-15FB-4A50-8AD2-79D631E73422}"/>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2 2 2" xfId="20318" xr:uid="{F08BC85F-8095-4573-9EE7-A944FA69B8F1}"/>
    <cellStyle name="Comma 2 5 3 3 2 2 2 2 3" xfId="30734" xr:uid="{52FDC48D-9727-4784-A60E-27873FBF2DFB}"/>
    <cellStyle name="Comma 2 5 3 3 2 2 2 3" xfId="13960" xr:uid="{2AA44542-B1DF-46EA-B743-8BB986CC72B1}"/>
    <cellStyle name="Comma 2 5 3 3 2 2 2 4" xfId="24376" xr:uid="{C1A80755-6E30-429E-8C68-F5C8167E7118}"/>
    <cellStyle name="Comma 2 5 3 3 2 2 3" xfId="8771" xr:uid="{00000000-0005-0000-0000-0000AC0F0000}"/>
    <cellStyle name="Comma 2 5 3 3 2 2 3 2" xfId="20317" xr:uid="{F9C612A4-6EAB-4A81-82AF-D68C0CF825DC}"/>
    <cellStyle name="Comma 2 5 3 3 2 2 3 3" xfId="30733" xr:uid="{E280F571-94DB-465C-8065-69A12D1CCD9B}"/>
    <cellStyle name="Comma 2 5 3 3 2 2 4" xfId="5577" xr:uid="{00000000-0005-0000-0000-0000AD0F0000}"/>
    <cellStyle name="Comma 2 5 3 3 2 2 4 2" xfId="17163" xr:uid="{82DACB02-C90A-4693-92B6-CCB3BC3C6D3E}"/>
    <cellStyle name="Comma 2 5 3 3 2 2 4 3" xfId="27579" xr:uid="{9C93D57F-C70A-4B97-AD46-52EEFCF845E4}"/>
    <cellStyle name="Comma 2 5 3 3 2 2 5" xfId="13959" xr:uid="{62055CF3-2DF0-4EF0-A940-B5D61FA5B3DC}"/>
    <cellStyle name="Comma 2 5 3 3 2 2 6" xfId="24375" xr:uid="{197DDCD4-9E9B-41E3-9F56-02ED3AABA7AE}"/>
    <cellStyle name="Comma 2 5 3 3 2 3" xfId="1626" xr:uid="{00000000-0005-0000-0000-0000AE0F0000}"/>
    <cellStyle name="Comma 2 5 3 3 2 3 2" xfId="8773" xr:uid="{00000000-0005-0000-0000-0000AF0F0000}"/>
    <cellStyle name="Comma 2 5 3 3 2 3 2 2" xfId="20319" xr:uid="{721A6FCA-2FCE-4D84-9CBB-9AE9CEFFBEB4}"/>
    <cellStyle name="Comma 2 5 3 3 2 3 2 3" xfId="30735" xr:uid="{D0FC071A-7270-4407-88AD-E0B7ECE2C25C}"/>
    <cellStyle name="Comma 2 5 3 3 2 3 3" xfId="13961" xr:uid="{465EE9CF-ECA6-4C61-84B6-FA20A13543DB}"/>
    <cellStyle name="Comma 2 5 3 3 2 3 4" xfId="24377" xr:uid="{31BFDFE4-02FA-4E35-8F97-2119A621D08C}"/>
    <cellStyle name="Comma 2 5 3 3 2 4" xfId="8770" xr:uid="{00000000-0005-0000-0000-0000B00F0000}"/>
    <cellStyle name="Comma 2 5 3 3 2 4 2" xfId="20316" xr:uid="{E7A2C237-5BD7-43D2-9D0F-AAA5C850F4E4}"/>
    <cellStyle name="Comma 2 5 3 3 2 4 3" xfId="30732" xr:uid="{782AF18A-FE0D-4E5F-9A1D-D5C983FC0E06}"/>
    <cellStyle name="Comma 2 5 3 3 2 5" xfId="5576" xr:uid="{00000000-0005-0000-0000-0000B10F0000}"/>
    <cellStyle name="Comma 2 5 3 3 2 5 2" xfId="17162" xr:uid="{6C4A12BF-4D81-4D8C-BF52-18A7F0981CF3}"/>
    <cellStyle name="Comma 2 5 3 3 2 5 3" xfId="27578" xr:uid="{2BA9EAFD-8E32-482B-90CA-CD5B4F9C04A9}"/>
    <cellStyle name="Comma 2 5 3 3 2 6" xfId="13958" xr:uid="{230DB494-4B24-464E-8C26-853E13B3F6DA}"/>
    <cellStyle name="Comma 2 5 3 3 2 7" xfId="24374" xr:uid="{76F9CF79-4DBB-4492-8030-1566C287D979}"/>
    <cellStyle name="Comma 2 5 3 3 3" xfId="1627" xr:uid="{00000000-0005-0000-0000-0000B20F0000}"/>
    <cellStyle name="Comma 2 5 3 3 3 2" xfId="1628" xr:uid="{00000000-0005-0000-0000-0000B30F0000}"/>
    <cellStyle name="Comma 2 5 3 3 3 2 2" xfId="8775" xr:uid="{00000000-0005-0000-0000-0000B40F0000}"/>
    <cellStyle name="Comma 2 5 3 3 3 2 2 2" xfId="20321" xr:uid="{57934503-E2EE-49DF-BB9F-67B61109EF1F}"/>
    <cellStyle name="Comma 2 5 3 3 3 2 2 3" xfId="30737" xr:uid="{93CC0DDF-2937-49C5-8A09-84389312A0E0}"/>
    <cellStyle name="Comma 2 5 3 3 3 2 3" xfId="13963" xr:uid="{16BFC3C8-D4F4-4843-8DC7-DE09E5003549}"/>
    <cellStyle name="Comma 2 5 3 3 3 2 4" xfId="24379" xr:uid="{2F1E175F-F580-431E-BB8D-17C254F09199}"/>
    <cellStyle name="Comma 2 5 3 3 3 3" xfId="8774" xr:uid="{00000000-0005-0000-0000-0000B50F0000}"/>
    <cellStyle name="Comma 2 5 3 3 3 3 2" xfId="20320" xr:uid="{18821FE9-EE31-42D7-8719-B22136E18ED5}"/>
    <cellStyle name="Comma 2 5 3 3 3 3 3" xfId="30736" xr:uid="{A697178C-7B0B-4D4B-9A97-CF012DDA7B4C}"/>
    <cellStyle name="Comma 2 5 3 3 3 4" xfId="5578" xr:uid="{00000000-0005-0000-0000-0000B60F0000}"/>
    <cellStyle name="Comma 2 5 3 3 3 4 2" xfId="17164" xr:uid="{01E24ABA-1173-4C36-89FB-4F0F77D9542A}"/>
    <cellStyle name="Comma 2 5 3 3 3 4 3" xfId="27580" xr:uid="{74607CAB-AC9F-4582-9CDA-730ED1E129D1}"/>
    <cellStyle name="Comma 2 5 3 3 3 5" xfId="13962" xr:uid="{84464742-D4EB-4855-969F-C38DA5773B68}"/>
    <cellStyle name="Comma 2 5 3 3 3 6" xfId="24378" xr:uid="{516B3075-33B6-4E0E-87F3-E93114E1C317}"/>
    <cellStyle name="Comma 2 5 3 3 4" xfId="1629" xr:uid="{00000000-0005-0000-0000-0000B70F0000}"/>
    <cellStyle name="Comma 2 5 3 3 4 2" xfId="1630" xr:uid="{00000000-0005-0000-0000-0000B80F0000}"/>
    <cellStyle name="Comma 2 5 3 3 4 2 2" xfId="8777" xr:uid="{00000000-0005-0000-0000-0000B90F0000}"/>
    <cellStyle name="Comma 2 5 3 3 4 2 2 2" xfId="20323" xr:uid="{406B48BB-0EC1-4309-92BA-AA6B61364087}"/>
    <cellStyle name="Comma 2 5 3 3 4 2 2 3" xfId="30739" xr:uid="{78CB84D7-7B1C-4108-A1D6-035ADC64C48B}"/>
    <cellStyle name="Comma 2 5 3 3 4 2 3" xfId="13965" xr:uid="{A73A0A29-73C4-42D6-AD5D-3EA2763615F4}"/>
    <cellStyle name="Comma 2 5 3 3 4 2 4" xfId="24381" xr:uid="{F399F584-4825-4550-9E4D-FC4C93ACB837}"/>
    <cellStyle name="Comma 2 5 3 3 4 3" xfId="8776" xr:uid="{00000000-0005-0000-0000-0000BA0F0000}"/>
    <cellStyle name="Comma 2 5 3 3 4 3 2" xfId="20322" xr:uid="{14AE66A1-6431-4D57-A63A-77259C3065A2}"/>
    <cellStyle name="Comma 2 5 3 3 4 3 3" xfId="30738" xr:uid="{F9653D8B-600F-4299-A31F-53961A6C6616}"/>
    <cellStyle name="Comma 2 5 3 3 4 4" xfId="5579" xr:uid="{00000000-0005-0000-0000-0000BB0F0000}"/>
    <cellStyle name="Comma 2 5 3 3 4 4 2" xfId="17165" xr:uid="{1879832B-97D1-4E96-8E81-72E471AAFD94}"/>
    <cellStyle name="Comma 2 5 3 3 4 4 3" xfId="27581" xr:uid="{0458BE4B-A9CA-4E35-83CD-ABF66584EA5D}"/>
    <cellStyle name="Comma 2 5 3 3 4 5" xfId="13964" xr:uid="{85FEC28F-BD13-46E9-B4A8-20FBD1C7F71C}"/>
    <cellStyle name="Comma 2 5 3 3 4 6" xfId="24380" xr:uid="{77DD0302-2C76-432D-980A-CF105ECF50A8}"/>
    <cellStyle name="Comma 2 5 3 3 5" xfId="1631" xr:uid="{00000000-0005-0000-0000-0000BC0F0000}"/>
    <cellStyle name="Comma 2 5 3 3 5 2" xfId="8778" xr:uid="{00000000-0005-0000-0000-0000BD0F0000}"/>
    <cellStyle name="Comma 2 5 3 3 5 2 2" xfId="20324" xr:uid="{920955A6-95BE-4FA7-B97F-001CDE52410B}"/>
    <cellStyle name="Comma 2 5 3 3 5 2 3" xfId="30740" xr:uid="{414DA797-C943-47DF-8043-B8FD27BEA9A0}"/>
    <cellStyle name="Comma 2 5 3 3 5 3" xfId="13966" xr:uid="{3F1AF872-73E3-4D42-93D9-4ACF183EFEB2}"/>
    <cellStyle name="Comma 2 5 3 3 5 4" xfId="24382" xr:uid="{EFE0EEC8-5BB2-434E-860B-EEF4030F100C}"/>
    <cellStyle name="Comma 2 5 3 3 6" xfId="8769" xr:uid="{00000000-0005-0000-0000-0000BE0F0000}"/>
    <cellStyle name="Comma 2 5 3 3 6 2" xfId="20315" xr:uid="{991525B2-9996-4906-B36D-98D7B30A5EA4}"/>
    <cellStyle name="Comma 2 5 3 3 6 3" xfId="30731" xr:uid="{8FB981E7-2C62-421E-88F2-E2FD82138EB3}"/>
    <cellStyle name="Comma 2 5 3 3 7" xfId="5575" xr:uid="{00000000-0005-0000-0000-0000BF0F0000}"/>
    <cellStyle name="Comma 2 5 3 3 7 2" xfId="17161" xr:uid="{A863236B-DEB1-45D9-A41D-97D818B9A722}"/>
    <cellStyle name="Comma 2 5 3 3 7 3" xfId="27577" xr:uid="{BB96A234-D5A5-4164-9C7E-603EACFDEDB1}"/>
    <cellStyle name="Comma 2 5 3 3 8" xfId="13957" xr:uid="{9622CF31-5DEF-45D7-9BDB-F6053F666DBB}"/>
    <cellStyle name="Comma 2 5 3 3 9" xfId="24373" xr:uid="{34AC14C1-7FCA-4AE7-95ED-DB74C5144699}"/>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2 2 2" xfId="20328" xr:uid="{3DA01CEA-ED00-46EC-A8E8-A8C6FE5786B9}"/>
    <cellStyle name="Comma 2 5 3 4 2 2 2 2 3" xfId="30744" xr:uid="{31745297-7935-4A94-9461-8EA1B4CBC36A}"/>
    <cellStyle name="Comma 2 5 3 4 2 2 2 3" xfId="13970" xr:uid="{DF795877-DAC1-47F9-8517-6F51441B05FB}"/>
    <cellStyle name="Comma 2 5 3 4 2 2 2 4" xfId="24386" xr:uid="{E514636B-BAFA-4B5E-A009-342E861B6673}"/>
    <cellStyle name="Comma 2 5 3 4 2 2 3" xfId="8781" xr:uid="{00000000-0005-0000-0000-0000C50F0000}"/>
    <cellStyle name="Comma 2 5 3 4 2 2 3 2" xfId="20327" xr:uid="{8ECE67F7-BBA7-4D01-906E-17E9E575EC8C}"/>
    <cellStyle name="Comma 2 5 3 4 2 2 3 3" xfId="30743" xr:uid="{3AD77B99-1DF9-4C11-965A-EF94313C8D42}"/>
    <cellStyle name="Comma 2 5 3 4 2 2 4" xfId="5582" xr:uid="{00000000-0005-0000-0000-0000C60F0000}"/>
    <cellStyle name="Comma 2 5 3 4 2 2 4 2" xfId="17168" xr:uid="{599BF02C-77FF-42FB-ACB4-B9E7B8165A68}"/>
    <cellStyle name="Comma 2 5 3 4 2 2 4 3" xfId="27584" xr:uid="{5C33CD93-F02F-4F1E-B963-5D1DFF54EBCE}"/>
    <cellStyle name="Comma 2 5 3 4 2 2 5" xfId="13969" xr:uid="{38E1B52E-8F41-48BF-A464-47CA72397E36}"/>
    <cellStyle name="Comma 2 5 3 4 2 2 6" xfId="24385" xr:uid="{A92A8978-64C5-436E-8DE2-8931359D14E9}"/>
    <cellStyle name="Comma 2 5 3 4 2 3" xfId="1636" xr:uid="{00000000-0005-0000-0000-0000C70F0000}"/>
    <cellStyle name="Comma 2 5 3 4 2 3 2" xfId="8783" xr:uid="{00000000-0005-0000-0000-0000C80F0000}"/>
    <cellStyle name="Comma 2 5 3 4 2 3 2 2" xfId="20329" xr:uid="{FDCB3D96-DC32-41F1-9E9B-8B136EB4C7E7}"/>
    <cellStyle name="Comma 2 5 3 4 2 3 2 3" xfId="30745" xr:uid="{B4EA0589-A8DC-43F4-AB6F-0ABCB75FAC4F}"/>
    <cellStyle name="Comma 2 5 3 4 2 3 3" xfId="13971" xr:uid="{002744C0-295B-4D60-9C70-DFE7F66C9EF5}"/>
    <cellStyle name="Comma 2 5 3 4 2 3 4" xfId="24387" xr:uid="{CC282C11-EB1F-41EC-AC30-F296CFCDE74E}"/>
    <cellStyle name="Comma 2 5 3 4 2 4" xfId="8780" xr:uid="{00000000-0005-0000-0000-0000C90F0000}"/>
    <cellStyle name="Comma 2 5 3 4 2 4 2" xfId="20326" xr:uid="{3DD9AE00-00B0-471E-97E9-115BC211E6E0}"/>
    <cellStyle name="Comma 2 5 3 4 2 4 3" xfId="30742" xr:uid="{B6461910-6B57-4201-BC7A-D1A339D6D82D}"/>
    <cellStyle name="Comma 2 5 3 4 2 5" xfId="5581" xr:uid="{00000000-0005-0000-0000-0000CA0F0000}"/>
    <cellStyle name="Comma 2 5 3 4 2 5 2" xfId="17167" xr:uid="{415AE6E5-7744-4C09-996E-FB919900F7BB}"/>
    <cellStyle name="Comma 2 5 3 4 2 5 3" xfId="27583" xr:uid="{DF8A42D5-DAB0-4BB0-82D8-A1B79B26247D}"/>
    <cellStyle name="Comma 2 5 3 4 2 6" xfId="13968" xr:uid="{8FF73343-7C0F-4134-B683-3B41085565CA}"/>
    <cellStyle name="Comma 2 5 3 4 2 7" xfId="24384" xr:uid="{95EA77F6-BF29-4DAB-9D8E-439CEDBAFC27}"/>
    <cellStyle name="Comma 2 5 3 4 3" xfId="1637" xr:uid="{00000000-0005-0000-0000-0000CB0F0000}"/>
    <cellStyle name="Comma 2 5 3 4 3 2" xfId="1638" xr:uid="{00000000-0005-0000-0000-0000CC0F0000}"/>
    <cellStyle name="Comma 2 5 3 4 3 2 2" xfId="8785" xr:uid="{00000000-0005-0000-0000-0000CD0F0000}"/>
    <cellStyle name="Comma 2 5 3 4 3 2 2 2" xfId="20331" xr:uid="{1F26BDAE-B6E3-4D6F-9D41-42237A9443B3}"/>
    <cellStyle name="Comma 2 5 3 4 3 2 2 3" xfId="30747" xr:uid="{0D096F11-9A58-4BC4-8605-78CEF76D5985}"/>
    <cellStyle name="Comma 2 5 3 4 3 2 3" xfId="13973" xr:uid="{D375A465-A6B9-42AB-A49E-E59DA05743A3}"/>
    <cellStyle name="Comma 2 5 3 4 3 2 4" xfId="24389" xr:uid="{4E1FC4D1-B15E-400E-9389-4160B9A36538}"/>
    <cellStyle name="Comma 2 5 3 4 3 3" xfId="8784" xr:uid="{00000000-0005-0000-0000-0000CE0F0000}"/>
    <cellStyle name="Comma 2 5 3 4 3 3 2" xfId="20330" xr:uid="{377B7241-F44E-48F7-9984-4CBDDCE398B8}"/>
    <cellStyle name="Comma 2 5 3 4 3 3 3" xfId="30746" xr:uid="{AE7A9E74-8B94-43BC-80C7-A3F378F08FCA}"/>
    <cellStyle name="Comma 2 5 3 4 3 4" xfId="5583" xr:uid="{00000000-0005-0000-0000-0000CF0F0000}"/>
    <cellStyle name="Comma 2 5 3 4 3 4 2" xfId="17169" xr:uid="{0CF2A28B-A0F8-4784-9FC4-3A3F3FF03392}"/>
    <cellStyle name="Comma 2 5 3 4 3 4 3" xfId="27585" xr:uid="{7EDB9154-2969-43C2-B473-01F5F9CF0247}"/>
    <cellStyle name="Comma 2 5 3 4 3 5" xfId="13972" xr:uid="{E4015334-394C-4056-A707-F59D16E37051}"/>
    <cellStyle name="Comma 2 5 3 4 3 6" xfId="24388" xr:uid="{3F4F8BFA-EBB2-4847-B99C-B3545042CE81}"/>
    <cellStyle name="Comma 2 5 3 4 4" xfId="1639" xr:uid="{00000000-0005-0000-0000-0000D00F0000}"/>
    <cellStyle name="Comma 2 5 3 4 4 2" xfId="1640" xr:uid="{00000000-0005-0000-0000-0000D10F0000}"/>
    <cellStyle name="Comma 2 5 3 4 4 2 2" xfId="8787" xr:uid="{00000000-0005-0000-0000-0000D20F0000}"/>
    <cellStyle name="Comma 2 5 3 4 4 2 2 2" xfId="20333" xr:uid="{ED24533A-1C4B-4BC3-9AA0-8AA3A850841F}"/>
    <cellStyle name="Comma 2 5 3 4 4 2 2 3" xfId="30749" xr:uid="{EA5B687D-0791-4E2D-B098-9296761C4C22}"/>
    <cellStyle name="Comma 2 5 3 4 4 2 3" xfId="13975" xr:uid="{7E1AE8BB-7152-400C-9DF1-107C456380A7}"/>
    <cellStyle name="Comma 2 5 3 4 4 2 4" xfId="24391" xr:uid="{E44818E0-2D49-45CA-8377-7A72013289CD}"/>
    <cellStyle name="Comma 2 5 3 4 4 3" xfId="8786" xr:uid="{00000000-0005-0000-0000-0000D30F0000}"/>
    <cellStyle name="Comma 2 5 3 4 4 3 2" xfId="20332" xr:uid="{1606F713-F4C9-414E-AFBD-F4A9DF1C23D1}"/>
    <cellStyle name="Comma 2 5 3 4 4 3 3" xfId="30748" xr:uid="{1DF7E5EB-B876-4E65-B8A6-5E2018B8EB76}"/>
    <cellStyle name="Comma 2 5 3 4 4 4" xfId="5584" xr:uid="{00000000-0005-0000-0000-0000D40F0000}"/>
    <cellStyle name="Comma 2 5 3 4 4 4 2" xfId="17170" xr:uid="{C2003C3C-7803-4CAB-9413-6402CDEB3710}"/>
    <cellStyle name="Comma 2 5 3 4 4 4 3" xfId="27586" xr:uid="{72DA86D7-753E-46D5-AC52-97E546D206B2}"/>
    <cellStyle name="Comma 2 5 3 4 4 5" xfId="13974" xr:uid="{14961FC2-3BA6-4D51-8D06-3B3F804947B9}"/>
    <cellStyle name="Comma 2 5 3 4 4 6" xfId="24390" xr:uid="{7B1A0BB3-1CAC-4543-800F-2F85E6B9B9E7}"/>
    <cellStyle name="Comma 2 5 3 4 5" xfId="1641" xr:uid="{00000000-0005-0000-0000-0000D50F0000}"/>
    <cellStyle name="Comma 2 5 3 4 5 2" xfId="8788" xr:uid="{00000000-0005-0000-0000-0000D60F0000}"/>
    <cellStyle name="Comma 2 5 3 4 5 2 2" xfId="20334" xr:uid="{3E002050-1A5E-4934-95E8-76285783F932}"/>
    <cellStyle name="Comma 2 5 3 4 5 2 3" xfId="30750" xr:uid="{E9AC8CC1-B4A7-4910-806B-C7BD74388270}"/>
    <cellStyle name="Comma 2 5 3 4 5 3" xfId="13976" xr:uid="{4D92488C-2819-4250-AC2C-54FD0E1A160B}"/>
    <cellStyle name="Comma 2 5 3 4 5 4" xfId="24392" xr:uid="{8C1762F0-4EBF-4F1E-B427-420216AAD270}"/>
    <cellStyle name="Comma 2 5 3 4 6" xfId="8779" xr:uid="{00000000-0005-0000-0000-0000D70F0000}"/>
    <cellStyle name="Comma 2 5 3 4 6 2" xfId="20325" xr:uid="{F294556D-1F08-45DA-8D55-DED7D66B70D6}"/>
    <cellStyle name="Comma 2 5 3 4 6 3" xfId="30741" xr:uid="{9BFF3231-D0A5-4225-947F-2B32FC1AD269}"/>
    <cellStyle name="Comma 2 5 3 4 7" xfId="5580" xr:uid="{00000000-0005-0000-0000-0000D80F0000}"/>
    <cellStyle name="Comma 2 5 3 4 7 2" xfId="17166" xr:uid="{4A2DEABE-0EBB-41F7-96E8-EFE78E57BF77}"/>
    <cellStyle name="Comma 2 5 3 4 7 3" xfId="27582" xr:uid="{442F22DE-35CD-44E2-A26A-1294885F41DA}"/>
    <cellStyle name="Comma 2 5 3 4 8" xfId="13967" xr:uid="{93A4A55C-DE65-4753-A114-67E4DDC7281E}"/>
    <cellStyle name="Comma 2 5 3 4 9" xfId="24383" xr:uid="{C66D6BF1-0C4C-4278-A185-72A1B64AC93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2 2 2" xfId="20338" xr:uid="{AEEE4341-D29F-4787-B853-942BC63C5E36}"/>
    <cellStyle name="Comma 2 5 3 5 2 2 2 2 3" xfId="30754" xr:uid="{14666378-56D5-4C6E-8656-60B450B18817}"/>
    <cellStyle name="Comma 2 5 3 5 2 2 2 3" xfId="13980" xr:uid="{8C3765F2-F652-4F36-9CDD-10894217A26E}"/>
    <cellStyle name="Comma 2 5 3 5 2 2 2 4" xfId="24396" xr:uid="{A1985B73-94C7-46BE-8628-6A76E8AD5FF1}"/>
    <cellStyle name="Comma 2 5 3 5 2 2 3" xfId="8791" xr:uid="{00000000-0005-0000-0000-0000DE0F0000}"/>
    <cellStyle name="Comma 2 5 3 5 2 2 3 2" xfId="20337" xr:uid="{EEC1EB0A-0B8E-49A3-8B23-595D35438FFA}"/>
    <cellStyle name="Comma 2 5 3 5 2 2 3 3" xfId="30753" xr:uid="{7E296661-346E-4A7F-BA8E-451FD12BAF71}"/>
    <cellStyle name="Comma 2 5 3 5 2 2 4" xfId="5587" xr:uid="{00000000-0005-0000-0000-0000DF0F0000}"/>
    <cellStyle name="Comma 2 5 3 5 2 2 4 2" xfId="17173" xr:uid="{B5EEC9EA-5179-4325-83F8-839E1CB63112}"/>
    <cellStyle name="Comma 2 5 3 5 2 2 4 3" xfId="27589" xr:uid="{CF5E111C-2D96-469D-9881-D79BDBC34E40}"/>
    <cellStyle name="Comma 2 5 3 5 2 2 5" xfId="13979" xr:uid="{3E552C55-07A7-48DF-A8D4-C2BECAEFC4C8}"/>
    <cellStyle name="Comma 2 5 3 5 2 2 6" xfId="24395" xr:uid="{73ABC912-CAF6-4C96-9FFE-8652D64B5117}"/>
    <cellStyle name="Comma 2 5 3 5 2 3" xfId="1646" xr:uid="{00000000-0005-0000-0000-0000E00F0000}"/>
    <cellStyle name="Comma 2 5 3 5 2 3 2" xfId="8793" xr:uid="{00000000-0005-0000-0000-0000E10F0000}"/>
    <cellStyle name="Comma 2 5 3 5 2 3 2 2" xfId="20339" xr:uid="{A3BF352B-21C7-427D-99A0-A87FA2F28C0B}"/>
    <cellStyle name="Comma 2 5 3 5 2 3 2 3" xfId="30755" xr:uid="{EECA0950-78E3-43FA-9341-53005B5F1E5C}"/>
    <cellStyle name="Comma 2 5 3 5 2 3 3" xfId="13981" xr:uid="{056C732F-3CEE-450D-BC09-1EC7FB1C4459}"/>
    <cellStyle name="Comma 2 5 3 5 2 3 4" xfId="24397" xr:uid="{AC606427-E025-43E7-BB10-F39869D8569A}"/>
    <cellStyle name="Comma 2 5 3 5 2 4" xfId="8790" xr:uid="{00000000-0005-0000-0000-0000E20F0000}"/>
    <cellStyle name="Comma 2 5 3 5 2 4 2" xfId="20336" xr:uid="{0339B43B-715A-4E6E-A1FC-66C33CC1DA07}"/>
    <cellStyle name="Comma 2 5 3 5 2 4 3" xfId="30752" xr:uid="{4A88B0EC-26E9-406D-A28B-5691176393B9}"/>
    <cellStyle name="Comma 2 5 3 5 2 5" xfId="5586" xr:uid="{00000000-0005-0000-0000-0000E30F0000}"/>
    <cellStyle name="Comma 2 5 3 5 2 5 2" xfId="17172" xr:uid="{71CFC5D0-3B3F-4DF6-B857-EE39F1FA6735}"/>
    <cellStyle name="Comma 2 5 3 5 2 5 3" xfId="27588" xr:uid="{7602AC60-E9DD-48E6-85C8-30D280E4E793}"/>
    <cellStyle name="Comma 2 5 3 5 2 6" xfId="13978" xr:uid="{4A51E462-ABA5-4071-9BF5-9399AAF4387B}"/>
    <cellStyle name="Comma 2 5 3 5 2 7" xfId="24394" xr:uid="{47A4EADE-91E4-4016-83FB-E414C97748FD}"/>
    <cellStyle name="Comma 2 5 3 5 3" xfId="1647" xr:uid="{00000000-0005-0000-0000-0000E40F0000}"/>
    <cellStyle name="Comma 2 5 3 5 3 2" xfId="1648" xr:uid="{00000000-0005-0000-0000-0000E50F0000}"/>
    <cellStyle name="Comma 2 5 3 5 3 2 2" xfId="8795" xr:uid="{00000000-0005-0000-0000-0000E60F0000}"/>
    <cellStyle name="Comma 2 5 3 5 3 2 2 2" xfId="20341" xr:uid="{CE9331AD-E14F-48EF-B1B5-529740BDD482}"/>
    <cellStyle name="Comma 2 5 3 5 3 2 2 3" xfId="30757" xr:uid="{1F62DE0D-97BB-476D-86A9-F88ADAAF43C4}"/>
    <cellStyle name="Comma 2 5 3 5 3 2 3" xfId="13983" xr:uid="{E444CCE3-888F-43DC-B0C4-69C2E04258A0}"/>
    <cellStyle name="Comma 2 5 3 5 3 2 4" xfId="24399" xr:uid="{E4A103BE-193E-4818-A4DB-85D673F40132}"/>
    <cellStyle name="Comma 2 5 3 5 3 3" xfId="8794" xr:uid="{00000000-0005-0000-0000-0000E70F0000}"/>
    <cellStyle name="Comma 2 5 3 5 3 3 2" xfId="20340" xr:uid="{FE7CB346-E7E0-4E7A-AF4C-3E6227DEC590}"/>
    <cellStyle name="Comma 2 5 3 5 3 3 3" xfId="30756" xr:uid="{BD34121C-59A0-4CA9-ACB9-AF86CAF1CEE4}"/>
    <cellStyle name="Comma 2 5 3 5 3 4" xfId="5588" xr:uid="{00000000-0005-0000-0000-0000E80F0000}"/>
    <cellStyle name="Comma 2 5 3 5 3 4 2" xfId="17174" xr:uid="{9AF79E1D-3642-459A-B075-58B6B51A9483}"/>
    <cellStyle name="Comma 2 5 3 5 3 4 3" xfId="27590" xr:uid="{595892EC-9C8D-41B3-B1FB-54B9C0B9EA6F}"/>
    <cellStyle name="Comma 2 5 3 5 3 5" xfId="13982" xr:uid="{C0024A6A-8481-4E0A-8728-5EE51EF23363}"/>
    <cellStyle name="Comma 2 5 3 5 3 6" xfId="24398" xr:uid="{BE896F48-4C48-4D60-A240-7982BDA49D6A}"/>
    <cellStyle name="Comma 2 5 3 5 4" xfId="1649" xr:uid="{00000000-0005-0000-0000-0000E90F0000}"/>
    <cellStyle name="Comma 2 5 3 5 4 2" xfId="1650" xr:uid="{00000000-0005-0000-0000-0000EA0F0000}"/>
    <cellStyle name="Comma 2 5 3 5 4 2 2" xfId="8797" xr:uid="{00000000-0005-0000-0000-0000EB0F0000}"/>
    <cellStyle name="Comma 2 5 3 5 4 2 2 2" xfId="20343" xr:uid="{2644FE85-1C88-4511-9212-E7255E378B85}"/>
    <cellStyle name="Comma 2 5 3 5 4 2 2 3" xfId="30759" xr:uid="{ED7E9F6B-70A7-4894-A5CA-40E6F68B5150}"/>
    <cellStyle name="Comma 2 5 3 5 4 2 3" xfId="13985" xr:uid="{C32BA107-B353-42E4-A4D3-19BF3ADC779A}"/>
    <cellStyle name="Comma 2 5 3 5 4 2 4" xfId="24401" xr:uid="{B59170FB-A14F-42E1-99AD-843B517662DA}"/>
    <cellStyle name="Comma 2 5 3 5 4 3" xfId="8796" xr:uid="{00000000-0005-0000-0000-0000EC0F0000}"/>
    <cellStyle name="Comma 2 5 3 5 4 3 2" xfId="20342" xr:uid="{03D0FBE3-DF28-4793-B803-C6058580BA0C}"/>
    <cellStyle name="Comma 2 5 3 5 4 3 3" xfId="30758" xr:uid="{8942A250-A032-43F0-A775-B559015E796E}"/>
    <cellStyle name="Comma 2 5 3 5 4 4" xfId="5589" xr:uid="{00000000-0005-0000-0000-0000ED0F0000}"/>
    <cellStyle name="Comma 2 5 3 5 4 4 2" xfId="17175" xr:uid="{2CD3DFA3-9C4D-451F-87C6-F7B85819E923}"/>
    <cellStyle name="Comma 2 5 3 5 4 4 3" xfId="27591" xr:uid="{51823401-7415-4644-8E3F-FB7676BBB2B5}"/>
    <cellStyle name="Comma 2 5 3 5 4 5" xfId="13984" xr:uid="{5AB9C1FE-B9DD-4287-957F-9F64B12B77D6}"/>
    <cellStyle name="Comma 2 5 3 5 4 6" xfId="24400" xr:uid="{42AF50BA-F48D-40CA-AEAF-2C8E3C94FECA}"/>
    <cellStyle name="Comma 2 5 3 5 5" xfId="1651" xr:uid="{00000000-0005-0000-0000-0000EE0F0000}"/>
    <cellStyle name="Comma 2 5 3 5 5 2" xfId="8798" xr:uid="{00000000-0005-0000-0000-0000EF0F0000}"/>
    <cellStyle name="Comma 2 5 3 5 5 2 2" xfId="20344" xr:uid="{10244191-6B4E-48B9-82CF-F66954327FE0}"/>
    <cellStyle name="Comma 2 5 3 5 5 2 3" xfId="30760" xr:uid="{E211EFF8-699A-4718-8772-F83FED6AC704}"/>
    <cellStyle name="Comma 2 5 3 5 5 3" xfId="13986" xr:uid="{4E7DE08D-4D2F-460A-B37A-F7234ED113C7}"/>
    <cellStyle name="Comma 2 5 3 5 5 4" xfId="24402" xr:uid="{A0B25274-32E2-4E47-B0C9-C68D1CB023A9}"/>
    <cellStyle name="Comma 2 5 3 5 6" xfId="8789" xr:uid="{00000000-0005-0000-0000-0000F00F0000}"/>
    <cellStyle name="Comma 2 5 3 5 6 2" xfId="20335" xr:uid="{04FE8903-BA42-4A79-B479-D3E3EBA9EDBC}"/>
    <cellStyle name="Comma 2 5 3 5 6 3" xfId="30751" xr:uid="{F81359EF-1227-4DB9-9146-0D667DF921C6}"/>
    <cellStyle name="Comma 2 5 3 5 7" xfId="5585" xr:uid="{00000000-0005-0000-0000-0000F10F0000}"/>
    <cellStyle name="Comma 2 5 3 5 7 2" xfId="17171" xr:uid="{4B1352F3-073E-4718-80A4-E1C68A5855B3}"/>
    <cellStyle name="Comma 2 5 3 5 7 3" xfId="27587" xr:uid="{9A38191E-757B-4801-82C9-93E23ECE60A0}"/>
    <cellStyle name="Comma 2 5 3 5 8" xfId="13977" xr:uid="{10438980-9AA4-4CD4-BC15-39A13EA534C0}"/>
    <cellStyle name="Comma 2 5 3 5 9" xfId="24393" xr:uid="{C4EB4C14-D08D-4433-9B83-2ED901484ACF}"/>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2 2 2" xfId="20348" xr:uid="{14DC1202-3BB0-4360-AE2B-2455A58E579E}"/>
    <cellStyle name="Comma 2 5 3 6 2 2 2 2 3" xfId="30764" xr:uid="{CC2447AC-33BE-48C6-8958-9286318092F2}"/>
    <cellStyle name="Comma 2 5 3 6 2 2 2 3" xfId="13990" xr:uid="{A47515D3-D8E4-4E9B-BFE5-1F1A8600B543}"/>
    <cellStyle name="Comma 2 5 3 6 2 2 2 4" xfId="24406" xr:uid="{3182C94A-E824-4774-AD9F-B54002FB7BE7}"/>
    <cellStyle name="Comma 2 5 3 6 2 2 3" xfId="8801" xr:uid="{00000000-0005-0000-0000-0000F70F0000}"/>
    <cellStyle name="Comma 2 5 3 6 2 2 3 2" xfId="20347" xr:uid="{E8586878-A3A0-4EA8-BE28-7FBC59813915}"/>
    <cellStyle name="Comma 2 5 3 6 2 2 3 3" xfId="30763" xr:uid="{98E3481F-42AD-43AA-B9DC-BEBC8CB72CCA}"/>
    <cellStyle name="Comma 2 5 3 6 2 2 4" xfId="5592" xr:uid="{00000000-0005-0000-0000-0000F80F0000}"/>
    <cellStyle name="Comma 2 5 3 6 2 2 4 2" xfId="17178" xr:uid="{60AA5406-E240-46A7-8A62-126010211E6F}"/>
    <cellStyle name="Comma 2 5 3 6 2 2 4 3" xfId="27594" xr:uid="{E7EF152F-67F1-4AAF-A1B4-9A34037989BE}"/>
    <cellStyle name="Comma 2 5 3 6 2 2 5" xfId="13989" xr:uid="{0CF40564-A246-4730-8266-D09E0930979A}"/>
    <cellStyle name="Comma 2 5 3 6 2 2 6" xfId="24405" xr:uid="{5D472523-23CE-4DC5-9C7D-D306BE5B1236}"/>
    <cellStyle name="Comma 2 5 3 6 2 3" xfId="1656" xr:uid="{00000000-0005-0000-0000-0000F90F0000}"/>
    <cellStyle name="Comma 2 5 3 6 2 3 2" xfId="8803" xr:uid="{00000000-0005-0000-0000-0000FA0F0000}"/>
    <cellStyle name="Comma 2 5 3 6 2 3 2 2" xfId="20349" xr:uid="{551215A7-284E-4B45-BA17-5F282112094E}"/>
    <cellStyle name="Comma 2 5 3 6 2 3 2 3" xfId="30765" xr:uid="{3584F82A-2E3E-4F48-864B-B54CCDC9CC1D}"/>
    <cellStyle name="Comma 2 5 3 6 2 3 3" xfId="13991" xr:uid="{6DEEC07C-0D18-4313-86D5-2E6824A87428}"/>
    <cellStyle name="Comma 2 5 3 6 2 3 4" xfId="24407" xr:uid="{F33A3B26-7674-445F-B0F6-208A37702C47}"/>
    <cellStyle name="Comma 2 5 3 6 2 4" xfId="8800" xr:uid="{00000000-0005-0000-0000-0000FB0F0000}"/>
    <cellStyle name="Comma 2 5 3 6 2 4 2" xfId="20346" xr:uid="{962FBB7B-55A3-4ED1-A5D3-09AE137CBC27}"/>
    <cellStyle name="Comma 2 5 3 6 2 4 3" xfId="30762" xr:uid="{A03D90AD-C1CE-4DA1-A1F3-4C72D185AB2C}"/>
    <cellStyle name="Comma 2 5 3 6 2 5" xfId="5591" xr:uid="{00000000-0005-0000-0000-0000FC0F0000}"/>
    <cellStyle name="Comma 2 5 3 6 2 5 2" xfId="17177" xr:uid="{063A55D2-1AEB-4263-93EC-89482EEFC386}"/>
    <cellStyle name="Comma 2 5 3 6 2 5 3" xfId="27593" xr:uid="{369D2224-33F4-42D6-90D4-DABDE22C6BE5}"/>
    <cellStyle name="Comma 2 5 3 6 2 6" xfId="13988" xr:uid="{FEF2C27E-FDBF-4E9E-A46C-C8A99B4FBE02}"/>
    <cellStyle name="Comma 2 5 3 6 2 7" xfId="24404" xr:uid="{B39BE847-987C-4DFA-87A8-472A7263275E}"/>
    <cellStyle name="Comma 2 5 3 6 3" xfId="1657" xr:uid="{00000000-0005-0000-0000-0000FD0F0000}"/>
    <cellStyle name="Comma 2 5 3 6 3 2" xfId="1658" xr:uid="{00000000-0005-0000-0000-0000FE0F0000}"/>
    <cellStyle name="Comma 2 5 3 6 3 2 2" xfId="8805" xr:uid="{00000000-0005-0000-0000-0000FF0F0000}"/>
    <cellStyle name="Comma 2 5 3 6 3 2 2 2" xfId="20351" xr:uid="{66984EE8-C726-41EB-8EC7-7D1448904588}"/>
    <cellStyle name="Comma 2 5 3 6 3 2 2 3" xfId="30767" xr:uid="{607BC88B-A782-4521-9010-185AF1F642A6}"/>
    <cellStyle name="Comma 2 5 3 6 3 2 3" xfId="13993" xr:uid="{2C5CA0B1-053A-4BE0-9379-6B4E28F3737D}"/>
    <cellStyle name="Comma 2 5 3 6 3 2 4" xfId="24409" xr:uid="{67963288-170C-4AAD-A635-7E826D780362}"/>
    <cellStyle name="Comma 2 5 3 6 3 3" xfId="8804" xr:uid="{00000000-0005-0000-0000-000000100000}"/>
    <cellStyle name="Comma 2 5 3 6 3 3 2" xfId="20350" xr:uid="{B153AA18-AC8E-4807-9667-6591D7D3FE37}"/>
    <cellStyle name="Comma 2 5 3 6 3 3 3" xfId="30766" xr:uid="{D9A3B469-A6E4-4542-8407-FDF57B72DCE1}"/>
    <cellStyle name="Comma 2 5 3 6 3 4" xfId="5593" xr:uid="{00000000-0005-0000-0000-000001100000}"/>
    <cellStyle name="Comma 2 5 3 6 3 4 2" xfId="17179" xr:uid="{E81394CD-D541-4052-AEEE-085F1384330E}"/>
    <cellStyle name="Comma 2 5 3 6 3 4 3" xfId="27595" xr:uid="{CD2D36F2-63F7-4726-A7BF-782314B15AA2}"/>
    <cellStyle name="Comma 2 5 3 6 3 5" xfId="13992" xr:uid="{AE88A396-4317-440F-9416-51D92C380D3A}"/>
    <cellStyle name="Comma 2 5 3 6 3 6" xfId="24408" xr:uid="{750074EA-CDA3-4BD3-97B7-FBCBDE3E350B}"/>
    <cellStyle name="Comma 2 5 3 6 4" xfId="1659" xr:uid="{00000000-0005-0000-0000-000002100000}"/>
    <cellStyle name="Comma 2 5 3 6 4 2" xfId="1660" xr:uid="{00000000-0005-0000-0000-000003100000}"/>
    <cellStyle name="Comma 2 5 3 6 4 2 2" xfId="8807" xr:uid="{00000000-0005-0000-0000-000004100000}"/>
    <cellStyle name="Comma 2 5 3 6 4 2 2 2" xfId="20353" xr:uid="{7E65B85E-B7EC-415D-A6F4-F379AD070F5B}"/>
    <cellStyle name="Comma 2 5 3 6 4 2 2 3" xfId="30769" xr:uid="{CFC6E743-39F9-43D2-B731-E810ED96987F}"/>
    <cellStyle name="Comma 2 5 3 6 4 2 3" xfId="13995" xr:uid="{CB35413A-D093-43B1-8666-AFCECC80C08C}"/>
    <cellStyle name="Comma 2 5 3 6 4 2 4" xfId="24411" xr:uid="{2893DB8A-ED4D-4CEC-B71A-1050A71179C3}"/>
    <cellStyle name="Comma 2 5 3 6 4 3" xfId="8806" xr:uid="{00000000-0005-0000-0000-000005100000}"/>
    <cellStyle name="Comma 2 5 3 6 4 3 2" xfId="20352" xr:uid="{6C4FF89D-CAEA-4C89-BFB0-087E788EB931}"/>
    <cellStyle name="Comma 2 5 3 6 4 3 3" xfId="30768" xr:uid="{C728982F-9B46-4D2D-AB0A-F084B2674511}"/>
    <cellStyle name="Comma 2 5 3 6 4 4" xfId="5594" xr:uid="{00000000-0005-0000-0000-000006100000}"/>
    <cellStyle name="Comma 2 5 3 6 4 4 2" xfId="17180" xr:uid="{DCB7BEF3-B02E-4643-A33F-62F5E17E56D5}"/>
    <cellStyle name="Comma 2 5 3 6 4 4 3" xfId="27596" xr:uid="{D0EF9F83-CC1B-4216-B6EF-10CF279B28BD}"/>
    <cellStyle name="Comma 2 5 3 6 4 5" xfId="13994" xr:uid="{A45317DF-7F73-422E-9683-6C1E5AD87576}"/>
    <cellStyle name="Comma 2 5 3 6 4 6" xfId="24410" xr:uid="{F810A5CE-93CB-4A88-98BD-D75321BB1C65}"/>
    <cellStyle name="Comma 2 5 3 6 5" xfId="1661" xr:uid="{00000000-0005-0000-0000-000007100000}"/>
    <cellStyle name="Comma 2 5 3 6 5 2" xfId="8808" xr:uid="{00000000-0005-0000-0000-000008100000}"/>
    <cellStyle name="Comma 2 5 3 6 5 2 2" xfId="20354" xr:uid="{45EDE0E5-7358-4287-9843-FB3A3FC0E3C1}"/>
    <cellStyle name="Comma 2 5 3 6 5 2 3" xfId="30770" xr:uid="{3D5ECB3E-A31A-49E1-B3A4-2BF726D1C7E8}"/>
    <cellStyle name="Comma 2 5 3 6 5 3" xfId="13996" xr:uid="{D669983B-6905-496D-A105-6A6A88603172}"/>
    <cellStyle name="Comma 2 5 3 6 5 4" xfId="24412" xr:uid="{994E64EC-6AFC-4A32-80BF-F33AAD648229}"/>
    <cellStyle name="Comma 2 5 3 6 6" xfId="8799" xr:uid="{00000000-0005-0000-0000-000009100000}"/>
    <cellStyle name="Comma 2 5 3 6 6 2" xfId="20345" xr:uid="{B8CF05CF-AFAF-4D26-B3A7-17CB96D44020}"/>
    <cellStyle name="Comma 2 5 3 6 6 3" xfId="30761" xr:uid="{0C37BA3B-8D16-48E2-889A-667154FE2003}"/>
    <cellStyle name="Comma 2 5 3 6 7" xfId="5590" xr:uid="{00000000-0005-0000-0000-00000A100000}"/>
    <cellStyle name="Comma 2 5 3 6 7 2" xfId="17176" xr:uid="{27A471B7-FBD3-4D57-A0D8-00AC21AF1088}"/>
    <cellStyle name="Comma 2 5 3 6 7 3" xfId="27592" xr:uid="{BD22E597-700D-44C2-9291-FA8C20AEDB43}"/>
    <cellStyle name="Comma 2 5 3 6 8" xfId="13987" xr:uid="{4A0B7CAC-4D2D-40B7-9435-23C632A7DAEE}"/>
    <cellStyle name="Comma 2 5 3 6 9" xfId="24403" xr:uid="{9A3CDC4F-2312-4621-AD9A-6138536393A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2 2 2" xfId="20357" xr:uid="{0494B3D3-2D9F-4E1B-8628-B0EECD256460}"/>
    <cellStyle name="Comma 2 5 3 7 2 2 2 3" xfId="30773" xr:uid="{D9CD2577-3C97-41EF-9309-7E81E29DA4F7}"/>
    <cellStyle name="Comma 2 5 3 7 2 2 3" xfId="13999" xr:uid="{5F4B5FC4-4800-4B59-BC65-F2EDC507D627}"/>
    <cellStyle name="Comma 2 5 3 7 2 2 4" xfId="24415" xr:uid="{F9337125-3968-4597-998E-561A89D8F2B7}"/>
    <cellStyle name="Comma 2 5 3 7 2 3" xfId="8810" xr:uid="{00000000-0005-0000-0000-00000F100000}"/>
    <cellStyle name="Comma 2 5 3 7 2 3 2" xfId="20356" xr:uid="{271A2BD5-90F0-4C82-8876-24784706C4D3}"/>
    <cellStyle name="Comma 2 5 3 7 2 3 3" xfId="30772" xr:uid="{FF826F00-86F5-4FE3-803B-1401CA16FF01}"/>
    <cellStyle name="Comma 2 5 3 7 2 4" xfId="5596" xr:uid="{00000000-0005-0000-0000-000010100000}"/>
    <cellStyle name="Comma 2 5 3 7 2 4 2" xfId="17182" xr:uid="{5FAF1864-9D5C-4CA2-AEE2-A0A5E6DE1B5F}"/>
    <cellStyle name="Comma 2 5 3 7 2 4 3" xfId="27598" xr:uid="{8672CB1C-3E98-4B2B-B32D-8128E18D8A7B}"/>
    <cellStyle name="Comma 2 5 3 7 2 5" xfId="13998" xr:uid="{37AF5845-E757-4575-BD87-B0F240730297}"/>
    <cellStyle name="Comma 2 5 3 7 2 6" xfId="24414" xr:uid="{E2261398-E478-48A9-B4B2-86565A103399}"/>
    <cellStyle name="Comma 2 5 3 7 3" xfId="1665" xr:uid="{00000000-0005-0000-0000-000011100000}"/>
    <cellStyle name="Comma 2 5 3 7 3 2" xfId="1666" xr:uid="{00000000-0005-0000-0000-000012100000}"/>
    <cellStyle name="Comma 2 5 3 7 3 2 2" xfId="8813" xr:uid="{00000000-0005-0000-0000-000013100000}"/>
    <cellStyle name="Comma 2 5 3 7 3 2 2 2" xfId="20359" xr:uid="{113FC3BD-E022-4D8C-B5CA-440973F348AB}"/>
    <cellStyle name="Comma 2 5 3 7 3 2 2 3" xfId="30775" xr:uid="{43170F92-DCC9-4D21-BE5A-B2E922D6D8AF}"/>
    <cellStyle name="Comma 2 5 3 7 3 2 3" xfId="14001" xr:uid="{335977ED-BEA4-41F9-9B1C-A8731CE1AF43}"/>
    <cellStyle name="Comma 2 5 3 7 3 2 4" xfId="24417" xr:uid="{0BED564C-8FB0-4EFF-9639-96A662A8CFF0}"/>
    <cellStyle name="Comma 2 5 3 7 3 3" xfId="8812" xr:uid="{00000000-0005-0000-0000-000014100000}"/>
    <cellStyle name="Comma 2 5 3 7 3 3 2" xfId="20358" xr:uid="{4A3A6691-E91C-4E12-B192-9A197E13E94B}"/>
    <cellStyle name="Comma 2 5 3 7 3 3 3" xfId="30774" xr:uid="{C5D6282B-BC85-468C-9E06-66FA28669699}"/>
    <cellStyle name="Comma 2 5 3 7 3 4" xfId="5597" xr:uid="{00000000-0005-0000-0000-000015100000}"/>
    <cellStyle name="Comma 2 5 3 7 3 4 2" xfId="17183" xr:uid="{DFB4A530-D1F4-43E1-AE05-8FBA0908B96D}"/>
    <cellStyle name="Comma 2 5 3 7 3 4 3" xfId="27599" xr:uid="{4664319E-D4BA-449C-80DD-B30958005782}"/>
    <cellStyle name="Comma 2 5 3 7 3 5" xfId="14000" xr:uid="{0B865D8D-D281-4402-9205-42E646A6291E}"/>
    <cellStyle name="Comma 2 5 3 7 3 6" xfId="24416" xr:uid="{7A0D249D-4112-475F-B1B8-147209986EDE}"/>
    <cellStyle name="Comma 2 5 3 7 4" xfId="1667" xr:uid="{00000000-0005-0000-0000-000016100000}"/>
    <cellStyle name="Comma 2 5 3 7 4 2" xfId="8814" xr:uid="{00000000-0005-0000-0000-000017100000}"/>
    <cellStyle name="Comma 2 5 3 7 4 2 2" xfId="20360" xr:uid="{A356DFC6-8FAC-4944-B0B1-9BBA59AA5AE1}"/>
    <cellStyle name="Comma 2 5 3 7 4 2 3" xfId="30776" xr:uid="{6F7EA0E5-2695-4ECA-94CD-9016DFB3B181}"/>
    <cellStyle name="Comma 2 5 3 7 4 3" xfId="14002" xr:uid="{6919FA6B-C6C9-4FFD-B46E-E785822414A6}"/>
    <cellStyle name="Comma 2 5 3 7 4 4" xfId="24418" xr:uid="{B117FB43-DF23-4EA6-BFFB-6713A43D5233}"/>
    <cellStyle name="Comma 2 5 3 7 5" xfId="8809" xr:uid="{00000000-0005-0000-0000-000018100000}"/>
    <cellStyle name="Comma 2 5 3 7 5 2" xfId="20355" xr:uid="{788C65A8-AFE2-47D0-8F96-10BE84AF6E69}"/>
    <cellStyle name="Comma 2 5 3 7 5 3" xfId="30771" xr:uid="{B7A972FC-5786-46E4-B579-909F8321DC5E}"/>
    <cellStyle name="Comma 2 5 3 7 6" xfId="5595" xr:uid="{00000000-0005-0000-0000-000019100000}"/>
    <cellStyle name="Comma 2 5 3 7 6 2" xfId="17181" xr:uid="{6C8ABE94-2ED1-48E3-B7E8-A3153CDEB44E}"/>
    <cellStyle name="Comma 2 5 3 7 6 3" xfId="27597" xr:uid="{E70652E4-38DA-471F-8C2B-3B25FC377ACA}"/>
    <cellStyle name="Comma 2 5 3 7 7" xfId="13997" xr:uid="{5F8A03FC-0F04-484E-8B1E-12D8181C3976}"/>
    <cellStyle name="Comma 2 5 3 7 8" xfId="24413" xr:uid="{CF5C46D6-206E-407D-8F8E-309F9DD2C2ED}"/>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2 2 2" xfId="20363" xr:uid="{BF651F5B-E33A-45B3-8F3E-FAFF521FF3A1}"/>
    <cellStyle name="Comma 2 5 3 8 2 2 2 3" xfId="30779" xr:uid="{D5486121-2FA5-44B5-B031-A926439C2536}"/>
    <cellStyle name="Comma 2 5 3 8 2 2 3" xfId="14005" xr:uid="{040A7B54-BF82-4945-A75B-6F83BB5DBC1C}"/>
    <cellStyle name="Comma 2 5 3 8 2 2 4" xfId="24421" xr:uid="{F24905EB-606F-4B14-A71D-7631F8F315B6}"/>
    <cellStyle name="Comma 2 5 3 8 2 3" xfId="8816" xr:uid="{00000000-0005-0000-0000-00001E100000}"/>
    <cellStyle name="Comma 2 5 3 8 2 3 2" xfId="20362" xr:uid="{67F2CCE4-8A16-4BF8-AE30-3D0671C94FFF}"/>
    <cellStyle name="Comma 2 5 3 8 2 3 3" xfId="30778" xr:uid="{285EA527-8937-4D0D-A336-0111A8D944AF}"/>
    <cellStyle name="Comma 2 5 3 8 2 4" xfId="5599" xr:uid="{00000000-0005-0000-0000-00001F100000}"/>
    <cellStyle name="Comma 2 5 3 8 2 4 2" xfId="17185" xr:uid="{EAE1A1E6-2182-4714-A225-9140CE4244A7}"/>
    <cellStyle name="Comma 2 5 3 8 2 4 3" xfId="27601" xr:uid="{8C620765-3A4E-4EF1-B423-AE8F93FEDDE5}"/>
    <cellStyle name="Comma 2 5 3 8 2 5" xfId="14004" xr:uid="{BE388011-6D84-46CE-B481-53129A03B002}"/>
    <cellStyle name="Comma 2 5 3 8 2 6" xfId="24420" xr:uid="{87541767-954C-40FF-B7C5-458F2BEEAFD5}"/>
    <cellStyle name="Comma 2 5 3 8 3" xfId="1671" xr:uid="{00000000-0005-0000-0000-000020100000}"/>
    <cellStyle name="Comma 2 5 3 8 3 2" xfId="8818" xr:uid="{00000000-0005-0000-0000-000021100000}"/>
    <cellStyle name="Comma 2 5 3 8 3 2 2" xfId="20364" xr:uid="{AC028EB3-28B5-4ED9-8281-FA00EC906D8A}"/>
    <cellStyle name="Comma 2 5 3 8 3 2 3" xfId="30780" xr:uid="{21DAD37B-B80F-46CD-AE73-47E73B3C0CA1}"/>
    <cellStyle name="Comma 2 5 3 8 3 3" xfId="14006" xr:uid="{BE639170-5526-48DE-8D04-DD72E4829E47}"/>
    <cellStyle name="Comma 2 5 3 8 3 4" xfId="24422" xr:uid="{BBCAA6E2-A4CD-4BCF-B7E0-044129D098BE}"/>
    <cellStyle name="Comma 2 5 3 8 4" xfId="8815" xr:uid="{00000000-0005-0000-0000-000022100000}"/>
    <cellStyle name="Comma 2 5 3 8 4 2" xfId="20361" xr:uid="{B5255EC9-58FB-43E7-BE58-ACF306C31E77}"/>
    <cellStyle name="Comma 2 5 3 8 4 3" xfId="30777" xr:uid="{9B2A1873-1B83-4BC3-B145-E4F32B075734}"/>
    <cellStyle name="Comma 2 5 3 8 5" xfId="5598" xr:uid="{00000000-0005-0000-0000-000023100000}"/>
    <cellStyle name="Comma 2 5 3 8 5 2" xfId="17184" xr:uid="{D32E7121-1FA4-4AB4-BF5E-0B942073B26B}"/>
    <cellStyle name="Comma 2 5 3 8 5 3" xfId="27600" xr:uid="{FA9541C5-693B-4DF2-9E87-BEF00C11D176}"/>
    <cellStyle name="Comma 2 5 3 8 6" xfId="14003" xr:uid="{D34FC106-09E9-4B21-8F2E-86CBB3A52E5A}"/>
    <cellStyle name="Comma 2 5 3 8 7" xfId="24419" xr:uid="{61130866-2BC2-48A4-8331-4D8F3BED1099}"/>
    <cellStyle name="Comma 2 5 3 9" xfId="1672" xr:uid="{00000000-0005-0000-0000-000024100000}"/>
    <cellStyle name="Comma 2 5 3 9 2" xfId="1673" xr:uid="{00000000-0005-0000-0000-000025100000}"/>
    <cellStyle name="Comma 2 5 3 9 2 2" xfId="8820" xr:uid="{00000000-0005-0000-0000-000026100000}"/>
    <cellStyle name="Comma 2 5 3 9 2 2 2" xfId="20366" xr:uid="{3B6E4C94-4FD0-4FE1-9929-5D77CA17F5C3}"/>
    <cellStyle name="Comma 2 5 3 9 2 2 3" xfId="30782" xr:uid="{F1E31FF6-D0CC-4FD6-920A-43284A8A4718}"/>
    <cellStyle name="Comma 2 5 3 9 2 3" xfId="14008" xr:uid="{D2206D26-4C2F-40D9-A0A6-8744C407F10E}"/>
    <cellStyle name="Comma 2 5 3 9 2 4" xfId="24424" xr:uid="{9FFF9EF8-294C-4068-9DF3-0D53ACA5A12A}"/>
    <cellStyle name="Comma 2 5 3 9 3" xfId="8819" xr:uid="{00000000-0005-0000-0000-000027100000}"/>
    <cellStyle name="Comma 2 5 3 9 3 2" xfId="20365" xr:uid="{8655041A-2313-4DD9-BF77-E450C9DA27D9}"/>
    <cellStyle name="Comma 2 5 3 9 3 3" xfId="30781" xr:uid="{710A7E5C-C639-48B1-A4F2-EAF5F12B044F}"/>
    <cellStyle name="Comma 2 5 3 9 4" xfId="5600" xr:uid="{00000000-0005-0000-0000-000028100000}"/>
    <cellStyle name="Comma 2 5 3 9 4 2" xfId="17186" xr:uid="{EF9DE1AB-41F8-4D48-B57F-73DD9D511625}"/>
    <cellStyle name="Comma 2 5 3 9 4 3" xfId="27602" xr:uid="{20467B36-13FC-46B1-B45F-09A937481EDC}"/>
    <cellStyle name="Comma 2 5 3 9 5" xfId="14007" xr:uid="{C81877CF-8EFB-498F-B0BA-62658B3F0EE8}"/>
    <cellStyle name="Comma 2 5 3 9 6" xfId="24423" xr:uid="{67A96329-4BAC-459F-8481-53A201CFFEB4}"/>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2 2 2" xfId="20369" xr:uid="{5C4584B7-294F-4C13-AF01-B73840CA956E}"/>
    <cellStyle name="Comma 2 5 4 10 2 2 3" xfId="30785" xr:uid="{2BBF42C8-3225-4AC5-BA55-DF48B39A42E7}"/>
    <cellStyle name="Comma 2 5 4 10 2 3" xfId="14011" xr:uid="{727E060E-D910-40D1-A470-02612E8CACDD}"/>
    <cellStyle name="Comma 2 5 4 10 2 4" xfId="24427" xr:uid="{D2517BD8-A67A-421F-9280-E9809BE2DDF2}"/>
    <cellStyle name="Comma 2 5 4 10 3" xfId="8822" xr:uid="{00000000-0005-0000-0000-00002D100000}"/>
    <cellStyle name="Comma 2 5 4 10 3 2" xfId="20368" xr:uid="{54D848F2-BDF3-4B60-A2CF-DFAE7927C453}"/>
    <cellStyle name="Comma 2 5 4 10 3 3" xfId="30784" xr:uid="{0E81A319-4F4E-482F-9124-943A1F7A9A5A}"/>
    <cellStyle name="Comma 2 5 4 10 4" xfId="5602" xr:uid="{00000000-0005-0000-0000-00002E100000}"/>
    <cellStyle name="Comma 2 5 4 10 4 2" xfId="17188" xr:uid="{00227807-65BB-4872-8303-151A579CAB7C}"/>
    <cellStyle name="Comma 2 5 4 10 4 3" xfId="27604" xr:uid="{12B9F001-CD4C-4525-928C-E70A59860502}"/>
    <cellStyle name="Comma 2 5 4 10 5" xfId="14010" xr:uid="{42610596-9773-426A-A9A9-3A72DB4EE9FE}"/>
    <cellStyle name="Comma 2 5 4 10 6" xfId="24426" xr:uid="{3EDE13C3-D260-4D3D-B1C2-8BA5D7DAA9DF}"/>
    <cellStyle name="Comma 2 5 4 11" xfId="1677" xr:uid="{00000000-0005-0000-0000-00002F100000}"/>
    <cellStyle name="Comma 2 5 4 11 2" xfId="8824" xr:uid="{00000000-0005-0000-0000-000030100000}"/>
    <cellStyle name="Comma 2 5 4 11 2 2" xfId="20370" xr:uid="{668012E7-E9BF-478E-A2BB-79A86B9D752D}"/>
    <cellStyle name="Comma 2 5 4 11 2 3" xfId="30786" xr:uid="{1178A43E-4B39-4EAD-B55D-44D907C1B14B}"/>
    <cellStyle name="Comma 2 5 4 11 3" xfId="14012" xr:uid="{D7FC5926-E924-4325-9F49-760EEDABD391}"/>
    <cellStyle name="Comma 2 5 4 11 4" xfId="24428" xr:uid="{9F3C67E1-5CDB-45F1-8719-70ECD3200A0C}"/>
    <cellStyle name="Comma 2 5 4 12" xfId="8821" xr:uid="{00000000-0005-0000-0000-000031100000}"/>
    <cellStyle name="Comma 2 5 4 12 2" xfId="20367" xr:uid="{15CA58CF-6099-49F8-A6F8-6280AE334481}"/>
    <cellStyle name="Comma 2 5 4 12 3" xfId="30783" xr:uid="{B9DDFB08-48A2-4516-993F-579328745477}"/>
    <cellStyle name="Comma 2 5 4 13" xfId="5601" xr:uid="{00000000-0005-0000-0000-000032100000}"/>
    <cellStyle name="Comma 2 5 4 13 2" xfId="17187" xr:uid="{856AED70-6079-467D-9574-276EE6AA9391}"/>
    <cellStyle name="Comma 2 5 4 13 3" xfId="27603" xr:uid="{02A8D3C5-D2BC-45F0-9368-4D7AB2B2A3C5}"/>
    <cellStyle name="Comma 2 5 4 14" xfId="14009" xr:uid="{51245EF8-88D2-43B6-A0DD-2FD040071D4C}"/>
    <cellStyle name="Comma 2 5 4 15" xfId="24425" xr:uid="{AF679EEE-0E79-4961-9A10-F8D3F0814389}"/>
    <cellStyle name="Comma 2 5 4 2" xfId="1678" xr:uid="{00000000-0005-0000-0000-000033100000}"/>
    <cellStyle name="Comma 2 5 4 2 10" xfId="1679" xr:uid="{00000000-0005-0000-0000-000034100000}"/>
    <cellStyle name="Comma 2 5 4 2 10 2" xfId="8826" xr:uid="{00000000-0005-0000-0000-000035100000}"/>
    <cellStyle name="Comma 2 5 4 2 10 2 2" xfId="20372" xr:uid="{3239887F-6088-4AA5-BB7C-31421AA243C0}"/>
    <cellStyle name="Comma 2 5 4 2 10 2 3" xfId="30788" xr:uid="{F712D573-7232-46E1-B42C-0B1002CF409C}"/>
    <cellStyle name="Comma 2 5 4 2 10 3" xfId="14014" xr:uid="{BB759EA6-2AED-413B-B4D7-FD99D9DF2BCF}"/>
    <cellStyle name="Comma 2 5 4 2 10 4" xfId="24430" xr:uid="{24DBCB42-638A-4A76-A659-D8B812F2CBAF}"/>
    <cellStyle name="Comma 2 5 4 2 11" xfId="8825" xr:uid="{00000000-0005-0000-0000-000036100000}"/>
    <cellStyle name="Comma 2 5 4 2 11 2" xfId="20371" xr:uid="{83E7238C-1AB4-44C5-88E8-D1588830D1CF}"/>
    <cellStyle name="Comma 2 5 4 2 11 3" xfId="30787" xr:uid="{31F1F8EB-6753-4148-B88F-2B2DDE5463D8}"/>
    <cellStyle name="Comma 2 5 4 2 12" xfId="5603" xr:uid="{00000000-0005-0000-0000-000037100000}"/>
    <cellStyle name="Comma 2 5 4 2 12 2" xfId="17189" xr:uid="{9FDBF70A-82BB-48C0-AC99-6891D17B3675}"/>
    <cellStyle name="Comma 2 5 4 2 12 3" xfId="27605" xr:uid="{FA157E7D-010F-4E7B-9BF2-9327B6255206}"/>
    <cellStyle name="Comma 2 5 4 2 13" xfId="14013" xr:uid="{3000C0A3-AFC2-48A7-841A-BB1644485ECB}"/>
    <cellStyle name="Comma 2 5 4 2 14" xfId="24429" xr:uid="{DFCA3F18-0DA7-42A3-A68D-8C5CEBAB47D8}"/>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2 2 2" xfId="20376" xr:uid="{94806D68-784C-41B3-BDDC-4919E4C0CACB}"/>
    <cellStyle name="Comma 2 5 4 2 2 2 2 2 2 3" xfId="30792" xr:uid="{CE14C474-8FAE-445E-A423-18C4517DDE01}"/>
    <cellStyle name="Comma 2 5 4 2 2 2 2 2 3" xfId="14018" xr:uid="{CAD2DC8B-C508-44F3-9772-9928E93F43B9}"/>
    <cellStyle name="Comma 2 5 4 2 2 2 2 2 4" xfId="24434" xr:uid="{2FC75D94-9385-4431-9BCD-203F7607A03C}"/>
    <cellStyle name="Comma 2 5 4 2 2 2 2 3" xfId="8829" xr:uid="{00000000-0005-0000-0000-00003D100000}"/>
    <cellStyle name="Comma 2 5 4 2 2 2 2 3 2" xfId="20375" xr:uid="{29BF7721-576D-409D-A292-110E5FB80564}"/>
    <cellStyle name="Comma 2 5 4 2 2 2 2 3 3" xfId="30791" xr:uid="{6765738E-B11D-4E21-8EB4-3642DBED9B33}"/>
    <cellStyle name="Comma 2 5 4 2 2 2 2 4" xfId="5606" xr:uid="{00000000-0005-0000-0000-00003E100000}"/>
    <cellStyle name="Comma 2 5 4 2 2 2 2 4 2" xfId="17192" xr:uid="{4E6E2B11-087B-498B-9E57-9E0405784017}"/>
    <cellStyle name="Comma 2 5 4 2 2 2 2 4 3" xfId="27608" xr:uid="{AB8D47BC-73FF-4BF5-97A5-8A6488380506}"/>
    <cellStyle name="Comma 2 5 4 2 2 2 2 5" xfId="14017" xr:uid="{4BD2D6CE-9B5B-4266-A4B6-98826C73B4C6}"/>
    <cellStyle name="Comma 2 5 4 2 2 2 2 6" xfId="24433" xr:uid="{A2A1D970-EDC0-44A7-824E-0EFEB487037C}"/>
    <cellStyle name="Comma 2 5 4 2 2 2 3" xfId="1684" xr:uid="{00000000-0005-0000-0000-00003F100000}"/>
    <cellStyle name="Comma 2 5 4 2 2 2 3 2" xfId="8831" xr:uid="{00000000-0005-0000-0000-000040100000}"/>
    <cellStyle name="Comma 2 5 4 2 2 2 3 2 2" xfId="20377" xr:uid="{0FF14734-49C8-4654-BAE3-BE27F94D9CEB}"/>
    <cellStyle name="Comma 2 5 4 2 2 2 3 2 3" xfId="30793" xr:uid="{CCE01EED-FCC4-4FBE-9E22-C3F23AA5EB12}"/>
    <cellStyle name="Comma 2 5 4 2 2 2 3 3" xfId="14019" xr:uid="{E3956174-E587-4A35-9E53-01D3ACAECEF0}"/>
    <cellStyle name="Comma 2 5 4 2 2 2 3 4" xfId="24435" xr:uid="{D8C07E0A-12EE-4087-BED3-C24DC8E35267}"/>
    <cellStyle name="Comma 2 5 4 2 2 2 4" xfId="8828" xr:uid="{00000000-0005-0000-0000-000041100000}"/>
    <cellStyle name="Comma 2 5 4 2 2 2 4 2" xfId="20374" xr:uid="{958DDA28-82A1-43C1-AFEB-EDD453E56F60}"/>
    <cellStyle name="Comma 2 5 4 2 2 2 4 3" xfId="30790" xr:uid="{46FC2E53-91C0-4863-AD66-CB68D839AC9C}"/>
    <cellStyle name="Comma 2 5 4 2 2 2 5" xfId="5605" xr:uid="{00000000-0005-0000-0000-000042100000}"/>
    <cellStyle name="Comma 2 5 4 2 2 2 5 2" xfId="17191" xr:uid="{4390BB51-AC4A-4A29-B944-051BCAAF593B}"/>
    <cellStyle name="Comma 2 5 4 2 2 2 5 3" xfId="27607" xr:uid="{07AC7D0B-58D4-450D-9722-BFDC22857FD3}"/>
    <cellStyle name="Comma 2 5 4 2 2 2 6" xfId="14016" xr:uid="{E6AD5B8A-12F3-41F1-A2D8-80548EB2256E}"/>
    <cellStyle name="Comma 2 5 4 2 2 2 7" xfId="24432" xr:uid="{3E917659-FB8F-42EB-BFA6-8A1815ADD4C2}"/>
    <cellStyle name="Comma 2 5 4 2 2 3" xfId="1685" xr:uid="{00000000-0005-0000-0000-000043100000}"/>
    <cellStyle name="Comma 2 5 4 2 2 3 2" xfId="1686" xr:uid="{00000000-0005-0000-0000-000044100000}"/>
    <cellStyle name="Comma 2 5 4 2 2 3 2 2" xfId="8833" xr:uid="{00000000-0005-0000-0000-000045100000}"/>
    <cellStyle name="Comma 2 5 4 2 2 3 2 2 2" xfId="20379" xr:uid="{BA4148FD-5929-45A6-B675-B9A7DD894E89}"/>
    <cellStyle name="Comma 2 5 4 2 2 3 2 2 3" xfId="30795" xr:uid="{6F384C1F-E382-4D3C-8932-C894CD80DCFE}"/>
    <cellStyle name="Comma 2 5 4 2 2 3 2 3" xfId="14021" xr:uid="{37854A88-6BA5-41B4-B348-1F2A828EE143}"/>
    <cellStyle name="Comma 2 5 4 2 2 3 2 4" xfId="24437" xr:uid="{A3953B63-CF88-4F4A-9156-000CD6518E52}"/>
    <cellStyle name="Comma 2 5 4 2 2 3 3" xfId="8832" xr:uid="{00000000-0005-0000-0000-000046100000}"/>
    <cellStyle name="Comma 2 5 4 2 2 3 3 2" xfId="20378" xr:uid="{856FB263-E509-4E5D-974C-366A7C74053A}"/>
    <cellStyle name="Comma 2 5 4 2 2 3 3 3" xfId="30794" xr:uid="{5115B2E9-1ECC-4B19-A404-D64A2E530742}"/>
    <cellStyle name="Comma 2 5 4 2 2 3 4" xfId="5607" xr:uid="{00000000-0005-0000-0000-000047100000}"/>
    <cellStyle name="Comma 2 5 4 2 2 3 4 2" xfId="17193" xr:uid="{2E6C971C-0EA3-4279-9C52-3BE5573203A4}"/>
    <cellStyle name="Comma 2 5 4 2 2 3 4 3" xfId="27609" xr:uid="{136DCA08-D3D8-4E18-B10B-2F2828665B96}"/>
    <cellStyle name="Comma 2 5 4 2 2 3 5" xfId="14020" xr:uid="{F9041915-68D1-4980-94B1-231EB7BC3804}"/>
    <cellStyle name="Comma 2 5 4 2 2 3 6" xfId="24436" xr:uid="{6EA39250-BE88-4762-B80F-4B017A6BD859}"/>
    <cellStyle name="Comma 2 5 4 2 2 4" xfId="1687" xr:uid="{00000000-0005-0000-0000-000048100000}"/>
    <cellStyle name="Comma 2 5 4 2 2 4 2" xfId="1688" xr:uid="{00000000-0005-0000-0000-000049100000}"/>
    <cellStyle name="Comma 2 5 4 2 2 4 2 2" xfId="8835" xr:uid="{00000000-0005-0000-0000-00004A100000}"/>
    <cellStyle name="Comma 2 5 4 2 2 4 2 2 2" xfId="20381" xr:uid="{AB862D63-CA57-4A6E-8B00-2C3192F8DF27}"/>
    <cellStyle name="Comma 2 5 4 2 2 4 2 2 3" xfId="30797" xr:uid="{9C59875F-19E2-44EA-8526-C236C5443F01}"/>
    <cellStyle name="Comma 2 5 4 2 2 4 2 3" xfId="14023" xr:uid="{81FC8DA1-936C-4C5A-A59D-5D64D1B199B3}"/>
    <cellStyle name="Comma 2 5 4 2 2 4 2 4" xfId="24439" xr:uid="{C2D2C10F-36EC-4717-87B3-7EE10A1AE5CC}"/>
    <cellStyle name="Comma 2 5 4 2 2 4 3" xfId="8834" xr:uid="{00000000-0005-0000-0000-00004B100000}"/>
    <cellStyle name="Comma 2 5 4 2 2 4 3 2" xfId="20380" xr:uid="{85D00236-BDAB-4A09-8ADE-5FE71F658590}"/>
    <cellStyle name="Comma 2 5 4 2 2 4 3 3" xfId="30796" xr:uid="{2DF1A26A-2A2E-42A2-BE5F-256D79B978AB}"/>
    <cellStyle name="Comma 2 5 4 2 2 4 4" xfId="5608" xr:uid="{00000000-0005-0000-0000-00004C100000}"/>
    <cellStyle name="Comma 2 5 4 2 2 4 4 2" xfId="17194" xr:uid="{72A09A53-A6ED-4CAF-B373-475CEC7E8AAD}"/>
    <cellStyle name="Comma 2 5 4 2 2 4 4 3" xfId="27610" xr:uid="{095E4F2B-77D7-4B7C-9580-6E4C40A831A7}"/>
    <cellStyle name="Comma 2 5 4 2 2 4 5" xfId="14022" xr:uid="{EF15D223-DDCF-46C7-A1F0-A05A02F9E288}"/>
    <cellStyle name="Comma 2 5 4 2 2 4 6" xfId="24438" xr:uid="{386FBDDA-BA96-4AD2-B89A-D2E969FADE5A}"/>
    <cellStyle name="Comma 2 5 4 2 2 5" xfId="1689" xr:uid="{00000000-0005-0000-0000-00004D100000}"/>
    <cellStyle name="Comma 2 5 4 2 2 5 2" xfId="8836" xr:uid="{00000000-0005-0000-0000-00004E100000}"/>
    <cellStyle name="Comma 2 5 4 2 2 5 2 2" xfId="20382" xr:uid="{510716B1-9E5D-4B94-B5D7-343FC5A59241}"/>
    <cellStyle name="Comma 2 5 4 2 2 5 2 3" xfId="30798" xr:uid="{2C1483AE-608F-48CF-BB1B-19004C7ED90A}"/>
    <cellStyle name="Comma 2 5 4 2 2 5 3" xfId="14024" xr:uid="{268FA71C-43D8-42A4-99FF-99947216C05C}"/>
    <cellStyle name="Comma 2 5 4 2 2 5 4" xfId="24440" xr:uid="{8DA335FF-9A4D-4373-9FA0-84B1F666F9F1}"/>
    <cellStyle name="Comma 2 5 4 2 2 6" xfId="8827" xr:uid="{00000000-0005-0000-0000-00004F100000}"/>
    <cellStyle name="Comma 2 5 4 2 2 6 2" xfId="20373" xr:uid="{D40BDE48-9D04-46AB-95FA-5DC5DF226133}"/>
    <cellStyle name="Comma 2 5 4 2 2 6 3" xfId="30789" xr:uid="{9F9B5E9E-4D3D-4D3E-A3F9-5139CF797DF4}"/>
    <cellStyle name="Comma 2 5 4 2 2 7" xfId="5604" xr:uid="{00000000-0005-0000-0000-000050100000}"/>
    <cellStyle name="Comma 2 5 4 2 2 7 2" xfId="17190" xr:uid="{9FD15AF6-52BC-4617-8F9F-37CD33FFE483}"/>
    <cellStyle name="Comma 2 5 4 2 2 7 3" xfId="27606" xr:uid="{EE8BF815-DC6A-4D46-8A70-37D22ADF76A3}"/>
    <cellStyle name="Comma 2 5 4 2 2 8" xfId="14015" xr:uid="{E0733AED-8600-4C8E-9BDF-4A0ABA55E3B1}"/>
    <cellStyle name="Comma 2 5 4 2 2 9" xfId="24431" xr:uid="{096044C2-87DC-4930-AA3E-A702F657D548}"/>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2 2 2" xfId="20386" xr:uid="{850B83D9-5AF8-4CD6-BEFC-80F66B9AF6F9}"/>
    <cellStyle name="Comma 2 5 4 2 3 2 2 2 2 3" xfId="30802" xr:uid="{F887ECB3-0BAA-4188-AFDA-C3766E730128}"/>
    <cellStyle name="Comma 2 5 4 2 3 2 2 2 3" xfId="14028" xr:uid="{8D786180-750C-44B1-A890-AB999D2F9BC7}"/>
    <cellStyle name="Comma 2 5 4 2 3 2 2 2 4" xfId="24444" xr:uid="{571CE482-AEB5-4C1C-B7F1-4CD034C33FBE}"/>
    <cellStyle name="Comma 2 5 4 2 3 2 2 3" xfId="8839" xr:uid="{00000000-0005-0000-0000-000056100000}"/>
    <cellStyle name="Comma 2 5 4 2 3 2 2 3 2" xfId="20385" xr:uid="{6E2333DA-A6C9-4F76-9B22-F7E977BDC1D8}"/>
    <cellStyle name="Comma 2 5 4 2 3 2 2 3 3" xfId="30801" xr:uid="{E60A54C8-7C72-4D14-B039-8FD8415EB8E7}"/>
    <cellStyle name="Comma 2 5 4 2 3 2 2 4" xfId="5611" xr:uid="{00000000-0005-0000-0000-000057100000}"/>
    <cellStyle name="Comma 2 5 4 2 3 2 2 4 2" xfId="17197" xr:uid="{A376A2C4-69D7-4859-B514-39AA4F09A961}"/>
    <cellStyle name="Comma 2 5 4 2 3 2 2 4 3" xfId="27613" xr:uid="{20B03C11-E2E7-4EA8-B25E-E950681CE6F1}"/>
    <cellStyle name="Comma 2 5 4 2 3 2 2 5" xfId="14027" xr:uid="{DEAE9D4E-5D98-4AF1-846A-4438400F5BBF}"/>
    <cellStyle name="Comma 2 5 4 2 3 2 2 6" xfId="24443" xr:uid="{D9A82880-5E8F-4F87-AF43-4C05BF4251BB}"/>
    <cellStyle name="Comma 2 5 4 2 3 2 3" xfId="1694" xr:uid="{00000000-0005-0000-0000-000058100000}"/>
    <cellStyle name="Comma 2 5 4 2 3 2 3 2" xfId="8841" xr:uid="{00000000-0005-0000-0000-000059100000}"/>
    <cellStyle name="Comma 2 5 4 2 3 2 3 2 2" xfId="20387" xr:uid="{2B4CAB58-C371-45CF-A8E9-D97D2128C963}"/>
    <cellStyle name="Comma 2 5 4 2 3 2 3 2 3" xfId="30803" xr:uid="{52647B5A-7264-4D7E-8E48-2CED2B9C86F9}"/>
    <cellStyle name="Comma 2 5 4 2 3 2 3 3" xfId="14029" xr:uid="{0B794D5E-9AA2-4B16-80E7-6D9F15AD0155}"/>
    <cellStyle name="Comma 2 5 4 2 3 2 3 4" xfId="24445" xr:uid="{95369035-C874-4701-8182-35ADC9628B1F}"/>
    <cellStyle name="Comma 2 5 4 2 3 2 4" xfId="8838" xr:uid="{00000000-0005-0000-0000-00005A100000}"/>
    <cellStyle name="Comma 2 5 4 2 3 2 4 2" xfId="20384" xr:uid="{833A0F3C-4C05-4F0F-B7C3-83E760FADB19}"/>
    <cellStyle name="Comma 2 5 4 2 3 2 4 3" xfId="30800" xr:uid="{13C74C4B-B397-462B-9A14-B8296A02A44F}"/>
    <cellStyle name="Comma 2 5 4 2 3 2 5" xfId="5610" xr:uid="{00000000-0005-0000-0000-00005B100000}"/>
    <cellStyle name="Comma 2 5 4 2 3 2 5 2" xfId="17196" xr:uid="{75D0F1D0-A765-4489-B03F-2E94E8CCC8BC}"/>
    <cellStyle name="Comma 2 5 4 2 3 2 5 3" xfId="27612" xr:uid="{C3DD01ED-1282-4A72-BF7F-D503EF8C869F}"/>
    <cellStyle name="Comma 2 5 4 2 3 2 6" xfId="14026" xr:uid="{B5845961-51B6-4262-AFC8-1BD342526F5D}"/>
    <cellStyle name="Comma 2 5 4 2 3 2 7" xfId="24442" xr:uid="{6102C082-8651-4762-A7BD-5EF762B06527}"/>
    <cellStyle name="Comma 2 5 4 2 3 3" xfId="1695" xr:uid="{00000000-0005-0000-0000-00005C100000}"/>
    <cellStyle name="Comma 2 5 4 2 3 3 2" xfId="1696" xr:uid="{00000000-0005-0000-0000-00005D100000}"/>
    <cellStyle name="Comma 2 5 4 2 3 3 2 2" xfId="8843" xr:uid="{00000000-0005-0000-0000-00005E100000}"/>
    <cellStyle name="Comma 2 5 4 2 3 3 2 2 2" xfId="20389" xr:uid="{FBAE3C3A-9684-4296-B6C7-852FC0BFC1BC}"/>
    <cellStyle name="Comma 2 5 4 2 3 3 2 2 3" xfId="30805" xr:uid="{2A374C04-AFE3-4D44-8223-A6B5D99C29FD}"/>
    <cellStyle name="Comma 2 5 4 2 3 3 2 3" xfId="14031" xr:uid="{E7CD4B05-6B85-44E8-BC0C-1FF643888A7E}"/>
    <cellStyle name="Comma 2 5 4 2 3 3 2 4" xfId="24447" xr:uid="{1D6EF880-C24C-4F38-9CD7-7FB1C1D9A1AC}"/>
    <cellStyle name="Comma 2 5 4 2 3 3 3" xfId="8842" xr:uid="{00000000-0005-0000-0000-00005F100000}"/>
    <cellStyle name="Comma 2 5 4 2 3 3 3 2" xfId="20388" xr:uid="{D50567A7-781A-4CEA-B4E2-4C96AEFA561F}"/>
    <cellStyle name="Comma 2 5 4 2 3 3 3 3" xfId="30804" xr:uid="{A57EE64E-93CB-4357-BD2A-3C48D7F2D2F6}"/>
    <cellStyle name="Comma 2 5 4 2 3 3 4" xfId="5612" xr:uid="{00000000-0005-0000-0000-000060100000}"/>
    <cellStyle name="Comma 2 5 4 2 3 3 4 2" xfId="17198" xr:uid="{C534137E-2C74-4CFA-ACDC-F6B4176E1DD0}"/>
    <cellStyle name="Comma 2 5 4 2 3 3 4 3" xfId="27614" xr:uid="{20EE614A-248B-4770-98CE-2486DB24505F}"/>
    <cellStyle name="Comma 2 5 4 2 3 3 5" xfId="14030" xr:uid="{EE21376E-2CDD-4AE6-B728-BCE9DE393F92}"/>
    <cellStyle name="Comma 2 5 4 2 3 3 6" xfId="24446" xr:uid="{01208C5D-E2D1-4404-814F-A11AFBEDB061}"/>
    <cellStyle name="Comma 2 5 4 2 3 4" xfId="1697" xr:uid="{00000000-0005-0000-0000-000061100000}"/>
    <cellStyle name="Comma 2 5 4 2 3 4 2" xfId="1698" xr:uid="{00000000-0005-0000-0000-000062100000}"/>
    <cellStyle name="Comma 2 5 4 2 3 4 2 2" xfId="8845" xr:uid="{00000000-0005-0000-0000-000063100000}"/>
    <cellStyle name="Comma 2 5 4 2 3 4 2 2 2" xfId="20391" xr:uid="{8BC9167C-3E78-4F6A-B405-4FE69507EEF4}"/>
    <cellStyle name="Comma 2 5 4 2 3 4 2 2 3" xfId="30807" xr:uid="{4B97AE85-E286-4266-9C3B-8B14871EF3EB}"/>
    <cellStyle name="Comma 2 5 4 2 3 4 2 3" xfId="14033" xr:uid="{B056763C-4FB0-4204-8D66-BE0DE1138694}"/>
    <cellStyle name="Comma 2 5 4 2 3 4 2 4" xfId="24449" xr:uid="{842FFDED-0B30-4641-A6CE-28FA05796F88}"/>
    <cellStyle name="Comma 2 5 4 2 3 4 3" xfId="8844" xr:uid="{00000000-0005-0000-0000-000064100000}"/>
    <cellStyle name="Comma 2 5 4 2 3 4 3 2" xfId="20390" xr:uid="{456DC828-525E-4382-94BA-E4F809912057}"/>
    <cellStyle name="Comma 2 5 4 2 3 4 3 3" xfId="30806" xr:uid="{9AFC0D0E-F7C4-4CDE-B66A-09F37372E278}"/>
    <cellStyle name="Comma 2 5 4 2 3 4 4" xfId="5613" xr:uid="{00000000-0005-0000-0000-000065100000}"/>
    <cellStyle name="Comma 2 5 4 2 3 4 4 2" xfId="17199" xr:uid="{C17A5C98-38A6-41F5-9D84-9B0AC424AD23}"/>
    <cellStyle name="Comma 2 5 4 2 3 4 4 3" xfId="27615" xr:uid="{0EE723D1-40E0-4701-94CF-798C2506ADB2}"/>
    <cellStyle name="Comma 2 5 4 2 3 4 5" xfId="14032" xr:uid="{68A4B5C5-B384-48D6-8883-E68D7962DCFA}"/>
    <cellStyle name="Comma 2 5 4 2 3 4 6" xfId="24448" xr:uid="{6128D35C-BF43-4F26-A679-396EDEF29F74}"/>
    <cellStyle name="Comma 2 5 4 2 3 5" xfId="1699" xr:uid="{00000000-0005-0000-0000-000066100000}"/>
    <cellStyle name="Comma 2 5 4 2 3 5 2" xfId="8846" xr:uid="{00000000-0005-0000-0000-000067100000}"/>
    <cellStyle name="Comma 2 5 4 2 3 5 2 2" xfId="20392" xr:uid="{3EC7AACF-ED24-4209-BDEF-21891F1D5155}"/>
    <cellStyle name="Comma 2 5 4 2 3 5 2 3" xfId="30808" xr:uid="{E65E380A-CFC6-4F8E-B409-0C367005827E}"/>
    <cellStyle name="Comma 2 5 4 2 3 5 3" xfId="14034" xr:uid="{05B4DBE3-D316-43AD-8A17-3ED5057CF101}"/>
    <cellStyle name="Comma 2 5 4 2 3 5 4" xfId="24450" xr:uid="{30D54247-6783-4EAA-9D32-2FD66707F1CB}"/>
    <cellStyle name="Comma 2 5 4 2 3 6" xfId="8837" xr:uid="{00000000-0005-0000-0000-000068100000}"/>
    <cellStyle name="Comma 2 5 4 2 3 6 2" xfId="20383" xr:uid="{AEEDE98E-150A-4CDF-9699-43A2E889DF15}"/>
    <cellStyle name="Comma 2 5 4 2 3 6 3" xfId="30799" xr:uid="{70931EB0-1B82-4334-9B76-D59904641E68}"/>
    <cellStyle name="Comma 2 5 4 2 3 7" xfId="5609" xr:uid="{00000000-0005-0000-0000-000069100000}"/>
    <cellStyle name="Comma 2 5 4 2 3 7 2" xfId="17195" xr:uid="{ABFF83B2-0539-4E50-899B-80B40DA685CC}"/>
    <cellStyle name="Comma 2 5 4 2 3 7 3" xfId="27611" xr:uid="{AFFFA950-6E83-4CEB-8D71-EFE7859982C6}"/>
    <cellStyle name="Comma 2 5 4 2 3 8" xfId="14025" xr:uid="{A8120CED-9DFB-4251-BC4A-3EE5C9C9CDB2}"/>
    <cellStyle name="Comma 2 5 4 2 3 9" xfId="24441" xr:uid="{16440467-BAFA-4177-A446-83F251EADB5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2 2 2" xfId="20396" xr:uid="{BBBF6C3D-E377-4504-93F6-DE90B3B470AA}"/>
    <cellStyle name="Comma 2 5 4 2 4 2 2 2 2 3" xfId="30812" xr:uid="{672E81B8-FB14-467E-A281-8E9F9ED60B44}"/>
    <cellStyle name="Comma 2 5 4 2 4 2 2 2 3" xfId="14038" xr:uid="{D11C1F94-481B-4196-A67D-428F20709DB2}"/>
    <cellStyle name="Comma 2 5 4 2 4 2 2 2 4" xfId="24454" xr:uid="{6AB57833-0422-4E69-9E91-2BA485E62355}"/>
    <cellStyle name="Comma 2 5 4 2 4 2 2 3" xfId="8849" xr:uid="{00000000-0005-0000-0000-00006F100000}"/>
    <cellStyle name="Comma 2 5 4 2 4 2 2 3 2" xfId="20395" xr:uid="{1DFCEA94-E2DA-4619-93C7-8361BC49C0D2}"/>
    <cellStyle name="Comma 2 5 4 2 4 2 2 3 3" xfId="30811" xr:uid="{B2EC2DA1-C42B-4F76-9C9F-3C11A19AA2E4}"/>
    <cellStyle name="Comma 2 5 4 2 4 2 2 4" xfId="5616" xr:uid="{00000000-0005-0000-0000-000070100000}"/>
    <cellStyle name="Comma 2 5 4 2 4 2 2 4 2" xfId="17202" xr:uid="{DCEF9D61-50D9-42F0-8DCD-F19AA2C56E89}"/>
    <cellStyle name="Comma 2 5 4 2 4 2 2 4 3" xfId="27618" xr:uid="{4C84A89A-648A-4854-A0E8-1CC7675AE3A3}"/>
    <cellStyle name="Comma 2 5 4 2 4 2 2 5" xfId="14037" xr:uid="{44913574-97C5-4203-9CC3-20765C608886}"/>
    <cellStyle name="Comma 2 5 4 2 4 2 2 6" xfId="24453" xr:uid="{9559EDD9-2AED-4194-9877-8CD2A74B2D9A}"/>
    <cellStyle name="Comma 2 5 4 2 4 2 3" xfId="1704" xr:uid="{00000000-0005-0000-0000-000071100000}"/>
    <cellStyle name="Comma 2 5 4 2 4 2 3 2" xfId="8851" xr:uid="{00000000-0005-0000-0000-000072100000}"/>
    <cellStyle name="Comma 2 5 4 2 4 2 3 2 2" xfId="20397" xr:uid="{51BCAF7E-2B50-414A-83E1-7B3766DA7DE9}"/>
    <cellStyle name="Comma 2 5 4 2 4 2 3 2 3" xfId="30813" xr:uid="{C7A5A942-DB7B-4C5E-BA72-1A8C8CC8028B}"/>
    <cellStyle name="Comma 2 5 4 2 4 2 3 3" xfId="14039" xr:uid="{730ECDA4-7D4A-4A2B-A907-DA0E95F852AF}"/>
    <cellStyle name="Comma 2 5 4 2 4 2 3 4" xfId="24455" xr:uid="{F68EE1C3-FBC0-47C0-8C71-FB09FF55097A}"/>
    <cellStyle name="Comma 2 5 4 2 4 2 4" xfId="8848" xr:uid="{00000000-0005-0000-0000-000073100000}"/>
    <cellStyle name="Comma 2 5 4 2 4 2 4 2" xfId="20394" xr:uid="{5DA834E3-4459-4210-B8AD-726953FD8895}"/>
    <cellStyle name="Comma 2 5 4 2 4 2 4 3" xfId="30810" xr:uid="{827BA51B-30D7-44DA-90B9-D3760B01AFA3}"/>
    <cellStyle name="Comma 2 5 4 2 4 2 5" xfId="5615" xr:uid="{00000000-0005-0000-0000-000074100000}"/>
    <cellStyle name="Comma 2 5 4 2 4 2 5 2" xfId="17201" xr:uid="{CF8595AF-7379-489A-8F33-A0031878956B}"/>
    <cellStyle name="Comma 2 5 4 2 4 2 5 3" xfId="27617" xr:uid="{8F252DAB-2A21-44B3-A34D-E4DA788A18B6}"/>
    <cellStyle name="Comma 2 5 4 2 4 2 6" xfId="14036" xr:uid="{4936E051-4744-4981-A4BF-CB438B753189}"/>
    <cellStyle name="Comma 2 5 4 2 4 2 7" xfId="24452" xr:uid="{2F53B7F2-45F5-4C90-9917-78233CC1E8F5}"/>
    <cellStyle name="Comma 2 5 4 2 4 3" xfId="1705" xr:uid="{00000000-0005-0000-0000-000075100000}"/>
    <cellStyle name="Comma 2 5 4 2 4 3 2" xfId="1706" xr:uid="{00000000-0005-0000-0000-000076100000}"/>
    <cellStyle name="Comma 2 5 4 2 4 3 2 2" xfId="8853" xr:uid="{00000000-0005-0000-0000-000077100000}"/>
    <cellStyle name="Comma 2 5 4 2 4 3 2 2 2" xfId="20399" xr:uid="{89574CA4-CBB9-469F-9447-B55EE3D9ADDA}"/>
    <cellStyle name="Comma 2 5 4 2 4 3 2 2 3" xfId="30815" xr:uid="{41E0B2E3-CEC9-45E7-9EF5-4346C14EA379}"/>
    <cellStyle name="Comma 2 5 4 2 4 3 2 3" xfId="14041" xr:uid="{CF1F9249-E88B-4ED8-89BA-E70F1912FBF6}"/>
    <cellStyle name="Comma 2 5 4 2 4 3 2 4" xfId="24457" xr:uid="{408685FE-E450-4FA2-8C6A-038CBFD84FA5}"/>
    <cellStyle name="Comma 2 5 4 2 4 3 3" xfId="8852" xr:uid="{00000000-0005-0000-0000-000078100000}"/>
    <cellStyle name="Comma 2 5 4 2 4 3 3 2" xfId="20398" xr:uid="{D3E25768-4E5C-4DF8-8F70-5A8C7DD565A0}"/>
    <cellStyle name="Comma 2 5 4 2 4 3 3 3" xfId="30814" xr:uid="{1CB89204-61FB-4E08-8398-8488507E77FC}"/>
    <cellStyle name="Comma 2 5 4 2 4 3 4" xfId="5617" xr:uid="{00000000-0005-0000-0000-000079100000}"/>
    <cellStyle name="Comma 2 5 4 2 4 3 4 2" xfId="17203" xr:uid="{7CC034E7-DDD7-4533-9809-35A564F3DCE5}"/>
    <cellStyle name="Comma 2 5 4 2 4 3 4 3" xfId="27619" xr:uid="{3BE61963-21F1-4482-995E-83D9BCA9E644}"/>
    <cellStyle name="Comma 2 5 4 2 4 3 5" xfId="14040" xr:uid="{3D501A2C-EAA1-4E05-B666-0093297F6FF6}"/>
    <cellStyle name="Comma 2 5 4 2 4 3 6" xfId="24456" xr:uid="{0336E46C-53BC-41E6-8B26-67C2B6868E31}"/>
    <cellStyle name="Comma 2 5 4 2 4 4" xfId="1707" xr:uid="{00000000-0005-0000-0000-00007A100000}"/>
    <cellStyle name="Comma 2 5 4 2 4 4 2" xfId="1708" xr:uid="{00000000-0005-0000-0000-00007B100000}"/>
    <cellStyle name="Comma 2 5 4 2 4 4 2 2" xfId="8855" xr:uid="{00000000-0005-0000-0000-00007C100000}"/>
    <cellStyle name="Comma 2 5 4 2 4 4 2 2 2" xfId="20401" xr:uid="{5B20038F-9C1B-475E-BA5F-0765820A5367}"/>
    <cellStyle name="Comma 2 5 4 2 4 4 2 2 3" xfId="30817" xr:uid="{692BAE69-97FC-45F0-92A3-65367A9309DE}"/>
    <cellStyle name="Comma 2 5 4 2 4 4 2 3" xfId="14043" xr:uid="{7DC54A80-79E2-47E9-9847-D30FFF9C91F3}"/>
    <cellStyle name="Comma 2 5 4 2 4 4 2 4" xfId="24459" xr:uid="{CEC2C805-4EFF-4D63-B29E-552A79A4902B}"/>
    <cellStyle name="Comma 2 5 4 2 4 4 3" xfId="8854" xr:uid="{00000000-0005-0000-0000-00007D100000}"/>
    <cellStyle name="Comma 2 5 4 2 4 4 3 2" xfId="20400" xr:uid="{0AD2F2AA-9649-4F9C-B19F-ABE70BC33265}"/>
    <cellStyle name="Comma 2 5 4 2 4 4 3 3" xfId="30816" xr:uid="{DF915A20-F28E-4969-8721-393877AEB404}"/>
    <cellStyle name="Comma 2 5 4 2 4 4 4" xfId="5618" xr:uid="{00000000-0005-0000-0000-00007E100000}"/>
    <cellStyle name="Comma 2 5 4 2 4 4 4 2" xfId="17204" xr:uid="{AED51442-249C-4FD6-ADDC-99683074BA14}"/>
    <cellStyle name="Comma 2 5 4 2 4 4 4 3" xfId="27620" xr:uid="{3A8B0411-EFD2-40DA-8175-0AC7741E89AE}"/>
    <cellStyle name="Comma 2 5 4 2 4 4 5" xfId="14042" xr:uid="{B2F1DA7B-FB33-4758-B31A-9461B1F0469C}"/>
    <cellStyle name="Comma 2 5 4 2 4 4 6" xfId="24458" xr:uid="{EDBAD15E-D794-45B5-8AC0-DD157DBF63B9}"/>
    <cellStyle name="Comma 2 5 4 2 4 5" xfId="1709" xr:uid="{00000000-0005-0000-0000-00007F100000}"/>
    <cellStyle name="Comma 2 5 4 2 4 5 2" xfId="8856" xr:uid="{00000000-0005-0000-0000-000080100000}"/>
    <cellStyle name="Comma 2 5 4 2 4 5 2 2" xfId="20402" xr:uid="{30204FF6-8A0C-4ABF-A505-800681A3E344}"/>
    <cellStyle name="Comma 2 5 4 2 4 5 2 3" xfId="30818" xr:uid="{BBC45EBB-3DA5-4E48-9AD3-4690EE1ACA90}"/>
    <cellStyle name="Comma 2 5 4 2 4 5 3" xfId="14044" xr:uid="{3351FC25-BF5E-47F9-A940-18DD46836300}"/>
    <cellStyle name="Comma 2 5 4 2 4 5 4" xfId="24460" xr:uid="{383C914F-CC93-4D0B-8AE0-7F9D4100DB87}"/>
    <cellStyle name="Comma 2 5 4 2 4 6" xfId="8847" xr:uid="{00000000-0005-0000-0000-000081100000}"/>
    <cellStyle name="Comma 2 5 4 2 4 6 2" xfId="20393" xr:uid="{168A7557-50A7-4C5B-A8B1-CC42BBBBCA9E}"/>
    <cellStyle name="Comma 2 5 4 2 4 6 3" xfId="30809" xr:uid="{D9A43DF2-8516-4FB1-BE8E-F84517E67EB8}"/>
    <cellStyle name="Comma 2 5 4 2 4 7" xfId="5614" xr:uid="{00000000-0005-0000-0000-000082100000}"/>
    <cellStyle name="Comma 2 5 4 2 4 7 2" xfId="17200" xr:uid="{59CD37F6-7F23-44CD-9A54-2F81B58EE3B8}"/>
    <cellStyle name="Comma 2 5 4 2 4 7 3" xfId="27616" xr:uid="{7F90E8B3-0685-40E7-94F2-A8044CD1D294}"/>
    <cellStyle name="Comma 2 5 4 2 4 8" xfId="14035" xr:uid="{1796C23B-02EE-4FAF-8328-0A2F4E1721F2}"/>
    <cellStyle name="Comma 2 5 4 2 4 9" xfId="24451" xr:uid="{989C7014-1284-4947-9983-81AF3B5CD3BF}"/>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2 2 2" xfId="20406" xr:uid="{C6FEDE36-5E10-408B-9167-E52897F3D078}"/>
    <cellStyle name="Comma 2 5 4 2 5 2 2 2 2 3" xfId="30822" xr:uid="{08FF96B2-EE7A-488A-B557-395A473BEF27}"/>
    <cellStyle name="Comma 2 5 4 2 5 2 2 2 3" xfId="14048" xr:uid="{058AD8BF-430B-46B8-AFB6-72457C03B2CE}"/>
    <cellStyle name="Comma 2 5 4 2 5 2 2 2 4" xfId="24464" xr:uid="{F94D26DB-22A2-49E9-BE65-6AD3A250068D}"/>
    <cellStyle name="Comma 2 5 4 2 5 2 2 3" xfId="8859" xr:uid="{00000000-0005-0000-0000-000088100000}"/>
    <cellStyle name="Comma 2 5 4 2 5 2 2 3 2" xfId="20405" xr:uid="{2484E7AA-D59A-4153-B9FA-AF8D8B78D04E}"/>
    <cellStyle name="Comma 2 5 4 2 5 2 2 3 3" xfId="30821" xr:uid="{34711D90-619C-42B0-A9D6-C0028BFCF9DF}"/>
    <cellStyle name="Comma 2 5 4 2 5 2 2 4" xfId="5621" xr:uid="{00000000-0005-0000-0000-000089100000}"/>
    <cellStyle name="Comma 2 5 4 2 5 2 2 4 2" xfId="17207" xr:uid="{B148BB48-0694-47C0-8675-DB1D79F1BA59}"/>
    <cellStyle name="Comma 2 5 4 2 5 2 2 4 3" xfId="27623" xr:uid="{242CFACE-A708-4C51-93A2-578DCE1F7478}"/>
    <cellStyle name="Comma 2 5 4 2 5 2 2 5" xfId="14047" xr:uid="{2B7BB9EC-BEE8-469E-B8D0-AE0B08E009B5}"/>
    <cellStyle name="Comma 2 5 4 2 5 2 2 6" xfId="24463" xr:uid="{E90AC200-0A9A-4BE2-898B-FAB3B7A9EFBC}"/>
    <cellStyle name="Comma 2 5 4 2 5 2 3" xfId="1714" xr:uid="{00000000-0005-0000-0000-00008A100000}"/>
    <cellStyle name="Comma 2 5 4 2 5 2 3 2" xfId="8861" xr:uid="{00000000-0005-0000-0000-00008B100000}"/>
    <cellStyle name="Comma 2 5 4 2 5 2 3 2 2" xfId="20407" xr:uid="{832EFEAC-7DD0-4474-8924-4725A290DC86}"/>
    <cellStyle name="Comma 2 5 4 2 5 2 3 2 3" xfId="30823" xr:uid="{A12C79EE-7338-40F1-AE72-F6AC437A46A6}"/>
    <cellStyle name="Comma 2 5 4 2 5 2 3 3" xfId="14049" xr:uid="{2D9F50A8-8AAF-4DFC-BFDD-07FF679619BE}"/>
    <cellStyle name="Comma 2 5 4 2 5 2 3 4" xfId="24465" xr:uid="{C73AE8C6-CC59-4C9B-94A2-1E3DE557294C}"/>
    <cellStyle name="Comma 2 5 4 2 5 2 4" xfId="8858" xr:uid="{00000000-0005-0000-0000-00008C100000}"/>
    <cellStyle name="Comma 2 5 4 2 5 2 4 2" xfId="20404" xr:uid="{245EB380-1898-4116-8725-21DABE77CC2B}"/>
    <cellStyle name="Comma 2 5 4 2 5 2 4 3" xfId="30820" xr:uid="{8E04B403-D8CB-4439-B2E5-FA0FE2D0CCDD}"/>
    <cellStyle name="Comma 2 5 4 2 5 2 5" xfId="5620" xr:uid="{00000000-0005-0000-0000-00008D100000}"/>
    <cellStyle name="Comma 2 5 4 2 5 2 5 2" xfId="17206" xr:uid="{AF5B900B-0DBC-4A51-B4DB-7058C2D6321F}"/>
    <cellStyle name="Comma 2 5 4 2 5 2 5 3" xfId="27622" xr:uid="{8E6F38C6-B273-4212-8AB5-6CA39198DD29}"/>
    <cellStyle name="Comma 2 5 4 2 5 2 6" xfId="14046" xr:uid="{147B7FB6-58B4-46C2-AD81-49E2E348AB4F}"/>
    <cellStyle name="Comma 2 5 4 2 5 2 7" xfId="24462" xr:uid="{07303CE6-75F5-4FAD-85F0-0C173FFCA182}"/>
    <cellStyle name="Comma 2 5 4 2 5 3" xfId="1715" xr:uid="{00000000-0005-0000-0000-00008E100000}"/>
    <cellStyle name="Comma 2 5 4 2 5 3 2" xfId="1716" xr:uid="{00000000-0005-0000-0000-00008F100000}"/>
    <cellStyle name="Comma 2 5 4 2 5 3 2 2" xfId="8863" xr:uid="{00000000-0005-0000-0000-000090100000}"/>
    <cellStyle name="Comma 2 5 4 2 5 3 2 2 2" xfId="20409" xr:uid="{59AA911E-8F66-4E04-BE33-EC956DEBF5A7}"/>
    <cellStyle name="Comma 2 5 4 2 5 3 2 2 3" xfId="30825" xr:uid="{0031B5FE-1511-47A6-957B-8B16A1D50A0B}"/>
    <cellStyle name="Comma 2 5 4 2 5 3 2 3" xfId="14051" xr:uid="{6BD93A1E-62C4-44E3-A155-9A62E4D6DA26}"/>
    <cellStyle name="Comma 2 5 4 2 5 3 2 4" xfId="24467" xr:uid="{1BF09039-B55B-40B2-BC96-A1F55EBB3C2E}"/>
    <cellStyle name="Comma 2 5 4 2 5 3 3" xfId="8862" xr:uid="{00000000-0005-0000-0000-000091100000}"/>
    <cellStyle name="Comma 2 5 4 2 5 3 3 2" xfId="20408" xr:uid="{18D0557D-6373-436D-A91F-209472DF0D3D}"/>
    <cellStyle name="Comma 2 5 4 2 5 3 3 3" xfId="30824" xr:uid="{85E4E815-AD27-4C4A-B268-937E78D2578A}"/>
    <cellStyle name="Comma 2 5 4 2 5 3 4" xfId="5622" xr:uid="{00000000-0005-0000-0000-000092100000}"/>
    <cellStyle name="Comma 2 5 4 2 5 3 4 2" xfId="17208" xr:uid="{CED71013-1CF9-4D81-A457-70BE92F39BCE}"/>
    <cellStyle name="Comma 2 5 4 2 5 3 4 3" xfId="27624" xr:uid="{DCEECF9D-CBF9-491E-9D06-476E44FAF359}"/>
    <cellStyle name="Comma 2 5 4 2 5 3 5" xfId="14050" xr:uid="{0196DF8B-3803-4C7C-887A-A032CADE303B}"/>
    <cellStyle name="Comma 2 5 4 2 5 3 6" xfId="24466" xr:uid="{2AABD0CB-1BBC-4CE5-9F2D-1B7AB5087812}"/>
    <cellStyle name="Comma 2 5 4 2 5 4" xfId="1717" xr:uid="{00000000-0005-0000-0000-000093100000}"/>
    <cellStyle name="Comma 2 5 4 2 5 4 2" xfId="1718" xr:uid="{00000000-0005-0000-0000-000094100000}"/>
    <cellStyle name="Comma 2 5 4 2 5 4 2 2" xfId="8865" xr:uid="{00000000-0005-0000-0000-000095100000}"/>
    <cellStyle name="Comma 2 5 4 2 5 4 2 2 2" xfId="20411" xr:uid="{31B97604-10FC-4105-A0D6-3614888956EC}"/>
    <cellStyle name="Comma 2 5 4 2 5 4 2 2 3" xfId="30827" xr:uid="{D6B39582-C59C-4E3F-AB63-EA7E88211E17}"/>
    <cellStyle name="Comma 2 5 4 2 5 4 2 3" xfId="14053" xr:uid="{B8674B6A-60F7-4002-BDAA-B9D79E5DADD3}"/>
    <cellStyle name="Comma 2 5 4 2 5 4 2 4" xfId="24469" xr:uid="{8B6FABBA-404E-40D6-8B73-93469B424EA0}"/>
    <cellStyle name="Comma 2 5 4 2 5 4 3" xfId="8864" xr:uid="{00000000-0005-0000-0000-000096100000}"/>
    <cellStyle name="Comma 2 5 4 2 5 4 3 2" xfId="20410" xr:uid="{CA1EB904-579F-4CDD-9228-8A449B5BA5C3}"/>
    <cellStyle name="Comma 2 5 4 2 5 4 3 3" xfId="30826" xr:uid="{A387319B-9A62-49C7-9EFB-7304F3C0E4E2}"/>
    <cellStyle name="Comma 2 5 4 2 5 4 4" xfId="5623" xr:uid="{00000000-0005-0000-0000-000097100000}"/>
    <cellStyle name="Comma 2 5 4 2 5 4 4 2" xfId="17209" xr:uid="{7AA5C499-4E6A-440B-B44C-1EF8FBD92DC2}"/>
    <cellStyle name="Comma 2 5 4 2 5 4 4 3" xfId="27625" xr:uid="{EE8806A3-6E36-46A4-BD56-6E024951E5E0}"/>
    <cellStyle name="Comma 2 5 4 2 5 4 5" xfId="14052" xr:uid="{047F1B4D-8315-4F02-A464-848FBEDEDE6E}"/>
    <cellStyle name="Comma 2 5 4 2 5 4 6" xfId="24468" xr:uid="{CF39C5E2-3519-47D6-92A3-9D0EAFB037A2}"/>
    <cellStyle name="Comma 2 5 4 2 5 5" xfId="1719" xr:uid="{00000000-0005-0000-0000-000098100000}"/>
    <cellStyle name="Comma 2 5 4 2 5 5 2" xfId="8866" xr:uid="{00000000-0005-0000-0000-000099100000}"/>
    <cellStyle name="Comma 2 5 4 2 5 5 2 2" xfId="20412" xr:uid="{BED7280E-1AE5-46AA-BCFE-28C32E4A67E3}"/>
    <cellStyle name="Comma 2 5 4 2 5 5 2 3" xfId="30828" xr:uid="{5306253D-1E1B-4B05-9B98-DFD206F74BAB}"/>
    <cellStyle name="Comma 2 5 4 2 5 5 3" xfId="14054" xr:uid="{4DB53A74-D052-4AAB-A2EF-9ADFD5B507AD}"/>
    <cellStyle name="Comma 2 5 4 2 5 5 4" xfId="24470" xr:uid="{59E57CD3-A5BE-42A9-A03C-23CB69BDD694}"/>
    <cellStyle name="Comma 2 5 4 2 5 6" xfId="8857" xr:uid="{00000000-0005-0000-0000-00009A100000}"/>
    <cellStyle name="Comma 2 5 4 2 5 6 2" xfId="20403" xr:uid="{C9774CC6-4E3E-4412-9996-02F7264AB6E0}"/>
    <cellStyle name="Comma 2 5 4 2 5 6 3" xfId="30819" xr:uid="{9C23F5DA-D5B2-4543-8975-7326454410EC}"/>
    <cellStyle name="Comma 2 5 4 2 5 7" xfId="5619" xr:uid="{00000000-0005-0000-0000-00009B100000}"/>
    <cellStyle name="Comma 2 5 4 2 5 7 2" xfId="17205" xr:uid="{B3B5A229-40B3-4D82-8D60-E5763AB7EFAA}"/>
    <cellStyle name="Comma 2 5 4 2 5 7 3" xfId="27621" xr:uid="{5C0D6462-6FD1-47ED-9A3F-08BBE6935BDB}"/>
    <cellStyle name="Comma 2 5 4 2 5 8" xfId="14045" xr:uid="{B56B3DB6-4A98-4038-B9CD-73DE55B8D06D}"/>
    <cellStyle name="Comma 2 5 4 2 5 9" xfId="24461" xr:uid="{E35916DF-6934-4713-987F-0FA33FC128F4}"/>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2 2 2" xfId="20415" xr:uid="{5813B9C3-9A29-4D40-BC96-A9B167642A62}"/>
    <cellStyle name="Comma 2 5 4 2 6 2 2 2 3" xfId="30831" xr:uid="{54A2A163-3780-48F3-B9F7-0AD64C7F5F96}"/>
    <cellStyle name="Comma 2 5 4 2 6 2 2 3" xfId="14057" xr:uid="{59623471-9E67-488A-91D5-2AD8B212521F}"/>
    <cellStyle name="Comma 2 5 4 2 6 2 2 4" xfId="24473" xr:uid="{745E32BF-5407-4210-AFE4-21921960FE5A}"/>
    <cellStyle name="Comma 2 5 4 2 6 2 3" xfId="8868" xr:uid="{00000000-0005-0000-0000-0000A0100000}"/>
    <cellStyle name="Comma 2 5 4 2 6 2 3 2" xfId="20414" xr:uid="{ACEDDED3-4830-4730-9615-B73CE9840D37}"/>
    <cellStyle name="Comma 2 5 4 2 6 2 3 3" xfId="30830" xr:uid="{A095CC43-BCA0-4384-86D0-361B4FCDB94F}"/>
    <cellStyle name="Comma 2 5 4 2 6 2 4" xfId="5625" xr:uid="{00000000-0005-0000-0000-0000A1100000}"/>
    <cellStyle name="Comma 2 5 4 2 6 2 4 2" xfId="17211" xr:uid="{148E68D9-356A-4B6A-B56C-2DE183411239}"/>
    <cellStyle name="Comma 2 5 4 2 6 2 4 3" xfId="27627" xr:uid="{F0874AB2-E1CC-49AB-A3C1-808D3A860A7A}"/>
    <cellStyle name="Comma 2 5 4 2 6 2 5" xfId="14056" xr:uid="{7F379BDF-909A-4665-AF7A-20314599CFE9}"/>
    <cellStyle name="Comma 2 5 4 2 6 2 6" xfId="24472" xr:uid="{DE0DFCB7-026E-4D2E-9495-9399AC93A721}"/>
    <cellStyle name="Comma 2 5 4 2 6 3" xfId="1723" xr:uid="{00000000-0005-0000-0000-0000A2100000}"/>
    <cellStyle name="Comma 2 5 4 2 6 3 2" xfId="1724" xr:uid="{00000000-0005-0000-0000-0000A3100000}"/>
    <cellStyle name="Comma 2 5 4 2 6 3 2 2" xfId="8871" xr:uid="{00000000-0005-0000-0000-0000A4100000}"/>
    <cellStyle name="Comma 2 5 4 2 6 3 2 2 2" xfId="20417" xr:uid="{82F167A5-395B-4089-ABD8-6ADD4FE67E99}"/>
    <cellStyle name="Comma 2 5 4 2 6 3 2 2 3" xfId="30833" xr:uid="{F53CB091-1F14-452E-B07A-A64F29CE5AE6}"/>
    <cellStyle name="Comma 2 5 4 2 6 3 2 3" xfId="14059" xr:uid="{E226A4C9-EE2E-42FA-AF09-41E86F7EB699}"/>
    <cellStyle name="Comma 2 5 4 2 6 3 2 4" xfId="24475" xr:uid="{63805498-7288-406A-9490-557B0E8442F8}"/>
    <cellStyle name="Comma 2 5 4 2 6 3 3" xfId="8870" xr:uid="{00000000-0005-0000-0000-0000A5100000}"/>
    <cellStyle name="Comma 2 5 4 2 6 3 3 2" xfId="20416" xr:uid="{D8BA851C-C361-4F66-9383-25228F0B49E5}"/>
    <cellStyle name="Comma 2 5 4 2 6 3 3 3" xfId="30832" xr:uid="{A65BA444-6F78-4476-B29B-C6BA11B7BF05}"/>
    <cellStyle name="Comma 2 5 4 2 6 3 4" xfId="5626" xr:uid="{00000000-0005-0000-0000-0000A6100000}"/>
    <cellStyle name="Comma 2 5 4 2 6 3 4 2" xfId="17212" xr:uid="{F9600671-AE15-4222-8207-1B23309EFD6E}"/>
    <cellStyle name="Comma 2 5 4 2 6 3 4 3" xfId="27628" xr:uid="{461774CF-8A8A-4EEC-88C8-A9D03AAB959F}"/>
    <cellStyle name="Comma 2 5 4 2 6 3 5" xfId="14058" xr:uid="{316D0E9C-62F6-41D0-9D79-9C6333D6956E}"/>
    <cellStyle name="Comma 2 5 4 2 6 3 6" xfId="24474" xr:uid="{25BC07A1-5996-4721-AE67-6F35D84AC1A4}"/>
    <cellStyle name="Comma 2 5 4 2 6 4" xfId="1725" xr:uid="{00000000-0005-0000-0000-0000A7100000}"/>
    <cellStyle name="Comma 2 5 4 2 6 4 2" xfId="8872" xr:uid="{00000000-0005-0000-0000-0000A8100000}"/>
    <cellStyle name="Comma 2 5 4 2 6 4 2 2" xfId="20418" xr:uid="{83BC33FD-3D52-4069-AFFE-729C1D4ACD31}"/>
    <cellStyle name="Comma 2 5 4 2 6 4 2 3" xfId="30834" xr:uid="{361A1C45-0CE5-4A69-847E-30B1215E66B5}"/>
    <cellStyle name="Comma 2 5 4 2 6 4 3" xfId="14060" xr:uid="{D87C6F56-35C9-4C38-88B4-737B4ECED199}"/>
    <cellStyle name="Comma 2 5 4 2 6 4 4" xfId="24476" xr:uid="{A16C86CF-E3FC-495C-B962-B5B74D2C35C3}"/>
    <cellStyle name="Comma 2 5 4 2 6 5" xfId="8867" xr:uid="{00000000-0005-0000-0000-0000A9100000}"/>
    <cellStyle name="Comma 2 5 4 2 6 5 2" xfId="20413" xr:uid="{9DECA1A6-DD05-4693-A28D-B57D1F0F8E0B}"/>
    <cellStyle name="Comma 2 5 4 2 6 5 3" xfId="30829" xr:uid="{383C4E11-5287-417E-8732-A8E090431073}"/>
    <cellStyle name="Comma 2 5 4 2 6 6" xfId="5624" xr:uid="{00000000-0005-0000-0000-0000AA100000}"/>
    <cellStyle name="Comma 2 5 4 2 6 6 2" xfId="17210" xr:uid="{FD89B064-6DC1-47DC-ABED-68D640131062}"/>
    <cellStyle name="Comma 2 5 4 2 6 6 3" xfId="27626" xr:uid="{D7095320-94E0-49CF-A444-A9A8970D37C2}"/>
    <cellStyle name="Comma 2 5 4 2 6 7" xfId="14055" xr:uid="{A17ACC4A-C36E-4B17-A99E-A699B535474E}"/>
    <cellStyle name="Comma 2 5 4 2 6 8" xfId="24471" xr:uid="{3F2C2FCC-D25F-443C-8C4A-ABA281D74E5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2 2 2" xfId="20421" xr:uid="{CD46154A-671F-4E30-84BE-6D2EF92339F6}"/>
    <cellStyle name="Comma 2 5 4 2 7 2 2 2 3" xfId="30837" xr:uid="{B9F830EE-4850-4B3C-90C4-F72EB76CDF67}"/>
    <cellStyle name="Comma 2 5 4 2 7 2 2 3" xfId="14063" xr:uid="{FDE9256A-E787-457E-BED3-1D5E0D075917}"/>
    <cellStyle name="Comma 2 5 4 2 7 2 2 4" xfId="24479" xr:uid="{EB4F08A1-2614-41D8-8288-4D318FD75D61}"/>
    <cellStyle name="Comma 2 5 4 2 7 2 3" xfId="8874" xr:uid="{00000000-0005-0000-0000-0000AF100000}"/>
    <cellStyle name="Comma 2 5 4 2 7 2 3 2" xfId="20420" xr:uid="{5D8E7D6F-89D7-41EB-8AA2-C6892C747844}"/>
    <cellStyle name="Comma 2 5 4 2 7 2 3 3" xfId="30836" xr:uid="{849C7CAC-F48A-4B6A-8847-6A51458A0C87}"/>
    <cellStyle name="Comma 2 5 4 2 7 2 4" xfId="5628" xr:uid="{00000000-0005-0000-0000-0000B0100000}"/>
    <cellStyle name="Comma 2 5 4 2 7 2 4 2" xfId="17214" xr:uid="{6387D914-35FA-44DB-967D-809B1464814D}"/>
    <cellStyle name="Comma 2 5 4 2 7 2 4 3" xfId="27630" xr:uid="{5184E4F7-6C59-460D-8251-89FF614CCFC0}"/>
    <cellStyle name="Comma 2 5 4 2 7 2 5" xfId="14062" xr:uid="{68E2FE1F-6330-4B63-A7EF-B61B151AFF3B}"/>
    <cellStyle name="Comma 2 5 4 2 7 2 6" xfId="24478" xr:uid="{7378CD85-0316-403E-A5DB-6AEF334A9CF2}"/>
    <cellStyle name="Comma 2 5 4 2 7 3" xfId="1729" xr:uid="{00000000-0005-0000-0000-0000B1100000}"/>
    <cellStyle name="Comma 2 5 4 2 7 3 2" xfId="8876" xr:uid="{00000000-0005-0000-0000-0000B2100000}"/>
    <cellStyle name="Comma 2 5 4 2 7 3 2 2" xfId="20422" xr:uid="{CE2B9503-632E-45E0-971D-14693D3083D5}"/>
    <cellStyle name="Comma 2 5 4 2 7 3 2 3" xfId="30838" xr:uid="{0A1C3D32-5627-4AAE-8AB2-1B19F90CF558}"/>
    <cellStyle name="Comma 2 5 4 2 7 3 3" xfId="14064" xr:uid="{66CA52F3-6809-42E5-8EB7-F6B477D9476E}"/>
    <cellStyle name="Comma 2 5 4 2 7 3 4" xfId="24480" xr:uid="{57A94BEB-17B0-48ED-A7D4-63980924C15D}"/>
    <cellStyle name="Comma 2 5 4 2 7 4" xfId="8873" xr:uid="{00000000-0005-0000-0000-0000B3100000}"/>
    <cellStyle name="Comma 2 5 4 2 7 4 2" xfId="20419" xr:uid="{1B379131-6DAE-4997-9B98-2AC30E9FB8FD}"/>
    <cellStyle name="Comma 2 5 4 2 7 4 3" xfId="30835" xr:uid="{531A377D-98C0-4E48-96D1-201D0A0576A4}"/>
    <cellStyle name="Comma 2 5 4 2 7 5" xfId="5627" xr:uid="{00000000-0005-0000-0000-0000B4100000}"/>
    <cellStyle name="Comma 2 5 4 2 7 5 2" xfId="17213" xr:uid="{4641DD28-048D-44F7-BEA6-B3BE64A6D745}"/>
    <cellStyle name="Comma 2 5 4 2 7 5 3" xfId="27629" xr:uid="{EFEF4933-0EE5-47BD-805A-E2415DB84A3C}"/>
    <cellStyle name="Comma 2 5 4 2 7 6" xfId="14061" xr:uid="{C6BB435B-067D-4610-8CD9-B7C6E7F4A018}"/>
    <cellStyle name="Comma 2 5 4 2 7 7" xfId="24477" xr:uid="{FB1C7FE2-F63C-4AB1-BC45-58B0E1A66613}"/>
    <cellStyle name="Comma 2 5 4 2 8" xfId="1730" xr:uid="{00000000-0005-0000-0000-0000B5100000}"/>
    <cellStyle name="Comma 2 5 4 2 8 2" xfId="1731" xr:uid="{00000000-0005-0000-0000-0000B6100000}"/>
    <cellStyle name="Comma 2 5 4 2 8 2 2" xfId="8878" xr:uid="{00000000-0005-0000-0000-0000B7100000}"/>
    <cellStyle name="Comma 2 5 4 2 8 2 2 2" xfId="20424" xr:uid="{3099902D-FFF5-4190-AE0C-417083A18DD2}"/>
    <cellStyle name="Comma 2 5 4 2 8 2 2 3" xfId="30840" xr:uid="{EFD742BD-C075-4DA0-BBBA-2CA5AAF3A232}"/>
    <cellStyle name="Comma 2 5 4 2 8 2 3" xfId="14066" xr:uid="{5A20AD2A-B8E6-4672-A6C1-EF8F4627434E}"/>
    <cellStyle name="Comma 2 5 4 2 8 2 4" xfId="24482" xr:uid="{DA83DA12-CBDD-4494-A340-B5C2F6475FFB}"/>
    <cellStyle name="Comma 2 5 4 2 8 3" xfId="8877" xr:uid="{00000000-0005-0000-0000-0000B8100000}"/>
    <cellStyle name="Comma 2 5 4 2 8 3 2" xfId="20423" xr:uid="{7287899C-94BB-4B18-827A-764BF5923D79}"/>
    <cellStyle name="Comma 2 5 4 2 8 3 3" xfId="30839" xr:uid="{CCC53962-7846-423E-A77F-85E2C566DBAB}"/>
    <cellStyle name="Comma 2 5 4 2 8 4" xfId="5629" xr:uid="{00000000-0005-0000-0000-0000B9100000}"/>
    <cellStyle name="Comma 2 5 4 2 8 4 2" xfId="17215" xr:uid="{5705BC60-8CB8-4E92-9C86-D564F9B9120B}"/>
    <cellStyle name="Comma 2 5 4 2 8 4 3" xfId="27631" xr:uid="{70AB3BA2-88A8-49B8-8C1B-9EDFCCC610D8}"/>
    <cellStyle name="Comma 2 5 4 2 8 5" xfId="14065" xr:uid="{48DFE56B-71A5-4706-8518-5EA63FB4FD83}"/>
    <cellStyle name="Comma 2 5 4 2 8 6" xfId="24481" xr:uid="{4BBBBC7D-D667-4732-AB84-29D40D6AC1D6}"/>
    <cellStyle name="Comma 2 5 4 2 9" xfId="1732" xr:uid="{00000000-0005-0000-0000-0000BA100000}"/>
    <cellStyle name="Comma 2 5 4 2 9 2" xfId="1733" xr:uid="{00000000-0005-0000-0000-0000BB100000}"/>
    <cellStyle name="Comma 2 5 4 2 9 2 2" xfId="8880" xr:uid="{00000000-0005-0000-0000-0000BC100000}"/>
    <cellStyle name="Comma 2 5 4 2 9 2 2 2" xfId="20426" xr:uid="{1F18A02A-CA3B-44AE-9A5D-76A85B2CA4B3}"/>
    <cellStyle name="Comma 2 5 4 2 9 2 2 3" xfId="30842" xr:uid="{9E3000F5-5A31-4644-8A83-24EE6C9F3C36}"/>
    <cellStyle name="Comma 2 5 4 2 9 2 3" xfId="14068" xr:uid="{145541FB-19E3-480E-9CE2-4D6BD00AF90B}"/>
    <cellStyle name="Comma 2 5 4 2 9 2 4" xfId="24484" xr:uid="{97C6FAE4-48F2-4323-B927-F47967659A62}"/>
    <cellStyle name="Comma 2 5 4 2 9 3" xfId="8879" xr:uid="{00000000-0005-0000-0000-0000BD100000}"/>
    <cellStyle name="Comma 2 5 4 2 9 3 2" xfId="20425" xr:uid="{E7D6E02A-0A2A-4281-B4AF-3D2817066591}"/>
    <cellStyle name="Comma 2 5 4 2 9 3 3" xfId="30841" xr:uid="{274C51ED-82DE-48B0-B1B6-AA3BA458B7E4}"/>
    <cellStyle name="Comma 2 5 4 2 9 4" xfId="5630" xr:uid="{00000000-0005-0000-0000-0000BE100000}"/>
    <cellStyle name="Comma 2 5 4 2 9 4 2" xfId="17216" xr:uid="{4B17802B-9B19-4C6D-BFF5-666D13C8B1FD}"/>
    <cellStyle name="Comma 2 5 4 2 9 4 3" xfId="27632" xr:uid="{DF4E572B-B395-4128-9860-9BBF34EAA656}"/>
    <cellStyle name="Comma 2 5 4 2 9 5" xfId="14067" xr:uid="{C3C070CD-BF0F-4D7B-8800-E44BEAD8EE26}"/>
    <cellStyle name="Comma 2 5 4 2 9 6" xfId="24483" xr:uid="{B0A4AB23-C42C-4EBB-82C8-6B25DB129B3D}"/>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2 2 2" xfId="20430" xr:uid="{5C6FBD11-4E4E-4318-8F05-21625D8FE9C8}"/>
    <cellStyle name="Comma 2 5 4 3 2 2 2 2 3" xfId="30846" xr:uid="{2DD45ED2-3E56-419E-80F4-B82FD74A7C41}"/>
    <cellStyle name="Comma 2 5 4 3 2 2 2 3" xfId="14072" xr:uid="{26DC6866-CC27-4465-BCA4-A1A2D34E4EF0}"/>
    <cellStyle name="Comma 2 5 4 3 2 2 2 4" xfId="24488" xr:uid="{9725DC3C-0702-4731-A8FA-9D83498B2508}"/>
    <cellStyle name="Comma 2 5 4 3 2 2 3" xfId="8883" xr:uid="{00000000-0005-0000-0000-0000C4100000}"/>
    <cellStyle name="Comma 2 5 4 3 2 2 3 2" xfId="20429" xr:uid="{06F8219A-E86A-4CA1-9017-7B582DF13C6F}"/>
    <cellStyle name="Comma 2 5 4 3 2 2 3 3" xfId="30845" xr:uid="{41810351-D2E7-4EAB-B10D-219EC52CAB1A}"/>
    <cellStyle name="Comma 2 5 4 3 2 2 4" xfId="5633" xr:uid="{00000000-0005-0000-0000-0000C5100000}"/>
    <cellStyle name="Comma 2 5 4 3 2 2 4 2" xfId="17219" xr:uid="{AFA5929F-98A8-43EE-A7BD-22A439BD0EBC}"/>
    <cellStyle name="Comma 2 5 4 3 2 2 4 3" xfId="27635" xr:uid="{C26601AF-E889-4AAD-A987-B449793B134F}"/>
    <cellStyle name="Comma 2 5 4 3 2 2 5" xfId="14071" xr:uid="{2DACC7CD-B42A-47A2-93EB-321F5D8A2D24}"/>
    <cellStyle name="Comma 2 5 4 3 2 2 6" xfId="24487" xr:uid="{1D49E80B-F203-464B-A668-6E38ABF602FB}"/>
    <cellStyle name="Comma 2 5 4 3 2 3" xfId="1738" xr:uid="{00000000-0005-0000-0000-0000C6100000}"/>
    <cellStyle name="Comma 2 5 4 3 2 3 2" xfId="8885" xr:uid="{00000000-0005-0000-0000-0000C7100000}"/>
    <cellStyle name="Comma 2 5 4 3 2 3 2 2" xfId="20431" xr:uid="{B71FBE0A-6ED0-405C-AF08-E7453AC8406E}"/>
    <cellStyle name="Comma 2 5 4 3 2 3 2 3" xfId="30847" xr:uid="{07F2827A-9959-4C2B-A168-3A9381436F95}"/>
    <cellStyle name="Comma 2 5 4 3 2 3 3" xfId="14073" xr:uid="{0F7E0F49-41E3-477F-89D4-E0B44ABD7711}"/>
    <cellStyle name="Comma 2 5 4 3 2 3 4" xfId="24489" xr:uid="{EA0BBE7A-6889-4C5D-8A89-2492221E64A9}"/>
    <cellStyle name="Comma 2 5 4 3 2 4" xfId="8882" xr:uid="{00000000-0005-0000-0000-0000C8100000}"/>
    <cellStyle name="Comma 2 5 4 3 2 4 2" xfId="20428" xr:uid="{A24FE8DB-51FB-4BAC-BB1B-548137C110A7}"/>
    <cellStyle name="Comma 2 5 4 3 2 4 3" xfId="30844" xr:uid="{D7C8A5A0-A952-4D9E-B5BE-B1B96D017363}"/>
    <cellStyle name="Comma 2 5 4 3 2 5" xfId="5632" xr:uid="{00000000-0005-0000-0000-0000C9100000}"/>
    <cellStyle name="Comma 2 5 4 3 2 5 2" xfId="17218" xr:uid="{B0E57AE0-5653-4B04-A01F-E046BDAB7EB1}"/>
    <cellStyle name="Comma 2 5 4 3 2 5 3" xfId="27634" xr:uid="{108ECAF0-6972-4EC2-917E-F09E02C26A63}"/>
    <cellStyle name="Comma 2 5 4 3 2 6" xfId="14070" xr:uid="{94919D14-BF37-47DA-8B01-92A762DE78E3}"/>
    <cellStyle name="Comma 2 5 4 3 2 7" xfId="24486" xr:uid="{3E0EBC14-D48D-49B3-9B5A-B31101763FA3}"/>
    <cellStyle name="Comma 2 5 4 3 3" xfId="1739" xr:uid="{00000000-0005-0000-0000-0000CA100000}"/>
    <cellStyle name="Comma 2 5 4 3 3 2" xfId="1740" xr:uid="{00000000-0005-0000-0000-0000CB100000}"/>
    <cellStyle name="Comma 2 5 4 3 3 2 2" xfId="8887" xr:uid="{00000000-0005-0000-0000-0000CC100000}"/>
    <cellStyle name="Comma 2 5 4 3 3 2 2 2" xfId="20433" xr:uid="{93C292A0-D937-46DA-8E1F-F4CAECE49615}"/>
    <cellStyle name="Comma 2 5 4 3 3 2 2 3" xfId="30849" xr:uid="{62D045CB-8A38-4148-959A-40664160951E}"/>
    <cellStyle name="Comma 2 5 4 3 3 2 3" xfId="14075" xr:uid="{0D0FA4AE-AB2E-4283-9A01-3735B8F3D52C}"/>
    <cellStyle name="Comma 2 5 4 3 3 2 4" xfId="24491" xr:uid="{F5EA4F19-7298-4FDE-8682-DAF7612AFCD4}"/>
    <cellStyle name="Comma 2 5 4 3 3 3" xfId="8886" xr:uid="{00000000-0005-0000-0000-0000CD100000}"/>
    <cellStyle name="Comma 2 5 4 3 3 3 2" xfId="20432" xr:uid="{08A5C577-9740-4095-A600-E9DF936A66A5}"/>
    <cellStyle name="Comma 2 5 4 3 3 3 3" xfId="30848" xr:uid="{DFB384D5-AE15-493E-A23A-4F8073DF0104}"/>
    <cellStyle name="Comma 2 5 4 3 3 4" xfId="5634" xr:uid="{00000000-0005-0000-0000-0000CE100000}"/>
    <cellStyle name="Comma 2 5 4 3 3 4 2" xfId="17220" xr:uid="{1D3829C8-7457-4302-BF12-CD893CA38B67}"/>
    <cellStyle name="Comma 2 5 4 3 3 4 3" xfId="27636" xr:uid="{ED3EA360-EAEB-4470-A745-D9A92DE1B23F}"/>
    <cellStyle name="Comma 2 5 4 3 3 5" xfId="14074" xr:uid="{69F246FA-A4C5-48CB-8394-05E203D8C6E5}"/>
    <cellStyle name="Comma 2 5 4 3 3 6" xfId="24490" xr:uid="{181C32AE-9E7A-433F-BC2F-519B59449F5B}"/>
    <cellStyle name="Comma 2 5 4 3 4" xfId="1741" xr:uid="{00000000-0005-0000-0000-0000CF100000}"/>
    <cellStyle name="Comma 2 5 4 3 4 2" xfId="1742" xr:uid="{00000000-0005-0000-0000-0000D0100000}"/>
    <cellStyle name="Comma 2 5 4 3 4 2 2" xfId="8889" xr:uid="{00000000-0005-0000-0000-0000D1100000}"/>
    <cellStyle name="Comma 2 5 4 3 4 2 2 2" xfId="20435" xr:uid="{8DDBA5EE-5B7D-4BC0-AFB5-68BE51358A0B}"/>
    <cellStyle name="Comma 2 5 4 3 4 2 2 3" xfId="30851" xr:uid="{3E662B0F-C8CB-4D05-B048-CBC4D4EE0DAF}"/>
    <cellStyle name="Comma 2 5 4 3 4 2 3" xfId="14077" xr:uid="{1824E456-25FC-42AA-B4D9-1603F03A5CA9}"/>
    <cellStyle name="Comma 2 5 4 3 4 2 4" xfId="24493" xr:uid="{4A637FD4-8DB4-49B8-A13B-2FB64E4FF4FF}"/>
    <cellStyle name="Comma 2 5 4 3 4 3" xfId="8888" xr:uid="{00000000-0005-0000-0000-0000D2100000}"/>
    <cellStyle name="Comma 2 5 4 3 4 3 2" xfId="20434" xr:uid="{7CE5514E-0C92-4A53-A792-495623778F02}"/>
    <cellStyle name="Comma 2 5 4 3 4 3 3" xfId="30850" xr:uid="{6C646EFC-0F73-4A80-BE88-65E72C9058D8}"/>
    <cellStyle name="Comma 2 5 4 3 4 4" xfId="5635" xr:uid="{00000000-0005-0000-0000-0000D3100000}"/>
    <cellStyle name="Comma 2 5 4 3 4 4 2" xfId="17221" xr:uid="{6B036187-4413-49FE-8CE7-EBE5A326D970}"/>
    <cellStyle name="Comma 2 5 4 3 4 4 3" xfId="27637" xr:uid="{9A32A48A-26B7-4EBC-9131-96DCBAF8FDB5}"/>
    <cellStyle name="Comma 2 5 4 3 4 5" xfId="14076" xr:uid="{3466513B-4602-4766-BE12-9DD1B96B18D8}"/>
    <cellStyle name="Comma 2 5 4 3 4 6" xfId="24492" xr:uid="{10988DB9-D249-42CE-8D76-64AD27843BF1}"/>
    <cellStyle name="Comma 2 5 4 3 5" xfId="1743" xr:uid="{00000000-0005-0000-0000-0000D4100000}"/>
    <cellStyle name="Comma 2 5 4 3 5 2" xfId="8890" xr:uid="{00000000-0005-0000-0000-0000D5100000}"/>
    <cellStyle name="Comma 2 5 4 3 5 2 2" xfId="20436" xr:uid="{B8FD7730-C95F-45EF-A880-BE51C80D0369}"/>
    <cellStyle name="Comma 2 5 4 3 5 2 3" xfId="30852" xr:uid="{37E0F582-2B0B-4916-B5DD-CD06E599A972}"/>
    <cellStyle name="Comma 2 5 4 3 5 3" xfId="14078" xr:uid="{F99DFEED-3660-43B9-B13A-FA9A09733D49}"/>
    <cellStyle name="Comma 2 5 4 3 5 4" xfId="24494" xr:uid="{99E3D2CE-9264-4906-9185-BE8C727ECE5A}"/>
    <cellStyle name="Comma 2 5 4 3 6" xfId="8881" xr:uid="{00000000-0005-0000-0000-0000D6100000}"/>
    <cellStyle name="Comma 2 5 4 3 6 2" xfId="20427" xr:uid="{C2BB4DA2-6211-41A3-A40F-63DE7C69C18F}"/>
    <cellStyle name="Comma 2 5 4 3 6 3" xfId="30843" xr:uid="{9FDB13B4-0EBF-4125-A2CA-027593EA0C7F}"/>
    <cellStyle name="Comma 2 5 4 3 7" xfId="5631" xr:uid="{00000000-0005-0000-0000-0000D7100000}"/>
    <cellStyle name="Comma 2 5 4 3 7 2" xfId="17217" xr:uid="{78E4F18A-4B9E-4AE0-93D5-EB04ED6E017A}"/>
    <cellStyle name="Comma 2 5 4 3 7 3" xfId="27633" xr:uid="{54A6F58E-4E46-4970-A1C0-2732495F96C9}"/>
    <cellStyle name="Comma 2 5 4 3 8" xfId="14069" xr:uid="{5A7B0279-BCA7-44C2-AF75-27EE39561052}"/>
    <cellStyle name="Comma 2 5 4 3 9" xfId="24485" xr:uid="{90DA41FA-5EC8-4902-ACB2-8C1323C08925}"/>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2 2 2" xfId="20440" xr:uid="{911BBD39-45F0-4608-B2E5-3AEEB35F193A}"/>
    <cellStyle name="Comma 2 5 4 4 2 2 2 2 3" xfId="30856" xr:uid="{DF209310-CFFA-40C0-ACCA-F83E682B6D28}"/>
    <cellStyle name="Comma 2 5 4 4 2 2 2 3" xfId="14082" xr:uid="{FCD46748-3E2B-4DD6-A86E-4ED6DF04E58E}"/>
    <cellStyle name="Comma 2 5 4 4 2 2 2 4" xfId="24498" xr:uid="{351BE0FD-3E28-4D80-A288-3CE970A73B66}"/>
    <cellStyle name="Comma 2 5 4 4 2 2 3" xfId="8893" xr:uid="{00000000-0005-0000-0000-0000DD100000}"/>
    <cellStyle name="Comma 2 5 4 4 2 2 3 2" xfId="20439" xr:uid="{77DCB166-AD59-45A6-AA96-9674E6662380}"/>
    <cellStyle name="Comma 2 5 4 4 2 2 3 3" xfId="30855" xr:uid="{4E2E8DFB-28FB-4A91-B6B6-C87DECD25A57}"/>
    <cellStyle name="Comma 2 5 4 4 2 2 4" xfId="5638" xr:uid="{00000000-0005-0000-0000-0000DE100000}"/>
    <cellStyle name="Comma 2 5 4 4 2 2 4 2" xfId="17224" xr:uid="{851EFE5E-69EE-4CBC-8CB7-D60D059FD980}"/>
    <cellStyle name="Comma 2 5 4 4 2 2 4 3" xfId="27640" xr:uid="{55CF76BA-E17F-484E-91EA-90BCD9A72C31}"/>
    <cellStyle name="Comma 2 5 4 4 2 2 5" xfId="14081" xr:uid="{C27C3531-7EC7-4E57-B9D2-827F254CB870}"/>
    <cellStyle name="Comma 2 5 4 4 2 2 6" xfId="24497" xr:uid="{25E1BFE8-C0CE-49E2-8AD1-8EA00C44D564}"/>
    <cellStyle name="Comma 2 5 4 4 2 3" xfId="1748" xr:uid="{00000000-0005-0000-0000-0000DF100000}"/>
    <cellStyle name="Comma 2 5 4 4 2 3 2" xfId="8895" xr:uid="{00000000-0005-0000-0000-0000E0100000}"/>
    <cellStyle name="Comma 2 5 4 4 2 3 2 2" xfId="20441" xr:uid="{637856C3-D104-4F02-92B6-FB02D902174D}"/>
    <cellStyle name="Comma 2 5 4 4 2 3 2 3" xfId="30857" xr:uid="{9E46A6D3-A7F5-4512-B13B-95F01895EB41}"/>
    <cellStyle name="Comma 2 5 4 4 2 3 3" xfId="14083" xr:uid="{2A735E4D-B6BE-46ED-96C3-0B57A80AD192}"/>
    <cellStyle name="Comma 2 5 4 4 2 3 4" xfId="24499" xr:uid="{5902AA0D-78E8-4C43-A63C-89AB4845410C}"/>
    <cellStyle name="Comma 2 5 4 4 2 4" xfId="8892" xr:uid="{00000000-0005-0000-0000-0000E1100000}"/>
    <cellStyle name="Comma 2 5 4 4 2 4 2" xfId="20438" xr:uid="{D49FFAA8-A91E-45B2-82A4-0870D19DFE20}"/>
    <cellStyle name="Comma 2 5 4 4 2 4 3" xfId="30854" xr:uid="{8F295624-3DB4-4715-96B8-109A79ABC06E}"/>
    <cellStyle name="Comma 2 5 4 4 2 5" xfId="5637" xr:uid="{00000000-0005-0000-0000-0000E2100000}"/>
    <cellStyle name="Comma 2 5 4 4 2 5 2" xfId="17223" xr:uid="{866836D2-60D6-463A-89BD-059F7D503A67}"/>
    <cellStyle name="Comma 2 5 4 4 2 5 3" xfId="27639" xr:uid="{3633D904-EE9C-49B9-8EC9-152541FA63E3}"/>
    <cellStyle name="Comma 2 5 4 4 2 6" xfId="14080" xr:uid="{55CD7871-4025-4848-9410-C285CF4DED26}"/>
    <cellStyle name="Comma 2 5 4 4 2 7" xfId="24496" xr:uid="{3068ABCA-0744-4673-9206-F509CFE71B9B}"/>
    <cellStyle name="Comma 2 5 4 4 3" xfId="1749" xr:uid="{00000000-0005-0000-0000-0000E3100000}"/>
    <cellStyle name="Comma 2 5 4 4 3 2" xfId="1750" xr:uid="{00000000-0005-0000-0000-0000E4100000}"/>
    <cellStyle name="Comma 2 5 4 4 3 2 2" xfId="8897" xr:uid="{00000000-0005-0000-0000-0000E5100000}"/>
    <cellStyle name="Comma 2 5 4 4 3 2 2 2" xfId="20443" xr:uid="{6B8D886D-2FD5-4347-A78F-4012438314D0}"/>
    <cellStyle name="Comma 2 5 4 4 3 2 2 3" xfId="30859" xr:uid="{DCEA8169-6101-4436-AC16-1BFAC0615805}"/>
    <cellStyle name="Comma 2 5 4 4 3 2 3" xfId="14085" xr:uid="{885BCBD3-01C6-4098-A196-BFB1A0316EED}"/>
    <cellStyle name="Comma 2 5 4 4 3 2 4" xfId="24501" xr:uid="{8B456EDB-FA29-403D-B8FA-8FCBFC607451}"/>
    <cellStyle name="Comma 2 5 4 4 3 3" xfId="8896" xr:uid="{00000000-0005-0000-0000-0000E6100000}"/>
    <cellStyle name="Comma 2 5 4 4 3 3 2" xfId="20442" xr:uid="{3BA78006-9893-4375-B5FE-EB066ABC244A}"/>
    <cellStyle name="Comma 2 5 4 4 3 3 3" xfId="30858" xr:uid="{73F122BA-5D89-49A9-9BCE-188C9059F367}"/>
    <cellStyle name="Comma 2 5 4 4 3 4" xfId="5639" xr:uid="{00000000-0005-0000-0000-0000E7100000}"/>
    <cellStyle name="Comma 2 5 4 4 3 4 2" xfId="17225" xr:uid="{141F66A7-F169-4565-8A07-07B05822740A}"/>
    <cellStyle name="Comma 2 5 4 4 3 4 3" xfId="27641" xr:uid="{E01627D6-700B-47EE-9DA7-A2310DA2149E}"/>
    <cellStyle name="Comma 2 5 4 4 3 5" xfId="14084" xr:uid="{F54A46D9-5671-4DF1-B638-45AEC7BC4EA4}"/>
    <cellStyle name="Comma 2 5 4 4 3 6" xfId="24500" xr:uid="{489415C5-6161-40E9-A261-37AB3E200CB8}"/>
    <cellStyle name="Comma 2 5 4 4 4" xfId="1751" xr:uid="{00000000-0005-0000-0000-0000E8100000}"/>
    <cellStyle name="Comma 2 5 4 4 4 2" xfId="1752" xr:uid="{00000000-0005-0000-0000-0000E9100000}"/>
    <cellStyle name="Comma 2 5 4 4 4 2 2" xfId="8899" xr:uid="{00000000-0005-0000-0000-0000EA100000}"/>
    <cellStyle name="Comma 2 5 4 4 4 2 2 2" xfId="20445" xr:uid="{8B439CA9-EABC-4448-9D70-B7B7EA64C37F}"/>
    <cellStyle name="Comma 2 5 4 4 4 2 2 3" xfId="30861" xr:uid="{3C704796-D38B-4B29-904F-2C400CB1E728}"/>
    <cellStyle name="Comma 2 5 4 4 4 2 3" xfId="14087" xr:uid="{8B67CFE2-1D1E-4C0C-BC11-616C936DCCBA}"/>
    <cellStyle name="Comma 2 5 4 4 4 2 4" xfId="24503" xr:uid="{BF1AB23A-AA79-4AB6-8A98-8ADD09F0BE78}"/>
    <cellStyle name="Comma 2 5 4 4 4 3" xfId="8898" xr:uid="{00000000-0005-0000-0000-0000EB100000}"/>
    <cellStyle name="Comma 2 5 4 4 4 3 2" xfId="20444" xr:uid="{9FFD1D6A-1AEB-40A1-8262-1BE3DCFE4744}"/>
    <cellStyle name="Comma 2 5 4 4 4 3 3" xfId="30860" xr:uid="{1A267FFE-6FB1-4CB6-BB72-089E5A94D102}"/>
    <cellStyle name="Comma 2 5 4 4 4 4" xfId="5640" xr:uid="{00000000-0005-0000-0000-0000EC100000}"/>
    <cellStyle name="Comma 2 5 4 4 4 4 2" xfId="17226" xr:uid="{5E08A175-E3F9-4BD3-8EEC-87A6B547073F}"/>
    <cellStyle name="Comma 2 5 4 4 4 4 3" xfId="27642" xr:uid="{228123D3-0A1A-44D5-8A72-C72CE0D1D33D}"/>
    <cellStyle name="Comma 2 5 4 4 4 5" xfId="14086" xr:uid="{D538893A-5F80-46A2-92DB-7AFDCA5DEF8C}"/>
    <cellStyle name="Comma 2 5 4 4 4 6" xfId="24502" xr:uid="{0C47B503-1928-4897-AA25-75A01407AD44}"/>
    <cellStyle name="Comma 2 5 4 4 5" xfId="1753" xr:uid="{00000000-0005-0000-0000-0000ED100000}"/>
    <cellStyle name="Comma 2 5 4 4 5 2" xfId="8900" xr:uid="{00000000-0005-0000-0000-0000EE100000}"/>
    <cellStyle name="Comma 2 5 4 4 5 2 2" xfId="20446" xr:uid="{71CDE08F-3600-4C23-8F0F-39A0D8275AAB}"/>
    <cellStyle name="Comma 2 5 4 4 5 2 3" xfId="30862" xr:uid="{D4BE7A2B-4A3A-4E6C-ABD2-8606E667CD72}"/>
    <cellStyle name="Comma 2 5 4 4 5 3" xfId="14088" xr:uid="{8F88CD7B-D032-4A7B-8AAA-95719CDA45DD}"/>
    <cellStyle name="Comma 2 5 4 4 5 4" xfId="24504" xr:uid="{9C4255FC-18A6-4C41-9DE6-0DB05ADFA406}"/>
    <cellStyle name="Comma 2 5 4 4 6" xfId="8891" xr:uid="{00000000-0005-0000-0000-0000EF100000}"/>
    <cellStyle name="Comma 2 5 4 4 6 2" xfId="20437" xr:uid="{F3F5831D-8B35-4DCA-826D-69220446A8F5}"/>
    <cellStyle name="Comma 2 5 4 4 6 3" xfId="30853" xr:uid="{181BE1DA-270B-4E6B-A138-EB0158FEE802}"/>
    <cellStyle name="Comma 2 5 4 4 7" xfId="5636" xr:uid="{00000000-0005-0000-0000-0000F0100000}"/>
    <cellStyle name="Comma 2 5 4 4 7 2" xfId="17222" xr:uid="{51B234D2-FDA3-4D3F-A4F0-5BCFACB10B92}"/>
    <cellStyle name="Comma 2 5 4 4 7 3" xfId="27638" xr:uid="{D878C188-3DA1-49C5-9659-C98903E8EB62}"/>
    <cellStyle name="Comma 2 5 4 4 8" xfId="14079" xr:uid="{E657BCC4-7526-4344-AFA9-6B00A413DC2D}"/>
    <cellStyle name="Comma 2 5 4 4 9" xfId="24495" xr:uid="{8AE79D61-3206-4A9E-BE2A-8EB6D9B25C29}"/>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2 2 2" xfId="20450" xr:uid="{A24217BD-3899-415B-A360-98A7869995FB}"/>
    <cellStyle name="Comma 2 5 4 5 2 2 2 2 3" xfId="30866" xr:uid="{51A47D44-9D7C-4B23-8A76-250A673420A3}"/>
    <cellStyle name="Comma 2 5 4 5 2 2 2 3" xfId="14092" xr:uid="{CAED5CBE-3900-4EA0-81C2-85F08A524DA6}"/>
    <cellStyle name="Comma 2 5 4 5 2 2 2 4" xfId="24508" xr:uid="{A35243A9-5751-4BD0-8268-5B2CFD3E8B1E}"/>
    <cellStyle name="Comma 2 5 4 5 2 2 3" xfId="8903" xr:uid="{00000000-0005-0000-0000-0000F6100000}"/>
    <cellStyle name="Comma 2 5 4 5 2 2 3 2" xfId="20449" xr:uid="{3030EFD8-192B-4B0D-BF16-156A14EBD0A9}"/>
    <cellStyle name="Comma 2 5 4 5 2 2 3 3" xfId="30865" xr:uid="{056DEC0E-7B1D-4399-B9F3-75962F3529BC}"/>
    <cellStyle name="Comma 2 5 4 5 2 2 4" xfId="5643" xr:uid="{00000000-0005-0000-0000-0000F7100000}"/>
    <cellStyle name="Comma 2 5 4 5 2 2 4 2" xfId="17229" xr:uid="{98FE7F53-3052-4668-B899-95E4E31C3A87}"/>
    <cellStyle name="Comma 2 5 4 5 2 2 4 3" xfId="27645" xr:uid="{6DBD48CA-7B50-4E89-894E-C84BF47211E2}"/>
    <cellStyle name="Comma 2 5 4 5 2 2 5" xfId="14091" xr:uid="{6F795F78-7CDD-43ED-AACB-F63BAF3833C3}"/>
    <cellStyle name="Comma 2 5 4 5 2 2 6" xfId="24507" xr:uid="{E65EF247-4227-47EC-A965-A1131A09A3CB}"/>
    <cellStyle name="Comma 2 5 4 5 2 3" xfId="1758" xr:uid="{00000000-0005-0000-0000-0000F8100000}"/>
    <cellStyle name="Comma 2 5 4 5 2 3 2" xfId="8905" xr:uid="{00000000-0005-0000-0000-0000F9100000}"/>
    <cellStyle name="Comma 2 5 4 5 2 3 2 2" xfId="20451" xr:uid="{C38B9D8D-E9B0-4686-B786-10C63B301FEE}"/>
    <cellStyle name="Comma 2 5 4 5 2 3 2 3" xfId="30867" xr:uid="{C01E6106-FA83-4D86-8818-281B0B1B090A}"/>
    <cellStyle name="Comma 2 5 4 5 2 3 3" xfId="14093" xr:uid="{CB647755-5418-4DB4-8FC8-C18CC9CF7CF4}"/>
    <cellStyle name="Comma 2 5 4 5 2 3 4" xfId="24509" xr:uid="{C6FFF2C6-1A92-4E71-820A-40D9132F4AAD}"/>
    <cellStyle name="Comma 2 5 4 5 2 4" xfId="8902" xr:uid="{00000000-0005-0000-0000-0000FA100000}"/>
    <cellStyle name="Comma 2 5 4 5 2 4 2" xfId="20448" xr:uid="{B12880B0-EE7A-4BDA-AA3F-C22A8DACAAB2}"/>
    <cellStyle name="Comma 2 5 4 5 2 4 3" xfId="30864" xr:uid="{AD55852F-FED9-410C-A51C-EDAB0782A08F}"/>
    <cellStyle name="Comma 2 5 4 5 2 5" xfId="5642" xr:uid="{00000000-0005-0000-0000-0000FB100000}"/>
    <cellStyle name="Comma 2 5 4 5 2 5 2" xfId="17228" xr:uid="{DCEDCCD9-2AFF-468F-8225-78A6D7E92A33}"/>
    <cellStyle name="Comma 2 5 4 5 2 5 3" xfId="27644" xr:uid="{E482DA75-75D2-42D3-A6E7-B3798287B59B}"/>
    <cellStyle name="Comma 2 5 4 5 2 6" xfId="14090" xr:uid="{2A53B9A1-11AC-4BC6-9806-E132CB0369DF}"/>
    <cellStyle name="Comma 2 5 4 5 2 7" xfId="24506" xr:uid="{47398A93-7E69-4D43-8341-301B1BDBBE89}"/>
    <cellStyle name="Comma 2 5 4 5 3" xfId="1759" xr:uid="{00000000-0005-0000-0000-0000FC100000}"/>
    <cellStyle name="Comma 2 5 4 5 3 2" xfId="1760" xr:uid="{00000000-0005-0000-0000-0000FD100000}"/>
    <cellStyle name="Comma 2 5 4 5 3 2 2" xfId="8907" xr:uid="{00000000-0005-0000-0000-0000FE100000}"/>
    <cellStyle name="Comma 2 5 4 5 3 2 2 2" xfId="20453" xr:uid="{3E93F9F4-374B-4770-9C9A-51DB6E13C0EE}"/>
    <cellStyle name="Comma 2 5 4 5 3 2 2 3" xfId="30869" xr:uid="{6EDEADC5-7B03-4679-87B8-845EF239CE55}"/>
    <cellStyle name="Comma 2 5 4 5 3 2 3" xfId="14095" xr:uid="{3EEE3C65-0CA7-4B9F-9BBB-309202CE4AD8}"/>
    <cellStyle name="Comma 2 5 4 5 3 2 4" xfId="24511" xr:uid="{0390C54C-4B8A-41EC-9843-1600143425C9}"/>
    <cellStyle name="Comma 2 5 4 5 3 3" xfId="8906" xr:uid="{00000000-0005-0000-0000-0000FF100000}"/>
    <cellStyle name="Comma 2 5 4 5 3 3 2" xfId="20452" xr:uid="{ADC68CFC-E083-40A4-B60E-32DF36607A4E}"/>
    <cellStyle name="Comma 2 5 4 5 3 3 3" xfId="30868" xr:uid="{AE821825-5003-4E69-AA9A-2C35AB7D4F54}"/>
    <cellStyle name="Comma 2 5 4 5 3 4" xfId="5644" xr:uid="{00000000-0005-0000-0000-000000110000}"/>
    <cellStyle name="Comma 2 5 4 5 3 4 2" xfId="17230" xr:uid="{BAC6D064-F9A8-4137-9056-983195057FBC}"/>
    <cellStyle name="Comma 2 5 4 5 3 4 3" xfId="27646" xr:uid="{FE5BB9FB-51F2-4F92-B067-C5E2FD82F962}"/>
    <cellStyle name="Comma 2 5 4 5 3 5" xfId="14094" xr:uid="{FC3F1894-4F92-4538-B29C-4CE7AE62B596}"/>
    <cellStyle name="Comma 2 5 4 5 3 6" xfId="24510" xr:uid="{63BEE71A-D29C-4B87-81DB-0E965DA60B27}"/>
    <cellStyle name="Comma 2 5 4 5 4" xfId="1761" xr:uid="{00000000-0005-0000-0000-000001110000}"/>
    <cellStyle name="Comma 2 5 4 5 4 2" xfId="1762" xr:uid="{00000000-0005-0000-0000-000002110000}"/>
    <cellStyle name="Comma 2 5 4 5 4 2 2" xfId="8909" xr:uid="{00000000-0005-0000-0000-000003110000}"/>
    <cellStyle name="Comma 2 5 4 5 4 2 2 2" xfId="20455" xr:uid="{011B83E7-1065-417A-B225-3FC3AFBAFB74}"/>
    <cellStyle name="Comma 2 5 4 5 4 2 2 3" xfId="30871" xr:uid="{AF4424B9-2451-4F5D-AB67-773FDDC984D5}"/>
    <cellStyle name="Comma 2 5 4 5 4 2 3" xfId="14097" xr:uid="{4747BD58-4DEE-4CE6-A7B7-93A6484B5D9C}"/>
    <cellStyle name="Comma 2 5 4 5 4 2 4" xfId="24513" xr:uid="{0458093A-F05C-4A76-A825-7553EDD17BAF}"/>
    <cellStyle name="Comma 2 5 4 5 4 3" xfId="8908" xr:uid="{00000000-0005-0000-0000-000004110000}"/>
    <cellStyle name="Comma 2 5 4 5 4 3 2" xfId="20454" xr:uid="{EC4700A7-147E-42E7-9DF3-56D730C4C694}"/>
    <cellStyle name="Comma 2 5 4 5 4 3 3" xfId="30870" xr:uid="{2E0C9665-F980-4679-90E2-82259A2B5D77}"/>
    <cellStyle name="Comma 2 5 4 5 4 4" xfId="5645" xr:uid="{00000000-0005-0000-0000-000005110000}"/>
    <cellStyle name="Comma 2 5 4 5 4 4 2" xfId="17231" xr:uid="{1987F056-5D4C-4E61-8920-BF401DB90358}"/>
    <cellStyle name="Comma 2 5 4 5 4 4 3" xfId="27647" xr:uid="{AE07328D-1112-4AA5-89FC-3A7AA5FCEF4C}"/>
    <cellStyle name="Comma 2 5 4 5 4 5" xfId="14096" xr:uid="{E087E216-055F-450F-A392-102B0F0EBF6E}"/>
    <cellStyle name="Comma 2 5 4 5 4 6" xfId="24512" xr:uid="{1BAD2BE1-18E2-4177-A76F-E1B9979A0BF9}"/>
    <cellStyle name="Comma 2 5 4 5 5" xfId="1763" xr:uid="{00000000-0005-0000-0000-000006110000}"/>
    <cellStyle name="Comma 2 5 4 5 5 2" xfId="8910" xr:uid="{00000000-0005-0000-0000-000007110000}"/>
    <cellStyle name="Comma 2 5 4 5 5 2 2" xfId="20456" xr:uid="{6F924D77-76DE-41EE-ABDA-37453A56637F}"/>
    <cellStyle name="Comma 2 5 4 5 5 2 3" xfId="30872" xr:uid="{5BA84E6A-3462-431E-A86C-3DAFB6DF7500}"/>
    <cellStyle name="Comma 2 5 4 5 5 3" xfId="14098" xr:uid="{9BAC58E8-5A75-40AF-97DB-40F53C9DE79E}"/>
    <cellStyle name="Comma 2 5 4 5 5 4" xfId="24514" xr:uid="{0F8B14D6-79A8-459A-88D8-FD591736E756}"/>
    <cellStyle name="Comma 2 5 4 5 6" xfId="8901" xr:uid="{00000000-0005-0000-0000-000008110000}"/>
    <cellStyle name="Comma 2 5 4 5 6 2" xfId="20447" xr:uid="{A366A73F-32AF-4D4A-904B-5E2B5127B2DE}"/>
    <cellStyle name="Comma 2 5 4 5 6 3" xfId="30863" xr:uid="{0A265BB0-8547-4A74-919E-3B92A5F37D08}"/>
    <cellStyle name="Comma 2 5 4 5 7" xfId="5641" xr:uid="{00000000-0005-0000-0000-000009110000}"/>
    <cellStyle name="Comma 2 5 4 5 7 2" xfId="17227" xr:uid="{BCB78DC3-84F7-4529-B785-0C8C4D3F075B}"/>
    <cellStyle name="Comma 2 5 4 5 7 3" xfId="27643" xr:uid="{2D57135E-6257-4A4A-86E8-1C777547A1BE}"/>
    <cellStyle name="Comma 2 5 4 5 8" xfId="14089" xr:uid="{32713A11-41EC-4385-AB28-31783BB9B108}"/>
    <cellStyle name="Comma 2 5 4 5 9" xfId="24505" xr:uid="{3A188119-7BED-48BC-BB0F-458D8B496B44}"/>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2 2 2" xfId="20460" xr:uid="{CECF3AD7-5238-49A2-928F-9761A31C4A25}"/>
    <cellStyle name="Comma 2 5 4 6 2 2 2 2 3" xfId="30876" xr:uid="{90E5FB47-A979-4B15-A989-7F53F8B7BA7E}"/>
    <cellStyle name="Comma 2 5 4 6 2 2 2 3" xfId="14102" xr:uid="{22D27A9B-D00C-4E56-884A-EA7710B4F686}"/>
    <cellStyle name="Comma 2 5 4 6 2 2 2 4" xfId="24518" xr:uid="{2A13708D-F657-42E4-91D0-01551DB3FBBE}"/>
    <cellStyle name="Comma 2 5 4 6 2 2 3" xfId="8913" xr:uid="{00000000-0005-0000-0000-00000F110000}"/>
    <cellStyle name="Comma 2 5 4 6 2 2 3 2" xfId="20459" xr:uid="{8CD9FC83-1ABD-4AC2-B862-0BE7E5D0F1C4}"/>
    <cellStyle name="Comma 2 5 4 6 2 2 3 3" xfId="30875" xr:uid="{A169A2D1-5D09-4CD9-8E0C-0DB28698CD2C}"/>
    <cellStyle name="Comma 2 5 4 6 2 2 4" xfId="5648" xr:uid="{00000000-0005-0000-0000-000010110000}"/>
    <cellStyle name="Comma 2 5 4 6 2 2 4 2" xfId="17234" xr:uid="{9A5152FF-1642-4286-B3F6-022D9393FE9B}"/>
    <cellStyle name="Comma 2 5 4 6 2 2 4 3" xfId="27650" xr:uid="{96CBDC77-5F5E-4660-924A-0B9202ACB7C3}"/>
    <cellStyle name="Comma 2 5 4 6 2 2 5" xfId="14101" xr:uid="{40735D28-4792-4528-9BD7-3D86FAA07568}"/>
    <cellStyle name="Comma 2 5 4 6 2 2 6" xfId="24517" xr:uid="{F02642CA-DA0A-4A87-BA75-E6A60C8173B9}"/>
    <cellStyle name="Comma 2 5 4 6 2 3" xfId="1768" xr:uid="{00000000-0005-0000-0000-000011110000}"/>
    <cellStyle name="Comma 2 5 4 6 2 3 2" xfId="8915" xr:uid="{00000000-0005-0000-0000-000012110000}"/>
    <cellStyle name="Comma 2 5 4 6 2 3 2 2" xfId="20461" xr:uid="{ACBA2225-0270-4819-AAA1-24CF7095C0D6}"/>
    <cellStyle name="Comma 2 5 4 6 2 3 2 3" xfId="30877" xr:uid="{2DECBBD0-D047-464A-A109-49C43EE25DD2}"/>
    <cellStyle name="Comma 2 5 4 6 2 3 3" xfId="14103" xr:uid="{77994E47-836D-4FD1-8112-D2D823A8E1FF}"/>
    <cellStyle name="Comma 2 5 4 6 2 3 4" xfId="24519" xr:uid="{DF557C8F-21DD-4EE3-A8BA-F08C50C0D446}"/>
    <cellStyle name="Comma 2 5 4 6 2 4" xfId="8912" xr:uid="{00000000-0005-0000-0000-000013110000}"/>
    <cellStyle name="Comma 2 5 4 6 2 4 2" xfId="20458" xr:uid="{6F856A78-C257-48E2-8318-85559BD9E5BB}"/>
    <cellStyle name="Comma 2 5 4 6 2 4 3" xfId="30874" xr:uid="{1AD3C2F7-9637-43D8-8BE1-1652C209F14C}"/>
    <cellStyle name="Comma 2 5 4 6 2 5" xfId="5647" xr:uid="{00000000-0005-0000-0000-000014110000}"/>
    <cellStyle name="Comma 2 5 4 6 2 5 2" xfId="17233" xr:uid="{60D8716A-A426-474B-A23E-833841B2B00B}"/>
    <cellStyle name="Comma 2 5 4 6 2 5 3" xfId="27649" xr:uid="{9DE2AFAF-EF14-47DD-89EE-68D5AF8AEE0C}"/>
    <cellStyle name="Comma 2 5 4 6 2 6" xfId="14100" xr:uid="{762F9481-9E1B-4AA9-B8B1-C1868C54DBE6}"/>
    <cellStyle name="Comma 2 5 4 6 2 7" xfId="24516" xr:uid="{3C6DE424-7998-4AB6-B2A8-A8F265C5A32B}"/>
    <cellStyle name="Comma 2 5 4 6 3" xfId="1769" xr:uid="{00000000-0005-0000-0000-000015110000}"/>
    <cellStyle name="Comma 2 5 4 6 3 2" xfId="1770" xr:uid="{00000000-0005-0000-0000-000016110000}"/>
    <cellStyle name="Comma 2 5 4 6 3 2 2" xfId="8917" xr:uid="{00000000-0005-0000-0000-000017110000}"/>
    <cellStyle name="Comma 2 5 4 6 3 2 2 2" xfId="20463" xr:uid="{D23229C6-E9E3-48B4-85FE-E54D8744F5CC}"/>
    <cellStyle name="Comma 2 5 4 6 3 2 2 3" xfId="30879" xr:uid="{340C7AFA-09E6-4631-AA29-9894F04058DB}"/>
    <cellStyle name="Comma 2 5 4 6 3 2 3" xfId="14105" xr:uid="{C93AD391-E427-4C21-AA9A-A7C3B541223E}"/>
    <cellStyle name="Comma 2 5 4 6 3 2 4" xfId="24521" xr:uid="{A9B5E16F-F5D2-4D05-8DFE-1C830435E61B}"/>
    <cellStyle name="Comma 2 5 4 6 3 3" xfId="8916" xr:uid="{00000000-0005-0000-0000-000018110000}"/>
    <cellStyle name="Comma 2 5 4 6 3 3 2" xfId="20462" xr:uid="{A87FEA41-24AA-41AD-AD3E-FCDAC8EFBA0F}"/>
    <cellStyle name="Comma 2 5 4 6 3 3 3" xfId="30878" xr:uid="{05BDEBC1-EDEC-40EF-9298-2730E7BC69E8}"/>
    <cellStyle name="Comma 2 5 4 6 3 4" xfId="5649" xr:uid="{00000000-0005-0000-0000-000019110000}"/>
    <cellStyle name="Comma 2 5 4 6 3 4 2" xfId="17235" xr:uid="{046D8D63-4D67-42DC-ACA6-C3923BC76094}"/>
    <cellStyle name="Comma 2 5 4 6 3 4 3" xfId="27651" xr:uid="{25EE97CA-A1DC-4115-8248-BE0EF7B75B8C}"/>
    <cellStyle name="Comma 2 5 4 6 3 5" xfId="14104" xr:uid="{C59279A3-DE83-44AD-81EE-624F11BAB000}"/>
    <cellStyle name="Comma 2 5 4 6 3 6" xfId="24520" xr:uid="{4DC381DA-003E-4B0E-B64A-633D3701812C}"/>
    <cellStyle name="Comma 2 5 4 6 4" xfId="1771" xr:uid="{00000000-0005-0000-0000-00001A110000}"/>
    <cellStyle name="Comma 2 5 4 6 4 2" xfId="1772" xr:uid="{00000000-0005-0000-0000-00001B110000}"/>
    <cellStyle name="Comma 2 5 4 6 4 2 2" xfId="8919" xr:uid="{00000000-0005-0000-0000-00001C110000}"/>
    <cellStyle name="Comma 2 5 4 6 4 2 2 2" xfId="20465" xr:uid="{C6A45F99-6588-4168-90ED-EEF2C15CF451}"/>
    <cellStyle name="Comma 2 5 4 6 4 2 2 3" xfId="30881" xr:uid="{6EA09B82-7D03-471F-A703-E69EA82201A1}"/>
    <cellStyle name="Comma 2 5 4 6 4 2 3" xfId="14107" xr:uid="{E5806B60-BA6B-4922-AD7C-482D072B8D29}"/>
    <cellStyle name="Comma 2 5 4 6 4 2 4" xfId="24523" xr:uid="{95D85E74-B2B1-4EF1-8D44-FB3F8CD5DBF8}"/>
    <cellStyle name="Comma 2 5 4 6 4 3" xfId="8918" xr:uid="{00000000-0005-0000-0000-00001D110000}"/>
    <cellStyle name="Comma 2 5 4 6 4 3 2" xfId="20464" xr:uid="{7F6E363A-62B9-4E13-9B47-09683187A8D2}"/>
    <cellStyle name="Comma 2 5 4 6 4 3 3" xfId="30880" xr:uid="{2737E73F-3932-40F7-A724-B9AD9EC03E29}"/>
    <cellStyle name="Comma 2 5 4 6 4 4" xfId="5650" xr:uid="{00000000-0005-0000-0000-00001E110000}"/>
    <cellStyle name="Comma 2 5 4 6 4 4 2" xfId="17236" xr:uid="{FD7D0EA1-114E-43AB-90D0-F38D3878C504}"/>
    <cellStyle name="Comma 2 5 4 6 4 4 3" xfId="27652" xr:uid="{B62AF707-69C4-496E-B055-6AFF3D13CF37}"/>
    <cellStyle name="Comma 2 5 4 6 4 5" xfId="14106" xr:uid="{5625E102-C4C2-44E1-892B-FDC9AE9A64B0}"/>
    <cellStyle name="Comma 2 5 4 6 4 6" xfId="24522" xr:uid="{17A731B5-B14E-4D55-80A5-77416D3DC6F9}"/>
    <cellStyle name="Comma 2 5 4 6 5" xfId="1773" xr:uid="{00000000-0005-0000-0000-00001F110000}"/>
    <cellStyle name="Comma 2 5 4 6 5 2" xfId="8920" xr:uid="{00000000-0005-0000-0000-000020110000}"/>
    <cellStyle name="Comma 2 5 4 6 5 2 2" xfId="20466" xr:uid="{18C98998-838A-4A32-85C0-E6BA1218449B}"/>
    <cellStyle name="Comma 2 5 4 6 5 2 3" xfId="30882" xr:uid="{FBDCDC60-1D5D-48F7-923E-BA8FEACBC44D}"/>
    <cellStyle name="Comma 2 5 4 6 5 3" xfId="14108" xr:uid="{5D3EB962-0186-4FBD-94EA-877A41382B99}"/>
    <cellStyle name="Comma 2 5 4 6 5 4" xfId="24524" xr:uid="{4B3174C0-15B7-459B-862F-FC6A9BF8DBE3}"/>
    <cellStyle name="Comma 2 5 4 6 6" xfId="8911" xr:uid="{00000000-0005-0000-0000-000021110000}"/>
    <cellStyle name="Comma 2 5 4 6 6 2" xfId="20457" xr:uid="{B99E3299-5941-4CEA-884C-D90AF7072F87}"/>
    <cellStyle name="Comma 2 5 4 6 6 3" xfId="30873" xr:uid="{DD8C70EB-DC07-447E-AC5D-33903D884AEF}"/>
    <cellStyle name="Comma 2 5 4 6 7" xfId="5646" xr:uid="{00000000-0005-0000-0000-000022110000}"/>
    <cellStyle name="Comma 2 5 4 6 7 2" xfId="17232" xr:uid="{ED2C80AC-FCF5-4FB9-BC8E-605673B45016}"/>
    <cellStyle name="Comma 2 5 4 6 7 3" xfId="27648" xr:uid="{6C4E0863-E7FE-4994-A773-C5BC60BBC4F6}"/>
    <cellStyle name="Comma 2 5 4 6 8" xfId="14099" xr:uid="{DED9CD60-87DF-4E99-962A-D46D46A93978}"/>
    <cellStyle name="Comma 2 5 4 6 9" xfId="24515" xr:uid="{79F4F627-FF10-4353-9E6E-769683A18F4B}"/>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2 2 2" xfId="20469" xr:uid="{293C8EF4-CFC4-49CB-A2E8-F8618222EF65}"/>
    <cellStyle name="Comma 2 5 4 7 2 2 2 3" xfId="30885" xr:uid="{F3609AEE-0037-4649-ACCA-945B344D9004}"/>
    <cellStyle name="Comma 2 5 4 7 2 2 3" xfId="14111" xr:uid="{46B2000D-157B-47D0-A020-F2A88C7DB59C}"/>
    <cellStyle name="Comma 2 5 4 7 2 2 4" xfId="24527" xr:uid="{6E8525F1-6A91-4DE8-83C5-AB659FC5A0A7}"/>
    <cellStyle name="Comma 2 5 4 7 2 3" xfId="8922" xr:uid="{00000000-0005-0000-0000-000027110000}"/>
    <cellStyle name="Comma 2 5 4 7 2 3 2" xfId="20468" xr:uid="{74889072-3623-4FC0-9549-2F5747A1DA2A}"/>
    <cellStyle name="Comma 2 5 4 7 2 3 3" xfId="30884" xr:uid="{8A40E853-4B8A-4B53-A91B-A3C728B9DF01}"/>
    <cellStyle name="Comma 2 5 4 7 2 4" xfId="5652" xr:uid="{00000000-0005-0000-0000-000028110000}"/>
    <cellStyle name="Comma 2 5 4 7 2 4 2" xfId="17238" xr:uid="{C8B2DD54-6539-4297-97D6-07CEA497F198}"/>
    <cellStyle name="Comma 2 5 4 7 2 4 3" xfId="27654" xr:uid="{7309F288-7B9A-4132-B996-32619DA5787D}"/>
    <cellStyle name="Comma 2 5 4 7 2 5" xfId="14110" xr:uid="{3C7CEEEB-1391-4682-B18A-DEE40889BC76}"/>
    <cellStyle name="Comma 2 5 4 7 2 6" xfId="24526" xr:uid="{60BAEBFA-6CA1-4809-A062-684834C12001}"/>
    <cellStyle name="Comma 2 5 4 7 3" xfId="1777" xr:uid="{00000000-0005-0000-0000-000029110000}"/>
    <cellStyle name="Comma 2 5 4 7 3 2" xfId="1778" xr:uid="{00000000-0005-0000-0000-00002A110000}"/>
    <cellStyle name="Comma 2 5 4 7 3 2 2" xfId="8925" xr:uid="{00000000-0005-0000-0000-00002B110000}"/>
    <cellStyle name="Comma 2 5 4 7 3 2 2 2" xfId="20471" xr:uid="{97E65000-C4FB-4E92-929B-064917A2D929}"/>
    <cellStyle name="Comma 2 5 4 7 3 2 2 3" xfId="30887" xr:uid="{E159922F-0609-41B0-8DD7-A973D415D217}"/>
    <cellStyle name="Comma 2 5 4 7 3 2 3" xfId="14113" xr:uid="{42A248C5-1478-4BE6-9B7A-BAE42766C00B}"/>
    <cellStyle name="Comma 2 5 4 7 3 2 4" xfId="24529" xr:uid="{0AAD2A08-7FFB-462A-AAD1-FBA41C5FA7DF}"/>
    <cellStyle name="Comma 2 5 4 7 3 3" xfId="8924" xr:uid="{00000000-0005-0000-0000-00002C110000}"/>
    <cellStyle name="Comma 2 5 4 7 3 3 2" xfId="20470" xr:uid="{96B5FE07-3E7A-4C58-B2EE-E79E3CE2CA91}"/>
    <cellStyle name="Comma 2 5 4 7 3 3 3" xfId="30886" xr:uid="{F75968BA-8D47-4FC5-8AB0-7BFFE6D767EE}"/>
    <cellStyle name="Comma 2 5 4 7 3 4" xfId="5653" xr:uid="{00000000-0005-0000-0000-00002D110000}"/>
    <cellStyle name="Comma 2 5 4 7 3 4 2" xfId="17239" xr:uid="{F035BC9B-A7D5-411C-A797-F6BD305151EA}"/>
    <cellStyle name="Comma 2 5 4 7 3 4 3" xfId="27655" xr:uid="{2966DEE7-F66D-4D8C-A89C-299B9925C6D3}"/>
    <cellStyle name="Comma 2 5 4 7 3 5" xfId="14112" xr:uid="{6AC5AB53-C256-4C7D-973D-4BD745616DF8}"/>
    <cellStyle name="Comma 2 5 4 7 3 6" xfId="24528" xr:uid="{7A80581D-D437-4441-89F4-D0EB24DF5C81}"/>
    <cellStyle name="Comma 2 5 4 7 4" xfId="1779" xr:uid="{00000000-0005-0000-0000-00002E110000}"/>
    <cellStyle name="Comma 2 5 4 7 4 2" xfId="8926" xr:uid="{00000000-0005-0000-0000-00002F110000}"/>
    <cellStyle name="Comma 2 5 4 7 4 2 2" xfId="20472" xr:uid="{C53CFC36-3649-4FCE-A3A0-384E431BEC03}"/>
    <cellStyle name="Comma 2 5 4 7 4 2 3" xfId="30888" xr:uid="{85E84437-5ED4-425B-A048-11769A8D695E}"/>
    <cellStyle name="Comma 2 5 4 7 4 3" xfId="14114" xr:uid="{770D72AD-F73A-4042-865A-A7276206CAC2}"/>
    <cellStyle name="Comma 2 5 4 7 4 4" xfId="24530" xr:uid="{86B28099-3591-470A-81B6-F7FF213A5AA6}"/>
    <cellStyle name="Comma 2 5 4 7 5" xfId="8921" xr:uid="{00000000-0005-0000-0000-000030110000}"/>
    <cellStyle name="Comma 2 5 4 7 5 2" xfId="20467" xr:uid="{AC2295F6-3544-4073-BC46-82FF317B0F10}"/>
    <cellStyle name="Comma 2 5 4 7 5 3" xfId="30883" xr:uid="{B7E8B64A-643B-4992-B336-0A813BB14C05}"/>
    <cellStyle name="Comma 2 5 4 7 6" xfId="5651" xr:uid="{00000000-0005-0000-0000-000031110000}"/>
    <cellStyle name="Comma 2 5 4 7 6 2" xfId="17237" xr:uid="{D9F6FA50-BA59-4E66-8666-9EDBDBF0925B}"/>
    <cellStyle name="Comma 2 5 4 7 6 3" xfId="27653" xr:uid="{01E4877E-6879-4A67-A344-E6EE108C60A6}"/>
    <cellStyle name="Comma 2 5 4 7 7" xfId="14109" xr:uid="{FFD154FE-9727-49DE-91DC-F70CE6F25CF3}"/>
    <cellStyle name="Comma 2 5 4 7 8" xfId="24525" xr:uid="{1F1B6FBF-35C8-4567-8EA4-445CC2F48A1C}"/>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2 2 2" xfId="20475" xr:uid="{87F86B48-2F3D-4484-A130-B65E22F22789}"/>
    <cellStyle name="Comma 2 5 4 8 2 2 2 3" xfId="30891" xr:uid="{F5AF9675-80B6-4D05-B86D-06E8AA9D5B1D}"/>
    <cellStyle name="Comma 2 5 4 8 2 2 3" xfId="14117" xr:uid="{07A2F680-A255-444A-9204-28705F7A0DC0}"/>
    <cellStyle name="Comma 2 5 4 8 2 2 4" xfId="24533" xr:uid="{2128CB50-E14A-4785-9294-1652CB6FC4D5}"/>
    <cellStyle name="Comma 2 5 4 8 2 3" xfId="8928" xr:uid="{00000000-0005-0000-0000-000036110000}"/>
    <cellStyle name="Comma 2 5 4 8 2 3 2" xfId="20474" xr:uid="{FB951DBA-43E6-4B11-B316-75BEE14F98AD}"/>
    <cellStyle name="Comma 2 5 4 8 2 3 3" xfId="30890" xr:uid="{BADDCEB3-D311-49CF-B749-DEF0DC748DB4}"/>
    <cellStyle name="Comma 2 5 4 8 2 4" xfId="5655" xr:uid="{00000000-0005-0000-0000-000037110000}"/>
    <cellStyle name="Comma 2 5 4 8 2 4 2" xfId="17241" xr:uid="{41A8A39E-FEEE-44A5-9EB8-A105F37CC1B7}"/>
    <cellStyle name="Comma 2 5 4 8 2 4 3" xfId="27657" xr:uid="{188AC1A7-8D43-41AF-AAB5-A78726081091}"/>
    <cellStyle name="Comma 2 5 4 8 2 5" xfId="14116" xr:uid="{322630DB-DF83-4D6D-9BAD-6A4FF154DB03}"/>
    <cellStyle name="Comma 2 5 4 8 2 6" xfId="24532" xr:uid="{FE8EE032-6CCB-469E-9ACF-B1E9E0638801}"/>
    <cellStyle name="Comma 2 5 4 8 3" xfId="1783" xr:uid="{00000000-0005-0000-0000-000038110000}"/>
    <cellStyle name="Comma 2 5 4 8 3 2" xfId="8930" xr:uid="{00000000-0005-0000-0000-000039110000}"/>
    <cellStyle name="Comma 2 5 4 8 3 2 2" xfId="20476" xr:uid="{396E1EBC-E9DF-4164-840C-2728B874B837}"/>
    <cellStyle name="Comma 2 5 4 8 3 2 3" xfId="30892" xr:uid="{9D4A6825-DBE6-48CA-90AA-56108CA872A0}"/>
    <cellStyle name="Comma 2 5 4 8 3 3" xfId="14118" xr:uid="{F4B7A453-C6FB-4EDA-A0D9-EF28B4C7DF5D}"/>
    <cellStyle name="Comma 2 5 4 8 3 4" xfId="24534" xr:uid="{D58D452D-58B0-4BCD-89F3-631EF89A9E76}"/>
    <cellStyle name="Comma 2 5 4 8 4" xfId="8927" xr:uid="{00000000-0005-0000-0000-00003A110000}"/>
    <cellStyle name="Comma 2 5 4 8 4 2" xfId="20473" xr:uid="{400073BE-8409-4A71-B545-72A6492EEE2F}"/>
    <cellStyle name="Comma 2 5 4 8 4 3" xfId="30889" xr:uid="{D47BA456-F1BD-4A90-B440-F387C65CB75B}"/>
    <cellStyle name="Comma 2 5 4 8 5" xfId="5654" xr:uid="{00000000-0005-0000-0000-00003B110000}"/>
    <cellStyle name="Comma 2 5 4 8 5 2" xfId="17240" xr:uid="{AB70C0B6-DE37-49AB-86E4-BA4E31C0E85E}"/>
    <cellStyle name="Comma 2 5 4 8 5 3" xfId="27656" xr:uid="{E50CC405-D196-4F3E-880C-D145891F8238}"/>
    <cellStyle name="Comma 2 5 4 8 6" xfId="14115" xr:uid="{FB295064-5E93-4825-8DE3-37628C943E2F}"/>
    <cellStyle name="Comma 2 5 4 8 7" xfId="24531" xr:uid="{45D996DA-E034-4FFA-9EBD-E1446A43C933}"/>
    <cellStyle name="Comma 2 5 4 9" xfId="1784" xr:uid="{00000000-0005-0000-0000-00003C110000}"/>
    <cellStyle name="Comma 2 5 4 9 2" xfId="1785" xr:uid="{00000000-0005-0000-0000-00003D110000}"/>
    <cellStyle name="Comma 2 5 4 9 2 2" xfId="8932" xr:uid="{00000000-0005-0000-0000-00003E110000}"/>
    <cellStyle name="Comma 2 5 4 9 2 2 2" xfId="20478" xr:uid="{CC181786-6F1E-443D-8C07-80B16539FEF3}"/>
    <cellStyle name="Comma 2 5 4 9 2 2 3" xfId="30894" xr:uid="{6A44848C-1FA7-4170-BE52-F635C32F39C1}"/>
    <cellStyle name="Comma 2 5 4 9 2 3" xfId="14120" xr:uid="{FCCCE995-F911-44A2-9DE3-A8256F84A55A}"/>
    <cellStyle name="Comma 2 5 4 9 2 4" xfId="24536" xr:uid="{97B645E2-237E-4C68-969A-9FBF4166D994}"/>
    <cellStyle name="Comma 2 5 4 9 3" xfId="8931" xr:uid="{00000000-0005-0000-0000-00003F110000}"/>
    <cellStyle name="Comma 2 5 4 9 3 2" xfId="20477" xr:uid="{006DD486-465F-4F0E-A029-59F1195AA584}"/>
    <cellStyle name="Comma 2 5 4 9 3 3" xfId="30893" xr:uid="{9DF984F8-02A1-4997-9604-323A8FAA890D}"/>
    <cellStyle name="Comma 2 5 4 9 4" xfId="5656" xr:uid="{00000000-0005-0000-0000-000040110000}"/>
    <cellStyle name="Comma 2 5 4 9 4 2" xfId="17242" xr:uid="{B4611037-9871-4BED-A53C-6E00EE11A614}"/>
    <cellStyle name="Comma 2 5 4 9 4 3" xfId="27658" xr:uid="{9B8B6A1C-4AE1-4227-BF56-2EC9B67CE9BC}"/>
    <cellStyle name="Comma 2 5 4 9 5" xfId="14119" xr:uid="{C3FD064E-0D0C-4A85-8A7B-01A7B51BBD8B}"/>
    <cellStyle name="Comma 2 5 4 9 6" xfId="24535" xr:uid="{54155A03-646C-452A-B8F2-35504F66DAEE}"/>
    <cellStyle name="Comma 2 5 5" xfId="1786" xr:uid="{00000000-0005-0000-0000-000041110000}"/>
    <cellStyle name="Comma 2 5 5 10" xfId="1787" xr:uid="{00000000-0005-0000-0000-000042110000}"/>
    <cellStyle name="Comma 2 5 5 10 2" xfId="8934" xr:uid="{00000000-0005-0000-0000-000043110000}"/>
    <cellStyle name="Comma 2 5 5 10 2 2" xfId="20480" xr:uid="{7BF7B131-E234-4D9C-B0C9-0BED52D3022F}"/>
    <cellStyle name="Comma 2 5 5 10 2 3" xfId="30896" xr:uid="{3E05C06E-C487-4E77-9031-A28CCB23DC1B}"/>
    <cellStyle name="Comma 2 5 5 10 3" xfId="14122" xr:uid="{C3B6077D-2A7F-4690-9B4A-67397F7F56CB}"/>
    <cellStyle name="Comma 2 5 5 10 4" xfId="24538" xr:uid="{10355CBC-CC02-4DB7-BA2C-4A39BA7F2A47}"/>
    <cellStyle name="Comma 2 5 5 11" xfId="8933" xr:uid="{00000000-0005-0000-0000-000044110000}"/>
    <cellStyle name="Comma 2 5 5 11 2" xfId="20479" xr:uid="{C6266EF3-57EC-40C4-B3BD-9E6495297451}"/>
    <cellStyle name="Comma 2 5 5 11 3" xfId="30895" xr:uid="{727508F3-562B-404B-8B61-7E777A3B8799}"/>
    <cellStyle name="Comma 2 5 5 12" xfId="5657" xr:uid="{00000000-0005-0000-0000-000045110000}"/>
    <cellStyle name="Comma 2 5 5 12 2" xfId="17243" xr:uid="{D6EC267E-9D9C-4A15-A0F2-10FABF63103A}"/>
    <cellStyle name="Comma 2 5 5 12 3" xfId="27659" xr:uid="{94AB4C35-63B4-4831-A3EF-328AFAF6D629}"/>
    <cellStyle name="Comma 2 5 5 13" xfId="14121" xr:uid="{23425AED-1F36-4A86-BEEE-435769AA4398}"/>
    <cellStyle name="Comma 2 5 5 14" xfId="24537" xr:uid="{9D7E024E-F1BF-450A-973F-97F979FF19A8}"/>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2 2 2" xfId="20484" xr:uid="{C4969A7E-28C0-4557-B325-3A9F37061502}"/>
    <cellStyle name="Comma 2 5 5 2 2 2 2 2 3" xfId="30900" xr:uid="{E68BC7BD-E81D-4CD2-9AD1-8008C8BF9DEA}"/>
    <cellStyle name="Comma 2 5 5 2 2 2 2 3" xfId="14126" xr:uid="{74DD182F-957F-4A3E-A092-5665961E9195}"/>
    <cellStyle name="Comma 2 5 5 2 2 2 2 4" xfId="24542" xr:uid="{CFEC15DE-E237-4F28-8DFF-1D883905258A}"/>
    <cellStyle name="Comma 2 5 5 2 2 2 3" xfId="8937" xr:uid="{00000000-0005-0000-0000-00004B110000}"/>
    <cellStyle name="Comma 2 5 5 2 2 2 3 2" xfId="20483" xr:uid="{AEB4E596-F360-4587-B18B-9BA73D2E2A00}"/>
    <cellStyle name="Comma 2 5 5 2 2 2 3 3" xfId="30899" xr:uid="{D159C9D2-2DD7-419F-B8B9-3922DBE8E98B}"/>
    <cellStyle name="Comma 2 5 5 2 2 2 4" xfId="5660" xr:uid="{00000000-0005-0000-0000-00004C110000}"/>
    <cellStyle name="Comma 2 5 5 2 2 2 4 2" xfId="17246" xr:uid="{E1FA9F70-3B26-491F-8D37-547E295DE588}"/>
    <cellStyle name="Comma 2 5 5 2 2 2 4 3" xfId="27662" xr:uid="{7FC12645-18B3-4CCD-BE79-28BFD9EF5736}"/>
    <cellStyle name="Comma 2 5 5 2 2 2 5" xfId="14125" xr:uid="{5481E40C-238E-4FAE-8946-35D31BAA4864}"/>
    <cellStyle name="Comma 2 5 5 2 2 2 6" xfId="24541" xr:uid="{AF38B736-4267-47F1-BAA9-DFCE47534776}"/>
    <cellStyle name="Comma 2 5 5 2 2 3" xfId="1792" xr:uid="{00000000-0005-0000-0000-00004D110000}"/>
    <cellStyle name="Comma 2 5 5 2 2 3 2" xfId="8939" xr:uid="{00000000-0005-0000-0000-00004E110000}"/>
    <cellStyle name="Comma 2 5 5 2 2 3 2 2" xfId="20485" xr:uid="{F72DB930-48F6-4E09-A46C-863115C76FA6}"/>
    <cellStyle name="Comma 2 5 5 2 2 3 2 3" xfId="30901" xr:uid="{347CD3A9-D6B9-4F21-9ACD-C1134FCEFD52}"/>
    <cellStyle name="Comma 2 5 5 2 2 3 3" xfId="14127" xr:uid="{A5E0245F-C016-468D-8E86-770C67025B51}"/>
    <cellStyle name="Comma 2 5 5 2 2 3 4" xfId="24543" xr:uid="{C1AABC7C-35B5-41F7-9B2A-52F7D16E8E1F}"/>
    <cellStyle name="Comma 2 5 5 2 2 4" xfId="8936" xr:uid="{00000000-0005-0000-0000-00004F110000}"/>
    <cellStyle name="Comma 2 5 5 2 2 4 2" xfId="20482" xr:uid="{F85E704F-928B-48FA-81A0-CF71336FBF3F}"/>
    <cellStyle name="Comma 2 5 5 2 2 4 3" xfId="30898" xr:uid="{4E1C7D61-9FE4-4ECF-B30D-B7A72DF11448}"/>
    <cellStyle name="Comma 2 5 5 2 2 5" xfId="5659" xr:uid="{00000000-0005-0000-0000-000050110000}"/>
    <cellStyle name="Comma 2 5 5 2 2 5 2" xfId="17245" xr:uid="{5F1F50CB-48E0-4830-8759-C9D3C1BB65B5}"/>
    <cellStyle name="Comma 2 5 5 2 2 5 3" xfId="27661" xr:uid="{FAAD1FEE-8F79-47A4-B70B-568061EE6C5C}"/>
    <cellStyle name="Comma 2 5 5 2 2 6" xfId="14124" xr:uid="{6C8153D5-7644-4DA2-9AD9-845C6603D662}"/>
    <cellStyle name="Comma 2 5 5 2 2 7" xfId="24540" xr:uid="{E59CD716-9495-416B-8869-08999FABD48F}"/>
    <cellStyle name="Comma 2 5 5 2 3" xfId="1793" xr:uid="{00000000-0005-0000-0000-000051110000}"/>
    <cellStyle name="Comma 2 5 5 2 3 2" xfId="1794" xr:uid="{00000000-0005-0000-0000-000052110000}"/>
    <cellStyle name="Comma 2 5 5 2 3 2 2" xfId="8941" xr:uid="{00000000-0005-0000-0000-000053110000}"/>
    <cellStyle name="Comma 2 5 5 2 3 2 2 2" xfId="20487" xr:uid="{231E8F62-D2C8-4FD3-96FA-7592CE12E9DB}"/>
    <cellStyle name="Comma 2 5 5 2 3 2 2 3" xfId="30903" xr:uid="{C1DF0CD0-5A90-4771-8500-B4474FC3A1CC}"/>
    <cellStyle name="Comma 2 5 5 2 3 2 3" xfId="14129" xr:uid="{1A720268-CFC2-44A6-9C04-23FE0667CCA9}"/>
    <cellStyle name="Comma 2 5 5 2 3 2 4" xfId="24545" xr:uid="{BC3A5C8A-3A8A-440B-AAAC-170AE915EB16}"/>
    <cellStyle name="Comma 2 5 5 2 3 3" xfId="8940" xr:uid="{00000000-0005-0000-0000-000054110000}"/>
    <cellStyle name="Comma 2 5 5 2 3 3 2" xfId="20486" xr:uid="{1B911CEB-F9AA-4A2E-87AC-F0708A35BF81}"/>
    <cellStyle name="Comma 2 5 5 2 3 3 3" xfId="30902" xr:uid="{6F91831E-4AEA-4308-B83F-CEC5DB16B063}"/>
    <cellStyle name="Comma 2 5 5 2 3 4" xfId="5661" xr:uid="{00000000-0005-0000-0000-000055110000}"/>
    <cellStyle name="Comma 2 5 5 2 3 4 2" xfId="17247" xr:uid="{BDC0B81F-9904-4816-AD4A-81CDBD92A58E}"/>
    <cellStyle name="Comma 2 5 5 2 3 4 3" xfId="27663" xr:uid="{306AD8BF-DE9C-4A72-AC3B-7762BFACB1E5}"/>
    <cellStyle name="Comma 2 5 5 2 3 5" xfId="14128" xr:uid="{BE3E6306-5923-4BD2-855E-7CB69B7045F7}"/>
    <cellStyle name="Comma 2 5 5 2 3 6" xfId="24544" xr:uid="{302D75BC-9D37-460E-A95A-A5CEB33B5C47}"/>
    <cellStyle name="Comma 2 5 5 2 4" xfId="1795" xr:uid="{00000000-0005-0000-0000-000056110000}"/>
    <cellStyle name="Comma 2 5 5 2 4 2" xfId="1796" xr:uid="{00000000-0005-0000-0000-000057110000}"/>
    <cellStyle name="Comma 2 5 5 2 4 2 2" xfId="8943" xr:uid="{00000000-0005-0000-0000-000058110000}"/>
    <cellStyle name="Comma 2 5 5 2 4 2 2 2" xfId="20489" xr:uid="{7096E4A1-0AA6-4EF0-BB24-53E64E201604}"/>
    <cellStyle name="Comma 2 5 5 2 4 2 2 3" xfId="30905" xr:uid="{03818127-40AC-46F0-97AA-E2052895DAC9}"/>
    <cellStyle name="Comma 2 5 5 2 4 2 3" xfId="14131" xr:uid="{9307716E-9B27-46C2-9307-495EBDC4CF97}"/>
    <cellStyle name="Comma 2 5 5 2 4 2 4" xfId="24547" xr:uid="{4AB2A234-962A-4811-ADC7-F3E8528AC954}"/>
    <cellStyle name="Comma 2 5 5 2 4 3" xfId="8942" xr:uid="{00000000-0005-0000-0000-000059110000}"/>
    <cellStyle name="Comma 2 5 5 2 4 3 2" xfId="20488" xr:uid="{34BD92B7-9EA8-41AF-8781-127EBCE98888}"/>
    <cellStyle name="Comma 2 5 5 2 4 3 3" xfId="30904" xr:uid="{FB3B2117-DD1A-4123-A940-5AD13D8BE24E}"/>
    <cellStyle name="Comma 2 5 5 2 4 4" xfId="5662" xr:uid="{00000000-0005-0000-0000-00005A110000}"/>
    <cellStyle name="Comma 2 5 5 2 4 4 2" xfId="17248" xr:uid="{0448C16F-AFB0-4A7D-B875-511597D55868}"/>
    <cellStyle name="Comma 2 5 5 2 4 4 3" xfId="27664" xr:uid="{F98EAACA-7523-487F-8374-F8807A95E365}"/>
    <cellStyle name="Comma 2 5 5 2 4 5" xfId="14130" xr:uid="{6A1B2918-FA99-48D4-8772-11D8DD3BEA20}"/>
    <cellStyle name="Comma 2 5 5 2 4 6" xfId="24546" xr:uid="{7F2309C6-8610-4F6E-BBE4-A54EE778590D}"/>
    <cellStyle name="Comma 2 5 5 2 5" xfId="1797" xr:uid="{00000000-0005-0000-0000-00005B110000}"/>
    <cellStyle name="Comma 2 5 5 2 5 2" xfId="8944" xr:uid="{00000000-0005-0000-0000-00005C110000}"/>
    <cellStyle name="Comma 2 5 5 2 5 2 2" xfId="20490" xr:uid="{C257F430-3349-4616-9526-C20BFC2F1AE4}"/>
    <cellStyle name="Comma 2 5 5 2 5 2 3" xfId="30906" xr:uid="{484C8D4D-8DF3-4113-8505-31543AB32C22}"/>
    <cellStyle name="Comma 2 5 5 2 5 3" xfId="14132" xr:uid="{D4EBD6C3-AFD4-4213-AED1-E76FFDCB240B}"/>
    <cellStyle name="Comma 2 5 5 2 5 4" xfId="24548" xr:uid="{F3BFAA5D-85E2-4077-859B-55A057383032}"/>
    <cellStyle name="Comma 2 5 5 2 6" xfId="8935" xr:uid="{00000000-0005-0000-0000-00005D110000}"/>
    <cellStyle name="Comma 2 5 5 2 6 2" xfId="20481" xr:uid="{6D215471-51E1-4733-9C41-0F113E53BB90}"/>
    <cellStyle name="Comma 2 5 5 2 6 3" xfId="30897" xr:uid="{465F7C36-84D2-454F-B04A-329DBA203423}"/>
    <cellStyle name="Comma 2 5 5 2 7" xfId="5658" xr:uid="{00000000-0005-0000-0000-00005E110000}"/>
    <cellStyle name="Comma 2 5 5 2 7 2" xfId="17244" xr:uid="{0B836AF1-D582-4153-891A-E68C2A27F2F0}"/>
    <cellStyle name="Comma 2 5 5 2 7 3" xfId="27660" xr:uid="{282FDB70-C1D7-4E82-9AA4-EAC0D071504C}"/>
    <cellStyle name="Comma 2 5 5 2 8" xfId="14123" xr:uid="{D2231837-EC6F-4AF5-BFFA-5D97E528D74A}"/>
    <cellStyle name="Comma 2 5 5 2 9" xfId="24539" xr:uid="{BBF575C8-8A12-4F9B-9224-6D20595B6F22}"/>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2 2 2" xfId="20494" xr:uid="{99C23A1E-04D3-4507-9D9C-79CEA56366CD}"/>
    <cellStyle name="Comma 2 5 5 3 2 2 2 2 3" xfId="30910" xr:uid="{8F807CD0-4297-4EDB-B53C-45269F2D1B75}"/>
    <cellStyle name="Comma 2 5 5 3 2 2 2 3" xfId="14136" xr:uid="{B331DFDD-B30C-4ADF-B1DE-F23D95288B4A}"/>
    <cellStyle name="Comma 2 5 5 3 2 2 2 4" xfId="24552" xr:uid="{842EFFB6-3FDC-4336-BABE-CE95ABC4C388}"/>
    <cellStyle name="Comma 2 5 5 3 2 2 3" xfId="8947" xr:uid="{00000000-0005-0000-0000-000064110000}"/>
    <cellStyle name="Comma 2 5 5 3 2 2 3 2" xfId="20493" xr:uid="{78F4F92C-6BA2-4D91-B222-D6AC8A23BCB2}"/>
    <cellStyle name="Comma 2 5 5 3 2 2 3 3" xfId="30909" xr:uid="{D749CC75-5D4D-43D2-8747-A1E0B2630495}"/>
    <cellStyle name="Comma 2 5 5 3 2 2 4" xfId="5665" xr:uid="{00000000-0005-0000-0000-000065110000}"/>
    <cellStyle name="Comma 2 5 5 3 2 2 4 2" xfId="17251" xr:uid="{389450D2-69E3-4B55-B59E-AC91AC038289}"/>
    <cellStyle name="Comma 2 5 5 3 2 2 4 3" xfId="27667" xr:uid="{3992C944-D6D0-409E-9BC1-7A5B3F54E0EF}"/>
    <cellStyle name="Comma 2 5 5 3 2 2 5" xfId="14135" xr:uid="{B9D0FFB6-5F0E-4C63-9C90-1963B7146CEF}"/>
    <cellStyle name="Comma 2 5 5 3 2 2 6" xfId="24551" xr:uid="{C485D82C-2216-463D-818D-C380C8419900}"/>
    <cellStyle name="Comma 2 5 5 3 2 3" xfId="1802" xr:uid="{00000000-0005-0000-0000-000066110000}"/>
    <cellStyle name="Comma 2 5 5 3 2 3 2" xfId="8949" xr:uid="{00000000-0005-0000-0000-000067110000}"/>
    <cellStyle name="Comma 2 5 5 3 2 3 2 2" xfId="20495" xr:uid="{8B3BB228-5404-457E-98D9-C1238FAD9116}"/>
    <cellStyle name="Comma 2 5 5 3 2 3 2 3" xfId="30911" xr:uid="{A79D290A-C4C4-41E9-A634-3112BF4C37B5}"/>
    <cellStyle name="Comma 2 5 5 3 2 3 3" xfId="14137" xr:uid="{814D6A87-1AA0-4248-9C4B-A50F3C6B1961}"/>
    <cellStyle name="Comma 2 5 5 3 2 3 4" xfId="24553" xr:uid="{FF918F22-5B33-4B7D-91D4-C57695B7459D}"/>
    <cellStyle name="Comma 2 5 5 3 2 4" xfId="8946" xr:uid="{00000000-0005-0000-0000-000068110000}"/>
    <cellStyle name="Comma 2 5 5 3 2 4 2" xfId="20492" xr:uid="{63F06E4A-04D7-4E0B-861D-BDAB48A43FAE}"/>
    <cellStyle name="Comma 2 5 5 3 2 4 3" xfId="30908" xr:uid="{FFDDA6D0-0B23-4E45-9C98-76CC7BC80D5C}"/>
    <cellStyle name="Comma 2 5 5 3 2 5" xfId="5664" xr:uid="{00000000-0005-0000-0000-000069110000}"/>
    <cellStyle name="Comma 2 5 5 3 2 5 2" xfId="17250" xr:uid="{B6FDFE9E-EECF-41FC-9EE4-A23FA59FE530}"/>
    <cellStyle name="Comma 2 5 5 3 2 5 3" xfId="27666" xr:uid="{9663C73F-9B86-458F-8CB9-329EDF1F2FEE}"/>
    <cellStyle name="Comma 2 5 5 3 2 6" xfId="14134" xr:uid="{8138D4DD-B843-4437-87FF-4488240C1333}"/>
    <cellStyle name="Comma 2 5 5 3 2 7" xfId="24550" xr:uid="{03AE00A7-2CE0-4F43-BE9F-F357F3B05B79}"/>
    <cellStyle name="Comma 2 5 5 3 3" xfId="1803" xr:uid="{00000000-0005-0000-0000-00006A110000}"/>
    <cellStyle name="Comma 2 5 5 3 3 2" xfId="1804" xr:uid="{00000000-0005-0000-0000-00006B110000}"/>
    <cellStyle name="Comma 2 5 5 3 3 2 2" xfId="8951" xr:uid="{00000000-0005-0000-0000-00006C110000}"/>
    <cellStyle name="Comma 2 5 5 3 3 2 2 2" xfId="20497" xr:uid="{E08561AB-A408-4049-B635-D47142609072}"/>
    <cellStyle name="Comma 2 5 5 3 3 2 2 3" xfId="30913" xr:uid="{F6560488-445C-456D-8458-6841E37EB73E}"/>
    <cellStyle name="Comma 2 5 5 3 3 2 3" xfId="14139" xr:uid="{C92664AE-BDE2-4BA5-80A5-528FBAD1FFEF}"/>
    <cellStyle name="Comma 2 5 5 3 3 2 4" xfId="24555" xr:uid="{FC0C9EBB-AB66-433C-BDB4-BCF36DC770A1}"/>
    <cellStyle name="Comma 2 5 5 3 3 3" xfId="8950" xr:uid="{00000000-0005-0000-0000-00006D110000}"/>
    <cellStyle name="Comma 2 5 5 3 3 3 2" xfId="20496" xr:uid="{5B728D34-1677-4EDF-BBF3-4F8BBF203212}"/>
    <cellStyle name="Comma 2 5 5 3 3 3 3" xfId="30912" xr:uid="{F22F4896-7C5E-4B8C-8396-9263C5D19B52}"/>
    <cellStyle name="Comma 2 5 5 3 3 4" xfId="5666" xr:uid="{00000000-0005-0000-0000-00006E110000}"/>
    <cellStyle name="Comma 2 5 5 3 3 4 2" xfId="17252" xr:uid="{C409E91B-B522-435E-8BE5-EEC47408960F}"/>
    <cellStyle name="Comma 2 5 5 3 3 4 3" xfId="27668" xr:uid="{214C6751-962F-484A-97AC-8EFA251AEADA}"/>
    <cellStyle name="Comma 2 5 5 3 3 5" xfId="14138" xr:uid="{377EFD1F-D040-4F38-95AB-897244AE67E5}"/>
    <cellStyle name="Comma 2 5 5 3 3 6" xfId="24554" xr:uid="{68F19E7F-4710-4D0C-B785-2267F8FE8BE1}"/>
    <cellStyle name="Comma 2 5 5 3 4" xfId="1805" xr:uid="{00000000-0005-0000-0000-00006F110000}"/>
    <cellStyle name="Comma 2 5 5 3 4 2" xfId="1806" xr:uid="{00000000-0005-0000-0000-000070110000}"/>
    <cellStyle name="Comma 2 5 5 3 4 2 2" xfId="8953" xr:uid="{00000000-0005-0000-0000-000071110000}"/>
    <cellStyle name="Comma 2 5 5 3 4 2 2 2" xfId="20499" xr:uid="{93031C4F-724A-4B25-9FCF-965699726349}"/>
    <cellStyle name="Comma 2 5 5 3 4 2 2 3" xfId="30915" xr:uid="{94C89D13-C91B-4A32-A0A1-E72A06D0A417}"/>
    <cellStyle name="Comma 2 5 5 3 4 2 3" xfId="14141" xr:uid="{2337EDB5-0D9B-406F-9906-FC68E4415CA0}"/>
    <cellStyle name="Comma 2 5 5 3 4 2 4" xfId="24557" xr:uid="{07E975D4-E0F7-41B5-8C7F-05417E54F5AC}"/>
    <cellStyle name="Comma 2 5 5 3 4 3" xfId="8952" xr:uid="{00000000-0005-0000-0000-000072110000}"/>
    <cellStyle name="Comma 2 5 5 3 4 3 2" xfId="20498" xr:uid="{D3A0BD1F-D5BC-4D08-BF8F-DB71789A6945}"/>
    <cellStyle name="Comma 2 5 5 3 4 3 3" xfId="30914" xr:uid="{2859397C-C97E-4616-9B30-40E55BCEDD5B}"/>
    <cellStyle name="Comma 2 5 5 3 4 4" xfId="5667" xr:uid="{00000000-0005-0000-0000-000073110000}"/>
    <cellStyle name="Comma 2 5 5 3 4 4 2" xfId="17253" xr:uid="{17ADFF11-30A0-440A-BFC5-45FDE6209D25}"/>
    <cellStyle name="Comma 2 5 5 3 4 4 3" xfId="27669" xr:uid="{4C9C6A6F-77BD-445B-8603-C38E76F96257}"/>
    <cellStyle name="Comma 2 5 5 3 4 5" xfId="14140" xr:uid="{AF573CB0-97CF-4B5D-8967-975B72EC0DF8}"/>
    <cellStyle name="Comma 2 5 5 3 4 6" xfId="24556" xr:uid="{FFC1A963-EB8C-44EA-ADA0-E947E5C20685}"/>
    <cellStyle name="Comma 2 5 5 3 5" xfId="1807" xr:uid="{00000000-0005-0000-0000-000074110000}"/>
    <cellStyle name="Comma 2 5 5 3 5 2" xfId="8954" xr:uid="{00000000-0005-0000-0000-000075110000}"/>
    <cellStyle name="Comma 2 5 5 3 5 2 2" xfId="20500" xr:uid="{9432EDB9-9DFA-4C29-BC85-62985AB13DD5}"/>
    <cellStyle name="Comma 2 5 5 3 5 2 3" xfId="30916" xr:uid="{3192D83E-54B6-4C3C-9CD4-75E26D2A8082}"/>
    <cellStyle name="Comma 2 5 5 3 5 3" xfId="14142" xr:uid="{29527681-866D-4F78-9568-00929853DE0F}"/>
    <cellStyle name="Comma 2 5 5 3 5 4" xfId="24558" xr:uid="{88029B9A-C7B7-4FA3-9B79-6ECD466AF909}"/>
    <cellStyle name="Comma 2 5 5 3 6" xfId="8945" xr:uid="{00000000-0005-0000-0000-000076110000}"/>
    <cellStyle name="Comma 2 5 5 3 6 2" xfId="20491" xr:uid="{A6CE9D35-9EE0-47EA-A139-61B777C018A3}"/>
    <cellStyle name="Comma 2 5 5 3 6 3" xfId="30907" xr:uid="{F9318550-BD2D-4445-8DF4-9908D48E26ED}"/>
    <cellStyle name="Comma 2 5 5 3 7" xfId="5663" xr:uid="{00000000-0005-0000-0000-000077110000}"/>
    <cellStyle name="Comma 2 5 5 3 7 2" xfId="17249" xr:uid="{D469EEFB-EDD9-4FE3-9796-D56FEE661669}"/>
    <cellStyle name="Comma 2 5 5 3 7 3" xfId="27665" xr:uid="{89498F05-43A8-4521-93F5-917F4C5AE845}"/>
    <cellStyle name="Comma 2 5 5 3 8" xfId="14133" xr:uid="{4882FB85-C7D4-4F6F-BD1B-83C9D1FCB529}"/>
    <cellStyle name="Comma 2 5 5 3 9" xfId="24549" xr:uid="{157E883F-25FB-4217-BE69-81B2C780BB7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2 2 2" xfId="20504" xr:uid="{72896898-0D46-4B86-BFB0-2ACEA84B5B6A}"/>
    <cellStyle name="Comma 2 5 5 4 2 2 2 2 3" xfId="30920" xr:uid="{C9FAF8ED-1642-41AC-9CE3-E2158EE6D67D}"/>
    <cellStyle name="Comma 2 5 5 4 2 2 2 3" xfId="14146" xr:uid="{407B9E91-E811-4D67-8F6C-608B8D7AF402}"/>
    <cellStyle name="Comma 2 5 5 4 2 2 2 4" xfId="24562" xr:uid="{1AE66C42-7825-4223-92B0-CA30ABD68D32}"/>
    <cellStyle name="Comma 2 5 5 4 2 2 3" xfId="8957" xr:uid="{00000000-0005-0000-0000-00007D110000}"/>
    <cellStyle name="Comma 2 5 5 4 2 2 3 2" xfId="20503" xr:uid="{32704620-086C-43BA-A457-03097C7B2753}"/>
    <cellStyle name="Comma 2 5 5 4 2 2 3 3" xfId="30919" xr:uid="{AE802647-0277-4A69-8455-1A62F21B8519}"/>
    <cellStyle name="Comma 2 5 5 4 2 2 4" xfId="5670" xr:uid="{00000000-0005-0000-0000-00007E110000}"/>
    <cellStyle name="Comma 2 5 5 4 2 2 4 2" xfId="17256" xr:uid="{DA7DA06F-FD81-49A5-A339-4A0F21A8783E}"/>
    <cellStyle name="Comma 2 5 5 4 2 2 4 3" xfId="27672" xr:uid="{0627DCCF-81D5-42E4-ADE0-4F22771391A9}"/>
    <cellStyle name="Comma 2 5 5 4 2 2 5" xfId="14145" xr:uid="{D0EECCF0-D997-4E91-8A84-17A68F25A269}"/>
    <cellStyle name="Comma 2 5 5 4 2 2 6" xfId="24561" xr:uid="{F0F4E4B7-CA06-4DB0-8235-EC9F185CE595}"/>
    <cellStyle name="Comma 2 5 5 4 2 3" xfId="1812" xr:uid="{00000000-0005-0000-0000-00007F110000}"/>
    <cellStyle name="Comma 2 5 5 4 2 3 2" xfId="8959" xr:uid="{00000000-0005-0000-0000-000080110000}"/>
    <cellStyle name="Comma 2 5 5 4 2 3 2 2" xfId="20505" xr:uid="{205F85F6-B5A9-4272-A361-5D9903CE881D}"/>
    <cellStyle name="Comma 2 5 5 4 2 3 2 3" xfId="30921" xr:uid="{479DE659-7D6E-4896-819A-BAD2A7E5D228}"/>
    <cellStyle name="Comma 2 5 5 4 2 3 3" xfId="14147" xr:uid="{691C90D1-539F-4325-9ADA-F68E765C6B30}"/>
    <cellStyle name="Comma 2 5 5 4 2 3 4" xfId="24563" xr:uid="{88DB8EFA-12ED-4AA6-9DCC-18922F695B32}"/>
    <cellStyle name="Comma 2 5 5 4 2 4" xfId="8956" xr:uid="{00000000-0005-0000-0000-000081110000}"/>
    <cellStyle name="Comma 2 5 5 4 2 4 2" xfId="20502" xr:uid="{6C42CE97-80E6-4C42-8248-CFE1F8EFBCF0}"/>
    <cellStyle name="Comma 2 5 5 4 2 4 3" xfId="30918" xr:uid="{E83C4CD9-1B05-4696-B1E2-4D372F718056}"/>
    <cellStyle name="Comma 2 5 5 4 2 5" xfId="5669" xr:uid="{00000000-0005-0000-0000-000082110000}"/>
    <cellStyle name="Comma 2 5 5 4 2 5 2" xfId="17255" xr:uid="{7CC408F2-C825-46C5-83DD-41215B2AB90A}"/>
    <cellStyle name="Comma 2 5 5 4 2 5 3" xfId="27671" xr:uid="{ACA719A6-709E-4CFC-ADC0-E5ACC3040B75}"/>
    <cellStyle name="Comma 2 5 5 4 2 6" xfId="14144" xr:uid="{C4F4D27E-1BFC-41FD-BFAF-4E10334F7D47}"/>
    <cellStyle name="Comma 2 5 5 4 2 7" xfId="24560" xr:uid="{14665C6B-3A53-47AF-9446-8CDFF6310E9B}"/>
    <cellStyle name="Comma 2 5 5 4 3" xfId="1813" xr:uid="{00000000-0005-0000-0000-000083110000}"/>
    <cellStyle name="Comma 2 5 5 4 3 2" xfId="1814" xr:uid="{00000000-0005-0000-0000-000084110000}"/>
    <cellStyle name="Comma 2 5 5 4 3 2 2" xfId="8961" xr:uid="{00000000-0005-0000-0000-000085110000}"/>
    <cellStyle name="Comma 2 5 5 4 3 2 2 2" xfId="20507" xr:uid="{82A339BB-80BD-4971-B9B1-F9DE93E0F9EB}"/>
    <cellStyle name="Comma 2 5 5 4 3 2 2 3" xfId="30923" xr:uid="{FE01E5EA-F0AD-474D-9A76-11093016225A}"/>
    <cellStyle name="Comma 2 5 5 4 3 2 3" xfId="14149" xr:uid="{3D29BBE8-4A2B-4F5B-9E24-3CF75E301461}"/>
    <cellStyle name="Comma 2 5 5 4 3 2 4" xfId="24565" xr:uid="{3CCAA992-04C4-4B25-AAA3-2000A3A8350F}"/>
    <cellStyle name="Comma 2 5 5 4 3 3" xfId="8960" xr:uid="{00000000-0005-0000-0000-000086110000}"/>
    <cellStyle name="Comma 2 5 5 4 3 3 2" xfId="20506" xr:uid="{CB0A0D12-B684-4FD4-ADC9-3A7F4FC2BA48}"/>
    <cellStyle name="Comma 2 5 5 4 3 3 3" xfId="30922" xr:uid="{04871D38-8A34-45D2-AAE2-893FE86F3F76}"/>
    <cellStyle name="Comma 2 5 5 4 3 4" xfId="5671" xr:uid="{00000000-0005-0000-0000-000087110000}"/>
    <cellStyle name="Comma 2 5 5 4 3 4 2" xfId="17257" xr:uid="{FBA16BB7-3781-4584-BD9E-C1CC7EF2317A}"/>
    <cellStyle name="Comma 2 5 5 4 3 4 3" xfId="27673" xr:uid="{B1901329-3848-401F-B310-B7EE4E8BB6E9}"/>
    <cellStyle name="Comma 2 5 5 4 3 5" xfId="14148" xr:uid="{BFB175CB-4B58-45FA-9805-B92896407A53}"/>
    <cellStyle name="Comma 2 5 5 4 3 6" xfId="24564" xr:uid="{2F1E52DF-D819-4C82-8016-390DB0F34AB2}"/>
    <cellStyle name="Comma 2 5 5 4 4" xfId="1815" xr:uid="{00000000-0005-0000-0000-000088110000}"/>
    <cellStyle name="Comma 2 5 5 4 4 2" xfId="1816" xr:uid="{00000000-0005-0000-0000-000089110000}"/>
    <cellStyle name="Comma 2 5 5 4 4 2 2" xfId="8963" xr:uid="{00000000-0005-0000-0000-00008A110000}"/>
    <cellStyle name="Comma 2 5 5 4 4 2 2 2" xfId="20509" xr:uid="{069033B0-12AA-4735-92C5-32884C3589A0}"/>
    <cellStyle name="Comma 2 5 5 4 4 2 2 3" xfId="30925" xr:uid="{73B0C520-FE31-4A7E-BFA3-35E4657BFD20}"/>
    <cellStyle name="Comma 2 5 5 4 4 2 3" xfId="14151" xr:uid="{DEFFDE89-DB04-4003-AC1B-000A4983A401}"/>
    <cellStyle name="Comma 2 5 5 4 4 2 4" xfId="24567" xr:uid="{B9E87E57-B270-4D21-9B1C-1C64C4FEE51B}"/>
    <cellStyle name="Comma 2 5 5 4 4 3" xfId="8962" xr:uid="{00000000-0005-0000-0000-00008B110000}"/>
    <cellStyle name="Comma 2 5 5 4 4 3 2" xfId="20508" xr:uid="{B9422DC1-9D2B-4E77-9269-EF8CB9CAC6F0}"/>
    <cellStyle name="Comma 2 5 5 4 4 3 3" xfId="30924" xr:uid="{859CE41A-CA8F-4ED4-8FAF-14641D79E4FC}"/>
    <cellStyle name="Comma 2 5 5 4 4 4" xfId="5672" xr:uid="{00000000-0005-0000-0000-00008C110000}"/>
    <cellStyle name="Comma 2 5 5 4 4 4 2" xfId="17258" xr:uid="{E143A8C0-AB38-48DA-A48A-8C17AEAE5F70}"/>
    <cellStyle name="Comma 2 5 5 4 4 4 3" xfId="27674" xr:uid="{209191D8-003A-4CF2-B462-49A71D2BE79F}"/>
    <cellStyle name="Comma 2 5 5 4 4 5" xfId="14150" xr:uid="{9B4C068E-1AC2-4017-BF14-CEC105AC26D9}"/>
    <cellStyle name="Comma 2 5 5 4 4 6" xfId="24566" xr:uid="{DBF7ED8F-0EBF-4EF5-B72F-5228D29394CF}"/>
    <cellStyle name="Comma 2 5 5 4 5" xfId="1817" xr:uid="{00000000-0005-0000-0000-00008D110000}"/>
    <cellStyle name="Comma 2 5 5 4 5 2" xfId="8964" xr:uid="{00000000-0005-0000-0000-00008E110000}"/>
    <cellStyle name="Comma 2 5 5 4 5 2 2" xfId="20510" xr:uid="{526758C5-F377-4AE6-841F-51821B96C5B2}"/>
    <cellStyle name="Comma 2 5 5 4 5 2 3" xfId="30926" xr:uid="{0CDF52A8-2702-4387-9D8F-B5E2E181D41D}"/>
    <cellStyle name="Comma 2 5 5 4 5 3" xfId="14152" xr:uid="{AB84FE07-15AD-4072-8FFA-3B6BEDE5817C}"/>
    <cellStyle name="Comma 2 5 5 4 5 4" xfId="24568" xr:uid="{CAAE2C7A-C4A6-4EA3-875B-823285F29FF1}"/>
    <cellStyle name="Comma 2 5 5 4 6" xfId="8955" xr:uid="{00000000-0005-0000-0000-00008F110000}"/>
    <cellStyle name="Comma 2 5 5 4 6 2" xfId="20501" xr:uid="{2C52B3BE-E285-4252-9420-D477732FB0DF}"/>
    <cellStyle name="Comma 2 5 5 4 6 3" xfId="30917" xr:uid="{9DB9D206-AEAC-4E7C-8927-7CA3F1F333D7}"/>
    <cellStyle name="Comma 2 5 5 4 7" xfId="5668" xr:uid="{00000000-0005-0000-0000-000090110000}"/>
    <cellStyle name="Comma 2 5 5 4 7 2" xfId="17254" xr:uid="{FB774C44-0685-47B0-8632-85C6DA9DA2A1}"/>
    <cellStyle name="Comma 2 5 5 4 7 3" xfId="27670" xr:uid="{471829CC-6693-4547-BCC8-E0E8C96B18A3}"/>
    <cellStyle name="Comma 2 5 5 4 8" xfId="14143" xr:uid="{B8295DED-607C-4EEC-8A3F-70AC401846D2}"/>
    <cellStyle name="Comma 2 5 5 4 9" xfId="24559" xr:uid="{32FE162C-E018-4733-8F19-E7803F8CA256}"/>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2 2 2" xfId="20514" xr:uid="{C2BE2195-48CC-482F-873D-E214587399CF}"/>
    <cellStyle name="Comma 2 5 5 5 2 2 2 2 3" xfId="30930" xr:uid="{2EEA597C-6069-4A85-86AF-9D1BE72DC36A}"/>
    <cellStyle name="Comma 2 5 5 5 2 2 2 3" xfId="14156" xr:uid="{0D031FEB-9ECC-4416-A8A2-2AF75E229726}"/>
    <cellStyle name="Comma 2 5 5 5 2 2 2 4" xfId="24572" xr:uid="{1A0C8BFC-1821-4CF5-86FB-3571157BD1F9}"/>
    <cellStyle name="Comma 2 5 5 5 2 2 3" xfId="8967" xr:uid="{00000000-0005-0000-0000-000096110000}"/>
    <cellStyle name="Comma 2 5 5 5 2 2 3 2" xfId="20513" xr:uid="{437D3F42-040E-4649-95B9-5496D9AF1ADB}"/>
    <cellStyle name="Comma 2 5 5 5 2 2 3 3" xfId="30929" xr:uid="{89B90EF6-E230-477E-BF2C-945DE5BC56F1}"/>
    <cellStyle name="Comma 2 5 5 5 2 2 4" xfId="5675" xr:uid="{00000000-0005-0000-0000-000097110000}"/>
    <cellStyle name="Comma 2 5 5 5 2 2 4 2" xfId="17261" xr:uid="{F922BC02-AAE1-4E04-8A6C-72541526C848}"/>
    <cellStyle name="Comma 2 5 5 5 2 2 4 3" xfId="27677" xr:uid="{ABBEE1FD-2E63-4180-BA5A-2C10E4C0C631}"/>
    <cellStyle name="Comma 2 5 5 5 2 2 5" xfId="14155" xr:uid="{6EA84A35-B897-4497-A069-E2CE670F4458}"/>
    <cellStyle name="Comma 2 5 5 5 2 2 6" xfId="24571" xr:uid="{16808D74-79F6-442B-9D2E-F88003EDDA9F}"/>
    <cellStyle name="Comma 2 5 5 5 2 3" xfId="1822" xr:uid="{00000000-0005-0000-0000-000098110000}"/>
    <cellStyle name="Comma 2 5 5 5 2 3 2" xfId="8969" xr:uid="{00000000-0005-0000-0000-000099110000}"/>
    <cellStyle name="Comma 2 5 5 5 2 3 2 2" xfId="20515" xr:uid="{BC2B6194-739D-49C0-A7BB-60E2F6D176C0}"/>
    <cellStyle name="Comma 2 5 5 5 2 3 2 3" xfId="30931" xr:uid="{C51FC17D-3E22-46B7-A5F9-845DA51B7C9E}"/>
    <cellStyle name="Comma 2 5 5 5 2 3 3" xfId="14157" xr:uid="{4740E1C4-9B7B-4BAE-B5DD-B186DE50F31E}"/>
    <cellStyle name="Comma 2 5 5 5 2 3 4" xfId="24573" xr:uid="{C84E75F6-FACA-4673-9807-D9C283063875}"/>
    <cellStyle name="Comma 2 5 5 5 2 4" xfId="8966" xr:uid="{00000000-0005-0000-0000-00009A110000}"/>
    <cellStyle name="Comma 2 5 5 5 2 4 2" xfId="20512" xr:uid="{2E9A9DB9-8E2E-470C-9A6B-C52B48E96109}"/>
    <cellStyle name="Comma 2 5 5 5 2 4 3" xfId="30928" xr:uid="{EAD2D750-E68C-4D3C-967B-3F234F4B7F88}"/>
    <cellStyle name="Comma 2 5 5 5 2 5" xfId="5674" xr:uid="{00000000-0005-0000-0000-00009B110000}"/>
    <cellStyle name="Comma 2 5 5 5 2 5 2" xfId="17260" xr:uid="{E45ED436-57E9-493E-933A-B005B6D2C3E5}"/>
    <cellStyle name="Comma 2 5 5 5 2 5 3" xfId="27676" xr:uid="{3BF68054-29E5-415A-9870-9FC4CD2745BB}"/>
    <cellStyle name="Comma 2 5 5 5 2 6" xfId="14154" xr:uid="{2BEB1F9C-61A7-40B0-86BA-3929B7FAA937}"/>
    <cellStyle name="Comma 2 5 5 5 2 7" xfId="24570" xr:uid="{EA2F229B-F3A4-497E-BD2E-7BD4921E08F9}"/>
    <cellStyle name="Comma 2 5 5 5 3" xfId="1823" xr:uid="{00000000-0005-0000-0000-00009C110000}"/>
    <cellStyle name="Comma 2 5 5 5 3 2" xfId="1824" xr:uid="{00000000-0005-0000-0000-00009D110000}"/>
    <cellStyle name="Comma 2 5 5 5 3 2 2" xfId="8971" xr:uid="{00000000-0005-0000-0000-00009E110000}"/>
    <cellStyle name="Comma 2 5 5 5 3 2 2 2" xfId="20517" xr:uid="{3857A6D0-4FFA-4B1C-A4FE-695619BC22C9}"/>
    <cellStyle name="Comma 2 5 5 5 3 2 2 3" xfId="30933" xr:uid="{FDBAA972-7C39-4CA5-B722-F9120F7F9F2E}"/>
    <cellStyle name="Comma 2 5 5 5 3 2 3" xfId="14159" xr:uid="{187B3FAA-CF33-450B-BF94-63EFC41DB894}"/>
    <cellStyle name="Comma 2 5 5 5 3 2 4" xfId="24575" xr:uid="{D8951C59-2E2A-4E4E-8E12-B33CA2DFF934}"/>
    <cellStyle name="Comma 2 5 5 5 3 3" xfId="8970" xr:uid="{00000000-0005-0000-0000-00009F110000}"/>
    <cellStyle name="Comma 2 5 5 5 3 3 2" xfId="20516" xr:uid="{7A4F7827-2DEA-4755-97EB-6D91E1CEB98F}"/>
    <cellStyle name="Comma 2 5 5 5 3 3 3" xfId="30932" xr:uid="{E05112D9-0157-447C-A6D2-DB299CCC7BED}"/>
    <cellStyle name="Comma 2 5 5 5 3 4" xfId="5676" xr:uid="{00000000-0005-0000-0000-0000A0110000}"/>
    <cellStyle name="Comma 2 5 5 5 3 4 2" xfId="17262" xr:uid="{7012C779-1D10-4CA7-B249-5DF163C0D12D}"/>
    <cellStyle name="Comma 2 5 5 5 3 4 3" xfId="27678" xr:uid="{2236A504-7C53-4955-99ED-7F1E3CD272A2}"/>
    <cellStyle name="Comma 2 5 5 5 3 5" xfId="14158" xr:uid="{4B16BB60-7315-437E-943C-F0BE611C1473}"/>
    <cellStyle name="Comma 2 5 5 5 3 6" xfId="24574" xr:uid="{3552AC41-F21D-4073-900F-E186653274BA}"/>
    <cellStyle name="Comma 2 5 5 5 4" xfId="1825" xr:uid="{00000000-0005-0000-0000-0000A1110000}"/>
    <cellStyle name="Comma 2 5 5 5 4 2" xfId="1826" xr:uid="{00000000-0005-0000-0000-0000A2110000}"/>
    <cellStyle name="Comma 2 5 5 5 4 2 2" xfId="8973" xr:uid="{00000000-0005-0000-0000-0000A3110000}"/>
    <cellStyle name="Comma 2 5 5 5 4 2 2 2" xfId="20519" xr:uid="{8701A56A-2859-4CA8-8A1C-145265B26EF3}"/>
    <cellStyle name="Comma 2 5 5 5 4 2 2 3" xfId="30935" xr:uid="{13EB64CE-8B8D-4535-990C-4A4A22268E2F}"/>
    <cellStyle name="Comma 2 5 5 5 4 2 3" xfId="14161" xr:uid="{5645EF0A-FD49-4104-92A2-90A0D19ABC16}"/>
    <cellStyle name="Comma 2 5 5 5 4 2 4" xfId="24577" xr:uid="{10FFCF9E-471C-4C5C-890D-0FC96C1BF452}"/>
    <cellStyle name="Comma 2 5 5 5 4 3" xfId="8972" xr:uid="{00000000-0005-0000-0000-0000A4110000}"/>
    <cellStyle name="Comma 2 5 5 5 4 3 2" xfId="20518" xr:uid="{07578213-88B1-4722-960A-904242B07852}"/>
    <cellStyle name="Comma 2 5 5 5 4 3 3" xfId="30934" xr:uid="{EBDED3B2-0B07-4E4B-8279-7EC2E213036C}"/>
    <cellStyle name="Comma 2 5 5 5 4 4" xfId="5677" xr:uid="{00000000-0005-0000-0000-0000A5110000}"/>
    <cellStyle name="Comma 2 5 5 5 4 4 2" xfId="17263" xr:uid="{ACFBBD89-015E-4407-84A4-DAFC64E3B13A}"/>
    <cellStyle name="Comma 2 5 5 5 4 4 3" xfId="27679" xr:uid="{828563C9-944A-4DA1-B617-F681ECB2BC83}"/>
    <cellStyle name="Comma 2 5 5 5 4 5" xfId="14160" xr:uid="{4FC5065C-3147-42DE-B249-12B7A560516C}"/>
    <cellStyle name="Comma 2 5 5 5 4 6" xfId="24576" xr:uid="{CAAEF8AB-0C33-43F1-9111-91B847FC7127}"/>
    <cellStyle name="Comma 2 5 5 5 5" xfId="1827" xr:uid="{00000000-0005-0000-0000-0000A6110000}"/>
    <cellStyle name="Comma 2 5 5 5 5 2" xfId="8974" xr:uid="{00000000-0005-0000-0000-0000A7110000}"/>
    <cellStyle name="Comma 2 5 5 5 5 2 2" xfId="20520" xr:uid="{9A98CCE4-2D8F-4173-AD6D-5DCB9BFEC917}"/>
    <cellStyle name="Comma 2 5 5 5 5 2 3" xfId="30936" xr:uid="{8D38CDE6-E268-4E87-94C4-90179760BDE4}"/>
    <cellStyle name="Comma 2 5 5 5 5 3" xfId="14162" xr:uid="{A5166B1B-B43C-4D50-8F99-4C84F7B68CD7}"/>
    <cellStyle name="Comma 2 5 5 5 5 4" xfId="24578" xr:uid="{F875B2E2-874A-49DA-B42A-44539403AF24}"/>
    <cellStyle name="Comma 2 5 5 5 6" xfId="8965" xr:uid="{00000000-0005-0000-0000-0000A8110000}"/>
    <cellStyle name="Comma 2 5 5 5 6 2" xfId="20511" xr:uid="{C80F3AFD-7063-44B9-AEA9-A682C50CE8C8}"/>
    <cellStyle name="Comma 2 5 5 5 6 3" xfId="30927" xr:uid="{2ED01850-57DB-4C87-B5FB-0D3287C2E343}"/>
    <cellStyle name="Comma 2 5 5 5 7" xfId="5673" xr:uid="{00000000-0005-0000-0000-0000A9110000}"/>
    <cellStyle name="Comma 2 5 5 5 7 2" xfId="17259" xr:uid="{314CD5F4-60F4-46CC-AD6D-9E3BA4A39561}"/>
    <cellStyle name="Comma 2 5 5 5 7 3" xfId="27675" xr:uid="{348E4563-0801-4E96-823C-07C04AF8F5E0}"/>
    <cellStyle name="Comma 2 5 5 5 8" xfId="14153" xr:uid="{562FE2AA-A4DB-4809-8BF6-174B17A8F1A7}"/>
    <cellStyle name="Comma 2 5 5 5 9" xfId="24569" xr:uid="{50EF974F-3501-4893-9BA5-C7C59D0AA998}"/>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2 2 2" xfId="20523" xr:uid="{5C858886-D5A5-4213-A0CA-817AA4C117C6}"/>
    <cellStyle name="Comma 2 5 5 6 2 2 2 3" xfId="30939" xr:uid="{328BFC5F-29BF-4C90-9E1A-35D498ACEC56}"/>
    <cellStyle name="Comma 2 5 5 6 2 2 3" xfId="14165" xr:uid="{78F26363-1630-434A-9BF7-02F6298E11B9}"/>
    <cellStyle name="Comma 2 5 5 6 2 2 4" xfId="24581" xr:uid="{653E08D4-0C1D-4EE2-A4F0-B5428150DB69}"/>
    <cellStyle name="Comma 2 5 5 6 2 3" xfId="8976" xr:uid="{00000000-0005-0000-0000-0000AE110000}"/>
    <cellStyle name="Comma 2 5 5 6 2 3 2" xfId="20522" xr:uid="{E3DF3049-4146-4A13-962D-9276F4A1DB40}"/>
    <cellStyle name="Comma 2 5 5 6 2 3 3" xfId="30938" xr:uid="{3D649B8D-7989-4CBC-82AB-8569829A4ECA}"/>
    <cellStyle name="Comma 2 5 5 6 2 4" xfId="5679" xr:uid="{00000000-0005-0000-0000-0000AF110000}"/>
    <cellStyle name="Comma 2 5 5 6 2 4 2" xfId="17265" xr:uid="{85B52F4D-2A08-4DA7-8579-A7E607D30032}"/>
    <cellStyle name="Comma 2 5 5 6 2 4 3" xfId="27681" xr:uid="{F3C69D8D-D864-4952-8FD5-61065D644E8B}"/>
    <cellStyle name="Comma 2 5 5 6 2 5" xfId="14164" xr:uid="{991E340C-3ECA-4281-80D7-05F46EEECD12}"/>
    <cellStyle name="Comma 2 5 5 6 2 6" xfId="24580" xr:uid="{476364A6-4312-4258-B3C4-6026B74C8847}"/>
    <cellStyle name="Comma 2 5 5 6 3" xfId="1831" xr:uid="{00000000-0005-0000-0000-0000B0110000}"/>
    <cellStyle name="Comma 2 5 5 6 3 2" xfId="1832" xr:uid="{00000000-0005-0000-0000-0000B1110000}"/>
    <cellStyle name="Comma 2 5 5 6 3 2 2" xfId="8979" xr:uid="{00000000-0005-0000-0000-0000B2110000}"/>
    <cellStyle name="Comma 2 5 5 6 3 2 2 2" xfId="20525" xr:uid="{E2A67B13-9C28-4AB9-BB22-C1B119D1E84D}"/>
    <cellStyle name="Comma 2 5 5 6 3 2 2 3" xfId="30941" xr:uid="{D8C90A9C-188B-42E2-85DA-C418E834FF11}"/>
    <cellStyle name="Comma 2 5 5 6 3 2 3" xfId="14167" xr:uid="{2BC9E67F-2C14-4938-BF6A-F72F8728D444}"/>
    <cellStyle name="Comma 2 5 5 6 3 2 4" xfId="24583" xr:uid="{765CDF14-C22B-4B34-BADE-033DBCBB3C55}"/>
    <cellStyle name="Comma 2 5 5 6 3 3" xfId="8978" xr:uid="{00000000-0005-0000-0000-0000B3110000}"/>
    <cellStyle name="Comma 2 5 5 6 3 3 2" xfId="20524" xr:uid="{9DE4E9D3-060A-4375-9ACD-D13A348E8CA1}"/>
    <cellStyle name="Comma 2 5 5 6 3 3 3" xfId="30940" xr:uid="{8A1018D0-003B-4DB3-B108-BF0F90CC5125}"/>
    <cellStyle name="Comma 2 5 5 6 3 4" xfId="5680" xr:uid="{00000000-0005-0000-0000-0000B4110000}"/>
    <cellStyle name="Comma 2 5 5 6 3 4 2" xfId="17266" xr:uid="{B966B266-5C5B-4C9A-9E12-C61FF151714D}"/>
    <cellStyle name="Comma 2 5 5 6 3 4 3" xfId="27682" xr:uid="{2708B9D5-D8D6-4DDB-86A3-EE4E6EC18950}"/>
    <cellStyle name="Comma 2 5 5 6 3 5" xfId="14166" xr:uid="{662F40C7-1692-4F21-89C2-7DE8DD7BA503}"/>
    <cellStyle name="Comma 2 5 5 6 3 6" xfId="24582" xr:uid="{922DC90E-4392-4980-BFA7-F2318024A007}"/>
    <cellStyle name="Comma 2 5 5 6 4" xfId="1833" xr:uid="{00000000-0005-0000-0000-0000B5110000}"/>
    <cellStyle name="Comma 2 5 5 6 4 2" xfId="8980" xr:uid="{00000000-0005-0000-0000-0000B6110000}"/>
    <cellStyle name="Comma 2 5 5 6 4 2 2" xfId="20526" xr:uid="{633E365D-6C9D-4308-A641-69A8192D8286}"/>
    <cellStyle name="Comma 2 5 5 6 4 2 3" xfId="30942" xr:uid="{EA5443B4-1E8E-43DB-BC6C-1CDD12B88224}"/>
    <cellStyle name="Comma 2 5 5 6 4 3" xfId="14168" xr:uid="{8F2D7109-FBD7-4C1B-813C-2106D7775F6A}"/>
    <cellStyle name="Comma 2 5 5 6 4 4" xfId="24584" xr:uid="{2B53C381-568E-4F0D-AE0F-11424F18CE2E}"/>
    <cellStyle name="Comma 2 5 5 6 5" xfId="8975" xr:uid="{00000000-0005-0000-0000-0000B7110000}"/>
    <cellStyle name="Comma 2 5 5 6 5 2" xfId="20521" xr:uid="{BBCFB1E5-0984-4579-B2AC-4FEDA9CCFCB5}"/>
    <cellStyle name="Comma 2 5 5 6 5 3" xfId="30937" xr:uid="{ECCD5051-A05C-4DCD-8A8C-C39E3A8A52F5}"/>
    <cellStyle name="Comma 2 5 5 6 6" xfId="5678" xr:uid="{00000000-0005-0000-0000-0000B8110000}"/>
    <cellStyle name="Comma 2 5 5 6 6 2" xfId="17264" xr:uid="{CD27CD8B-865A-4E75-953E-EC37DDD8CB80}"/>
    <cellStyle name="Comma 2 5 5 6 6 3" xfId="27680" xr:uid="{F909BC34-3490-4783-981B-1D6673820B6B}"/>
    <cellStyle name="Comma 2 5 5 6 7" xfId="14163" xr:uid="{9797A873-45A2-488C-B786-DB7FA4CB783E}"/>
    <cellStyle name="Comma 2 5 5 6 8" xfId="24579" xr:uid="{B89F33A8-51A2-46DF-B36A-0873954C3C84}"/>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2 2 2" xfId="20529" xr:uid="{889297E2-219C-4DD9-85E5-7867415D591A}"/>
    <cellStyle name="Comma 2 5 5 7 2 2 2 3" xfId="30945" xr:uid="{7B278CBD-4112-4E80-8F3F-1C959A26F1D6}"/>
    <cellStyle name="Comma 2 5 5 7 2 2 3" xfId="14171" xr:uid="{DFD8818D-E918-452D-9EBA-74505D3D1FB2}"/>
    <cellStyle name="Comma 2 5 5 7 2 2 4" xfId="24587" xr:uid="{AD18943D-6E27-4A37-8725-34E3C832D8EB}"/>
    <cellStyle name="Comma 2 5 5 7 2 3" xfId="8982" xr:uid="{00000000-0005-0000-0000-0000BD110000}"/>
    <cellStyle name="Comma 2 5 5 7 2 3 2" xfId="20528" xr:uid="{3F9C10BC-300E-4010-912F-F64590179240}"/>
    <cellStyle name="Comma 2 5 5 7 2 3 3" xfId="30944" xr:uid="{5B159B75-EBEE-49AF-91F1-D56BF51C76E7}"/>
    <cellStyle name="Comma 2 5 5 7 2 4" xfId="5682" xr:uid="{00000000-0005-0000-0000-0000BE110000}"/>
    <cellStyle name="Comma 2 5 5 7 2 4 2" xfId="17268" xr:uid="{2A63925B-2777-488F-9422-B368A48E3820}"/>
    <cellStyle name="Comma 2 5 5 7 2 4 3" xfId="27684" xr:uid="{77D6D259-AF87-4904-8B89-0ABC55B8467E}"/>
    <cellStyle name="Comma 2 5 5 7 2 5" xfId="14170" xr:uid="{CF59E423-B4D0-461E-9D4B-37C8ADFC4794}"/>
    <cellStyle name="Comma 2 5 5 7 2 6" xfId="24586" xr:uid="{00FCBAAA-22BE-411D-BFEC-A4A5CD452F5A}"/>
    <cellStyle name="Comma 2 5 5 7 3" xfId="1837" xr:uid="{00000000-0005-0000-0000-0000BF110000}"/>
    <cellStyle name="Comma 2 5 5 7 3 2" xfId="8984" xr:uid="{00000000-0005-0000-0000-0000C0110000}"/>
    <cellStyle name="Comma 2 5 5 7 3 2 2" xfId="20530" xr:uid="{6C4ACB3D-24FD-4979-B6DB-FC0392946587}"/>
    <cellStyle name="Comma 2 5 5 7 3 2 3" xfId="30946" xr:uid="{8829AD85-3123-4DDF-B98A-BB8482B6412A}"/>
    <cellStyle name="Comma 2 5 5 7 3 3" xfId="14172" xr:uid="{7E9C031C-E4FF-402B-8E61-133AFB5C86C8}"/>
    <cellStyle name="Comma 2 5 5 7 3 4" xfId="24588" xr:uid="{CA6F7CDB-E16B-4295-AC5E-4DABA1361B3D}"/>
    <cellStyle name="Comma 2 5 5 7 4" xfId="8981" xr:uid="{00000000-0005-0000-0000-0000C1110000}"/>
    <cellStyle name="Comma 2 5 5 7 4 2" xfId="20527" xr:uid="{DA123BB1-811D-4F48-82A1-CC0B6E36FD0C}"/>
    <cellStyle name="Comma 2 5 5 7 4 3" xfId="30943" xr:uid="{A660A352-8556-4E52-BB3B-5B3BA8EB0279}"/>
    <cellStyle name="Comma 2 5 5 7 5" xfId="5681" xr:uid="{00000000-0005-0000-0000-0000C2110000}"/>
    <cellStyle name="Comma 2 5 5 7 5 2" xfId="17267" xr:uid="{5F54CD7B-82CC-4735-9E57-348F88EB71D5}"/>
    <cellStyle name="Comma 2 5 5 7 5 3" xfId="27683" xr:uid="{8D58070B-10A8-4BD6-83EC-DC3E17FC80AF}"/>
    <cellStyle name="Comma 2 5 5 7 6" xfId="14169" xr:uid="{7D3404C8-6477-4559-A898-0FCF8BD1ABFC}"/>
    <cellStyle name="Comma 2 5 5 7 7" xfId="24585" xr:uid="{8D31AFBD-0B4A-45B1-9B3C-97CCD041CD2C}"/>
    <cellStyle name="Comma 2 5 5 8" xfId="1838" xr:uid="{00000000-0005-0000-0000-0000C3110000}"/>
    <cellStyle name="Comma 2 5 5 8 2" xfId="1839" xr:uid="{00000000-0005-0000-0000-0000C4110000}"/>
    <cellStyle name="Comma 2 5 5 8 2 2" xfId="8986" xr:uid="{00000000-0005-0000-0000-0000C5110000}"/>
    <cellStyle name="Comma 2 5 5 8 2 2 2" xfId="20532" xr:uid="{30C82169-FD47-41D7-87FA-4D5A531F8188}"/>
    <cellStyle name="Comma 2 5 5 8 2 2 3" xfId="30948" xr:uid="{708B92B7-CE22-4A72-A659-76A3E5BF65E1}"/>
    <cellStyle name="Comma 2 5 5 8 2 3" xfId="14174" xr:uid="{EB6495C0-9A27-42AD-81F3-DB505B2E5F71}"/>
    <cellStyle name="Comma 2 5 5 8 2 4" xfId="24590" xr:uid="{B34D2D50-1204-4D4C-98C3-32D28648CC4D}"/>
    <cellStyle name="Comma 2 5 5 8 3" xfId="8985" xr:uid="{00000000-0005-0000-0000-0000C6110000}"/>
    <cellStyle name="Comma 2 5 5 8 3 2" xfId="20531" xr:uid="{0DB278E5-F6CE-41B2-9E7B-12F4EAE8B395}"/>
    <cellStyle name="Comma 2 5 5 8 3 3" xfId="30947" xr:uid="{C3371043-2973-437A-B808-7597B3EC4089}"/>
    <cellStyle name="Comma 2 5 5 8 4" xfId="5683" xr:uid="{00000000-0005-0000-0000-0000C7110000}"/>
    <cellStyle name="Comma 2 5 5 8 4 2" xfId="17269" xr:uid="{4C2C72CD-25AE-41A9-8AC5-B778BC5AB98F}"/>
    <cellStyle name="Comma 2 5 5 8 4 3" xfId="27685" xr:uid="{D063DBE0-7114-4213-82EC-C5FF70930A19}"/>
    <cellStyle name="Comma 2 5 5 8 5" xfId="14173" xr:uid="{EAA68233-5D16-4384-98A7-D20782266401}"/>
    <cellStyle name="Comma 2 5 5 8 6" xfId="24589" xr:uid="{E7F561A2-CD10-45FE-B521-ABCD8D689EF7}"/>
    <cellStyle name="Comma 2 5 5 9" xfId="1840" xr:uid="{00000000-0005-0000-0000-0000C8110000}"/>
    <cellStyle name="Comma 2 5 5 9 2" xfId="1841" xr:uid="{00000000-0005-0000-0000-0000C9110000}"/>
    <cellStyle name="Comma 2 5 5 9 2 2" xfId="8988" xr:uid="{00000000-0005-0000-0000-0000CA110000}"/>
    <cellStyle name="Comma 2 5 5 9 2 2 2" xfId="20534" xr:uid="{59D9AAAB-36D9-4EC0-9C66-1A610F7A83F9}"/>
    <cellStyle name="Comma 2 5 5 9 2 2 3" xfId="30950" xr:uid="{EAC673CD-4368-4CBE-9528-75101F82A861}"/>
    <cellStyle name="Comma 2 5 5 9 2 3" xfId="14176" xr:uid="{73EDC16C-C402-4678-AF14-C6640D523C65}"/>
    <cellStyle name="Comma 2 5 5 9 2 4" xfId="24592" xr:uid="{DE4A00CA-A462-43E6-9934-8A16FD3FB645}"/>
    <cellStyle name="Comma 2 5 5 9 3" xfId="8987" xr:uid="{00000000-0005-0000-0000-0000CB110000}"/>
    <cellStyle name="Comma 2 5 5 9 3 2" xfId="20533" xr:uid="{6A938C19-DAE9-4758-9E56-1395CC5FFDD4}"/>
    <cellStyle name="Comma 2 5 5 9 3 3" xfId="30949" xr:uid="{9D6E6955-D563-4EBC-A1BF-DB1B326E2105}"/>
    <cellStyle name="Comma 2 5 5 9 4" xfId="5684" xr:uid="{00000000-0005-0000-0000-0000CC110000}"/>
    <cellStyle name="Comma 2 5 5 9 4 2" xfId="17270" xr:uid="{8AD7F064-69E5-4766-B68C-D307F30AA187}"/>
    <cellStyle name="Comma 2 5 5 9 4 3" xfId="27686" xr:uid="{4F7BEEC5-3756-4342-A4C5-8C37C1665841}"/>
    <cellStyle name="Comma 2 5 5 9 5" xfId="14175" xr:uid="{D3C17920-1620-4119-9A94-54838AF6AF11}"/>
    <cellStyle name="Comma 2 5 5 9 6" xfId="24591" xr:uid="{2DF7815F-664B-4346-B099-CE9BE29CD104}"/>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2 2 2" xfId="20538" xr:uid="{67959354-7D75-4CAD-857D-46794DB9EF89}"/>
    <cellStyle name="Comma 2 5 6 2 2 2 2 3" xfId="30954" xr:uid="{48736815-CA06-45C1-A24E-474022F504FE}"/>
    <cellStyle name="Comma 2 5 6 2 2 2 3" xfId="14180" xr:uid="{7B926E0C-D6D3-4CE1-981D-E6C52DBABDDA}"/>
    <cellStyle name="Comma 2 5 6 2 2 2 4" xfId="24596" xr:uid="{C6B6E6AE-7170-4E72-BAA4-30C4C9D132CA}"/>
    <cellStyle name="Comma 2 5 6 2 2 3" xfId="8991" xr:uid="{00000000-0005-0000-0000-0000D2110000}"/>
    <cellStyle name="Comma 2 5 6 2 2 3 2" xfId="20537" xr:uid="{CD814CDB-FC07-4BA8-A52F-B2633E774112}"/>
    <cellStyle name="Comma 2 5 6 2 2 3 3" xfId="30953" xr:uid="{4BDA4449-9B8B-4FAC-B54E-525B8112CB47}"/>
    <cellStyle name="Comma 2 5 6 2 2 4" xfId="5687" xr:uid="{00000000-0005-0000-0000-0000D3110000}"/>
    <cellStyle name="Comma 2 5 6 2 2 4 2" xfId="17273" xr:uid="{4AA01D6A-C8A5-48BD-86D2-AAF49F4DAB14}"/>
    <cellStyle name="Comma 2 5 6 2 2 4 3" xfId="27689" xr:uid="{88E66300-4FF7-4FCE-8BC6-61B809043B87}"/>
    <cellStyle name="Comma 2 5 6 2 2 5" xfId="14179" xr:uid="{48FEE9B0-A900-44A6-9908-A80CAE3846BB}"/>
    <cellStyle name="Comma 2 5 6 2 2 6" xfId="24595" xr:uid="{234C8F38-3B56-4AE5-8FDE-DC731F15AAA8}"/>
    <cellStyle name="Comma 2 5 6 2 3" xfId="1846" xr:uid="{00000000-0005-0000-0000-0000D4110000}"/>
    <cellStyle name="Comma 2 5 6 2 3 2" xfId="8993" xr:uid="{00000000-0005-0000-0000-0000D5110000}"/>
    <cellStyle name="Comma 2 5 6 2 3 2 2" xfId="20539" xr:uid="{F9F7C61A-BF0E-4163-B1F7-5DD5875C6108}"/>
    <cellStyle name="Comma 2 5 6 2 3 2 3" xfId="30955" xr:uid="{5E0C113F-D0DB-4D9D-9BB3-5608923EF88E}"/>
    <cellStyle name="Comma 2 5 6 2 3 3" xfId="14181" xr:uid="{CB24AFD6-79CB-4D14-8CFE-DAE5A192DAA2}"/>
    <cellStyle name="Comma 2 5 6 2 3 4" xfId="24597" xr:uid="{57231AF9-778A-4167-A778-4B77F5DECF29}"/>
    <cellStyle name="Comma 2 5 6 2 4" xfId="8990" xr:uid="{00000000-0005-0000-0000-0000D6110000}"/>
    <cellStyle name="Comma 2 5 6 2 4 2" xfId="20536" xr:uid="{32AE0F3E-1DBF-41AB-9899-7F767959DE21}"/>
    <cellStyle name="Comma 2 5 6 2 4 3" xfId="30952" xr:uid="{AEF15BB5-6B05-4DAD-A80E-B2BA668160ED}"/>
    <cellStyle name="Comma 2 5 6 2 5" xfId="5686" xr:uid="{00000000-0005-0000-0000-0000D7110000}"/>
    <cellStyle name="Comma 2 5 6 2 5 2" xfId="17272" xr:uid="{F0A88E8B-4750-4643-9E1D-D996CE74F1A8}"/>
    <cellStyle name="Comma 2 5 6 2 5 3" xfId="27688" xr:uid="{CAD9923E-CF04-40BD-9CB5-0404723FF134}"/>
    <cellStyle name="Comma 2 5 6 2 6" xfId="14178" xr:uid="{02EC84F1-D6D9-4C3E-9A98-0B86A96F07D1}"/>
    <cellStyle name="Comma 2 5 6 2 7" xfId="24594" xr:uid="{F3DC8D50-DC7A-4289-9084-C2B8FE9471B9}"/>
    <cellStyle name="Comma 2 5 6 3" xfId="1847" xr:uid="{00000000-0005-0000-0000-0000D8110000}"/>
    <cellStyle name="Comma 2 5 6 3 2" xfId="1848" xr:uid="{00000000-0005-0000-0000-0000D9110000}"/>
    <cellStyle name="Comma 2 5 6 3 2 2" xfId="8995" xr:uid="{00000000-0005-0000-0000-0000DA110000}"/>
    <cellStyle name="Comma 2 5 6 3 2 2 2" xfId="20541" xr:uid="{83B73CE9-4A61-4BB8-AA4C-1FEE927812CA}"/>
    <cellStyle name="Comma 2 5 6 3 2 2 3" xfId="30957" xr:uid="{9AB51060-0D19-4A9D-B6B8-423D58541816}"/>
    <cellStyle name="Comma 2 5 6 3 2 3" xfId="14183" xr:uid="{E0045B08-1AEA-417C-9952-9A421E622704}"/>
    <cellStyle name="Comma 2 5 6 3 2 4" xfId="24599" xr:uid="{16615909-F928-4247-8A5D-3859DB4D26F9}"/>
    <cellStyle name="Comma 2 5 6 3 3" xfId="8994" xr:uid="{00000000-0005-0000-0000-0000DB110000}"/>
    <cellStyle name="Comma 2 5 6 3 3 2" xfId="20540" xr:uid="{3750668A-0C93-4416-8835-D98AE8389342}"/>
    <cellStyle name="Comma 2 5 6 3 3 3" xfId="30956" xr:uid="{6E7111F9-BB75-47FF-ACD4-AB9A965399FD}"/>
    <cellStyle name="Comma 2 5 6 3 4" xfId="5688" xr:uid="{00000000-0005-0000-0000-0000DC110000}"/>
    <cellStyle name="Comma 2 5 6 3 4 2" xfId="17274" xr:uid="{FC310D6A-BC5B-42E1-930F-3F60AD4AACB9}"/>
    <cellStyle name="Comma 2 5 6 3 4 3" xfId="27690" xr:uid="{9E4BE0B8-71E4-40BE-A2B8-4A3594250052}"/>
    <cellStyle name="Comma 2 5 6 3 5" xfId="14182" xr:uid="{B1D664C0-FB3E-4A51-B5AB-298BB2882C84}"/>
    <cellStyle name="Comma 2 5 6 3 6" xfId="24598" xr:uid="{39E3AD0D-8399-44CB-B8DA-7A0A4BA15A7F}"/>
    <cellStyle name="Comma 2 5 6 4" xfId="1849" xr:uid="{00000000-0005-0000-0000-0000DD110000}"/>
    <cellStyle name="Comma 2 5 6 4 2" xfId="1850" xr:uid="{00000000-0005-0000-0000-0000DE110000}"/>
    <cellStyle name="Comma 2 5 6 4 2 2" xfId="8997" xr:uid="{00000000-0005-0000-0000-0000DF110000}"/>
    <cellStyle name="Comma 2 5 6 4 2 2 2" xfId="20543" xr:uid="{BA230183-A3E5-4C9F-BF96-9B56AD827BEC}"/>
    <cellStyle name="Comma 2 5 6 4 2 2 3" xfId="30959" xr:uid="{02C5A11C-A585-443D-8D1C-DCDB6DF62645}"/>
    <cellStyle name="Comma 2 5 6 4 2 3" xfId="14185" xr:uid="{D02B9AA1-FDFC-4051-91C1-068364DF3C14}"/>
    <cellStyle name="Comma 2 5 6 4 2 4" xfId="24601" xr:uid="{3D2594FD-000D-4FE6-870D-47A2F14493E3}"/>
    <cellStyle name="Comma 2 5 6 4 3" xfId="8996" xr:uid="{00000000-0005-0000-0000-0000E0110000}"/>
    <cellStyle name="Comma 2 5 6 4 3 2" xfId="20542" xr:uid="{0A200BF4-72DD-49BD-BE29-F4D37B4A0662}"/>
    <cellStyle name="Comma 2 5 6 4 3 3" xfId="30958" xr:uid="{9481D864-7799-456B-9FEF-C6EC0627ED1E}"/>
    <cellStyle name="Comma 2 5 6 4 4" xfId="5689" xr:uid="{00000000-0005-0000-0000-0000E1110000}"/>
    <cellStyle name="Comma 2 5 6 4 4 2" xfId="17275" xr:uid="{4A78D7B6-5252-4E23-89B7-36C83006138D}"/>
    <cellStyle name="Comma 2 5 6 4 4 3" xfId="27691" xr:uid="{C56FB72D-C9DF-496A-AB0A-65FC433D2E83}"/>
    <cellStyle name="Comma 2 5 6 4 5" xfId="14184" xr:uid="{861F05DE-6C8F-48E7-A463-07F9DA72CC80}"/>
    <cellStyle name="Comma 2 5 6 4 6" xfId="24600" xr:uid="{085034B2-A43A-49A8-822F-BB18E78D2E4F}"/>
    <cellStyle name="Comma 2 5 6 5" xfId="1851" xr:uid="{00000000-0005-0000-0000-0000E2110000}"/>
    <cellStyle name="Comma 2 5 6 5 2" xfId="8998" xr:uid="{00000000-0005-0000-0000-0000E3110000}"/>
    <cellStyle name="Comma 2 5 6 5 2 2" xfId="20544" xr:uid="{3A5210E0-768D-431F-9129-850AEC796746}"/>
    <cellStyle name="Comma 2 5 6 5 2 3" xfId="30960" xr:uid="{560B6125-2FEF-4ADE-9B6D-518D248226F3}"/>
    <cellStyle name="Comma 2 5 6 5 3" xfId="14186" xr:uid="{622C52BB-F482-44ED-A749-517EF0EAD8AA}"/>
    <cellStyle name="Comma 2 5 6 5 4" xfId="24602" xr:uid="{4AE8DE38-109A-4429-B5A6-A7A17F85403B}"/>
    <cellStyle name="Comma 2 5 6 6" xfId="8989" xr:uid="{00000000-0005-0000-0000-0000E4110000}"/>
    <cellStyle name="Comma 2 5 6 6 2" xfId="20535" xr:uid="{120F11CF-324F-4B25-9324-8CB384A3EC97}"/>
    <cellStyle name="Comma 2 5 6 6 3" xfId="30951" xr:uid="{9477928F-905C-4776-A859-C4638B76F547}"/>
    <cellStyle name="Comma 2 5 6 7" xfId="5685" xr:uid="{00000000-0005-0000-0000-0000E5110000}"/>
    <cellStyle name="Comma 2 5 6 7 2" xfId="17271" xr:uid="{71639894-56C8-4D28-90B8-D00653480273}"/>
    <cellStyle name="Comma 2 5 6 7 3" xfId="27687" xr:uid="{AEAE8C17-7D28-483C-AB3E-896501FE1310}"/>
    <cellStyle name="Comma 2 5 6 8" xfId="14177" xr:uid="{89871326-83DB-4B47-9690-6B44F3DA9884}"/>
    <cellStyle name="Comma 2 5 6 9" xfId="24593" xr:uid="{72FA180D-AD04-4F86-ACD7-25596C4B1B67}"/>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2 2 2" xfId="20548" xr:uid="{DC7ED0DB-10DE-416A-A7BA-B87A7F92CEF3}"/>
    <cellStyle name="Comma 2 5 7 2 2 2 2 3" xfId="30964" xr:uid="{B9C8BED3-4D4C-471B-AE54-47EF154C700C}"/>
    <cellStyle name="Comma 2 5 7 2 2 2 3" xfId="14190" xr:uid="{A9FB62B7-8F4D-40E0-8EF0-4ECC48AC8D4E}"/>
    <cellStyle name="Comma 2 5 7 2 2 2 4" xfId="24606" xr:uid="{8B068ED2-80BA-4B3B-BB76-B33AE6EF64E0}"/>
    <cellStyle name="Comma 2 5 7 2 2 3" xfId="9001" xr:uid="{00000000-0005-0000-0000-0000EB110000}"/>
    <cellStyle name="Comma 2 5 7 2 2 3 2" xfId="20547" xr:uid="{3E5E4857-1FC1-43E4-BF02-9D42F8209BD6}"/>
    <cellStyle name="Comma 2 5 7 2 2 3 3" xfId="30963" xr:uid="{09F85F3E-1026-4751-BF2B-F6531D8B9EAE}"/>
    <cellStyle name="Comma 2 5 7 2 2 4" xfId="5692" xr:uid="{00000000-0005-0000-0000-0000EC110000}"/>
    <cellStyle name="Comma 2 5 7 2 2 4 2" xfId="17278" xr:uid="{FBD0DB17-5CE6-451F-A6EA-2E08B564B0BD}"/>
    <cellStyle name="Comma 2 5 7 2 2 4 3" xfId="27694" xr:uid="{794886BD-4874-4520-8A83-C90F7AED22A4}"/>
    <cellStyle name="Comma 2 5 7 2 2 5" xfId="14189" xr:uid="{F18E59F2-6E4B-4E52-8F2F-84B72F73874B}"/>
    <cellStyle name="Comma 2 5 7 2 2 6" xfId="24605" xr:uid="{D10527FF-A608-4031-B352-A8889F048E29}"/>
    <cellStyle name="Comma 2 5 7 2 3" xfId="1856" xr:uid="{00000000-0005-0000-0000-0000ED110000}"/>
    <cellStyle name="Comma 2 5 7 2 3 2" xfId="9003" xr:uid="{00000000-0005-0000-0000-0000EE110000}"/>
    <cellStyle name="Comma 2 5 7 2 3 2 2" xfId="20549" xr:uid="{D83D5FE1-8CA4-400D-BD81-E9724CAA1807}"/>
    <cellStyle name="Comma 2 5 7 2 3 2 3" xfId="30965" xr:uid="{9718D63C-76D3-4073-8DF5-C658B2E7AA4C}"/>
    <cellStyle name="Comma 2 5 7 2 3 3" xfId="14191" xr:uid="{A5BB5E15-B7DE-4DC3-93D2-BC9250971627}"/>
    <cellStyle name="Comma 2 5 7 2 3 4" xfId="24607" xr:uid="{E1B82C29-1CB8-4E54-BD6D-46D7893F2673}"/>
    <cellStyle name="Comma 2 5 7 2 4" xfId="9000" xr:uid="{00000000-0005-0000-0000-0000EF110000}"/>
    <cellStyle name="Comma 2 5 7 2 4 2" xfId="20546" xr:uid="{0DCBF1F7-AEA1-4143-BA19-2384EE72B382}"/>
    <cellStyle name="Comma 2 5 7 2 4 3" xfId="30962" xr:uid="{D0EA41B7-7B98-4586-8701-34C4FEDB94B6}"/>
    <cellStyle name="Comma 2 5 7 2 5" xfId="5691" xr:uid="{00000000-0005-0000-0000-0000F0110000}"/>
    <cellStyle name="Comma 2 5 7 2 5 2" xfId="17277" xr:uid="{D1329C2C-F9A3-4C52-ACDB-716929E6989E}"/>
    <cellStyle name="Comma 2 5 7 2 5 3" xfId="27693" xr:uid="{8D8BBA01-F1D5-4E53-836C-1A12F2B9E132}"/>
    <cellStyle name="Comma 2 5 7 2 6" xfId="14188" xr:uid="{EB405966-477B-453E-902F-08DF1AD9A272}"/>
    <cellStyle name="Comma 2 5 7 2 7" xfId="24604" xr:uid="{0123982C-10CA-4424-BE60-E0B57AF51307}"/>
    <cellStyle name="Comma 2 5 7 3" xfId="1857" xr:uid="{00000000-0005-0000-0000-0000F1110000}"/>
    <cellStyle name="Comma 2 5 7 3 2" xfId="1858" xr:uid="{00000000-0005-0000-0000-0000F2110000}"/>
    <cellStyle name="Comma 2 5 7 3 2 2" xfId="9005" xr:uid="{00000000-0005-0000-0000-0000F3110000}"/>
    <cellStyle name="Comma 2 5 7 3 2 2 2" xfId="20551" xr:uid="{BC3334D4-A2C2-4368-8BDC-D405D9DB4C93}"/>
    <cellStyle name="Comma 2 5 7 3 2 2 3" xfId="30967" xr:uid="{483D07AD-B487-4CBE-81F9-E80AB42A1723}"/>
    <cellStyle name="Comma 2 5 7 3 2 3" xfId="14193" xr:uid="{781E1EE1-10BA-469B-9ECD-5136CFC6CE3F}"/>
    <cellStyle name="Comma 2 5 7 3 2 4" xfId="24609" xr:uid="{14F50472-CB6C-4271-B10B-C8BA7A04FA1E}"/>
    <cellStyle name="Comma 2 5 7 3 3" xfId="9004" xr:uid="{00000000-0005-0000-0000-0000F4110000}"/>
    <cellStyle name="Comma 2 5 7 3 3 2" xfId="20550" xr:uid="{3C2BA9A5-BFE6-4D35-B7C7-6E8025A69463}"/>
    <cellStyle name="Comma 2 5 7 3 3 3" xfId="30966" xr:uid="{42CA69A8-737D-45DB-AF82-C672C6008149}"/>
    <cellStyle name="Comma 2 5 7 3 4" xfId="5693" xr:uid="{00000000-0005-0000-0000-0000F5110000}"/>
    <cellStyle name="Comma 2 5 7 3 4 2" xfId="17279" xr:uid="{991E89C3-E318-4164-B8AC-19E24E7167C6}"/>
    <cellStyle name="Comma 2 5 7 3 4 3" xfId="27695" xr:uid="{64D6A01F-EFE5-44DC-8463-A4CBCE43381D}"/>
    <cellStyle name="Comma 2 5 7 3 5" xfId="14192" xr:uid="{E0340D74-6DB4-4C6C-9D8B-9A7D3C6EFC1D}"/>
    <cellStyle name="Comma 2 5 7 3 6" xfId="24608" xr:uid="{0D542722-999C-48CF-823C-54A474EE5BCC}"/>
    <cellStyle name="Comma 2 5 7 4" xfId="1859" xr:uid="{00000000-0005-0000-0000-0000F6110000}"/>
    <cellStyle name="Comma 2 5 7 4 2" xfId="1860" xr:uid="{00000000-0005-0000-0000-0000F7110000}"/>
    <cellStyle name="Comma 2 5 7 4 2 2" xfId="9007" xr:uid="{00000000-0005-0000-0000-0000F8110000}"/>
    <cellStyle name="Comma 2 5 7 4 2 2 2" xfId="20553" xr:uid="{703A0689-FD46-4116-98A4-A4171B904174}"/>
    <cellStyle name="Comma 2 5 7 4 2 2 3" xfId="30969" xr:uid="{2202A445-D853-485E-B197-00553ED2E708}"/>
    <cellStyle name="Comma 2 5 7 4 2 3" xfId="14195" xr:uid="{8BA10956-F774-470F-BD54-45F90F75DC5D}"/>
    <cellStyle name="Comma 2 5 7 4 2 4" xfId="24611" xr:uid="{757E0ED8-0F3F-4D41-87EA-AEA1B15CC114}"/>
    <cellStyle name="Comma 2 5 7 4 3" xfId="9006" xr:uid="{00000000-0005-0000-0000-0000F9110000}"/>
    <cellStyle name="Comma 2 5 7 4 3 2" xfId="20552" xr:uid="{BCF32F1E-40B6-4421-A4AB-FBD5DCB98E35}"/>
    <cellStyle name="Comma 2 5 7 4 3 3" xfId="30968" xr:uid="{A350F870-1195-4A9A-9C50-05959A81ED9B}"/>
    <cellStyle name="Comma 2 5 7 4 4" xfId="5694" xr:uid="{00000000-0005-0000-0000-0000FA110000}"/>
    <cellStyle name="Comma 2 5 7 4 4 2" xfId="17280" xr:uid="{0DD1315F-81DB-4A22-8836-D5000E568B4B}"/>
    <cellStyle name="Comma 2 5 7 4 4 3" xfId="27696" xr:uid="{653E5EF4-C170-4209-A4E1-697CF03D6F18}"/>
    <cellStyle name="Comma 2 5 7 4 5" xfId="14194" xr:uid="{127847C7-2742-47CB-A20C-AAD80035489E}"/>
    <cellStyle name="Comma 2 5 7 4 6" xfId="24610" xr:uid="{0A5FB0F6-3535-4D79-AB4D-6AA858C4B0DD}"/>
    <cellStyle name="Comma 2 5 7 5" xfId="1861" xr:uid="{00000000-0005-0000-0000-0000FB110000}"/>
    <cellStyle name="Comma 2 5 7 5 2" xfId="9008" xr:uid="{00000000-0005-0000-0000-0000FC110000}"/>
    <cellStyle name="Comma 2 5 7 5 2 2" xfId="20554" xr:uid="{700C3FC7-1314-4A71-ABC2-8FCED13DC5B0}"/>
    <cellStyle name="Comma 2 5 7 5 2 3" xfId="30970" xr:uid="{162695A9-AC25-4D91-99D5-5874620EA948}"/>
    <cellStyle name="Comma 2 5 7 5 3" xfId="14196" xr:uid="{25EB8778-378D-4EE8-A69A-8C731EE7B881}"/>
    <cellStyle name="Comma 2 5 7 5 4" xfId="24612" xr:uid="{E176285A-2C51-449D-9168-1D4216EDB724}"/>
    <cellStyle name="Comma 2 5 7 6" xfId="8999" xr:uid="{00000000-0005-0000-0000-0000FD110000}"/>
    <cellStyle name="Comma 2 5 7 6 2" xfId="20545" xr:uid="{2BEFE3DB-9C15-4B00-9355-26B54DB2262F}"/>
    <cellStyle name="Comma 2 5 7 6 3" xfId="30961" xr:uid="{F525F3C6-FDC7-40E5-8EB0-E8F8C85E819D}"/>
    <cellStyle name="Comma 2 5 7 7" xfId="5690" xr:uid="{00000000-0005-0000-0000-0000FE110000}"/>
    <cellStyle name="Comma 2 5 7 7 2" xfId="17276" xr:uid="{A9291800-B64D-4ECA-A533-F54EF60EEF00}"/>
    <cellStyle name="Comma 2 5 7 7 3" xfId="27692" xr:uid="{965F9501-F84B-4305-9D51-CC63F87C45F8}"/>
    <cellStyle name="Comma 2 5 7 8" xfId="14187" xr:uid="{989F8B4C-976C-4CB7-97DC-5CD0B682B0D9}"/>
    <cellStyle name="Comma 2 5 7 9" xfId="24603" xr:uid="{526D032B-5D5F-4EEB-91E5-8802D8524857}"/>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2 2 2" xfId="20558" xr:uid="{904E64BB-AAA9-4AD5-AA4C-C97B4C251F01}"/>
    <cellStyle name="Comma 2 5 8 2 2 2 2 3" xfId="30974" xr:uid="{D36ED47C-F2C3-4D02-AE66-4F97D67D881B}"/>
    <cellStyle name="Comma 2 5 8 2 2 2 3" xfId="14200" xr:uid="{2C9986C4-9DF0-4EA2-9124-58B7D3BD81DA}"/>
    <cellStyle name="Comma 2 5 8 2 2 2 4" xfId="24616" xr:uid="{A9192044-211B-413C-A6B1-F1A51ABAA308}"/>
    <cellStyle name="Comma 2 5 8 2 2 3" xfId="9011" xr:uid="{00000000-0005-0000-0000-000004120000}"/>
    <cellStyle name="Comma 2 5 8 2 2 3 2" xfId="20557" xr:uid="{B06F14AD-F5AC-4CED-86B9-6DB454FC0AA6}"/>
    <cellStyle name="Comma 2 5 8 2 2 3 3" xfId="30973" xr:uid="{C9C723CD-2AC9-4D3C-B0BE-EB662E5021BA}"/>
    <cellStyle name="Comma 2 5 8 2 2 4" xfId="5697" xr:uid="{00000000-0005-0000-0000-000005120000}"/>
    <cellStyle name="Comma 2 5 8 2 2 4 2" xfId="17283" xr:uid="{B2F45540-B1DF-41A3-B4CF-76460387FA05}"/>
    <cellStyle name="Comma 2 5 8 2 2 4 3" xfId="27699" xr:uid="{59AD6D9F-1C03-47F5-8970-AE875457F735}"/>
    <cellStyle name="Comma 2 5 8 2 2 5" xfId="14199" xr:uid="{DF851231-5599-4DDB-ABA6-53C9B628163D}"/>
    <cellStyle name="Comma 2 5 8 2 2 6" xfId="24615" xr:uid="{EC261A1A-A1B0-4008-9600-BF7E34B1F058}"/>
    <cellStyle name="Comma 2 5 8 2 3" xfId="1866" xr:uid="{00000000-0005-0000-0000-000006120000}"/>
    <cellStyle name="Comma 2 5 8 2 3 2" xfId="9013" xr:uid="{00000000-0005-0000-0000-000007120000}"/>
    <cellStyle name="Comma 2 5 8 2 3 2 2" xfId="20559" xr:uid="{B670CE0E-FB5E-4CFF-95A8-289970BF1BBA}"/>
    <cellStyle name="Comma 2 5 8 2 3 2 3" xfId="30975" xr:uid="{A88FC783-0330-47D7-A9AE-C30CE1C73732}"/>
    <cellStyle name="Comma 2 5 8 2 3 3" xfId="14201" xr:uid="{F92491F6-B2EC-49C0-AD81-54E086BC22C4}"/>
    <cellStyle name="Comma 2 5 8 2 3 4" xfId="24617" xr:uid="{27CE094A-D2DE-4C1D-8D25-D981EBADDF22}"/>
    <cellStyle name="Comma 2 5 8 2 4" xfId="9010" xr:uid="{00000000-0005-0000-0000-000008120000}"/>
    <cellStyle name="Comma 2 5 8 2 4 2" xfId="20556" xr:uid="{00535E2B-06C0-46CB-8117-C79D7B60CF03}"/>
    <cellStyle name="Comma 2 5 8 2 4 3" xfId="30972" xr:uid="{7F3F209C-EC60-4D72-9754-29071F6553DF}"/>
    <cellStyle name="Comma 2 5 8 2 5" xfId="5696" xr:uid="{00000000-0005-0000-0000-000009120000}"/>
    <cellStyle name="Comma 2 5 8 2 5 2" xfId="17282" xr:uid="{49B03DC7-D29A-4BED-8229-B55DF3E34D9F}"/>
    <cellStyle name="Comma 2 5 8 2 5 3" xfId="27698" xr:uid="{1792FC04-97C1-4D89-B1C3-A5B9D388B959}"/>
    <cellStyle name="Comma 2 5 8 2 6" xfId="14198" xr:uid="{C2B4E79C-528B-4101-B707-4FF7CFA6D751}"/>
    <cellStyle name="Comma 2 5 8 2 7" xfId="24614" xr:uid="{2B3F3C08-FA0C-447E-8B75-55566FC9D95B}"/>
    <cellStyle name="Comma 2 5 8 3" xfId="1867" xr:uid="{00000000-0005-0000-0000-00000A120000}"/>
    <cellStyle name="Comma 2 5 8 3 2" xfId="1868" xr:uid="{00000000-0005-0000-0000-00000B120000}"/>
    <cellStyle name="Comma 2 5 8 3 2 2" xfId="9015" xr:uid="{00000000-0005-0000-0000-00000C120000}"/>
    <cellStyle name="Comma 2 5 8 3 2 2 2" xfId="20561" xr:uid="{9587A786-B302-4C0E-BF06-E77AB603C1DE}"/>
    <cellStyle name="Comma 2 5 8 3 2 2 3" xfId="30977" xr:uid="{F645DDF1-8C3F-4E97-8678-8C7ABABE62AB}"/>
    <cellStyle name="Comma 2 5 8 3 2 3" xfId="14203" xr:uid="{AC0ADA7E-B6A8-460D-8CFC-5BDA682214B0}"/>
    <cellStyle name="Comma 2 5 8 3 2 4" xfId="24619" xr:uid="{BDC15271-B3E8-4F75-BA80-A2BFDA9A74F7}"/>
    <cellStyle name="Comma 2 5 8 3 3" xfId="9014" xr:uid="{00000000-0005-0000-0000-00000D120000}"/>
    <cellStyle name="Comma 2 5 8 3 3 2" xfId="20560" xr:uid="{5E63D377-3E44-4E72-8FFF-DE3C1A42C77C}"/>
    <cellStyle name="Comma 2 5 8 3 3 3" xfId="30976" xr:uid="{2013D474-1DDA-4A79-888B-D697F4E4A90F}"/>
    <cellStyle name="Comma 2 5 8 3 4" xfId="5698" xr:uid="{00000000-0005-0000-0000-00000E120000}"/>
    <cellStyle name="Comma 2 5 8 3 4 2" xfId="17284" xr:uid="{F53985C6-66D5-4CE7-A85E-0A2DA8240C10}"/>
    <cellStyle name="Comma 2 5 8 3 4 3" xfId="27700" xr:uid="{C716C191-DF2D-43F6-9F24-67DA8A7FB205}"/>
    <cellStyle name="Comma 2 5 8 3 5" xfId="14202" xr:uid="{BAF3E6E5-C4E9-48A4-A6DA-49CD34DA1343}"/>
    <cellStyle name="Comma 2 5 8 3 6" xfId="24618" xr:uid="{07016910-0358-4988-9A7C-E3DEC6B466DE}"/>
    <cellStyle name="Comma 2 5 8 4" xfId="1869" xr:uid="{00000000-0005-0000-0000-00000F120000}"/>
    <cellStyle name="Comma 2 5 8 4 2" xfId="1870" xr:uid="{00000000-0005-0000-0000-000010120000}"/>
    <cellStyle name="Comma 2 5 8 4 2 2" xfId="9017" xr:uid="{00000000-0005-0000-0000-000011120000}"/>
    <cellStyle name="Comma 2 5 8 4 2 2 2" xfId="20563" xr:uid="{EB95ED2C-9268-49BE-B2E3-44591D310105}"/>
    <cellStyle name="Comma 2 5 8 4 2 2 3" xfId="30979" xr:uid="{C0944ED8-8453-4ACD-AD84-E3B33B79DC23}"/>
    <cellStyle name="Comma 2 5 8 4 2 3" xfId="14205" xr:uid="{F787043A-E40D-4C72-9B7D-C418391099AF}"/>
    <cellStyle name="Comma 2 5 8 4 2 4" xfId="24621" xr:uid="{56E93CC0-2F72-4984-ABAC-727CBF30C3B8}"/>
    <cellStyle name="Comma 2 5 8 4 3" xfId="9016" xr:uid="{00000000-0005-0000-0000-000012120000}"/>
    <cellStyle name="Comma 2 5 8 4 3 2" xfId="20562" xr:uid="{67B67A13-415D-4721-A96B-9170E920DB65}"/>
    <cellStyle name="Comma 2 5 8 4 3 3" xfId="30978" xr:uid="{E997A4CB-D6E4-4DC4-A9F3-4AE966F8DA02}"/>
    <cellStyle name="Comma 2 5 8 4 4" xfId="5699" xr:uid="{00000000-0005-0000-0000-000013120000}"/>
    <cellStyle name="Comma 2 5 8 4 4 2" xfId="17285" xr:uid="{E22C318F-5DF7-432A-BCF6-6E1818A2FDDD}"/>
    <cellStyle name="Comma 2 5 8 4 4 3" xfId="27701" xr:uid="{C2E06D23-0D52-4083-9090-C80FB57CD36D}"/>
    <cellStyle name="Comma 2 5 8 4 5" xfId="14204" xr:uid="{810FB144-EB32-46F0-A46D-87DE5741A883}"/>
    <cellStyle name="Comma 2 5 8 4 6" xfId="24620" xr:uid="{59F7BFD0-CCF7-4935-888D-FA7B35C25F8B}"/>
    <cellStyle name="Comma 2 5 8 5" xfId="1871" xr:uid="{00000000-0005-0000-0000-000014120000}"/>
    <cellStyle name="Comma 2 5 8 5 2" xfId="9018" xr:uid="{00000000-0005-0000-0000-000015120000}"/>
    <cellStyle name="Comma 2 5 8 5 2 2" xfId="20564" xr:uid="{AFAED102-D40D-463E-9C17-900B0364757D}"/>
    <cellStyle name="Comma 2 5 8 5 2 3" xfId="30980" xr:uid="{7B9F11EE-9952-4257-8462-5E879538B13D}"/>
    <cellStyle name="Comma 2 5 8 5 3" xfId="14206" xr:uid="{2792B36C-D98A-4A31-81CA-125B228D212F}"/>
    <cellStyle name="Comma 2 5 8 5 4" xfId="24622" xr:uid="{84E08879-874F-48E5-8EC1-8FB10AF7980E}"/>
    <cellStyle name="Comma 2 5 8 6" xfId="9009" xr:uid="{00000000-0005-0000-0000-000016120000}"/>
    <cellStyle name="Comma 2 5 8 6 2" xfId="20555" xr:uid="{9F4A70CD-3767-4D06-9523-058E662936BF}"/>
    <cellStyle name="Comma 2 5 8 6 3" xfId="30971" xr:uid="{CF23E881-8D39-4B72-9D32-601C1A39E269}"/>
    <cellStyle name="Comma 2 5 8 7" xfId="5695" xr:uid="{00000000-0005-0000-0000-000017120000}"/>
    <cellStyle name="Comma 2 5 8 7 2" xfId="17281" xr:uid="{E9845F14-6448-4520-9CE7-7B748A4B1340}"/>
    <cellStyle name="Comma 2 5 8 7 3" xfId="27697" xr:uid="{3E36A989-B41B-4B40-B7AA-9959AF00E9F0}"/>
    <cellStyle name="Comma 2 5 8 8" xfId="14197" xr:uid="{C668AA23-668C-4702-920E-E7BE62EFAB4A}"/>
    <cellStyle name="Comma 2 5 8 9" xfId="24613" xr:uid="{D6E84C37-D15C-421D-A8F0-77A80DF81019}"/>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2 2 2" xfId="20568" xr:uid="{CC3D3811-3D70-48E8-8D58-D9B233619E45}"/>
    <cellStyle name="Comma 2 5 9 2 2 2 2 3" xfId="30984" xr:uid="{215C10C0-22B4-4801-8300-D473F069408F}"/>
    <cellStyle name="Comma 2 5 9 2 2 2 3" xfId="14210" xr:uid="{1D8F181E-CAF6-4748-976C-7FAB5AAA8069}"/>
    <cellStyle name="Comma 2 5 9 2 2 2 4" xfId="24626" xr:uid="{DA5B33C3-E047-4C08-93A3-4D36C383617F}"/>
    <cellStyle name="Comma 2 5 9 2 2 3" xfId="9021" xr:uid="{00000000-0005-0000-0000-00001D120000}"/>
    <cellStyle name="Comma 2 5 9 2 2 3 2" xfId="20567" xr:uid="{6147B558-7E89-40F9-B488-184A0E294AFB}"/>
    <cellStyle name="Comma 2 5 9 2 2 3 3" xfId="30983" xr:uid="{18731B92-3D18-4B91-BCAA-DB7F2A31D943}"/>
    <cellStyle name="Comma 2 5 9 2 2 4" xfId="5702" xr:uid="{00000000-0005-0000-0000-00001E120000}"/>
    <cellStyle name="Comma 2 5 9 2 2 4 2" xfId="17288" xr:uid="{013B0FA3-9362-4517-96DD-406BDC583E0D}"/>
    <cellStyle name="Comma 2 5 9 2 2 4 3" xfId="27704" xr:uid="{F7BBD32C-8B8A-40DE-BCDA-B2C1B6B3BE4B}"/>
    <cellStyle name="Comma 2 5 9 2 2 5" xfId="14209" xr:uid="{86394E28-BA6E-4627-A72D-A80FC4266AA8}"/>
    <cellStyle name="Comma 2 5 9 2 2 6" xfId="24625" xr:uid="{FA3EEEBF-6224-4FB8-B4D5-6D31BB4FFAB1}"/>
    <cellStyle name="Comma 2 5 9 2 3" xfId="1876" xr:uid="{00000000-0005-0000-0000-00001F120000}"/>
    <cellStyle name="Comma 2 5 9 2 3 2" xfId="9023" xr:uid="{00000000-0005-0000-0000-000020120000}"/>
    <cellStyle name="Comma 2 5 9 2 3 2 2" xfId="20569" xr:uid="{5BB087F0-EFFA-49BD-88B1-4D80556EF376}"/>
    <cellStyle name="Comma 2 5 9 2 3 2 3" xfId="30985" xr:uid="{56DDEEED-CA0E-4C60-AF2C-73FD9314B539}"/>
    <cellStyle name="Comma 2 5 9 2 3 3" xfId="14211" xr:uid="{DE62B202-4718-4DBF-89D4-F754BA95E5B9}"/>
    <cellStyle name="Comma 2 5 9 2 3 4" xfId="24627" xr:uid="{B74D6F4A-DC6D-4B38-9920-A5E4FC8C58BC}"/>
    <cellStyle name="Comma 2 5 9 2 4" xfId="9020" xr:uid="{00000000-0005-0000-0000-000021120000}"/>
    <cellStyle name="Comma 2 5 9 2 4 2" xfId="20566" xr:uid="{F09B72C8-458D-423F-832F-DB52D543EA22}"/>
    <cellStyle name="Comma 2 5 9 2 4 3" xfId="30982" xr:uid="{2CF7D3BA-AE04-4C6B-928B-651A120658A5}"/>
    <cellStyle name="Comma 2 5 9 2 5" xfId="5701" xr:uid="{00000000-0005-0000-0000-000022120000}"/>
    <cellStyle name="Comma 2 5 9 2 5 2" xfId="17287" xr:uid="{281860AB-9742-4E10-8F42-1CD79B7B13CB}"/>
    <cellStyle name="Comma 2 5 9 2 5 3" xfId="27703" xr:uid="{743B7CB8-E431-4463-B289-E7E743687D2D}"/>
    <cellStyle name="Comma 2 5 9 2 6" xfId="14208" xr:uid="{71F833AA-0A58-4BD7-A3E6-FFB6CE241E9F}"/>
    <cellStyle name="Comma 2 5 9 2 7" xfId="24624" xr:uid="{A47A6B8A-3860-417A-BFF9-D65C0062A625}"/>
    <cellStyle name="Comma 2 5 9 3" xfId="1877" xr:uid="{00000000-0005-0000-0000-000023120000}"/>
    <cellStyle name="Comma 2 5 9 3 2" xfId="1878" xr:uid="{00000000-0005-0000-0000-000024120000}"/>
    <cellStyle name="Comma 2 5 9 3 2 2" xfId="9025" xr:uid="{00000000-0005-0000-0000-000025120000}"/>
    <cellStyle name="Comma 2 5 9 3 2 2 2" xfId="20571" xr:uid="{3FE261C1-A622-410B-9E2F-BC255AD0839D}"/>
    <cellStyle name="Comma 2 5 9 3 2 2 3" xfId="30987" xr:uid="{E1841155-BCA8-423D-A743-DDF96267705A}"/>
    <cellStyle name="Comma 2 5 9 3 2 3" xfId="14213" xr:uid="{0C5F1919-1E6F-4BF8-9936-945E2FC299EE}"/>
    <cellStyle name="Comma 2 5 9 3 2 4" xfId="24629" xr:uid="{2782D9FE-767A-4DBA-83EA-3E12B32FAF3B}"/>
    <cellStyle name="Comma 2 5 9 3 3" xfId="9024" xr:uid="{00000000-0005-0000-0000-000026120000}"/>
    <cellStyle name="Comma 2 5 9 3 3 2" xfId="20570" xr:uid="{64F27ED3-EBE7-40C5-838F-EBADB18806CF}"/>
    <cellStyle name="Comma 2 5 9 3 3 3" xfId="30986" xr:uid="{039712D5-C1A2-42A8-BB9D-C59D1C436896}"/>
    <cellStyle name="Comma 2 5 9 3 4" xfId="5703" xr:uid="{00000000-0005-0000-0000-000027120000}"/>
    <cellStyle name="Comma 2 5 9 3 4 2" xfId="17289" xr:uid="{821E5A6A-ADEB-4D41-8002-C09CD3751FED}"/>
    <cellStyle name="Comma 2 5 9 3 4 3" xfId="27705" xr:uid="{3641C933-B755-4F9B-8987-782B63774495}"/>
    <cellStyle name="Comma 2 5 9 3 5" xfId="14212" xr:uid="{50BD072F-947B-4DF7-ADE5-BC5F2C5C1252}"/>
    <cellStyle name="Comma 2 5 9 3 6" xfId="24628" xr:uid="{AA93E65F-414B-4ABC-B47E-672F82AE5701}"/>
    <cellStyle name="Comma 2 5 9 4" xfId="1879" xr:uid="{00000000-0005-0000-0000-000028120000}"/>
    <cellStyle name="Comma 2 5 9 4 2" xfId="1880" xr:uid="{00000000-0005-0000-0000-000029120000}"/>
    <cellStyle name="Comma 2 5 9 4 2 2" xfId="9027" xr:uid="{00000000-0005-0000-0000-00002A120000}"/>
    <cellStyle name="Comma 2 5 9 4 2 2 2" xfId="20573" xr:uid="{1D6A9DCD-30EC-4211-A2EE-D9D71F1401FD}"/>
    <cellStyle name="Comma 2 5 9 4 2 2 3" xfId="30989" xr:uid="{44A86358-C9B6-4795-A694-241E3D14EC65}"/>
    <cellStyle name="Comma 2 5 9 4 2 3" xfId="14215" xr:uid="{DF263A05-57BF-47D5-BDB2-5A189395D011}"/>
    <cellStyle name="Comma 2 5 9 4 2 4" xfId="24631" xr:uid="{BB602692-0A02-440F-AC44-990AC725F4CA}"/>
    <cellStyle name="Comma 2 5 9 4 3" xfId="9026" xr:uid="{00000000-0005-0000-0000-00002B120000}"/>
    <cellStyle name="Comma 2 5 9 4 3 2" xfId="20572" xr:uid="{D72AC869-FD76-4C13-A252-EE368FB045A0}"/>
    <cellStyle name="Comma 2 5 9 4 3 3" xfId="30988" xr:uid="{EE5173CF-850A-4ADB-B1DC-46A98466B7E9}"/>
    <cellStyle name="Comma 2 5 9 4 4" xfId="5704" xr:uid="{00000000-0005-0000-0000-00002C120000}"/>
    <cellStyle name="Comma 2 5 9 4 4 2" xfId="17290" xr:uid="{B12C4688-2420-4865-8610-17A3E5A32CBA}"/>
    <cellStyle name="Comma 2 5 9 4 4 3" xfId="27706" xr:uid="{2B1617F6-575F-46E7-B014-BC21A6926014}"/>
    <cellStyle name="Comma 2 5 9 4 5" xfId="14214" xr:uid="{4233DD34-60FC-4A4A-AF1A-B06F8B23A6BD}"/>
    <cellStyle name="Comma 2 5 9 4 6" xfId="24630" xr:uid="{CB7E453B-D29B-4B47-85FF-C28893FBC03E}"/>
    <cellStyle name="Comma 2 5 9 5" xfId="1881" xr:uid="{00000000-0005-0000-0000-00002D120000}"/>
    <cellStyle name="Comma 2 5 9 5 2" xfId="9028" xr:uid="{00000000-0005-0000-0000-00002E120000}"/>
    <cellStyle name="Comma 2 5 9 5 2 2" xfId="20574" xr:uid="{5E7A987B-1257-4A6E-AB8E-D6DE52A853F8}"/>
    <cellStyle name="Comma 2 5 9 5 2 3" xfId="30990" xr:uid="{839CA412-4222-41F6-930B-8BB7AFBEBE73}"/>
    <cellStyle name="Comma 2 5 9 5 3" xfId="14216" xr:uid="{FE50ACA9-9391-4111-9D8B-F56DE5FF1C48}"/>
    <cellStyle name="Comma 2 5 9 5 4" xfId="24632" xr:uid="{4AD2CD9C-AD18-458A-AD02-FBB5C773EA37}"/>
    <cellStyle name="Comma 2 5 9 6" xfId="9019" xr:uid="{00000000-0005-0000-0000-00002F120000}"/>
    <cellStyle name="Comma 2 5 9 6 2" xfId="20565" xr:uid="{50A0F269-87CA-43E0-9F4E-0D70BA511225}"/>
    <cellStyle name="Comma 2 5 9 6 3" xfId="30981" xr:uid="{073192DB-57E6-402E-BD1C-A75A710E71D6}"/>
    <cellStyle name="Comma 2 5 9 7" xfId="5700" xr:uid="{00000000-0005-0000-0000-000030120000}"/>
    <cellStyle name="Comma 2 5 9 7 2" xfId="17286" xr:uid="{A7AEC6C5-1618-4BAC-BED4-505B1071DE43}"/>
    <cellStyle name="Comma 2 5 9 7 3" xfId="27702" xr:uid="{79F1163D-0A4B-43E8-B145-0FB58A29F08D}"/>
    <cellStyle name="Comma 2 5 9 8" xfId="14207" xr:uid="{459E17FC-F660-4C0C-86A1-445BDBE6B577}"/>
    <cellStyle name="Comma 2 5 9 9" xfId="24623" xr:uid="{90001C96-0249-4449-B8C4-98C87E18DCA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2 2 2" xfId="20577" xr:uid="{C2E473D5-E616-42CE-B983-B5CD72723275}"/>
    <cellStyle name="Comma 2 6 10 2 2 3" xfId="30993" xr:uid="{1B4BD079-F951-4A0A-9183-56A337024FFE}"/>
    <cellStyle name="Comma 2 6 10 2 3" xfId="14219" xr:uid="{30666E4D-0D37-4E2A-B682-82F13CC63033}"/>
    <cellStyle name="Comma 2 6 10 2 4" xfId="24635" xr:uid="{3083ABC6-16D4-4F98-943C-65ADF1C088CD}"/>
    <cellStyle name="Comma 2 6 10 3" xfId="9030" xr:uid="{00000000-0005-0000-0000-000035120000}"/>
    <cellStyle name="Comma 2 6 10 3 2" xfId="20576" xr:uid="{AD778CD4-2781-4D33-AFDE-E338ED5952A2}"/>
    <cellStyle name="Comma 2 6 10 3 3" xfId="30992" xr:uid="{5E2FEC56-43E4-4F32-A498-51E10DE7F144}"/>
    <cellStyle name="Comma 2 6 10 4" xfId="5706" xr:uid="{00000000-0005-0000-0000-000036120000}"/>
    <cellStyle name="Comma 2 6 10 4 2" xfId="17292" xr:uid="{6EF7230A-8614-4DDC-B193-EE9DC52087BC}"/>
    <cellStyle name="Comma 2 6 10 4 3" xfId="27708" xr:uid="{984EA4D5-31FB-4614-9E14-0543C20BFBF0}"/>
    <cellStyle name="Comma 2 6 10 5" xfId="14218" xr:uid="{5DA1ED3E-239E-48E6-8BCA-B8156D93BFAA}"/>
    <cellStyle name="Comma 2 6 10 6" xfId="24634" xr:uid="{D21BB934-F8B4-4A94-BCC7-4759508D97E0}"/>
    <cellStyle name="Comma 2 6 11" xfId="1885" xr:uid="{00000000-0005-0000-0000-000037120000}"/>
    <cellStyle name="Comma 2 6 11 2" xfId="9032" xr:uid="{00000000-0005-0000-0000-000038120000}"/>
    <cellStyle name="Comma 2 6 11 2 2" xfId="20578" xr:uid="{5183D91A-642E-4D40-A908-20A448E9681A}"/>
    <cellStyle name="Comma 2 6 11 2 3" xfId="30994" xr:uid="{0C127F91-BC8C-4670-A0E3-ADCD72FBE9B1}"/>
    <cellStyle name="Comma 2 6 11 3" xfId="14220" xr:uid="{169862CB-C6AE-4188-B30B-93C3DDA43C13}"/>
    <cellStyle name="Comma 2 6 11 4" xfId="24636" xr:uid="{66FD8B21-B14F-4808-8FDA-5440ECC3C0FC}"/>
    <cellStyle name="Comma 2 6 12" xfId="9029" xr:uid="{00000000-0005-0000-0000-000039120000}"/>
    <cellStyle name="Comma 2 6 12 2" xfId="20575" xr:uid="{F19AC3AC-C1F4-40AD-A130-3264F0902F69}"/>
    <cellStyle name="Comma 2 6 12 3" xfId="30991" xr:uid="{42211F16-75A5-42A6-972E-EAEB48826C22}"/>
    <cellStyle name="Comma 2 6 13" xfId="5705" xr:uid="{00000000-0005-0000-0000-00003A120000}"/>
    <cellStyle name="Comma 2 6 13 2" xfId="17291" xr:uid="{E9C771A3-1E28-42F4-91C1-8753DB870977}"/>
    <cellStyle name="Comma 2 6 13 3" xfId="27707" xr:uid="{A8BF006B-3461-4431-8693-D994D6F648E3}"/>
    <cellStyle name="Comma 2 6 14" xfId="14217" xr:uid="{4EEA22B4-9B39-477C-89DB-E145068CE78A}"/>
    <cellStyle name="Comma 2 6 15" xfId="24633" xr:uid="{4708F6DA-9B9C-41CD-A366-97C79035D44D}"/>
    <cellStyle name="Comma 2 6 2" xfId="1886" xr:uid="{00000000-0005-0000-0000-00003B120000}"/>
    <cellStyle name="Comma 2 6 2 10" xfId="1887" xr:uid="{00000000-0005-0000-0000-00003C120000}"/>
    <cellStyle name="Comma 2 6 2 10 2" xfId="9034" xr:uid="{00000000-0005-0000-0000-00003D120000}"/>
    <cellStyle name="Comma 2 6 2 10 2 2" xfId="20580" xr:uid="{D58D9931-5A86-4D9C-8A95-40B4BD9A4262}"/>
    <cellStyle name="Comma 2 6 2 10 2 3" xfId="30996" xr:uid="{1E9E8420-53FB-4AA8-B31C-A5B47C87A49D}"/>
    <cellStyle name="Comma 2 6 2 10 3" xfId="14222" xr:uid="{B16C434C-6A17-48E0-A76F-1946075B530F}"/>
    <cellStyle name="Comma 2 6 2 10 4" xfId="24638" xr:uid="{17F05F2D-39CF-4F1E-8E2F-2B4B52DD8A93}"/>
    <cellStyle name="Comma 2 6 2 11" xfId="9033" xr:uid="{00000000-0005-0000-0000-00003E120000}"/>
    <cellStyle name="Comma 2 6 2 11 2" xfId="20579" xr:uid="{D6E36CED-151F-4B71-95D3-A29585192045}"/>
    <cellStyle name="Comma 2 6 2 11 3" xfId="30995" xr:uid="{7DCB6AC0-5EB9-45BE-BEFC-0C3A2C9A3AD4}"/>
    <cellStyle name="Comma 2 6 2 12" xfId="5707" xr:uid="{00000000-0005-0000-0000-00003F120000}"/>
    <cellStyle name="Comma 2 6 2 12 2" xfId="17293" xr:uid="{C9E46FC6-69E0-4096-B740-D0A73FD33B87}"/>
    <cellStyle name="Comma 2 6 2 12 3" xfId="27709" xr:uid="{6ECA4447-FFDB-4B92-875B-C23F4E16633E}"/>
    <cellStyle name="Comma 2 6 2 13" xfId="14221" xr:uid="{1406A994-DDA6-4010-B811-82B7640FE977}"/>
    <cellStyle name="Comma 2 6 2 14" xfId="24637" xr:uid="{6B4586B2-F4A7-4AA9-A129-E5B4E7E43A87}"/>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2 2 2" xfId="20584" xr:uid="{7D0B37DB-EB7F-4F35-A629-560DCA1B6205}"/>
    <cellStyle name="Comma 2 6 2 2 2 2 2 2 3" xfId="31000" xr:uid="{55297EDF-4ECF-46E1-A35F-48D243289D0C}"/>
    <cellStyle name="Comma 2 6 2 2 2 2 2 3" xfId="14226" xr:uid="{0450DE8A-32C6-4DA9-B12C-4D778D7B362B}"/>
    <cellStyle name="Comma 2 6 2 2 2 2 2 4" xfId="24642" xr:uid="{78ADCBE8-2880-499C-BA1A-9A8F2B1EC58F}"/>
    <cellStyle name="Comma 2 6 2 2 2 2 3" xfId="9037" xr:uid="{00000000-0005-0000-0000-000045120000}"/>
    <cellStyle name="Comma 2 6 2 2 2 2 3 2" xfId="20583" xr:uid="{C08D00C8-6BF3-494D-A900-8C86965B8BC7}"/>
    <cellStyle name="Comma 2 6 2 2 2 2 3 3" xfId="30999" xr:uid="{E126B1C6-9DEE-4920-852B-6D76A6EC1610}"/>
    <cellStyle name="Comma 2 6 2 2 2 2 4" xfId="5710" xr:uid="{00000000-0005-0000-0000-000046120000}"/>
    <cellStyle name="Comma 2 6 2 2 2 2 4 2" xfId="17296" xr:uid="{BA601BC9-C6F1-482A-A130-6AC751366C3C}"/>
    <cellStyle name="Comma 2 6 2 2 2 2 4 3" xfId="27712" xr:uid="{6D575C15-79B2-4BD5-8F05-EBBAE6C8BF3B}"/>
    <cellStyle name="Comma 2 6 2 2 2 2 5" xfId="14225" xr:uid="{7C116188-B6E5-450D-977C-FE9EE00EDA1E}"/>
    <cellStyle name="Comma 2 6 2 2 2 2 6" xfId="24641" xr:uid="{E21907E6-AF84-4BFA-99AD-36EA3AA718B4}"/>
    <cellStyle name="Comma 2 6 2 2 2 3" xfId="1892" xr:uid="{00000000-0005-0000-0000-000047120000}"/>
    <cellStyle name="Comma 2 6 2 2 2 3 2" xfId="9039" xr:uid="{00000000-0005-0000-0000-000048120000}"/>
    <cellStyle name="Comma 2 6 2 2 2 3 2 2" xfId="20585" xr:uid="{A03E4A83-5C4A-457A-ABE8-67DF84425083}"/>
    <cellStyle name="Comma 2 6 2 2 2 3 2 3" xfId="31001" xr:uid="{F0DD79F9-434A-4043-800F-DE7400144C8D}"/>
    <cellStyle name="Comma 2 6 2 2 2 3 3" xfId="14227" xr:uid="{B8D92E1A-8273-4552-8AF1-13F450DA9CEB}"/>
    <cellStyle name="Comma 2 6 2 2 2 3 4" xfId="24643" xr:uid="{312400E9-677F-433D-854F-25746B3740ED}"/>
    <cellStyle name="Comma 2 6 2 2 2 4" xfId="9036" xr:uid="{00000000-0005-0000-0000-000049120000}"/>
    <cellStyle name="Comma 2 6 2 2 2 4 2" xfId="20582" xr:uid="{9CA084A5-51E9-46FC-8205-ACC592413E9A}"/>
    <cellStyle name="Comma 2 6 2 2 2 4 3" xfId="30998" xr:uid="{6C52B90D-8CE1-46B1-A6FC-B66A701EAC39}"/>
    <cellStyle name="Comma 2 6 2 2 2 5" xfId="5709" xr:uid="{00000000-0005-0000-0000-00004A120000}"/>
    <cellStyle name="Comma 2 6 2 2 2 5 2" xfId="17295" xr:uid="{4ED28C02-5DF1-47EC-B794-8295A5B3671F}"/>
    <cellStyle name="Comma 2 6 2 2 2 5 3" xfId="27711" xr:uid="{79ABBE89-93B9-40DF-AEAE-77D28B6CDF6B}"/>
    <cellStyle name="Comma 2 6 2 2 2 6" xfId="14224" xr:uid="{820CCC48-C563-4E8E-BB47-61B347E26FB4}"/>
    <cellStyle name="Comma 2 6 2 2 2 7" xfId="24640" xr:uid="{59707D26-F65A-423C-83FE-B4BB7E2025EE}"/>
    <cellStyle name="Comma 2 6 2 2 3" xfId="1893" xr:uid="{00000000-0005-0000-0000-00004B120000}"/>
    <cellStyle name="Comma 2 6 2 2 3 2" xfId="1894" xr:uid="{00000000-0005-0000-0000-00004C120000}"/>
    <cellStyle name="Comma 2 6 2 2 3 2 2" xfId="9041" xr:uid="{00000000-0005-0000-0000-00004D120000}"/>
    <cellStyle name="Comma 2 6 2 2 3 2 2 2" xfId="20587" xr:uid="{2217CA0A-891D-4640-A06A-0949A2C297CF}"/>
    <cellStyle name="Comma 2 6 2 2 3 2 2 3" xfId="31003" xr:uid="{900A6BB1-A86E-4544-AA1F-1C7E10016924}"/>
    <cellStyle name="Comma 2 6 2 2 3 2 3" xfId="14229" xr:uid="{16418385-679B-4D9A-A0C4-1D3A2051C88B}"/>
    <cellStyle name="Comma 2 6 2 2 3 2 4" xfId="24645" xr:uid="{E818A97F-FDFF-406A-84A4-211ED8C8885A}"/>
    <cellStyle name="Comma 2 6 2 2 3 3" xfId="9040" xr:uid="{00000000-0005-0000-0000-00004E120000}"/>
    <cellStyle name="Comma 2 6 2 2 3 3 2" xfId="20586" xr:uid="{10F244FD-47D3-4893-88E4-C062E141966D}"/>
    <cellStyle name="Comma 2 6 2 2 3 3 3" xfId="31002" xr:uid="{B9CA2B66-516F-4515-A128-7ABA4485E0A3}"/>
    <cellStyle name="Comma 2 6 2 2 3 4" xfId="5711" xr:uid="{00000000-0005-0000-0000-00004F120000}"/>
    <cellStyle name="Comma 2 6 2 2 3 4 2" xfId="17297" xr:uid="{65183FA0-3BA4-4135-A452-4E27C2BD0692}"/>
    <cellStyle name="Comma 2 6 2 2 3 4 3" xfId="27713" xr:uid="{3AA8483F-838B-4D89-AF79-E2A779E9BC29}"/>
    <cellStyle name="Comma 2 6 2 2 3 5" xfId="14228" xr:uid="{9954BF68-6EF5-4781-9764-EE23A188839B}"/>
    <cellStyle name="Comma 2 6 2 2 3 6" xfId="24644" xr:uid="{3215919A-9C92-45C9-B13E-15822636AADA}"/>
    <cellStyle name="Comma 2 6 2 2 4" xfId="1895" xr:uid="{00000000-0005-0000-0000-000050120000}"/>
    <cellStyle name="Comma 2 6 2 2 4 2" xfId="1896" xr:uid="{00000000-0005-0000-0000-000051120000}"/>
    <cellStyle name="Comma 2 6 2 2 4 2 2" xfId="9043" xr:uid="{00000000-0005-0000-0000-000052120000}"/>
    <cellStyle name="Comma 2 6 2 2 4 2 2 2" xfId="20589" xr:uid="{C8E1D552-AE64-44AA-AC31-EBA0BAE30CD3}"/>
    <cellStyle name="Comma 2 6 2 2 4 2 2 3" xfId="31005" xr:uid="{6850EDEE-6696-4D01-A65F-C6028420EE78}"/>
    <cellStyle name="Comma 2 6 2 2 4 2 3" xfId="14231" xr:uid="{D5402088-57E8-4A7C-99E4-96B56C76672E}"/>
    <cellStyle name="Comma 2 6 2 2 4 2 4" xfId="24647" xr:uid="{0E7C108D-E05C-4D31-AA00-5A6AF6124CFE}"/>
    <cellStyle name="Comma 2 6 2 2 4 3" xfId="9042" xr:uid="{00000000-0005-0000-0000-000053120000}"/>
    <cellStyle name="Comma 2 6 2 2 4 3 2" xfId="20588" xr:uid="{4CA87E76-C3BA-4231-93A4-284AF82871A5}"/>
    <cellStyle name="Comma 2 6 2 2 4 3 3" xfId="31004" xr:uid="{A0FD1DC6-5F6C-43CF-BE6B-76D81CFCE963}"/>
    <cellStyle name="Comma 2 6 2 2 4 4" xfId="5712" xr:uid="{00000000-0005-0000-0000-000054120000}"/>
    <cellStyle name="Comma 2 6 2 2 4 4 2" xfId="17298" xr:uid="{1699B4FD-4A8B-4997-AF5C-AFB5B1113C2E}"/>
    <cellStyle name="Comma 2 6 2 2 4 4 3" xfId="27714" xr:uid="{C8BDFC5F-83EF-4F21-804D-0480C9A9ABB0}"/>
    <cellStyle name="Comma 2 6 2 2 4 5" xfId="14230" xr:uid="{1327D989-5CE4-413C-B2DA-012046D6D4A9}"/>
    <cellStyle name="Comma 2 6 2 2 4 6" xfId="24646" xr:uid="{A004A457-AE64-416F-8B61-C3CC6EA5AA1A}"/>
    <cellStyle name="Comma 2 6 2 2 5" xfId="1897" xr:uid="{00000000-0005-0000-0000-000055120000}"/>
    <cellStyle name="Comma 2 6 2 2 5 2" xfId="9044" xr:uid="{00000000-0005-0000-0000-000056120000}"/>
    <cellStyle name="Comma 2 6 2 2 5 2 2" xfId="20590" xr:uid="{EFC3449E-B8D1-4630-9B4F-82662480B84B}"/>
    <cellStyle name="Comma 2 6 2 2 5 2 3" xfId="31006" xr:uid="{02CF64D7-A8BC-445A-8B3A-4B74374536DD}"/>
    <cellStyle name="Comma 2 6 2 2 5 3" xfId="14232" xr:uid="{E0241555-64D0-47DE-8F1E-31DA18553B84}"/>
    <cellStyle name="Comma 2 6 2 2 5 4" xfId="24648" xr:uid="{ABF12F6A-C006-494B-9285-8C24464E9C4E}"/>
    <cellStyle name="Comma 2 6 2 2 6" xfId="9035" xr:uid="{00000000-0005-0000-0000-000057120000}"/>
    <cellStyle name="Comma 2 6 2 2 6 2" xfId="20581" xr:uid="{537938B3-7BE8-4C0E-B00A-1F3930E75339}"/>
    <cellStyle name="Comma 2 6 2 2 6 3" xfId="30997" xr:uid="{0DCE8958-0322-4CB2-BBC0-C8887A8BF5E0}"/>
    <cellStyle name="Comma 2 6 2 2 7" xfId="5708" xr:uid="{00000000-0005-0000-0000-000058120000}"/>
    <cellStyle name="Comma 2 6 2 2 7 2" xfId="17294" xr:uid="{407B7018-9691-4564-956C-7A37C4A5B796}"/>
    <cellStyle name="Comma 2 6 2 2 7 3" xfId="27710" xr:uid="{BC3B69FD-B9D1-4612-9B51-1AA9958AE231}"/>
    <cellStyle name="Comma 2 6 2 2 8" xfId="14223" xr:uid="{83183BCE-6637-4B06-BAC5-3D0009DEB9A3}"/>
    <cellStyle name="Comma 2 6 2 2 9" xfId="24639" xr:uid="{726E5BD6-9013-4457-99B4-0B7B496411D8}"/>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2 2 2" xfId="20594" xr:uid="{D89F52AF-8DC2-4D2A-94E1-CFD7296FCF68}"/>
    <cellStyle name="Comma 2 6 2 3 2 2 2 2 3" xfId="31010" xr:uid="{CA79B643-7E59-4EB9-9B18-5C7CF05BC1FC}"/>
    <cellStyle name="Comma 2 6 2 3 2 2 2 3" xfId="14236" xr:uid="{7BE2893F-DEBB-45E5-A60A-D533A54556CE}"/>
    <cellStyle name="Comma 2 6 2 3 2 2 2 4" xfId="24652" xr:uid="{F8FC575A-F9C1-468C-B6AE-970650EE8EBF}"/>
    <cellStyle name="Comma 2 6 2 3 2 2 3" xfId="9047" xr:uid="{00000000-0005-0000-0000-00005E120000}"/>
    <cellStyle name="Comma 2 6 2 3 2 2 3 2" xfId="20593" xr:uid="{E840D8BC-297C-4947-A44D-D22AA508E8C3}"/>
    <cellStyle name="Comma 2 6 2 3 2 2 3 3" xfId="31009" xr:uid="{BE60B076-357F-4500-BD41-E59BA034EA37}"/>
    <cellStyle name="Comma 2 6 2 3 2 2 4" xfId="5715" xr:uid="{00000000-0005-0000-0000-00005F120000}"/>
    <cellStyle name="Comma 2 6 2 3 2 2 4 2" xfId="17301" xr:uid="{EBAF7B03-9BB7-4D0A-BD14-2D42B814E402}"/>
    <cellStyle name="Comma 2 6 2 3 2 2 4 3" xfId="27717" xr:uid="{CF8ADC28-8CA6-48E4-9778-9DC56EB7958A}"/>
    <cellStyle name="Comma 2 6 2 3 2 2 5" xfId="14235" xr:uid="{8A7802EE-825E-46FD-8F31-556D426CC25D}"/>
    <cellStyle name="Comma 2 6 2 3 2 2 6" xfId="24651" xr:uid="{F5C3A2F2-B7CE-4A61-9B2C-12A53D529467}"/>
    <cellStyle name="Comma 2 6 2 3 2 3" xfId="1902" xr:uid="{00000000-0005-0000-0000-000060120000}"/>
    <cellStyle name="Comma 2 6 2 3 2 3 2" xfId="9049" xr:uid="{00000000-0005-0000-0000-000061120000}"/>
    <cellStyle name="Comma 2 6 2 3 2 3 2 2" xfId="20595" xr:uid="{67E24B30-BC1B-475D-8E83-5C7A12160017}"/>
    <cellStyle name="Comma 2 6 2 3 2 3 2 3" xfId="31011" xr:uid="{EE9E8999-412A-4CC5-96FB-4C81E8358E35}"/>
    <cellStyle name="Comma 2 6 2 3 2 3 3" xfId="14237" xr:uid="{573DFC84-B28E-4CE5-8C7E-4616CE1367A8}"/>
    <cellStyle name="Comma 2 6 2 3 2 3 4" xfId="24653" xr:uid="{0A28BD18-357E-4105-B068-B2934613E19E}"/>
    <cellStyle name="Comma 2 6 2 3 2 4" xfId="9046" xr:uid="{00000000-0005-0000-0000-000062120000}"/>
    <cellStyle name="Comma 2 6 2 3 2 4 2" xfId="20592" xr:uid="{BA949399-D730-428F-AA5B-237A2D9A993A}"/>
    <cellStyle name="Comma 2 6 2 3 2 4 3" xfId="31008" xr:uid="{EB48BFFD-D000-443A-8234-A667E2CA3482}"/>
    <cellStyle name="Comma 2 6 2 3 2 5" xfId="5714" xr:uid="{00000000-0005-0000-0000-000063120000}"/>
    <cellStyle name="Comma 2 6 2 3 2 5 2" xfId="17300" xr:uid="{DB3F45C6-1F46-47FD-B301-A035689C739A}"/>
    <cellStyle name="Comma 2 6 2 3 2 5 3" xfId="27716" xr:uid="{7BCDDECC-39C4-450C-B561-DBAD4972BB59}"/>
    <cellStyle name="Comma 2 6 2 3 2 6" xfId="14234" xr:uid="{41EF8F0C-15AC-4269-B49A-88B7B043D2CD}"/>
    <cellStyle name="Comma 2 6 2 3 2 7" xfId="24650" xr:uid="{3A14CDCF-4F09-4188-8C23-8420EB52A935}"/>
    <cellStyle name="Comma 2 6 2 3 3" xfId="1903" xr:uid="{00000000-0005-0000-0000-000064120000}"/>
    <cellStyle name="Comma 2 6 2 3 3 2" xfId="1904" xr:uid="{00000000-0005-0000-0000-000065120000}"/>
    <cellStyle name="Comma 2 6 2 3 3 2 2" xfId="9051" xr:uid="{00000000-0005-0000-0000-000066120000}"/>
    <cellStyle name="Comma 2 6 2 3 3 2 2 2" xfId="20597" xr:uid="{D6148304-5BA8-441F-B470-A8C0581143BD}"/>
    <cellStyle name="Comma 2 6 2 3 3 2 2 3" xfId="31013" xr:uid="{E8DBB6D6-A68C-4665-BB01-0F38662EA260}"/>
    <cellStyle name="Comma 2 6 2 3 3 2 3" xfId="14239" xr:uid="{92419AF7-FD44-4880-9453-6FB5F7B643BA}"/>
    <cellStyle name="Comma 2 6 2 3 3 2 4" xfId="24655" xr:uid="{A47853DF-5F94-407E-8DDB-78FC9005D1DB}"/>
    <cellStyle name="Comma 2 6 2 3 3 3" xfId="9050" xr:uid="{00000000-0005-0000-0000-000067120000}"/>
    <cellStyle name="Comma 2 6 2 3 3 3 2" xfId="20596" xr:uid="{CCBA3159-7223-4DFF-81CC-DB4250685BB6}"/>
    <cellStyle name="Comma 2 6 2 3 3 3 3" xfId="31012" xr:uid="{465289E5-7F0E-4DAF-B46B-9B91EAD88AA7}"/>
    <cellStyle name="Comma 2 6 2 3 3 4" xfId="5716" xr:uid="{00000000-0005-0000-0000-000068120000}"/>
    <cellStyle name="Comma 2 6 2 3 3 4 2" xfId="17302" xr:uid="{6F9FE505-0FC8-4C4A-A78B-A94D45D4E6DE}"/>
    <cellStyle name="Comma 2 6 2 3 3 4 3" xfId="27718" xr:uid="{9ACE9135-3FD0-4641-AC57-E075DCF49B76}"/>
    <cellStyle name="Comma 2 6 2 3 3 5" xfId="14238" xr:uid="{C211AB36-66DF-46B9-9923-D856F520A536}"/>
    <cellStyle name="Comma 2 6 2 3 3 6" xfId="24654" xr:uid="{3805CDD6-3B4E-40F6-983E-097589F3E315}"/>
    <cellStyle name="Comma 2 6 2 3 4" xfId="1905" xr:uid="{00000000-0005-0000-0000-000069120000}"/>
    <cellStyle name="Comma 2 6 2 3 4 2" xfId="1906" xr:uid="{00000000-0005-0000-0000-00006A120000}"/>
    <cellStyle name="Comma 2 6 2 3 4 2 2" xfId="9053" xr:uid="{00000000-0005-0000-0000-00006B120000}"/>
    <cellStyle name="Comma 2 6 2 3 4 2 2 2" xfId="20599" xr:uid="{3A9411F5-0A0D-4F6C-8AFE-C1EB51CA3A24}"/>
    <cellStyle name="Comma 2 6 2 3 4 2 2 3" xfId="31015" xr:uid="{AE1916D4-C262-4150-A375-DD2406E965ED}"/>
    <cellStyle name="Comma 2 6 2 3 4 2 3" xfId="14241" xr:uid="{9F0C44F1-DCF3-4781-9014-CC1C1C7392E6}"/>
    <cellStyle name="Comma 2 6 2 3 4 2 4" xfId="24657" xr:uid="{526D203C-9C4B-4249-B3F6-878D1C65E233}"/>
    <cellStyle name="Comma 2 6 2 3 4 3" xfId="9052" xr:uid="{00000000-0005-0000-0000-00006C120000}"/>
    <cellStyle name="Comma 2 6 2 3 4 3 2" xfId="20598" xr:uid="{1D612FC2-DEE6-4B02-8D16-CC78246F2D04}"/>
    <cellStyle name="Comma 2 6 2 3 4 3 3" xfId="31014" xr:uid="{9EDC2E00-1E19-4DF4-A5EB-5BAADD9AB159}"/>
    <cellStyle name="Comma 2 6 2 3 4 4" xfId="5717" xr:uid="{00000000-0005-0000-0000-00006D120000}"/>
    <cellStyle name="Comma 2 6 2 3 4 4 2" xfId="17303" xr:uid="{7C64BBB5-6F57-4B9F-97E9-1C3E33F09D7F}"/>
    <cellStyle name="Comma 2 6 2 3 4 4 3" xfId="27719" xr:uid="{6B90991D-6576-4629-8CEB-32C1662BAC25}"/>
    <cellStyle name="Comma 2 6 2 3 4 5" xfId="14240" xr:uid="{E245FEF3-CEBD-4261-8DF1-709C23719EBE}"/>
    <cellStyle name="Comma 2 6 2 3 4 6" xfId="24656" xr:uid="{91806733-A1A4-4B0E-A880-75A08493DACB}"/>
    <cellStyle name="Comma 2 6 2 3 5" xfId="1907" xr:uid="{00000000-0005-0000-0000-00006E120000}"/>
    <cellStyle name="Comma 2 6 2 3 5 2" xfId="9054" xr:uid="{00000000-0005-0000-0000-00006F120000}"/>
    <cellStyle name="Comma 2 6 2 3 5 2 2" xfId="20600" xr:uid="{2E7CED02-43A7-49E3-826F-54B3AF3C18A4}"/>
    <cellStyle name="Comma 2 6 2 3 5 2 3" xfId="31016" xr:uid="{752247C5-222A-4D67-8F47-F62661C87162}"/>
    <cellStyle name="Comma 2 6 2 3 5 3" xfId="14242" xr:uid="{92DB6C7A-6409-4976-B7DB-B7BB2B141168}"/>
    <cellStyle name="Comma 2 6 2 3 5 4" xfId="24658" xr:uid="{4BAC85E2-977F-4136-BF52-08A41DF58813}"/>
    <cellStyle name="Comma 2 6 2 3 6" xfId="9045" xr:uid="{00000000-0005-0000-0000-000070120000}"/>
    <cellStyle name="Comma 2 6 2 3 6 2" xfId="20591" xr:uid="{FC6BA610-6A13-46C9-A53B-F53651926D46}"/>
    <cellStyle name="Comma 2 6 2 3 6 3" xfId="31007" xr:uid="{50F0DDF6-A009-4630-AE68-81C189B378BA}"/>
    <cellStyle name="Comma 2 6 2 3 7" xfId="5713" xr:uid="{00000000-0005-0000-0000-000071120000}"/>
    <cellStyle name="Comma 2 6 2 3 7 2" xfId="17299" xr:uid="{459675BD-B588-4305-A907-412E52193B6C}"/>
    <cellStyle name="Comma 2 6 2 3 7 3" xfId="27715" xr:uid="{02A84BFF-EE9A-416E-B55D-A8F990A5BC41}"/>
    <cellStyle name="Comma 2 6 2 3 8" xfId="14233" xr:uid="{69759D27-2FAA-4413-AE05-49630FBD1E7C}"/>
    <cellStyle name="Comma 2 6 2 3 9" xfId="24649" xr:uid="{02FBE669-D9D6-4B9F-826F-E5CBE98C02F9}"/>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2 2 2" xfId="20604" xr:uid="{CFDF4F8B-7E5E-47EA-8D5F-3BE2FE5592B1}"/>
    <cellStyle name="Comma 2 6 2 4 2 2 2 2 3" xfId="31020" xr:uid="{C4397377-31FD-4CBB-82DC-D22C2E969028}"/>
    <cellStyle name="Comma 2 6 2 4 2 2 2 3" xfId="14246" xr:uid="{82402A68-1936-455F-B0FA-A585AD1EB185}"/>
    <cellStyle name="Comma 2 6 2 4 2 2 2 4" xfId="24662" xr:uid="{27A4604D-FB7E-4D60-AE47-5EBBB2FAD5C1}"/>
    <cellStyle name="Comma 2 6 2 4 2 2 3" xfId="9057" xr:uid="{00000000-0005-0000-0000-000077120000}"/>
    <cellStyle name="Comma 2 6 2 4 2 2 3 2" xfId="20603" xr:uid="{39928CF9-FF98-4C85-9032-FB89A3AF7CC4}"/>
    <cellStyle name="Comma 2 6 2 4 2 2 3 3" xfId="31019" xr:uid="{C26BE01A-F33B-4DAB-8F5D-09DD586E93BC}"/>
    <cellStyle name="Comma 2 6 2 4 2 2 4" xfId="5720" xr:uid="{00000000-0005-0000-0000-000078120000}"/>
    <cellStyle name="Comma 2 6 2 4 2 2 4 2" xfId="17306" xr:uid="{3FF5BD19-2A3E-4072-BB24-1C7878A28C78}"/>
    <cellStyle name="Comma 2 6 2 4 2 2 4 3" xfId="27722" xr:uid="{D5F1DE06-FE16-44FF-97EA-7138FBEA729A}"/>
    <cellStyle name="Comma 2 6 2 4 2 2 5" xfId="14245" xr:uid="{7D488AE3-961B-44F6-AF87-0F782883D2F2}"/>
    <cellStyle name="Comma 2 6 2 4 2 2 6" xfId="24661" xr:uid="{5EDB7D3C-7405-432B-80AC-F9C4E19A0A98}"/>
    <cellStyle name="Comma 2 6 2 4 2 3" xfId="1912" xr:uid="{00000000-0005-0000-0000-000079120000}"/>
    <cellStyle name="Comma 2 6 2 4 2 3 2" xfId="9059" xr:uid="{00000000-0005-0000-0000-00007A120000}"/>
    <cellStyle name="Comma 2 6 2 4 2 3 2 2" xfId="20605" xr:uid="{BB430A7C-9699-47C8-AAB2-0DB4ED3DDD0D}"/>
    <cellStyle name="Comma 2 6 2 4 2 3 2 3" xfId="31021" xr:uid="{4F50E387-D90F-4257-B188-48D631EDA9D5}"/>
    <cellStyle name="Comma 2 6 2 4 2 3 3" xfId="14247" xr:uid="{228D413A-05EE-4DDF-941F-7E894CEE3304}"/>
    <cellStyle name="Comma 2 6 2 4 2 3 4" xfId="24663" xr:uid="{E258F184-8B83-469A-A3EE-8E496D5A8AA1}"/>
    <cellStyle name="Comma 2 6 2 4 2 4" xfId="9056" xr:uid="{00000000-0005-0000-0000-00007B120000}"/>
    <cellStyle name="Comma 2 6 2 4 2 4 2" xfId="20602" xr:uid="{4C8C59B0-0951-44B3-849A-B63E1FA571A8}"/>
    <cellStyle name="Comma 2 6 2 4 2 4 3" xfId="31018" xr:uid="{4EA69497-47FC-4087-8317-20926ED1C335}"/>
    <cellStyle name="Comma 2 6 2 4 2 5" xfId="5719" xr:uid="{00000000-0005-0000-0000-00007C120000}"/>
    <cellStyle name="Comma 2 6 2 4 2 5 2" xfId="17305" xr:uid="{C94551C9-7177-40EC-997A-BF289EF62D83}"/>
    <cellStyle name="Comma 2 6 2 4 2 5 3" xfId="27721" xr:uid="{96E88F75-6DA1-4082-B25C-01CB3E6795D8}"/>
    <cellStyle name="Comma 2 6 2 4 2 6" xfId="14244" xr:uid="{4619B514-997F-40DB-B1DF-57E13B82B6C6}"/>
    <cellStyle name="Comma 2 6 2 4 2 7" xfId="24660" xr:uid="{B087E0EF-F965-453F-9938-E0FC0CA52336}"/>
    <cellStyle name="Comma 2 6 2 4 3" xfId="1913" xr:uid="{00000000-0005-0000-0000-00007D120000}"/>
    <cellStyle name="Comma 2 6 2 4 3 2" xfId="1914" xr:uid="{00000000-0005-0000-0000-00007E120000}"/>
    <cellStyle name="Comma 2 6 2 4 3 2 2" xfId="9061" xr:uid="{00000000-0005-0000-0000-00007F120000}"/>
    <cellStyle name="Comma 2 6 2 4 3 2 2 2" xfId="20607" xr:uid="{DC80D8AA-83EC-41CD-A7A4-29AFF329A630}"/>
    <cellStyle name="Comma 2 6 2 4 3 2 2 3" xfId="31023" xr:uid="{1A89D9B3-07F6-48AE-B1CD-9DA87966C589}"/>
    <cellStyle name="Comma 2 6 2 4 3 2 3" xfId="14249" xr:uid="{87A33A3C-93CA-46C4-8927-869A1ECC1349}"/>
    <cellStyle name="Comma 2 6 2 4 3 2 4" xfId="24665" xr:uid="{CA627E3A-B39E-4BAB-BC46-7F0F11924065}"/>
    <cellStyle name="Comma 2 6 2 4 3 3" xfId="9060" xr:uid="{00000000-0005-0000-0000-000080120000}"/>
    <cellStyle name="Comma 2 6 2 4 3 3 2" xfId="20606" xr:uid="{EEC82E3A-D5E6-4F19-89F5-B405680899E8}"/>
    <cellStyle name="Comma 2 6 2 4 3 3 3" xfId="31022" xr:uid="{5D977182-1C99-4CFD-9EDC-4E72F0411B46}"/>
    <cellStyle name="Comma 2 6 2 4 3 4" xfId="5721" xr:uid="{00000000-0005-0000-0000-000081120000}"/>
    <cellStyle name="Comma 2 6 2 4 3 4 2" xfId="17307" xr:uid="{4828DA5B-24AB-49EB-BC4F-1CE081F84182}"/>
    <cellStyle name="Comma 2 6 2 4 3 4 3" xfId="27723" xr:uid="{6523A1FB-33E2-4704-BE88-6868178701D8}"/>
    <cellStyle name="Comma 2 6 2 4 3 5" xfId="14248" xr:uid="{BDC835F6-3FB2-4330-8F45-AE855A47543B}"/>
    <cellStyle name="Comma 2 6 2 4 3 6" xfId="24664" xr:uid="{9BE9AE18-0F7C-4D3A-A3B0-3AE2E8C6F3F4}"/>
    <cellStyle name="Comma 2 6 2 4 4" xfId="1915" xr:uid="{00000000-0005-0000-0000-000082120000}"/>
    <cellStyle name="Comma 2 6 2 4 4 2" xfId="1916" xr:uid="{00000000-0005-0000-0000-000083120000}"/>
    <cellStyle name="Comma 2 6 2 4 4 2 2" xfId="9063" xr:uid="{00000000-0005-0000-0000-000084120000}"/>
    <cellStyle name="Comma 2 6 2 4 4 2 2 2" xfId="20609" xr:uid="{CE5E4533-9BE6-4BEF-919D-ED8ECA982D72}"/>
    <cellStyle name="Comma 2 6 2 4 4 2 2 3" xfId="31025" xr:uid="{6FC2383E-49EA-4FE2-9A43-FA5C26556809}"/>
    <cellStyle name="Comma 2 6 2 4 4 2 3" xfId="14251" xr:uid="{21ED7F94-A397-45CE-BFD7-A0F5A9AE0343}"/>
    <cellStyle name="Comma 2 6 2 4 4 2 4" xfId="24667" xr:uid="{6D8CFE3A-0921-42D8-ACAE-E73427684BC7}"/>
    <cellStyle name="Comma 2 6 2 4 4 3" xfId="9062" xr:uid="{00000000-0005-0000-0000-000085120000}"/>
    <cellStyle name="Comma 2 6 2 4 4 3 2" xfId="20608" xr:uid="{2CD1E103-9209-4313-9665-4F28A2ECAC36}"/>
    <cellStyle name="Comma 2 6 2 4 4 3 3" xfId="31024" xr:uid="{C30EA201-761D-44BA-BCC5-7DAED3127ACC}"/>
    <cellStyle name="Comma 2 6 2 4 4 4" xfId="5722" xr:uid="{00000000-0005-0000-0000-000086120000}"/>
    <cellStyle name="Comma 2 6 2 4 4 4 2" xfId="17308" xr:uid="{3AC58BDA-540B-4297-BBBE-A9B29B93BF2A}"/>
    <cellStyle name="Comma 2 6 2 4 4 4 3" xfId="27724" xr:uid="{3679C477-4F44-47F2-86A4-70FD587F2581}"/>
    <cellStyle name="Comma 2 6 2 4 4 5" xfId="14250" xr:uid="{7FBADAB4-8AFE-4CA4-A13D-147B39FEB4D2}"/>
    <cellStyle name="Comma 2 6 2 4 4 6" xfId="24666" xr:uid="{B056168A-154A-41C9-BC2A-67195BE2D48F}"/>
    <cellStyle name="Comma 2 6 2 4 5" xfId="1917" xr:uid="{00000000-0005-0000-0000-000087120000}"/>
    <cellStyle name="Comma 2 6 2 4 5 2" xfId="9064" xr:uid="{00000000-0005-0000-0000-000088120000}"/>
    <cellStyle name="Comma 2 6 2 4 5 2 2" xfId="20610" xr:uid="{BADEBCD3-048F-4E74-916E-7317DD0D400F}"/>
    <cellStyle name="Comma 2 6 2 4 5 2 3" xfId="31026" xr:uid="{78B07400-4936-47A5-AF90-E2AFBF62E5B8}"/>
    <cellStyle name="Comma 2 6 2 4 5 3" xfId="14252" xr:uid="{B501421A-1041-48D2-B816-E954DADEF85C}"/>
    <cellStyle name="Comma 2 6 2 4 5 4" xfId="24668" xr:uid="{EF92F534-8B6D-47BA-9639-12AED0B26E4A}"/>
    <cellStyle name="Comma 2 6 2 4 6" xfId="9055" xr:uid="{00000000-0005-0000-0000-000089120000}"/>
    <cellStyle name="Comma 2 6 2 4 6 2" xfId="20601" xr:uid="{882D4262-9F78-4A22-AA27-0EE15C18578A}"/>
    <cellStyle name="Comma 2 6 2 4 6 3" xfId="31017" xr:uid="{F90A01A6-3A89-462F-B434-F0658AD2EA0B}"/>
    <cellStyle name="Comma 2 6 2 4 7" xfId="5718" xr:uid="{00000000-0005-0000-0000-00008A120000}"/>
    <cellStyle name="Comma 2 6 2 4 7 2" xfId="17304" xr:uid="{5566D67F-36D3-43AB-90CD-B04239E61428}"/>
    <cellStyle name="Comma 2 6 2 4 7 3" xfId="27720" xr:uid="{AEB2838D-2C59-4C93-9AE0-57C51D750A00}"/>
    <cellStyle name="Comma 2 6 2 4 8" xfId="14243" xr:uid="{F0257363-67BC-44AF-B29B-901E86BCB50C}"/>
    <cellStyle name="Comma 2 6 2 4 9" xfId="24659" xr:uid="{B23BAD46-E366-443E-86F7-D8C766166DED}"/>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2 2 2" xfId="20614" xr:uid="{F943B301-4B5D-485B-ADCF-9CC8DD8FA8AA}"/>
    <cellStyle name="Comma 2 6 2 5 2 2 2 2 3" xfId="31030" xr:uid="{924FCAE6-6BF3-43A1-998D-0382C50B25DD}"/>
    <cellStyle name="Comma 2 6 2 5 2 2 2 3" xfId="14256" xr:uid="{0C139595-18A5-4F75-8A62-EE586F2218B7}"/>
    <cellStyle name="Comma 2 6 2 5 2 2 2 4" xfId="24672" xr:uid="{154A5F87-BEB1-43DF-94C2-7BB7BD7D2328}"/>
    <cellStyle name="Comma 2 6 2 5 2 2 3" xfId="9067" xr:uid="{00000000-0005-0000-0000-000090120000}"/>
    <cellStyle name="Comma 2 6 2 5 2 2 3 2" xfId="20613" xr:uid="{E7EC535F-FC74-4221-842E-D52938ADC507}"/>
    <cellStyle name="Comma 2 6 2 5 2 2 3 3" xfId="31029" xr:uid="{4E89F4EC-FC41-41DE-BB0C-8877C3282A37}"/>
    <cellStyle name="Comma 2 6 2 5 2 2 4" xfId="5725" xr:uid="{00000000-0005-0000-0000-000091120000}"/>
    <cellStyle name="Comma 2 6 2 5 2 2 4 2" xfId="17311" xr:uid="{86FF5674-7E4D-4CC4-8AC9-F86862221DD1}"/>
    <cellStyle name="Comma 2 6 2 5 2 2 4 3" xfId="27727" xr:uid="{784CF969-4A3B-4690-91B2-62AC7B15E4D1}"/>
    <cellStyle name="Comma 2 6 2 5 2 2 5" xfId="14255" xr:uid="{8B02B53C-0AFF-4DE8-8CCC-AE03D4A689D9}"/>
    <cellStyle name="Comma 2 6 2 5 2 2 6" xfId="24671" xr:uid="{B7B725AA-B297-4997-872B-F0B2F1C8C59D}"/>
    <cellStyle name="Comma 2 6 2 5 2 3" xfId="1922" xr:uid="{00000000-0005-0000-0000-000092120000}"/>
    <cellStyle name="Comma 2 6 2 5 2 3 2" xfId="9069" xr:uid="{00000000-0005-0000-0000-000093120000}"/>
    <cellStyle name="Comma 2 6 2 5 2 3 2 2" xfId="20615" xr:uid="{EEB069DC-13A0-44F6-BCCD-D8A197B66C00}"/>
    <cellStyle name="Comma 2 6 2 5 2 3 2 3" xfId="31031" xr:uid="{7690E88E-9763-43B7-AABC-8D6F846F7A6A}"/>
    <cellStyle name="Comma 2 6 2 5 2 3 3" xfId="14257" xr:uid="{99CA09EB-50B4-470D-8E09-1183F4C9429F}"/>
    <cellStyle name="Comma 2 6 2 5 2 3 4" xfId="24673" xr:uid="{448F9E0A-7BFC-43BB-886F-FB131C0670D4}"/>
    <cellStyle name="Comma 2 6 2 5 2 4" xfId="9066" xr:uid="{00000000-0005-0000-0000-000094120000}"/>
    <cellStyle name="Comma 2 6 2 5 2 4 2" xfId="20612" xr:uid="{0FEC10B4-4B91-4BA7-9040-A18272E60F6A}"/>
    <cellStyle name="Comma 2 6 2 5 2 4 3" xfId="31028" xr:uid="{88DF9B04-E598-4279-ADCE-DF0A7A4E830F}"/>
    <cellStyle name="Comma 2 6 2 5 2 5" xfId="5724" xr:uid="{00000000-0005-0000-0000-000095120000}"/>
    <cellStyle name="Comma 2 6 2 5 2 5 2" xfId="17310" xr:uid="{512FEC9D-5515-4679-9602-A5D3EE54F9FC}"/>
    <cellStyle name="Comma 2 6 2 5 2 5 3" xfId="27726" xr:uid="{5866565F-A40B-4EBF-B2DF-D23B99147FC3}"/>
    <cellStyle name="Comma 2 6 2 5 2 6" xfId="14254" xr:uid="{687EA8E2-34D0-40EA-8DD7-1D8F148C5AB6}"/>
    <cellStyle name="Comma 2 6 2 5 2 7" xfId="24670" xr:uid="{6A077105-D0E3-47B3-B99B-83C49EC76303}"/>
    <cellStyle name="Comma 2 6 2 5 3" xfId="1923" xr:uid="{00000000-0005-0000-0000-000096120000}"/>
    <cellStyle name="Comma 2 6 2 5 3 2" xfId="1924" xr:uid="{00000000-0005-0000-0000-000097120000}"/>
    <cellStyle name="Comma 2 6 2 5 3 2 2" xfId="9071" xr:uid="{00000000-0005-0000-0000-000098120000}"/>
    <cellStyle name="Comma 2 6 2 5 3 2 2 2" xfId="20617" xr:uid="{B30E48D3-06E3-467F-B3DC-AD9E52A23B3D}"/>
    <cellStyle name="Comma 2 6 2 5 3 2 2 3" xfId="31033" xr:uid="{83DD3F80-4513-4FEA-97FA-BCF5AEEC9E58}"/>
    <cellStyle name="Comma 2 6 2 5 3 2 3" xfId="14259" xr:uid="{3E95FA9C-FA64-4955-9C86-4F036C9A6D28}"/>
    <cellStyle name="Comma 2 6 2 5 3 2 4" xfId="24675" xr:uid="{AA40BD42-4DA3-4B60-9A79-EE7344388354}"/>
    <cellStyle name="Comma 2 6 2 5 3 3" xfId="9070" xr:uid="{00000000-0005-0000-0000-000099120000}"/>
    <cellStyle name="Comma 2 6 2 5 3 3 2" xfId="20616" xr:uid="{890DB6AF-37EF-422E-86CD-C0F4DAE8CF95}"/>
    <cellStyle name="Comma 2 6 2 5 3 3 3" xfId="31032" xr:uid="{365D24D9-4A91-4856-BB4D-6A2778170DD6}"/>
    <cellStyle name="Comma 2 6 2 5 3 4" xfId="5726" xr:uid="{00000000-0005-0000-0000-00009A120000}"/>
    <cellStyle name="Comma 2 6 2 5 3 4 2" xfId="17312" xr:uid="{EA511A3A-A2F0-43AA-907F-D6E889021173}"/>
    <cellStyle name="Comma 2 6 2 5 3 4 3" xfId="27728" xr:uid="{3DDE14C4-7DDA-4E58-8143-DF3C08A3FAEE}"/>
    <cellStyle name="Comma 2 6 2 5 3 5" xfId="14258" xr:uid="{E2519E3F-DE09-4F37-9351-83B7BE318719}"/>
    <cellStyle name="Comma 2 6 2 5 3 6" xfId="24674" xr:uid="{8E06B938-5596-4E58-89FC-6386B2A18441}"/>
    <cellStyle name="Comma 2 6 2 5 4" xfId="1925" xr:uid="{00000000-0005-0000-0000-00009B120000}"/>
    <cellStyle name="Comma 2 6 2 5 4 2" xfId="1926" xr:uid="{00000000-0005-0000-0000-00009C120000}"/>
    <cellStyle name="Comma 2 6 2 5 4 2 2" xfId="9073" xr:uid="{00000000-0005-0000-0000-00009D120000}"/>
    <cellStyle name="Comma 2 6 2 5 4 2 2 2" xfId="20619" xr:uid="{ED803B9B-79EA-4A5F-9CCE-3325F13D71F4}"/>
    <cellStyle name="Comma 2 6 2 5 4 2 2 3" xfId="31035" xr:uid="{5904F1C7-4DDC-43FE-B421-CCEE005C0F45}"/>
    <cellStyle name="Comma 2 6 2 5 4 2 3" xfId="14261" xr:uid="{2790A4F8-F3F9-4BB7-A4BE-2BF2D431DBA8}"/>
    <cellStyle name="Comma 2 6 2 5 4 2 4" xfId="24677" xr:uid="{016ED5E0-AA87-45D3-8D91-0CE2EC0E3F39}"/>
    <cellStyle name="Comma 2 6 2 5 4 3" xfId="9072" xr:uid="{00000000-0005-0000-0000-00009E120000}"/>
    <cellStyle name="Comma 2 6 2 5 4 3 2" xfId="20618" xr:uid="{6511B0FA-D927-4A2E-9D11-6C72A761F915}"/>
    <cellStyle name="Comma 2 6 2 5 4 3 3" xfId="31034" xr:uid="{0558CE84-1402-40E5-B818-1CB468BC6F66}"/>
    <cellStyle name="Comma 2 6 2 5 4 4" xfId="5727" xr:uid="{00000000-0005-0000-0000-00009F120000}"/>
    <cellStyle name="Comma 2 6 2 5 4 4 2" xfId="17313" xr:uid="{BC9311EC-B35C-4DA4-85EB-C9E189C663D3}"/>
    <cellStyle name="Comma 2 6 2 5 4 4 3" xfId="27729" xr:uid="{1BC87652-97D3-4BE5-B8E9-5BCDE2145D38}"/>
    <cellStyle name="Comma 2 6 2 5 4 5" xfId="14260" xr:uid="{2B0F5121-25B1-4784-8FD0-DCB8CEF493C3}"/>
    <cellStyle name="Comma 2 6 2 5 4 6" xfId="24676" xr:uid="{93C86207-6BE0-4789-A93E-F7F4CF3705F9}"/>
    <cellStyle name="Comma 2 6 2 5 5" xfId="1927" xr:uid="{00000000-0005-0000-0000-0000A0120000}"/>
    <cellStyle name="Comma 2 6 2 5 5 2" xfId="9074" xr:uid="{00000000-0005-0000-0000-0000A1120000}"/>
    <cellStyle name="Comma 2 6 2 5 5 2 2" xfId="20620" xr:uid="{A5C2180E-E433-4006-9EEE-768CD6B5C414}"/>
    <cellStyle name="Comma 2 6 2 5 5 2 3" xfId="31036" xr:uid="{E332C6B3-3AEA-4CF0-9A82-E3BC3DB2F8A5}"/>
    <cellStyle name="Comma 2 6 2 5 5 3" xfId="14262" xr:uid="{FF39B8A7-C03C-4DCE-942A-E319F4260555}"/>
    <cellStyle name="Comma 2 6 2 5 5 4" xfId="24678" xr:uid="{6B69EFB1-1BA4-4C90-94AE-75053444A5A6}"/>
    <cellStyle name="Comma 2 6 2 5 6" xfId="9065" xr:uid="{00000000-0005-0000-0000-0000A2120000}"/>
    <cellStyle name="Comma 2 6 2 5 6 2" xfId="20611" xr:uid="{1D50D281-D3B4-45B2-BCAE-959007D4D7F0}"/>
    <cellStyle name="Comma 2 6 2 5 6 3" xfId="31027" xr:uid="{590F6C9E-EE70-4627-87A6-9DBDC1CA041E}"/>
    <cellStyle name="Comma 2 6 2 5 7" xfId="5723" xr:uid="{00000000-0005-0000-0000-0000A3120000}"/>
    <cellStyle name="Comma 2 6 2 5 7 2" xfId="17309" xr:uid="{743F38F1-C97D-49C3-878C-AE775B4BD678}"/>
    <cellStyle name="Comma 2 6 2 5 7 3" xfId="27725" xr:uid="{44A387DA-3256-405B-BD6A-D6F44F6C3A2D}"/>
    <cellStyle name="Comma 2 6 2 5 8" xfId="14253" xr:uid="{7A938D9B-0F08-4D51-A0BB-86402F3358F5}"/>
    <cellStyle name="Comma 2 6 2 5 9" xfId="24669" xr:uid="{C30036B0-205A-45A9-AF2D-BDBE1D21E7D1}"/>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2 2 2" xfId="20623" xr:uid="{DFA78F38-BA3C-4CE2-9B84-96448E403A38}"/>
    <cellStyle name="Comma 2 6 2 6 2 2 2 3" xfId="31039" xr:uid="{A5B0B559-EFE8-4036-9717-608F5E9E85C6}"/>
    <cellStyle name="Comma 2 6 2 6 2 2 3" xfId="14265" xr:uid="{39270FFD-8065-4EDF-961B-41CE568DAC63}"/>
    <cellStyle name="Comma 2 6 2 6 2 2 4" xfId="24681" xr:uid="{0BF897E8-5CB1-45D2-954B-C262B2B15FDD}"/>
    <cellStyle name="Comma 2 6 2 6 2 3" xfId="9076" xr:uid="{00000000-0005-0000-0000-0000A8120000}"/>
    <cellStyle name="Comma 2 6 2 6 2 3 2" xfId="20622" xr:uid="{5024BC1E-09EE-4461-B5AA-D841D0741A5E}"/>
    <cellStyle name="Comma 2 6 2 6 2 3 3" xfId="31038" xr:uid="{87FBA804-1943-4D24-9BE9-6D7900D0944A}"/>
    <cellStyle name="Comma 2 6 2 6 2 4" xfId="5729" xr:uid="{00000000-0005-0000-0000-0000A9120000}"/>
    <cellStyle name="Comma 2 6 2 6 2 4 2" xfId="17315" xr:uid="{F3F49A43-B1DA-4940-BDC5-E1BFE494D2F9}"/>
    <cellStyle name="Comma 2 6 2 6 2 4 3" xfId="27731" xr:uid="{6F13EB78-46D3-4558-9ED9-B73B476013C3}"/>
    <cellStyle name="Comma 2 6 2 6 2 5" xfId="14264" xr:uid="{09EADFCF-983D-4D9A-AC1E-76C0D7757EFB}"/>
    <cellStyle name="Comma 2 6 2 6 2 6" xfId="24680" xr:uid="{40A5DC41-8D45-44AC-B667-9F8C91FF32CB}"/>
    <cellStyle name="Comma 2 6 2 6 3" xfId="1931" xr:uid="{00000000-0005-0000-0000-0000AA120000}"/>
    <cellStyle name="Comma 2 6 2 6 3 2" xfId="1932" xr:uid="{00000000-0005-0000-0000-0000AB120000}"/>
    <cellStyle name="Comma 2 6 2 6 3 2 2" xfId="9079" xr:uid="{00000000-0005-0000-0000-0000AC120000}"/>
    <cellStyle name="Comma 2 6 2 6 3 2 2 2" xfId="20625" xr:uid="{2082F6A9-6BFE-449F-A537-68DC460A886E}"/>
    <cellStyle name="Comma 2 6 2 6 3 2 2 3" xfId="31041" xr:uid="{F36BE0BF-B867-4566-A5C5-25D1BCE9A410}"/>
    <cellStyle name="Comma 2 6 2 6 3 2 3" xfId="14267" xr:uid="{42289301-C491-4492-8F2C-665A2F3650A9}"/>
    <cellStyle name="Comma 2 6 2 6 3 2 4" xfId="24683" xr:uid="{997E7D00-03CA-4083-A0E9-96DC23974405}"/>
    <cellStyle name="Comma 2 6 2 6 3 3" xfId="9078" xr:uid="{00000000-0005-0000-0000-0000AD120000}"/>
    <cellStyle name="Comma 2 6 2 6 3 3 2" xfId="20624" xr:uid="{89103DFC-5F42-4AC6-8BC7-97B1267EF149}"/>
    <cellStyle name="Comma 2 6 2 6 3 3 3" xfId="31040" xr:uid="{FF070831-A293-483A-8A3E-3548E029078D}"/>
    <cellStyle name="Comma 2 6 2 6 3 4" xfId="5730" xr:uid="{00000000-0005-0000-0000-0000AE120000}"/>
    <cellStyle name="Comma 2 6 2 6 3 4 2" xfId="17316" xr:uid="{58FAD3D1-7C81-4B47-8CBC-337865721632}"/>
    <cellStyle name="Comma 2 6 2 6 3 4 3" xfId="27732" xr:uid="{9F64599D-135C-4059-AE78-D4F7DA98C892}"/>
    <cellStyle name="Comma 2 6 2 6 3 5" xfId="14266" xr:uid="{EC589C52-6322-440A-939C-BC26FCC7DC84}"/>
    <cellStyle name="Comma 2 6 2 6 3 6" xfId="24682" xr:uid="{E1C850FF-6CE6-45A1-8D68-87A12281B1D8}"/>
    <cellStyle name="Comma 2 6 2 6 4" xfId="1933" xr:uid="{00000000-0005-0000-0000-0000AF120000}"/>
    <cellStyle name="Comma 2 6 2 6 4 2" xfId="9080" xr:uid="{00000000-0005-0000-0000-0000B0120000}"/>
    <cellStyle name="Comma 2 6 2 6 4 2 2" xfId="20626" xr:uid="{999AD4A5-6B9F-4486-A36D-0A4B50A91A8C}"/>
    <cellStyle name="Comma 2 6 2 6 4 2 3" xfId="31042" xr:uid="{CA4C8620-DAB1-4164-BF77-2A42996929F3}"/>
    <cellStyle name="Comma 2 6 2 6 4 3" xfId="14268" xr:uid="{5142D072-018E-4B38-8166-D43FF3615889}"/>
    <cellStyle name="Comma 2 6 2 6 4 4" xfId="24684" xr:uid="{07D08823-30AE-4C3A-B65E-6E5C4E2D7EF3}"/>
    <cellStyle name="Comma 2 6 2 6 5" xfId="9075" xr:uid="{00000000-0005-0000-0000-0000B1120000}"/>
    <cellStyle name="Comma 2 6 2 6 5 2" xfId="20621" xr:uid="{2E7858DF-AF94-4820-B2C7-0C3F6415DD98}"/>
    <cellStyle name="Comma 2 6 2 6 5 3" xfId="31037" xr:uid="{453CC323-AC53-4E70-BAB9-2052375C179E}"/>
    <cellStyle name="Comma 2 6 2 6 6" xfId="5728" xr:uid="{00000000-0005-0000-0000-0000B2120000}"/>
    <cellStyle name="Comma 2 6 2 6 6 2" xfId="17314" xr:uid="{458E73A8-2504-4FEE-8313-2917553D89D8}"/>
    <cellStyle name="Comma 2 6 2 6 6 3" xfId="27730" xr:uid="{BF78F885-B5F5-4D91-A015-0AF03BFADB58}"/>
    <cellStyle name="Comma 2 6 2 6 7" xfId="14263" xr:uid="{66B8848B-75CD-4322-A46C-541752E94392}"/>
    <cellStyle name="Comma 2 6 2 6 8" xfId="24679" xr:uid="{ADD305D3-6086-46E4-BC75-997A3B2F8149}"/>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2 2 2" xfId="20629" xr:uid="{F6DB54F5-F68C-4A53-B764-67246E148F5F}"/>
    <cellStyle name="Comma 2 6 2 7 2 2 2 3" xfId="31045" xr:uid="{8A6BFC87-E10B-402C-B17C-D538EF678C8D}"/>
    <cellStyle name="Comma 2 6 2 7 2 2 3" xfId="14271" xr:uid="{35782108-587C-4F4C-94F8-F9FBB53EB6A2}"/>
    <cellStyle name="Comma 2 6 2 7 2 2 4" xfId="24687" xr:uid="{83214F13-2201-4843-8FAC-50AD021E1E75}"/>
    <cellStyle name="Comma 2 6 2 7 2 3" xfId="9082" xr:uid="{00000000-0005-0000-0000-0000B7120000}"/>
    <cellStyle name="Comma 2 6 2 7 2 3 2" xfId="20628" xr:uid="{B2625012-9EA9-41FF-895E-6E024FC70517}"/>
    <cellStyle name="Comma 2 6 2 7 2 3 3" xfId="31044" xr:uid="{CD403FF9-90C6-44E3-BDD4-45415D401AFA}"/>
    <cellStyle name="Comma 2 6 2 7 2 4" xfId="5732" xr:uid="{00000000-0005-0000-0000-0000B8120000}"/>
    <cellStyle name="Comma 2 6 2 7 2 4 2" xfId="17318" xr:uid="{11DFEA70-93C0-4694-BCC9-A3D92D6ECB73}"/>
    <cellStyle name="Comma 2 6 2 7 2 4 3" xfId="27734" xr:uid="{D678FEE6-E69E-49B6-87F9-AA88CB5DD442}"/>
    <cellStyle name="Comma 2 6 2 7 2 5" xfId="14270" xr:uid="{2F08DF7B-1875-4E65-B52D-9C56D89B3252}"/>
    <cellStyle name="Comma 2 6 2 7 2 6" xfId="24686" xr:uid="{8AFFFCC0-CDC6-4C39-9133-962D3F0C6032}"/>
    <cellStyle name="Comma 2 6 2 7 3" xfId="1937" xr:uid="{00000000-0005-0000-0000-0000B9120000}"/>
    <cellStyle name="Comma 2 6 2 7 3 2" xfId="9084" xr:uid="{00000000-0005-0000-0000-0000BA120000}"/>
    <cellStyle name="Comma 2 6 2 7 3 2 2" xfId="20630" xr:uid="{0B8B9060-63CE-41D1-B509-EA0ABCF1609C}"/>
    <cellStyle name="Comma 2 6 2 7 3 2 3" xfId="31046" xr:uid="{772A5954-D183-436D-B07E-DC7D8CFE7B42}"/>
    <cellStyle name="Comma 2 6 2 7 3 3" xfId="14272" xr:uid="{4F18B629-D9CA-43A4-A3DA-99945F4DFBA8}"/>
    <cellStyle name="Comma 2 6 2 7 3 4" xfId="24688" xr:uid="{96804EB9-8937-453B-9B2F-30460ED3D62F}"/>
    <cellStyle name="Comma 2 6 2 7 4" xfId="9081" xr:uid="{00000000-0005-0000-0000-0000BB120000}"/>
    <cellStyle name="Comma 2 6 2 7 4 2" xfId="20627" xr:uid="{7A500091-9968-489B-9A7F-587AB56F1481}"/>
    <cellStyle name="Comma 2 6 2 7 4 3" xfId="31043" xr:uid="{EFECBDBE-26C0-4049-B6A7-12B4BE8A2281}"/>
    <cellStyle name="Comma 2 6 2 7 5" xfId="5731" xr:uid="{00000000-0005-0000-0000-0000BC120000}"/>
    <cellStyle name="Comma 2 6 2 7 5 2" xfId="17317" xr:uid="{41727A1F-D15B-4220-93CA-D5E50B78C5C5}"/>
    <cellStyle name="Comma 2 6 2 7 5 3" xfId="27733" xr:uid="{4F472729-DCAB-4988-8385-810AD6BEC1A1}"/>
    <cellStyle name="Comma 2 6 2 7 6" xfId="14269" xr:uid="{F2284101-E2F4-4F82-9AFB-3CB117884E6E}"/>
    <cellStyle name="Comma 2 6 2 7 7" xfId="24685" xr:uid="{64C9C4B7-8F70-4316-AD57-989E6CB2E89D}"/>
    <cellStyle name="Comma 2 6 2 8" xfId="1938" xr:uid="{00000000-0005-0000-0000-0000BD120000}"/>
    <cellStyle name="Comma 2 6 2 8 2" xfId="1939" xr:uid="{00000000-0005-0000-0000-0000BE120000}"/>
    <cellStyle name="Comma 2 6 2 8 2 2" xfId="9086" xr:uid="{00000000-0005-0000-0000-0000BF120000}"/>
    <cellStyle name="Comma 2 6 2 8 2 2 2" xfId="20632" xr:uid="{D17D76F3-9F6E-4F8D-917A-3D282554C648}"/>
    <cellStyle name="Comma 2 6 2 8 2 2 3" xfId="31048" xr:uid="{51205F1B-0DD3-45A5-B48C-CF4536436548}"/>
    <cellStyle name="Comma 2 6 2 8 2 3" xfId="14274" xr:uid="{6FC3BCED-42D6-435F-913D-514CC2209CFF}"/>
    <cellStyle name="Comma 2 6 2 8 2 4" xfId="24690" xr:uid="{E34AF1B8-EED6-466C-8C37-9824A168C051}"/>
    <cellStyle name="Comma 2 6 2 8 3" xfId="9085" xr:uid="{00000000-0005-0000-0000-0000C0120000}"/>
    <cellStyle name="Comma 2 6 2 8 3 2" xfId="20631" xr:uid="{FDD8E725-3362-40D4-BD3C-2697B92263AE}"/>
    <cellStyle name="Comma 2 6 2 8 3 3" xfId="31047" xr:uid="{FE205A95-BEEC-4EFC-B255-294D725E0D5A}"/>
    <cellStyle name="Comma 2 6 2 8 4" xfId="5733" xr:uid="{00000000-0005-0000-0000-0000C1120000}"/>
    <cellStyle name="Comma 2 6 2 8 4 2" xfId="17319" xr:uid="{083C3229-51E2-4084-B2A6-A4D28F634312}"/>
    <cellStyle name="Comma 2 6 2 8 4 3" xfId="27735" xr:uid="{5AD9ADDA-9DCE-4404-9A19-47D72E832D01}"/>
    <cellStyle name="Comma 2 6 2 8 5" xfId="14273" xr:uid="{37B0704D-F3D7-4443-A74E-E60C8CC04755}"/>
    <cellStyle name="Comma 2 6 2 8 6" xfId="24689" xr:uid="{5680AEBD-51A5-48BC-A484-E876F30D79C7}"/>
    <cellStyle name="Comma 2 6 2 9" xfId="1940" xr:uid="{00000000-0005-0000-0000-0000C2120000}"/>
    <cellStyle name="Comma 2 6 2 9 2" xfId="1941" xr:uid="{00000000-0005-0000-0000-0000C3120000}"/>
    <cellStyle name="Comma 2 6 2 9 2 2" xfId="9088" xr:uid="{00000000-0005-0000-0000-0000C4120000}"/>
    <cellStyle name="Comma 2 6 2 9 2 2 2" xfId="20634" xr:uid="{AFE9BB42-19A8-4413-B49C-73A1AC7337C6}"/>
    <cellStyle name="Comma 2 6 2 9 2 2 3" xfId="31050" xr:uid="{0D9E6E21-0F7F-427B-A0BE-E2A9A9CB3A5E}"/>
    <cellStyle name="Comma 2 6 2 9 2 3" xfId="14276" xr:uid="{9314ACE3-E9AE-4BB7-8F17-10561981413A}"/>
    <cellStyle name="Comma 2 6 2 9 2 4" xfId="24692" xr:uid="{26B20C8B-B95F-42A6-B09C-2BF0451CFCD9}"/>
    <cellStyle name="Comma 2 6 2 9 3" xfId="9087" xr:uid="{00000000-0005-0000-0000-0000C5120000}"/>
    <cellStyle name="Comma 2 6 2 9 3 2" xfId="20633" xr:uid="{2BAA24A6-626C-40EE-9088-1446AEE8C341}"/>
    <cellStyle name="Comma 2 6 2 9 3 3" xfId="31049" xr:uid="{9F0FD320-284E-470A-B6D2-91AE4B5B1AC1}"/>
    <cellStyle name="Comma 2 6 2 9 4" xfId="5734" xr:uid="{00000000-0005-0000-0000-0000C6120000}"/>
    <cellStyle name="Comma 2 6 2 9 4 2" xfId="17320" xr:uid="{0E2C6F77-6D5D-45B0-A089-54E5BFC6C3F2}"/>
    <cellStyle name="Comma 2 6 2 9 4 3" xfId="27736" xr:uid="{E951F4FB-E03A-4729-A8E8-A60E28F49291}"/>
    <cellStyle name="Comma 2 6 2 9 5" xfId="14275" xr:uid="{A86B7244-95DE-438C-BE8D-877F101DCCAF}"/>
    <cellStyle name="Comma 2 6 2 9 6" xfId="24691" xr:uid="{A1E13280-E8EF-48D9-9BAC-6A0DC10DF1EC}"/>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2 2 2" xfId="20638" xr:uid="{B3B5651F-87CD-425D-BD53-ED9D6EF07F94}"/>
    <cellStyle name="Comma 2 6 3 2 2 2 2 3" xfId="31054" xr:uid="{7CDF7FAC-5545-4A27-82BE-A6337BD228DA}"/>
    <cellStyle name="Comma 2 6 3 2 2 2 3" xfId="14280" xr:uid="{ED335756-D9CE-4562-830B-A437F9744F60}"/>
    <cellStyle name="Comma 2 6 3 2 2 2 4" xfId="24696" xr:uid="{781901BA-9F09-4903-B6AA-552DC5E83C8B}"/>
    <cellStyle name="Comma 2 6 3 2 2 3" xfId="9091" xr:uid="{00000000-0005-0000-0000-0000CC120000}"/>
    <cellStyle name="Comma 2 6 3 2 2 3 2" xfId="20637" xr:uid="{3CB3EDF4-6B4C-4077-B7CF-759AB031FFB5}"/>
    <cellStyle name="Comma 2 6 3 2 2 3 3" xfId="31053" xr:uid="{A8B0EB7D-39C6-44E1-B957-BCE7725B047F}"/>
    <cellStyle name="Comma 2 6 3 2 2 4" xfId="5737" xr:uid="{00000000-0005-0000-0000-0000CD120000}"/>
    <cellStyle name="Comma 2 6 3 2 2 4 2" xfId="17323" xr:uid="{13A94FFA-C8BD-4358-8614-88D82CA4B949}"/>
    <cellStyle name="Comma 2 6 3 2 2 4 3" xfId="27739" xr:uid="{B324E2ED-87D4-4BB7-9FA6-A50A3D071AB4}"/>
    <cellStyle name="Comma 2 6 3 2 2 5" xfId="14279" xr:uid="{0E26EF40-D250-4A33-A623-C8F5F6683630}"/>
    <cellStyle name="Comma 2 6 3 2 2 6" xfId="24695" xr:uid="{B1378ECD-67FB-4530-9273-6451F9E64158}"/>
    <cellStyle name="Comma 2 6 3 2 3" xfId="1946" xr:uid="{00000000-0005-0000-0000-0000CE120000}"/>
    <cellStyle name="Comma 2 6 3 2 3 2" xfId="9093" xr:uid="{00000000-0005-0000-0000-0000CF120000}"/>
    <cellStyle name="Comma 2 6 3 2 3 2 2" xfId="20639" xr:uid="{E664C6E8-9898-4749-8B9D-77445EE2582C}"/>
    <cellStyle name="Comma 2 6 3 2 3 2 3" xfId="31055" xr:uid="{31A487D2-20C1-4F28-AE53-293171C136EF}"/>
    <cellStyle name="Comma 2 6 3 2 3 3" xfId="14281" xr:uid="{EA2CC16B-9FFA-4991-8902-1C445FFB95A2}"/>
    <cellStyle name="Comma 2 6 3 2 3 4" xfId="24697" xr:uid="{A66EB5E3-5F8E-4C3A-AAC5-47EE3748BE63}"/>
    <cellStyle name="Comma 2 6 3 2 4" xfId="9090" xr:uid="{00000000-0005-0000-0000-0000D0120000}"/>
    <cellStyle name="Comma 2 6 3 2 4 2" xfId="20636" xr:uid="{416A9984-FA70-4AE4-8214-46910E0F3794}"/>
    <cellStyle name="Comma 2 6 3 2 4 3" xfId="31052" xr:uid="{ABF61702-9683-407E-8777-34D077D59F44}"/>
    <cellStyle name="Comma 2 6 3 2 5" xfId="5736" xr:uid="{00000000-0005-0000-0000-0000D1120000}"/>
    <cellStyle name="Comma 2 6 3 2 5 2" xfId="17322" xr:uid="{291012D8-215E-4021-822D-EC4F29CC8E72}"/>
    <cellStyle name="Comma 2 6 3 2 5 3" xfId="27738" xr:uid="{3F979ADB-03AA-4CBB-8014-A27E35F94DCA}"/>
    <cellStyle name="Comma 2 6 3 2 6" xfId="14278" xr:uid="{877965ED-6A27-4658-907D-78B8F19D7A8C}"/>
    <cellStyle name="Comma 2 6 3 2 7" xfId="24694" xr:uid="{BDBB344E-2D8C-43D9-BB1F-D52AEAB68915}"/>
    <cellStyle name="Comma 2 6 3 3" xfId="1947" xr:uid="{00000000-0005-0000-0000-0000D2120000}"/>
    <cellStyle name="Comma 2 6 3 3 2" xfId="1948" xr:uid="{00000000-0005-0000-0000-0000D3120000}"/>
    <cellStyle name="Comma 2 6 3 3 2 2" xfId="9095" xr:uid="{00000000-0005-0000-0000-0000D4120000}"/>
    <cellStyle name="Comma 2 6 3 3 2 2 2" xfId="20641" xr:uid="{5D09AE74-2CBB-4ABB-B06A-610252795335}"/>
    <cellStyle name="Comma 2 6 3 3 2 2 3" xfId="31057" xr:uid="{57BD6BBE-C3F7-432B-8B98-2AA598122B66}"/>
    <cellStyle name="Comma 2 6 3 3 2 3" xfId="14283" xr:uid="{3581A5D7-19CB-4F77-BE36-495DC1D127D5}"/>
    <cellStyle name="Comma 2 6 3 3 2 4" xfId="24699" xr:uid="{6DE38F07-7383-472B-B296-C531D49827B7}"/>
    <cellStyle name="Comma 2 6 3 3 3" xfId="9094" xr:uid="{00000000-0005-0000-0000-0000D5120000}"/>
    <cellStyle name="Comma 2 6 3 3 3 2" xfId="20640" xr:uid="{F1D2EB39-4E65-49EF-8D6E-08BF0E64F360}"/>
    <cellStyle name="Comma 2 6 3 3 3 3" xfId="31056" xr:uid="{221815B2-E5F7-4289-96AD-011D24FC517E}"/>
    <cellStyle name="Comma 2 6 3 3 4" xfId="5738" xr:uid="{00000000-0005-0000-0000-0000D6120000}"/>
    <cellStyle name="Comma 2 6 3 3 4 2" xfId="17324" xr:uid="{15ECF532-2C5B-4897-BBFD-418ABE1FB3A6}"/>
    <cellStyle name="Comma 2 6 3 3 4 3" xfId="27740" xr:uid="{F0537B91-F2D6-43A0-B5BD-54CF84D96784}"/>
    <cellStyle name="Comma 2 6 3 3 5" xfId="14282" xr:uid="{84AC32E8-49C0-4727-9FF2-7687C64ED6B7}"/>
    <cellStyle name="Comma 2 6 3 3 6" xfId="24698" xr:uid="{BA11CE6A-D445-49EC-9AC7-3A78AB9C154E}"/>
    <cellStyle name="Comma 2 6 3 4" xfId="1949" xr:uid="{00000000-0005-0000-0000-0000D7120000}"/>
    <cellStyle name="Comma 2 6 3 4 2" xfId="1950" xr:uid="{00000000-0005-0000-0000-0000D8120000}"/>
    <cellStyle name="Comma 2 6 3 4 2 2" xfId="9097" xr:uid="{00000000-0005-0000-0000-0000D9120000}"/>
    <cellStyle name="Comma 2 6 3 4 2 2 2" xfId="20643" xr:uid="{383A8BBA-C44D-4D2F-BFE8-9FE25A34501E}"/>
    <cellStyle name="Comma 2 6 3 4 2 2 3" xfId="31059" xr:uid="{7405E6AF-5E84-4DFA-B34F-EF5A3A0DFF46}"/>
    <cellStyle name="Comma 2 6 3 4 2 3" xfId="14285" xr:uid="{E243AD74-3A07-4F57-8951-54C3A63FFF4C}"/>
    <cellStyle name="Comma 2 6 3 4 2 4" xfId="24701" xr:uid="{B4E8236D-1E0A-4789-A4EA-750F9C9063A2}"/>
    <cellStyle name="Comma 2 6 3 4 3" xfId="9096" xr:uid="{00000000-0005-0000-0000-0000DA120000}"/>
    <cellStyle name="Comma 2 6 3 4 3 2" xfId="20642" xr:uid="{C552EFEB-2B83-4FEA-ADE7-78DD955E6534}"/>
    <cellStyle name="Comma 2 6 3 4 3 3" xfId="31058" xr:uid="{36346E31-2C28-471F-B15D-B6EA8620878A}"/>
    <cellStyle name="Comma 2 6 3 4 4" xfId="5739" xr:uid="{00000000-0005-0000-0000-0000DB120000}"/>
    <cellStyle name="Comma 2 6 3 4 4 2" xfId="17325" xr:uid="{1B8538AD-0266-4518-9061-F4E09668590F}"/>
    <cellStyle name="Comma 2 6 3 4 4 3" xfId="27741" xr:uid="{7A680E77-8960-468D-AC3B-3385E3751977}"/>
    <cellStyle name="Comma 2 6 3 4 5" xfId="14284" xr:uid="{27848D23-E1D9-4D4C-94D8-2C3F15562B1A}"/>
    <cellStyle name="Comma 2 6 3 4 6" xfId="24700" xr:uid="{A8607EDF-1465-4067-B649-F5C653FFB591}"/>
    <cellStyle name="Comma 2 6 3 5" xfId="1951" xr:uid="{00000000-0005-0000-0000-0000DC120000}"/>
    <cellStyle name="Comma 2 6 3 5 2" xfId="9098" xr:uid="{00000000-0005-0000-0000-0000DD120000}"/>
    <cellStyle name="Comma 2 6 3 5 2 2" xfId="20644" xr:uid="{801E2FD5-92CD-4222-9693-5BD841547984}"/>
    <cellStyle name="Comma 2 6 3 5 2 3" xfId="31060" xr:uid="{03BFAEEA-1D0C-48C6-B359-49BFAECC440D}"/>
    <cellStyle name="Comma 2 6 3 5 3" xfId="14286" xr:uid="{CFA8F59C-3027-4927-ACC4-AADB75177861}"/>
    <cellStyle name="Comma 2 6 3 5 4" xfId="24702" xr:uid="{33E4AC93-0017-409E-A066-2AA68C3F7BB6}"/>
    <cellStyle name="Comma 2 6 3 6" xfId="9089" xr:uid="{00000000-0005-0000-0000-0000DE120000}"/>
    <cellStyle name="Comma 2 6 3 6 2" xfId="20635" xr:uid="{5D7299AB-4B8A-43C2-B302-4100BC0DC102}"/>
    <cellStyle name="Comma 2 6 3 6 3" xfId="31051" xr:uid="{448467E0-C043-47F2-BEEC-A7EB0789546C}"/>
    <cellStyle name="Comma 2 6 3 7" xfId="5735" xr:uid="{00000000-0005-0000-0000-0000DF120000}"/>
    <cellStyle name="Comma 2 6 3 7 2" xfId="17321" xr:uid="{4632DCCF-5D63-4ADA-8452-37E3A2426C35}"/>
    <cellStyle name="Comma 2 6 3 7 3" xfId="27737" xr:uid="{3A944DC5-1AE1-47E7-A8DA-D168A98EB487}"/>
    <cellStyle name="Comma 2 6 3 8" xfId="14277" xr:uid="{D7FB0428-FADF-42C6-8975-6E1310DF2866}"/>
    <cellStyle name="Comma 2 6 3 9" xfId="24693" xr:uid="{0B90B728-0444-474B-9452-8DD273975D75}"/>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2 2 2" xfId="20648" xr:uid="{A1B597D3-4926-4455-86B6-08C2D5C07813}"/>
    <cellStyle name="Comma 2 6 4 2 2 2 2 3" xfId="31064" xr:uid="{FAF5B42B-1B9D-43A6-9EBF-FDC7BE0575D1}"/>
    <cellStyle name="Comma 2 6 4 2 2 2 3" xfId="14290" xr:uid="{BFF995E2-C94A-4A86-91B5-E07B2A6B81D6}"/>
    <cellStyle name="Comma 2 6 4 2 2 2 4" xfId="24706" xr:uid="{D932DA62-F136-4ED7-BDC3-9D7C7947B4EE}"/>
    <cellStyle name="Comma 2 6 4 2 2 3" xfId="9101" xr:uid="{00000000-0005-0000-0000-0000E5120000}"/>
    <cellStyle name="Comma 2 6 4 2 2 3 2" xfId="20647" xr:uid="{5EE5B831-ED83-43DA-875E-5DAC9A28BA77}"/>
    <cellStyle name="Comma 2 6 4 2 2 3 3" xfId="31063" xr:uid="{86CBD2CC-E61D-4A05-8ECF-C748D3B772F0}"/>
    <cellStyle name="Comma 2 6 4 2 2 4" xfId="5742" xr:uid="{00000000-0005-0000-0000-0000E6120000}"/>
    <cellStyle name="Comma 2 6 4 2 2 4 2" xfId="17328" xr:uid="{60F76DBE-4F31-411C-ADFD-206ACE90A7CF}"/>
    <cellStyle name="Comma 2 6 4 2 2 4 3" xfId="27744" xr:uid="{121D4666-E6B8-4D3A-A24F-777D744A3557}"/>
    <cellStyle name="Comma 2 6 4 2 2 5" xfId="14289" xr:uid="{17250835-3045-4645-9885-CBC3F76B0458}"/>
    <cellStyle name="Comma 2 6 4 2 2 6" xfId="24705" xr:uid="{83AFFBF8-1404-48A5-9A96-03B4B185653C}"/>
    <cellStyle name="Comma 2 6 4 2 3" xfId="1956" xr:uid="{00000000-0005-0000-0000-0000E7120000}"/>
    <cellStyle name="Comma 2 6 4 2 3 2" xfId="9103" xr:uid="{00000000-0005-0000-0000-0000E8120000}"/>
    <cellStyle name="Comma 2 6 4 2 3 2 2" xfId="20649" xr:uid="{4B392B1D-3DD0-435A-8358-9323F1B38BE1}"/>
    <cellStyle name="Comma 2 6 4 2 3 2 3" xfId="31065" xr:uid="{0A076E1B-9CBE-42AB-A144-74FDA1F28442}"/>
    <cellStyle name="Comma 2 6 4 2 3 3" xfId="14291" xr:uid="{93BB2DEE-3D7C-46AF-A8C9-E3CF5F9C6B04}"/>
    <cellStyle name="Comma 2 6 4 2 3 4" xfId="24707" xr:uid="{533DCC06-ABCE-4CA1-B0AA-62899EEA90E6}"/>
    <cellStyle name="Comma 2 6 4 2 4" xfId="9100" xr:uid="{00000000-0005-0000-0000-0000E9120000}"/>
    <cellStyle name="Comma 2 6 4 2 4 2" xfId="20646" xr:uid="{2C0F24AF-8FD4-47EE-A056-6FE30593BB08}"/>
    <cellStyle name="Comma 2 6 4 2 4 3" xfId="31062" xr:uid="{416996A2-68B1-4592-957F-11EB811037C1}"/>
    <cellStyle name="Comma 2 6 4 2 5" xfId="5741" xr:uid="{00000000-0005-0000-0000-0000EA120000}"/>
    <cellStyle name="Comma 2 6 4 2 5 2" xfId="17327" xr:uid="{0E34DD20-5A92-4C39-9B51-571E0368C8B5}"/>
    <cellStyle name="Comma 2 6 4 2 5 3" xfId="27743" xr:uid="{3EBC767A-3908-4595-AC1A-33F12AC66E40}"/>
    <cellStyle name="Comma 2 6 4 2 6" xfId="14288" xr:uid="{FE923841-BB2B-421B-9407-6BD5830DDCD0}"/>
    <cellStyle name="Comma 2 6 4 2 7" xfId="24704" xr:uid="{222281DF-A5B5-4B9C-A7EE-ABA10FDBBD70}"/>
    <cellStyle name="Comma 2 6 4 3" xfId="1957" xr:uid="{00000000-0005-0000-0000-0000EB120000}"/>
    <cellStyle name="Comma 2 6 4 3 2" xfId="1958" xr:uid="{00000000-0005-0000-0000-0000EC120000}"/>
    <cellStyle name="Comma 2 6 4 3 2 2" xfId="9105" xr:uid="{00000000-0005-0000-0000-0000ED120000}"/>
    <cellStyle name="Comma 2 6 4 3 2 2 2" xfId="20651" xr:uid="{A1F7C98B-6452-417E-B428-6199B80A00C2}"/>
    <cellStyle name="Comma 2 6 4 3 2 2 3" xfId="31067" xr:uid="{5C8689E6-08F8-440D-B9CA-3069106761D1}"/>
    <cellStyle name="Comma 2 6 4 3 2 3" xfId="14293" xr:uid="{9E6AD1BC-5BB5-4C46-ACC6-83553F2E31AB}"/>
    <cellStyle name="Comma 2 6 4 3 2 4" xfId="24709" xr:uid="{72B7E01B-DE67-4BBF-8C56-3EE7CE718DA4}"/>
    <cellStyle name="Comma 2 6 4 3 3" xfId="9104" xr:uid="{00000000-0005-0000-0000-0000EE120000}"/>
    <cellStyle name="Comma 2 6 4 3 3 2" xfId="20650" xr:uid="{9D9430C1-9627-464A-B71B-085212FCF6C5}"/>
    <cellStyle name="Comma 2 6 4 3 3 3" xfId="31066" xr:uid="{C0B7829C-B1A4-4499-A2EE-3B264A4AC2D2}"/>
    <cellStyle name="Comma 2 6 4 3 4" xfId="5743" xr:uid="{00000000-0005-0000-0000-0000EF120000}"/>
    <cellStyle name="Comma 2 6 4 3 4 2" xfId="17329" xr:uid="{5376E0EC-EB6B-4A08-BF9D-896DB7D595B7}"/>
    <cellStyle name="Comma 2 6 4 3 4 3" xfId="27745" xr:uid="{0E430681-E337-428D-AE86-46C84047A9A7}"/>
    <cellStyle name="Comma 2 6 4 3 5" xfId="14292" xr:uid="{63884433-1F47-4F44-AF6D-A7840A17B242}"/>
    <cellStyle name="Comma 2 6 4 3 6" xfId="24708" xr:uid="{CC0D82E6-086A-4C8C-8E5A-6B9ACE30D037}"/>
    <cellStyle name="Comma 2 6 4 4" xfId="1959" xr:uid="{00000000-0005-0000-0000-0000F0120000}"/>
    <cellStyle name="Comma 2 6 4 4 2" xfId="1960" xr:uid="{00000000-0005-0000-0000-0000F1120000}"/>
    <cellStyle name="Comma 2 6 4 4 2 2" xfId="9107" xr:uid="{00000000-0005-0000-0000-0000F2120000}"/>
    <cellStyle name="Comma 2 6 4 4 2 2 2" xfId="20653" xr:uid="{A693C903-8FF4-4FCE-94B8-A506FF6ED507}"/>
    <cellStyle name="Comma 2 6 4 4 2 2 3" xfId="31069" xr:uid="{25808D5E-E97D-46D9-AA24-B057B42364B9}"/>
    <cellStyle name="Comma 2 6 4 4 2 3" xfId="14295" xr:uid="{62E5A99E-4C72-4769-A749-0700FD279AE8}"/>
    <cellStyle name="Comma 2 6 4 4 2 4" xfId="24711" xr:uid="{68E17A76-C3FC-4F6F-8BEF-A9F75DEC89AB}"/>
    <cellStyle name="Comma 2 6 4 4 3" xfId="9106" xr:uid="{00000000-0005-0000-0000-0000F3120000}"/>
    <cellStyle name="Comma 2 6 4 4 3 2" xfId="20652" xr:uid="{E115B2D4-9A6B-456E-B09E-4F16C616A083}"/>
    <cellStyle name="Comma 2 6 4 4 3 3" xfId="31068" xr:uid="{748658FC-ECB3-4D55-8161-8FA3228D877F}"/>
    <cellStyle name="Comma 2 6 4 4 4" xfId="5744" xr:uid="{00000000-0005-0000-0000-0000F4120000}"/>
    <cellStyle name="Comma 2 6 4 4 4 2" xfId="17330" xr:uid="{176D4875-A63B-4D5F-B71B-9C28C4F63995}"/>
    <cellStyle name="Comma 2 6 4 4 4 3" xfId="27746" xr:uid="{3C607B95-078B-4633-98FB-3E483280D0B1}"/>
    <cellStyle name="Comma 2 6 4 4 5" xfId="14294" xr:uid="{74F65BE4-B978-41D0-A537-0BCCCCACA730}"/>
    <cellStyle name="Comma 2 6 4 4 6" xfId="24710" xr:uid="{B6A33F9A-02C1-4D22-A082-5AEC0C9DF1FF}"/>
    <cellStyle name="Comma 2 6 4 5" xfId="1961" xr:uid="{00000000-0005-0000-0000-0000F5120000}"/>
    <cellStyle name="Comma 2 6 4 5 2" xfId="9108" xr:uid="{00000000-0005-0000-0000-0000F6120000}"/>
    <cellStyle name="Comma 2 6 4 5 2 2" xfId="20654" xr:uid="{3A9E8CFC-3479-4D0D-80DC-F2B3D8C21EB9}"/>
    <cellStyle name="Comma 2 6 4 5 2 3" xfId="31070" xr:uid="{DEAEBCAF-0557-4944-B6CD-9D4EDE55CDB1}"/>
    <cellStyle name="Comma 2 6 4 5 3" xfId="14296" xr:uid="{813C3A77-C135-4FA7-9F31-0EF861A146F0}"/>
    <cellStyle name="Comma 2 6 4 5 4" xfId="24712" xr:uid="{BF4FCEEF-5A54-4A8E-8E96-EAB7CFD96D6B}"/>
    <cellStyle name="Comma 2 6 4 6" xfId="9099" xr:uid="{00000000-0005-0000-0000-0000F7120000}"/>
    <cellStyle name="Comma 2 6 4 6 2" xfId="20645" xr:uid="{2EF52849-4A3B-40FE-A2AD-C709D9E29323}"/>
    <cellStyle name="Comma 2 6 4 6 3" xfId="31061" xr:uid="{293E99F0-609F-471F-9BB0-AE51B529000E}"/>
    <cellStyle name="Comma 2 6 4 7" xfId="5740" xr:uid="{00000000-0005-0000-0000-0000F8120000}"/>
    <cellStyle name="Comma 2 6 4 7 2" xfId="17326" xr:uid="{15306222-F724-4221-BE07-34E7C16D2E49}"/>
    <cellStyle name="Comma 2 6 4 7 3" xfId="27742" xr:uid="{E5FDC6A7-50F5-462A-ACD6-FD9312EBEE9B}"/>
    <cellStyle name="Comma 2 6 4 8" xfId="14287" xr:uid="{2F582D46-D801-4C9A-B098-89D9537FDE92}"/>
    <cellStyle name="Comma 2 6 4 9" xfId="24703" xr:uid="{DF907193-3054-4709-B60F-B08258058C9D}"/>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2 2 2" xfId="20658" xr:uid="{7D669BBB-7CC2-4DF0-B1E9-6C0151D356AB}"/>
    <cellStyle name="Comma 2 6 5 2 2 2 2 3" xfId="31074" xr:uid="{08760A9D-85B1-4515-80A5-5F0C684A5BC5}"/>
    <cellStyle name="Comma 2 6 5 2 2 2 3" xfId="14300" xr:uid="{2D02B409-B388-40A4-9B87-5DD64358A9B5}"/>
    <cellStyle name="Comma 2 6 5 2 2 2 4" xfId="24716" xr:uid="{558F999A-8922-4B98-9B6C-9A9FB920B91C}"/>
    <cellStyle name="Comma 2 6 5 2 2 3" xfId="9111" xr:uid="{00000000-0005-0000-0000-0000FE120000}"/>
    <cellStyle name="Comma 2 6 5 2 2 3 2" xfId="20657" xr:uid="{A72951D9-74FD-4DB0-BC14-418B539DD6B4}"/>
    <cellStyle name="Comma 2 6 5 2 2 3 3" xfId="31073" xr:uid="{E72CA512-2797-4B5C-B634-698EDE5057AF}"/>
    <cellStyle name="Comma 2 6 5 2 2 4" xfId="5747" xr:uid="{00000000-0005-0000-0000-0000FF120000}"/>
    <cellStyle name="Comma 2 6 5 2 2 4 2" xfId="17333" xr:uid="{2A549583-769E-49A1-A8D2-112A3B316B2B}"/>
    <cellStyle name="Comma 2 6 5 2 2 4 3" xfId="27749" xr:uid="{392DD759-BE78-4CF6-A13A-3768DD8A5D93}"/>
    <cellStyle name="Comma 2 6 5 2 2 5" xfId="14299" xr:uid="{C1C3BD7D-A48B-4962-A680-591C152664BC}"/>
    <cellStyle name="Comma 2 6 5 2 2 6" xfId="24715" xr:uid="{9F294891-EC15-43A3-9836-6D070A7D0952}"/>
    <cellStyle name="Comma 2 6 5 2 3" xfId="1966" xr:uid="{00000000-0005-0000-0000-000000130000}"/>
    <cellStyle name="Comma 2 6 5 2 3 2" xfId="9113" xr:uid="{00000000-0005-0000-0000-000001130000}"/>
    <cellStyle name="Comma 2 6 5 2 3 2 2" xfId="20659" xr:uid="{EAF23C25-E41D-4E4B-88CF-8BAB36FA0E36}"/>
    <cellStyle name="Comma 2 6 5 2 3 2 3" xfId="31075" xr:uid="{477724A1-36BD-46D6-9A5B-8423F4ACD78E}"/>
    <cellStyle name="Comma 2 6 5 2 3 3" xfId="14301" xr:uid="{97C23733-A68F-476E-8C8D-04A8C5B8CECD}"/>
    <cellStyle name="Comma 2 6 5 2 3 4" xfId="24717" xr:uid="{D42A8ADF-B674-41B7-8327-20C767C319E7}"/>
    <cellStyle name="Comma 2 6 5 2 4" xfId="9110" xr:uid="{00000000-0005-0000-0000-000002130000}"/>
    <cellStyle name="Comma 2 6 5 2 4 2" xfId="20656" xr:uid="{C2E580BE-C1F8-4BF6-8ACB-3FE919B9AE81}"/>
    <cellStyle name="Comma 2 6 5 2 4 3" xfId="31072" xr:uid="{7D250CA6-03B7-45F8-9860-02B9D37CBB26}"/>
    <cellStyle name="Comma 2 6 5 2 5" xfId="5746" xr:uid="{00000000-0005-0000-0000-000003130000}"/>
    <cellStyle name="Comma 2 6 5 2 5 2" xfId="17332" xr:uid="{B5CF1746-C5AF-4EC1-89FC-7110F4D849CC}"/>
    <cellStyle name="Comma 2 6 5 2 5 3" xfId="27748" xr:uid="{A67F831C-1AD9-46B0-A819-92FC6A0FD1DD}"/>
    <cellStyle name="Comma 2 6 5 2 6" xfId="14298" xr:uid="{DABE3A7C-C2BB-42C0-8CE3-C99F5AF7EC92}"/>
    <cellStyle name="Comma 2 6 5 2 7" xfId="24714" xr:uid="{8B1133B7-AA50-47E2-AE25-563B0BA38C9F}"/>
    <cellStyle name="Comma 2 6 5 3" xfId="1967" xr:uid="{00000000-0005-0000-0000-000004130000}"/>
    <cellStyle name="Comma 2 6 5 3 2" xfId="1968" xr:uid="{00000000-0005-0000-0000-000005130000}"/>
    <cellStyle name="Comma 2 6 5 3 2 2" xfId="9115" xr:uid="{00000000-0005-0000-0000-000006130000}"/>
    <cellStyle name="Comma 2 6 5 3 2 2 2" xfId="20661" xr:uid="{FF852560-572F-4901-BBC2-73D8ACDC8C24}"/>
    <cellStyle name="Comma 2 6 5 3 2 2 3" xfId="31077" xr:uid="{5286C715-F562-42FD-ABD8-602028E48D8F}"/>
    <cellStyle name="Comma 2 6 5 3 2 3" xfId="14303" xr:uid="{A5835B43-13B8-47C6-A646-745B8F6ACBFA}"/>
    <cellStyle name="Comma 2 6 5 3 2 4" xfId="24719" xr:uid="{AE0C6174-6474-477C-BF96-66033C5B4F8E}"/>
    <cellStyle name="Comma 2 6 5 3 3" xfId="9114" xr:uid="{00000000-0005-0000-0000-000007130000}"/>
    <cellStyle name="Comma 2 6 5 3 3 2" xfId="20660" xr:uid="{4C72DA6F-3668-499B-B41F-1A2170EAA60F}"/>
    <cellStyle name="Comma 2 6 5 3 3 3" xfId="31076" xr:uid="{B7ADC216-2BD3-48EC-B352-E6B7CB962EE8}"/>
    <cellStyle name="Comma 2 6 5 3 4" xfId="5748" xr:uid="{00000000-0005-0000-0000-000008130000}"/>
    <cellStyle name="Comma 2 6 5 3 4 2" xfId="17334" xr:uid="{357D0AA5-6A8E-4277-8281-B586F3136C7B}"/>
    <cellStyle name="Comma 2 6 5 3 4 3" xfId="27750" xr:uid="{965553A0-D4A9-428C-8024-964E03640AFB}"/>
    <cellStyle name="Comma 2 6 5 3 5" xfId="14302" xr:uid="{82EBA2E5-D26D-4403-909A-0376BB32B8E9}"/>
    <cellStyle name="Comma 2 6 5 3 6" xfId="24718" xr:uid="{E0DAE03C-0730-494C-B133-7BFEE0848DA4}"/>
    <cellStyle name="Comma 2 6 5 4" xfId="1969" xr:uid="{00000000-0005-0000-0000-000009130000}"/>
    <cellStyle name="Comma 2 6 5 4 2" xfId="1970" xr:uid="{00000000-0005-0000-0000-00000A130000}"/>
    <cellStyle name="Comma 2 6 5 4 2 2" xfId="9117" xr:uid="{00000000-0005-0000-0000-00000B130000}"/>
    <cellStyle name="Comma 2 6 5 4 2 2 2" xfId="20663" xr:uid="{6D7B538C-1169-4DE8-A073-51C25D9CD801}"/>
    <cellStyle name="Comma 2 6 5 4 2 2 3" xfId="31079" xr:uid="{E99BD656-EE70-4E55-B7C2-DD799532E803}"/>
    <cellStyle name="Comma 2 6 5 4 2 3" xfId="14305" xr:uid="{8D1E5DCC-F840-452B-9E09-A0581564AB1C}"/>
    <cellStyle name="Comma 2 6 5 4 2 4" xfId="24721" xr:uid="{60964622-0E76-4672-925E-F473A0923379}"/>
    <cellStyle name="Comma 2 6 5 4 3" xfId="9116" xr:uid="{00000000-0005-0000-0000-00000C130000}"/>
    <cellStyle name="Comma 2 6 5 4 3 2" xfId="20662" xr:uid="{7794BE0F-C202-45DA-861C-ACD6EDD8EE80}"/>
    <cellStyle name="Comma 2 6 5 4 3 3" xfId="31078" xr:uid="{590F76C7-690D-4992-844E-D37E90871CC5}"/>
    <cellStyle name="Comma 2 6 5 4 4" xfId="5749" xr:uid="{00000000-0005-0000-0000-00000D130000}"/>
    <cellStyle name="Comma 2 6 5 4 4 2" xfId="17335" xr:uid="{709F73F5-59BB-4CA1-9BBC-FD158CA6642A}"/>
    <cellStyle name="Comma 2 6 5 4 4 3" xfId="27751" xr:uid="{C033C892-1454-4A41-9AEA-7AA1D7B127B6}"/>
    <cellStyle name="Comma 2 6 5 4 5" xfId="14304" xr:uid="{D0821D53-6B5D-40AD-ABA2-20928E8686AA}"/>
    <cellStyle name="Comma 2 6 5 4 6" xfId="24720" xr:uid="{4108D199-802C-4447-9D57-CAB57FCCD91C}"/>
    <cellStyle name="Comma 2 6 5 5" xfId="1971" xr:uid="{00000000-0005-0000-0000-00000E130000}"/>
    <cellStyle name="Comma 2 6 5 5 2" xfId="9118" xr:uid="{00000000-0005-0000-0000-00000F130000}"/>
    <cellStyle name="Comma 2 6 5 5 2 2" xfId="20664" xr:uid="{BDAC4C6A-97A8-4C6F-8375-446D86908256}"/>
    <cellStyle name="Comma 2 6 5 5 2 3" xfId="31080" xr:uid="{A01EB2E8-DB50-44BB-A525-C9F6E2CD73F2}"/>
    <cellStyle name="Comma 2 6 5 5 3" xfId="14306" xr:uid="{009C8C39-AE2E-4E2F-8087-82ED6992A66A}"/>
    <cellStyle name="Comma 2 6 5 5 4" xfId="24722" xr:uid="{14E63D14-26E0-443C-9620-CBE570D924D9}"/>
    <cellStyle name="Comma 2 6 5 6" xfId="9109" xr:uid="{00000000-0005-0000-0000-000010130000}"/>
    <cellStyle name="Comma 2 6 5 6 2" xfId="20655" xr:uid="{78501287-8BAB-4C1A-8EB8-956CF6FD43D5}"/>
    <cellStyle name="Comma 2 6 5 6 3" xfId="31071" xr:uid="{2A456C67-1D94-4DE8-A5EB-A5780C14FF22}"/>
    <cellStyle name="Comma 2 6 5 7" xfId="5745" xr:uid="{00000000-0005-0000-0000-000011130000}"/>
    <cellStyle name="Comma 2 6 5 7 2" xfId="17331" xr:uid="{F4E10934-496C-4AD0-B7B3-A41DA9DA27BC}"/>
    <cellStyle name="Comma 2 6 5 7 3" xfId="27747" xr:uid="{22EAB9AD-1FCA-439D-86FB-D58CA881C0C0}"/>
    <cellStyle name="Comma 2 6 5 8" xfId="14297" xr:uid="{0EB0517D-A265-4ED8-B1FC-D7A398797B0C}"/>
    <cellStyle name="Comma 2 6 5 9" xfId="24713" xr:uid="{39E7F8BD-F98D-47D3-9CF1-032697B99A14}"/>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2 2 2" xfId="20668" xr:uid="{88214964-7C71-4148-8F6D-91997287C369}"/>
    <cellStyle name="Comma 2 6 6 2 2 2 2 3" xfId="31084" xr:uid="{20000389-D063-4F9A-90C8-CFB1E8F92FFB}"/>
    <cellStyle name="Comma 2 6 6 2 2 2 3" xfId="14310" xr:uid="{D6AD59E3-3BA0-4D26-A902-D9589791DC5D}"/>
    <cellStyle name="Comma 2 6 6 2 2 2 4" xfId="24726" xr:uid="{18916BC8-8494-47FF-B275-D4FF28A57F75}"/>
    <cellStyle name="Comma 2 6 6 2 2 3" xfId="9121" xr:uid="{00000000-0005-0000-0000-000017130000}"/>
    <cellStyle name="Comma 2 6 6 2 2 3 2" xfId="20667" xr:uid="{EB444747-2CE3-4678-BA83-4C14A9216AFA}"/>
    <cellStyle name="Comma 2 6 6 2 2 3 3" xfId="31083" xr:uid="{E069243D-FFC3-4F16-9EFA-A79C8C60785B}"/>
    <cellStyle name="Comma 2 6 6 2 2 4" xfId="5752" xr:uid="{00000000-0005-0000-0000-000018130000}"/>
    <cellStyle name="Comma 2 6 6 2 2 4 2" xfId="17338" xr:uid="{D07153B0-93B9-4E0F-8475-F6BA76374347}"/>
    <cellStyle name="Comma 2 6 6 2 2 4 3" xfId="27754" xr:uid="{87D4373F-4942-4D6B-B2C7-225C39DE7396}"/>
    <cellStyle name="Comma 2 6 6 2 2 5" xfId="14309" xr:uid="{BAAB118F-58DE-4C9D-AC62-D6159B8B4448}"/>
    <cellStyle name="Comma 2 6 6 2 2 6" xfId="24725" xr:uid="{6D21736F-C5E2-4181-98B6-527FDC8BDF42}"/>
    <cellStyle name="Comma 2 6 6 2 3" xfId="1976" xr:uid="{00000000-0005-0000-0000-000019130000}"/>
    <cellStyle name="Comma 2 6 6 2 3 2" xfId="9123" xr:uid="{00000000-0005-0000-0000-00001A130000}"/>
    <cellStyle name="Comma 2 6 6 2 3 2 2" xfId="20669" xr:uid="{0642CF38-1FE7-47F1-A756-6853AB6AC713}"/>
    <cellStyle name="Comma 2 6 6 2 3 2 3" xfId="31085" xr:uid="{33ED7B34-C033-49C5-83A5-C4E573A45CC4}"/>
    <cellStyle name="Comma 2 6 6 2 3 3" xfId="14311" xr:uid="{62FF5800-2AA6-4DAE-8C20-9B951FA9821E}"/>
    <cellStyle name="Comma 2 6 6 2 3 4" xfId="24727" xr:uid="{1BBAE41C-1C8D-4AD7-91B8-4923C3B37F90}"/>
    <cellStyle name="Comma 2 6 6 2 4" xfId="9120" xr:uid="{00000000-0005-0000-0000-00001B130000}"/>
    <cellStyle name="Comma 2 6 6 2 4 2" xfId="20666" xr:uid="{6D6A6B89-A171-4102-8046-B3191A80D2F6}"/>
    <cellStyle name="Comma 2 6 6 2 4 3" xfId="31082" xr:uid="{E4C2FA15-F729-4568-A863-A76F4B80E296}"/>
    <cellStyle name="Comma 2 6 6 2 5" xfId="5751" xr:uid="{00000000-0005-0000-0000-00001C130000}"/>
    <cellStyle name="Comma 2 6 6 2 5 2" xfId="17337" xr:uid="{4FF2248E-E75D-46EB-A742-43931B8EA502}"/>
    <cellStyle name="Comma 2 6 6 2 5 3" xfId="27753" xr:uid="{8C464A51-0419-4E48-9810-294379E4AE17}"/>
    <cellStyle name="Comma 2 6 6 2 6" xfId="14308" xr:uid="{EABDD87A-4FFD-4A29-8672-6A04FFEFA053}"/>
    <cellStyle name="Comma 2 6 6 2 7" xfId="24724" xr:uid="{A2FAC775-60BF-42F4-9FAF-9C308BE84195}"/>
    <cellStyle name="Comma 2 6 6 3" xfId="1977" xr:uid="{00000000-0005-0000-0000-00001D130000}"/>
    <cellStyle name="Comma 2 6 6 3 2" xfId="1978" xr:uid="{00000000-0005-0000-0000-00001E130000}"/>
    <cellStyle name="Comma 2 6 6 3 2 2" xfId="9125" xr:uid="{00000000-0005-0000-0000-00001F130000}"/>
    <cellStyle name="Comma 2 6 6 3 2 2 2" xfId="20671" xr:uid="{B93DBD47-8B95-4078-91C6-EF0F7816311E}"/>
    <cellStyle name="Comma 2 6 6 3 2 2 3" xfId="31087" xr:uid="{18A14B45-2305-44D8-91B1-BDCC92357126}"/>
    <cellStyle name="Comma 2 6 6 3 2 3" xfId="14313" xr:uid="{AB9A5751-C802-43C6-8AC8-99E2A0D3EA82}"/>
    <cellStyle name="Comma 2 6 6 3 2 4" xfId="24729" xr:uid="{D214042A-8138-46FB-AB55-5A82598292BC}"/>
    <cellStyle name="Comma 2 6 6 3 3" xfId="9124" xr:uid="{00000000-0005-0000-0000-000020130000}"/>
    <cellStyle name="Comma 2 6 6 3 3 2" xfId="20670" xr:uid="{E7BCA67B-140F-4719-9662-4404545FF483}"/>
    <cellStyle name="Comma 2 6 6 3 3 3" xfId="31086" xr:uid="{B3ED34D4-9DD6-434E-B6AE-2A8180DD60F3}"/>
    <cellStyle name="Comma 2 6 6 3 4" xfId="5753" xr:uid="{00000000-0005-0000-0000-000021130000}"/>
    <cellStyle name="Comma 2 6 6 3 4 2" xfId="17339" xr:uid="{ED38FC4F-E443-4EFF-818F-64E32A1CF732}"/>
    <cellStyle name="Comma 2 6 6 3 4 3" xfId="27755" xr:uid="{A1A347C3-F19C-4AEB-97F8-32BD8F002001}"/>
    <cellStyle name="Comma 2 6 6 3 5" xfId="14312" xr:uid="{C8B4E01A-6893-4D5C-80C4-2ADA2CAFB6AD}"/>
    <cellStyle name="Comma 2 6 6 3 6" xfId="24728" xr:uid="{F2FE3BA1-3A93-4D60-9625-362B2088978B}"/>
    <cellStyle name="Comma 2 6 6 4" xfId="1979" xr:uid="{00000000-0005-0000-0000-000022130000}"/>
    <cellStyle name="Comma 2 6 6 4 2" xfId="1980" xr:uid="{00000000-0005-0000-0000-000023130000}"/>
    <cellStyle name="Comma 2 6 6 4 2 2" xfId="9127" xr:uid="{00000000-0005-0000-0000-000024130000}"/>
    <cellStyle name="Comma 2 6 6 4 2 2 2" xfId="20673" xr:uid="{A8385BDD-F5FB-44C0-9FCC-350C40D7F9B8}"/>
    <cellStyle name="Comma 2 6 6 4 2 2 3" xfId="31089" xr:uid="{DE26A9C4-9216-401F-BF36-E4FF9D93AB0D}"/>
    <cellStyle name="Comma 2 6 6 4 2 3" xfId="14315" xr:uid="{AB39B354-B19B-43CE-94DB-2B99619815A2}"/>
    <cellStyle name="Comma 2 6 6 4 2 4" xfId="24731" xr:uid="{A9286A83-BF69-4023-8990-7065EFAE529D}"/>
    <cellStyle name="Comma 2 6 6 4 3" xfId="9126" xr:uid="{00000000-0005-0000-0000-000025130000}"/>
    <cellStyle name="Comma 2 6 6 4 3 2" xfId="20672" xr:uid="{7D1B509E-5339-4C43-9BBD-460DFCB92995}"/>
    <cellStyle name="Comma 2 6 6 4 3 3" xfId="31088" xr:uid="{002D3E6F-F862-454A-AB3E-C551A502827B}"/>
    <cellStyle name="Comma 2 6 6 4 4" xfId="5754" xr:uid="{00000000-0005-0000-0000-000026130000}"/>
    <cellStyle name="Comma 2 6 6 4 4 2" xfId="17340" xr:uid="{3DEAF979-95E7-4340-8DC8-2F2821D0B25F}"/>
    <cellStyle name="Comma 2 6 6 4 4 3" xfId="27756" xr:uid="{1DCDAE3D-685B-459A-8F27-CE424F530859}"/>
    <cellStyle name="Comma 2 6 6 4 5" xfId="14314" xr:uid="{9CDE492A-1CB2-4B81-902F-73E5B1651D85}"/>
    <cellStyle name="Comma 2 6 6 4 6" xfId="24730" xr:uid="{3DEA1D8B-EB58-4817-A2F6-7F92372FBCB8}"/>
    <cellStyle name="Comma 2 6 6 5" xfId="1981" xr:uid="{00000000-0005-0000-0000-000027130000}"/>
    <cellStyle name="Comma 2 6 6 5 2" xfId="9128" xr:uid="{00000000-0005-0000-0000-000028130000}"/>
    <cellStyle name="Comma 2 6 6 5 2 2" xfId="20674" xr:uid="{D4ADC64A-FA3A-4A34-857B-FB005E3DB5FC}"/>
    <cellStyle name="Comma 2 6 6 5 2 3" xfId="31090" xr:uid="{AD2C48DA-88B1-4D04-81E6-34CD79D4748C}"/>
    <cellStyle name="Comma 2 6 6 5 3" xfId="14316" xr:uid="{C2A1D344-D0E2-4D84-A6F9-40CA89406E2D}"/>
    <cellStyle name="Comma 2 6 6 5 4" xfId="24732" xr:uid="{7E28DBE2-C3A9-439C-96E0-700647AD75C7}"/>
    <cellStyle name="Comma 2 6 6 6" xfId="9119" xr:uid="{00000000-0005-0000-0000-000029130000}"/>
    <cellStyle name="Comma 2 6 6 6 2" xfId="20665" xr:uid="{28F4836A-4775-4549-AA78-5EB0E98AF3D4}"/>
    <cellStyle name="Comma 2 6 6 6 3" xfId="31081" xr:uid="{241E81E2-2EF9-4B91-B04A-E4302AFA2285}"/>
    <cellStyle name="Comma 2 6 6 7" xfId="5750" xr:uid="{00000000-0005-0000-0000-00002A130000}"/>
    <cellStyle name="Comma 2 6 6 7 2" xfId="17336" xr:uid="{7F8EF082-3D12-4BEC-9F1E-738840851CA5}"/>
    <cellStyle name="Comma 2 6 6 7 3" xfId="27752" xr:uid="{A5BD071F-A6AB-4138-98F6-B77197E230BA}"/>
    <cellStyle name="Comma 2 6 6 8" xfId="14307" xr:uid="{32AA8C83-F5AE-4F03-85E0-503403D2D8D0}"/>
    <cellStyle name="Comma 2 6 6 9" xfId="24723" xr:uid="{AAB88D60-2410-43F6-BF21-7C43A08B70A8}"/>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2 2 2" xfId="20677" xr:uid="{E5BCF10F-FBCC-4795-98DA-0AFF94F9C78E}"/>
    <cellStyle name="Comma 2 6 7 2 2 2 3" xfId="31093" xr:uid="{5746271A-D824-4D02-8C40-BB71F2A5A76F}"/>
    <cellStyle name="Comma 2 6 7 2 2 3" xfId="14319" xr:uid="{AB30E10C-2547-42CE-9060-B27E7D43C139}"/>
    <cellStyle name="Comma 2 6 7 2 2 4" xfId="24735" xr:uid="{B3F4E140-7F88-4485-834B-54F2D739D992}"/>
    <cellStyle name="Comma 2 6 7 2 3" xfId="9130" xr:uid="{00000000-0005-0000-0000-00002F130000}"/>
    <cellStyle name="Comma 2 6 7 2 3 2" xfId="20676" xr:uid="{E35F4D5C-9B95-4A99-8043-10375BFF6FD4}"/>
    <cellStyle name="Comma 2 6 7 2 3 3" xfId="31092" xr:uid="{F39B38E0-EFD5-4DAA-A0D5-3D92C4CA211D}"/>
    <cellStyle name="Comma 2 6 7 2 4" xfId="5756" xr:uid="{00000000-0005-0000-0000-000030130000}"/>
    <cellStyle name="Comma 2 6 7 2 4 2" xfId="17342" xr:uid="{898FFD99-B815-4FE6-B274-63E2D1FBBCE5}"/>
    <cellStyle name="Comma 2 6 7 2 4 3" xfId="27758" xr:uid="{D6101C60-F6F3-4EDB-9186-42DDCCD9BD1B}"/>
    <cellStyle name="Comma 2 6 7 2 5" xfId="14318" xr:uid="{84D261C7-3601-43B1-9240-3D6E25B772B0}"/>
    <cellStyle name="Comma 2 6 7 2 6" xfId="24734" xr:uid="{DA8A0E19-C509-4CE3-954A-B2D276600B54}"/>
    <cellStyle name="Comma 2 6 7 3" xfId="1985" xr:uid="{00000000-0005-0000-0000-000031130000}"/>
    <cellStyle name="Comma 2 6 7 3 2" xfId="1986" xr:uid="{00000000-0005-0000-0000-000032130000}"/>
    <cellStyle name="Comma 2 6 7 3 2 2" xfId="9133" xr:uid="{00000000-0005-0000-0000-000033130000}"/>
    <cellStyle name="Comma 2 6 7 3 2 2 2" xfId="20679" xr:uid="{AF5EC4B5-64E5-4B41-9A1A-14660564A15D}"/>
    <cellStyle name="Comma 2 6 7 3 2 2 3" xfId="31095" xr:uid="{D6F4F823-ED8F-4C8A-BA8D-E0216F1F5600}"/>
    <cellStyle name="Comma 2 6 7 3 2 3" xfId="14321" xr:uid="{9A412429-0959-43BD-A4E4-E5C018E60056}"/>
    <cellStyle name="Comma 2 6 7 3 2 4" xfId="24737" xr:uid="{42D4DD2C-E0E9-420E-B8ED-F1F7ECD3EB35}"/>
    <cellStyle name="Comma 2 6 7 3 3" xfId="9132" xr:uid="{00000000-0005-0000-0000-000034130000}"/>
    <cellStyle name="Comma 2 6 7 3 3 2" xfId="20678" xr:uid="{CDF74E84-FFC3-48E4-BF90-2119CB7791C1}"/>
    <cellStyle name="Comma 2 6 7 3 3 3" xfId="31094" xr:uid="{2535F0C9-099B-478D-BC89-D2014C9537AC}"/>
    <cellStyle name="Comma 2 6 7 3 4" xfId="5757" xr:uid="{00000000-0005-0000-0000-000035130000}"/>
    <cellStyle name="Comma 2 6 7 3 4 2" xfId="17343" xr:uid="{005F3617-43FA-448E-8B18-C590D2E238B2}"/>
    <cellStyle name="Comma 2 6 7 3 4 3" xfId="27759" xr:uid="{CB3EE969-450A-43EB-89FF-9D8EB1DB759A}"/>
    <cellStyle name="Comma 2 6 7 3 5" xfId="14320" xr:uid="{33199887-918E-41BE-906D-6D9543B1695A}"/>
    <cellStyle name="Comma 2 6 7 3 6" xfId="24736" xr:uid="{5C5FA02F-6A6B-43A3-886B-8EBEA9E8141D}"/>
    <cellStyle name="Comma 2 6 7 4" xfId="1987" xr:uid="{00000000-0005-0000-0000-000036130000}"/>
    <cellStyle name="Comma 2 6 7 4 2" xfId="9134" xr:uid="{00000000-0005-0000-0000-000037130000}"/>
    <cellStyle name="Comma 2 6 7 4 2 2" xfId="20680" xr:uid="{0AAD9930-F53C-493A-9E04-DCAE763DC472}"/>
    <cellStyle name="Comma 2 6 7 4 2 3" xfId="31096" xr:uid="{37839525-F64A-4E08-BFCB-86203A948572}"/>
    <cellStyle name="Comma 2 6 7 4 3" xfId="14322" xr:uid="{B6381804-611A-48B0-A459-F2EA8210AD5F}"/>
    <cellStyle name="Comma 2 6 7 4 4" xfId="24738" xr:uid="{C28D7BF4-D260-461F-B458-4D8B9F53007E}"/>
    <cellStyle name="Comma 2 6 7 5" xfId="9129" xr:uid="{00000000-0005-0000-0000-000038130000}"/>
    <cellStyle name="Comma 2 6 7 5 2" xfId="20675" xr:uid="{E61D71EA-2BD8-48FF-B4CB-9948081B3BDD}"/>
    <cellStyle name="Comma 2 6 7 5 3" xfId="31091" xr:uid="{257B624E-3572-4630-A1E2-2959D7601CDB}"/>
    <cellStyle name="Comma 2 6 7 6" xfId="5755" xr:uid="{00000000-0005-0000-0000-000039130000}"/>
    <cellStyle name="Comma 2 6 7 6 2" xfId="17341" xr:uid="{CEBBC45D-76EF-45B5-ACF1-9F99A8D3CBC2}"/>
    <cellStyle name="Comma 2 6 7 6 3" xfId="27757" xr:uid="{E84370FE-DF33-4EF3-A62C-2486B34A295C}"/>
    <cellStyle name="Comma 2 6 7 7" xfId="14317" xr:uid="{E9913CBB-89B6-4CA4-B2EF-89E944062B55}"/>
    <cellStyle name="Comma 2 6 7 8" xfId="24733" xr:uid="{7381F37B-2C43-43CF-BC31-EA70C80DEF92}"/>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2 2 2" xfId="20683" xr:uid="{B8E0439A-A96A-471A-9355-620B7878F6C1}"/>
    <cellStyle name="Comma 2 6 8 2 2 2 3" xfId="31099" xr:uid="{C45A2ACA-C47D-4A5F-9139-AF8EAD5878F6}"/>
    <cellStyle name="Comma 2 6 8 2 2 3" xfId="14325" xr:uid="{3C541848-57DD-4763-8CD3-750E2993DB4A}"/>
    <cellStyle name="Comma 2 6 8 2 2 4" xfId="24741" xr:uid="{82D40D1A-EAE9-402F-81E3-DC6CEA5E3E72}"/>
    <cellStyle name="Comma 2 6 8 2 3" xfId="9136" xr:uid="{00000000-0005-0000-0000-00003E130000}"/>
    <cellStyle name="Comma 2 6 8 2 3 2" xfId="20682" xr:uid="{C962CEA5-DE37-4DDA-8948-1BF8108CE5FE}"/>
    <cellStyle name="Comma 2 6 8 2 3 3" xfId="31098" xr:uid="{7E404149-A690-47FF-9270-81C6E857D09F}"/>
    <cellStyle name="Comma 2 6 8 2 4" xfId="5759" xr:uid="{00000000-0005-0000-0000-00003F130000}"/>
    <cellStyle name="Comma 2 6 8 2 4 2" xfId="17345" xr:uid="{26DD3D33-6C01-452E-860F-DBEAEC2F569B}"/>
    <cellStyle name="Comma 2 6 8 2 4 3" xfId="27761" xr:uid="{A3F13E98-E31D-4AE4-BF36-052444A8BCEA}"/>
    <cellStyle name="Comma 2 6 8 2 5" xfId="14324" xr:uid="{8C0148BB-4C7C-4461-B0E2-FB29E30CB17F}"/>
    <cellStyle name="Comma 2 6 8 2 6" xfId="24740" xr:uid="{35C9B708-796F-4CF8-8F08-37F9DDDE5242}"/>
    <cellStyle name="Comma 2 6 8 3" xfId="1991" xr:uid="{00000000-0005-0000-0000-000040130000}"/>
    <cellStyle name="Comma 2 6 8 3 2" xfId="9138" xr:uid="{00000000-0005-0000-0000-000041130000}"/>
    <cellStyle name="Comma 2 6 8 3 2 2" xfId="20684" xr:uid="{91D73659-9E3F-4065-B97E-D610212F1852}"/>
    <cellStyle name="Comma 2 6 8 3 2 3" xfId="31100" xr:uid="{E84B31F5-1C07-4DC4-839D-0023EA3E242D}"/>
    <cellStyle name="Comma 2 6 8 3 3" xfId="14326" xr:uid="{F2B5868C-2174-4D34-9DBE-1A4A2AE9EC34}"/>
    <cellStyle name="Comma 2 6 8 3 4" xfId="24742" xr:uid="{8E71EE35-86B6-4019-B5C7-74BBDD34D690}"/>
    <cellStyle name="Comma 2 6 8 4" xfId="9135" xr:uid="{00000000-0005-0000-0000-000042130000}"/>
    <cellStyle name="Comma 2 6 8 4 2" xfId="20681" xr:uid="{90945B0D-B9E0-47E9-9FC2-6E4B9EA830FD}"/>
    <cellStyle name="Comma 2 6 8 4 3" xfId="31097" xr:uid="{B5E70E17-8753-4B0B-ACA1-D6A0F7EB0C37}"/>
    <cellStyle name="Comma 2 6 8 5" xfId="5758" xr:uid="{00000000-0005-0000-0000-000043130000}"/>
    <cellStyle name="Comma 2 6 8 5 2" xfId="17344" xr:uid="{61610E7A-9B9A-4132-B7CE-92EAF3C4A226}"/>
    <cellStyle name="Comma 2 6 8 5 3" xfId="27760" xr:uid="{234A2E40-A0DE-4D3E-9FEE-0C6337896AED}"/>
    <cellStyle name="Comma 2 6 8 6" xfId="14323" xr:uid="{E160C17F-7EC7-4A54-A241-B6D4224A181D}"/>
    <cellStyle name="Comma 2 6 8 7" xfId="24739" xr:uid="{8A61A559-7D68-4D4B-9384-30FEE0FBA30C}"/>
    <cellStyle name="Comma 2 6 9" xfId="1992" xr:uid="{00000000-0005-0000-0000-000044130000}"/>
    <cellStyle name="Comma 2 6 9 2" xfId="1993" xr:uid="{00000000-0005-0000-0000-000045130000}"/>
    <cellStyle name="Comma 2 6 9 2 2" xfId="9140" xr:uid="{00000000-0005-0000-0000-000046130000}"/>
    <cellStyle name="Comma 2 6 9 2 2 2" xfId="20686" xr:uid="{E43E8564-5AE2-4069-8E34-15D8B7EF51C9}"/>
    <cellStyle name="Comma 2 6 9 2 2 3" xfId="31102" xr:uid="{5F30C22B-73DB-49B8-9A04-F8201EFF5C0F}"/>
    <cellStyle name="Comma 2 6 9 2 3" xfId="14328" xr:uid="{ACFBA49C-5895-46F7-B409-CEA0B1CDCF51}"/>
    <cellStyle name="Comma 2 6 9 2 4" xfId="24744" xr:uid="{53F68884-E591-4589-99C2-63FC1A7A3837}"/>
    <cellStyle name="Comma 2 6 9 3" xfId="9139" xr:uid="{00000000-0005-0000-0000-000047130000}"/>
    <cellStyle name="Comma 2 6 9 3 2" xfId="20685" xr:uid="{249DEAF5-8B9D-49F6-ACAC-513E769F90D7}"/>
    <cellStyle name="Comma 2 6 9 3 3" xfId="31101" xr:uid="{11C83683-CCE1-477F-A6E5-99E4990AF93D}"/>
    <cellStyle name="Comma 2 6 9 4" xfId="5760" xr:uid="{00000000-0005-0000-0000-000048130000}"/>
    <cellStyle name="Comma 2 6 9 4 2" xfId="17346" xr:uid="{E77484D8-FC17-4E5A-A0C2-FCDABC589D7D}"/>
    <cellStyle name="Comma 2 6 9 4 3" xfId="27762" xr:uid="{A3549EBA-208F-484C-8A8E-14D7B17626C2}"/>
    <cellStyle name="Comma 2 6 9 5" xfId="14327" xr:uid="{F085D101-4FC6-456F-89BF-AAAF9CC34782}"/>
    <cellStyle name="Comma 2 6 9 6" xfId="24743" xr:uid="{05121217-0065-441A-90E4-AB37F0AF6F4E}"/>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2 2 2" xfId="20689" xr:uid="{1F4BF31B-F1C4-46C8-9498-F9236143A48F}"/>
    <cellStyle name="Comma 2 7 10 2 2 3" xfId="31105" xr:uid="{8F64D329-BAB9-401F-A6A6-321C0491B2F1}"/>
    <cellStyle name="Comma 2 7 10 2 3" xfId="14331" xr:uid="{3CD0DDCC-AACA-4C55-859B-C340FECD1B8B}"/>
    <cellStyle name="Comma 2 7 10 2 4" xfId="24747" xr:uid="{5E75CC7B-8445-4B0F-B5CD-F6CAEEA3BE42}"/>
    <cellStyle name="Comma 2 7 10 3" xfId="9142" xr:uid="{00000000-0005-0000-0000-00004D130000}"/>
    <cellStyle name="Comma 2 7 10 3 2" xfId="20688" xr:uid="{68499593-2E61-4C89-8D80-8CC8FC3E1E47}"/>
    <cellStyle name="Comma 2 7 10 3 3" xfId="31104" xr:uid="{0F9E88AB-9F55-4E7C-9383-7E51918C05A7}"/>
    <cellStyle name="Comma 2 7 10 4" xfId="5762" xr:uid="{00000000-0005-0000-0000-00004E130000}"/>
    <cellStyle name="Comma 2 7 10 4 2" xfId="17348" xr:uid="{0AEE3654-2864-42EE-867A-5186FEEA387A}"/>
    <cellStyle name="Comma 2 7 10 4 3" xfId="27764" xr:uid="{A153F994-BCB4-42A6-9C19-6F1944DE42C1}"/>
    <cellStyle name="Comma 2 7 10 5" xfId="14330" xr:uid="{8804353E-B889-41C3-BD1D-42C2CB3ACEBC}"/>
    <cellStyle name="Comma 2 7 10 6" xfId="24746" xr:uid="{0B39BD3F-3CE6-4D03-8250-17026D40434B}"/>
    <cellStyle name="Comma 2 7 11" xfId="1997" xr:uid="{00000000-0005-0000-0000-00004F130000}"/>
    <cellStyle name="Comma 2 7 11 2" xfId="9144" xr:uid="{00000000-0005-0000-0000-000050130000}"/>
    <cellStyle name="Comma 2 7 11 2 2" xfId="20690" xr:uid="{11A8B01A-3BCC-41DE-B2BC-B65264670234}"/>
    <cellStyle name="Comma 2 7 11 2 3" xfId="31106" xr:uid="{145344C6-D5A9-425C-AC56-B3AF83B8FBAC}"/>
    <cellStyle name="Comma 2 7 11 3" xfId="14332" xr:uid="{01B25D9B-37C9-47BF-AB05-FFF4C8FC9421}"/>
    <cellStyle name="Comma 2 7 11 4" xfId="24748" xr:uid="{8D5A96DE-402F-449F-9C6E-9D27FE4C6CA5}"/>
    <cellStyle name="Comma 2 7 12" xfId="9141" xr:uid="{00000000-0005-0000-0000-000051130000}"/>
    <cellStyle name="Comma 2 7 12 2" xfId="20687" xr:uid="{6B3674A9-D6AD-49EF-B9FD-B065170EECE2}"/>
    <cellStyle name="Comma 2 7 12 3" xfId="31103" xr:uid="{6A5760FB-BCB7-4072-A19C-512F9B7DC3D1}"/>
    <cellStyle name="Comma 2 7 13" xfId="5761" xr:uid="{00000000-0005-0000-0000-000052130000}"/>
    <cellStyle name="Comma 2 7 13 2" xfId="17347" xr:uid="{8C8682C5-BC0A-40D9-9891-1D115C225D34}"/>
    <cellStyle name="Comma 2 7 13 3" xfId="27763" xr:uid="{1B8DF0C1-A208-478C-8F95-A9EF27BF1669}"/>
    <cellStyle name="Comma 2 7 14" xfId="14329" xr:uid="{CD90C8F1-C77E-4437-9957-4565A73F3A60}"/>
    <cellStyle name="Comma 2 7 15" xfId="24745" xr:uid="{2BFB160D-508C-4025-8289-9F53E69B3955}"/>
    <cellStyle name="Comma 2 7 2" xfId="1998" xr:uid="{00000000-0005-0000-0000-000053130000}"/>
    <cellStyle name="Comma 2 7 2 10" xfId="1999" xr:uid="{00000000-0005-0000-0000-000054130000}"/>
    <cellStyle name="Comma 2 7 2 10 2" xfId="9146" xr:uid="{00000000-0005-0000-0000-000055130000}"/>
    <cellStyle name="Comma 2 7 2 10 2 2" xfId="20692" xr:uid="{B7165777-5269-465D-A7FE-036039C62E78}"/>
    <cellStyle name="Comma 2 7 2 10 2 3" xfId="31108" xr:uid="{C5CC88B1-B165-481E-A9E5-9565047D3242}"/>
    <cellStyle name="Comma 2 7 2 10 3" xfId="14334" xr:uid="{897A7B19-A59F-4291-9FF8-F76C2B0777E9}"/>
    <cellStyle name="Comma 2 7 2 10 4" xfId="24750" xr:uid="{C6014051-CD92-4109-8F85-395910149CFD}"/>
    <cellStyle name="Comma 2 7 2 11" xfId="9145" xr:uid="{00000000-0005-0000-0000-000056130000}"/>
    <cellStyle name="Comma 2 7 2 11 2" xfId="20691" xr:uid="{D0EEAA52-EF1A-4B3E-96B5-4A30DEBA0BA4}"/>
    <cellStyle name="Comma 2 7 2 11 3" xfId="31107" xr:uid="{67F01715-0799-4F89-81C2-3F0C0CF5CC00}"/>
    <cellStyle name="Comma 2 7 2 12" xfId="5763" xr:uid="{00000000-0005-0000-0000-000057130000}"/>
    <cellStyle name="Comma 2 7 2 12 2" xfId="17349" xr:uid="{9640A5DC-1966-4ED4-9380-43FD30B27BFE}"/>
    <cellStyle name="Comma 2 7 2 12 3" xfId="27765" xr:uid="{7077A048-5202-45F4-A8B8-2FCD537985FF}"/>
    <cellStyle name="Comma 2 7 2 13" xfId="14333" xr:uid="{2E60EB98-5EC5-4A02-9651-BEF2BBC976C3}"/>
    <cellStyle name="Comma 2 7 2 14" xfId="24749" xr:uid="{4051D410-81F0-47FE-ABC9-C9099AFFB277}"/>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2 2 2" xfId="20696" xr:uid="{57EB9A90-01FB-46C5-A001-48FB614F73A8}"/>
    <cellStyle name="Comma 2 7 2 2 2 2 2 2 3" xfId="31112" xr:uid="{C8A2010A-BA92-4A0C-967B-BAAB106DE95C}"/>
    <cellStyle name="Comma 2 7 2 2 2 2 2 3" xfId="14338" xr:uid="{BB565B2F-7131-45D1-B7C9-B9C37E4BAE38}"/>
    <cellStyle name="Comma 2 7 2 2 2 2 2 4" xfId="24754" xr:uid="{3D6B19B1-7494-4ADE-A4A9-67315D723BBA}"/>
    <cellStyle name="Comma 2 7 2 2 2 2 3" xfId="9149" xr:uid="{00000000-0005-0000-0000-00005D130000}"/>
    <cellStyle name="Comma 2 7 2 2 2 2 3 2" xfId="20695" xr:uid="{566E7ED9-A623-4A9E-9205-2D82E314540C}"/>
    <cellStyle name="Comma 2 7 2 2 2 2 3 3" xfId="31111" xr:uid="{FFC6C852-73EB-4951-9825-EDC159CF6034}"/>
    <cellStyle name="Comma 2 7 2 2 2 2 4" xfId="5766" xr:uid="{00000000-0005-0000-0000-00005E130000}"/>
    <cellStyle name="Comma 2 7 2 2 2 2 4 2" xfId="17352" xr:uid="{25771A40-63F3-4708-B0C0-5B8509DA68E2}"/>
    <cellStyle name="Comma 2 7 2 2 2 2 4 3" xfId="27768" xr:uid="{EE3E7E63-CAA1-428F-914A-4C055D88D9AA}"/>
    <cellStyle name="Comma 2 7 2 2 2 2 5" xfId="14337" xr:uid="{E4D6EA9B-6426-4A75-8DF5-680C0553C6C0}"/>
    <cellStyle name="Comma 2 7 2 2 2 2 6" xfId="24753" xr:uid="{171FC19A-AAE8-4869-9773-B328386396B5}"/>
    <cellStyle name="Comma 2 7 2 2 2 3" xfId="2004" xr:uid="{00000000-0005-0000-0000-00005F130000}"/>
    <cellStyle name="Comma 2 7 2 2 2 3 2" xfId="9151" xr:uid="{00000000-0005-0000-0000-000060130000}"/>
    <cellStyle name="Comma 2 7 2 2 2 3 2 2" xfId="20697" xr:uid="{497C14AD-34B6-4524-A42E-096A199B11AC}"/>
    <cellStyle name="Comma 2 7 2 2 2 3 2 3" xfId="31113" xr:uid="{B49C7ECC-C88F-48EC-A142-9E01D8D0F3F4}"/>
    <cellStyle name="Comma 2 7 2 2 2 3 3" xfId="14339" xr:uid="{7BA5ED20-D120-4DDD-BE8C-1914F8478E99}"/>
    <cellStyle name="Comma 2 7 2 2 2 3 4" xfId="24755" xr:uid="{C719CC9B-6D33-41BE-BD2F-F5FEAE6C69B7}"/>
    <cellStyle name="Comma 2 7 2 2 2 4" xfId="9148" xr:uid="{00000000-0005-0000-0000-000061130000}"/>
    <cellStyle name="Comma 2 7 2 2 2 4 2" xfId="20694" xr:uid="{1A72074B-99BF-4744-9E5C-B2DACB1CF926}"/>
    <cellStyle name="Comma 2 7 2 2 2 4 3" xfId="31110" xr:uid="{F5100C3C-F1C2-4FEF-9326-6279F9BDB812}"/>
    <cellStyle name="Comma 2 7 2 2 2 5" xfId="5765" xr:uid="{00000000-0005-0000-0000-000062130000}"/>
    <cellStyle name="Comma 2 7 2 2 2 5 2" xfId="17351" xr:uid="{54CC6A3A-4E1F-41D5-A587-82A314CC3A2D}"/>
    <cellStyle name="Comma 2 7 2 2 2 5 3" xfId="27767" xr:uid="{48E8BD77-73D0-4840-B2CE-4FA63C9FC6C7}"/>
    <cellStyle name="Comma 2 7 2 2 2 6" xfId="14336" xr:uid="{09934DBD-E2E8-4574-8ADD-F967568CA07A}"/>
    <cellStyle name="Comma 2 7 2 2 2 7" xfId="24752" xr:uid="{E0F41AA3-2AF9-49FD-8AA9-4A1EB32E4528}"/>
    <cellStyle name="Comma 2 7 2 2 3" xfId="2005" xr:uid="{00000000-0005-0000-0000-000063130000}"/>
    <cellStyle name="Comma 2 7 2 2 3 2" xfId="2006" xr:uid="{00000000-0005-0000-0000-000064130000}"/>
    <cellStyle name="Comma 2 7 2 2 3 2 2" xfId="9153" xr:uid="{00000000-0005-0000-0000-000065130000}"/>
    <cellStyle name="Comma 2 7 2 2 3 2 2 2" xfId="20699" xr:uid="{BF7B69B9-81DE-4F72-ADB0-FF67262B4D06}"/>
    <cellStyle name="Comma 2 7 2 2 3 2 2 3" xfId="31115" xr:uid="{0F448D15-266E-44C2-9528-791ED461A1D6}"/>
    <cellStyle name="Comma 2 7 2 2 3 2 3" xfId="14341" xr:uid="{B5AFFBE4-1476-45A1-971C-B00A9566E83E}"/>
    <cellStyle name="Comma 2 7 2 2 3 2 4" xfId="24757" xr:uid="{0AD77FED-AA74-4FC1-90EF-6E479CC44DB0}"/>
    <cellStyle name="Comma 2 7 2 2 3 3" xfId="9152" xr:uid="{00000000-0005-0000-0000-000066130000}"/>
    <cellStyle name="Comma 2 7 2 2 3 3 2" xfId="20698" xr:uid="{F4A19598-2582-4D8A-9C39-E9C2C1F043FE}"/>
    <cellStyle name="Comma 2 7 2 2 3 3 3" xfId="31114" xr:uid="{DA1AAF06-241B-43C0-A276-79477C08CC57}"/>
    <cellStyle name="Comma 2 7 2 2 3 4" xfId="5767" xr:uid="{00000000-0005-0000-0000-000067130000}"/>
    <cellStyle name="Comma 2 7 2 2 3 4 2" xfId="17353" xr:uid="{8CC42B71-7F7B-4CA6-8AE9-173B78FFBDBD}"/>
    <cellStyle name="Comma 2 7 2 2 3 4 3" xfId="27769" xr:uid="{02198EB6-2F5A-4544-8440-62DA13A7226D}"/>
    <cellStyle name="Comma 2 7 2 2 3 5" xfId="14340" xr:uid="{088D8358-CA71-4AFB-843D-E481C399B8CA}"/>
    <cellStyle name="Comma 2 7 2 2 3 6" xfId="24756" xr:uid="{FF18DD4A-F982-4718-B54D-E9653656C78B}"/>
    <cellStyle name="Comma 2 7 2 2 4" xfId="2007" xr:uid="{00000000-0005-0000-0000-000068130000}"/>
    <cellStyle name="Comma 2 7 2 2 4 2" xfId="2008" xr:uid="{00000000-0005-0000-0000-000069130000}"/>
    <cellStyle name="Comma 2 7 2 2 4 2 2" xfId="9155" xr:uid="{00000000-0005-0000-0000-00006A130000}"/>
    <cellStyle name="Comma 2 7 2 2 4 2 2 2" xfId="20701" xr:uid="{224784C6-BCB6-4494-8E69-6085C1AA9349}"/>
    <cellStyle name="Comma 2 7 2 2 4 2 2 3" xfId="31117" xr:uid="{868557EF-39AE-4A3F-8068-DC7681DD6BD8}"/>
    <cellStyle name="Comma 2 7 2 2 4 2 3" xfId="14343" xr:uid="{BF16E585-6502-4013-8C32-6AB67BC11555}"/>
    <cellStyle name="Comma 2 7 2 2 4 2 4" xfId="24759" xr:uid="{E28FC70F-D7A6-4335-B1A6-0CEEA5D244BD}"/>
    <cellStyle name="Comma 2 7 2 2 4 3" xfId="9154" xr:uid="{00000000-0005-0000-0000-00006B130000}"/>
    <cellStyle name="Comma 2 7 2 2 4 3 2" xfId="20700" xr:uid="{3F31F220-32A9-40E1-A949-C1797B65BD09}"/>
    <cellStyle name="Comma 2 7 2 2 4 3 3" xfId="31116" xr:uid="{388D7BA0-F5AB-49F5-9E3D-BC17D49BCFFE}"/>
    <cellStyle name="Comma 2 7 2 2 4 4" xfId="5768" xr:uid="{00000000-0005-0000-0000-00006C130000}"/>
    <cellStyle name="Comma 2 7 2 2 4 4 2" xfId="17354" xr:uid="{1E7B826D-0616-4196-8199-2CA7CBD10117}"/>
    <cellStyle name="Comma 2 7 2 2 4 4 3" xfId="27770" xr:uid="{680F3BE6-2CEF-4D7F-9784-239FC3F23C6C}"/>
    <cellStyle name="Comma 2 7 2 2 4 5" xfId="14342" xr:uid="{5D99773D-63C5-4907-B434-57955F7DBBD4}"/>
    <cellStyle name="Comma 2 7 2 2 4 6" xfId="24758" xr:uid="{CD9665D6-4875-4655-A438-A70EB7F26042}"/>
    <cellStyle name="Comma 2 7 2 2 5" xfId="2009" xr:uid="{00000000-0005-0000-0000-00006D130000}"/>
    <cellStyle name="Comma 2 7 2 2 5 2" xfId="9156" xr:uid="{00000000-0005-0000-0000-00006E130000}"/>
    <cellStyle name="Comma 2 7 2 2 5 2 2" xfId="20702" xr:uid="{741D765A-C9E8-4CE0-A329-59DE12482D7C}"/>
    <cellStyle name="Comma 2 7 2 2 5 2 3" xfId="31118" xr:uid="{DBCB5263-50AA-47F7-BD1C-61FCD3D91E5E}"/>
    <cellStyle name="Comma 2 7 2 2 5 3" xfId="14344" xr:uid="{33446A08-38BD-4596-A7F6-80D631FA9610}"/>
    <cellStyle name="Comma 2 7 2 2 5 4" xfId="24760" xr:uid="{A24447B7-13B9-436B-A690-9ACFDF25E12A}"/>
    <cellStyle name="Comma 2 7 2 2 6" xfId="9147" xr:uid="{00000000-0005-0000-0000-00006F130000}"/>
    <cellStyle name="Comma 2 7 2 2 6 2" xfId="20693" xr:uid="{86FF0B57-65F7-416E-8EF0-68F90EFAB7F8}"/>
    <cellStyle name="Comma 2 7 2 2 6 3" xfId="31109" xr:uid="{6B5A4108-CEAD-4728-BA9E-DB864E934C38}"/>
    <cellStyle name="Comma 2 7 2 2 7" xfId="5764" xr:uid="{00000000-0005-0000-0000-000070130000}"/>
    <cellStyle name="Comma 2 7 2 2 7 2" xfId="17350" xr:uid="{352588B8-4E2E-44C1-9C78-EDFD98A9D337}"/>
    <cellStyle name="Comma 2 7 2 2 7 3" xfId="27766" xr:uid="{BDB1C743-96F6-46FE-93EE-74B0A9294D00}"/>
    <cellStyle name="Comma 2 7 2 2 8" xfId="14335" xr:uid="{DFDE1E56-0A6E-4901-83A8-250BB6475B09}"/>
    <cellStyle name="Comma 2 7 2 2 9" xfId="24751" xr:uid="{421EE2FA-C4AA-4A2B-9CD8-0671CC184D32}"/>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2 2 2" xfId="20706" xr:uid="{5672F633-873B-45A7-8C47-0EE4A51488EF}"/>
    <cellStyle name="Comma 2 7 2 3 2 2 2 2 3" xfId="31122" xr:uid="{9EEBAFC3-2515-4E49-BE3C-58B1C6DC0F67}"/>
    <cellStyle name="Comma 2 7 2 3 2 2 2 3" xfId="14348" xr:uid="{26BA229F-C040-42F8-AE63-68513D096C92}"/>
    <cellStyle name="Comma 2 7 2 3 2 2 2 4" xfId="24764" xr:uid="{129B3861-C797-4CBE-9995-7ED6DDBB1A73}"/>
    <cellStyle name="Comma 2 7 2 3 2 2 3" xfId="9159" xr:uid="{00000000-0005-0000-0000-000076130000}"/>
    <cellStyle name="Comma 2 7 2 3 2 2 3 2" xfId="20705" xr:uid="{16C9C6E5-7BD8-4862-8884-E17AA42A48FB}"/>
    <cellStyle name="Comma 2 7 2 3 2 2 3 3" xfId="31121" xr:uid="{418A5F9D-E1FB-43DE-AC0C-2D40380DB743}"/>
    <cellStyle name="Comma 2 7 2 3 2 2 4" xfId="5771" xr:uid="{00000000-0005-0000-0000-000077130000}"/>
    <cellStyle name="Comma 2 7 2 3 2 2 4 2" xfId="17357" xr:uid="{9C9840EE-7B27-4166-9162-3DBD26F512C4}"/>
    <cellStyle name="Comma 2 7 2 3 2 2 4 3" xfId="27773" xr:uid="{6C928ED5-D616-4BBF-9F0D-465081A8FA59}"/>
    <cellStyle name="Comma 2 7 2 3 2 2 5" xfId="14347" xr:uid="{E51B6A0A-1990-40C3-849F-5D8B91DEB3EE}"/>
    <cellStyle name="Comma 2 7 2 3 2 2 6" xfId="24763" xr:uid="{64FB543F-EAFF-4D79-A4A9-67FDA7E435D1}"/>
    <cellStyle name="Comma 2 7 2 3 2 3" xfId="2014" xr:uid="{00000000-0005-0000-0000-000078130000}"/>
    <cellStyle name="Comma 2 7 2 3 2 3 2" xfId="9161" xr:uid="{00000000-0005-0000-0000-000079130000}"/>
    <cellStyle name="Comma 2 7 2 3 2 3 2 2" xfId="20707" xr:uid="{EADB999F-04CB-4392-84DD-CE89898AC284}"/>
    <cellStyle name="Comma 2 7 2 3 2 3 2 3" xfId="31123" xr:uid="{15BB24C6-9FB4-4FA0-95FD-B995070FB3EA}"/>
    <cellStyle name="Comma 2 7 2 3 2 3 3" xfId="14349" xr:uid="{CE778D58-0DBA-4887-BD9A-67A6E6BED176}"/>
    <cellStyle name="Comma 2 7 2 3 2 3 4" xfId="24765" xr:uid="{E8007FB8-92A2-40BB-BCF8-04CA110D937C}"/>
    <cellStyle name="Comma 2 7 2 3 2 4" xfId="9158" xr:uid="{00000000-0005-0000-0000-00007A130000}"/>
    <cellStyle name="Comma 2 7 2 3 2 4 2" xfId="20704" xr:uid="{11287B87-FC2C-4FDF-B166-086B2FCDE746}"/>
    <cellStyle name="Comma 2 7 2 3 2 4 3" xfId="31120" xr:uid="{C2D30B06-91BD-4575-A1D0-249F3E1A35BC}"/>
    <cellStyle name="Comma 2 7 2 3 2 5" xfId="5770" xr:uid="{00000000-0005-0000-0000-00007B130000}"/>
    <cellStyle name="Comma 2 7 2 3 2 5 2" xfId="17356" xr:uid="{28B1320B-9D94-4C9B-AA18-2832C5F9B143}"/>
    <cellStyle name="Comma 2 7 2 3 2 5 3" xfId="27772" xr:uid="{95A3DBB4-66C3-4ECA-91D4-9B62CD49E407}"/>
    <cellStyle name="Comma 2 7 2 3 2 6" xfId="14346" xr:uid="{65EC798B-692B-4A25-A30A-C4905B501715}"/>
    <cellStyle name="Comma 2 7 2 3 2 7" xfId="24762" xr:uid="{DEDA3C9D-BF68-4274-AFBA-62895B4C18D8}"/>
    <cellStyle name="Comma 2 7 2 3 3" xfId="2015" xr:uid="{00000000-0005-0000-0000-00007C130000}"/>
    <cellStyle name="Comma 2 7 2 3 3 2" xfId="2016" xr:uid="{00000000-0005-0000-0000-00007D130000}"/>
    <cellStyle name="Comma 2 7 2 3 3 2 2" xfId="9163" xr:uid="{00000000-0005-0000-0000-00007E130000}"/>
    <cellStyle name="Comma 2 7 2 3 3 2 2 2" xfId="20709" xr:uid="{1B299CF0-69CB-43DF-8E68-52F880A0B156}"/>
    <cellStyle name="Comma 2 7 2 3 3 2 2 3" xfId="31125" xr:uid="{61A23C2B-250A-4839-ADF2-EB1E7164EA03}"/>
    <cellStyle name="Comma 2 7 2 3 3 2 3" xfId="14351" xr:uid="{971DD20D-73C3-4C78-96D0-CDDE108A6902}"/>
    <cellStyle name="Comma 2 7 2 3 3 2 4" xfId="24767" xr:uid="{2ED2AA0E-C13E-4230-81CF-6E6E4BD099A2}"/>
    <cellStyle name="Comma 2 7 2 3 3 3" xfId="9162" xr:uid="{00000000-0005-0000-0000-00007F130000}"/>
    <cellStyle name="Comma 2 7 2 3 3 3 2" xfId="20708" xr:uid="{592559F3-8ED5-4A5D-82E6-B89B6FB20EC2}"/>
    <cellStyle name="Comma 2 7 2 3 3 3 3" xfId="31124" xr:uid="{383010E4-D8E9-4F40-9378-828A7D79F401}"/>
    <cellStyle name="Comma 2 7 2 3 3 4" xfId="5772" xr:uid="{00000000-0005-0000-0000-000080130000}"/>
    <cellStyle name="Comma 2 7 2 3 3 4 2" xfId="17358" xr:uid="{1691DFC9-CCF8-49A3-8DBB-FEDD22276748}"/>
    <cellStyle name="Comma 2 7 2 3 3 4 3" xfId="27774" xr:uid="{7AA2B50C-DB4A-49BB-80B7-C02CD09E0FF9}"/>
    <cellStyle name="Comma 2 7 2 3 3 5" xfId="14350" xr:uid="{A57F8489-45FE-43B3-9540-B08963E7F674}"/>
    <cellStyle name="Comma 2 7 2 3 3 6" xfId="24766" xr:uid="{9CA2D91C-62C0-4BED-B163-559F0A935EFE}"/>
    <cellStyle name="Comma 2 7 2 3 4" xfId="2017" xr:uid="{00000000-0005-0000-0000-000081130000}"/>
    <cellStyle name="Comma 2 7 2 3 4 2" xfId="2018" xr:uid="{00000000-0005-0000-0000-000082130000}"/>
    <cellStyle name="Comma 2 7 2 3 4 2 2" xfId="9165" xr:uid="{00000000-0005-0000-0000-000083130000}"/>
    <cellStyle name="Comma 2 7 2 3 4 2 2 2" xfId="20711" xr:uid="{1711F92F-B791-4E3A-946A-24B8F38B8ADE}"/>
    <cellStyle name="Comma 2 7 2 3 4 2 2 3" xfId="31127" xr:uid="{2453AB2C-BFEF-4829-BC5D-3B930D1A3D22}"/>
    <cellStyle name="Comma 2 7 2 3 4 2 3" xfId="14353" xr:uid="{41F833FB-862E-45F6-88F8-9791FF642C39}"/>
    <cellStyle name="Comma 2 7 2 3 4 2 4" xfId="24769" xr:uid="{751512E5-8863-4529-A7A6-A937BEB08037}"/>
    <cellStyle name="Comma 2 7 2 3 4 3" xfId="9164" xr:uid="{00000000-0005-0000-0000-000084130000}"/>
    <cellStyle name="Comma 2 7 2 3 4 3 2" xfId="20710" xr:uid="{9691A683-5F6A-4EC0-8390-D997D554419C}"/>
    <cellStyle name="Comma 2 7 2 3 4 3 3" xfId="31126" xr:uid="{F059E82A-146F-4947-8E8B-8689A687B614}"/>
    <cellStyle name="Comma 2 7 2 3 4 4" xfId="5773" xr:uid="{00000000-0005-0000-0000-000085130000}"/>
    <cellStyle name="Comma 2 7 2 3 4 4 2" xfId="17359" xr:uid="{54A853A6-A413-47E1-B5A6-7C8032DDDD57}"/>
    <cellStyle name="Comma 2 7 2 3 4 4 3" xfId="27775" xr:uid="{6D00829F-50E1-4ABC-A8F0-1601E2E274D3}"/>
    <cellStyle name="Comma 2 7 2 3 4 5" xfId="14352" xr:uid="{47402161-30CB-46A7-8872-A80468EE5F46}"/>
    <cellStyle name="Comma 2 7 2 3 4 6" xfId="24768" xr:uid="{0071F00D-8EED-4802-8B92-B5F0516A44F0}"/>
    <cellStyle name="Comma 2 7 2 3 5" xfId="2019" xr:uid="{00000000-0005-0000-0000-000086130000}"/>
    <cellStyle name="Comma 2 7 2 3 5 2" xfId="9166" xr:uid="{00000000-0005-0000-0000-000087130000}"/>
    <cellStyle name="Comma 2 7 2 3 5 2 2" xfId="20712" xr:uid="{E883AF67-4119-432C-B22F-375190502789}"/>
    <cellStyle name="Comma 2 7 2 3 5 2 3" xfId="31128" xr:uid="{0DB96A59-BD9B-499D-8185-63D202CE8AC0}"/>
    <cellStyle name="Comma 2 7 2 3 5 3" xfId="14354" xr:uid="{C4250FC2-955D-446E-BD76-407CBA44A5D9}"/>
    <cellStyle name="Comma 2 7 2 3 5 4" xfId="24770" xr:uid="{40961273-F4C3-4570-A47A-CFCA85E0D861}"/>
    <cellStyle name="Comma 2 7 2 3 6" xfId="9157" xr:uid="{00000000-0005-0000-0000-000088130000}"/>
    <cellStyle name="Comma 2 7 2 3 6 2" xfId="20703" xr:uid="{783BC655-D3FE-4908-A20C-B26C5C3C09FF}"/>
    <cellStyle name="Comma 2 7 2 3 6 3" xfId="31119" xr:uid="{462F6F8A-4220-4CA6-987C-FCC28DD5DE22}"/>
    <cellStyle name="Comma 2 7 2 3 7" xfId="5769" xr:uid="{00000000-0005-0000-0000-000089130000}"/>
    <cellStyle name="Comma 2 7 2 3 7 2" xfId="17355" xr:uid="{D3070033-2DA5-440C-84DA-0821AEE5BF53}"/>
    <cellStyle name="Comma 2 7 2 3 7 3" xfId="27771" xr:uid="{4C411F56-66DB-4636-8969-A42A074F5A1E}"/>
    <cellStyle name="Comma 2 7 2 3 8" xfId="14345" xr:uid="{2E78445A-5497-41AC-AAC1-7AF338B89836}"/>
    <cellStyle name="Comma 2 7 2 3 9" xfId="24761" xr:uid="{799A8310-E274-460A-8394-A65EBA63ECCE}"/>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2 2 2" xfId="20716" xr:uid="{AF1A6808-831A-4F1C-BAF9-B114DAAAD613}"/>
    <cellStyle name="Comma 2 7 2 4 2 2 2 2 3" xfId="31132" xr:uid="{5D2A108C-8561-4FBA-A397-156C44B1A72F}"/>
    <cellStyle name="Comma 2 7 2 4 2 2 2 3" xfId="14358" xr:uid="{C4E5EE69-890C-4535-B4A1-14871851D62D}"/>
    <cellStyle name="Comma 2 7 2 4 2 2 2 4" xfId="24774" xr:uid="{F3D02EE8-C08B-48D6-B682-B066EBD227A0}"/>
    <cellStyle name="Comma 2 7 2 4 2 2 3" xfId="9169" xr:uid="{00000000-0005-0000-0000-00008F130000}"/>
    <cellStyle name="Comma 2 7 2 4 2 2 3 2" xfId="20715" xr:uid="{BD94E577-478D-4C43-A988-0678F3490069}"/>
    <cellStyle name="Comma 2 7 2 4 2 2 3 3" xfId="31131" xr:uid="{F0013F05-A393-4241-9819-A0139773620E}"/>
    <cellStyle name="Comma 2 7 2 4 2 2 4" xfId="5776" xr:uid="{00000000-0005-0000-0000-000090130000}"/>
    <cellStyle name="Comma 2 7 2 4 2 2 4 2" xfId="17362" xr:uid="{FDA3F7B0-7FC7-4C7F-A22A-29B8F054F724}"/>
    <cellStyle name="Comma 2 7 2 4 2 2 4 3" xfId="27778" xr:uid="{43768AF7-4515-420C-879D-E4F55BAEEA14}"/>
    <cellStyle name="Comma 2 7 2 4 2 2 5" xfId="14357" xr:uid="{125209D7-5E93-4931-A1B6-767D8C234BCC}"/>
    <cellStyle name="Comma 2 7 2 4 2 2 6" xfId="24773" xr:uid="{BD598651-C3FA-4F1A-A634-7262EDD825AF}"/>
    <cellStyle name="Comma 2 7 2 4 2 3" xfId="2024" xr:uid="{00000000-0005-0000-0000-000091130000}"/>
    <cellStyle name="Comma 2 7 2 4 2 3 2" xfId="9171" xr:uid="{00000000-0005-0000-0000-000092130000}"/>
    <cellStyle name="Comma 2 7 2 4 2 3 2 2" xfId="20717" xr:uid="{47988EB7-4C7C-45BA-A226-C66B774B8B04}"/>
    <cellStyle name="Comma 2 7 2 4 2 3 2 3" xfId="31133" xr:uid="{858CD5E8-86A9-4321-9133-3C8C9F55A7DB}"/>
    <cellStyle name="Comma 2 7 2 4 2 3 3" xfId="14359" xr:uid="{BF56043B-0A7B-4B81-99A1-5581F63E5B37}"/>
    <cellStyle name="Comma 2 7 2 4 2 3 4" xfId="24775" xr:uid="{D6808B1B-59C1-4E00-A57B-4D19F58912A6}"/>
    <cellStyle name="Comma 2 7 2 4 2 4" xfId="9168" xr:uid="{00000000-0005-0000-0000-000093130000}"/>
    <cellStyle name="Comma 2 7 2 4 2 4 2" xfId="20714" xr:uid="{ECD23E8A-13FE-48E1-A214-54FE6647284C}"/>
    <cellStyle name="Comma 2 7 2 4 2 4 3" xfId="31130" xr:uid="{9888573F-E999-4F5E-9790-1F95E051E5B4}"/>
    <cellStyle name="Comma 2 7 2 4 2 5" xfId="5775" xr:uid="{00000000-0005-0000-0000-000094130000}"/>
    <cellStyle name="Comma 2 7 2 4 2 5 2" xfId="17361" xr:uid="{5DEE454E-3147-4A43-B10B-BDD54D8748E6}"/>
    <cellStyle name="Comma 2 7 2 4 2 5 3" xfId="27777" xr:uid="{10A7BA6F-0433-4040-BCD4-82FD06B1D6E1}"/>
    <cellStyle name="Comma 2 7 2 4 2 6" xfId="14356" xr:uid="{99FFF18A-646C-4F72-835B-900A7C98EC5D}"/>
    <cellStyle name="Comma 2 7 2 4 2 7" xfId="24772" xr:uid="{4964C553-E859-4275-AE0C-AFE02D7B59C1}"/>
    <cellStyle name="Comma 2 7 2 4 3" xfId="2025" xr:uid="{00000000-0005-0000-0000-000095130000}"/>
    <cellStyle name="Comma 2 7 2 4 3 2" xfId="2026" xr:uid="{00000000-0005-0000-0000-000096130000}"/>
    <cellStyle name="Comma 2 7 2 4 3 2 2" xfId="9173" xr:uid="{00000000-0005-0000-0000-000097130000}"/>
    <cellStyle name="Comma 2 7 2 4 3 2 2 2" xfId="20719" xr:uid="{2D3B2986-6913-4284-AF34-7403BF039FCE}"/>
    <cellStyle name="Comma 2 7 2 4 3 2 2 3" xfId="31135" xr:uid="{ABC39227-305C-4A0F-8B2B-94737D018CCC}"/>
    <cellStyle name="Comma 2 7 2 4 3 2 3" xfId="14361" xr:uid="{CCCF16B3-A199-4AA4-AD38-99DA36CB946E}"/>
    <cellStyle name="Comma 2 7 2 4 3 2 4" xfId="24777" xr:uid="{E57CE269-D1F5-4165-A7B6-91260C63E82A}"/>
    <cellStyle name="Comma 2 7 2 4 3 3" xfId="9172" xr:uid="{00000000-0005-0000-0000-000098130000}"/>
    <cellStyle name="Comma 2 7 2 4 3 3 2" xfId="20718" xr:uid="{DCADC98C-55D9-4B99-A036-5E02A39349FF}"/>
    <cellStyle name="Comma 2 7 2 4 3 3 3" xfId="31134" xr:uid="{421156F3-A55D-4BC0-89C0-D73B550EF24E}"/>
    <cellStyle name="Comma 2 7 2 4 3 4" xfId="5777" xr:uid="{00000000-0005-0000-0000-000099130000}"/>
    <cellStyle name="Comma 2 7 2 4 3 4 2" xfId="17363" xr:uid="{563F162D-463C-42FD-9052-3E24CDD61529}"/>
    <cellStyle name="Comma 2 7 2 4 3 4 3" xfId="27779" xr:uid="{476DA23F-8C70-4B7E-809D-4966981534AF}"/>
    <cellStyle name="Comma 2 7 2 4 3 5" xfId="14360" xr:uid="{7B171521-46FC-4DE5-9EBB-455102EACFA1}"/>
    <cellStyle name="Comma 2 7 2 4 3 6" xfId="24776" xr:uid="{2B676A18-2BD8-4572-B4C0-36BC6ADE50EB}"/>
    <cellStyle name="Comma 2 7 2 4 4" xfId="2027" xr:uid="{00000000-0005-0000-0000-00009A130000}"/>
    <cellStyle name="Comma 2 7 2 4 4 2" xfId="2028" xr:uid="{00000000-0005-0000-0000-00009B130000}"/>
    <cellStyle name="Comma 2 7 2 4 4 2 2" xfId="9175" xr:uid="{00000000-0005-0000-0000-00009C130000}"/>
    <cellStyle name="Comma 2 7 2 4 4 2 2 2" xfId="20721" xr:uid="{3F39D423-CE73-4063-9195-653F8F010A93}"/>
    <cellStyle name="Comma 2 7 2 4 4 2 2 3" xfId="31137" xr:uid="{54188E33-A265-4E0C-9CF7-FCF581E3DBC3}"/>
    <cellStyle name="Comma 2 7 2 4 4 2 3" xfId="14363" xr:uid="{5DEE4112-4B41-421B-B050-DBCB305AF3C7}"/>
    <cellStyle name="Comma 2 7 2 4 4 2 4" xfId="24779" xr:uid="{B082E1CC-48FD-48D0-94D8-9D09F75DD603}"/>
    <cellStyle name="Comma 2 7 2 4 4 3" xfId="9174" xr:uid="{00000000-0005-0000-0000-00009D130000}"/>
    <cellStyle name="Comma 2 7 2 4 4 3 2" xfId="20720" xr:uid="{8F97DAC3-B31A-4A62-855F-094047265AAC}"/>
    <cellStyle name="Comma 2 7 2 4 4 3 3" xfId="31136" xr:uid="{42F8BB47-94E7-4C76-BF2A-DF675405286B}"/>
    <cellStyle name="Comma 2 7 2 4 4 4" xfId="5778" xr:uid="{00000000-0005-0000-0000-00009E130000}"/>
    <cellStyle name="Comma 2 7 2 4 4 4 2" xfId="17364" xr:uid="{2974C782-2F0A-4C44-BDB9-174AE20C5BF6}"/>
    <cellStyle name="Comma 2 7 2 4 4 4 3" xfId="27780" xr:uid="{2BAA1F01-C0EA-48F9-9762-450A5FF766E6}"/>
    <cellStyle name="Comma 2 7 2 4 4 5" xfId="14362" xr:uid="{5EACC5A8-3F6D-4E29-964A-1C82F51480FF}"/>
    <cellStyle name="Comma 2 7 2 4 4 6" xfId="24778" xr:uid="{5A9291E2-BC56-40D2-98E0-20D0852B2967}"/>
    <cellStyle name="Comma 2 7 2 4 5" xfId="2029" xr:uid="{00000000-0005-0000-0000-00009F130000}"/>
    <cellStyle name="Comma 2 7 2 4 5 2" xfId="9176" xr:uid="{00000000-0005-0000-0000-0000A0130000}"/>
    <cellStyle name="Comma 2 7 2 4 5 2 2" xfId="20722" xr:uid="{A5C55838-0A4C-442E-86B5-BC3C9A82387F}"/>
    <cellStyle name="Comma 2 7 2 4 5 2 3" xfId="31138" xr:uid="{823A18DF-318F-4C10-BD19-123FA9517ADC}"/>
    <cellStyle name="Comma 2 7 2 4 5 3" xfId="14364" xr:uid="{17DFCF14-957F-498F-9162-6BF85C5D67D5}"/>
    <cellStyle name="Comma 2 7 2 4 5 4" xfId="24780" xr:uid="{1ABDC8B7-833E-4F0A-BC4F-B04B29635FC5}"/>
    <cellStyle name="Comma 2 7 2 4 6" xfId="9167" xr:uid="{00000000-0005-0000-0000-0000A1130000}"/>
    <cellStyle name="Comma 2 7 2 4 6 2" xfId="20713" xr:uid="{1D715FE0-515C-43C9-BEAA-E44D81768230}"/>
    <cellStyle name="Comma 2 7 2 4 6 3" xfId="31129" xr:uid="{9115765B-E547-4DD8-9A30-E52FB186D8F0}"/>
    <cellStyle name="Comma 2 7 2 4 7" xfId="5774" xr:uid="{00000000-0005-0000-0000-0000A2130000}"/>
    <cellStyle name="Comma 2 7 2 4 7 2" xfId="17360" xr:uid="{838229E3-8F60-40DB-98E8-F3F4FAAE5DC8}"/>
    <cellStyle name="Comma 2 7 2 4 7 3" xfId="27776" xr:uid="{B8E6D199-67F7-44B1-AFED-BD4D96E8EF69}"/>
    <cellStyle name="Comma 2 7 2 4 8" xfId="14355" xr:uid="{0E3B1857-4180-4B5F-A404-4364A556F16C}"/>
    <cellStyle name="Comma 2 7 2 4 9" xfId="24771" xr:uid="{A790B034-69D8-4D65-B4CB-287B44FE317E}"/>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2 2 2" xfId="20726" xr:uid="{1E8EA80B-2E42-437D-A8BC-97539B95AAF5}"/>
    <cellStyle name="Comma 2 7 2 5 2 2 2 2 3" xfId="31142" xr:uid="{2DA76C9E-1878-4DBC-93C4-00C5C5A52B46}"/>
    <cellStyle name="Comma 2 7 2 5 2 2 2 3" xfId="14368" xr:uid="{C75BE317-770D-497F-9F2F-11DA3495340D}"/>
    <cellStyle name="Comma 2 7 2 5 2 2 2 4" xfId="24784" xr:uid="{54BF863D-7984-40F4-847C-389C230CE9E8}"/>
    <cellStyle name="Comma 2 7 2 5 2 2 3" xfId="9179" xr:uid="{00000000-0005-0000-0000-0000A8130000}"/>
    <cellStyle name="Comma 2 7 2 5 2 2 3 2" xfId="20725" xr:uid="{33ACDABE-2134-4B19-900E-606DE8484C89}"/>
    <cellStyle name="Comma 2 7 2 5 2 2 3 3" xfId="31141" xr:uid="{2CEC50FB-0B12-485B-B5D0-8244C8496FB8}"/>
    <cellStyle name="Comma 2 7 2 5 2 2 4" xfId="5781" xr:uid="{00000000-0005-0000-0000-0000A9130000}"/>
    <cellStyle name="Comma 2 7 2 5 2 2 4 2" xfId="17367" xr:uid="{F4DF19A4-6DC0-45DF-AC3C-F58608276375}"/>
    <cellStyle name="Comma 2 7 2 5 2 2 4 3" xfId="27783" xr:uid="{087B5DBD-0A48-482C-9883-A14BF259EEF3}"/>
    <cellStyle name="Comma 2 7 2 5 2 2 5" xfId="14367" xr:uid="{4805C067-2E40-4897-BE41-F98E3FDF8D43}"/>
    <cellStyle name="Comma 2 7 2 5 2 2 6" xfId="24783" xr:uid="{F3BB1868-B6CC-465A-9B0E-A87DB3A2407A}"/>
    <cellStyle name="Comma 2 7 2 5 2 3" xfId="2034" xr:uid="{00000000-0005-0000-0000-0000AA130000}"/>
    <cellStyle name="Comma 2 7 2 5 2 3 2" xfId="9181" xr:uid="{00000000-0005-0000-0000-0000AB130000}"/>
    <cellStyle name="Comma 2 7 2 5 2 3 2 2" xfId="20727" xr:uid="{C6BEED0D-22F5-48D0-B5B4-EB467F54BF41}"/>
    <cellStyle name="Comma 2 7 2 5 2 3 2 3" xfId="31143" xr:uid="{DB052C82-B8E9-435C-B706-678E147468BF}"/>
    <cellStyle name="Comma 2 7 2 5 2 3 3" xfId="14369" xr:uid="{8219C81E-D1F4-4F36-894C-8B72537DB1DE}"/>
    <cellStyle name="Comma 2 7 2 5 2 3 4" xfId="24785" xr:uid="{08A58CA3-B2A3-4017-8F0B-03DB50DD3B02}"/>
    <cellStyle name="Comma 2 7 2 5 2 4" xfId="9178" xr:uid="{00000000-0005-0000-0000-0000AC130000}"/>
    <cellStyle name="Comma 2 7 2 5 2 4 2" xfId="20724" xr:uid="{64BEC712-769F-4419-9B85-B125550AC39E}"/>
    <cellStyle name="Comma 2 7 2 5 2 4 3" xfId="31140" xr:uid="{F2BC58E3-7E35-468C-AEFF-47FD00B86521}"/>
    <cellStyle name="Comma 2 7 2 5 2 5" xfId="5780" xr:uid="{00000000-0005-0000-0000-0000AD130000}"/>
    <cellStyle name="Comma 2 7 2 5 2 5 2" xfId="17366" xr:uid="{E3DA057B-F74E-4C92-8945-6C42A4D81058}"/>
    <cellStyle name="Comma 2 7 2 5 2 5 3" xfId="27782" xr:uid="{257F2475-6A6E-4D90-92EA-2C3445790902}"/>
    <cellStyle name="Comma 2 7 2 5 2 6" xfId="14366" xr:uid="{80E4656F-47E7-4BE2-820F-2C20121986D0}"/>
    <cellStyle name="Comma 2 7 2 5 2 7" xfId="24782" xr:uid="{676DBB6D-C9AC-4CCB-88F1-07BD474BAC24}"/>
    <cellStyle name="Comma 2 7 2 5 3" xfId="2035" xr:uid="{00000000-0005-0000-0000-0000AE130000}"/>
    <cellStyle name="Comma 2 7 2 5 3 2" xfId="2036" xr:uid="{00000000-0005-0000-0000-0000AF130000}"/>
    <cellStyle name="Comma 2 7 2 5 3 2 2" xfId="9183" xr:uid="{00000000-0005-0000-0000-0000B0130000}"/>
    <cellStyle name="Comma 2 7 2 5 3 2 2 2" xfId="20729" xr:uid="{2E0A75A8-6FFF-4F15-9222-5746E44836E3}"/>
    <cellStyle name="Comma 2 7 2 5 3 2 2 3" xfId="31145" xr:uid="{9F8FBBEA-A554-4475-8F2F-351440F90F37}"/>
    <cellStyle name="Comma 2 7 2 5 3 2 3" xfId="14371" xr:uid="{5D6E7185-636E-4844-A2BA-092AFCD8B9F1}"/>
    <cellStyle name="Comma 2 7 2 5 3 2 4" xfId="24787" xr:uid="{439B8D6E-FC8D-422B-AEC2-4981FA9A7A98}"/>
    <cellStyle name="Comma 2 7 2 5 3 3" xfId="9182" xr:uid="{00000000-0005-0000-0000-0000B1130000}"/>
    <cellStyle name="Comma 2 7 2 5 3 3 2" xfId="20728" xr:uid="{DAE4B3EC-5FD4-4C90-8C01-FD4CA0A47DD8}"/>
    <cellStyle name="Comma 2 7 2 5 3 3 3" xfId="31144" xr:uid="{A43C65EC-2C05-41F8-8696-464E8BD37434}"/>
    <cellStyle name="Comma 2 7 2 5 3 4" xfId="5782" xr:uid="{00000000-0005-0000-0000-0000B2130000}"/>
    <cellStyle name="Comma 2 7 2 5 3 4 2" xfId="17368" xr:uid="{D1824D21-344C-491B-8FCF-914696FAA659}"/>
    <cellStyle name="Comma 2 7 2 5 3 4 3" xfId="27784" xr:uid="{A294A952-E1FE-4894-870B-6E1B23662056}"/>
    <cellStyle name="Comma 2 7 2 5 3 5" xfId="14370" xr:uid="{7593ECD4-F296-4452-B9C9-F0420DCFC099}"/>
    <cellStyle name="Comma 2 7 2 5 3 6" xfId="24786" xr:uid="{D24B03CD-898A-4D05-A460-46314283DF06}"/>
    <cellStyle name="Comma 2 7 2 5 4" xfId="2037" xr:uid="{00000000-0005-0000-0000-0000B3130000}"/>
    <cellStyle name="Comma 2 7 2 5 4 2" xfId="2038" xr:uid="{00000000-0005-0000-0000-0000B4130000}"/>
    <cellStyle name="Comma 2 7 2 5 4 2 2" xfId="9185" xr:uid="{00000000-0005-0000-0000-0000B5130000}"/>
    <cellStyle name="Comma 2 7 2 5 4 2 2 2" xfId="20731" xr:uid="{73B8B312-9A8E-45A7-B3C3-98F1CA8DD64C}"/>
    <cellStyle name="Comma 2 7 2 5 4 2 2 3" xfId="31147" xr:uid="{EC9794A2-93ED-442F-A993-EB6A324BCE26}"/>
    <cellStyle name="Comma 2 7 2 5 4 2 3" xfId="14373" xr:uid="{98F27448-547A-4EDE-8DA6-4488B84674B9}"/>
    <cellStyle name="Comma 2 7 2 5 4 2 4" xfId="24789" xr:uid="{FDEEEF9F-512C-4EE2-B20E-712E174973A0}"/>
    <cellStyle name="Comma 2 7 2 5 4 3" xfId="9184" xr:uid="{00000000-0005-0000-0000-0000B6130000}"/>
    <cellStyle name="Comma 2 7 2 5 4 3 2" xfId="20730" xr:uid="{B27A3802-08FF-4F99-BE2A-A1223A352C25}"/>
    <cellStyle name="Comma 2 7 2 5 4 3 3" xfId="31146" xr:uid="{587FC175-53D8-4399-ADA2-505AB2D9F775}"/>
    <cellStyle name="Comma 2 7 2 5 4 4" xfId="5783" xr:uid="{00000000-0005-0000-0000-0000B7130000}"/>
    <cellStyle name="Comma 2 7 2 5 4 4 2" xfId="17369" xr:uid="{55926D61-5196-4F52-B81C-187B961DE5D3}"/>
    <cellStyle name="Comma 2 7 2 5 4 4 3" xfId="27785" xr:uid="{E7F6CA33-AAF0-4910-9CDD-3C5DE763FF23}"/>
    <cellStyle name="Comma 2 7 2 5 4 5" xfId="14372" xr:uid="{BD53B9DF-40D5-4D47-BD6F-76C365A10D16}"/>
    <cellStyle name="Comma 2 7 2 5 4 6" xfId="24788" xr:uid="{50553B7F-1706-4F3F-988A-1C5154A67F20}"/>
    <cellStyle name="Comma 2 7 2 5 5" xfId="2039" xr:uid="{00000000-0005-0000-0000-0000B8130000}"/>
    <cellStyle name="Comma 2 7 2 5 5 2" xfId="9186" xr:uid="{00000000-0005-0000-0000-0000B9130000}"/>
    <cellStyle name="Comma 2 7 2 5 5 2 2" xfId="20732" xr:uid="{B7549D8A-17EB-42EC-9904-D70D930A4F0B}"/>
    <cellStyle name="Comma 2 7 2 5 5 2 3" xfId="31148" xr:uid="{FA2FD54B-4EAA-4377-930D-640D315C3AF9}"/>
    <cellStyle name="Comma 2 7 2 5 5 3" xfId="14374" xr:uid="{3BF36435-868A-4A57-A5D6-8F8B7F1EF0B9}"/>
    <cellStyle name="Comma 2 7 2 5 5 4" xfId="24790" xr:uid="{281B2B13-0EC5-44CF-94D4-4D1DAEBE8EDB}"/>
    <cellStyle name="Comma 2 7 2 5 6" xfId="9177" xr:uid="{00000000-0005-0000-0000-0000BA130000}"/>
    <cellStyle name="Comma 2 7 2 5 6 2" xfId="20723" xr:uid="{18D7E7C5-B177-4990-A195-A42A3DA8DA8A}"/>
    <cellStyle name="Comma 2 7 2 5 6 3" xfId="31139" xr:uid="{6189E2D0-68F5-4AC7-80A4-4BEE6E07F26A}"/>
    <cellStyle name="Comma 2 7 2 5 7" xfId="5779" xr:uid="{00000000-0005-0000-0000-0000BB130000}"/>
    <cellStyle name="Comma 2 7 2 5 7 2" xfId="17365" xr:uid="{A4C4CE6D-BA49-43F3-A7D9-AD6852404C34}"/>
    <cellStyle name="Comma 2 7 2 5 7 3" xfId="27781" xr:uid="{8C94FF4E-1D4B-4975-9F37-EB7CB81EAEA9}"/>
    <cellStyle name="Comma 2 7 2 5 8" xfId="14365" xr:uid="{95B8EE4B-89BD-4436-AE83-BC30C8BD806C}"/>
    <cellStyle name="Comma 2 7 2 5 9" xfId="24781" xr:uid="{87E25922-B860-4710-9648-51BE965CAB47}"/>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2 2 2" xfId="20735" xr:uid="{7EFCF74C-0B41-4466-BFC2-86D0EDBF7A00}"/>
    <cellStyle name="Comma 2 7 2 6 2 2 2 3" xfId="31151" xr:uid="{68746BB2-F07A-4150-B962-CDD69F01B576}"/>
    <cellStyle name="Comma 2 7 2 6 2 2 3" xfId="14377" xr:uid="{39DAFD5E-1A01-44DA-9497-53CC93FBB3A3}"/>
    <cellStyle name="Comma 2 7 2 6 2 2 4" xfId="24793" xr:uid="{F9F9B7EB-4160-4F43-87CB-188DC6DE2337}"/>
    <cellStyle name="Comma 2 7 2 6 2 3" xfId="9188" xr:uid="{00000000-0005-0000-0000-0000C0130000}"/>
    <cellStyle name="Comma 2 7 2 6 2 3 2" xfId="20734" xr:uid="{49E5A97B-6C2C-42BD-9048-F8F129A82F32}"/>
    <cellStyle name="Comma 2 7 2 6 2 3 3" xfId="31150" xr:uid="{97C2FA0E-47EE-4E1D-B130-C6192D6B1580}"/>
    <cellStyle name="Comma 2 7 2 6 2 4" xfId="5785" xr:uid="{00000000-0005-0000-0000-0000C1130000}"/>
    <cellStyle name="Comma 2 7 2 6 2 4 2" xfId="17371" xr:uid="{216AD3C4-9CCD-4691-B135-C74732D0A5AF}"/>
    <cellStyle name="Comma 2 7 2 6 2 4 3" xfId="27787" xr:uid="{54AC4A99-A0EA-48BA-9D0A-3EEC94A23ADC}"/>
    <cellStyle name="Comma 2 7 2 6 2 5" xfId="14376" xr:uid="{606ABE78-0475-4FB6-B79B-81E602B33C2A}"/>
    <cellStyle name="Comma 2 7 2 6 2 6" xfId="24792" xr:uid="{EAE8E215-95C8-4BFE-ADC7-0C27481D6D8C}"/>
    <cellStyle name="Comma 2 7 2 6 3" xfId="2043" xr:uid="{00000000-0005-0000-0000-0000C2130000}"/>
    <cellStyle name="Comma 2 7 2 6 3 2" xfId="2044" xr:uid="{00000000-0005-0000-0000-0000C3130000}"/>
    <cellStyle name="Comma 2 7 2 6 3 2 2" xfId="9191" xr:uid="{00000000-0005-0000-0000-0000C4130000}"/>
    <cellStyle name="Comma 2 7 2 6 3 2 2 2" xfId="20737" xr:uid="{2349A8F5-F69B-4011-A8F8-F1AFDC335FB3}"/>
    <cellStyle name="Comma 2 7 2 6 3 2 2 3" xfId="31153" xr:uid="{3F6F0410-CC54-4482-8E3F-955735662E08}"/>
    <cellStyle name="Comma 2 7 2 6 3 2 3" xfId="14379" xr:uid="{AD1A4B80-BC3D-4132-8C24-0D0D37425D03}"/>
    <cellStyle name="Comma 2 7 2 6 3 2 4" xfId="24795" xr:uid="{8397F24B-43C0-4592-A395-41C112125DAF}"/>
    <cellStyle name="Comma 2 7 2 6 3 3" xfId="9190" xr:uid="{00000000-0005-0000-0000-0000C5130000}"/>
    <cellStyle name="Comma 2 7 2 6 3 3 2" xfId="20736" xr:uid="{35798478-81A6-4D99-A6D7-71D34CE2CFAA}"/>
    <cellStyle name="Comma 2 7 2 6 3 3 3" xfId="31152" xr:uid="{BDD0307F-5B18-4EB3-92CE-E8A4A643B6BD}"/>
    <cellStyle name="Comma 2 7 2 6 3 4" xfId="5786" xr:uid="{00000000-0005-0000-0000-0000C6130000}"/>
    <cellStyle name="Comma 2 7 2 6 3 4 2" xfId="17372" xr:uid="{CEB2E485-CCA3-4402-BC08-8B7FD86ED66D}"/>
    <cellStyle name="Comma 2 7 2 6 3 4 3" xfId="27788" xr:uid="{FD1E15E9-C8BC-4A1C-9668-B8FA1ECB0CF8}"/>
    <cellStyle name="Comma 2 7 2 6 3 5" xfId="14378" xr:uid="{F4CAD845-F863-4C63-B8D6-2136DC552E54}"/>
    <cellStyle name="Comma 2 7 2 6 3 6" xfId="24794" xr:uid="{07BC6B44-9245-4B33-B275-6C357E45E4B5}"/>
    <cellStyle name="Comma 2 7 2 6 4" xfId="2045" xr:uid="{00000000-0005-0000-0000-0000C7130000}"/>
    <cellStyle name="Comma 2 7 2 6 4 2" xfId="9192" xr:uid="{00000000-0005-0000-0000-0000C8130000}"/>
    <cellStyle name="Comma 2 7 2 6 4 2 2" xfId="20738" xr:uid="{51EFA0C9-606D-4CE8-8006-2AECF03DBD4D}"/>
    <cellStyle name="Comma 2 7 2 6 4 2 3" xfId="31154" xr:uid="{C4603C00-FE66-4A3C-8D5F-345917280B85}"/>
    <cellStyle name="Comma 2 7 2 6 4 3" xfId="14380" xr:uid="{68D75090-1144-4699-8831-CE55C730342A}"/>
    <cellStyle name="Comma 2 7 2 6 4 4" xfId="24796" xr:uid="{87F68624-00B0-4644-9F2D-7452E4E9982F}"/>
    <cellStyle name="Comma 2 7 2 6 5" xfId="9187" xr:uid="{00000000-0005-0000-0000-0000C9130000}"/>
    <cellStyle name="Comma 2 7 2 6 5 2" xfId="20733" xr:uid="{263AB461-80D7-4961-8640-E58225FF6854}"/>
    <cellStyle name="Comma 2 7 2 6 5 3" xfId="31149" xr:uid="{51BB7F7B-A25C-4B31-AE93-89CF3A094230}"/>
    <cellStyle name="Comma 2 7 2 6 6" xfId="5784" xr:uid="{00000000-0005-0000-0000-0000CA130000}"/>
    <cellStyle name="Comma 2 7 2 6 6 2" xfId="17370" xr:uid="{D80B5E6D-BC55-4633-8C29-D08B83BF2B30}"/>
    <cellStyle name="Comma 2 7 2 6 6 3" xfId="27786" xr:uid="{42638F1B-798B-4979-A978-012ED0B09261}"/>
    <cellStyle name="Comma 2 7 2 6 7" xfId="14375" xr:uid="{436F0D87-90F9-4FD5-994F-89BDFD89805F}"/>
    <cellStyle name="Comma 2 7 2 6 8" xfId="24791" xr:uid="{C7622CE5-4CC2-45EF-8319-9506442EB06F}"/>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2 2 2" xfId="20741" xr:uid="{207C42B1-D70B-49E4-B523-CD25A8DADB0A}"/>
    <cellStyle name="Comma 2 7 2 7 2 2 2 3" xfId="31157" xr:uid="{D4B1EEBD-35F5-40C6-94B0-A4619F7FB826}"/>
    <cellStyle name="Comma 2 7 2 7 2 2 3" xfId="14383" xr:uid="{7C32B0E1-F8CD-4BFA-82B9-31D311C2E002}"/>
    <cellStyle name="Comma 2 7 2 7 2 2 4" xfId="24799" xr:uid="{2D695193-DA91-4C3A-BC12-6C36F696E49F}"/>
    <cellStyle name="Comma 2 7 2 7 2 3" xfId="9194" xr:uid="{00000000-0005-0000-0000-0000CF130000}"/>
    <cellStyle name="Comma 2 7 2 7 2 3 2" xfId="20740" xr:uid="{B3097523-6D2E-4D0B-9749-9BACCB2E641E}"/>
    <cellStyle name="Comma 2 7 2 7 2 3 3" xfId="31156" xr:uid="{1FB7346E-06F5-4EF5-AC17-43244C96888A}"/>
    <cellStyle name="Comma 2 7 2 7 2 4" xfId="5788" xr:uid="{00000000-0005-0000-0000-0000D0130000}"/>
    <cellStyle name="Comma 2 7 2 7 2 4 2" xfId="17374" xr:uid="{35D95E10-A344-45EA-9B9D-ACB94B5E9102}"/>
    <cellStyle name="Comma 2 7 2 7 2 4 3" xfId="27790" xr:uid="{C7521EBA-DE9D-4203-8C02-273AF609A36C}"/>
    <cellStyle name="Comma 2 7 2 7 2 5" xfId="14382" xr:uid="{D5F57DFF-8D79-4B13-B093-1487035DFA8E}"/>
    <cellStyle name="Comma 2 7 2 7 2 6" xfId="24798" xr:uid="{09D463E7-A7AC-4514-BD22-3E42DB332C13}"/>
    <cellStyle name="Comma 2 7 2 7 3" xfId="2049" xr:uid="{00000000-0005-0000-0000-0000D1130000}"/>
    <cellStyle name="Comma 2 7 2 7 3 2" xfId="9196" xr:uid="{00000000-0005-0000-0000-0000D2130000}"/>
    <cellStyle name="Comma 2 7 2 7 3 2 2" xfId="20742" xr:uid="{4BBA3F81-3C63-4C3C-B398-14F81D6C2E23}"/>
    <cellStyle name="Comma 2 7 2 7 3 2 3" xfId="31158" xr:uid="{55D8A49A-E1AE-46BD-A757-E4F0F96E7E47}"/>
    <cellStyle name="Comma 2 7 2 7 3 3" xfId="14384" xr:uid="{484E20E4-0B74-4A7F-A68F-AA48A43D8388}"/>
    <cellStyle name="Comma 2 7 2 7 3 4" xfId="24800" xr:uid="{3C17FF17-C1D8-47D0-87D2-91A9DA778427}"/>
    <cellStyle name="Comma 2 7 2 7 4" xfId="9193" xr:uid="{00000000-0005-0000-0000-0000D3130000}"/>
    <cellStyle name="Comma 2 7 2 7 4 2" xfId="20739" xr:uid="{9FC26C98-C5C9-4ABE-8FBF-464B2B0049DD}"/>
    <cellStyle name="Comma 2 7 2 7 4 3" xfId="31155" xr:uid="{802F896D-FF1A-4336-B926-2EE465CD48E0}"/>
    <cellStyle name="Comma 2 7 2 7 5" xfId="5787" xr:uid="{00000000-0005-0000-0000-0000D4130000}"/>
    <cellStyle name="Comma 2 7 2 7 5 2" xfId="17373" xr:uid="{0CB050EE-ED10-4C12-84B2-9C5B90C0B154}"/>
    <cellStyle name="Comma 2 7 2 7 5 3" xfId="27789" xr:uid="{76A3638E-7930-45AB-9222-DDD3C8FF79A3}"/>
    <cellStyle name="Comma 2 7 2 7 6" xfId="14381" xr:uid="{78A5B84D-A8C4-4AAF-98B6-03E0AEECB799}"/>
    <cellStyle name="Comma 2 7 2 7 7" xfId="24797" xr:uid="{559DF3A7-4C0C-448C-A4FA-9B330A978E7C}"/>
    <cellStyle name="Comma 2 7 2 8" xfId="2050" xr:uid="{00000000-0005-0000-0000-0000D5130000}"/>
    <cellStyle name="Comma 2 7 2 8 2" xfId="2051" xr:uid="{00000000-0005-0000-0000-0000D6130000}"/>
    <cellStyle name="Comma 2 7 2 8 2 2" xfId="9198" xr:uid="{00000000-0005-0000-0000-0000D7130000}"/>
    <cellStyle name="Comma 2 7 2 8 2 2 2" xfId="20744" xr:uid="{D2BD8CE8-FDC6-4174-869B-BDB7F1FA170C}"/>
    <cellStyle name="Comma 2 7 2 8 2 2 3" xfId="31160" xr:uid="{57E8CF74-6532-4E80-9015-C97D5AC324DE}"/>
    <cellStyle name="Comma 2 7 2 8 2 3" xfId="14386" xr:uid="{07B2DA85-33DC-4597-827E-F97E3BBD06A1}"/>
    <cellStyle name="Comma 2 7 2 8 2 4" xfId="24802" xr:uid="{85DC80E7-1A33-4695-91C0-A065663245DC}"/>
    <cellStyle name="Comma 2 7 2 8 3" xfId="9197" xr:uid="{00000000-0005-0000-0000-0000D8130000}"/>
    <cellStyle name="Comma 2 7 2 8 3 2" xfId="20743" xr:uid="{3009CDCF-5485-4F51-A122-CA93CE6D4DF3}"/>
    <cellStyle name="Comma 2 7 2 8 3 3" xfId="31159" xr:uid="{1852CB5B-EC8E-4881-A392-F2418BE3525C}"/>
    <cellStyle name="Comma 2 7 2 8 4" xfId="5789" xr:uid="{00000000-0005-0000-0000-0000D9130000}"/>
    <cellStyle name="Comma 2 7 2 8 4 2" xfId="17375" xr:uid="{D8C34E14-670E-45FE-AA85-D62AA868DFB8}"/>
    <cellStyle name="Comma 2 7 2 8 4 3" xfId="27791" xr:uid="{A3E12561-01A7-4F3F-94DC-E95CC40761E4}"/>
    <cellStyle name="Comma 2 7 2 8 5" xfId="14385" xr:uid="{75CF03F1-C1E1-4519-AB24-AE85B9769842}"/>
    <cellStyle name="Comma 2 7 2 8 6" xfId="24801" xr:uid="{2736CB79-1D61-4749-8A21-44D035E4F69B}"/>
    <cellStyle name="Comma 2 7 2 9" xfId="2052" xr:uid="{00000000-0005-0000-0000-0000DA130000}"/>
    <cellStyle name="Comma 2 7 2 9 2" xfId="2053" xr:uid="{00000000-0005-0000-0000-0000DB130000}"/>
    <cellStyle name="Comma 2 7 2 9 2 2" xfId="9200" xr:uid="{00000000-0005-0000-0000-0000DC130000}"/>
    <cellStyle name="Comma 2 7 2 9 2 2 2" xfId="20746" xr:uid="{3026F269-ADBA-4FA2-BC40-7DE77443C846}"/>
    <cellStyle name="Comma 2 7 2 9 2 2 3" xfId="31162" xr:uid="{1178D620-EBD4-488A-ADBF-EB702335057E}"/>
    <cellStyle name="Comma 2 7 2 9 2 3" xfId="14388" xr:uid="{8803DDA1-6592-45F0-9080-3BA6BF14E199}"/>
    <cellStyle name="Comma 2 7 2 9 2 4" xfId="24804" xr:uid="{E730E120-9D37-413F-B07F-F0A920ED24DD}"/>
    <cellStyle name="Comma 2 7 2 9 3" xfId="9199" xr:uid="{00000000-0005-0000-0000-0000DD130000}"/>
    <cellStyle name="Comma 2 7 2 9 3 2" xfId="20745" xr:uid="{97B01A67-1650-4134-A400-F52C71A24FEE}"/>
    <cellStyle name="Comma 2 7 2 9 3 3" xfId="31161" xr:uid="{F224AAC2-ADC0-4622-83B9-73E078DD9CD2}"/>
    <cellStyle name="Comma 2 7 2 9 4" xfId="5790" xr:uid="{00000000-0005-0000-0000-0000DE130000}"/>
    <cellStyle name="Comma 2 7 2 9 4 2" xfId="17376" xr:uid="{7660CB92-838C-4B9E-ACC4-6037AC3CEB3A}"/>
    <cellStyle name="Comma 2 7 2 9 4 3" xfId="27792" xr:uid="{2B471BDF-64D3-4707-9430-4759B26487F9}"/>
    <cellStyle name="Comma 2 7 2 9 5" xfId="14387" xr:uid="{8D374744-90D5-48CF-9A11-6904835893ED}"/>
    <cellStyle name="Comma 2 7 2 9 6" xfId="24803" xr:uid="{EE38F10D-6D99-4845-9E65-281B501C2C71}"/>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2 2 2" xfId="20750" xr:uid="{A1545972-98B1-4A8D-8718-A2BEBD7F0B0D}"/>
    <cellStyle name="Comma 2 7 3 2 2 2 2 3" xfId="31166" xr:uid="{16E869DA-1A09-4AC4-9A96-3238166BCA0D}"/>
    <cellStyle name="Comma 2 7 3 2 2 2 3" xfId="14392" xr:uid="{1D05EFF9-8A54-4804-8E60-7C71E50A8CBD}"/>
    <cellStyle name="Comma 2 7 3 2 2 2 4" xfId="24808" xr:uid="{FB817768-C1FD-46B0-BC32-8CE7BFB55071}"/>
    <cellStyle name="Comma 2 7 3 2 2 3" xfId="9203" xr:uid="{00000000-0005-0000-0000-0000E4130000}"/>
    <cellStyle name="Comma 2 7 3 2 2 3 2" xfId="20749" xr:uid="{3541D550-94AC-41CB-8595-EEB7A0FFB728}"/>
    <cellStyle name="Comma 2 7 3 2 2 3 3" xfId="31165" xr:uid="{4D22F6B8-33B2-4AD6-A225-383CF926072A}"/>
    <cellStyle name="Comma 2 7 3 2 2 4" xfId="5793" xr:uid="{00000000-0005-0000-0000-0000E5130000}"/>
    <cellStyle name="Comma 2 7 3 2 2 4 2" xfId="17379" xr:uid="{9240DE15-32AA-4866-B0C4-06B81E474079}"/>
    <cellStyle name="Comma 2 7 3 2 2 4 3" xfId="27795" xr:uid="{3C671F73-D1B6-40D4-89E6-ED6A5D5F4AB1}"/>
    <cellStyle name="Comma 2 7 3 2 2 5" xfId="14391" xr:uid="{BDB85341-2FD7-4E4E-AD44-8AA3E7426152}"/>
    <cellStyle name="Comma 2 7 3 2 2 6" xfId="24807" xr:uid="{B51ED7BC-905D-4755-8429-55BA4D6E536F}"/>
    <cellStyle name="Comma 2 7 3 2 3" xfId="2058" xr:uid="{00000000-0005-0000-0000-0000E6130000}"/>
    <cellStyle name="Comma 2 7 3 2 3 2" xfId="9205" xr:uid="{00000000-0005-0000-0000-0000E7130000}"/>
    <cellStyle name="Comma 2 7 3 2 3 2 2" xfId="20751" xr:uid="{B75DF1A4-5C5C-4261-A32A-23D0966B145E}"/>
    <cellStyle name="Comma 2 7 3 2 3 2 3" xfId="31167" xr:uid="{BCFBE68C-352A-42B5-93DD-F51427877AF9}"/>
    <cellStyle name="Comma 2 7 3 2 3 3" xfId="14393" xr:uid="{AB3B9069-4167-4556-B328-753102B94A74}"/>
    <cellStyle name="Comma 2 7 3 2 3 4" xfId="24809" xr:uid="{E21A1584-61CA-4B59-B240-F9DBEE428A0B}"/>
    <cellStyle name="Comma 2 7 3 2 4" xfId="9202" xr:uid="{00000000-0005-0000-0000-0000E8130000}"/>
    <cellStyle name="Comma 2 7 3 2 4 2" xfId="20748" xr:uid="{FD4526FD-A2D9-43B5-96E6-28E30B941279}"/>
    <cellStyle name="Comma 2 7 3 2 4 3" xfId="31164" xr:uid="{8363A7F5-A135-45EB-B82A-55EF1E468CF6}"/>
    <cellStyle name="Comma 2 7 3 2 5" xfId="5792" xr:uid="{00000000-0005-0000-0000-0000E9130000}"/>
    <cellStyle name="Comma 2 7 3 2 5 2" xfId="17378" xr:uid="{1454DBF0-36B9-45CF-860E-0D6AC3069B87}"/>
    <cellStyle name="Comma 2 7 3 2 5 3" xfId="27794" xr:uid="{83DFD6A7-8ED2-4FA2-9B52-F48896077802}"/>
    <cellStyle name="Comma 2 7 3 2 6" xfId="14390" xr:uid="{551FD933-8782-48FE-BFD1-9ADA6ED3CCA2}"/>
    <cellStyle name="Comma 2 7 3 2 7" xfId="24806" xr:uid="{02F90985-E3CD-4AD0-85DC-E06B351D9D18}"/>
    <cellStyle name="Comma 2 7 3 3" xfId="2059" xr:uid="{00000000-0005-0000-0000-0000EA130000}"/>
    <cellStyle name="Comma 2 7 3 3 2" xfId="2060" xr:uid="{00000000-0005-0000-0000-0000EB130000}"/>
    <cellStyle name="Comma 2 7 3 3 2 2" xfId="9207" xr:uid="{00000000-0005-0000-0000-0000EC130000}"/>
    <cellStyle name="Comma 2 7 3 3 2 2 2" xfId="20753" xr:uid="{39B40F3B-52F0-4AD3-A2CF-A3A57DF25C9A}"/>
    <cellStyle name="Comma 2 7 3 3 2 2 3" xfId="31169" xr:uid="{FF08AA18-67B8-49BB-8989-7BE628C6A79F}"/>
    <cellStyle name="Comma 2 7 3 3 2 3" xfId="14395" xr:uid="{BC326328-522E-4B58-B438-D370FD99F69F}"/>
    <cellStyle name="Comma 2 7 3 3 2 4" xfId="24811" xr:uid="{258FAFA0-C7DB-4BE4-AA62-DE44C796328D}"/>
    <cellStyle name="Comma 2 7 3 3 3" xfId="9206" xr:uid="{00000000-0005-0000-0000-0000ED130000}"/>
    <cellStyle name="Comma 2 7 3 3 3 2" xfId="20752" xr:uid="{8294F097-4940-400E-BC0E-BF1D731F896F}"/>
    <cellStyle name="Comma 2 7 3 3 3 3" xfId="31168" xr:uid="{B81F6A29-1D5C-41AF-A8C6-DACC38116547}"/>
    <cellStyle name="Comma 2 7 3 3 4" xfId="5794" xr:uid="{00000000-0005-0000-0000-0000EE130000}"/>
    <cellStyle name="Comma 2 7 3 3 4 2" xfId="17380" xr:uid="{D4F926C9-99A0-445D-A9FE-9CAD6A229459}"/>
    <cellStyle name="Comma 2 7 3 3 4 3" xfId="27796" xr:uid="{F755DDBE-F1EF-4822-B271-9CB7272BF5DC}"/>
    <cellStyle name="Comma 2 7 3 3 5" xfId="14394" xr:uid="{168902CF-DBD4-4E94-8E3C-FACB69AB2E1E}"/>
    <cellStyle name="Comma 2 7 3 3 6" xfId="24810" xr:uid="{BA4EC3AB-4543-40D0-B03F-E19BF4360295}"/>
    <cellStyle name="Comma 2 7 3 4" xfId="2061" xr:uid="{00000000-0005-0000-0000-0000EF130000}"/>
    <cellStyle name="Comma 2 7 3 4 2" xfId="2062" xr:uid="{00000000-0005-0000-0000-0000F0130000}"/>
    <cellStyle name="Comma 2 7 3 4 2 2" xfId="9209" xr:uid="{00000000-0005-0000-0000-0000F1130000}"/>
    <cellStyle name="Comma 2 7 3 4 2 2 2" xfId="20755" xr:uid="{93712F1E-EC07-46E3-BFCB-B61AF9086C70}"/>
    <cellStyle name="Comma 2 7 3 4 2 2 3" xfId="31171" xr:uid="{1C6F7AC0-E4C3-4116-B04E-4E3B604B3A0E}"/>
    <cellStyle name="Comma 2 7 3 4 2 3" xfId="14397" xr:uid="{80E99461-07F9-487A-A228-3D69006BE4EB}"/>
    <cellStyle name="Comma 2 7 3 4 2 4" xfId="24813" xr:uid="{13CDAE27-73C8-4ABB-9889-F10ECAAB95EB}"/>
    <cellStyle name="Comma 2 7 3 4 3" xfId="9208" xr:uid="{00000000-0005-0000-0000-0000F2130000}"/>
    <cellStyle name="Comma 2 7 3 4 3 2" xfId="20754" xr:uid="{909DDD3A-B6D4-4CE3-B202-99A555469858}"/>
    <cellStyle name="Comma 2 7 3 4 3 3" xfId="31170" xr:uid="{DCBBD167-5A0E-45DC-A14E-1872697A6C7C}"/>
    <cellStyle name="Comma 2 7 3 4 4" xfId="5795" xr:uid="{00000000-0005-0000-0000-0000F3130000}"/>
    <cellStyle name="Comma 2 7 3 4 4 2" xfId="17381" xr:uid="{82985CE5-1543-45D2-8BCB-ED36F3DB149A}"/>
    <cellStyle name="Comma 2 7 3 4 4 3" xfId="27797" xr:uid="{32D168E9-27C0-481D-8670-A3C0839C60E1}"/>
    <cellStyle name="Comma 2 7 3 4 5" xfId="14396" xr:uid="{A1C51BD0-D7DE-4BBD-B5A9-73AEC5D80144}"/>
    <cellStyle name="Comma 2 7 3 4 6" xfId="24812" xr:uid="{0DE1CAB8-16A4-4C86-BF67-692692C8B5CC}"/>
    <cellStyle name="Comma 2 7 3 5" xfId="2063" xr:uid="{00000000-0005-0000-0000-0000F4130000}"/>
    <cellStyle name="Comma 2 7 3 5 2" xfId="9210" xr:uid="{00000000-0005-0000-0000-0000F5130000}"/>
    <cellStyle name="Comma 2 7 3 5 2 2" xfId="20756" xr:uid="{D3F30C32-D481-428D-B5A0-DF65064A08D5}"/>
    <cellStyle name="Comma 2 7 3 5 2 3" xfId="31172" xr:uid="{B2207C16-F843-4843-8D34-0C8C50BB6234}"/>
    <cellStyle name="Comma 2 7 3 5 3" xfId="14398" xr:uid="{51033391-9C5E-4F2B-9DC5-FF68AAB54CC4}"/>
    <cellStyle name="Comma 2 7 3 5 4" xfId="24814" xr:uid="{84EACF55-FE70-4D59-A695-986AD3F6ACB6}"/>
    <cellStyle name="Comma 2 7 3 6" xfId="9201" xr:uid="{00000000-0005-0000-0000-0000F6130000}"/>
    <cellStyle name="Comma 2 7 3 6 2" xfId="20747" xr:uid="{16C5CE38-CB21-4EF6-A7D1-CD758CC9D4A1}"/>
    <cellStyle name="Comma 2 7 3 6 3" xfId="31163" xr:uid="{7BA1EDD1-E4FE-41FB-9701-4DEE58D06232}"/>
    <cellStyle name="Comma 2 7 3 7" xfId="5791" xr:uid="{00000000-0005-0000-0000-0000F7130000}"/>
    <cellStyle name="Comma 2 7 3 7 2" xfId="17377" xr:uid="{5717B07B-8D64-44E0-BD5E-DE9A2467B334}"/>
    <cellStyle name="Comma 2 7 3 7 3" xfId="27793" xr:uid="{AA1E51A1-D9E8-48C2-B627-5D760071CFAA}"/>
    <cellStyle name="Comma 2 7 3 8" xfId="14389" xr:uid="{24D4F869-E30C-4504-8C48-C5CCA0947B8A}"/>
    <cellStyle name="Comma 2 7 3 9" xfId="24805" xr:uid="{8D9B9560-E9AD-4582-BA3E-CE1780B7CFD6}"/>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2 2 2" xfId="20760" xr:uid="{D2F998B9-E270-44ED-89D2-5BC2CCC69276}"/>
    <cellStyle name="Comma 2 7 4 2 2 2 2 3" xfId="31176" xr:uid="{DC81C229-3EA2-451F-BE6B-813CBE5619B7}"/>
    <cellStyle name="Comma 2 7 4 2 2 2 3" xfId="14402" xr:uid="{CC2677D3-F966-40F0-90AB-A9CE4F580266}"/>
    <cellStyle name="Comma 2 7 4 2 2 2 4" xfId="24818" xr:uid="{342FAD1C-AF70-4B39-8EA6-3C426DA8AF37}"/>
    <cellStyle name="Comma 2 7 4 2 2 3" xfId="9213" xr:uid="{00000000-0005-0000-0000-0000FD130000}"/>
    <cellStyle name="Comma 2 7 4 2 2 3 2" xfId="20759" xr:uid="{9FC0EFE8-46DD-4228-A435-1093FB5CE14A}"/>
    <cellStyle name="Comma 2 7 4 2 2 3 3" xfId="31175" xr:uid="{F7790705-815A-4405-A8F1-2D75CB6FBA02}"/>
    <cellStyle name="Comma 2 7 4 2 2 4" xfId="5798" xr:uid="{00000000-0005-0000-0000-0000FE130000}"/>
    <cellStyle name="Comma 2 7 4 2 2 4 2" xfId="17384" xr:uid="{B3A5C1D7-8E3D-4B41-A302-58419DA87C8D}"/>
    <cellStyle name="Comma 2 7 4 2 2 4 3" xfId="27800" xr:uid="{C9E793CC-A4B7-4993-AF1A-1510E9E783F2}"/>
    <cellStyle name="Comma 2 7 4 2 2 5" xfId="14401" xr:uid="{D1EDFF2E-E06A-4D40-AE43-65606B9DC963}"/>
    <cellStyle name="Comma 2 7 4 2 2 6" xfId="24817" xr:uid="{44C2E946-1C62-4EFC-AE49-C1A21E41F89D}"/>
    <cellStyle name="Comma 2 7 4 2 3" xfId="2068" xr:uid="{00000000-0005-0000-0000-0000FF130000}"/>
    <cellStyle name="Comma 2 7 4 2 3 2" xfId="9215" xr:uid="{00000000-0005-0000-0000-000000140000}"/>
    <cellStyle name="Comma 2 7 4 2 3 2 2" xfId="20761" xr:uid="{65A01847-595A-4492-84EC-E747028C9C0D}"/>
    <cellStyle name="Comma 2 7 4 2 3 2 3" xfId="31177" xr:uid="{A3E6D88D-ECFD-4019-92F6-2C0D20F9A862}"/>
    <cellStyle name="Comma 2 7 4 2 3 3" xfId="14403" xr:uid="{CA441717-08DA-424A-92B4-E7DC88EB7490}"/>
    <cellStyle name="Comma 2 7 4 2 3 4" xfId="24819" xr:uid="{82AF7121-5ABB-403E-8A01-CC00646449BD}"/>
    <cellStyle name="Comma 2 7 4 2 4" xfId="9212" xr:uid="{00000000-0005-0000-0000-000001140000}"/>
    <cellStyle name="Comma 2 7 4 2 4 2" xfId="20758" xr:uid="{31E26A0F-66DC-4AC8-A810-497BB52C8DD1}"/>
    <cellStyle name="Comma 2 7 4 2 4 3" xfId="31174" xr:uid="{12A5C720-0113-4385-8E88-1EA88CDAB26C}"/>
    <cellStyle name="Comma 2 7 4 2 5" xfId="5797" xr:uid="{00000000-0005-0000-0000-000002140000}"/>
    <cellStyle name="Comma 2 7 4 2 5 2" xfId="17383" xr:uid="{0EA0D631-ABF5-46BB-803E-EA623470F16B}"/>
    <cellStyle name="Comma 2 7 4 2 5 3" xfId="27799" xr:uid="{8FFDFEC5-9229-4076-B4AE-548BA09FA8BD}"/>
    <cellStyle name="Comma 2 7 4 2 6" xfId="14400" xr:uid="{FFFC27AF-567B-4421-B7C6-0B499D20C3F1}"/>
    <cellStyle name="Comma 2 7 4 2 7" xfId="24816" xr:uid="{DA2364CE-0BFA-450F-96E6-5DAE7843A37A}"/>
    <cellStyle name="Comma 2 7 4 3" xfId="2069" xr:uid="{00000000-0005-0000-0000-000003140000}"/>
    <cellStyle name="Comma 2 7 4 3 2" xfId="2070" xr:uid="{00000000-0005-0000-0000-000004140000}"/>
    <cellStyle name="Comma 2 7 4 3 2 2" xfId="9217" xr:uid="{00000000-0005-0000-0000-000005140000}"/>
    <cellStyle name="Comma 2 7 4 3 2 2 2" xfId="20763" xr:uid="{78B863A4-66AB-4172-8C93-1F958E0F4D2A}"/>
    <cellStyle name="Comma 2 7 4 3 2 2 3" xfId="31179" xr:uid="{BDD91602-C4C8-4A1D-8B58-6CFDD4834516}"/>
    <cellStyle name="Comma 2 7 4 3 2 3" xfId="14405" xr:uid="{C9556E0E-B82A-47FA-B69A-415641AEE86B}"/>
    <cellStyle name="Comma 2 7 4 3 2 4" xfId="24821" xr:uid="{24E46154-5D5F-4132-A0E4-7538E39234BE}"/>
    <cellStyle name="Comma 2 7 4 3 3" xfId="9216" xr:uid="{00000000-0005-0000-0000-000006140000}"/>
    <cellStyle name="Comma 2 7 4 3 3 2" xfId="20762" xr:uid="{690BAF25-12A9-44E3-8042-8A01910FA0BA}"/>
    <cellStyle name="Comma 2 7 4 3 3 3" xfId="31178" xr:uid="{0201BEDD-DCFE-412C-A72F-EE22CCE33D57}"/>
    <cellStyle name="Comma 2 7 4 3 4" xfId="5799" xr:uid="{00000000-0005-0000-0000-000007140000}"/>
    <cellStyle name="Comma 2 7 4 3 4 2" xfId="17385" xr:uid="{776F13E3-6E8E-4BB1-9174-841AA20B93E6}"/>
    <cellStyle name="Comma 2 7 4 3 4 3" xfId="27801" xr:uid="{A8F10EC5-098D-44A3-B281-7C3E6188A6AD}"/>
    <cellStyle name="Comma 2 7 4 3 5" xfId="14404" xr:uid="{0C592131-6415-4919-A3A3-A509CCC17D37}"/>
    <cellStyle name="Comma 2 7 4 3 6" xfId="24820" xr:uid="{341ABF67-23E9-4AFD-AD56-0F6E4F88AE01}"/>
    <cellStyle name="Comma 2 7 4 4" xfId="2071" xr:uid="{00000000-0005-0000-0000-000008140000}"/>
    <cellStyle name="Comma 2 7 4 4 2" xfId="2072" xr:uid="{00000000-0005-0000-0000-000009140000}"/>
    <cellStyle name="Comma 2 7 4 4 2 2" xfId="9219" xr:uid="{00000000-0005-0000-0000-00000A140000}"/>
    <cellStyle name="Comma 2 7 4 4 2 2 2" xfId="20765" xr:uid="{CE8E156B-0F5A-46D0-8843-35F88960B6CA}"/>
    <cellStyle name="Comma 2 7 4 4 2 2 3" xfId="31181" xr:uid="{7AE74AEA-C346-49AA-AA2E-38E9C4D8E49C}"/>
    <cellStyle name="Comma 2 7 4 4 2 3" xfId="14407" xr:uid="{DED47AED-F8E4-4DC9-A92D-8357C91415A2}"/>
    <cellStyle name="Comma 2 7 4 4 2 4" xfId="24823" xr:uid="{AA0C4619-804F-4C2E-847F-CB6C016851E7}"/>
    <cellStyle name="Comma 2 7 4 4 3" xfId="9218" xr:uid="{00000000-0005-0000-0000-00000B140000}"/>
    <cellStyle name="Comma 2 7 4 4 3 2" xfId="20764" xr:uid="{E68BC21B-35FF-4E65-9626-B3A0142B9FBE}"/>
    <cellStyle name="Comma 2 7 4 4 3 3" xfId="31180" xr:uid="{C49ACE8A-4EA2-421F-A461-C52EEC01D13E}"/>
    <cellStyle name="Comma 2 7 4 4 4" xfId="5800" xr:uid="{00000000-0005-0000-0000-00000C140000}"/>
    <cellStyle name="Comma 2 7 4 4 4 2" xfId="17386" xr:uid="{4FBF895F-85D9-48F9-9FFD-1DFBC7DE698A}"/>
    <cellStyle name="Comma 2 7 4 4 4 3" xfId="27802" xr:uid="{D638BA1F-2979-4FB4-B609-87F18A62E95B}"/>
    <cellStyle name="Comma 2 7 4 4 5" xfId="14406" xr:uid="{F99D6C42-D4E2-4A36-85CF-D7C358002285}"/>
    <cellStyle name="Comma 2 7 4 4 6" xfId="24822" xr:uid="{35A0600F-1954-4EF2-A73E-B039A2A026CF}"/>
    <cellStyle name="Comma 2 7 4 5" xfId="2073" xr:uid="{00000000-0005-0000-0000-00000D140000}"/>
    <cellStyle name="Comma 2 7 4 5 2" xfId="9220" xr:uid="{00000000-0005-0000-0000-00000E140000}"/>
    <cellStyle name="Comma 2 7 4 5 2 2" xfId="20766" xr:uid="{9A5AAC26-5A1C-4922-A722-CB017651D3AF}"/>
    <cellStyle name="Comma 2 7 4 5 2 3" xfId="31182" xr:uid="{105119B0-04B0-4158-9C37-ECF0855DC447}"/>
    <cellStyle name="Comma 2 7 4 5 3" xfId="14408" xr:uid="{49AB402E-75A6-43C4-A500-D3AB77E3E1D8}"/>
    <cellStyle name="Comma 2 7 4 5 4" xfId="24824" xr:uid="{1DD70705-667F-4093-A8B6-FCF405917AE7}"/>
    <cellStyle name="Comma 2 7 4 6" xfId="9211" xr:uid="{00000000-0005-0000-0000-00000F140000}"/>
    <cellStyle name="Comma 2 7 4 6 2" xfId="20757" xr:uid="{4B41BE0B-5523-47AE-AA18-2065F3FDEAF7}"/>
    <cellStyle name="Comma 2 7 4 6 3" xfId="31173" xr:uid="{3006A73F-FDDE-443F-BB7B-D826AF8198C4}"/>
    <cellStyle name="Comma 2 7 4 7" xfId="5796" xr:uid="{00000000-0005-0000-0000-000010140000}"/>
    <cellStyle name="Comma 2 7 4 7 2" xfId="17382" xr:uid="{1DA9071E-8201-48BA-A9C7-CD7A888C3770}"/>
    <cellStyle name="Comma 2 7 4 7 3" xfId="27798" xr:uid="{0D4B1DA2-BEB2-40C5-BE00-00843A00CB03}"/>
    <cellStyle name="Comma 2 7 4 8" xfId="14399" xr:uid="{B6B8108E-9269-44A7-AD45-E01018EFA5D6}"/>
    <cellStyle name="Comma 2 7 4 9" xfId="24815" xr:uid="{60773352-BA70-408A-9E33-69F6440DEF4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2 2 2" xfId="20770" xr:uid="{EBA0B411-AD50-4B25-B9C8-5013D639E047}"/>
    <cellStyle name="Comma 2 7 5 2 2 2 2 3" xfId="31186" xr:uid="{362F75AF-15F2-475B-86B7-AE06640E18F0}"/>
    <cellStyle name="Comma 2 7 5 2 2 2 3" xfId="14412" xr:uid="{A7C588D7-0767-4AD4-BF88-CC1176F168F3}"/>
    <cellStyle name="Comma 2 7 5 2 2 2 4" xfId="24828" xr:uid="{26A54774-8E28-4D39-9842-E0EDFB0476D2}"/>
    <cellStyle name="Comma 2 7 5 2 2 3" xfId="9223" xr:uid="{00000000-0005-0000-0000-000016140000}"/>
    <cellStyle name="Comma 2 7 5 2 2 3 2" xfId="20769" xr:uid="{9E0F3062-CCC0-4458-A2E5-B0300201B995}"/>
    <cellStyle name="Comma 2 7 5 2 2 3 3" xfId="31185" xr:uid="{45AF34B7-4E8C-4EC9-917A-7F17C5568C75}"/>
    <cellStyle name="Comma 2 7 5 2 2 4" xfId="5803" xr:uid="{00000000-0005-0000-0000-000017140000}"/>
    <cellStyle name="Comma 2 7 5 2 2 4 2" xfId="17389" xr:uid="{922C8864-B82F-4264-A3E0-9A55861FEAE2}"/>
    <cellStyle name="Comma 2 7 5 2 2 4 3" xfId="27805" xr:uid="{45997B11-13CD-4F4F-839F-71542A838622}"/>
    <cellStyle name="Comma 2 7 5 2 2 5" xfId="14411" xr:uid="{BC030C71-C2FF-4166-8866-C2C58FF791FE}"/>
    <cellStyle name="Comma 2 7 5 2 2 6" xfId="24827" xr:uid="{55B2E8E3-7D15-4DD8-870C-2878006A77B9}"/>
    <cellStyle name="Comma 2 7 5 2 3" xfId="2078" xr:uid="{00000000-0005-0000-0000-000018140000}"/>
    <cellStyle name="Comma 2 7 5 2 3 2" xfId="9225" xr:uid="{00000000-0005-0000-0000-000019140000}"/>
    <cellStyle name="Comma 2 7 5 2 3 2 2" xfId="20771" xr:uid="{B47E38F2-147E-4133-899E-C49C2FE4A6BC}"/>
    <cellStyle name="Comma 2 7 5 2 3 2 3" xfId="31187" xr:uid="{C2A50DAB-208E-4712-94B2-2EC2A218C499}"/>
    <cellStyle name="Comma 2 7 5 2 3 3" xfId="14413" xr:uid="{C045AC15-100F-4856-9E4D-C25F907A3A73}"/>
    <cellStyle name="Comma 2 7 5 2 3 4" xfId="24829" xr:uid="{7F1F61DE-F2F8-4E64-8F13-B5F7E71011A6}"/>
    <cellStyle name="Comma 2 7 5 2 4" xfId="9222" xr:uid="{00000000-0005-0000-0000-00001A140000}"/>
    <cellStyle name="Comma 2 7 5 2 4 2" xfId="20768" xr:uid="{670FE001-4EB2-404C-BEC8-E804C8AFFED6}"/>
    <cellStyle name="Comma 2 7 5 2 4 3" xfId="31184" xr:uid="{37B3E610-2EC6-4D78-9AC3-01FEB9F8EC80}"/>
    <cellStyle name="Comma 2 7 5 2 5" xfId="5802" xr:uid="{00000000-0005-0000-0000-00001B140000}"/>
    <cellStyle name="Comma 2 7 5 2 5 2" xfId="17388" xr:uid="{F31F3AE1-BA46-4194-AB78-6D12D18CF391}"/>
    <cellStyle name="Comma 2 7 5 2 5 3" xfId="27804" xr:uid="{1AC47C6E-1CA9-4058-B7C4-9E402F360511}"/>
    <cellStyle name="Comma 2 7 5 2 6" xfId="14410" xr:uid="{A7990AC8-BEEE-46A7-B6D3-D749566154E6}"/>
    <cellStyle name="Comma 2 7 5 2 7" xfId="24826" xr:uid="{1753A6BA-049B-49DB-B23A-2EC291473E22}"/>
    <cellStyle name="Comma 2 7 5 3" xfId="2079" xr:uid="{00000000-0005-0000-0000-00001C140000}"/>
    <cellStyle name="Comma 2 7 5 3 2" xfId="2080" xr:uid="{00000000-0005-0000-0000-00001D140000}"/>
    <cellStyle name="Comma 2 7 5 3 2 2" xfId="9227" xr:uid="{00000000-0005-0000-0000-00001E140000}"/>
    <cellStyle name="Comma 2 7 5 3 2 2 2" xfId="20773" xr:uid="{1F47AAE9-40FB-49D1-BB9D-23BEC081D39D}"/>
    <cellStyle name="Comma 2 7 5 3 2 2 3" xfId="31189" xr:uid="{FB23CF3A-F5EC-4D05-930E-1D47156A034E}"/>
    <cellStyle name="Comma 2 7 5 3 2 3" xfId="14415" xr:uid="{0E0BDDAB-4AD1-43DC-A713-7548A04EC7CC}"/>
    <cellStyle name="Comma 2 7 5 3 2 4" xfId="24831" xr:uid="{B393756B-507A-4F5A-AE45-E8584D10E345}"/>
    <cellStyle name="Comma 2 7 5 3 3" xfId="9226" xr:uid="{00000000-0005-0000-0000-00001F140000}"/>
    <cellStyle name="Comma 2 7 5 3 3 2" xfId="20772" xr:uid="{E12454F2-748C-44A7-B48E-E6A52BF756FE}"/>
    <cellStyle name="Comma 2 7 5 3 3 3" xfId="31188" xr:uid="{F1AB3592-6ACE-4D9A-BB7E-819B4C53E8C3}"/>
    <cellStyle name="Comma 2 7 5 3 4" xfId="5804" xr:uid="{00000000-0005-0000-0000-000020140000}"/>
    <cellStyle name="Comma 2 7 5 3 4 2" xfId="17390" xr:uid="{463D7BD6-0ABD-49D9-8D87-AABA54BF21BE}"/>
    <cellStyle name="Comma 2 7 5 3 4 3" xfId="27806" xr:uid="{9BD094F9-A2F5-4311-A18B-029620F0A75B}"/>
    <cellStyle name="Comma 2 7 5 3 5" xfId="14414" xr:uid="{86EA68B9-248E-4E84-9379-0BEB86D031FB}"/>
    <cellStyle name="Comma 2 7 5 3 6" xfId="24830" xr:uid="{BAF7432E-904F-4C78-A915-5AC9D2AE85E1}"/>
    <cellStyle name="Comma 2 7 5 4" xfId="2081" xr:uid="{00000000-0005-0000-0000-000021140000}"/>
    <cellStyle name="Comma 2 7 5 4 2" xfId="2082" xr:uid="{00000000-0005-0000-0000-000022140000}"/>
    <cellStyle name="Comma 2 7 5 4 2 2" xfId="9229" xr:uid="{00000000-0005-0000-0000-000023140000}"/>
    <cellStyle name="Comma 2 7 5 4 2 2 2" xfId="20775" xr:uid="{717494FF-80F0-482C-9C19-AE2ED3B7F153}"/>
    <cellStyle name="Comma 2 7 5 4 2 2 3" xfId="31191" xr:uid="{7894CB93-1ACE-49AD-9D66-2090DFC6A2FA}"/>
    <cellStyle name="Comma 2 7 5 4 2 3" xfId="14417" xr:uid="{1AE00763-5D5C-484B-A547-0A4EBBF94C7D}"/>
    <cellStyle name="Comma 2 7 5 4 2 4" xfId="24833" xr:uid="{E37F549C-00A7-46D9-A6B9-FF83562DADEE}"/>
    <cellStyle name="Comma 2 7 5 4 3" xfId="9228" xr:uid="{00000000-0005-0000-0000-000024140000}"/>
    <cellStyle name="Comma 2 7 5 4 3 2" xfId="20774" xr:uid="{48D92B13-64A8-4088-BE81-6BCCE614ED0F}"/>
    <cellStyle name="Comma 2 7 5 4 3 3" xfId="31190" xr:uid="{99C6ED42-0168-409E-8436-8DA791FC5335}"/>
    <cellStyle name="Comma 2 7 5 4 4" xfId="5805" xr:uid="{00000000-0005-0000-0000-000025140000}"/>
    <cellStyle name="Comma 2 7 5 4 4 2" xfId="17391" xr:uid="{B72564C0-F79E-4A11-B0F6-A838CD18D485}"/>
    <cellStyle name="Comma 2 7 5 4 4 3" xfId="27807" xr:uid="{A8CAE84F-0812-4DDC-AB59-E3874887F67A}"/>
    <cellStyle name="Comma 2 7 5 4 5" xfId="14416" xr:uid="{9AFEFA34-899A-4255-8C3D-33C0A6145670}"/>
    <cellStyle name="Comma 2 7 5 4 6" xfId="24832" xr:uid="{2CED03C9-7371-49E0-B410-8981F70E40CA}"/>
    <cellStyle name="Comma 2 7 5 5" xfId="2083" xr:uid="{00000000-0005-0000-0000-000026140000}"/>
    <cellStyle name="Comma 2 7 5 5 2" xfId="9230" xr:uid="{00000000-0005-0000-0000-000027140000}"/>
    <cellStyle name="Comma 2 7 5 5 2 2" xfId="20776" xr:uid="{DD221C7F-1D7E-4222-8853-722DB3450BF4}"/>
    <cellStyle name="Comma 2 7 5 5 2 3" xfId="31192" xr:uid="{E5F4F45F-CC7B-455A-842A-09E41CA0F504}"/>
    <cellStyle name="Comma 2 7 5 5 3" xfId="14418" xr:uid="{0B6E2CA5-6B35-4053-86F0-AE5E515722DF}"/>
    <cellStyle name="Comma 2 7 5 5 4" xfId="24834" xr:uid="{E62F120D-9AA9-4A6E-A4BB-529EA89681C9}"/>
    <cellStyle name="Comma 2 7 5 6" xfId="9221" xr:uid="{00000000-0005-0000-0000-000028140000}"/>
    <cellStyle name="Comma 2 7 5 6 2" xfId="20767" xr:uid="{C02D8C61-BA53-4FB9-B87F-F1405F7258E5}"/>
    <cellStyle name="Comma 2 7 5 6 3" xfId="31183" xr:uid="{5D311416-765E-46E6-94CA-D9F92D099848}"/>
    <cellStyle name="Comma 2 7 5 7" xfId="5801" xr:uid="{00000000-0005-0000-0000-000029140000}"/>
    <cellStyle name="Comma 2 7 5 7 2" xfId="17387" xr:uid="{F84BDED8-503C-4DC4-8887-F43B5AA8765E}"/>
    <cellStyle name="Comma 2 7 5 7 3" xfId="27803" xr:uid="{2C7E457B-4EEA-4C02-AE46-5C19E8FF680B}"/>
    <cellStyle name="Comma 2 7 5 8" xfId="14409" xr:uid="{D67BE589-5353-4934-9199-8220F397F3EC}"/>
    <cellStyle name="Comma 2 7 5 9" xfId="24825" xr:uid="{5E488FBB-B30C-48EC-A438-E5F39B62480D}"/>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2 2 2" xfId="20780" xr:uid="{0B9AD10D-58FE-4D13-8A63-3E38DDAB6A85}"/>
    <cellStyle name="Comma 2 7 6 2 2 2 2 3" xfId="31196" xr:uid="{EB80D9E5-6F6D-4AB1-89DA-F94FEB2FDC64}"/>
    <cellStyle name="Comma 2 7 6 2 2 2 3" xfId="14422" xr:uid="{31E73C79-9B61-4928-9914-3611115960A3}"/>
    <cellStyle name="Comma 2 7 6 2 2 2 4" xfId="24838" xr:uid="{850274E4-709F-4356-8404-E71BE35F812D}"/>
    <cellStyle name="Comma 2 7 6 2 2 3" xfId="9233" xr:uid="{00000000-0005-0000-0000-00002F140000}"/>
    <cellStyle name="Comma 2 7 6 2 2 3 2" xfId="20779" xr:uid="{C86A8E64-66E4-4D14-AB56-EA4CA7D2F8F8}"/>
    <cellStyle name="Comma 2 7 6 2 2 3 3" xfId="31195" xr:uid="{C06E12CB-15B8-4803-B273-DC8C8DA9F2B4}"/>
    <cellStyle name="Comma 2 7 6 2 2 4" xfId="5808" xr:uid="{00000000-0005-0000-0000-000030140000}"/>
    <cellStyle name="Comma 2 7 6 2 2 4 2" xfId="17394" xr:uid="{8C56854B-2BFF-460D-A781-7B9538976A2F}"/>
    <cellStyle name="Comma 2 7 6 2 2 4 3" xfId="27810" xr:uid="{4E835F32-1A34-4DEB-B31D-A3F22036094E}"/>
    <cellStyle name="Comma 2 7 6 2 2 5" xfId="14421" xr:uid="{4482EFC9-CC4B-4525-892C-090F0FE779B0}"/>
    <cellStyle name="Comma 2 7 6 2 2 6" xfId="24837" xr:uid="{787EACD2-89A5-4399-9C8D-37421EB65AC8}"/>
    <cellStyle name="Comma 2 7 6 2 3" xfId="2088" xr:uid="{00000000-0005-0000-0000-000031140000}"/>
    <cellStyle name="Comma 2 7 6 2 3 2" xfId="9235" xr:uid="{00000000-0005-0000-0000-000032140000}"/>
    <cellStyle name="Comma 2 7 6 2 3 2 2" xfId="20781" xr:uid="{7F6822C5-DA1C-4C0E-8EA5-A5F0A2A5B568}"/>
    <cellStyle name="Comma 2 7 6 2 3 2 3" xfId="31197" xr:uid="{8AA204DD-3449-48F1-98C2-8F6BE22084E2}"/>
    <cellStyle name="Comma 2 7 6 2 3 3" xfId="14423" xr:uid="{D76FCD9D-1D44-4E5D-A2CF-F08AAB235D32}"/>
    <cellStyle name="Comma 2 7 6 2 3 4" xfId="24839" xr:uid="{D3FBD394-C329-4DE3-AAD0-A1A5557AFBEE}"/>
    <cellStyle name="Comma 2 7 6 2 4" xfId="9232" xr:uid="{00000000-0005-0000-0000-000033140000}"/>
    <cellStyle name="Comma 2 7 6 2 4 2" xfId="20778" xr:uid="{CAEDFD97-67F8-47A8-9C3F-7AB80D5C7F2C}"/>
    <cellStyle name="Comma 2 7 6 2 4 3" xfId="31194" xr:uid="{22D9C614-9D6E-4CCB-85E4-F154B0AD309F}"/>
    <cellStyle name="Comma 2 7 6 2 5" xfId="5807" xr:uid="{00000000-0005-0000-0000-000034140000}"/>
    <cellStyle name="Comma 2 7 6 2 5 2" xfId="17393" xr:uid="{0ECD85DE-357B-4DD8-BA33-4764E2319C7E}"/>
    <cellStyle name="Comma 2 7 6 2 5 3" xfId="27809" xr:uid="{D4626404-AFD7-4C71-92AD-46792313CEC0}"/>
    <cellStyle name="Comma 2 7 6 2 6" xfId="14420" xr:uid="{8FE87E47-A626-43A9-A030-F8F506E37F7A}"/>
    <cellStyle name="Comma 2 7 6 2 7" xfId="24836" xr:uid="{F76AA23A-5C0C-4F92-A29A-030ECB831294}"/>
    <cellStyle name="Comma 2 7 6 3" xfId="2089" xr:uid="{00000000-0005-0000-0000-000035140000}"/>
    <cellStyle name="Comma 2 7 6 3 2" xfId="2090" xr:uid="{00000000-0005-0000-0000-000036140000}"/>
    <cellStyle name="Comma 2 7 6 3 2 2" xfId="9237" xr:uid="{00000000-0005-0000-0000-000037140000}"/>
    <cellStyle name="Comma 2 7 6 3 2 2 2" xfId="20783" xr:uid="{49CFFADD-9FA8-4B1B-89BB-DAE714140092}"/>
    <cellStyle name="Comma 2 7 6 3 2 2 3" xfId="31199" xr:uid="{038F8411-F481-4307-B480-CC82E04DC602}"/>
    <cellStyle name="Comma 2 7 6 3 2 3" xfId="14425" xr:uid="{F41579CD-F902-4E4A-844E-C591FAE218A8}"/>
    <cellStyle name="Comma 2 7 6 3 2 4" xfId="24841" xr:uid="{A9EDC144-0EBE-4C16-86DE-65EF994D7684}"/>
    <cellStyle name="Comma 2 7 6 3 3" xfId="9236" xr:uid="{00000000-0005-0000-0000-000038140000}"/>
    <cellStyle name="Comma 2 7 6 3 3 2" xfId="20782" xr:uid="{EBC6C4A1-AEE0-468B-9E64-207B0ECAA771}"/>
    <cellStyle name="Comma 2 7 6 3 3 3" xfId="31198" xr:uid="{C88EF7DC-5F77-49A6-8DCE-9DB5AA2AF6C2}"/>
    <cellStyle name="Comma 2 7 6 3 4" xfId="5809" xr:uid="{00000000-0005-0000-0000-000039140000}"/>
    <cellStyle name="Comma 2 7 6 3 4 2" xfId="17395" xr:uid="{67C8D480-572C-41DB-9DF9-2B929CA479A9}"/>
    <cellStyle name="Comma 2 7 6 3 4 3" xfId="27811" xr:uid="{3F284E0B-B09A-4526-AB10-F1E4A1017D4A}"/>
    <cellStyle name="Comma 2 7 6 3 5" xfId="14424" xr:uid="{0755322B-75D9-4643-9FC8-0A0F808CF3D4}"/>
    <cellStyle name="Comma 2 7 6 3 6" xfId="24840" xr:uid="{B64A3271-7682-4C5E-9468-00E09DBC3EFA}"/>
    <cellStyle name="Comma 2 7 6 4" xfId="2091" xr:uid="{00000000-0005-0000-0000-00003A140000}"/>
    <cellStyle name="Comma 2 7 6 4 2" xfId="2092" xr:uid="{00000000-0005-0000-0000-00003B140000}"/>
    <cellStyle name="Comma 2 7 6 4 2 2" xfId="9239" xr:uid="{00000000-0005-0000-0000-00003C140000}"/>
    <cellStyle name="Comma 2 7 6 4 2 2 2" xfId="20785" xr:uid="{88635577-EB47-4CE8-BEA9-AB795231BB98}"/>
    <cellStyle name="Comma 2 7 6 4 2 2 3" xfId="31201" xr:uid="{5F19EA10-58FC-4A9A-8C1F-0889F5FB8DBF}"/>
    <cellStyle name="Comma 2 7 6 4 2 3" xfId="14427" xr:uid="{1BF09361-BF56-485E-91A0-F52CAFF8BB52}"/>
    <cellStyle name="Comma 2 7 6 4 2 4" xfId="24843" xr:uid="{9DD9E2FF-E6FF-4DEF-A24A-5C9D758782B8}"/>
    <cellStyle name="Comma 2 7 6 4 3" xfId="9238" xr:uid="{00000000-0005-0000-0000-00003D140000}"/>
    <cellStyle name="Comma 2 7 6 4 3 2" xfId="20784" xr:uid="{84376064-BC66-4199-B03C-943E1E873F2A}"/>
    <cellStyle name="Comma 2 7 6 4 3 3" xfId="31200" xr:uid="{8B43770E-BBE6-4DD0-8BED-41AB4B3842F5}"/>
    <cellStyle name="Comma 2 7 6 4 4" xfId="5810" xr:uid="{00000000-0005-0000-0000-00003E140000}"/>
    <cellStyle name="Comma 2 7 6 4 4 2" xfId="17396" xr:uid="{0D39346B-6E6C-4FDD-B500-12B3728F4458}"/>
    <cellStyle name="Comma 2 7 6 4 4 3" xfId="27812" xr:uid="{A783FC44-52CC-4941-BE7C-480A37C3931F}"/>
    <cellStyle name="Comma 2 7 6 4 5" xfId="14426" xr:uid="{76F32C59-F4CB-49AD-A5A7-24751F21FD15}"/>
    <cellStyle name="Comma 2 7 6 4 6" xfId="24842" xr:uid="{C6CAB44B-10C7-4E73-A027-BDEA09469F85}"/>
    <cellStyle name="Comma 2 7 6 5" xfId="2093" xr:uid="{00000000-0005-0000-0000-00003F140000}"/>
    <cellStyle name="Comma 2 7 6 5 2" xfId="9240" xr:uid="{00000000-0005-0000-0000-000040140000}"/>
    <cellStyle name="Comma 2 7 6 5 2 2" xfId="20786" xr:uid="{8DECC61A-DE39-46BA-941C-61AB8BF113C9}"/>
    <cellStyle name="Comma 2 7 6 5 2 3" xfId="31202" xr:uid="{D4C98DCE-F3AF-47D5-88F0-C96F6EC6C657}"/>
    <cellStyle name="Comma 2 7 6 5 3" xfId="14428" xr:uid="{3213F908-8B00-4801-A4BA-73F357C92C62}"/>
    <cellStyle name="Comma 2 7 6 5 4" xfId="24844" xr:uid="{3914158F-EA3D-4A49-B327-E311D7B016AC}"/>
    <cellStyle name="Comma 2 7 6 6" xfId="9231" xr:uid="{00000000-0005-0000-0000-000041140000}"/>
    <cellStyle name="Comma 2 7 6 6 2" xfId="20777" xr:uid="{6249111E-ACEF-49A0-A023-73111409929C}"/>
    <cellStyle name="Comma 2 7 6 6 3" xfId="31193" xr:uid="{38D2CB78-FEBB-4AF2-A204-4D33F636174D}"/>
    <cellStyle name="Comma 2 7 6 7" xfId="5806" xr:uid="{00000000-0005-0000-0000-000042140000}"/>
    <cellStyle name="Comma 2 7 6 7 2" xfId="17392" xr:uid="{BA09C66D-81B3-41EA-AE71-37DB97790B5D}"/>
    <cellStyle name="Comma 2 7 6 7 3" xfId="27808" xr:uid="{FE81A0B3-1145-4BB3-8EC9-35F61D1A9AF4}"/>
    <cellStyle name="Comma 2 7 6 8" xfId="14419" xr:uid="{A6806127-E147-4CE6-9628-75B90E4C6723}"/>
    <cellStyle name="Comma 2 7 6 9" xfId="24835" xr:uid="{A4275768-2A24-4219-B62B-5A7EF6BD19CB}"/>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2 2 2" xfId="20789" xr:uid="{B3862DDC-078C-4E62-9A4B-B916C32D3FB2}"/>
    <cellStyle name="Comma 2 7 7 2 2 2 3" xfId="31205" xr:uid="{4416C19D-F74F-4049-B4F9-80C2FA288050}"/>
    <cellStyle name="Comma 2 7 7 2 2 3" xfId="14431" xr:uid="{8A1BADFE-326D-4B49-AC5E-930858253D12}"/>
    <cellStyle name="Comma 2 7 7 2 2 4" xfId="24847" xr:uid="{AECFF256-8D67-4812-ADAC-93587C9222A6}"/>
    <cellStyle name="Comma 2 7 7 2 3" xfId="9242" xr:uid="{00000000-0005-0000-0000-000047140000}"/>
    <cellStyle name="Comma 2 7 7 2 3 2" xfId="20788" xr:uid="{23A3E1E1-7A3B-4E70-9716-D3604C4C0C54}"/>
    <cellStyle name="Comma 2 7 7 2 3 3" xfId="31204" xr:uid="{51F0978D-FC26-4EDA-A115-796870CFDF7C}"/>
    <cellStyle name="Comma 2 7 7 2 4" xfId="5812" xr:uid="{00000000-0005-0000-0000-000048140000}"/>
    <cellStyle name="Comma 2 7 7 2 4 2" xfId="17398" xr:uid="{71FDC12C-6CC5-4289-9251-2F78EB530B6A}"/>
    <cellStyle name="Comma 2 7 7 2 4 3" xfId="27814" xr:uid="{601434B3-2E97-4854-A4B9-323CA0C1B44F}"/>
    <cellStyle name="Comma 2 7 7 2 5" xfId="14430" xr:uid="{800ED433-E81B-4EEE-974B-A26A608BFF55}"/>
    <cellStyle name="Comma 2 7 7 2 6" xfId="24846" xr:uid="{4B4C9309-A88F-41D9-ACB6-B7E23EB6015E}"/>
    <cellStyle name="Comma 2 7 7 3" xfId="2097" xr:uid="{00000000-0005-0000-0000-000049140000}"/>
    <cellStyle name="Comma 2 7 7 3 2" xfId="2098" xr:uid="{00000000-0005-0000-0000-00004A140000}"/>
    <cellStyle name="Comma 2 7 7 3 2 2" xfId="9245" xr:uid="{00000000-0005-0000-0000-00004B140000}"/>
    <cellStyle name="Comma 2 7 7 3 2 2 2" xfId="20791" xr:uid="{E5D78722-0F47-47D4-91FE-A7C9E86E2543}"/>
    <cellStyle name="Comma 2 7 7 3 2 2 3" xfId="31207" xr:uid="{C3A35004-F2A8-469B-94FF-ACA5BEBD8684}"/>
    <cellStyle name="Comma 2 7 7 3 2 3" xfId="14433" xr:uid="{1F3E0740-2ED9-4592-9513-82677CF7C086}"/>
    <cellStyle name="Comma 2 7 7 3 2 4" xfId="24849" xr:uid="{4FD656AE-10CA-40D4-93CC-E4CCBC209324}"/>
    <cellStyle name="Comma 2 7 7 3 3" xfId="9244" xr:uid="{00000000-0005-0000-0000-00004C140000}"/>
    <cellStyle name="Comma 2 7 7 3 3 2" xfId="20790" xr:uid="{53897549-E30A-4C4A-BABC-533725CFAD4E}"/>
    <cellStyle name="Comma 2 7 7 3 3 3" xfId="31206" xr:uid="{521464E3-F0C8-4F6E-B753-53A6A82F7C92}"/>
    <cellStyle name="Comma 2 7 7 3 4" xfId="5813" xr:uid="{00000000-0005-0000-0000-00004D140000}"/>
    <cellStyle name="Comma 2 7 7 3 4 2" xfId="17399" xr:uid="{17243BD8-86D2-4A16-8BC2-7AB84733ABE0}"/>
    <cellStyle name="Comma 2 7 7 3 4 3" xfId="27815" xr:uid="{F2FB2B7D-710A-4FAE-86A5-BF28C011F9AB}"/>
    <cellStyle name="Comma 2 7 7 3 5" xfId="14432" xr:uid="{18CDCCD7-5E66-4BAD-9E4F-E053C5BC15AC}"/>
    <cellStyle name="Comma 2 7 7 3 6" xfId="24848" xr:uid="{BBEB2FA5-F089-45F2-AD92-D025B9F47EAE}"/>
    <cellStyle name="Comma 2 7 7 4" xfId="2099" xr:uid="{00000000-0005-0000-0000-00004E140000}"/>
    <cellStyle name="Comma 2 7 7 4 2" xfId="9246" xr:uid="{00000000-0005-0000-0000-00004F140000}"/>
    <cellStyle name="Comma 2 7 7 4 2 2" xfId="20792" xr:uid="{669B1BA4-92AF-4BAB-98DB-02010C72B6B0}"/>
    <cellStyle name="Comma 2 7 7 4 2 3" xfId="31208" xr:uid="{0411AE06-B250-424E-A96E-CC9E4EF354E2}"/>
    <cellStyle name="Comma 2 7 7 4 3" xfId="14434" xr:uid="{0F7E7CE7-742D-4BEE-AB54-AE9CF14EB1FB}"/>
    <cellStyle name="Comma 2 7 7 4 4" xfId="24850" xr:uid="{2B3D342E-6D4F-4C0B-82A5-D52C8D87D83A}"/>
    <cellStyle name="Comma 2 7 7 5" xfId="9241" xr:uid="{00000000-0005-0000-0000-000050140000}"/>
    <cellStyle name="Comma 2 7 7 5 2" xfId="20787" xr:uid="{B5286B3F-4A61-4FBD-85CB-FAFE8362381A}"/>
    <cellStyle name="Comma 2 7 7 5 3" xfId="31203" xr:uid="{6F26996C-085B-487F-914C-B6EE0188E4FF}"/>
    <cellStyle name="Comma 2 7 7 6" xfId="5811" xr:uid="{00000000-0005-0000-0000-000051140000}"/>
    <cellStyle name="Comma 2 7 7 6 2" xfId="17397" xr:uid="{D21BC631-1B45-4E9E-82F0-3DC4AD442161}"/>
    <cellStyle name="Comma 2 7 7 6 3" xfId="27813" xr:uid="{749ADB49-D484-49D1-84FB-97613259A0BB}"/>
    <cellStyle name="Comma 2 7 7 7" xfId="14429" xr:uid="{296A7163-098A-4E38-97E0-D3D97E379FC1}"/>
    <cellStyle name="Comma 2 7 7 8" xfId="24845" xr:uid="{4994B9C4-D528-49B6-AD43-C6B5B97C7D3F}"/>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2 2 2" xfId="20795" xr:uid="{D4B2810A-9AC0-4E81-9510-4172247320DE}"/>
    <cellStyle name="Comma 2 7 8 2 2 2 3" xfId="31211" xr:uid="{CDFAF832-852A-417C-8363-E3228093788F}"/>
    <cellStyle name="Comma 2 7 8 2 2 3" xfId="14437" xr:uid="{F840FE72-A2DF-48EE-BE66-64288FF6CC0A}"/>
    <cellStyle name="Comma 2 7 8 2 2 4" xfId="24853" xr:uid="{17BBE796-247C-47EB-BB35-8716AAC826D3}"/>
    <cellStyle name="Comma 2 7 8 2 3" xfId="9248" xr:uid="{00000000-0005-0000-0000-000056140000}"/>
    <cellStyle name="Comma 2 7 8 2 3 2" xfId="20794" xr:uid="{8A71D35C-15C6-4BF0-AC65-799DB265FFC0}"/>
    <cellStyle name="Comma 2 7 8 2 3 3" xfId="31210" xr:uid="{56A6BD78-1950-4840-82E0-CED2166D927D}"/>
    <cellStyle name="Comma 2 7 8 2 4" xfId="5815" xr:uid="{00000000-0005-0000-0000-000057140000}"/>
    <cellStyle name="Comma 2 7 8 2 4 2" xfId="17401" xr:uid="{E3491F67-E785-4CC1-9673-1ED02F2E4333}"/>
    <cellStyle name="Comma 2 7 8 2 4 3" xfId="27817" xr:uid="{45C47073-8919-49CB-8ECB-09251B219CA6}"/>
    <cellStyle name="Comma 2 7 8 2 5" xfId="14436" xr:uid="{08F220EE-F6BB-4440-85A3-A02D88D1B035}"/>
    <cellStyle name="Comma 2 7 8 2 6" xfId="24852" xr:uid="{ABF64083-B23F-4B0B-8AFB-6042D212627D}"/>
    <cellStyle name="Comma 2 7 8 3" xfId="2103" xr:uid="{00000000-0005-0000-0000-000058140000}"/>
    <cellStyle name="Comma 2 7 8 3 2" xfId="9250" xr:uid="{00000000-0005-0000-0000-000059140000}"/>
    <cellStyle name="Comma 2 7 8 3 2 2" xfId="20796" xr:uid="{20291814-7AD5-4911-98A0-314D911106B5}"/>
    <cellStyle name="Comma 2 7 8 3 2 3" xfId="31212" xr:uid="{E36141DB-75AF-4216-B3D4-B92F1BB7D2BA}"/>
    <cellStyle name="Comma 2 7 8 3 3" xfId="14438" xr:uid="{6AEB5BEF-DF4A-47B3-9FBF-CE526108D385}"/>
    <cellStyle name="Comma 2 7 8 3 4" xfId="24854" xr:uid="{06C88252-7EEF-42BE-AC97-0F5D85C058D4}"/>
    <cellStyle name="Comma 2 7 8 4" xfId="9247" xr:uid="{00000000-0005-0000-0000-00005A140000}"/>
    <cellStyle name="Comma 2 7 8 4 2" xfId="20793" xr:uid="{818B48E2-D7B2-4BD4-8383-3C864C1ED6F6}"/>
    <cellStyle name="Comma 2 7 8 4 3" xfId="31209" xr:uid="{A7E0F77D-FD2D-4DCE-AB95-456870BE57F1}"/>
    <cellStyle name="Comma 2 7 8 5" xfId="5814" xr:uid="{00000000-0005-0000-0000-00005B140000}"/>
    <cellStyle name="Comma 2 7 8 5 2" xfId="17400" xr:uid="{10338B71-423E-4BFD-90E4-99DC2E3D4041}"/>
    <cellStyle name="Comma 2 7 8 5 3" xfId="27816" xr:uid="{E31CD4CE-188E-4A4C-BBB6-8C6E2F19F5BC}"/>
    <cellStyle name="Comma 2 7 8 6" xfId="14435" xr:uid="{DFC3C48C-947B-4615-A576-BC81B5C3FBAB}"/>
    <cellStyle name="Comma 2 7 8 7" xfId="24851" xr:uid="{FCC2FD01-BACE-48E8-911A-0D7FDA19F170}"/>
    <cellStyle name="Comma 2 7 9" xfId="2104" xr:uid="{00000000-0005-0000-0000-00005C140000}"/>
    <cellStyle name="Comma 2 7 9 2" xfId="2105" xr:uid="{00000000-0005-0000-0000-00005D140000}"/>
    <cellStyle name="Comma 2 7 9 2 2" xfId="9252" xr:uid="{00000000-0005-0000-0000-00005E140000}"/>
    <cellStyle name="Comma 2 7 9 2 2 2" xfId="20798" xr:uid="{780D9FA9-1A9B-43D6-95A4-FD6A3B98B807}"/>
    <cellStyle name="Comma 2 7 9 2 2 3" xfId="31214" xr:uid="{DDEDF6A1-88D5-4A1D-879D-476D160037E9}"/>
    <cellStyle name="Comma 2 7 9 2 3" xfId="14440" xr:uid="{3D43D528-B549-41A2-BD39-4C0D524B523F}"/>
    <cellStyle name="Comma 2 7 9 2 4" xfId="24856" xr:uid="{058D8B8D-14D5-4C35-9202-70EBF57528BE}"/>
    <cellStyle name="Comma 2 7 9 3" xfId="9251" xr:uid="{00000000-0005-0000-0000-00005F140000}"/>
    <cellStyle name="Comma 2 7 9 3 2" xfId="20797" xr:uid="{19E3A2B8-2721-40E5-B19F-93E995373BDD}"/>
    <cellStyle name="Comma 2 7 9 3 3" xfId="31213" xr:uid="{DF342CB7-76CF-457A-A787-4F1071AB1E50}"/>
    <cellStyle name="Comma 2 7 9 4" xfId="5816" xr:uid="{00000000-0005-0000-0000-000060140000}"/>
    <cellStyle name="Comma 2 7 9 4 2" xfId="17402" xr:uid="{87E5FB07-2831-4332-9FA9-D3768A4CF7A7}"/>
    <cellStyle name="Comma 2 7 9 4 3" xfId="27818" xr:uid="{7B3CB5A6-0A69-4E8C-AE83-D90A067F39F4}"/>
    <cellStyle name="Comma 2 7 9 5" xfId="14439" xr:uid="{ED01FE02-E97C-452F-B6C5-89F768ED8625}"/>
    <cellStyle name="Comma 2 7 9 6" xfId="24855" xr:uid="{A6116B84-8A3E-44A0-9C9E-C7AECA21F665}"/>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2 2 2" xfId="20801" xr:uid="{F5CFC061-D3B4-4E4C-8E63-6762FE598821}"/>
    <cellStyle name="Comma 2 8 10 2 2 3" xfId="31217" xr:uid="{5D4E3E24-7FCA-4E18-B107-6ABCA0C42488}"/>
    <cellStyle name="Comma 2 8 10 2 3" xfId="14443" xr:uid="{45F0EC1D-56AA-4891-AE2F-A6E65451B689}"/>
    <cellStyle name="Comma 2 8 10 2 4" xfId="24859" xr:uid="{49E9BF71-90CF-4CE2-B973-323CD27558A1}"/>
    <cellStyle name="Comma 2 8 10 3" xfId="9254" xr:uid="{00000000-0005-0000-0000-000065140000}"/>
    <cellStyle name="Comma 2 8 10 3 2" xfId="20800" xr:uid="{32FC9950-0D46-4F99-BBA3-7D2CE5DF8F36}"/>
    <cellStyle name="Comma 2 8 10 3 3" xfId="31216" xr:uid="{7997DA80-B1BC-4EFD-869A-875DF05547C4}"/>
    <cellStyle name="Comma 2 8 10 4" xfId="5818" xr:uid="{00000000-0005-0000-0000-000066140000}"/>
    <cellStyle name="Comma 2 8 10 4 2" xfId="17404" xr:uid="{77A2B290-8596-4E23-8362-77B6994B513D}"/>
    <cellStyle name="Comma 2 8 10 4 3" xfId="27820" xr:uid="{1A95CD43-DBF4-44DE-B986-C018568FF5E5}"/>
    <cellStyle name="Comma 2 8 10 5" xfId="14442" xr:uid="{10B82622-F069-4766-B53E-2593A59E2CBA}"/>
    <cellStyle name="Comma 2 8 10 6" xfId="24858" xr:uid="{B1FC39F9-817C-4011-9B63-045A54DDA914}"/>
    <cellStyle name="Comma 2 8 11" xfId="2109" xr:uid="{00000000-0005-0000-0000-000067140000}"/>
    <cellStyle name="Comma 2 8 11 2" xfId="9256" xr:uid="{00000000-0005-0000-0000-000068140000}"/>
    <cellStyle name="Comma 2 8 11 2 2" xfId="20802" xr:uid="{14865278-71E7-4626-A2FE-719A10DC987B}"/>
    <cellStyle name="Comma 2 8 11 2 3" xfId="31218" xr:uid="{7F99B2CA-545C-4712-AD5B-A87132198DC9}"/>
    <cellStyle name="Comma 2 8 11 3" xfId="14444" xr:uid="{79C92518-5E3E-40DF-86F7-5CC7959DAC06}"/>
    <cellStyle name="Comma 2 8 11 4" xfId="24860" xr:uid="{ACAA134E-A773-4ABE-BD09-069A4C2EAEC3}"/>
    <cellStyle name="Comma 2 8 12" xfId="9253" xr:uid="{00000000-0005-0000-0000-000069140000}"/>
    <cellStyle name="Comma 2 8 12 2" xfId="20799" xr:uid="{DC89EBCE-A575-475A-9D88-F14EFD16B095}"/>
    <cellStyle name="Comma 2 8 12 3" xfId="31215" xr:uid="{546F4A92-0A22-4E4D-BDB8-D96973295139}"/>
    <cellStyle name="Comma 2 8 13" xfId="5817" xr:uid="{00000000-0005-0000-0000-00006A140000}"/>
    <cellStyle name="Comma 2 8 13 2" xfId="17403" xr:uid="{CFF82466-87F2-477E-9650-F577FAA34A5C}"/>
    <cellStyle name="Comma 2 8 13 3" xfId="27819" xr:uid="{C8B9BD7A-71E9-4D2F-A3DE-2E6B132498EF}"/>
    <cellStyle name="Comma 2 8 14" xfId="14441" xr:uid="{798D710A-9B76-4FFB-952E-22EC472A5019}"/>
    <cellStyle name="Comma 2 8 15" xfId="24857" xr:uid="{648F3EC2-5785-4895-AE70-A7A5BA84B530}"/>
    <cellStyle name="Comma 2 8 2" xfId="2110" xr:uid="{00000000-0005-0000-0000-00006B140000}"/>
    <cellStyle name="Comma 2 8 2 10" xfId="2111" xr:uid="{00000000-0005-0000-0000-00006C140000}"/>
    <cellStyle name="Comma 2 8 2 10 2" xfId="9258" xr:uid="{00000000-0005-0000-0000-00006D140000}"/>
    <cellStyle name="Comma 2 8 2 10 2 2" xfId="20804" xr:uid="{1FA73B0E-A45A-4590-B2EE-26F38425FBF9}"/>
    <cellStyle name="Comma 2 8 2 10 2 3" xfId="31220" xr:uid="{BFFBAFB1-2099-4481-B8A5-C66D72C09AAD}"/>
    <cellStyle name="Comma 2 8 2 10 3" xfId="14446" xr:uid="{B4D54DB2-E54B-495D-8B45-EB85716B4922}"/>
    <cellStyle name="Comma 2 8 2 10 4" xfId="24862" xr:uid="{372F2200-3165-4015-A974-D887090E93E0}"/>
    <cellStyle name="Comma 2 8 2 11" xfId="9257" xr:uid="{00000000-0005-0000-0000-00006E140000}"/>
    <cellStyle name="Comma 2 8 2 11 2" xfId="20803" xr:uid="{6B373583-F47A-4E11-804D-AD76417260EB}"/>
    <cellStyle name="Comma 2 8 2 11 3" xfId="31219" xr:uid="{FFDB620D-DD89-414E-AF96-72A3B777539B}"/>
    <cellStyle name="Comma 2 8 2 12" xfId="5819" xr:uid="{00000000-0005-0000-0000-00006F140000}"/>
    <cellStyle name="Comma 2 8 2 12 2" xfId="17405" xr:uid="{9FC9D037-75A2-4735-9E55-67F165CCF88F}"/>
    <cellStyle name="Comma 2 8 2 12 3" xfId="27821" xr:uid="{2A67D264-73DA-4E49-814E-74B87D3C80BA}"/>
    <cellStyle name="Comma 2 8 2 13" xfId="14445" xr:uid="{1C31D6AC-DEB0-478F-AAF8-0CFE8694D05F}"/>
    <cellStyle name="Comma 2 8 2 14" xfId="24861" xr:uid="{BA700BFF-0D68-4DA2-92B5-B83654B8F275}"/>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2 2 2" xfId="20808" xr:uid="{C3780816-67C8-47A6-A382-83C74DA44B68}"/>
    <cellStyle name="Comma 2 8 2 2 2 2 2 2 3" xfId="31224" xr:uid="{A462BADC-99A9-4765-B564-49290DF789FE}"/>
    <cellStyle name="Comma 2 8 2 2 2 2 2 3" xfId="14450" xr:uid="{A82B52D8-49B6-4D5A-B889-EAC225BD41BF}"/>
    <cellStyle name="Comma 2 8 2 2 2 2 2 4" xfId="24866" xr:uid="{D709CA3F-90F3-42F8-917B-BE3F8E8A41E4}"/>
    <cellStyle name="Comma 2 8 2 2 2 2 3" xfId="9261" xr:uid="{00000000-0005-0000-0000-000075140000}"/>
    <cellStyle name="Comma 2 8 2 2 2 2 3 2" xfId="20807" xr:uid="{B2998BDF-7F7D-4E8B-A3BE-A9DE837C7EBE}"/>
    <cellStyle name="Comma 2 8 2 2 2 2 3 3" xfId="31223" xr:uid="{6623AB1E-8A1C-4C3E-B829-177E3F4CA812}"/>
    <cellStyle name="Comma 2 8 2 2 2 2 4" xfId="5822" xr:uid="{00000000-0005-0000-0000-000076140000}"/>
    <cellStyle name="Comma 2 8 2 2 2 2 4 2" xfId="17408" xr:uid="{CED04FC1-6E81-4D8C-B549-C96162504948}"/>
    <cellStyle name="Comma 2 8 2 2 2 2 4 3" xfId="27824" xr:uid="{B869F629-DE0E-4DC7-A0AD-33E75ADC6C24}"/>
    <cellStyle name="Comma 2 8 2 2 2 2 5" xfId="14449" xr:uid="{C08810B6-524E-4790-AAFF-E9DA68036DFA}"/>
    <cellStyle name="Comma 2 8 2 2 2 2 6" xfId="24865" xr:uid="{922F38B6-2B0A-40E0-8E6E-5B55B997AC1E}"/>
    <cellStyle name="Comma 2 8 2 2 2 3" xfId="2116" xr:uid="{00000000-0005-0000-0000-000077140000}"/>
    <cellStyle name="Comma 2 8 2 2 2 3 2" xfId="9263" xr:uid="{00000000-0005-0000-0000-000078140000}"/>
    <cellStyle name="Comma 2 8 2 2 2 3 2 2" xfId="20809" xr:uid="{B3365F6E-FDC4-4865-A645-B88F58116B8F}"/>
    <cellStyle name="Comma 2 8 2 2 2 3 2 3" xfId="31225" xr:uid="{350B96C8-9DEC-4DF1-B368-31D295F62E6C}"/>
    <cellStyle name="Comma 2 8 2 2 2 3 3" xfId="14451" xr:uid="{73E642A6-1EAD-40B4-B043-2C26D6001291}"/>
    <cellStyle name="Comma 2 8 2 2 2 3 4" xfId="24867" xr:uid="{48A3C9CF-78A4-4C59-A1C6-3FDB5FCBB0EC}"/>
    <cellStyle name="Comma 2 8 2 2 2 4" xfId="9260" xr:uid="{00000000-0005-0000-0000-000079140000}"/>
    <cellStyle name="Comma 2 8 2 2 2 4 2" xfId="20806" xr:uid="{6D785C44-3B52-492F-B043-641B2A9990CC}"/>
    <cellStyle name="Comma 2 8 2 2 2 4 3" xfId="31222" xr:uid="{D4A2E707-3DA5-471B-B496-2144022B2C28}"/>
    <cellStyle name="Comma 2 8 2 2 2 5" xfId="5821" xr:uid="{00000000-0005-0000-0000-00007A140000}"/>
    <cellStyle name="Comma 2 8 2 2 2 5 2" xfId="17407" xr:uid="{7F901F26-68ED-4D97-A4EA-9632DA19C33E}"/>
    <cellStyle name="Comma 2 8 2 2 2 5 3" xfId="27823" xr:uid="{02B4D841-45CB-4118-9A3D-6A505F75808E}"/>
    <cellStyle name="Comma 2 8 2 2 2 6" xfId="14448" xr:uid="{C10043F8-A138-4CDA-806A-FD9AD4F556AA}"/>
    <cellStyle name="Comma 2 8 2 2 2 7" xfId="24864" xr:uid="{48D2D823-CC1D-4C24-B246-3DC2363F8BA3}"/>
    <cellStyle name="Comma 2 8 2 2 3" xfId="2117" xr:uid="{00000000-0005-0000-0000-00007B140000}"/>
    <cellStyle name="Comma 2 8 2 2 3 2" xfId="2118" xr:uid="{00000000-0005-0000-0000-00007C140000}"/>
    <cellStyle name="Comma 2 8 2 2 3 2 2" xfId="9265" xr:uid="{00000000-0005-0000-0000-00007D140000}"/>
    <cellStyle name="Comma 2 8 2 2 3 2 2 2" xfId="20811" xr:uid="{3DC2FC78-4BF5-46C6-A88A-BEB17F5F7E09}"/>
    <cellStyle name="Comma 2 8 2 2 3 2 2 3" xfId="31227" xr:uid="{8AF04813-BAFA-4588-ADF9-D3F35A057B86}"/>
    <cellStyle name="Comma 2 8 2 2 3 2 3" xfId="14453" xr:uid="{D9557712-7D44-42A0-991D-31EB75CF0525}"/>
    <cellStyle name="Comma 2 8 2 2 3 2 4" xfId="24869" xr:uid="{D1CFCA38-91F5-478E-B196-BEC45D366051}"/>
    <cellStyle name="Comma 2 8 2 2 3 3" xfId="9264" xr:uid="{00000000-0005-0000-0000-00007E140000}"/>
    <cellStyle name="Comma 2 8 2 2 3 3 2" xfId="20810" xr:uid="{A1B5FFB8-6648-4F29-B550-68A9E3493C43}"/>
    <cellStyle name="Comma 2 8 2 2 3 3 3" xfId="31226" xr:uid="{FE29301C-2AF8-4B0B-8D1C-449671264E1D}"/>
    <cellStyle name="Comma 2 8 2 2 3 4" xfId="5823" xr:uid="{00000000-0005-0000-0000-00007F140000}"/>
    <cellStyle name="Comma 2 8 2 2 3 4 2" xfId="17409" xr:uid="{44BC2AA6-E926-486F-B882-83666337907F}"/>
    <cellStyle name="Comma 2 8 2 2 3 4 3" xfId="27825" xr:uid="{9D7526FA-E443-4EC4-88AA-CB4B73B55D32}"/>
    <cellStyle name="Comma 2 8 2 2 3 5" xfId="14452" xr:uid="{E2317907-3D67-455D-AD8A-C044F9FFBD87}"/>
    <cellStyle name="Comma 2 8 2 2 3 6" xfId="24868" xr:uid="{20B19372-F9CB-46A1-9CE9-0ED134EFB3F8}"/>
    <cellStyle name="Comma 2 8 2 2 4" xfId="2119" xr:uid="{00000000-0005-0000-0000-000080140000}"/>
    <cellStyle name="Comma 2 8 2 2 4 2" xfId="2120" xr:uid="{00000000-0005-0000-0000-000081140000}"/>
    <cellStyle name="Comma 2 8 2 2 4 2 2" xfId="9267" xr:uid="{00000000-0005-0000-0000-000082140000}"/>
    <cellStyle name="Comma 2 8 2 2 4 2 2 2" xfId="20813" xr:uid="{DDD061D5-805F-4CDE-8BF6-9C7587CD7FA8}"/>
    <cellStyle name="Comma 2 8 2 2 4 2 2 3" xfId="31229" xr:uid="{91A445AD-F66C-4D4B-B83B-B9621B84F45D}"/>
    <cellStyle name="Comma 2 8 2 2 4 2 3" xfId="14455" xr:uid="{10B340CC-DE20-4EA2-AF7A-7719AC0D808A}"/>
    <cellStyle name="Comma 2 8 2 2 4 2 4" xfId="24871" xr:uid="{3EB9A427-7C50-4D4E-9818-C4C043CEDA65}"/>
    <cellStyle name="Comma 2 8 2 2 4 3" xfId="9266" xr:uid="{00000000-0005-0000-0000-000083140000}"/>
    <cellStyle name="Comma 2 8 2 2 4 3 2" xfId="20812" xr:uid="{93B7B6ED-0DE3-4CA6-8A84-09C578591904}"/>
    <cellStyle name="Comma 2 8 2 2 4 3 3" xfId="31228" xr:uid="{C89DF52C-273D-4F4C-8E53-F5F4DB379192}"/>
    <cellStyle name="Comma 2 8 2 2 4 4" xfId="5824" xr:uid="{00000000-0005-0000-0000-000084140000}"/>
    <cellStyle name="Comma 2 8 2 2 4 4 2" xfId="17410" xr:uid="{6156AEC6-5BC4-4D52-9498-D7F53DE38767}"/>
    <cellStyle name="Comma 2 8 2 2 4 4 3" xfId="27826" xr:uid="{91F6386E-0E30-41D1-9504-7E8D02679108}"/>
    <cellStyle name="Comma 2 8 2 2 4 5" xfId="14454" xr:uid="{C55BDB54-9F68-4E24-A903-5CDFEFF9C0CB}"/>
    <cellStyle name="Comma 2 8 2 2 4 6" xfId="24870" xr:uid="{3309343C-ED29-4A12-8794-D16AD059068E}"/>
    <cellStyle name="Comma 2 8 2 2 5" xfId="2121" xr:uid="{00000000-0005-0000-0000-000085140000}"/>
    <cellStyle name="Comma 2 8 2 2 5 2" xfId="9268" xr:uid="{00000000-0005-0000-0000-000086140000}"/>
    <cellStyle name="Comma 2 8 2 2 5 2 2" xfId="20814" xr:uid="{8C3CF807-1C20-44A8-9E0D-0218BD0D393F}"/>
    <cellStyle name="Comma 2 8 2 2 5 2 3" xfId="31230" xr:uid="{E291F761-FC10-48ED-AFFC-73674DDCA387}"/>
    <cellStyle name="Comma 2 8 2 2 5 3" xfId="14456" xr:uid="{E183ADBE-DC75-4A0C-A6B6-23FF8A5838D2}"/>
    <cellStyle name="Comma 2 8 2 2 5 4" xfId="24872" xr:uid="{59891C79-8415-4143-BA72-52F133F4B404}"/>
    <cellStyle name="Comma 2 8 2 2 6" xfId="9259" xr:uid="{00000000-0005-0000-0000-000087140000}"/>
    <cellStyle name="Comma 2 8 2 2 6 2" xfId="20805" xr:uid="{D53512CA-3051-4B74-A059-4E8515442AFA}"/>
    <cellStyle name="Comma 2 8 2 2 6 3" xfId="31221" xr:uid="{1C752E4E-4508-4D2E-A909-4C73772DF51A}"/>
    <cellStyle name="Comma 2 8 2 2 7" xfId="5820" xr:uid="{00000000-0005-0000-0000-000088140000}"/>
    <cellStyle name="Comma 2 8 2 2 7 2" xfId="17406" xr:uid="{8DC1480A-7E7F-4B7C-A786-BE3D3BE733CF}"/>
    <cellStyle name="Comma 2 8 2 2 7 3" xfId="27822" xr:uid="{1A1D8E46-21C9-48E4-9733-EA57AF7A0A66}"/>
    <cellStyle name="Comma 2 8 2 2 8" xfId="14447" xr:uid="{0CDA43CD-E1DA-413A-96CD-15108C43DFC3}"/>
    <cellStyle name="Comma 2 8 2 2 9" xfId="24863" xr:uid="{2472A193-9D45-407E-8B65-3D2CA291DBBB}"/>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2 2 2" xfId="20818" xr:uid="{EA50E481-043A-49EA-A4AC-C278414A4BF1}"/>
    <cellStyle name="Comma 2 8 2 3 2 2 2 2 3" xfId="31234" xr:uid="{16418DA5-34E7-494C-9BC6-595DB5302AD6}"/>
    <cellStyle name="Comma 2 8 2 3 2 2 2 3" xfId="14460" xr:uid="{4625D207-1205-41C0-813C-D205A4C4B39C}"/>
    <cellStyle name="Comma 2 8 2 3 2 2 2 4" xfId="24876" xr:uid="{A0AAF48F-7CB4-458E-820A-D0EA0B66132F}"/>
    <cellStyle name="Comma 2 8 2 3 2 2 3" xfId="9271" xr:uid="{00000000-0005-0000-0000-00008E140000}"/>
    <cellStyle name="Comma 2 8 2 3 2 2 3 2" xfId="20817" xr:uid="{40F47F01-317C-4C9B-AAA5-E4FE18426F87}"/>
    <cellStyle name="Comma 2 8 2 3 2 2 3 3" xfId="31233" xr:uid="{941C76E4-6366-4989-8B15-36AA5FFF861E}"/>
    <cellStyle name="Comma 2 8 2 3 2 2 4" xfId="5827" xr:uid="{00000000-0005-0000-0000-00008F140000}"/>
    <cellStyle name="Comma 2 8 2 3 2 2 4 2" xfId="17413" xr:uid="{0BA671D7-8403-481F-A6AC-755C28017DD6}"/>
    <cellStyle name="Comma 2 8 2 3 2 2 4 3" xfId="27829" xr:uid="{95149092-B34A-4350-8CF2-16F8CBE8CAC0}"/>
    <cellStyle name="Comma 2 8 2 3 2 2 5" xfId="14459" xr:uid="{A45AAC6A-FCB6-4DBE-A9B7-3C58DE92A10D}"/>
    <cellStyle name="Comma 2 8 2 3 2 2 6" xfId="24875" xr:uid="{C485B7DC-3136-4DFC-8ED9-D373BF97B32A}"/>
    <cellStyle name="Comma 2 8 2 3 2 3" xfId="2126" xr:uid="{00000000-0005-0000-0000-000090140000}"/>
    <cellStyle name="Comma 2 8 2 3 2 3 2" xfId="9273" xr:uid="{00000000-0005-0000-0000-000091140000}"/>
    <cellStyle name="Comma 2 8 2 3 2 3 2 2" xfId="20819" xr:uid="{EB3B41F2-91FC-4BD4-912A-3C2EEED80B9F}"/>
    <cellStyle name="Comma 2 8 2 3 2 3 2 3" xfId="31235" xr:uid="{AFD0A98D-DF3D-4BCE-80A4-1E4636E3B462}"/>
    <cellStyle name="Comma 2 8 2 3 2 3 3" xfId="14461" xr:uid="{01B525CE-FA21-4F8C-876F-10D1A6F85486}"/>
    <cellStyle name="Comma 2 8 2 3 2 3 4" xfId="24877" xr:uid="{6646F631-36AB-416A-AA14-64302D93808E}"/>
    <cellStyle name="Comma 2 8 2 3 2 4" xfId="9270" xr:uid="{00000000-0005-0000-0000-000092140000}"/>
    <cellStyle name="Comma 2 8 2 3 2 4 2" xfId="20816" xr:uid="{897FDF39-0D29-4F6E-A3A3-54FC340BA3A4}"/>
    <cellStyle name="Comma 2 8 2 3 2 4 3" xfId="31232" xr:uid="{CC561B85-6AD8-414B-8B79-6F1E997040DC}"/>
    <cellStyle name="Comma 2 8 2 3 2 5" xfId="5826" xr:uid="{00000000-0005-0000-0000-000093140000}"/>
    <cellStyle name="Comma 2 8 2 3 2 5 2" xfId="17412" xr:uid="{86882160-0045-40D7-B71A-690A57569BC0}"/>
    <cellStyle name="Comma 2 8 2 3 2 5 3" xfId="27828" xr:uid="{6B09958D-53BC-4779-B1E0-87CC688ED6BB}"/>
    <cellStyle name="Comma 2 8 2 3 2 6" xfId="14458" xr:uid="{A5B662F2-4DA8-4083-BCD5-20464AB9A82D}"/>
    <cellStyle name="Comma 2 8 2 3 2 7" xfId="24874" xr:uid="{37C9A1EF-D978-4DB0-9A69-643B830B3AEB}"/>
    <cellStyle name="Comma 2 8 2 3 3" xfId="2127" xr:uid="{00000000-0005-0000-0000-000094140000}"/>
    <cellStyle name="Comma 2 8 2 3 3 2" xfId="2128" xr:uid="{00000000-0005-0000-0000-000095140000}"/>
    <cellStyle name="Comma 2 8 2 3 3 2 2" xfId="9275" xr:uid="{00000000-0005-0000-0000-000096140000}"/>
    <cellStyle name="Comma 2 8 2 3 3 2 2 2" xfId="20821" xr:uid="{15972539-09B5-412A-8263-A6F1717D8590}"/>
    <cellStyle name="Comma 2 8 2 3 3 2 2 3" xfId="31237" xr:uid="{D9B7F0D9-FD29-4558-968F-000D8062461F}"/>
    <cellStyle name="Comma 2 8 2 3 3 2 3" xfId="14463" xr:uid="{37CC3AE3-B429-40EE-A485-0FA720561CCC}"/>
    <cellStyle name="Comma 2 8 2 3 3 2 4" xfId="24879" xr:uid="{4AD92E53-2BB1-4B06-A4F0-96ED8848449F}"/>
    <cellStyle name="Comma 2 8 2 3 3 3" xfId="9274" xr:uid="{00000000-0005-0000-0000-000097140000}"/>
    <cellStyle name="Comma 2 8 2 3 3 3 2" xfId="20820" xr:uid="{29B34355-60D0-4680-955B-D09C8C0A2311}"/>
    <cellStyle name="Comma 2 8 2 3 3 3 3" xfId="31236" xr:uid="{C079BE25-47F0-46FE-878A-5EEEE654AE76}"/>
    <cellStyle name="Comma 2 8 2 3 3 4" xfId="5828" xr:uid="{00000000-0005-0000-0000-000098140000}"/>
    <cellStyle name="Comma 2 8 2 3 3 4 2" xfId="17414" xr:uid="{935C7C6D-3A66-4A99-9422-67B10257E1DC}"/>
    <cellStyle name="Comma 2 8 2 3 3 4 3" xfId="27830" xr:uid="{BB20CE7F-43F6-4626-87A2-21403FDB74B4}"/>
    <cellStyle name="Comma 2 8 2 3 3 5" xfId="14462" xr:uid="{A805CC0C-5345-4752-885D-8A7E4E262D01}"/>
    <cellStyle name="Comma 2 8 2 3 3 6" xfId="24878" xr:uid="{08AC3299-2DDB-431E-9A68-A1784F29BB04}"/>
    <cellStyle name="Comma 2 8 2 3 4" xfId="2129" xr:uid="{00000000-0005-0000-0000-000099140000}"/>
    <cellStyle name="Comma 2 8 2 3 4 2" xfId="2130" xr:uid="{00000000-0005-0000-0000-00009A140000}"/>
    <cellStyle name="Comma 2 8 2 3 4 2 2" xfId="9277" xr:uid="{00000000-0005-0000-0000-00009B140000}"/>
    <cellStyle name="Comma 2 8 2 3 4 2 2 2" xfId="20823" xr:uid="{89785CDE-230D-43FD-A4FA-A8EECE8DD994}"/>
    <cellStyle name="Comma 2 8 2 3 4 2 2 3" xfId="31239" xr:uid="{F2D0DBEB-AFC1-4A12-8A92-8FBB4F8EA700}"/>
    <cellStyle name="Comma 2 8 2 3 4 2 3" xfId="14465" xr:uid="{9285477C-2C27-4DDC-A8D6-3EBF5E7CE1DE}"/>
    <cellStyle name="Comma 2 8 2 3 4 2 4" xfId="24881" xr:uid="{FB3A28EA-7463-4EB4-9580-A91311B790FE}"/>
    <cellStyle name="Comma 2 8 2 3 4 3" xfId="9276" xr:uid="{00000000-0005-0000-0000-00009C140000}"/>
    <cellStyle name="Comma 2 8 2 3 4 3 2" xfId="20822" xr:uid="{E67A7C67-9ED4-40B0-8C18-E0BBB714C598}"/>
    <cellStyle name="Comma 2 8 2 3 4 3 3" xfId="31238" xr:uid="{E58F1327-CD62-4915-836D-1D1D36434E4F}"/>
    <cellStyle name="Comma 2 8 2 3 4 4" xfId="5829" xr:uid="{00000000-0005-0000-0000-00009D140000}"/>
    <cellStyle name="Comma 2 8 2 3 4 4 2" xfId="17415" xr:uid="{66EEB0C1-B523-464C-91E9-4ECC0EE27B34}"/>
    <cellStyle name="Comma 2 8 2 3 4 4 3" xfId="27831" xr:uid="{7A708337-E79C-4803-B2AE-E04999DB8A03}"/>
    <cellStyle name="Comma 2 8 2 3 4 5" xfId="14464" xr:uid="{3CB4D41E-3B54-4F7A-A0E6-E968CA9D730B}"/>
    <cellStyle name="Comma 2 8 2 3 4 6" xfId="24880" xr:uid="{A7F5B365-58D6-4381-B1C1-017FB5FE7BE9}"/>
    <cellStyle name="Comma 2 8 2 3 5" xfId="2131" xr:uid="{00000000-0005-0000-0000-00009E140000}"/>
    <cellStyle name="Comma 2 8 2 3 5 2" xfId="9278" xr:uid="{00000000-0005-0000-0000-00009F140000}"/>
    <cellStyle name="Comma 2 8 2 3 5 2 2" xfId="20824" xr:uid="{97F54B0B-B301-41CB-A2DE-06EDA34CDD5B}"/>
    <cellStyle name="Comma 2 8 2 3 5 2 3" xfId="31240" xr:uid="{5A41A6B6-479C-4E2B-8814-466251155062}"/>
    <cellStyle name="Comma 2 8 2 3 5 3" xfId="14466" xr:uid="{6301DC02-0149-44EB-91CF-72C167762961}"/>
    <cellStyle name="Comma 2 8 2 3 5 4" xfId="24882" xr:uid="{5F14F311-7FB0-4B93-91D0-05E0DDEB2F44}"/>
    <cellStyle name="Comma 2 8 2 3 6" xfId="9269" xr:uid="{00000000-0005-0000-0000-0000A0140000}"/>
    <cellStyle name="Comma 2 8 2 3 6 2" xfId="20815" xr:uid="{A3B65344-5987-4609-AC72-1C134D4A4362}"/>
    <cellStyle name="Comma 2 8 2 3 6 3" xfId="31231" xr:uid="{B916CB10-893E-4EA4-B8F8-381CF401E9E3}"/>
    <cellStyle name="Comma 2 8 2 3 7" xfId="5825" xr:uid="{00000000-0005-0000-0000-0000A1140000}"/>
    <cellStyle name="Comma 2 8 2 3 7 2" xfId="17411" xr:uid="{B0CEBFED-E713-4A31-9E87-D22FAB6D93F7}"/>
    <cellStyle name="Comma 2 8 2 3 7 3" xfId="27827" xr:uid="{6D52AA9D-F0BD-4FCE-9FB3-1A8D2858DC29}"/>
    <cellStyle name="Comma 2 8 2 3 8" xfId="14457" xr:uid="{64A2804B-EB5B-4F98-B9D0-E923BA42D67C}"/>
    <cellStyle name="Comma 2 8 2 3 9" xfId="24873" xr:uid="{666A0246-38D3-4250-BFF2-EABA02D4A563}"/>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2 2 2" xfId="20828" xr:uid="{3ACD9A8E-5CAD-4941-8834-02758AE1B450}"/>
    <cellStyle name="Comma 2 8 2 4 2 2 2 2 3" xfId="31244" xr:uid="{FB48FA2A-90C2-4848-9F31-862226E080BA}"/>
    <cellStyle name="Comma 2 8 2 4 2 2 2 3" xfId="14470" xr:uid="{D0AAA9DF-9258-44E2-A909-2EB755B82A83}"/>
    <cellStyle name="Comma 2 8 2 4 2 2 2 4" xfId="24886" xr:uid="{1656FFFE-3F50-4172-BD0C-BB39132932A2}"/>
    <cellStyle name="Comma 2 8 2 4 2 2 3" xfId="9281" xr:uid="{00000000-0005-0000-0000-0000A7140000}"/>
    <cellStyle name="Comma 2 8 2 4 2 2 3 2" xfId="20827" xr:uid="{8F2937ED-AE37-426A-B4A9-9B4B90387D45}"/>
    <cellStyle name="Comma 2 8 2 4 2 2 3 3" xfId="31243" xr:uid="{E31048C2-A76A-4A15-9CC4-B0735126129C}"/>
    <cellStyle name="Comma 2 8 2 4 2 2 4" xfId="5832" xr:uid="{00000000-0005-0000-0000-0000A8140000}"/>
    <cellStyle name="Comma 2 8 2 4 2 2 4 2" xfId="17418" xr:uid="{8B570D21-D783-4B60-A491-A1D8253B3065}"/>
    <cellStyle name="Comma 2 8 2 4 2 2 4 3" xfId="27834" xr:uid="{3BE0D1D1-EBA3-44CB-962A-40287175DD33}"/>
    <cellStyle name="Comma 2 8 2 4 2 2 5" xfId="14469" xr:uid="{59A106C2-910C-480A-AD6B-38A803B57933}"/>
    <cellStyle name="Comma 2 8 2 4 2 2 6" xfId="24885" xr:uid="{F1F111DD-EDD7-4532-9051-E7D8EE26D735}"/>
    <cellStyle name="Comma 2 8 2 4 2 3" xfId="2136" xr:uid="{00000000-0005-0000-0000-0000A9140000}"/>
    <cellStyle name="Comma 2 8 2 4 2 3 2" xfId="9283" xr:uid="{00000000-0005-0000-0000-0000AA140000}"/>
    <cellStyle name="Comma 2 8 2 4 2 3 2 2" xfId="20829" xr:uid="{8FCF7F17-1BD6-486F-8C08-3CB2EC7D5BBC}"/>
    <cellStyle name="Comma 2 8 2 4 2 3 2 3" xfId="31245" xr:uid="{D1212F18-B696-4726-A646-DA817DBAE307}"/>
    <cellStyle name="Comma 2 8 2 4 2 3 3" xfId="14471" xr:uid="{3D0DDA99-7D74-439A-AB1F-1AD894EA003E}"/>
    <cellStyle name="Comma 2 8 2 4 2 3 4" xfId="24887" xr:uid="{A9C424F3-0353-4ABB-BAF5-42B00162C495}"/>
    <cellStyle name="Comma 2 8 2 4 2 4" xfId="9280" xr:uid="{00000000-0005-0000-0000-0000AB140000}"/>
    <cellStyle name="Comma 2 8 2 4 2 4 2" xfId="20826" xr:uid="{49529F7A-BAFA-45D5-8633-A11B8C908B8A}"/>
    <cellStyle name="Comma 2 8 2 4 2 4 3" xfId="31242" xr:uid="{EDBD623E-A6AC-4AD2-A1E7-38C1159D3BD0}"/>
    <cellStyle name="Comma 2 8 2 4 2 5" xfId="5831" xr:uid="{00000000-0005-0000-0000-0000AC140000}"/>
    <cellStyle name="Comma 2 8 2 4 2 5 2" xfId="17417" xr:uid="{AFF832F1-56DD-426D-9827-E3D964464619}"/>
    <cellStyle name="Comma 2 8 2 4 2 5 3" xfId="27833" xr:uid="{B682F530-62E0-452B-ABE8-3E05580E202F}"/>
    <cellStyle name="Comma 2 8 2 4 2 6" xfId="14468" xr:uid="{2AEB61C6-C811-4E8F-B511-3D7B87045FEB}"/>
    <cellStyle name="Comma 2 8 2 4 2 7" xfId="24884" xr:uid="{59FA5BCE-3474-4788-BE28-9D0390A334AE}"/>
    <cellStyle name="Comma 2 8 2 4 3" xfId="2137" xr:uid="{00000000-0005-0000-0000-0000AD140000}"/>
    <cellStyle name="Comma 2 8 2 4 3 2" xfId="2138" xr:uid="{00000000-0005-0000-0000-0000AE140000}"/>
    <cellStyle name="Comma 2 8 2 4 3 2 2" xfId="9285" xr:uid="{00000000-0005-0000-0000-0000AF140000}"/>
    <cellStyle name="Comma 2 8 2 4 3 2 2 2" xfId="20831" xr:uid="{396A019E-9CF2-480F-9B27-2C4023BA47C4}"/>
    <cellStyle name="Comma 2 8 2 4 3 2 2 3" xfId="31247" xr:uid="{C6B482AE-500D-4682-A4E7-ACDF9C0E30AF}"/>
    <cellStyle name="Comma 2 8 2 4 3 2 3" xfId="14473" xr:uid="{D26D17CF-D51A-4C80-AC1E-71857E20DDE9}"/>
    <cellStyle name="Comma 2 8 2 4 3 2 4" xfId="24889" xr:uid="{BF486910-7385-4EC1-B643-9A442E20D08F}"/>
    <cellStyle name="Comma 2 8 2 4 3 3" xfId="9284" xr:uid="{00000000-0005-0000-0000-0000B0140000}"/>
    <cellStyle name="Comma 2 8 2 4 3 3 2" xfId="20830" xr:uid="{DD9CD3EA-F0CF-475F-8EBC-67FDF09D97B7}"/>
    <cellStyle name="Comma 2 8 2 4 3 3 3" xfId="31246" xr:uid="{9DC9D05A-8A48-4BBD-9B27-C78B2417F443}"/>
    <cellStyle name="Comma 2 8 2 4 3 4" xfId="5833" xr:uid="{00000000-0005-0000-0000-0000B1140000}"/>
    <cellStyle name="Comma 2 8 2 4 3 4 2" xfId="17419" xr:uid="{83070025-5A31-49D3-B1A0-EAE6217DDE09}"/>
    <cellStyle name="Comma 2 8 2 4 3 4 3" xfId="27835" xr:uid="{A5507C9A-A2BA-4AA3-B57A-1492B29A0A4A}"/>
    <cellStyle name="Comma 2 8 2 4 3 5" xfId="14472" xr:uid="{B542D6C7-B248-4646-A78C-295B8E52249A}"/>
    <cellStyle name="Comma 2 8 2 4 3 6" xfId="24888" xr:uid="{593D516C-FF29-4D85-A11A-CA3D8BB89054}"/>
    <cellStyle name="Comma 2 8 2 4 4" xfId="2139" xr:uid="{00000000-0005-0000-0000-0000B2140000}"/>
    <cellStyle name="Comma 2 8 2 4 4 2" xfId="2140" xr:uid="{00000000-0005-0000-0000-0000B3140000}"/>
    <cellStyle name="Comma 2 8 2 4 4 2 2" xfId="9287" xr:uid="{00000000-0005-0000-0000-0000B4140000}"/>
    <cellStyle name="Comma 2 8 2 4 4 2 2 2" xfId="20833" xr:uid="{5BBE47A0-CEE4-4EBC-B4E8-78734C8E0911}"/>
    <cellStyle name="Comma 2 8 2 4 4 2 2 3" xfId="31249" xr:uid="{8E004896-6555-4983-8416-DC9578FE0A24}"/>
    <cellStyle name="Comma 2 8 2 4 4 2 3" xfId="14475" xr:uid="{3F4BF4A5-D56F-4FB4-B28A-62A82584E8B2}"/>
    <cellStyle name="Comma 2 8 2 4 4 2 4" xfId="24891" xr:uid="{A3653854-4C0C-46FC-B003-2A7AD574CEFD}"/>
    <cellStyle name="Comma 2 8 2 4 4 3" xfId="9286" xr:uid="{00000000-0005-0000-0000-0000B5140000}"/>
    <cellStyle name="Comma 2 8 2 4 4 3 2" xfId="20832" xr:uid="{14461DC2-1F79-4BA2-B2C6-0357C2E27E79}"/>
    <cellStyle name="Comma 2 8 2 4 4 3 3" xfId="31248" xr:uid="{423705B4-563D-41A3-AF75-83EA0A14200C}"/>
    <cellStyle name="Comma 2 8 2 4 4 4" xfId="5834" xr:uid="{00000000-0005-0000-0000-0000B6140000}"/>
    <cellStyle name="Comma 2 8 2 4 4 4 2" xfId="17420" xr:uid="{921F76D6-276E-4EC3-B3DF-3CAEA13D5E5E}"/>
    <cellStyle name="Comma 2 8 2 4 4 4 3" xfId="27836" xr:uid="{35E436C3-9AA7-43CA-8A3E-42073DC5D92D}"/>
    <cellStyle name="Comma 2 8 2 4 4 5" xfId="14474" xr:uid="{CE848FBC-EFBA-47D2-8FD4-121EBD816F0F}"/>
    <cellStyle name="Comma 2 8 2 4 4 6" xfId="24890" xr:uid="{FBD36DF3-6C8A-4BF5-A135-0BB1D8A328C6}"/>
    <cellStyle name="Comma 2 8 2 4 5" xfId="2141" xr:uid="{00000000-0005-0000-0000-0000B7140000}"/>
    <cellStyle name="Comma 2 8 2 4 5 2" xfId="9288" xr:uid="{00000000-0005-0000-0000-0000B8140000}"/>
    <cellStyle name="Comma 2 8 2 4 5 2 2" xfId="20834" xr:uid="{23CB4B58-0E12-44C5-8903-1BA2A6EA547A}"/>
    <cellStyle name="Comma 2 8 2 4 5 2 3" xfId="31250" xr:uid="{23356B1A-3A80-4472-B3B5-F70BF2CB9E2C}"/>
    <cellStyle name="Comma 2 8 2 4 5 3" xfId="14476" xr:uid="{CB505DC7-AC79-457B-B42A-55676B5C07F4}"/>
    <cellStyle name="Comma 2 8 2 4 5 4" xfId="24892" xr:uid="{EF1CB06C-1301-47D3-9C67-220AEDC2983B}"/>
    <cellStyle name="Comma 2 8 2 4 6" xfId="9279" xr:uid="{00000000-0005-0000-0000-0000B9140000}"/>
    <cellStyle name="Comma 2 8 2 4 6 2" xfId="20825" xr:uid="{A8AD15B8-6828-467A-B0B1-323082A0245C}"/>
    <cellStyle name="Comma 2 8 2 4 6 3" xfId="31241" xr:uid="{CAF4AD68-03E5-4C38-9643-882C728328F5}"/>
    <cellStyle name="Comma 2 8 2 4 7" xfId="5830" xr:uid="{00000000-0005-0000-0000-0000BA140000}"/>
    <cellStyle name="Comma 2 8 2 4 7 2" xfId="17416" xr:uid="{1DBE5D4C-9A9A-4AB6-81A1-44D83061E09B}"/>
    <cellStyle name="Comma 2 8 2 4 7 3" xfId="27832" xr:uid="{CDC2BD69-19CF-4F09-A46D-D8C52F4EDC63}"/>
    <cellStyle name="Comma 2 8 2 4 8" xfId="14467" xr:uid="{4537A362-790F-4EB5-B0AB-167A92DDBFC1}"/>
    <cellStyle name="Comma 2 8 2 4 9" xfId="24883" xr:uid="{680CEAE8-D4E0-4D93-BA67-935AF25C86B6}"/>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2 2 2" xfId="20838" xr:uid="{A3081FB2-3447-4220-A617-A1F1AA42E0AD}"/>
    <cellStyle name="Comma 2 8 2 5 2 2 2 2 3" xfId="31254" xr:uid="{7A454605-9FDC-46F6-8850-4A1806F265EF}"/>
    <cellStyle name="Comma 2 8 2 5 2 2 2 3" xfId="14480" xr:uid="{A82C6B9B-5DDB-4B58-B8BB-33D7F10EDB58}"/>
    <cellStyle name="Comma 2 8 2 5 2 2 2 4" xfId="24896" xr:uid="{725E7008-7A04-4A4B-BC6F-19B807233F5E}"/>
    <cellStyle name="Comma 2 8 2 5 2 2 3" xfId="9291" xr:uid="{00000000-0005-0000-0000-0000C0140000}"/>
    <cellStyle name="Comma 2 8 2 5 2 2 3 2" xfId="20837" xr:uid="{0C4D7947-6040-4FFB-9292-9CA65B1C509A}"/>
    <cellStyle name="Comma 2 8 2 5 2 2 3 3" xfId="31253" xr:uid="{612B0BB2-25FB-4111-9136-03D2BF9D350C}"/>
    <cellStyle name="Comma 2 8 2 5 2 2 4" xfId="5837" xr:uid="{00000000-0005-0000-0000-0000C1140000}"/>
    <cellStyle name="Comma 2 8 2 5 2 2 4 2" xfId="17423" xr:uid="{599C80E1-4804-4D76-A6F4-7C825F5B9F13}"/>
    <cellStyle name="Comma 2 8 2 5 2 2 4 3" xfId="27839" xr:uid="{C77BE85B-0179-4080-B6B0-ED6E5D4596D3}"/>
    <cellStyle name="Comma 2 8 2 5 2 2 5" xfId="14479" xr:uid="{0436D119-4468-47BA-BAAB-6D024F42CFA6}"/>
    <cellStyle name="Comma 2 8 2 5 2 2 6" xfId="24895" xr:uid="{ED0C9951-C9AF-49BB-A518-D7E910579ABF}"/>
    <cellStyle name="Comma 2 8 2 5 2 3" xfId="2146" xr:uid="{00000000-0005-0000-0000-0000C2140000}"/>
    <cellStyle name="Comma 2 8 2 5 2 3 2" xfId="9293" xr:uid="{00000000-0005-0000-0000-0000C3140000}"/>
    <cellStyle name="Comma 2 8 2 5 2 3 2 2" xfId="20839" xr:uid="{6F3E74B4-0587-4F0A-ABF2-772907A394EC}"/>
    <cellStyle name="Comma 2 8 2 5 2 3 2 3" xfId="31255" xr:uid="{831F87C3-2ADA-4AAA-87CE-9D539D901B6F}"/>
    <cellStyle name="Comma 2 8 2 5 2 3 3" xfId="14481" xr:uid="{BE2ABC94-8370-4A17-AAFD-A5A6AA7A5BDC}"/>
    <cellStyle name="Comma 2 8 2 5 2 3 4" xfId="24897" xr:uid="{565D5FA8-BA78-4AB8-B274-0F2B55FF4A64}"/>
    <cellStyle name="Comma 2 8 2 5 2 4" xfId="9290" xr:uid="{00000000-0005-0000-0000-0000C4140000}"/>
    <cellStyle name="Comma 2 8 2 5 2 4 2" xfId="20836" xr:uid="{E82A5352-E800-4621-8F68-3EAF0CFF070E}"/>
    <cellStyle name="Comma 2 8 2 5 2 4 3" xfId="31252" xr:uid="{2569A29B-C1B1-4582-9C7F-1C9D4AF0B28B}"/>
    <cellStyle name="Comma 2 8 2 5 2 5" xfId="5836" xr:uid="{00000000-0005-0000-0000-0000C5140000}"/>
    <cellStyle name="Comma 2 8 2 5 2 5 2" xfId="17422" xr:uid="{19D3E92E-564B-44A9-9C40-032889E7AC9E}"/>
    <cellStyle name="Comma 2 8 2 5 2 5 3" xfId="27838" xr:uid="{10F8F9D6-A7A0-43E3-82A7-52E09838F2FC}"/>
    <cellStyle name="Comma 2 8 2 5 2 6" xfId="14478" xr:uid="{D8413DFB-57E8-4D0B-8E25-F5121D7BCD82}"/>
    <cellStyle name="Comma 2 8 2 5 2 7" xfId="24894" xr:uid="{9A0A50A2-9B68-4B5F-AC63-F1213A41D31B}"/>
    <cellStyle name="Comma 2 8 2 5 3" xfId="2147" xr:uid="{00000000-0005-0000-0000-0000C6140000}"/>
    <cellStyle name="Comma 2 8 2 5 3 2" xfId="2148" xr:uid="{00000000-0005-0000-0000-0000C7140000}"/>
    <cellStyle name="Comma 2 8 2 5 3 2 2" xfId="9295" xr:uid="{00000000-0005-0000-0000-0000C8140000}"/>
    <cellStyle name="Comma 2 8 2 5 3 2 2 2" xfId="20841" xr:uid="{BEEC6C12-7AF9-45B7-B028-F730CDD1536C}"/>
    <cellStyle name="Comma 2 8 2 5 3 2 2 3" xfId="31257" xr:uid="{8047652F-24C2-4C20-BBA8-16D0825E5269}"/>
    <cellStyle name="Comma 2 8 2 5 3 2 3" xfId="14483" xr:uid="{B919C1EB-5BEC-474F-842C-1AAB36BED6EE}"/>
    <cellStyle name="Comma 2 8 2 5 3 2 4" xfId="24899" xr:uid="{727031CD-1ED6-42ED-9DBA-4591E4363343}"/>
    <cellStyle name="Comma 2 8 2 5 3 3" xfId="9294" xr:uid="{00000000-0005-0000-0000-0000C9140000}"/>
    <cellStyle name="Comma 2 8 2 5 3 3 2" xfId="20840" xr:uid="{F0F401C3-A277-434A-89ED-45340E2E2222}"/>
    <cellStyle name="Comma 2 8 2 5 3 3 3" xfId="31256" xr:uid="{24070166-1181-4440-B8FD-B82583CDB675}"/>
    <cellStyle name="Comma 2 8 2 5 3 4" xfId="5838" xr:uid="{00000000-0005-0000-0000-0000CA140000}"/>
    <cellStyle name="Comma 2 8 2 5 3 4 2" xfId="17424" xr:uid="{8009A078-31E1-46AD-AF2E-DF069E7C4B20}"/>
    <cellStyle name="Comma 2 8 2 5 3 4 3" xfId="27840" xr:uid="{FE8C20DA-6F69-442F-9933-9D7A17D173FC}"/>
    <cellStyle name="Comma 2 8 2 5 3 5" xfId="14482" xr:uid="{4A417D05-64BE-4B64-A0A3-B3EA022AB46E}"/>
    <cellStyle name="Comma 2 8 2 5 3 6" xfId="24898" xr:uid="{6F08F2EE-FCE8-4385-998F-FDC856597D9E}"/>
    <cellStyle name="Comma 2 8 2 5 4" xfId="2149" xr:uid="{00000000-0005-0000-0000-0000CB140000}"/>
    <cellStyle name="Comma 2 8 2 5 4 2" xfId="2150" xr:uid="{00000000-0005-0000-0000-0000CC140000}"/>
    <cellStyle name="Comma 2 8 2 5 4 2 2" xfId="9297" xr:uid="{00000000-0005-0000-0000-0000CD140000}"/>
    <cellStyle name="Comma 2 8 2 5 4 2 2 2" xfId="20843" xr:uid="{C3045FC1-9896-4F22-B65F-6E6F1D2AEA95}"/>
    <cellStyle name="Comma 2 8 2 5 4 2 2 3" xfId="31259" xr:uid="{4B3064FB-BFCA-4547-B9FC-94FF2BBE1B62}"/>
    <cellStyle name="Comma 2 8 2 5 4 2 3" xfId="14485" xr:uid="{7462BA6C-0652-4421-88BE-19EB74E3D157}"/>
    <cellStyle name="Comma 2 8 2 5 4 2 4" xfId="24901" xr:uid="{8FD645EB-450E-437D-85C2-A389F91573CE}"/>
    <cellStyle name="Comma 2 8 2 5 4 3" xfId="9296" xr:uid="{00000000-0005-0000-0000-0000CE140000}"/>
    <cellStyle name="Comma 2 8 2 5 4 3 2" xfId="20842" xr:uid="{AE0B698F-5E75-424E-949E-121FF96492C9}"/>
    <cellStyle name="Comma 2 8 2 5 4 3 3" xfId="31258" xr:uid="{69B12F40-E347-429D-B5BC-296A7497A116}"/>
    <cellStyle name="Comma 2 8 2 5 4 4" xfId="5839" xr:uid="{00000000-0005-0000-0000-0000CF140000}"/>
    <cellStyle name="Comma 2 8 2 5 4 4 2" xfId="17425" xr:uid="{20180000-6942-49BC-AC70-B1E2EC8C17A9}"/>
    <cellStyle name="Comma 2 8 2 5 4 4 3" xfId="27841" xr:uid="{BAC487A2-239F-46D8-B768-5B064AD6A5EB}"/>
    <cellStyle name="Comma 2 8 2 5 4 5" xfId="14484" xr:uid="{66E77962-5386-49BD-A057-250A5561379F}"/>
    <cellStyle name="Comma 2 8 2 5 4 6" xfId="24900" xr:uid="{5D677E33-18E9-4F5B-A069-9BB9AE7D0BB3}"/>
    <cellStyle name="Comma 2 8 2 5 5" xfId="2151" xr:uid="{00000000-0005-0000-0000-0000D0140000}"/>
    <cellStyle name="Comma 2 8 2 5 5 2" xfId="9298" xr:uid="{00000000-0005-0000-0000-0000D1140000}"/>
    <cellStyle name="Comma 2 8 2 5 5 2 2" xfId="20844" xr:uid="{FF18E6D2-5764-41FF-A7CC-E8F5F7CA8A1F}"/>
    <cellStyle name="Comma 2 8 2 5 5 2 3" xfId="31260" xr:uid="{137B002E-8972-410D-B159-71F3C3C0F988}"/>
    <cellStyle name="Comma 2 8 2 5 5 3" xfId="14486" xr:uid="{970E009A-0CA6-484C-AC85-64EB477303AC}"/>
    <cellStyle name="Comma 2 8 2 5 5 4" xfId="24902" xr:uid="{8A6F293A-8821-4460-895D-102C0F045B8E}"/>
    <cellStyle name="Comma 2 8 2 5 6" xfId="9289" xr:uid="{00000000-0005-0000-0000-0000D2140000}"/>
    <cellStyle name="Comma 2 8 2 5 6 2" xfId="20835" xr:uid="{B1DBE50F-320D-49F6-AEA0-C90D09CF04BF}"/>
    <cellStyle name="Comma 2 8 2 5 6 3" xfId="31251" xr:uid="{3634C705-6917-4A22-99ED-FC3A0792104D}"/>
    <cellStyle name="Comma 2 8 2 5 7" xfId="5835" xr:uid="{00000000-0005-0000-0000-0000D3140000}"/>
    <cellStyle name="Comma 2 8 2 5 7 2" xfId="17421" xr:uid="{CEEA45A6-4D5B-4885-9EC6-37F774732CCD}"/>
    <cellStyle name="Comma 2 8 2 5 7 3" xfId="27837" xr:uid="{E2BAC649-412F-4B55-AE59-D248855146D0}"/>
    <cellStyle name="Comma 2 8 2 5 8" xfId="14477" xr:uid="{95E92807-45A0-4FCB-8FC7-380DD8DA3042}"/>
    <cellStyle name="Comma 2 8 2 5 9" xfId="24893" xr:uid="{8C17EBA9-B817-47F9-973F-67807A487381}"/>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2 2 2" xfId="20847" xr:uid="{DEECCC6C-559A-4E91-87FB-DD1F4A05BDB7}"/>
    <cellStyle name="Comma 2 8 2 6 2 2 2 3" xfId="31263" xr:uid="{44AF9F1F-361B-4FDF-8DBC-D3B43B0F96D8}"/>
    <cellStyle name="Comma 2 8 2 6 2 2 3" xfId="14489" xr:uid="{31768BAF-E558-4785-9438-0A5861AC8D3F}"/>
    <cellStyle name="Comma 2 8 2 6 2 2 4" xfId="24905" xr:uid="{6CE474BA-A96E-4C51-AF15-85546E411F96}"/>
    <cellStyle name="Comma 2 8 2 6 2 3" xfId="9300" xr:uid="{00000000-0005-0000-0000-0000D8140000}"/>
    <cellStyle name="Comma 2 8 2 6 2 3 2" xfId="20846" xr:uid="{6B23045E-C56A-469E-99FF-6F0B23204529}"/>
    <cellStyle name="Comma 2 8 2 6 2 3 3" xfId="31262" xr:uid="{6C76B510-FBD4-4DD8-8FE7-0FAAB0177A3D}"/>
    <cellStyle name="Comma 2 8 2 6 2 4" xfId="5841" xr:uid="{00000000-0005-0000-0000-0000D9140000}"/>
    <cellStyle name="Comma 2 8 2 6 2 4 2" xfId="17427" xr:uid="{641ABB39-2B41-4752-9FE1-01D353F2C8DC}"/>
    <cellStyle name="Comma 2 8 2 6 2 4 3" xfId="27843" xr:uid="{7F2C6DB7-C40A-4706-B286-0506ABFB533F}"/>
    <cellStyle name="Comma 2 8 2 6 2 5" xfId="14488" xr:uid="{C1AE1C52-146D-46D0-8504-AFDFA18C8CDD}"/>
    <cellStyle name="Comma 2 8 2 6 2 6" xfId="24904" xr:uid="{2755E976-3F76-4611-AEFD-CD9AD34AB8CF}"/>
    <cellStyle name="Comma 2 8 2 6 3" xfId="2155" xr:uid="{00000000-0005-0000-0000-0000DA140000}"/>
    <cellStyle name="Comma 2 8 2 6 3 2" xfId="2156" xr:uid="{00000000-0005-0000-0000-0000DB140000}"/>
    <cellStyle name="Comma 2 8 2 6 3 2 2" xfId="9303" xr:uid="{00000000-0005-0000-0000-0000DC140000}"/>
    <cellStyle name="Comma 2 8 2 6 3 2 2 2" xfId="20849" xr:uid="{9D460E3E-8FA5-45DD-B746-18E203ABE052}"/>
    <cellStyle name="Comma 2 8 2 6 3 2 2 3" xfId="31265" xr:uid="{0FB4A0D1-E74B-41D5-AA41-D502C8092E14}"/>
    <cellStyle name="Comma 2 8 2 6 3 2 3" xfId="14491" xr:uid="{AE3AF368-3EE3-457A-8DFF-E6D4F5F59BA0}"/>
    <cellStyle name="Comma 2 8 2 6 3 2 4" xfId="24907" xr:uid="{5A7C1F77-8E15-485C-A5F6-24838B1D70D0}"/>
    <cellStyle name="Comma 2 8 2 6 3 3" xfId="9302" xr:uid="{00000000-0005-0000-0000-0000DD140000}"/>
    <cellStyle name="Comma 2 8 2 6 3 3 2" xfId="20848" xr:uid="{5777E219-9664-4B15-826C-53457413C0A7}"/>
    <cellStyle name="Comma 2 8 2 6 3 3 3" xfId="31264" xr:uid="{EFDD6C00-364C-4386-8690-1389EB6854DB}"/>
    <cellStyle name="Comma 2 8 2 6 3 4" xfId="5842" xr:uid="{00000000-0005-0000-0000-0000DE140000}"/>
    <cellStyle name="Comma 2 8 2 6 3 4 2" xfId="17428" xr:uid="{36028C76-864D-45AA-97A8-690DC84BF1FB}"/>
    <cellStyle name="Comma 2 8 2 6 3 4 3" xfId="27844" xr:uid="{444BBEBA-8C3A-4DA6-90C7-479FADCF369D}"/>
    <cellStyle name="Comma 2 8 2 6 3 5" xfId="14490" xr:uid="{DB5C4801-03F8-4A3D-9B75-F5C7216DFEA0}"/>
    <cellStyle name="Comma 2 8 2 6 3 6" xfId="24906" xr:uid="{B7BDF0DA-C984-4CFC-B102-F03FF4081AF4}"/>
    <cellStyle name="Comma 2 8 2 6 4" xfId="2157" xr:uid="{00000000-0005-0000-0000-0000DF140000}"/>
    <cellStyle name="Comma 2 8 2 6 4 2" xfId="9304" xr:uid="{00000000-0005-0000-0000-0000E0140000}"/>
    <cellStyle name="Comma 2 8 2 6 4 2 2" xfId="20850" xr:uid="{2F996CF6-3B5C-4388-9FCD-7F9B155196A6}"/>
    <cellStyle name="Comma 2 8 2 6 4 2 3" xfId="31266" xr:uid="{53F1245B-4FB1-4203-B26E-DC71C540B0A1}"/>
    <cellStyle name="Comma 2 8 2 6 4 3" xfId="14492" xr:uid="{143E8E47-794C-47D0-8154-21E02BAF9EC6}"/>
    <cellStyle name="Comma 2 8 2 6 4 4" xfId="24908" xr:uid="{C1F6C149-422E-4980-BFA2-00E53F9F23B3}"/>
    <cellStyle name="Comma 2 8 2 6 5" xfId="9299" xr:uid="{00000000-0005-0000-0000-0000E1140000}"/>
    <cellStyle name="Comma 2 8 2 6 5 2" xfId="20845" xr:uid="{AD8A8B7F-D7FE-4918-862D-EDD057162119}"/>
    <cellStyle name="Comma 2 8 2 6 5 3" xfId="31261" xr:uid="{A178BD4D-E3DF-45D0-AB46-CBE6AF112C26}"/>
    <cellStyle name="Comma 2 8 2 6 6" xfId="5840" xr:uid="{00000000-0005-0000-0000-0000E2140000}"/>
    <cellStyle name="Comma 2 8 2 6 6 2" xfId="17426" xr:uid="{B5937E4B-CC70-4934-8C49-AC86240947D3}"/>
    <cellStyle name="Comma 2 8 2 6 6 3" xfId="27842" xr:uid="{1336C621-80E0-4A4A-8B5A-00C81252DC0F}"/>
    <cellStyle name="Comma 2 8 2 6 7" xfId="14487" xr:uid="{1A5A17EC-BE1B-487F-AB7A-DEB57C018AA3}"/>
    <cellStyle name="Comma 2 8 2 6 8" xfId="24903" xr:uid="{5402CF92-2CCC-4DCC-AF36-41C17BDDB564}"/>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2 2 2" xfId="20853" xr:uid="{CF07EBB5-15A0-4B12-9921-8EADE393A441}"/>
    <cellStyle name="Comma 2 8 2 7 2 2 2 3" xfId="31269" xr:uid="{87EFA838-FFEB-4FA5-B26D-F2B7B705CA2B}"/>
    <cellStyle name="Comma 2 8 2 7 2 2 3" xfId="14495" xr:uid="{3947A87A-3F0C-4A29-9107-635CD691BAC4}"/>
    <cellStyle name="Comma 2 8 2 7 2 2 4" xfId="24911" xr:uid="{BD90FA10-8D41-44F0-90FD-E37F94075C99}"/>
    <cellStyle name="Comma 2 8 2 7 2 3" xfId="9306" xr:uid="{00000000-0005-0000-0000-0000E7140000}"/>
    <cellStyle name="Comma 2 8 2 7 2 3 2" xfId="20852" xr:uid="{0C096363-E71D-42A1-AA6E-2FDDF7357EEE}"/>
    <cellStyle name="Comma 2 8 2 7 2 3 3" xfId="31268" xr:uid="{390AAE65-B9DB-4431-9C41-0274C85D15D2}"/>
    <cellStyle name="Comma 2 8 2 7 2 4" xfId="5844" xr:uid="{00000000-0005-0000-0000-0000E8140000}"/>
    <cellStyle name="Comma 2 8 2 7 2 4 2" xfId="17430" xr:uid="{794D0D4E-05DA-4FA0-B5C4-2BB8EB321368}"/>
    <cellStyle name="Comma 2 8 2 7 2 4 3" xfId="27846" xr:uid="{2CBFE10F-C06C-45A9-8395-2AC880DA34A4}"/>
    <cellStyle name="Comma 2 8 2 7 2 5" xfId="14494" xr:uid="{FB8F7D36-FD34-465D-BB9F-4554B30AC349}"/>
    <cellStyle name="Comma 2 8 2 7 2 6" xfId="24910" xr:uid="{B8E59336-42E2-409E-B58A-2DFE460F0790}"/>
    <cellStyle name="Comma 2 8 2 7 3" xfId="2161" xr:uid="{00000000-0005-0000-0000-0000E9140000}"/>
    <cellStyle name="Comma 2 8 2 7 3 2" xfId="9308" xr:uid="{00000000-0005-0000-0000-0000EA140000}"/>
    <cellStyle name="Comma 2 8 2 7 3 2 2" xfId="20854" xr:uid="{F408F416-E151-4AD3-BB68-9708724D793B}"/>
    <cellStyle name="Comma 2 8 2 7 3 2 3" xfId="31270" xr:uid="{B6A01D3E-F95C-4ADF-94A2-0EDCBF7FAEA2}"/>
    <cellStyle name="Comma 2 8 2 7 3 3" xfId="14496" xr:uid="{3586B72F-5F76-4BC7-ADE1-375353FD41DE}"/>
    <cellStyle name="Comma 2 8 2 7 3 4" xfId="24912" xr:uid="{8215D24F-D9FF-410C-AFDF-2D68D61D7B84}"/>
    <cellStyle name="Comma 2 8 2 7 4" xfId="9305" xr:uid="{00000000-0005-0000-0000-0000EB140000}"/>
    <cellStyle name="Comma 2 8 2 7 4 2" xfId="20851" xr:uid="{8C88BFE6-7FED-422A-9508-A93CD96CD705}"/>
    <cellStyle name="Comma 2 8 2 7 4 3" xfId="31267" xr:uid="{DD9EB6EF-BF64-4509-AFFB-A15F1E6C0797}"/>
    <cellStyle name="Comma 2 8 2 7 5" xfId="5843" xr:uid="{00000000-0005-0000-0000-0000EC140000}"/>
    <cellStyle name="Comma 2 8 2 7 5 2" xfId="17429" xr:uid="{B5AD5418-625C-49BC-9AAC-1CDE52BF8156}"/>
    <cellStyle name="Comma 2 8 2 7 5 3" xfId="27845" xr:uid="{1B4C2BB5-4143-4C39-88C0-10470C584ED9}"/>
    <cellStyle name="Comma 2 8 2 7 6" xfId="14493" xr:uid="{B237B2E6-B313-4FC8-8188-E38EFE64E525}"/>
    <cellStyle name="Comma 2 8 2 7 7" xfId="24909" xr:uid="{32CA26F0-ED95-4EB7-8EE6-2429CCD735F5}"/>
    <cellStyle name="Comma 2 8 2 8" xfId="2162" xr:uid="{00000000-0005-0000-0000-0000ED140000}"/>
    <cellStyle name="Comma 2 8 2 8 2" xfId="2163" xr:uid="{00000000-0005-0000-0000-0000EE140000}"/>
    <cellStyle name="Comma 2 8 2 8 2 2" xfId="9310" xr:uid="{00000000-0005-0000-0000-0000EF140000}"/>
    <cellStyle name="Comma 2 8 2 8 2 2 2" xfId="20856" xr:uid="{D0D013C2-23C0-4ACE-ADE5-3C81E4DB64CE}"/>
    <cellStyle name="Comma 2 8 2 8 2 2 3" xfId="31272" xr:uid="{0AD2B7CE-CA7E-49E9-8261-A4554D1C4421}"/>
    <cellStyle name="Comma 2 8 2 8 2 3" xfId="14498" xr:uid="{A8752D1A-5F37-4F04-8A16-CCB2EA729EA5}"/>
    <cellStyle name="Comma 2 8 2 8 2 4" xfId="24914" xr:uid="{8D0FD38F-6A24-4D91-B7AC-D03A7DF07ACE}"/>
    <cellStyle name="Comma 2 8 2 8 3" xfId="9309" xr:uid="{00000000-0005-0000-0000-0000F0140000}"/>
    <cellStyle name="Comma 2 8 2 8 3 2" xfId="20855" xr:uid="{9AECDCBF-093D-4456-B1F7-74B23D03A609}"/>
    <cellStyle name="Comma 2 8 2 8 3 3" xfId="31271" xr:uid="{B11D4D35-2E81-4FEE-9233-0E070C48B35E}"/>
    <cellStyle name="Comma 2 8 2 8 4" xfId="5845" xr:uid="{00000000-0005-0000-0000-0000F1140000}"/>
    <cellStyle name="Comma 2 8 2 8 4 2" xfId="17431" xr:uid="{012C3A4B-AB32-496A-9314-F0BC0B5505F5}"/>
    <cellStyle name="Comma 2 8 2 8 4 3" xfId="27847" xr:uid="{6B1A1CE1-9C7D-4687-8624-24E9A1349105}"/>
    <cellStyle name="Comma 2 8 2 8 5" xfId="14497" xr:uid="{A96D962F-45B6-47B5-A102-23C6C9300C25}"/>
    <cellStyle name="Comma 2 8 2 8 6" xfId="24913" xr:uid="{8D3D8735-6F04-4E1E-955D-A750B4F9463C}"/>
    <cellStyle name="Comma 2 8 2 9" xfId="2164" xr:uid="{00000000-0005-0000-0000-0000F2140000}"/>
    <cellStyle name="Comma 2 8 2 9 2" xfId="2165" xr:uid="{00000000-0005-0000-0000-0000F3140000}"/>
    <cellStyle name="Comma 2 8 2 9 2 2" xfId="9312" xr:uid="{00000000-0005-0000-0000-0000F4140000}"/>
    <cellStyle name="Comma 2 8 2 9 2 2 2" xfId="20858" xr:uid="{EEB508E5-4DD0-4047-8D5F-945F9279CC35}"/>
    <cellStyle name="Comma 2 8 2 9 2 2 3" xfId="31274" xr:uid="{CA923DEE-2C53-430C-A397-5EA0F5539620}"/>
    <cellStyle name="Comma 2 8 2 9 2 3" xfId="14500" xr:uid="{3BA542B3-9455-47A1-949C-C6FB6DC1418F}"/>
    <cellStyle name="Comma 2 8 2 9 2 4" xfId="24916" xr:uid="{BFBBDD01-B6D8-4EFD-B02E-00773415F812}"/>
    <cellStyle name="Comma 2 8 2 9 3" xfId="9311" xr:uid="{00000000-0005-0000-0000-0000F5140000}"/>
    <cellStyle name="Comma 2 8 2 9 3 2" xfId="20857" xr:uid="{84EDE24C-C1AE-43A8-959A-68761771EEF4}"/>
    <cellStyle name="Comma 2 8 2 9 3 3" xfId="31273" xr:uid="{987DFA7B-C961-4C74-86F8-BABC06E14B52}"/>
    <cellStyle name="Comma 2 8 2 9 4" xfId="5846" xr:uid="{00000000-0005-0000-0000-0000F6140000}"/>
    <cellStyle name="Comma 2 8 2 9 4 2" xfId="17432" xr:uid="{7452151C-B674-41F4-8A6B-B79EA3EE8A0A}"/>
    <cellStyle name="Comma 2 8 2 9 4 3" xfId="27848" xr:uid="{EAFB5F66-CCC9-4270-A640-195D350E40B4}"/>
    <cellStyle name="Comma 2 8 2 9 5" xfId="14499" xr:uid="{699B0057-BCF3-4C9C-B20C-2532E7D3F5F5}"/>
    <cellStyle name="Comma 2 8 2 9 6" xfId="24915" xr:uid="{E9D5E036-358B-4803-9CED-961CA70FB56F}"/>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2 2 2" xfId="20862" xr:uid="{21F43D10-0B21-4959-AF3B-105C91409AD3}"/>
    <cellStyle name="Comma 2 8 3 2 2 2 2 3" xfId="31278" xr:uid="{849F4641-0A53-4117-AF81-CB28FDD914DD}"/>
    <cellStyle name="Comma 2 8 3 2 2 2 3" xfId="14504" xr:uid="{7B651661-D248-4FEC-81DE-0DAC70226B3F}"/>
    <cellStyle name="Comma 2 8 3 2 2 2 4" xfId="24920" xr:uid="{7582D5EF-148B-4AA5-B033-6BEF51E1484D}"/>
    <cellStyle name="Comma 2 8 3 2 2 3" xfId="9315" xr:uid="{00000000-0005-0000-0000-0000FC140000}"/>
    <cellStyle name="Comma 2 8 3 2 2 3 2" xfId="20861" xr:uid="{5F998C7E-2E48-448A-A9AF-000AC46445AE}"/>
    <cellStyle name="Comma 2 8 3 2 2 3 3" xfId="31277" xr:uid="{7ACF1A71-8112-4228-BA73-B764F5E25751}"/>
    <cellStyle name="Comma 2 8 3 2 2 4" xfId="5849" xr:uid="{00000000-0005-0000-0000-0000FD140000}"/>
    <cellStyle name="Comma 2 8 3 2 2 4 2" xfId="17435" xr:uid="{D34E9058-BD27-4B63-9228-46F512CBA622}"/>
    <cellStyle name="Comma 2 8 3 2 2 4 3" xfId="27851" xr:uid="{EE83F28D-8937-497F-9B7E-DEFC8DDD65DB}"/>
    <cellStyle name="Comma 2 8 3 2 2 5" xfId="14503" xr:uid="{819AE4A3-6C73-4BFF-94DE-B88A082FFACF}"/>
    <cellStyle name="Comma 2 8 3 2 2 6" xfId="24919" xr:uid="{F08B2B2A-230C-4293-B3EF-DAF407EA80F5}"/>
    <cellStyle name="Comma 2 8 3 2 3" xfId="2170" xr:uid="{00000000-0005-0000-0000-0000FE140000}"/>
    <cellStyle name="Comma 2 8 3 2 3 2" xfId="9317" xr:uid="{00000000-0005-0000-0000-0000FF140000}"/>
    <cellStyle name="Comma 2 8 3 2 3 2 2" xfId="20863" xr:uid="{8182EC3E-6F76-4B40-8A84-4B2BE561CCAA}"/>
    <cellStyle name="Comma 2 8 3 2 3 2 3" xfId="31279" xr:uid="{A3B802B1-DDFA-4315-906E-3B2A13355D60}"/>
    <cellStyle name="Comma 2 8 3 2 3 3" xfId="14505" xr:uid="{A3750EE3-AAFB-452C-8AC6-09016BB11F1F}"/>
    <cellStyle name="Comma 2 8 3 2 3 4" xfId="24921" xr:uid="{81DAE4EA-09D4-41C3-A432-2B4B64248E17}"/>
    <cellStyle name="Comma 2 8 3 2 4" xfId="9314" xr:uid="{00000000-0005-0000-0000-000000150000}"/>
    <cellStyle name="Comma 2 8 3 2 4 2" xfId="20860" xr:uid="{BDC73861-10C7-446E-A423-33D935DD7178}"/>
    <cellStyle name="Comma 2 8 3 2 4 3" xfId="31276" xr:uid="{CE0A9844-21E9-496F-938B-74C725BFBF35}"/>
    <cellStyle name="Comma 2 8 3 2 5" xfId="5848" xr:uid="{00000000-0005-0000-0000-000001150000}"/>
    <cellStyle name="Comma 2 8 3 2 5 2" xfId="17434" xr:uid="{88B82EA0-0D07-4666-9CAD-A8DECC2F1DC8}"/>
    <cellStyle name="Comma 2 8 3 2 5 3" xfId="27850" xr:uid="{97142B8F-0418-439F-8726-62CC2FA18291}"/>
    <cellStyle name="Comma 2 8 3 2 6" xfId="14502" xr:uid="{503213FD-92E9-4531-A257-CE578A81FA92}"/>
    <cellStyle name="Comma 2 8 3 2 7" xfId="24918" xr:uid="{02B050F0-C1A0-4F8D-9910-325BDDAE06FD}"/>
    <cellStyle name="Comma 2 8 3 3" xfId="2171" xr:uid="{00000000-0005-0000-0000-000002150000}"/>
    <cellStyle name="Comma 2 8 3 3 2" xfId="2172" xr:uid="{00000000-0005-0000-0000-000003150000}"/>
    <cellStyle name="Comma 2 8 3 3 2 2" xfId="9319" xr:uid="{00000000-0005-0000-0000-000004150000}"/>
    <cellStyle name="Comma 2 8 3 3 2 2 2" xfId="20865" xr:uid="{0A6FF712-3EEC-40AC-915F-FC9BE90BD1D3}"/>
    <cellStyle name="Comma 2 8 3 3 2 2 3" xfId="31281" xr:uid="{4C13A716-A7A8-4AB0-805C-9ED17FD91D99}"/>
    <cellStyle name="Comma 2 8 3 3 2 3" xfId="14507" xr:uid="{36CB0160-957E-4C3E-9A88-7C706E25F5CE}"/>
    <cellStyle name="Comma 2 8 3 3 2 4" xfId="24923" xr:uid="{12E02F34-040E-4D51-8EAD-A374E21D1C99}"/>
    <cellStyle name="Comma 2 8 3 3 3" xfId="9318" xr:uid="{00000000-0005-0000-0000-000005150000}"/>
    <cellStyle name="Comma 2 8 3 3 3 2" xfId="20864" xr:uid="{84BC4BCB-6419-4326-8685-8DE69AC386ED}"/>
    <cellStyle name="Comma 2 8 3 3 3 3" xfId="31280" xr:uid="{B6565C3E-EE4F-451C-99C4-939E67847912}"/>
    <cellStyle name="Comma 2 8 3 3 4" xfId="5850" xr:uid="{00000000-0005-0000-0000-000006150000}"/>
    <cellStyle name="Comma 2 8 3 3 4 2" xfId="17436" xr:uid="{87DC7C32-2188-4D33-84FF-9E32E327E798}"/>
    <cellStyle name="Comma 2 8 3 3 4 3" xfId="27852" xr:uid="{8A20AA64-C6A4-4CD7-BA90-35ADB5BD5A9C}"/>
    <cellStyle name="Comma 2 8 3 3 5" xfId="14506" xr:uid="{79387602-611F-48F0-9A2C-2AE4C9056139}"/>
    <cellStyle name="Comma 2 8 3 3 6" xfId="24922" xr:uid="{2991C5BD-4405-4F0C-BEBB-01CE2D9355E0}"/>
    <cellStyle name="Comma 2 8 3 4" xfId="2173" xr:uid="{00000000-0005-0000-0000-000007150000}"/>
    <cellStyle name="Comma 2 8 3 4 2" xfId="2174" xr:uid="{00000000-0005-0000-0000-000008150000}"/>
    <cellStyle name="Comma 2 8 3 4 2 2" xfId="9321" xr:uid="{00000000-0005-0000-0000-000009150000}"/>
    <cellStyle name="Comma 2 8 3 4 2 2 2" xfId="20867" xr:uid="{D5108B5E-A988-49D2-B0FA-703377DBEEAF}"/>
    <cellStyle name="Comma 2 8 3 4 2 2 3" xfId="31283" xr:uid="{E19AA0E9-FBB3-40DC-B905-1AFC865558CD}"/>
    <cellStyle name="Comma 2 8 3 4 2 3" xfId="14509" xr:uid="{2A94A7CF-6052-4B09-A250-6D9B6A066C73}"/>
    <cellStyle name="Comma 2 8 3 4 2 4" xfId="24925" xr:uid="{EB722750-3677-4522-9DCC-EA288D8C9E30}"/>
    <cellStyle name="Comma 2 8 3 4 3" xfId="9320" xr:uid="{00000000-0005-0000-0000-00000A150000}"/>
    <cellStyle name="Comma 2 8 3 4 3 2" xfId="20866" xr:uid="{4C8A79D4-D5AD-4557-A8A7-EE903F86CA1E}"/>
    <cellStyle name="Comma 2 8 3 4 3 3" xfId="31282" xr:uid="{707FFF2A-D74D-4F14-927F-D9204D261708}"/>
    <cellStyle name="Comma 2 8 3 4 4" xfId="5851" xr:uid="{00000000-0005-0000-0000-00000B150000}"/>
    <cellStyle name="Comma 2 8 3 4 4 2" xfId="17437" xr:uid="{F7E2B59B-C2A4-4F31-BB4B-7DBA21B23C8F}"/>
    <cellStyle name="Comma 2 8 3 4 4 3" xfId="27853" xr:uid="{99CCE740-40A7-461E-B7C7-3571CA5074C5}"/>
    <cellStyle name="Comma 2 8 3 4 5" xfId="14508" xr:uid="{55C05F77-6925-45FC-A5F2-600EE8610A68}"/>
    <cellStyle name="Comma 2 8 3 4 6" xfId="24924" xr:uid="{B4653075-A672-45FD-816F-E967C4B40B77}"/>
    <cellStyle name="Comma 2 8 3 5" xfId="2175" xr:uid="{00000000-0005-0000-0000-00000C150000}"/>
    <cellStyle name="Comma 2 8 3 5 2" xfId="9322" xr:uid="{00000000-0005-0000-0000-00000D150000}"/>
    <cellStyle name="Comma 2 8 3 5 2 2" xfId="20868" xr:uid="{2136B619-2FFC-4DDB-91DF-D1E965ED32B9}"/>
    <cellStyle name="Comma 2 8 3 5 2 3" xfId="31284" xr:uid="{C21ABEAB-2A57-48E7-9191-61D655460C63}"/>
    <cellStyle name="Comma 2 8 3 5 3" xfId="14510" xr:uid="{C89C7644-D671-4234-86DF-8146AEB91701}"/>
    <cellStyle name="Comma 2 8 3 5 4" xfId="24926" xr:uid="{7E1FD1CB-4196-430F-857B-4A56477624DA}"/>
    <cellStyle name="Comma 2 8 3 6" xfId="9313" xr:uid="{00000000-0005-0000-0000-00000E150000}"/>
    <cellStyle name="Comma 2 8 3 6 2" xfId="20859" xr:uid="{58F99B08-6D34-48DD-BCE0-B749A783E312}"/>
    <cellStyle name="Comma 2 8 3 6 3" xfId="31275" xr:uid="{CF9970D1-4B13-4911-A132-A2C1C87ACB2D}"/>
    <cellStyle name="Comma 2 8 3 7" xfId="5847" xr:uid="{00000000-0005-0000-0000-00000F150000}"/>
    <cellStyle name="Comma 2 8 3 7 2" xfId="17433" xr:uid="{89B13073-08A0-43B2-905C-F83845BCDE49}"/>
    <cellStyle name="Comma 2 8 3 7 3" xfId="27849" xr:uid="{C2F549DB-0189-40D4-A5D4-53412C8D51F9}"/>
    <cellStyle name="Comma 2 8 3 8" xfId="14501" xr:uid="{9EE29EFA-C8D9-4863-8583-FB6140174B09}"/>
    <cellStyle name="Comma 2 8 3 9" xfId="24917" xr:uid="{7A5FAD73-7485-468C-A5F2-2BAC68AC85D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2 2 2" xfId="20872" xr:uid="{15A15C07-EB4C-4CFF-B482-E23C9D8CE271}"/>
    <cellStyle name="Comma 2 8 4 2 2 2 2 3" xfId="31288" xr:uid="{32E0E3A2-0631-47A6-B78B-BECBA51EE665}"/>
    <cellStyle name="Comma 2 8 4 2 2 2 3" xfId="14514" xr:uid="{DC1E5AAD-F535-4FE4-8E50-7B5BAAABC198}"/>
    <cellStyle name="Comma 2 8 4 2 2 2 4" xfId="24930" xr:uid="{CCBFD911-B3D0-4AC9-A0A8-3151A1E83F41}"/>
    <cellStyle name="Comma 2 8 4 2 2 3" xfId="9325" xr:uid="{00000000-0005-0000-0000-000015150000}"/>
    <cellStyle name="Comma 2 8 4 2 2 3 2" xfId="20871" xr:uid="{014BA924-4F66-4487-9E19-55C425EB3CA5}"/>
    <cellStyle name="Comma 2 8 4 2 2 3 3" xfId="31287" xr:uid="{6CAF1BA8-2DB4-4183-86E8-7B97DBED6556}"/>
    <cellStyle name="Comma 2 8 4 2 2 4" xfId="5854" xr:uid="{00000000-0005-0000-0000-000016150000}"/>
    <cellStyle name="Comma 2 8 4 2 2 4 2" xfId="17440" xr:uid="{8023281A-0986-471B-9D94-04CE8D508E74}"/>
    <cellStyle name="Comma 2 8 4 2 2 4 3" xfId="27856" xr:uid="{B9DEDDB0-3064-4468-92EC-86A1F0F50001}"/>
    <cellStyle name="Comma 2 8 4 2 2 5" xfId="14513" xr:uid="{1123F685-2453-4E56-9363-87E0014C1195}"/>
    <cellStyle name="Comma 2 8 4 2 2 6" xfId="24929" xr:uid="{C6B24848-ABC4-4513-BDA3-65F3C59DCF8A}"/>
    <cellStyle name="Comma 2 8 4 2 3" xfId="2180" xr:uid="{00000000-0005-0000-0000-000017150000}"/>
    <cellStyle name="Comma 2 8 4 2 3 2" xfId="9327" xr:uid="{00000000-0005-0000-0000-000018150000}"/>
    <cellStyle name="Comma 2 8 4 2 3 2 2" xfId="20873" xr:uid="{92BDD3F7-A518-4283-B251-9478BC3D579B}"/>
    <cellStyle name="Comma 2 8 4 2 3 2 3" xfId="31289" xr:uid="{FCF00F63-36ED-4309-9DD8-E8B3ED046FCA}"/>
    <cellStyle name="Comma 2 8 4 2 3 3" xfId="14515" xr:uid="{C2747092-AEB7-4AB4-A0B4-FEE76D53F230}"/>
    <cellStyle name="Comma 2 8 4 2 3 4" xfId="24931" xr:uid="{2303580E-5D39-41A2-8514-71B200B0AF4E}"/>
    <cellStyle name="Comma 2 8 4 2 4" xfId="9324" xr:uid="{00000000-0005-0000-0000-000019150000}"/>
    <cellStyle name="Comma 2 8 4 2 4 2" xfId="20870" xr:uid="{17693E46-094B-47BA-988E-A5F536321BC5}"/>
    <cellStyle name="Comma 2 8 4 2 4 3" xfId="31286" xr:uid="{5E947D3F-5E94-4701-8CA9-BBF9AB91A71E}"/>
    <cellStyle name="Comma 2 8 4 2 5" xfId="5853" xr:uid="{00000000-0005-0000-0000-00001A150000}"/>
    <cellStyle name="Comma 2 8 4 2 5 2" xfId="17439" xr:uid="{C1FB6FAE-3E00-4DB9-9408-67D829F37A3C}"/>
    <cellStyle name="Comma 2 8 4 2 5 3" xfId="27855" xr:uid="{62A058BD-4FEA-4FA0-B1F1-1E9EC20AD794}"/>
    <cellStyle name="Comma 2 8 4 2 6" xfId="14512" xr:uid="{4F4E84D1-921F-4C4F-98F7-0A1FDBDCE49B}"/>
    <cellStyle name="Comma 2 8 4 2 7" xfId="24928" xr:uid="{1198F905-9121-4307-8446-EB6940002DF9}"/>
    <cellStyle name="Comma 2 8 4 3" xfId="2181" xr:uid="{00000000-0005-0000-0000-00001B150000}"/>
    <cellStyle name="Comma 2 8 4 3 2" xfId="2182" xr:uid="{00000000-0005-0000-0000-00001C150000}"/>
    <cellStyle name="Comma 2 8 4 3 2 2" xfId="9329" xr:uid="{00000000-0005-0000-0000-00001D150000}"/>
    <cellStyle name="Comma 2 8 4 3 2 2 2" xfId="20875" xr:uid="{47CD0BFF-83BC-4807-AA3A-7FB19F5E685F}"/>
    <cellStyle name="Comma 2 8 4 3 2 2 3" xfId="31291" xr:uid="{D43C6D17-A757-4881-9578-B4D42C2687DD}"/>
    <cellStyle name="Comma 2 8 4 3 2 3" xfId="14517" xr:uid="{B5793613-3AE3-47A5-9623-E57CD4D48FDF}"/>
    <cellStyle name="Comma 2 8 4 3 2 4" xfId="24933" xr:uid="{409739CD-AC4A-4A04-A23A-C996A83E5126}"/>
    <cellStyle name="Comma 2 8 4 3 3" xfId="9328" xr:uid="{00000000-0005-0000-0000-00001E150000}"/>
    <cellStyle name="Comma 2 8 4 3 3 2" xfId="20874" xr:uid="{6CCC0E29-DF25-434B-AE7F-885E407134DE}"/>
    <cellStyle name="Comma 2 8 4 3 3 3" xfId="31290" xr:uid="{DB44F6DF-6F82-4B34-9FD1-E426B622959B}"/>
    <cellStyle name="Comma 2 8 4 3 4" xfId="5855" xr:uid="{00000000-0005-0000-0000-00001F150000}"/>
    <cellStyle name="Comma 2 8 4 3 4 2" xfId="17441" xr:uid="{952A3228-ECF3-4CF1-9899-F7635B0FBD4E}"/>
    <cellStyle name="Comma 2 8 4 3 4 3" xfId="27857" xr:uid="{1BDBDD13-FEB7-4C1D-BA77-DB17AC4860B1}"/>
    <cellStyle name="Comma 2 8 4 3 5" xfId="14516" xr:uid="{3ED99564-E70A-4B8C-9985-75B86305DEBF}"/>
    <cellStyle name="Comma 2 8 4 3 6" xfId="24932" xr:uid="{232C5DB0-07FF-4FA8-A9E0-DD88AE622477}"/>
    <cellStyle name="Comma 2 8 4 4" xfId="2183" xr:uid="{00000000-0005-0000-0000-000020150000}"/>
    <cellStyle name="Comma 2 8 4 4 2" xfId="2184" xr:uid="{00000000-0005-0000-0000-000021150000}"/>
    <cellStyle name="Comma 2 8 4 4 2 2" xfId="9331" xr:uid="{00000000-0005-0000-0000-000022150000}"/>
    <cellStyle name="Comma 2 8 4 4 2 2 2" xfId="20877" xr:uid="{F550C626-07F5-42C7-BD18-7B16B17DC557}"/>
    <cellStyle name="Comma 2 8 4 4 2 2 3" xfId="31293" xr:uid="{6667B146-4457-4754-A11C-A06A343CD48D}"/>
    <cellStyle name="Comma 2 8 4 4 2 3" xfId="14519" xr:uid="{1A6EECAD-D0A0-4930-A25B-088847E71039}"/>
    <cellStyle name="Comma 2 8 4 4 2 4" xfId="24935" xr:uid="{8CA3F57D-82CA-4DB9-BEE9-5C3A30351BA4}"/>
    <cellStyle name="Comma 2 8 4 4 3" xfId="9330" xr:uid="{00000000-0005-0000-0000-000023150000}"/>
    <cellStyle name="Comma 2 8 4 4 3 2" xfId="20876" xr:uid="{B572AFF5-AFF1-46B9-96D2-41661623FFC4}"/>
    <cellStyle name="Comma 2 8 4 4 3 3" xfId="31292" xr:uid="{F2191F77-0D28-4FE1-B278-D6641F512BD6}"/>
    <cellStyle name="Comma 2 8 4 4 4" xfId="5856" xr:uid="{00000000-0005-0000-0000-000024150000}"/>
    <cellStyle name="Comma 2 8 4 4 4 2" xfId="17442" xr:uid="{FA3946FB-68DB-409C-8204-D4EAFFC2F9C4}"/>
    <cellStyle name="Comma 2 8 4 4 4 3" xfId="27858" xr:uid="{25118830-EADA-4B85-A24C-16FE60E22DCD}"/>
    <cellStyle name="Comma 2 8 4 4 5" xfId="14518" xr:uid="{F4B51E44-5708-45F9-B43F-E981E3A7BB15}"/>
    <cellStyle name="Comma 2 8 4 4 6" xfId="24934" xr:uid="{CC53F3A3-7868-41AC-B6FE-CC01D7144DFA}"/>
    <cellStyle name="Comma 2 8 4 5" xfId="2185" xr:uid="{00000000-0005-0000-0000-000025150000}"/>
    <cellStyle name="Comma 2 8 4 5 2" xfId="9332" xr:uid="{00000000-0005-0000-0000-000026150000}"/>
    <cellStyle name="Comma 2 8 4 5 2 2" xfId="20878" xr:uid="{8DFBD3B9-0ECD-4326-BE21-B62CD588194B}"/>
    <cellStyle name="Comma 2 8 4 5 2 3" xfId="31294" xr:uid="{5889793F-91FA-4A9A-AFB0-968482F14CE4}"/>
    <cellStyle name="Comma 2 8 4 5 3" xfId="14520" xr:uid="{23F2EEF7-4BE3-41D7-8847-CA480CCF5B2B}"/>
    <cellStyle name="Comma 2 8 4 5 4" xfId="24936" xr:uid="{70A0BE7D-5530-49DB-9802-FCB16DEEDD7E}"/>
    <cellStyle name="Comma 2 8 4 6" xfId="9323" xr:uid="{00000000-0005-0000-0000-000027150000}"/>
    <cellStyle name="Comma 2 8 4 6 2" xfId="20869" xr:uid="{409AFBF4-655C-4B8A-B720-0DE01BBBF45C}"/>
    <cellStyle name="Comma 2 8 4 6 3" xfId="31285" xr:uid="{179A8D3C-0995-4FA6-B7FF-58FF554B6D5E}"/>
    <cellStyle name="Comma 2 8 4 7" xfId="5852" xr:uid="{00000000-0005-0000-0000-000028150000}"/>
    <cellStyle name="Comma 2 8 4 7 2" xfId="17438" xr:uid="{B699D5BD-2EA5-459D-83C9-3284AF334CE1}"/>
    <cellStyle name="Comma 2 8 4 7 3" xfId="27854" xr:uid="{C2523E1C-6275-4CE0-A020-24B6A0BF91BA}"/>
    <cellStyle name="Comma 2 8 4 8" xfId="14511" xr:uid="{DDD0A4B4-7407-4420-967A-F33D35FEC7B5}"/>
    <cellStyle name="Comma 2 8 4 9" xfId="24927" xr:uid="{3DBE3CE0-3561-4641-AE23-C561D2DDFCB1}"/>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2 2 2" xfId="20882" xr:uid="{F423AE68-FB09-434C-B856-86895853EFEA}"/>
    <cellStyle name="Comma 2 8 5 2 2 2 2 3" xfId="31298" xr:uid="{B0B5D36D-5EA7-41CE-98AA-467FB8CFD265}"/>
    <cellStyle name="Comma 2 8 5 2 2 2 3" xfId="14524" xr:uid="{95624012-6233-4C3A-864C-4B5237431E22}"/>
    <cellStyle name="Comma 2 8 5 2 2 2 4" xfId="24940" xr:uid="{B85DD251-47D3-45FC-AF40-C68C0788A9FC}"/>
    <cellStyle name="Comma 2 8 5 2 2 3" xfId="9335" xr:uid="{00000000-0005-0000-0000-00002E150000}"/>
    <cellStyle name="Comma 2 8 5 2 2 3 2" xfId="20881" xr:uid="{929903DB-C57A-4DA6-B3AD-0FE9793B7F32}"/>
    <cellStyle name="Comma 2 8 5 2 2 3 3" xfId="31297" xr:uid="{7FA719B4-8F70-4CD1-ADE3-A58967916E1C}"/>
    <cellStyle name="Comma 2 8 5 2 2 4" xfId="5859" xr:uid="{00000000-0005-0000-0000-00002F150000}"/>
    <cellStyle name="Comma 2 8 5 2 2 4 2" xfId="17445" xr:uid="{BE58381F-B8D2-4E5B-B548-256C5A8D3F97}"/>
    <cellStyle name="Comma 2 8 5 2 2 4 3" xfId="27861" xr:uid="{BC20BF4F-7A56-49BD-9A83-6354ADB9A0EB}"/>
    <cellStyle name="Comma 2 8 5 2 2 5" xfId="14523" xr:uid="{DB151D47-2FC0-4FCE-ADD8-158CD7F641A9}"/>
    <cellStyle name="Comma 2 8 5 2 2 6" xfId="24939" xr:uid="{260E5DC4-D76C-49CF-9B8D-831DABC63400}"/>
    <cellStyle name="Comma 2 8 5 2 3" xfId="2190" xr:uid="{00000000-0005-0000-0000-000030150000}"/>
    <cellStyle name="Comma 2 8 5 2 3 2" xfId="9337" xr:uid="{00000000-0005-0000-0000-000031150000}"/>
    <cellStyle name="Comma 2 8 5 2 3 2 2" xfId="20883" xr:uid="{5104EEA9-4C13-4B27-B80C-49E685840798}"/>
    <cellStyle name="Comma 2 8 5 2 3 2 3" xfId="31299" xr:uid="{ECA6A8E8-626C-4258-8F7B-87BAF01D8E39}"/>
    <cellStyle name="Comma 2 8 5 2 3 3" xfId="14525" xr:uid="{B7027CA3-5B65-4F43-BCF7-573D58936267}"/>
    <cellStyle name="Comma 2 8 5 2 3 4" xfId="24941" xr:uid="{FEB0927F-350B-4D80-AAF6-977D7D98B493}"/>
    <cellStyle name="Comma 2 8 5 2 4" xfId="9334" xr:uid="{00000000-0005-0000-0000-000032150000}"/>
    <cellStyle name="Comma 2 8 5 2 4 2" xfId="20880" xr:uid="{BD6AEB8F-C1F0-497E-8658-41BA80726EE0}"/>
    <cellStyle name="Comma 2 8 5 2 4 3" xfId="31296" xr:uid="{E48BE806-CAD3-4222-9710-24514906B59E}"/>
    <cellStyle name="Comma 2 8 5 2 5" xfId="5858" xr:uid="{00000000-0005-0000-0000-000033150000}"/>
    <cellStyle name="Comma 2 8 5 2 5 2" xfId="17444" xr:uid="{C3804937-FAFF-4247-B5B1-DA5B7DA3F79D}"/>
    <cellStyle name="Comma 2 8 5 2 5 3" xfId="27860" xr:uid="{68BD3261-FB84-42C4-B2B3-033C0D7B1859}"/>
    <cellStyle name="Comma 2 8 5 2 6" xfId="14522" xr:uid="{E7A878CF-E008-409C-B573-9FA3E4FE1DC0}"/>
    <cellStyle name="Comma 2 8 5 2 7" xfId="24938" xr:uid="{40AAC675-FD92-48CE-B1A0-ADC754E463F8}"/>
    <cellStyle name="Comma 2 8 5 3" xfId="2191" xr:uid="{00000000-0005-0000-0000-000034150000}"/>
    <cellStyle name="Comma 2 8 5 3 2" xfId="2192" xr:uid="{00000000-0005-0000-0000-000035150000}"/>
    <cellStyle name="Comma 2 8 5 3 2 2" xfId="9339" xr:uid="{00000000-0005-0000-0000-000036150000}"/>
    <cellStyle name="Comma 2 8 5 3 2 2 2" xfId="20885" xr:uid="{11B14489-2F6D-469E-9B57-30B735F4B128}"/>
    <cellStyle name="Comma 2 8 5 3 2 2 3" xfId="31301" xr:uid="{FD30872C-D50D-4B43-8334-521E43CFDD5E}"/>
    <cellStyle name="Comma 2 8 5 3 2 3" xfId="14527" xr:uid="{03495855-F9FE-412C-95A1-19CEC1407554}"/>
    <cellStyle name="Comma 2 8 5 3 2 4" xfId="24943" xr:uid="{A5E981BB-A4F6-4165-905A-1DEB14E7D652}"/>
    <cellStyle name="Comma 2 8 5 3 3" xfId="9338" xr:uid="{00000000-0005-0000-0000-000037150000}"/>
    <cellStyle name="Comma 2 8 5 3 3 2" xfId="20884" xr:uid="{92FEBF63-AE56-4AED-B761-BA81FF0B6507}"/>
    <cellStyle name="Comma 2 8 5 3 3 3" xfId="31300" xr:uid="{5AAE0288-1FB7-4CDE-A826-1D27876024D3}"/>
    <cellStyle name="Comma 2 8 5 3 4" xfId="5860" xr:uid="{00000000-0005-0000-0000-000038150000}"/>
    <cellStyle name="Comma 2 8 5 3 4 2" xfId="17446" xr:uid="{C686DAEF-2D85-4E62-AEAC-15F3D1F606A6}"/>
    <cellStyle name="Comma 2 8 5 3 4 3" xfId="27862" xr:uid="{275EF9B1-F8C3-40FA-8E35-BA0C0E3E3CFF}"/>
    <cellStyle name="Comma 2 8 5 3 5" xfId="14526" xr:uid="{FEE28533-3E16-42AF-9EAF-638C2B131B20}"/>
    <cellStyle name="Comma 2 8 5 3 6" xfId="24942" xr:uid="{839A86E8-6B06-467F-88BF-EA2DDC31292C}"/>
    <cellStyle name="Comma 2 8 5 4" xfId="2193" xr:uid="{00000000-0005-0000-0000-000039150000}"/>
    <cellStyle name="Comma 2 8 5 4 2" xfId="2194" xr:uid="{00000000-0005-0000-0000-00003A150000}"/>
    <cellStyle name="Comma 2 8 5 4 2 2" xfId="9341" xr:uid="{00000000-0005-0000-0000-00003B150000}"/>
    <cellStyle name="Comma 2 8 5 4 2 2 2" xfId="20887" xr:uid="{A24ED183-9FC2-4AD0-8D39-6B71AC1FF390}"/>
    <cellStyle name="Comma 2 8 5 4 2 2 3" xfId="31303" xr:uid="{C4378E12-5E68-48FB-9E1B-5D76D335897B}"/>
    <cellStyle name="Comma 2 8 5 4 2 3" xfId="14529" xr:uid="{9EFD2890-EF43-48F2-809B-262C1032D962}"/>
    <cellStyle name="Comma 2 8 5 4 2 4" xfId="24945" xr:uid="{3324F4EB-B837-4142-B287-8735752DA738}"/>
    <cellStyle name="Comma 2 8 5 4 3" xfId="9340" xr:uid="{00000000-0005-0000-0000-00003C150000}"/>
    <cellStyle name="Comma 2 8 5 4 3 2" xfId="20886" xr:uid="{3C397261-F9E3-4768-9523-F3AABD27266E}"/>
    <cellStyle name="Comma 2 8 5 4 3 3" xfId="31302" xr:uid="{9B08F634-C979-44AF-8AF1-35293D8ABA4B}"/>
    <cellStyle name="Comma 2 8 5 4 4" xfId="5861" xr:uid="{00000000-0005-0000-0000-00003D150000}"/>
    <cellStyle name="Comma 2 8 5 4 4 2" xfId="17447" xr:uid="{5D85E169-E9D7-4869-8AA7-B04FBA0AEFD2}"/>
    <cellStyle name="Comma 2 8 5 4 4 3" xfId="27863" xr:uid="{8173C67B-9B99-4CBD-B44B-2B301C500FDC}"/>
    <cellStyle name="Comma 2 8 5 4 5" xfId="14528" xr:uid="{4A200B42-42C0-4E7D-AFCF-2C0326399DEC}"/>
    <cellStyle name="Comma 2 8 5 4 6" xfId="24944" xr:uid="{08E9F797-B089-414A-B4B9-902AB15DACC7}"/>
    <cellStyle name="Comma 2 8 5 5" xfId="2195" xr:uid="{00000000-0005-0000-0000-00003E150000}"/>
    <cellStyle name="Comma 2 8 5 5 2" xfId="9342" xr:uid="{00000000-0005-0000-0000-00003F150000}"/>
    <cellStyle name="Comma 2 8 5 5 2 2" xfId="20888" xr:uid="{C9AA235A-497C-4DC1-820A-2F64B98B44D3}"/>
    <cellStyle name="Comma 2 8 5 5 2 3" xfId="31304" xr:uid="{AC4FE636-4A13-4251-AD3D-AB2EC0F76B2B}"/>
    <cellStyle name="Comma 2 8 5 5 3" xfId="14530" xr:uid="{F4FA9B28-0570-45E0-A1F6-18402D317488}"/>
    <cellStyle name="Comma 2 8 5 5 4" xfId="24946" xr:uid="{E94CF383-0A3D-4398-93C3-63EA46C76EA7}"/>
    <cellStyle name="Comma 2 8 5 6" xfId="9333" xr:uid="{00000000-0005-0000-0000-000040150000}"/>
    <cellStyle name="Comma 2 8 5 6 2" xfId="20879" xr:uid="{57B39E73-B76F-4A6C-87D0-F8EB3ABFF4B0}"/>
    <cellStyle name="Comma 2 8 5 6 3" xfId="31295" xr:uid="{BAAF5F1E-9888-4FCA-ACD0-4DA05D306C48}"/>
    <cellStyle name="Comma 2 8 5 7" xfId="5857" xr:uid="{00000000-0005-0000-0000-000041150000}"/>
    <cellStyle name="Comma 2 8 5 7 2" xfId="17443" xr:uid="{367630DF-BD85-4A9B-A655-37E1D41667D7}"/>
    <cellStyle name="Comma 2 8 5 7 3" xfId="27859" xr:uid="{3A4149DA-B43D-4EBA-81C2-8799582F3855}"/>
    <cellStyle name="Comma 2 8 5 8" xfId="14521" xr:uid="{62744156-0103-49E1-8B47-9612C377C607}"/>
    <cellStyle name="Comma 2 8 5 9" xfId="24937" xr:uid="{FD5E5100-2FBF-4728-AB04-2105E1639B54}"/>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2 2 2" xfId="20892" xr:uid="{DDA13042-F031-42E6-AAB8-A8F1BD6AAEF8}"/>
    <cellStyle name="Comma 2 8 6 2 2 2 2 3" xfId="31308" xr:uid="{91358CB6-CE88-4582-B672-412F7539D4C4}"/>
    <cellStyle name="Comma 2 8 6 2 2 2 3" xfId="14534" xr:uid="{A2DE8BD9-D574-4DC5-93A7-6AEE9D717698}"/>
    <cellStyle name="Comma 2 8 6 2 2 2 4" xfId="24950" xr:uid="{9E98F5CF-5F26-4BB8-83C8-7215B7D2A059}"/>
    <cellStyle name="Comma 2 8 6 2 2 3" xfId="9345" xr:uid="{00000000-0005-0000-0000-000047150000}"/>
    <cellStyle name="Comma 2 8 6 2 2 3 2" xfId="20891" xr:uid="{01A8213A-F362-432D-9645-FBEE0CF4DBB1}"/>
    <cellStyle name="Comma 2 8 6 2 2 3 3" xfId="31307" xr:uid="{B156A355-7DBE-4ACD-8C14-6B4CE01B0675}"/>
    <cellStyle name="Comma 2 8 6 2 2 4" xfId="5864" xr:uid="{00000000-0005-0000-0000-000048150000}"/>
    <cellStyle name="Comma 2 8 6 2 2 4 2" xfId="17450" xr:uid="{B4740DF4-39DA-4388-B5C0-29970DA5A478}"/>
    <cellStyle name="Comma 2 8 6 2 2 4 3" xfId="27866" xr:uid="{287FC49A-B403-4F56-8910-84923848EFCF}"/>
    <cellStyle name="Comma 2 8 6 2 2 5" xfId="14533" xr:uid="{75CC473D-7C5A-4505-B8B3-9ABFD849C1BF}"/>
    <cellStyle name="Comma 2 8 6 2 2 6" xfId="24949" xr:uid="{1F2B1757-226E-479D-B233-334EA227248F}"/>
    <cellStyle name="Comma 2 8 6 2 3" xfId="2200" xr:uid="{00000000-0005-0000-0000-000049150000}"/>
    <cellStyle name="Comma 2 8 6 2 3 2" xfId="9347" xr:uid="{00000000-0005-0000-0000-00004A150000}"/>
    <cellStyle name="Comma 2 8 6 2 3 2 2" xfId="20893" xr:uid="{1AFDCBD5-7FC9-4D8D-AB82-0713F2AFC9CF}"/>
    <cellStyle name="Comma 2 8 6 2 3 2 3" xfId="31309" xr:uid="{8FE97447-BBED-4A89-B9FE-6F2F54B26C39}"/>
    <cellStyle name="Comma 2 8 6 2 3 3" xfId="14535" xr:uid="{CDA1E1FE-BCC6-41C5-BDB4-3D921DC98B53}"/>
    <cellStyle name="Comma 2 8 6 2 3 4" xfId="24951" xr:uid="{9F1274EE-0FFC-41D0-B2B5-F62D2BC6CF2D}"/>
    <cellStyle name="Comma 2 8 6 2 4" xfId="9344" xr:uid="{00000000-0005-0000-0000-00004B150000}"/>
    <cellStyle name="Comma 2 8 6 2 4 2" xfId="20890" xr:uid="{276FDF78-B1D3-452C-9680-E7F47E9A1EF0}"/>
    <cellStyle name="Comma 2 8 6 2 4 3" xfId="31306" xr:uid="{B227FD8B-A49A-4E8E-8D11-5C0419A80AC2}"/>
    <cellStyle name="Comma 2 8 6 2 5" xfId="5863" xr:uid="{00000000-0005-0000-0000-00004C150000}"/>
    <cellStyle name="Comma 2 8 6 2 5 2" xfId="17449" xr:uid="{22B76A42-8543-43D9-B065-CA676B442AEF}"/>
    <cellStyle name="Comma 2 8 6 2 5 3" xfId="27865" xr:uid="{B44E75CF-2AC4-4E40-8B8A-4DAA6285C113}"/>
    <cellStyle name="Comma 2 8 6 2 6" xfId="14532" xr:uid="{EE38AC83-2C60-41F1-BFFE-9FAEE8591025}"/>
    <cellStyle name="Comma 2 8 6 2 7" xfId="24948" xr:uid="{EEACBAB1-283F-43E0-A706-D904B3918960}"/>
    <cellStyle name="Comma 2 8 6 3" xfId="2201" xr:uid="{00000000-0005-0000-0000-00004D150000}"/>
    <cellStyle name="Comma 2 8 6 3 2" xfId="2202" xr:uid="{00000000-0005-0000-0000-00004E150000}"/>
    <cellStyle name="Comma 2 8 6 3 2 2" xfId="9349" xr:uid="{00000000-0005-0000-0000-00004F150000}"/>
    <cellStyle name="Comma 2 8 6 3 2 2 2" xfId="20895" xr:uid="{CBEB89A2-0E36-47DA-9C5F-7573607CFEBE}"/>
    <cellStyle name="Comma 2 8 6 3 2 2 3" xfId="31311" xr:uid="{E9508C15-0197-4740-A021-F5405A89E472}"/>
    <cellStyle name="Comma 2 8 6 3 2 3" xfId="14537" xr:uid="{CDD40BB1-F298-4979-88D5-0C41E543F3D8}"/>
    <cellStyle name="Comma 2 8 6 3 2 4" xfId="24953" xr:uid="{CCD9E22C-E7FC-4E09-8C44-44966E74A72E}"/>
    <cellStyle name="Comma 2 8 6 3 3" xfId="9348" xr:uid="{00000000-0005-0000-0000-000050150000}"/>
    <cellStyle name="Comma 2 8 6 3 3 2" xfId="20894" xr:uid="{CB393F8C-690F-4B9F-93A9-AF8574B4CC13}"/>
    <cellStyle name="Comma 2 8 6 3 3 3" xfId="31310" xr:uid="{AC47FAF6-D91E-409F-826E-5D489BFDFC73}"/>
    <cellStyle name="Comma 2 8 6 3 4" xfId="5865" xr:uid="{00000000-0005-0000-0000-000051150000}"/>
    <cellStyle name="Comma 2 8 6 3 4 2" xfId="17451" xr:uid="{FE410807-2196-4C97-9B5F-748DD51A7E88}"/>
    <cellStyle name="Comma 2 8 6 3 4 3" xfId="27867" xr:uid="{A13A54B2-071F-4A48-8555-70EDE5427B7E}"/>
    <cellStyle name="Comma 2 8 6 3 5" xfId="14536" xr:uid="{BDE7D0DE-BACA-431B-AC13-94A5DD8F5079}"/>
    <cellStyle name="Comma 2 8 6 3 6" xfId="24952" xr:uid="{0D88D68E-6A16-4C30-9B0D-85003DEAEE5B}"/>
    <cellStyle name="Comma 2 8 6 4" xfId="2203" xr:uid="{00000000-0005-0000-0000-000052150000}"/>
    <cellStyle name="Comma 2 8 6 4 2" xfId="2204" xr:uid="{00000000-0005-0000-0000-000053150000}"/>
    <cellStyle name="Comma 2 8 6 4 2 2" xfId="9351" xr:uid="{00000000-0005-0000-0000-000054150000}"/>
    <cellStyle name="Comma 2 8 6 4 2 2 2" xfId="20897" xr:uid="{2DB9462B-AFEC-401E-80B6-3790E11B0634}"/>
    <cellStyle name="Comma 2 8 6 4 2 2 3" xfId="31313" xr:uid="{4BE8A643-19FC-48E3-8336-910934DA4D3A}"/>
    <cellStyle name="Comma 2 8 6 4 2 3" xfId="14539" xr:uid="{8835CE9E-4024-4BDC-AE3D-F6242D46E4CC}"/>
    <cellStyle name="Comma 2 8 6 4 2 4" xfId="24955" xr:uid="{7E600165-11ED-4C31-9D8F-B84EA4FD67A8}"/>
    <cellStyle name="Comma 2 8 6 4 3" xfId="9350" xr:uid="{00000000-0005-0000-0000-000055150000}"/>
    <cellStyle name="Comma 2 8 6 4 3 2" xfId="20896" xr:uid="{863CB32B-853E-4174-9C08-EABF18DE2D47}"/>
    <cellStyle name="Comma 2 8 6 4 3 3" xfId="31312" xr:uid="{8A0410AC-60BA-4093-BDB6-9E30828FFD7E}"/>
    <cellStyle name="Comma 2 8 6 4 4" xfId="5866" xr:uid="{00000000-0005-0000-0000-000056150000}"/>
    <cellStyle name="Comma 2 8 6 4 4 2" xfId="17452" xr:uid="{FA703023-2F3B-407E-AE12-7D4B2A9B163C}"/>
    <cellStyle name="Comma 2 8 6 4 4 3" xfId="27868" xr:uid="{67CE88F6-BBA6-46DF-AFDA-286299E158A1}"/>
    <cellStyle name="Comma 2 8 6 4 5" xfId="14538" xr:uid="{190DD9AB-7C34-4879-A36C-E4A130122FDE}"/>
    <cellStyle name="Comma 2 8 6 4 6" xfId="24954" xr:uid="{6EFDEC87-2393-4DF5-8D09-E6735B0425A3}"/>
    <cellStyle name="Comma 2 8 6 5" xfId="2205" xr:uid="{00000000-0005-0000-0000-000057150000}"/>
    <cellStyle name="Comma 2 8 6 5 2" xfId="9352" xr:uid="{00000000-0005-0000-0000-000058150000}"/>
    <cellStyle name="Comma 2 8 6 5 2 2" xfId="20898" xr:uid="{DAFEF22B-96FF-4647-8291-6E092B791329}"/>
    <cellStyle name="Comma 2 8 6 5 2 3" xfId="31314" xr:uid="{941AD9FB-C042-41C2-ADB5-7F6DD578512C}"/>
    <cellStyle name="Comma 2 8 6 5 3" xfId="14540" xr:uid="{99327715-A7A4-4713-AAC3-4A36EA7283F4}"/>
    <cellStyle name="Comma 2 8 6 5 4" xfId="24956" xr:uid="{F2A59846-7BB8-4ED5-9886-0A5753D604AE}"/>
    <cellStyle name="Comma 2 8 6 6" xfId="9343" xr:uid="{00000000-0005-0000-0000-000059150000}"/>
    <cellStyle name="Comma 2 8 6 6 2" xfId="20889" xr:uid="{4F5C6BA4-4A2D-4909-92D4-766EB6BC6E10}"/>
    <cellStyle name="Comma 2 8 6 6 3" xfId="31305" xr:uid="{3D2DB67D-B9D1-453B-8B52-A3E234DC4AC2}"/>
    <cellStyle name="Comma 2 8 6 7" xfId="5862" xr:uid="{00000000-0005-0000-0000-00005A150000}"/>
    <cellStyle name="Comma 2 8 6 7 2" xfId="17448" xr:uid="{344E9B2E-362B-432D-A30A-79ABE1ED85A3}"/>
    <cellStyle name="Comma 2 8 6 7 3" xfId="27864" xr:uid="{475527BC-3DA4-4E4A-8BAB-7E6794704511}"/>
    <cellStyle name="Comma 2 8 6 8" xfId="14531" xr:uid="{E258D2EE-52A3-4F40-A0AB-E3031CDCE469}"/>
    <cellStyle name="Comma 2 8 6 9" xfId="24947" xr:uid="{37CAFB35-C125-4554-B325-7F40FC5176B8}"/>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2 2 2" xfId="20901" xr:uid="{4C7E24C7-CFC2-4506-B25D-73E31B5F1195}"/>
    <cellStyle name="Comma 2 8 7 2 2 2 3" xfId="31317" xr:uid="{B22DF96D-3125-45C6-A62F-E9857998301A}"/>
    <cellStyle name="Comma 2 8 7 2 2 3" xfId="14543" xr:uid="{61D61BE8-03AB-4ED9-A219-CBBFF03D0EF7}"/>
    <cellStyle name="Comma 2 8 7 2 2 4" xfId="24959" xr:uid="{C34790F7-CEB9-4325-8BA6-17D320EB96F5}"/>
    <cellStyle name="Comma 2 8 7 2 3" xfId="9354" xr:uid="{00000000-0005-0000-0000-00005F150000}"/>
    <cellStyle name="Comma 2 8 7 2 3 2" xfId="20900" xr:uid="{E6EF0521-361F-45C7-8E3F-9B4BECF13FB2}"/>
    <cellStyle name="Comma 2 8 7 2 3 3" xfId="31316" xr:uid="{052E0114-0D79-4828-8D68-F3BCD44FD813}"/>
    <cellStyle name="Comma 2 8 7 2 4" xfId="5868" xr:uid="{00000000-0005-0000-0000-000060150000}"/>
    <cellStyle name="Comma 2 8 7 2 4 2" xfId="17454" xr:uid="{F6803F6F-C7AE-47BC-8C5F-9EEEC66A0114}"/>
    <cellStyle name="Comma 2 8 7 2 4 3" xfId="27870" xr:uid="{76B4D076-CD48-4800-9B0E-BCD02A51E1E0}"/>
    <cellStyle name="Comma 2 8 7 2 5" xfId="14542" xr:uid="{E3933999-8409-4244-8D05-F75429428A17}"/>
    <cellStyle name="Comma 2 8 7 2 6" xfId="24958" xr:uid="{5038AE52-23D2-4CB0-859C-0F25FE1622DE}"/>
    <cellStyle name="Comma 2 8 7 3" xfId="2209" xr:uid="{00000000-0005-0000-0000-000061150000}"/>
    <cellStyle name="Comma 2 8 7 3 2" xfId="2210" xr:uid="{00000000-0005-0000-0000-000062150000}"/>
    <cellStyle name="Comma 2 8 7 3 2 2" xfId="9357" xr:uid="{00000000-0005-0000-0000-000063150000}"/>
    <cellStyle name="Comma 2 8 7 3 2 2 2" xfId="20903" xr:uid="{D9136C38-3068-4BF2-BE0C-6DEC2CCE6DAF}"/>
    <cellStyle name="Comma 2 8 7 3 2 2 3" xfId="31319" xr:uid="{6DC92114-554D-4F98-87F5-C915CB537C12}"/>
    <cellStyle name="Comma 2 8 7 3 2 3" xfId="14545" xr:uid="{2590A8BB-6331-47C6-A8B5-88D610405B25}"/>
    <cellStyle name="Comma 2 8 7 3 2 4" xfId="24961" xr:uid="{37A08087-8496-4337-AB3F-EADCD01A5120}"/>
    <cellStyle name="Comma 2 8 7 3 3" xfId="9356" xr:uid="{00000000-0005-0000-0000-000064150000}"/>
    <cellStyle name="Comma 2 8 7 3 3 2" xfId="20902" xr:uid="{B6DEBFBD-E793-423E-808A-E0E8C9C6DF28}"/>
    <cellStyle name="Comma 2 8 7 3 3 3" xfId="31318" xr:uid="{9F414987-32ED-4388-9874-BEE9F7804998}"/>
    <cellStyle name="Comma 2 8 7 3 4" xfId="5869" xr:uid="{00000000-0005-0000-0000-000065150000}"/>
    <cellStyle name="Comma 2 8 7 3 4 2" xfId="17455" xr:uid="{EFD7A3FF-6B6C-46C9-89E9-A4BFDF770132}"/>
    <cellStyle name="Comma 2 8 7 3 4 3" xfId="27871" xr:uid="{DCCD3AE6-486D-4ECB-96E0-ED834049E99E}"/>
    <cellStyle name="Comma 2 8 7 3 5" xfId="14544" xr:uid="{F99F5A39-9107-474F-93AA-954710528D96}"/>
    <cellStyle name="Comma 2 8 7 3 6" xfId="24960" xr:uid="{D725C1F8-BD4A-451D-BDC7-00C8F2B4FE7D}"/>
    <cellStyle name="Comma 2 8 7 4" xfId="2211" xr:uid="{00000000-0005-0000-0000-000066150000}"/>
    <cellStyle name="Comma 2 8 7 4 2" xfId="9358" xr:uid="{00000000-0005-0000-0000-000067150000}"/>
    <cellStyle name="Comma 2 8 7 4 2 2" xfId="20904" xr:uid="{C5C8D331-1590-43AA-918E-8594891E8D2F}"/>
    <cellStyle name="Comma 2 8 7 4 2 3" xfId="31320" xr:uid="{42768A49-7037-4022-BB02-EBB10F55CA7F}"/>
    <cellStyle name="Comma 2 8 7 4 3" xfId="14546" xr:uid="{DA21F40E-B222-4946-98DE-25C177C60200}"/>
    <cellStyle name="Comma 2 8 7 4 4" xfId="24962" xr:uid="{95616E4A-774F-40A1-ACA0-DE00BCB14812}"/>
    <cellStyle name="Comma 2 8 7 5" xfId="9353" xr:uid="{00000000-0005-0000-0000-000068150000}"/>
    <cellStyle name="Comma 2 8 7 5 2" xfId="20899" xr:uid="{95F9BF89-E670-4BBF-8324-3A03A481A50E}"/>
    <cellStyle name="Comma 2 8 7 5 3" xfId="31315" xr:uid="{2E9AE039-85BE-47AB-BC91-8696FE95B316}"/>
    <cellStyle name="Comma 2 8 7 6" xfId="5867" xr:uid="{00000000-0005-0000-0000-000069150000}"/>
    <cellStyle name="Comma 2 8 7 6 2" xfId="17453" xr:uid="{F1D0CFDD-E1DE-4670-86A6-C9AF7F20E650}"/>
    <cellStyle name="Comma 2 8 7 6 3" xfId="27869" xr:uid="{CFECE413-2B8F-47BE-904B-C0E23C31031C}"/>
    <cellStyle name="Comma 2 8 7 7" xfId="14541" xr:uid="{D074E3D9-F905-4BE0-82D6-2CF79A6023AD}"/>
    <cellStyle name="Comma 2 8 7 8" xfId="24957" xr:uid="{20A70C1A-E8FC-43BB-AB53-F5EFAF25B081}"/>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2 2 2" xfId="20907" xr:uid="{D1E12AC1-66DB-4A21-8FF2-72775728217F}"/>
    <cellStyle name="Comma 2 8 8 2 2 2 3" xfId="31323" xr:uid="{CC898AEF-741C-4FE6-B0B6-BE6BD62782A0}"/>
    <cellStyle name="Comma 2 8 8 2 2 3" xfId="14549" xr:uid="{44B9905B-3228-4219-BC11-152C52FC0A88}"/>
    <cellStyle name="Comma 2 8 8 2 2 4" xfId="24965" xr:uid="{92B02758-5F12-4575-AD31-84B88B4C103D}"/>
    <cellStyle name="Comma 2 8 8 2 3" xfId="9360" xr:uid="{00000000-0005-0000-0000-00006E150000}"/>
    <cellStyle name="Comma 2 8 8 2 3 2" xfId="20906" xr:uid="{F496B511-F7E7-4A00-AC9A-0D9CFABF93B9}"/>
    <cellStyle name="Comma 2 8 8 2 3 3" xfId="31322" xr:uid="{789EAA2D-D599-438F-B5B7-CAA4A8D2E254}"/>
    <cellStyle name="Comma 2 8 8 2 4" xfId="5871" xr:uid="{00000000-0005-0000-0000-00006F150000}"/>
    <cellStyle name="Comma 2 8 8 2 4 2" xfId="17457" xr:uid="{B97B1B66-E88B-4FEC-AABD-45B316584A64}"/>
    <cellStyle name="Comma 2 8 8 2 4 3" xfId="27873" xr:uid="{95B1A774-E748-4DCC-9EF9-A13D5F7860F3}"/>
    <cellStyle name="Comma 2 8 8 2 5" xfId="14548" xr:uid="{04E5C5AD-7292-45CB-AACB-3DBFCE3B22AD}"/>
    <cellStyle name="Comma 2 8 8 2 6" xfId="24964" xr:uid="{73D1E6A3-2364-4D16-ADCE-258EE463C098}"/>
    <cellStyle name="Comma 2 8 8 3" xfId="2215" xr:uid="{00000000-0005-0000-0000-000070150000}"/>
    <cellStyle name="Comma 2 8 8 3 2" xfId="9362" xr:uid="{00000000-0005-0000-0000-000071150000}"/>
    <cellStyle name="Comma 2 8 8 3 2 2" xfId="20908" xr:uid="{B2690B44-C426-4FDD-9448-F757E556B2F2}"/>
    <cellStyle name="Comma 2 8 8 3 2 3" xfId="31324" xr:uid="{F971726A-F4A4-4E66-B748-7FEF1AAE7E9A}"/>
    <cellStyle name="Comma 2 8 8 3 3" xfId="14550" xr:uid="{C891B4BC-ED64-4E35-943B-40DC068CAD34}"/>
    <cellStyle name="Comma 2 8 8 3 4" xfId="24966" xr:uid="{C6DC8505-7B70-4039-9C06-F76D198EF268}"/>
    <cellStyle name="Comma 2 8 8 4" xfId="9359" xr:uid="{00000000-0005-0000-0000-000072150000}"/>
    <cellStyle name="Comma 2 8 8 4 2" xfId="20905" xr:uid="{7FCA11D8-C4B4-42FE-9F6B-693712BB8A20}"/>
    <cellStyle name="Comma 2 8 8 4 3" xfId="31321" xr:uid="{E32559B0-E598-4A20-9606-4D73157DAD82}"/>
    <cellStyle name="Comma 2 8 8 5" xfId="5870" xr:uid="{00000000-0005-0000-0000-000073150000}"/>
    <cellStyle name="Comma 2 8 8 5 2" xfId="17456" xr:uid="{16427FCC-8757-4B24-8B77-ACB9A79D87E9}"/>
    <cellStyle name="Comma 2 8 8 5 3" xfId="27872" xr:uid="{BBB493B6-2708-4551-A8DD-612DA454A8A0}"/>
    <cellStyle name="Comma 2 8 8 6" xfId="14547" xr:uid="{8AA3E093-0026-4BDF-920F-AD350EF94AF3}"/>
    <cellStyle name="Comma 2 8 8 7" xfId="24963" xr:uid="{30D30C45-8165-44F2-8FCA-F07269296F3E}"/>
    <cellStyle name="Comma 2 8 9" xfId="2216" xr:uid="{00000000-0005-0000-0000-000074150000}"/>
    <cellStyle name="Comma 2 8 9 2" xfId="2217" xr:uid="{00000000-0005-0000-0000-000075150000}"/>
    <cellStyle name="Comma 2 8 9 2 2" xfId="9364" xr:uid="{00000000-0005-0000-0000-000076150000}"/>
    <cellStyle name="Comma 2 8 9 2 2 2" xfId="20910" xr:uid="{863AAEEC-5FA7-4D14-AEEE-88A6A65956B6}"/>
    <cellStyle name="Comma 2 8 9 2 2 3" xfId="31326" xr:uid="{8344040C-435A-4852-A9A2-559CFFCBD713}"/>
    <cellStyle name="Comma 2 8 9 2 3" xfId="14552" xr:uid="{F69B6EDC-A711-430C-AD4F-36FD6C4E4C06}"/>
    <cellStyle name="Comma 2 8 9 2 4" xfId="24968" xr:uid="{514772DE-713D-42E0-9C4C-3FD20F73964D}"/>
    <cellStyle name="Comma 2 8 9 3" xfId="9363" xr:uid="{00000000-0005-0000-0000-000077150000}"/>
    <cellStyle name="Comma 2 8 9 3 2" xfId="20909" xr:uid="{65037469-4F11-4DF1-878B-C6C7F377B453}"/>
    <cellStyle name="Comma 2 8 9 3 3" xfId="31325" xr:uid="{FC747F72-D586-4199-8256-88AA3B2238EF}"/>
    <cellStyle name="Comma 2 8 9 4" xfId="5872" xr:uid="{00000000-0005-0000-0000-000078150000}"/>
    <cellStyle name="Comma 2 8 9 4 2" xfId="17458" xr:uid="{8D8BDD8C-C616-4B0D-AE1F-DC1BD0975D68}"/>
    <cellStyle name="Comma 2 8 9 4 3" xfId="27874" xr:uid="{9C285601-9C18-4E6E-8F4C-F0A2AB6E81B8}"/>
    <cellStyle name="Comma 2 8 9 5" xfId="14551" xr:uid="{710A2ABE-B1CA-43FD-BBA8-CE77E3D90723}"/>
    <cellStyle name="Comma 2 8 9 6" xfId="24967" xr:uid="{0F7A52FF-D5E8-4C19-887B-12BB5A934E57}"/>
    <cellStyle name="Comma 2 9" xfId="2218" xr:uid="{00000000-0005-0000-0000-000079150000}"/>
    <cellStyle name="Comma 2 9 10" xfId="2219" xr:uid="{00000000-0005-0000-0000-00007A150000}"/>
    <cellStyle name="Comma 2 9 10 2" xfId="9366" xr:uid="{00000000-0005-0000-0000-00007B150000}"/>
    <cellStyle name="Comma 2 9 10 2 2" xfId="20912" xr:uid="{8224F667-6AD3-4AD8-87D0-1FFFC24DCCE8}"/>
    <cellStyle name="Comma 2 9 10 2 3" xfId="31328" xr:uid="{ADC2CB03-F8A8-4A8D-8EBF-43D9B2523959}"/>
    <cellStyle name="Comma 2 9 10 3" xfId="14554" xr:uid="{9C2B85FA-577C-42F0-A2F0-7FDA574589F4}"/>
    <cellStyle name="Comma 2 9 10 4" xfId="24970" xr:uid="{6E4F96BB-6565-45DE-A70C-BDFA2D907F4E}"/>
    <cellStyle name="Comma 2 9 11" xfId="9365" xr:uid="{00000000-0005-0000-0000-00007C150000}"/>
    <cellStyle name="Comma 2 9 11 2" xfId="20911" xr:uid="{2E2E1DCA-8D66-475E-89A4-82DE8B84E868}"/>
    <cellStyle name="Comma 2 9 11 3" xfId="31327" xr:uid="{03DBD14C-E41D-433B-9634-910A81563C6F}"/>
    <cellStyle name="Comma 2 9 12" xfId="5873" xr:uid="{00000000-0005-0000-0000-00007D150000}"/>
    <cellStyle name="Comma 2 9 12 2" xfId="17459" xr:uid="{4BF8EA60-8663-4A9A-9BDB-68CFD10C1434}"/>
    <cellStyle name="Comma 2 9 12 3" xfId="27875" xr:uid="{98AC73A9-4684-414C-AA01-DFA272C30AB6}"/>
    <cellStyle name="Comma 2 9 13" xfId="14553" xr:uid="{0FAE1C53-2BD5-45B0-9E3B-5071A814D95B}"/>
    <cellStyle name="Comma 2 9 14" xfId="24969" xr:uid="{0D2D2DE0-1D8E-464C-A107-B7977FC50877}"/>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2 2 2" xfId="20916" xr:uid="{56BB1485-7BD3-4131-A7C0-5F99C3030EB3}"/>
    <cellStyle name="Comma 2 9 2 2 2 2 2 3" xfId="31332" xr:uid="{C6838776-BAC7-4653-B609-669CD48EAB80}"/>
    <cellStyle name="Comma 2 9 2 2 2 2 3" xfId="14558" xr:uid="{93CE7545-F10D-4B76-8CAA-8E5D0E742F19}"/>
    <cellStyle name="Comma 2 9 2 2 2 2 4" xfId="24974" xr:uid="{E14937C0-0689-4C02-826E-F18B7F92CF66}"/>
    <cellStyle name="Comma 2 9 2 2 2 3" xfId="9369" xr:uid="{00000000-0005-0000-0000-000083150000}"/>
    <cellStyle name="Comma 2 9 2 2 2 3 2" xfId="20915" xr:uid="{1F50A3C3-0FDC-4E3B-8E3D-7DEA15BDF1BE}"/>
    <cellStyle name="Comma 2 9 2 2 2 3 3" xfId="31331" xr:uid="{8FF95093-E8A4-4428-AEA4-DDA7C9BCC619}"/>
    <cellStyle name="Comma 2 9 2 2 2 4" xfId="5876" xr:uid="{00000000-0005-0000-0000-000084150000}"/>
    <cellStyle name="Comma 2 9 2 2 2 4 2" xfId="17462" xr:uid="{A916932C-3EAD-412C-8581-BC1316E51016}"/>
    <cellStyle name="Comma 2 9 2 2 2 4 3" xfId="27878" xr:uid="{0DC26B2E-464C-452E-B108-200553884078}"/>
    <cellStyle name="Comma 2 9 2 2 2 5" xfId="14557" xr:uid="{CAA301F7-B0A6-4696-B8EA-F02C68F66104}"/>
    <cellStyle name="Comma 2 9 2 2 2 6" xfId="24973" xr:uid="{BF90D241-6F89-4C71-8706-09BD9F641FFE}"/>
    <cellStyle name="Comma 2 9 2 2 3" xfId="2224" xr:uid="{00000000-0005-0000-0000-000085150000}"/>
    <cellStyle name="Comma 2 9 2 2 3 2" xfId="9371" xr:uid="{00000000-0005-0000-0000-000086150000}"/>
    <cellStyle name="Comma 2 9 2 2 3 2 2" xfId="20917" xr:uid="{C2536C15-03A0-4F28-92D4-4D5A41BBF7FF}"/>
    <cellStyle name="Comma 2 9 2 2 3 2 3" xfId="31333" xr:uid="{48A88A3E-3B33-48BA-B3FA-F581E9783E59}"/>
    <cellStyle name="Comma 2 9 2 2 3 3" xfId="14559" xr:uid="{A0A8833B-8D01-48AD-9B3A-34BD8FCFEEB4}"/>
    <cellStyle name="Comma 2 9 2 2 3 4" xfId="24975" xr:uid="{2D9D1AD8-9EF0-4B7A-8E07-B0B69D1C134A}"/>
    <cellStyle name="Comma 2 9 2 2 4" xfId="9368" xr:uid="{00000000-0005-0000-0000-000087150000}"/>
    <cellStyle name="Comma 2 9 2 2 4 2" xfId="20914" xr:uid="{CB77C895-3975-435F-AA1D-E049FC311DFB}"/>
    <cellStyle name="Comma 2 9 2 2 4 3" xfId="31330" xr:uid="{8A9C9953-AEC7-44F6-B636-019C689ADBE8}"/>
    <cellStyle name="Comma 2 9 2 2 5" xfId="5875" xr:uid="{00000000-0005-0000-0000-000088150000}"/>
    <cellStyle name="Comma 2 9 2 2 5 2" xfId="17461" xr:uid="{04D71C9C-FC4E-4D09-9D65-F0D447E1706B}"/>
    <cellStyle name="Comma 2 9 2 2 5 3" xfId="27877" xr:uid="{51281015-0C98-4488-879B-36195C1F3E51}"/>
    <cellStyle name="Comma 2 9 2 2 6" xfId="14556" xr:uid="{EA38EEBE-C9DC-40B5-ADF1-1F8D3B2A80C2}"/>
    <cellStyle name="Comma 2 9 2 2 7" xfId="24972" xr:uid="{AEA57B14-CFD0-4DED-8B8F-7432D8FA9663}"/>
    <cellStyle name="Comma 2 9 2 3" xfId="2225" xr:uid="{00000000-0005-0000-0000-000089150000}"/>
    <cellStyle name="Comma 2 9 2 3 2" xfId="2226" xr:uid="{00000000-0005-0000-0000-00008A150000}"/>
    <cellStyle name="Comma 2 9 2 3 2 2" xfId="9373" xr:uid="{00000000-0005-0000-0000-00008B150000}"/>
    <cellStyle name="Comma 2 9 2 3 2 2 2" xfId="20919" xr:uid="{28F3B71C-363D-4F8A-B33F-81CEBE969FF0}"/>
    <cellStyle name="Comma 2 9 2 3 2 2 3" xfId="31335" xr:uid="{93033E43-E0E8-48AD-A594-A7F6D0DD6C7A}"/>
    <cellStyle name="Comma 2 9 2 3 2 3" xfId="14561" xr:uid="{411EBBF0-DBEC-40CE-AFD4-C00863BF69F3}"/>
    <cellStyle name="Comma 2 9 2 3 2 4" xfId="24977" xr:uid="{485ACE8D-24E4-4F1A-ACE1-66EB25C3A6F2}"/>
    <cellStyle name="Comma 2 9 2 3 3" xfId="9372" xr:uid="{00000000-0005-0000-0000-00008C150000}"/>
    <cellStyle name="Comma 2 9 2 3 3 2" xfId="20918" xr:uid="{D81BF246-5756-4D49-8B6D-CDAF0C9BACEC}"/>
    <cellStyle name="Comma 2 9 2 3 3 3" xfId="31334" xr:uid="{555DFF63-BD46-4060-B1A5-69BE5FA456BB}"/>
    <cellStyle name="Comma 2 9 2 3 4" xfId="5877" xr:uid="{00000000-0005-0000-0000-00008D150000}"/>
    <cellStyle name="Comma 2 9 2 3 4 2" xfId="17463" xr:uid="{A0F18298-34F4-49DF-92ED-28B3E41C6CEB}"/>
    <cellStyle name="Comma 2 9 2 3 4 3" xfId="27879" xr:uid="{54F89745-6DDB-4970-A02D-08A63E264FA7}"/>
    <cellStyle name="Comma 2 9 2 3 5" xfId="14560" xr:uid="{411D1F75-6C9F-4BBE-9CD3-43EEDEB394B5}"/>
    <cellStyle name="Comma 2 9 2 3 6" xfId="24976" xr:uid="{067554C9-44DA-4C22-BE24-6C615BF56AFB}"/>
    <cellStyle name="Comma 2 9 2 4" xfId="2227" xr:uid="{00000000-0005-0000-0000-00008E150000}"/>
    <cellStyle name="Comma 2 9 2 4 2" xfId="2228" xr:uid="{00000000-0005-0000-0000-00008F150000}"/>
    <cellStyle name="Comma 2 9 2 4 2 2" xfId="9375" xr:uid="{00000000-0005-0000-0000-000090150000}"/>
    <cellStyle name="Comma 2 9 2 4 2 2 2" xfId="20921" xr:uid="{40DC07DA-1E88-4528-8638-D8FC4AF39C1A}"/>
    <cellStyle name="Comma 2 9 2 4 2 2 3" xfId="31337" xr:uid="{8E54BA15-33B0-431F-92FB-177BD429BE2E}"/>
    <cellStyle name="Comma 2 9 2 4 2 3" xfId="14563" xr:uid="{AD961390-6576-479D-84F1-8C398CE357AB}"/>
    <cellStyle name="Comma 2 9 2 4 2 4" xfId="24979" xr:uid="{9DE24E43-3A98-409F-95CD-CDB29BFE208F}"/>
    <cellStyle name="Comma 2 9 2 4 3" xfId="9374" xr:uid="{00000000-0005-0000-0000-000091150000}"/>
    <cellStyle name="Comma 2 9 2 4 3 2" xfId="20920" xr:uid="{6BEB213B-5862-4F19-AB4E-6FA52650933D}"/>
    <cellStyle name="Comma 2 9 2 4 3 3" xfId="31336" xr:uid="{B95E61BF-3FD1-4C8B-A0DC-6BED0E081368}"/>
    <cellStyle name="Comma 2 9 2 4 4" xfId="5878" xr:uid="{00000000-0005-0000-0000-000092150000}"/>
    <cellStyle name="Comma 2 9 2 4 4 2" xfId="17464" xr:uid="{F5C98093-F2D5-48B2-AF64-6DEF264A6BB9}"/>
    <cellStyle name="Comma 2 9 2 4 4 3" xfId="27880" xr:uid="{38BEEB1F-F771-4B4A-9B52-4B6806DCB07D}"/>
    <cellStyle name="Comma 2 9 2 4 5" xfId="14562" xr:uid="{6E527AF7-7311-4EF0-B40D-64D7A579361E}"/>
    <cellStyle name="Comma 2 9 2 4 6" xfId="24978" xr:uid="{EC6E9F72-9B96-438B-A933-FDF83F3DFDF0}"/>
    <cellStyle name="Comma 2 9 2 5" xfId="2229" xr:uid="{00000000-0005-0000-0000-000093150000}"/>
    <cellStyle name="Comma 2 9 2 5 2" xfId="9376" xr:uid="{00000000-0005-0000-0000-000094150000}"/>
    <cellStyle name="Comma 2 9 2 5 2 2" xfId="20922" xr:uid="{505CC7AD-5A19-4D2F-9F21-A0F334949F07}"/>
    <cellStyle name="Comma 2 9 2 5 2 3" xfId="31338" xr:uid="{EFE9A38E-6649-44B4-87FC-4D8839D0207C}"/>
    <cellStyle name="Comma 2 9 2 5 3" xfId="14564" xr:uid="{22D4078B-EEE9-4C91-86B1-AD73C1150776}"/>
    <cellStyle name="Comma 2 9 2 5 4" xfId="24980" xr:uid="{EDDD860A-A79F-42CE-A6F3-04192BE37BF0}"/>
    <cellStyle name="Comma 2 9 2 6" xfId="9367" xr:uid="{00000000-0005-0000-0000-000095150000}"/>
    <cellStyle name="Comma 2 9 2 6 2" xfId="20913" xr:uid="{B9F2CA46-83B3-4DF6-A966-3196B3FCEBF4}"/>
    <cellStyle name="Comma 2 9 2 6 3" xfId="31329" xr:uid="{7C21C1BF-D82F-4CC2-9565-E43AB64727E2}"/>
    <cellStyle name="Comma 2 9 2 7" xfId="5874" xr:uid="{00000000-0005-0000-0000-000096150000}"/>
    <cellStyle name="Comma 2 9 2 7 2" xfId="17460" xr:uid="{93FF00A3-5C04-4F2A-AC13-C9B4F9E245A2}"/>
    <cellStyle name="Comma 2 9 2 7 3" xfId="27876" xr:uid="{08F3515C-83D4-49B6-A9DB-0C5FBB1FD5B8}"/>
    <cellStyle name="Comma 2 9 2 8" xfId="14555" xr:uid="{32C646EF-09E0-4DDD-8968-9D5F9C381813}"/>
    <cellStyle name="Comma 2 9 2 9" xfId="24971" xr:uid="{B2D1E641-0078-4A57-A824-403538BDAAD5}"/>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2 2 2" xfId="20926" xr:uid="{C54B16BC-71A6-4113-8402-EE43249020AC}"/>
    <cellStyle name="Comma 2 9 3 2 2 2 2 3" xfId="31342" xr:uid="{3B2B5BBA-5A44-4E55-820A-40DA898E0693}"/>
    <cellStyle name="Comma 2 9 3 2 2 2 3" xfId="14568" xr:uid="{A904AF19-0BE3-4E52-AD22-4AD1F29CA9C1}"/>
    <cellStyle name="Comma 2 9 3 2 2 2 4" xfId="24984" xr:uid="{56483F17-000E-4941-8582-9B104F2DC5B3}"/>
    <cellStyle name="Comma 2 9 3 2 2 3" xfId="9379" xr:uid="{00000000-0005-0000-0000-00009C150000}"/>
    <cellStyle name="Comma 2 9 3 2 2 3 2" xfId="20925" xr:uid="{62D57CE6-D790-4357-8682-EDA84A5B551E}"/>
    <cellStyle name="Comma 2 9 3 2 2 3 3" xfId="31341" xr:uid="{813AC423-076F-4B32-BF77-42BB15D503DD}"/>
    <cellStyle name="Comma 2 9 3 2 2 4" xfId="5881" xr:uid="{00000000-0005-0000-0000-00009D150000}"/>
    <cellStyle name="Comma 2 9 3 2 2 4 2" xfId="17467" xr:uid="{662310F0-F6F5-4CD8-8126-48350B4EBD45}"/>
    <cellStyle name="Comma 2 9 3 2 2 4 3" xfId="27883" xr:uid="{84B27D72-13CB-4BFA-8E77-A7C3B99A8BFF}"/>
    <cellStyle name="Comma 2 9 3 2 2 5" xfId="14567" xr:uid="{21C05333-3678-4EED-AD22-4C6C6D23EE6D}"/>
    <cellStyle name="Comma 2 9 3 2 2 6" xfId="24983" xr:uid="{DEC0A1EF-3F52-462C-A38A-E4C492574490}"/>
    <cellStyle name="Comma 2 9 3 2 3" xfId="2234" xr:uid="{00000000-0005-0000-0000-00009E150000}"/>
    <cellStyle name="Comma 2 9 3 2 3 2" xfId="9381" xr:uid="{00000000-0005-0000-0000-00009F150000}"/>
    <cellStyle name="Comma 2 9 3 2 3 2 2" xfId="20927" xr:uid="{632B31C8-1CCD-41D2-A828-BCA84C533F31}"/>
    <cellStyle name="Comma 2 9 3 2 3 2 3" xfId="31343" xr:uid="{3E9ED589-91D8-455A-B7F9-6E14880B3DC5}"/>
    <cellStyle name="Comma 2 9 3 2 3 3" xfId="14569" xr:uid="{D7C551C4-FA12-47A6-BE8A-5282477C6E3E}"/>
    <cellStyle name="Comma 2 9 3 2 3 4" xfId="24985" xr:uid="{973D202B-71CF-4AD9-A59E-C4D74162BB68}"/>
    <cellStyle name="Comma 2 9 3 2 4" xfId="9378" xr:uid="{00000000-0005-0000-0000-0000A0150000}"/>
    <cellStyle name="Comma 2 9 3 2 4 2" xfId="20924" xr:uid="{0847695E-46EE-47E8-8D63-47BCC74D467B}"/>
    <cellStyle name="Comma 2 9 3 2 4 3" xfId="31340" xr:uid="{C6796963-AA0C-47C2-833A-30FBC5C9837C}"/>
    <cellStyle name="Comma 2 9 3 2 5" xfId="5880" xr:uid="{00000000-0005-0000-0000-0000A1150000}"/>
    <cellStyle name="Comma 2 9 3 2 5 2" xfId="17466" xr:uid="{E382AE66-6B0B-4007-8392-3EB9C31EA8BF}"/>
    <cellStyle name="Comma 2 9 3 2 5 3" xfId="27882" xr:uid="{65C00E68-B4EB-4A70-944B-FE1783628FAF}"/>
    <cellStyle name="Comma 2 9 3 2 6" xfId="14566" xr:uid="{9ED5E92F-EF36-4A60-81F1-D2A18E0A1EAA}"/>
    <cellStyle name="Comma 2 9 3 2 7" xfId="24982" xr:uid="{2F297EF7-C198-4613-9817-D100A55467C9}"/>
    <cellStyle name="Comma 2 9 3 3" xfId="2235" xr:uid="{00000000-0005-0000-0000-0000A2150000}"/>
    <cellStyle name="Comma 2 9 3 3 2" xfId="2236" xr:uid="{00000000-0005-0000-0000-0000A3150000}"/>
    <cellStyle name="Comma 2 9 3 3 2 2" xfId="9383" xr:uid="{00000000-0005-0000-0000-0000A4150000}"/>
    <cellStyle name="Comma 2 9 3 3 2 2 2" xfId="20929" xr:uid="{4C4266ED-89E9-4993-AC87-D36018ABD3ED}"/>
    <cellStyle name="Comma 2 9 3 3 2 2 3" xfId="31345" xr:uid="{5F6E12C8-579F-4DEE-ACB1-54570439FB68}"/>
    <cellStyle name="Comma 2 9 3 3 2 3" xfId="14571" xr:uid="{AEE49743-D3B1-4A53-ABA1-8735CF59BB6F}"/>
    <cellStyle name="Comma 2 9 3 3 2 4" xfId="24987" xr:uid="{C83DB23B-AAA4-4D1D-8ECE-B987CDE59E65}"/>
    <cellStyle name="Comma 2 9 3 3 3" xfId="9382" xr:uid="{00000000-0005-0000-0000-0000A5150000}"/>
    <cellStyle name="Comma 2 9 3 3 3 2" xfId="20928" xr:uid="{B3484B1A-14BD-4FAA-837E-498C8E69A1B7}"/>
    <cellStyle name="Comma 2 9 3 3 3 3" xfId="31344" xr:uid="{8ED6D3E1-1638-4F51-AED3-8E8B4C5D9968}"/>
    <cellStyle name="Comma 2 9 3 3 4" xfId="5882" xr:uid="{00000000-0005-0000-0000-0000A6150000}"/>
    <cellStyle name="Comma 2 9 3 3 4 2" xfId="17468" xr:uid="{39861BAA-8066-4D1B-9B97-1E5E3016DA04}"/>
    <cellStyle name="Comma 2 9 3 3 4 3" xfId="27884" xr:uid="{0D4EF9B5-F092-42B5-AF2B-8B47839D1983}"/>
    <cellStyle name="Comma 2 9 3 3 5" xfId="14570" xr:uid="{ACA39D99-1A34-439C-8497-B914FEE721F6}"/>
    <cellStyle name="Comma 2 9 3 3 6" xfId="24986" xr:uid="{FA5A414C-EC63-4FCF-A345-F6E88A39DC1B}"/>
    <cellStyle name="Comma 2 9 3 4" xfId="2237" xr:uid="{00000000-0005-0000-0000-0000A7150000}"/>
    <cellStyle name="Comma 2 9 3 4 2" xfId="2238" xr:uid="{00000000-0005-0000-0000-0000A8150000}"/>
    <cellStyle name="Comma 2 9 3 4 2 2" xfId="9385" xr:uid="{00000000-0005-0000-0000-0000A9150000}"/>
    <cellStyle name="Comma 2 9 3 4 2 2 2" xfId="20931" xr:uid="{DD5E85B5-175F-40F0-BA39-2DD280601F13}"/>
    <cellStyle name="Comma 2 9 3 4 2 2 3" xfId="31347" xr:uid="{B63FB171-8E81-4B1D-BA5A-3C360D9BD32A}"/>
    <cellStyle name="Comma 2 9 3 4 2 3" xfId="14573" xr:uid="{8420B553-6449-419B-8C38-22C218C2321D}"/>
    <cellStyle name="Comma 2 9 3 4 2 4" xfId="24989" xr:uid="{3BF90AB0-B7EF-4DAB-BAC2-909AB27BCC6E}"/>
    <cellStyle name="Comma 2 9 3 4 3" xfId="9384" xr:uid="{00000000-0005-0000-0000-0000AA150000}"/>
    <cellStyle name="Comma 2 9 3 4 3 2" xfId="20930" xr:uid="{E8FBD826-0187-4ED7-8E97-8AE2039A4B26}"/>
    <cellStyle name="Comma 2 9 3 4 3 3" xfId="31346" xr:uid="{8F657F0D-9536-4386-AE8D-D5A5E971A677}"/>
    <cellStyle name="Comma 2 9 3 4 4" xfId="5883" xr:uid="{00000000-0005-0000-0000-0000AB150000}"/>
    <cellStyle name="Comma 2 9 3 4 4 2" xfId="17469" xr:uid="{0B4F8D0B-2174-4E58-9B65-D584EC9FBF19}"/>
    <cellStyle name="Comma 2 9 3 4 4 3" xfId="27885" xr:uid="{BAD21B45-D08B-4877-9F96-16021C65FC35}"/>
    <cellStyle name="Comma 2 9 3 4 5" xfId="14572" xr:uid="{3F33A6A2-E596-4B9C-B42D-D5D1E618FAE0}"/>
    <cellStyle name="Comma 2 9 3 4 6" xfId="24988" xr:uid="{78C3F322-101F-4098-AF6B-6FA4ABCB489A}"/>
    <cellStyle name="Comma 2 9 3 5" xfId="2239" xr:uid="{00000000-0005-0000-0000-0000AC150000}"/>
    <cellStyle name="Comma 2 9 3 5 2" xfId="9386" xr:uid="{00000000-0005-0000-0000-0000AD150000}"/>
    <cellStyle name="Comma 2 9 3 5 2 2" xfId="20932" xr:uid="{C86A7557-E26E-4D96-8F43-CCAC7626C8FA}"/>
    <cellStyle name="Comma 2 9 3 5 2 3" xfId="31348" xr:uid="{3A74C423-DD93-49A7-AE24-F5D39BAE8048}"/>
    <cellStyle name="Comma 2 9 3 5 3" xfId="14574" xr:uid="{153C1251-6563-4FB0-9A85-D7F6282DD493}"/>
    <cellStyle name="Comma 2 9 3 5 4" xfId="24990" xr:uid="{226708DF-31D9-4664-A564-E98302067FDA}"/>
    <cellStyle name="Comma 2 9 3 6" xfId="9377" xr:uid="{00000000-0005-0000-0000-0000AE150000}"/>
    <cellStyle name="Comma 2 9 3 6 2" xfId="20923" xr:uid="{235A1A5A-F4CD-4897-A917-EE2E5D89D94C}"/>
    <cellStyle name="Comma 2 9 3 6 3" xfId="31339" xr:uid="{6C7F52B6-EC6C-424C-AD45-9AE96B90260B}"/>
    <cellStyle name="Comma 2 9 3 7" xfId="5879" xr:uid="{00000000-0005-0000-0000-0000AF150000}"/>
    <cellStyle name="Comma 2 9 3 7 2" xfId="17465" xr:uid="{6D6D2FD8-3C35-4C0B-B8E8-AD6833FE17CF}"/>
    <cellStyle name="Comma 2 9 3 7 3" xfId="27881" xr:uid="{1A1DE185-E031-4CB8-B133-A2A33010A973}"/>
    <cellStyle name="Comma 2 9 3 8" xfId="14565" xr:uid="{86F99307-9F65-4E92-9257-CDEF364951D4}"/>
    <cellStyle name="Comma 2 9 3 9" xfId="24981" xr:uid="{FAF4D6F5-900B-4478-ABC1-0ED824975B52}"/>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2 2 2" xfId="20936" xr:uid="{C4F69A49-1EF6-489E-B461-42305373306B}"/>
    <cellStyle name="Comma 2 9 4 2 2 2 2 3" xfId="31352" xr:uid="{99107608-E5D4-47BE-A25C-2A40C7D95DF1}"/>
    <cellStyle name="Comma 2 9 4 2 2 2 3" xfId="14578" xr:uid="{93EF3F77-5DA3-4932-888B-EB988DACB9FC}"/>
    <cellStyle name="Comma 2 9 4 2 2 2 4" xfId="24994" xr:uid="{6B083479-3249-4527-97F7-7BF6D4C64DBD}"/>
    <cellStyle name="Comma 2 9 4 2 2 3" xfId="9389" xr:uid="{00000000-0005-0000-0000-0000B5150000}"/>
    <cellStyle name="Comma 2 9 4 2 2 3 2" xfId="20935" xr:uid="{E776F63D-07B1-4D1B-9C47-AF54E48325EF}"/>
    <cellStyle name="Comma 2 9 4 2 2 3 3" xfId="31351" xr:uid="{B8408F97-40AA-4CB2-9286-4E40DAF6A7CB}"/>
    <cellStyle name="Comma 2 9 4 2 2 4" xfId="5886" xr:uid="{00000000-0005-0000-0000-0000B6150000}"/>
    <cellStyle name="Comma 2 9 4 2 2 4 2" xfId="17472" xr:uid="{ACC659CE-C3D2-4AE4-9769-5917A9C34EC4}"/>
    <cellStyle name="Comma 2 9 4 2 2 4 3" xfId="27888" xr:uid="{6FD3C5DF-85CE-4F9C-9FCB-358B7EC36446}"/>
    <cellStyle name="Comma 2 9 4 2 2 5" xfId="14577" xr:uid="{B08572D5-B865-44A1-85FF-E409DE59D7F9}"/>
    <cellStyle name="Comma 2 9 4 2 2 6" xfId="24993" xr:uid="{B9E238F2-F094-42EC-BA90-D8B09AC55274}"/>
    <cellStyle name="Comma 2 9 4 2 3" xfId="2244" xr:uid="{00000000-0005-0000-0000-0000B7150000}"/>
    <cellStyle name="Comma 2 9 4 2 3 2" xfId="9391" xr:uid="{00000000-0005-0000-0000-0000B8150000}"/>
    <cellStyle name="Comma 2 9 4 2 3 2 2" xfId="20937" xr:uid="{587CFC96-07EA-4653-A666-3FB5F2B54E5D}"/>
    <cellStyle name="Comma 2 9 4 2 3 2 3" xfId="31353" xr:uid="{85E0465F-0A0C-4C9F-B4AF-7347F00E1A09}"/>
    <cellStyle name="Comma 2 9 4 2 3 3" xfId="14579" xr:uid="{54E0055D-8AB2-4539-9CC7-EF06F854A5F4}"/>
    <cellStyle name="Comma 2 9 4 2 3 4" xfId="24995" xr:uid="{5FD85367-46C0-406D-A105-05550897A39B}"/>
    <cellStyle name="Comma 2 9 4 2 4" xfId="9388" xr:uid="{00000000-0005-0000-0000-0000B9150000}"/>
    <cellStyle name="Comma 2 9 4 2 4 2" xfId="20934" xr:uid="{024D11A8-CC33-44AE-B92C-E9F162D63C58}"/>
    <cellStyle name="Comma 2 9 4 2 4 3" xfId="31350" xr:uid="{A3C87ED7-24FC-4A82-B23A-C5540698CCFA}"/>
    <cellStyle name="Comma 2 9 4 2 5" xfId="5885" xr:uid="{00000000-0005-0000-0000-0000BA150000}"/>
    <cellStyle name="Comma 2 9 4 2 5 2" xfId="17471" xr:uid="{5431581B-71A6-487E-AEB0-AC0817FB84E7}"/>
    <cellStyle name="Comma 2 9 4 2 5 3" xfId="27887" xr:uid="{7C514F0A-1380-4F46-97CA-33F2E6313760}"/>
    <cellStyle name="Comma 2 9 4 2 6" xfId="14576" xr:uid="{FA45D7C9-EC90-4D0F-8043-FE2E10653E3F}"/>
    <cellStyle name="Comma 2 9 4 2 7" xfId="24992" xr:uid="{460EFE2F-D3EC-497F-A8DF-F43FFC4C5421}"/>
    <cellStyle name="Comma 2 9 4 3" xfId="2245" xr:uid="{00000000-0005-0000-0000-0000BB150000}"/>
    <cellStyle name="Comma 2 9 4 3 2" xfId="2246" xr:uid="{00000000-0005-0000-0000-0000BC150000}"/>
    <cellStyle name="Comma 2 9 4 3 2 2" xfId="9393" xr:uid="{00000000-0005-0000-0000-0000BD150000}"/>
    <cellStyle name="Comma 2 9 4 3 2 2 2" xfId="20939" xr:uid="{889DF3D0-0664-40EC-B23A-740D7BAB7BD2}"/>
    <cellStyle name="Comma 2 9 4 3 2 2 3" xfId="31355" xr:uid="{1FC45C16-44B0-4A4A-B2D0-2E549FCE9804}"/>
    <cellStyle name="Comma 2 9 4 3 2 3" xfId="14581" xr:uid="{952A1DED-B79C-4446-9670-A951CBDF798A}"/>
    <cellStyle name="Comma 2 9 4 3 2 4" xfId="24997" xr:uid="{9B14B0EB-70C9-447B-96CB-E51BCDA0F36F}"/>
    <cellStyle name="Comma 2 9 4 3 3" xfId="9392" xr:uid="{00000000-0005-0000-0000-0000BE150000}"/>
    <cellStyle name="Comma 2 9 4 3 3 2" xfId="20938" xr:uid="{274950D1-93DB-48BB-801A-95EC07BCD4BE}"/>
    <cellStyle name="Comma 2 9 4 3 3 3" xfId="31354" xr:uid="{9E4D900E-1D2C-45C9-8BDF-9FEED825DF40}"/>
    <cellStyle name="Comma 2 9 4 3 4" xfId="5887" xr:uid="{00000000-0005-0000-0000-0000BF150000}"/>
    <cellStyle name="Comma 2 9 4 3 4 2" xfId="17473" xr:uid="{36BF272D-126A-486B-B70B-FEEA1DE41300}"/>
    <cellStyle name="Comma 2 9 4 3 4 3" xfId="27889" xr:uid="{D9446F2C-6CD1-40FB-A24A-DA48727F2009}"/>
    <cellStyle name="Comma 2 9 4 3 5" xfId="14580" xr:uid="{1249C896-EF43-4562-B6DD-A6F1CB449444}"/>
    <cellStyle name="Comma 2 9 4 3 6" xfId="24996" xr:uid="{062B46D8-7303-4ABC-9C39-F8CD21E84583}"/>
    <cellStyle name="Comma 2 9 4 4" xfId="2247" xr:uid="{00000000-0005-0000-0000-0000C0150000}"/>
    <cellStyle name="Comma 2 9 4 4 2" xfId="2248" xr:uid="{00000000-0005-0000-0000-0000C1150000}"/>
    <cellStyle name="Comma 2 9 4 4 2 2" xfId="9395" xr:uid="{00000000-0005-0000-0000-0000C2150000}"/>
    <cellStyle name="Comma 2 9 4 4 2 2 2" xfId="20941" xr:uid="{2E122F98-17BF-4DAA-BAD8-30826EFA6B08}"/>
    <cellStyle name="Comma 2 9 4 4 2 2 3" xfId="31357" xr:uid="{CEF5BA7F-77D9-46DC-99D3-84CF0BB8AAB9}"/>
    <cellStyle name="Comma 2 9 4 4 2 3" xfId="14583" xr:uid="{FE2FC08D-2C17-4C60-9680-8F54092C833C}"/>
    <cellStyle name="Comma 2 9 4 4 2 4" xfId="24999" xr:uid="{A083096A-1A3F-48F8-926E-EB1564D41C94}"/>
    <cellStyle name="Comma 2 9 4 4 3" xfId="9394" xr:uid="{00000000-0005-0000-0000-0000C3150000}"/>
    <cellStyle name="Comma 2 9 4 4 3 2" xfId="20940" xr:uid="{A3EC1B97-9CBE-4C71-BAEE-B885F3F6049D}"/>
    <cellStyle name="Comma 2 9 4 4 3 3" xfId="31356" xr:uid="{69F78A5A-DDD8-4F4D-A403-EB00AFF7F41A}"/>
    <cellStyle name="Comma 2 9 4 4 4" xfId="5888" xr:uid="{00000000-0005-0000-0000-0000C4150000}"/>
    <cellStyle name="Comma 2 9 4 4 4 2" xfId="17474" xr:uid="{8C0DEF9F-52EA-4AFD-A3A2-6EA69E52D4FF}"/>
    <cellStyle name="Comma 2 9 4 4 4 3" xfId="27890" xr:uid="{1497D66E-8FB0-4417-85FA-67A001AAFED6}"/>
    <cellStyle name="Comma 2 9 4 4 5" xfId="14582" xr:uid="{86325DC8-E9EF-4AD7-A675-D6733B061564}"/>
    <cellStyle name="Comma 2 9 4 4 6" xfId="24998" xr:uid="{A5CA52FE-CBB3-438C-A626-AB4FAC7B7B63}"/>
    <cellStyle name="Comma 2 9 4 5" xfId="2249" xr:uid="{00000000-0005-0000-0000-0000C5150000}"/>
    <cellStyle name="Comma 2 9 4 5 2" xfId="9396" xr:uid="{00000000-0005-0000-0000-0000C6150000}"/>
    <cellStyle name="Comma 2 9 4 5 2 2" xfId="20942" xr:uid="{7ECC0F8A-21B2-41CF-A5B1-E2C6BE67BECB}"/>
    <cellStyle name="Comma 2 9 4 5 2 3" xfId="31358" xr:uid="{6519232A-E80C-41A2-AE4C-AAA25AE7B561}"/>
    <cellStyle name="Comma 2 9 4 5 3" xfId="14584" xr:uid="{84FAE1E2-9F07-4D17-A2DA-E34F8FD50F2E}"/>
    <cellStyle name="Comma 2 9 4 5 4" xfId="25000" xr:uid="{3CDE0110-E80C-41F4-8753-38C4FFB6CE69}"/>
    <cellStyle name="Comma 2 9 4 6" xfId="9387" xr:uid="{00000000-0005-0000-0000-0000C7150000}"/>
    <cellStyle name="Comma 2 9 4 6 2" xfId="20933" xr:uid="{092F4ED9-DEAB-46EC-99EA-0963B46ED830}"/>
    <cellStyle name="Comma 2 9 4 6 3" xfId="31349" xr:uid="{EAFB0CD9-EEE3-4068-B4D3-9D4DD36EDC57}"/>
    <cellStyle name="Comma 2 9 4 7" xfId="5884" xr:uid="{00000000-0005-0000-0000-0000C8150000}"/>
    <cellStyle name="Comma 2 9 4 7 2" xfId="17470" xr:uid="{1E1E5080-E7ED-4D7C-BD3E-C554AE9D6626}"/>
    <cellStyle name="Comma 2 9 4 7 3" xfId="27886" xr:uid="{78B1BFEE-3329-4906-BEB8-1D5B4A24FC5D}"/>
    <cellStyle name="Comma 2 9 4 8" xfId="14575" xr:uid="{D39AF6EC-2D9C-4454-80D6-4F10389EC7F2}"/>
    <cellStyle name="Comma 2 9 4 9" xfId="24991" xr:uid="{4775730A-58A1-4F96-820E-D76D9EF3F5CE}"/>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2 2 2" xfId="20946" xr:uid="{D4A99091-603C-465C-A42E-EF9EF9827242}"/>
    <cellStyle name="Comma 2 9 5 2 2 2 2 3" xfId="31362" xr:uid="{D9F2F1F8-60A2-4D9E-8760-811D7DC9CB2B}"/>
    <cellStyle name="Comma 2 9 5 2 2 2 3" xfId="14588" xr:uid="{52F63A29-83C0-438C-8D72-9899F7B9D79F}"/>
    <cellStyle name="Comma 2 9 5 2 2 2 4" xfId="25004" xr:uid="{0D01937B-28D1-48E0-BE17-15BCA01871AC}"/>
    <cellStyle name="Comma 2 9 5 2 2 3" xfId="9399" xr:uid="{00000000-0005-0000-0000-0000CE150000}"/>
    <cellStyle name="Comma 2 9 5 2 2 3 2" xfId="20945" xr:uid="{86DBB721-DEF8-47EE-BB3F-2C8E30E129F0}"/>
    <cellStyle name="Comma 2 9 5 2 2 3 3" xfId="31361" xr:uid="{0D08BDE2-8190-4C77-9C57-741BF26B3A35}"/>
    <cellStyle name="Comma 2 9 5 2 2 4" xfId="5891" xr:uid="{00000000-0005-0000-0000-0000CF150000}"/>
    <cellStyle name="Comma 2 9 5 2 2 4 2" xfId="17477" xr:uid="{B79DE2D8-2719-4437-96A9-ECC65CA8A63E}"/>
    <cellStyle name="Comma 2 9 5 2 2 4 3" xfId="27893" xr:uid="{36288A4E-BDD5-451F-96F9-6EABDF657F29}"/>
    <cellStyle name="Comma 2 9 5 2 2 5" xfId="14587" xr:uid="{A225DF92-ADBA-494D-B04B-0C9285C6BE0D}"/>
    <cellStyle name="Comma 2 9 5 2 2 6" xfId="25003" xr:uid="{E080FCAA-9947-4218-BF8A-AD301A06827D}"/>
    <cellStyle name="Comma 2 9 5 2 3" xfId="2254" xr:uid="{00000000-0005-0000-0000-0000D0150000}"/>
    <cellStyle name="Comma 2 9 5 2 3 2" xfId="9401" xr:uid="{00000000-0005-0000-0000-0000D1150000}"/>
    <cellStyle name="Comma 2 9 5 2 3 2 2" xfId="20947" xr:uid="{F608F5A6-20E9-46AB-A6DE-BB2A5B6DC15C}"/>
    <cellStyle name="Comma 2 9 5 2 3 2 3" xfId="31363" xr:uid="{CDB6092E-10EA-4F44-803D-FDBD48126E08}"/>
    <cellStyle name="Comma 2 9 5 2 3 3" xfId="14589" xr:uid="{BF7A1A3C-3252-47BA-A044-D4E20851E351}"/>
    <cellStyle name="Comma 2 9 5 2 3 4" xfId="25005" xr:uid="{6F68521C-1B02-40B1-A362-C7326CF715E9}"/>
    <cellStyle name="Comma 2 9 5 2 4" xfId="9398" xr:uid="{00000000-0005-0000-0000-0000D2150000}"/>
    <cellStyle name="Comma 2 9 5 2 4 2" xfId="20944" xr:uid="{11EBAFBA-AFE7-46F8-B298-F1B599F338C8}"/>
    <cellStyle name="Comma 2 9 5 2 4 3" xfId="31360" xr:uid="{98807866-0392-4BE6-8108-BC234F87A87D}"/>
    <cellStyle name="Comma 2 9 5 2 5" xfId="5890" xr:uid="{00000000-0005-0000-0000-0000D3150000}"/>
    <cellStyle name="Comma 2 9 5 2 5 2" xfId="17476" xr:uid="{8D8CCA79-606E-4DD8-B8E6-1AFBA7602809}"/>
    <cellStyle name="Comma 2 9 5 2 5 3" xfId="27892" xr:uid="{12BA08BF-D7E8-4781-B9C9-F45E12D1A14F}"/>
    <cellStyle name="Comma 2 9 5 2 6" xfId="14586" xr:uid="{F40BD784-8DC9-4BA6-B662-58335C6537CF}"/>
    <cellStyle name="Comma 2 9 5 2 7" xfId="25002" xr:uid="{DDDDF5CA-4FFD-4750-8081-3E5E21129131}"/>
    <cellStyle name="Comma 2 9 5 3" xfId="2255" xr:uid="{00000000-0005-0000-0000-0000D4150000}"/>
    <cellStyle name="Comma 2 9 5 3 2" xfId="2256" xr:uid="{00000000-0005-0000-0000-0000D5150000}"/>
    <cellStyle name="Comma 2 9 5 3 2 2" xfId="9403" xr:uid="{00000000-0005-0000-0000-0000D6150000}"/>
    <cellStyle name="Comma 2 9 5 3 2 2 2" xfId="20949" xr:uid="{CE8AFDA1-11AF-4661-AA30-7F26B4E0B8E2}"/>
    <cellStyle name="Comma 2 9 5 3 2 2 3" xfId="31365" xr:uid="{8B330DE5-9708-460F-911B-E6C18F043FB7}"/>
    <cellStyle name="Comma 2 9 5 3 2 3" xfId="14591" xr:uid="{AE4BAA6C-E793-40EC-857A-991326414C19}"/>
    <cellStyle name="Comma 2 9 5 3 2 4" xfId="25007" xr:uid="{1E760BAA-3DBA-4F74-B101-5157BC43DDC9}"/>
    <cellStyle name="Comma 2 9 5 3 3" xfId="9402" xr:uid="{00000000-0005-0000-0000-0000D7150000}"/>
    <cellStyle name="Comma 2 9 5 3 3 2" xfId="20948" xr:uid="{B935714D-B7B7-46D4-9952-AD79A1C06B78}"/>
    <cellStyle name="Comma 2 9 5 3 3 3" xfId="31364" xr:uid="{918C7572-7D5F-4762-AA8C-EA8EC2F0ECD8}"/>
    <cellStyle name="Comma 2 9 5 3 4" xfId="5892" xr:uid="{00000000-0005-0000-0000-0000D8150000}"/>
    <cellStyle name="Comma 2 9 5 3 4 2" xfId="17478" xr:uid="{3DD9890C-7F86-48DD-90C9-038961A7196C}"/>
    <cellStyle name="Comma 2 9 5 3 4 3" xfId="27894" xr:uid="{4BE0F4E1-E4BC-4871-B494-04AE355948A5}"/>
    <cellStyle name="Comma 2 9 5 3 5" xfId="14590" xr:uid="{218CF7D0-869F-485C-A048-0BC2093D41B6}"/>
    <cellStyle name="Comma 2 9 5 3 6" xfId="25006" xr:uid="{BA888BA8-F03E-419B-9C3A-25FB933FDC69}"/>
    <cellStyle name="Comma 2 9 5 4" xfId="2257" xr:uid="{00000000-0005-0000-0000-0000D9150000}"/>
    <cellStyle name="Comma 2 9 5 4 2" xfId="2258" xr:uid="{00000000-0005-0000-0000-0000DA150000}"/>
    <cellStyle name="Comma 2 9 5 4 2 2" xfId="9405" xr:uid="{00000000-0005-0000-0000-0000DB150000}"/>
    <cellStyle name="Comma 2 9 5 4 2 2 2" xfId="20951" xr:uid="{5EB2AABD-E06D-4116-AC8F-D982FB2ECA63}"/>
    <cellStyle name="Comma 2 9 5 4 2 2 3" xfId="31367" xr:uid="{922E085E-7763-4650-B2A3-ACBAC2BCA60A}"/>
    <cellStyle name="Comma 2 9 5 4 2 3" xfId="14593" xr:uid="{BA3595FA-38CE-4571-9CDD-F854E824D01A}"/>
    <cellStyle name="Comma 2 9 5 4 2 4" xfId="25009" xr:uid="{1FDB5D28-36CF-48F3-B9A2-920F4C68F515}"/>
    <cellStyle name="Comma 2 9 5 4 3" xfId="9404" xr:uid="{00000000-0005-0000-0000-0000DC150000}"/>
    <cellStyle name="Comma 2 9 5 4 3 2" xfId="20950" xr:uid="{5EAE8B28-BDD9-4115-9F8D-BFD3B32A0D9A}"/>
    <cellStyle name="Comma 2 9 5 4 3 3" xfId="31366" xr:uid="{742A2378-8422-46C6-BC7B-D0E8CA7506FA}"/>
    <cellStyle name="Comma 2 9 5 4 4" xfId="5893" xr:uid="{00000000-0005-0000-0000-0000DD150000}"/>
    <cellStyle name="Comma 2 9 5 4 4 2" xfId="17479" xr:uid="{84ED7841-4B95-4E6A-82CD-9BAD07AE1157}"/>
    <cellStyle name="Comma 2 9 5 4 4 3" xfId="27895" xr:uid="{F1EE0307-B70B-4176-9CB1-2CD43368C8DE}"/>
    <cellStyle name="Comma 2 9 5 4 5" xfId="14592" xr:uid="{3798D32D-7B49-4AB9-A413-E6F3AF401D44}"/>
    <cellStyle name="Comma 2 9 5 4 6" xfId="25008" xr:uid="{C5D437BA-EDB8-4924-BD8F-2C693EB44F4C}"/>
    <cellStyle name="Comma 2 9 5 5" xfId="2259" xr:uid="{00000000-0005-0000-0000-0000DE150000}"/>
    <cellStyle name="Comma 2 9 5 5 2" xfId="9406" xr:uid="{00000000-0005-0000-0000-0000DF150000}"/>
    <cellStyle name="Comma 2 9 5 5 2 2" xfId="20952" xr:uid="{D0BCDB21-D57F-464F-ABE8-9867AA74DAB8}"/>
    <cellStyle name="Comma 2 9 5 5 2 3" xfId="31368" xr:uid="{019FDB2A-405E-4B78-991D-4BF73B47816F}"/>
    <cellStyle name="Comma 2 9 5 5 3" xfId="14594" xr:uid="{41E17633-D714-4E6E-8E42-2BE43C0ACED5}"/>
    <cellStyle name="Comma 2 9 5 5 4" xfId="25010" xr:uid="{C7501C75-218D-4FAD-8AB8-D1FF92BEFC69}"/>
    <cellStyle name="Comma 2 9 5 6" xfId="9397" xr:uid="{00000000-0005-0000-0000-0000E0150000}"/>
    <cellStyle name="Comma 2 9 5 6 2" xfId="20943" xr:uid="{73F75D47-6D0F-462B-BC2D-54CC047F2FFD}"/>
    <cellStyle name="Comma 2 9 5 6 3" xfId="31359" xr:uid="{01839D94-D555-4438-AF0D-A19E64C47F9D}"/>
    <cellStyle name="Comma 2 9 5 7" xfId="5889" xr:uid="{00000000-0005-0000-0000-0000E1150000}"/>
    <cellStyle name="Comma 2 9 5 7 2" xfId="17475" xr:uid="{1D01407E-2087-4718-92D8-6720DF87D1D5}"/>
    <cellStyle name="Comma 2 9 5 7 3" xfId="27891" xr:uid="{78FEAA04-A866-4FB9-8E4B-3F7D17950D56}"/>
    <cellStyle name="Comma 2 9 5 8" xfId="14585" xr:uid="{558628CC-92AF-4D23-AE08-EE1E74EDE8C3}"/>
    <cellStyle name="Comma 2 9 5 9" xfId="25001" xr:uid="{02181A44-1714-47AC-983A-CA5B9E44336D}"/>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2 2 2" xfId="20955" xr:uid="{D5E50C68-520C-4223-AA71-C8D3BD65DC2B}"/>
    <cellStyle name="Comma 2 9 6 2 2 2 3" xfId="31371" xr:uid="{F506598C-7158-4CD2-8834-FCEECD90547C}"/>
    <cellStyle name="Comma 2 9 6 2 2 3" xfId="14597" xr:uid="{59EB8090-2011-403E-922D-66AD8E839572}"/>
    <cellStyle name="Comma 2 9 6 2 2 4" xfId="25013" xr:uid="{A49EA704-A19F-431D-981A-74B5675C54FD}"/>
    <cellStyle name="Comma 2 9 6 2 3" xfId="9408" xr:uid="{00000000-0005-0000-0000-0000E6150000}"/>
    <cellStyle name="Comma 2 9 6 2 3 2" xfId="20954" xr:uid="{097392DF-F653-4779-8357-44599CD773BD}"/>
    <cellStyle name="Comma 2 9 6 2 3 3" xfId="31370" xr:uid="{1ACEFA30-6C8D-4019-9418-713C01DC5B3D}"/>
    <cellStyle name="Comma 2 9 6 2 4" xfId="5895" xr:uid="{00000000-0005-0000-0000-0000E7150000}"/>
    <cellStyle name="Comma 2 9 6 2 4 2" xfId="17481" xr:uid="{BAD09460-E4E2-44ED-845D-5B5365590AF7}"/>
    <cellStyle name="Comma 2 9 6 2 4 3" xfId="27897" xr:uid="{DC09F42F-575A-4B85-9E35-043DF6883B5E}"/>
    <cellStyle name="Comma 2 9 6 2 5" xfId="14596" xr:uid="{FBB088AB-5E22-48DF-A17B-9EA6D79AC697}"/>
    <cellStyle name="Comma 2 9 6 2 6" xfId="25012" xr:uid="{4EEFB0E6-E70B-44CF-9CEF-1C04A9B95A11}"/>
    <cellStyle name="Comma 2 9 6 3" xfId="2263" xr:uid="{00000000-0005-0000-0000-0000E8150000}"/>
    <cellStyle name="Comma 2 9 6 3 2" xfId="2264" xr:uid="{00000000-0005-0000-0000-0000E9150000}"/>
    <cellStyle name="Comma 2 9 6 3 2 2" xfId="9411" xr:uid="{00000000-0005-0000-0000-0000EA150000}"/>
    <cellStyle name="Comma 2 9 6 3 2 2 2" xfId="20957" xr:uid="{9DE7FC8D-0DF2-4A84-B0AF-1D1BD5A61FA2}"/>
    <cellStyle name="Comma 2 9 6 3 2 2 3" xfId="31373" xr:uid="{6DE869E3-6A07-483B-B8A6-5DDE7AE99280}"/>
    <cellStyle name="Comma 2 9 6 3 2 3" xfId="14599" xr:uid="{2A2DCC1F-4FD1-4508-88BA-E8D86482FF19}"/>
    <cellStyle name="Comma 2 9 6 3 2 4" xfId="25015" xr:uid="{CFE4B01E-028D-4903-B6DE-542FB7832A6A}"/>
    <cellStyle name="Comma 2 9 6 3 3" xfId="9410" xr:uid="{00000000-0005-0000-0000-0000EB150000}"/>
    <cellStyle name="Comma 2 9 6 3 3 2" xfId="20956" xr:uid="{6166F5CF-DFDB-4A2B-827C-6C5691AFA543}"/>
    <cellStyle name="Comma 2 9 6 3 3 3" xfId="31372" xr:uid="{995402D3-DCF8-4605-9B35-23B94F576290}"/>
    <cellStyle name="Comma 2 9 6 3 4" xfId="5896" xr:uid="{00000000-0005-0000-0000-0000EC150000}"/>
    <cellStyle name="Comma 2 9 6 3 4 2" xfId="17482" xr:uid="{B17D09C7-7CCF-4A4F-972D-4338764972A7}"/>
    <cellStyle name="Comma 2 9 6 3 4 3" xfId="27898" xr:uid="{A9E6E880-BDD1-4AA6-A86C-9014F0F8743E}"/>
    <cellStyle name="Comma 2 9 6 3 5" xfId="14598" xr:uid="{7070FC33-44BE-4062-ACDA-9DEAB4ED7882}"/>
    <cellStyle name="Comma 2 9 6 3 6" xfId="25014" xr:uid="{D4AFDA69-9645-4AEC-95C6-93601A967085}"/>
    <cellStyle name="Comma 2 9 6 4" xfId="2265" xr:uid="{00000000-0005-0000-0000-0000ED150000}"/>
    <cellStyle name="Comma 2 9 6 4 2" xfId="9412" xr:uid="{00000000-0005-0000-0000-0000EE150000}"/>
    <cellStyle name="Comma 2 9 6 4 2 2" xfId="20958" xr:uid="{FE18B1C3-9AE9-4B14-ADA6-8FC1BD466F89}"/>
    <cellStyle name="Comma 2 9 6 4 2 3" xfId="31374" xr:uid="{9AC1A9B9-5AB1-4F8F-8CEA-C4D75C906A89}"/>
    <cellStyle name="Comma 2 9 6 4 3" xfId="14600" xr:uid="{1DC746A2-9704-460A-9B4F-569DB46C78C2}"/>
    <cellStyle name="Comma 2 9 6 4 4" xfId="25016" xr:uid="{7A37EC15-49A9-4C83-B224-852CBAFBC004}"/>
    <cellStyle name="Comma 2 9 6 5" xfId="9407" xr:uid="{00000000-0005-0000-0000-0000EF150000}"/>
    <cellStyle name="Comma 2 9 6 5 2" xfId="20953" xr:uid="{1E05336C-9898-4081-ADE4-D3D7AD2B322E}"/>
    <cellStyle name="Comma 2 9 6 5 3" xfId="31369" xr:uid="{BB5D55B2-65A3-494E-AE83-BCAAF5BCF72B}"/>
    <cellStyle name="Comma 2 9 6 6" xfId="5894" xr:uid="{00000000-0005-0000-0000-0000F0150000}"/>
    <cellStyle name="Comma 2 9 6 6 2" xfId="17480" xr:uid="{4B936C63-A82D-4F2C-9EFF-DAC6713FA642}"/>
    <cellStyle name="Comma 2 9 6 6 3" xfId="27896" xr:uid="{46DFF48E-5B5E-4010-955D-AEA7CB259FB4}"/>
    <cellStyle name="Comma 2 9 6 7" xfId="14595" xr:uid="{387106EC-E1C9-4C9F-A493-F2119B31E657}"/>
    <cellStyle name="Comma 2 9 6 8" xfId="25011" xr:uid="{BEC62F09-8BD5-4A31-A7E6-35E2534EE383}"/>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2 2 2" xfId="20961" xr:uid="{08415431-259A-42AF-BC54-867D9EC2B603}"/>
    <cellStyle name="Comma 2 9 7 2 2 2 3" xfId="31377" xr:uid="{9A9AF109-CECF-4F03-9751-907F53D3F83F}"/>
    <cellStyle name="Comma 2 9 7 2 2 3" xfId="14603" xr:uid="{261568F8-C8AC-4390-A5BB-DF63F0C26983}"/>
    <cellStyle name="Comma 2 9 7 2 2 4" xfId="25019" xr:uid="{D6E17621-CD9A-429E-8E73-A7478A1CB864}"/>
    <cellStyle name="Comma 2 9 7 2 3" xfId="9414" xr:uid="{00000000-0005-0000-0000-0000F5150000}"/>
    <cellStyle name="Comma 2 9 7 2 3 2" xfId="20960" xr:uid="{6C9653AD-9F53-4B9A-9947-976B41CF627F}"/>
    <cellStyle name="Comma 2 9 7 2 3 3" xfId="31376" xr:uid="{D6D0A011-5EB7-41B2-AE82-8B1C22FDBABA}"/>
    <cellStyle name="Comma 2 9 7 2 4" xfId="5898" xr:uid="{00000000-0005-0000-0000-0000F6150000}"/>
    <cellStyle name="Comma 2 9 7 2 4 2" xfId="17484" xr:uid="{9772403D-6D44-47D2-8A5E-F3EAA5CD8179}"/>
    <cellStyle name="Comma 2 9 7 2 4 3" xfId="27900" xr:uid="{DF3794D5-8710-4689-A2DD-CE546733333B}"/>
    <cellStyle name="Comma 2 9 7 2 5" xfId="14602" xr:uid="{502915C5-9C57-4515-83BB-6D85E0BB1F2E}"/>
    <cellStyle name="Comma 2 9 7 2 6" xfId="25018" xr:uid="{4EBCF0AC-C344-4728-BB0C-EFADD3851235}"/>
    <cellStyle name="Comma 2 9 7 3" xfId="2269" xr:uid="{00000000-0005-0000-0000-0000F7150000}"/>
    <cellStyle name="Comma 2 9 7 3 2" xfId="9416" xr:uid="{00000000-0005-0000-0000-0000F8150000}"/>
    <cellStyle name="Comma 2 9 7 3 2 2" xfId="20962" xr:uid="{F2843012-9D32-46BF-B9A9-8E1AAEF60C33}"/>
    <cellStyle name="Comma 2 9 7 3 2 3" xfId="31378" xr:uid="{1DE31009-C2F8-40B2-8287-6F2B0501389D}"/>
    <cellStyle name="Comma 2 9 7 3 3" xfId="14604" xr:uid="{B4EA63C7-7716-46C9-BA47-8B8375363B66}"/>
    <cellStyle name="Comma 2 9 7 3 4" xfId="25020" xr:uid="{7F38DB51-11B3-48C6-8033-504DA178D325}"/>
    <cellStyle name="Comma 2 9 7 4" xfId="9413" xr:uid="{00000000-0005-0000-0000-0000F9150000}"/>
    <cellStyle name="Comma 2 9 7 4 2" xfId="20959" xr:uid="{66A6A765-1AFA-4DDF-ADFE-1ECB951971FB}"/>
    <cellStyle name="Comma 2 9 7 4 3" xfId="31375" xr:uid="{C17751B1-4C59-473E-BE49-5B59D4DC7D98}"/>
    <cellStyle name="Comma 2 9 7 5" xfId="5897" xr:uid="{00000000-0005-0000-0000-0000FA150000}"/>
    <cellStyle name="Comma 2 9 7 5 2" xfId="17483" xr:uid="{19FD73D8-DFA2-47B9-9CA3-A5D82083CBE7}"/>
    <cellStyle name="Comma 2 9 7 5 3" xfId="27899" xr:uid="{4DEF82E7-1CB2-4B83-B132-023CF1BDAD8C}"/>
    <cellStyle name="Comma 2 9 7 6" xfId="14601" xr:uid="{1048C82D-DCE7-4BE7-9FDA-F3E1A3996BE0}"/>
    <cellStyle name="Comma 2 9 7 7" xfId="25017" xr:uid="{E9A9F9F8-A20A-4A50-A4D2-C82B054B71CE}"/>
    <cellStyle name="Comma 2 9 8" xfId="2270" xr:uid="{00000000-0005-0000-0000-0000FB150000}"/>
    <cellStyle name="Comma 2 9 8 2" xfId="2271" xr:uid="{00000000-0005-0000-0000-0000FC150000}"/>
    <cellStyle name="Comma 2 9 8 2 2" xfId="9418" xr:uid="{00000000-0005-0000-0000-0000FD150000}"/>
    <cellStyle name="Comma 2 9 8 2 2 2" xfId="20964" xr:uid="{C30F1B19-FFFF-475C-9B41-16085D44E384}"/>
    <cellStyle name="Comma 2 9 8 2 2 3" xfId="31380" xr:uid="{B06D8997-45E0-48D6-8F42-72D885E27C56}"/>
    <cellStyle name="Comma 2 9 8 2 3" xfId="14606" xr:uid="{FC52B432-14A5-4923-8EEA-0E65253FB448}"/>
    <cellStyle name="Comma 2 9 8 2 4" xfId="25022" xr:uid="{86CDCC1F-5876-48C3-B983-BDAB6DBE102D}"/>
    <cellStyle name="Comma 2 9 8 3" xfId="9417" xr:uid="{00000000-0005-0000-0000-0000FE150000}"/>
    <cellStyle name="Comma 2 9 8 3 2" xfId="20963" xr:uid="{AE265A63-4F27-4758-A878-181208760B6B}"/>
    <cellStyle name="Comma 2 9 8 3 3" xfId="31379" xr:uid="{1A49F5F2-2C41-4A12-8937-A021DA4FA26C}"/>
    <cellStyle name="Comma 2 9 8 4" xfId="5899" xr:uid="{00000000-0005-0000-0000-0000FF150000}"/>
    <cellStyle name="Comma 2 9 8 4 2" xfId="17485" xr:uid="{F32D13AE-367F-4A2D-8575-F55A153B09DC}"/>
    <cellStyle name="Comma 2 9 8 4 3" xfId="27901" xr:uid="{D0A784E0-ADDA-4451-A617-EC6D8CB2B656}"/>
    <cellStyle name="Comma 2 9 8 5" xfId="14605" xr:uid="{8964D596-C8FC-42CE-8398-674A7D00C86E}"/>
    <cellStyle name="Comma 2 9 8 6" xfId="25021" xr:uid="{F845A6EC-8E18-42E8-ACC1-FF4EEF1C9F38}"/>
    <cellStyle name="Comma 2 9 9" xfId="2272" xr:uid="{00000000-0005-0000-0000-000000160000}"/>
    <cellStyle name="Comma 2 9 9 2" xfId="2273" xr:uid="{00000000-0005-0000-0000-000001160000}"/>
    <cellStyle name="Comma 2 9 9 2 2" xfId="9420" xr:uid="{00000000-0005-0000-0000-000002160000}"/>
    <cellStyle name="Comma 2 9 9 2 2 2" xfId="20966" xr:uid="{533357B6-2D48-4559-B12A-BC29E64F399E}"/>
    <cellStyle name="Comma 2 9 9 2 2 3" xfId="31382" xr:uid="{4E45A16A-58D7-499F-9DC0-D82251E725B9}"/>
    <cellStyle name="Comma 2 9 9 2 3" xfId="14608" xr:uid="{5AFEEEDA-EDAB-476C-B3DA-710E16B50AA9}"/>
    <cellStyle name="Comma 2 9 9 2 4" xfId="25024" xr:uid="{313784D5-97E8-4804-903B-1DB0DA11D1A3}"/>
    <cellStyle name="Comma 2 9 9 3" xfId="9419" xr:uid="{00000000-0005-0000-0000-000003160000}"/>
    <cellStyle name="Comma 2 9 9 3 2" xfId="20965" xr:uid="{3B0772EE-6DCA-47C4-B203-891A50C8BA98}"/>
    <cellStyle name="Comma 2 9 9 3 3" xfId="31381" xr:uid="{A480F63D-1444-4850-9D30-A0B9A89BC2F5}"/>
    <cellStyle name="Comma 2 9 9 4" xfId="5900" xr:uid="{00000000-0005-0000-0000-000004160000}"/>
    <cellStyle name="Comma 2 9 9 4 2" xfId="17486" xr:uid="{B8822FFE-53A1-464B-A9B7-A958DBDC0DB1}"/>
    <cellStyle name="Comma 2 9 9 4 3" xfId="27902" xr:uid="{E5BDFE2A-65B9-4B83-8CDF-815D29CF405F}"/>
    <cellStyle name="Comma 2 9 9 5" xfId="14607" xr:uid="{BA625216-BC12-41BC-8BAA-5936D6B4FFC1}"/>
    <cellStyle name="Comma 2 9 9 6" xfId="25023" xr:uid="{C2B9AE49-508E-4651-88E9-D918EBFEE617}"/>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2 2 2" xfId="20970" xr:uid="{3C0BFE8F-E638-4855-8E93-7A036516903E}"/>
    <cellStyle name="Comma 3 10 2 2 2 3" xfId="31386" xr:uid="{B32DEDD0-F329-42BF-8E07-BC5C526BFFFB}"/>
    <cellStyle name="Comma 3 10 2 2 3" xfId="14612" xr:uid="{ACCA72A5-A440-4802-B26A-8EB71D1CD057}"/>
    <cellStyle name="Comma 3 10 2 2 4" xfId="25028" xr:uid="{4E03DDBA-0E4A-4867-9BAE-1F6302E9BE76}"/>
    <cellStyle name="Comma 3 10 2 3" xfId="9423" xr:uid="{00000000-0005-0000-0000-00000A160000}"/>
    <cellStyle name="Comma 3 10 2 3 2" xfId="20969" xr:uid="{C813334E-4BFE-4B31-95EB-4C5D5DA4224B}"/>
    <cellStyle name="Comma 3 10 2 3 3" xfId="31385" xr:uid="{6A5D8F7D-9DF4-4E23-92DF-1597D0DC1FD1}"/>
    <cellStyle name="Comma 3 10 2 4" xfId="5903" xr:uid="{00000000-0005-0000-0000-00000B160000}"/>
    <cellStyle name="Comma 3 10 2 4 2" xfId="17489" xr:uid="{3A0C4AE9-8205-4FA9-9EA0-8E9199C92560}"/>
    <cellStyle name="Comma 3 10 2 4 3" xfId="27905" xr:uid="{126CCFA0-0E89-4A3D-BDD7-F72C08B6005D}"/>
    <cellStyle name="Comma 3 10 2 5" xfId="14611" xr:uid="{8C1A5564-B2B7-43B0-AA58-ADAEF069EE25}"/>
    <cellStyle name="Comma 3 10 2 6" xfId="25027" xr:uid="{0FFD910E-142B-49BD-B035-385D8DEB169E}"/>
    <cellStyle name="Comma 3 10 3" xfId="2278" xr:uid="{00000000-0005-0000-0000-00000C160000}"/>
    <cellStyle name="Comma 3 10 3 2" xfId="2279" xr:uid="{00000000-0005-0000-0000-00000D160000}"/>
    <cellStyle name="Comma 3 10 3 2 2" xfId="9426" xr:uid="{00000000-0005-0000-0000-00000E160000}"/>
    <cellStyle name="Comma 3 10 3 2 2 2" xfId="20972" xr:uid="{FDC5B59B-6E42-4FA7-890E-AD36DCF39B12}"/>
    <cellStyle name="Comma 3 10 3 2 2 3" xfId="31388" xr:uid="{1F2F3AD7-1F74-432C-85E8-6233B552A85C}"/>
    <cellStyle name="Comma 3 10 3 2 3" xfId="14614" xr:uid="{D3228D13-D81D-4909-99D6-9AB4345A559E}"/>
    <cellStyle name="Comma 3 10 3 2 4" xfId="25030" xr:uid="{3DB50D57-88BC-47B2-B91D-6E1D840D6C9E}"/>
    <cellStyle name="Comma 3 10 3 3" xfId="9425" xr:uid="{00000000-0005-0000-0000-00000F160000}"/>
    <cellStyle name="Comma 3 10 3 3 2" xfId="20971" xr:uid="{ACF0DB61-F1C9-4CA4-9EDD-E8A335B0C9DE}"/>
    <cellStyle name="Comma 3 10 3 3 3" xfId="31387" xr:uid="{C991646D-A783-405F-93E5-55B9B7DB6259}"/>
    <cellStyle name="Comma 3 10 3 4" xfId="5904" xr:uid="{00000000-0005-0000-0000-000010160000}"/>
    <cellStyle name="Comma 3 10 3 4 2" xfId="17490" xr:uid="{1EC21D8A-4FD6-4A11-891B-6C3712C5C01F}"/>
    <cellStyle name="Comma 3 10 3 4 3" xfId="27906" xr:uid="{0DB72FC8-B674-4334-8131-197E036C8627}"/>
    <cellStyle name="Comma 3 10 3 5" xfId="14613" xr:uid="{3FD6A7F1-B830-4CCA-8D80-4760BD227806}"/>
    <cellStyle name="Comma 3 10 3 6" xfId="25029" xr:uid="{5B7A5572-5129-4440-AD62-56F94284D629}"/>
    <cellStyle name="Comma 3 10 4" xfId="2280" xr:uid="{00000000-0005-0000-0000-000011160000}"/>
    <cellStyle name="Comma 3 10 4 2" xfId="9427" xr:uid="{00000000-0005-0000-0000-000012160000}"/>
    <cellStyle name="Comma 3 10 4 2 2" xfId="20973" xr:uid="{CF6591E0-052A-4BE3-8EEA-EB5F56E29436}"/>
    <cellStyle name="Comma 3 10 4 2 3" xfId="31389" xr:uid="{2ABDFE09-0EFC-45CD-A6D6-3AF017A90748}"/>
    <cellStyle name="Comma 3 10 4 3" xfId="14615" xr:uid="{F897DB65-9B69-44EF-BF4F-5B762927A296}"/>
    <cellStyle name="Comma 3 10 4 4" xfId="25031" xr:uid="{45B64CB0-61C0-48FB-BB43-F599F1BA631E}"/>
    <cellStyle name="Comma 3 10 5" xfId="9422" xr:uid="{00000000-0005-0000-0000-000013160000}"/>
    <cellStyle name="Comma 3 10 5 2" xfId="20968" xr:uid="{33722D46-8BB5-4B16-B242-947C8A3EF50A}"/>
    <cellStyle name="Comma 3 10 5 3" xfId="31384" xr:uid="{D534B6D8-BDB1-49EA-9DA4-CFED24B4E9CC}"/>
    <cellStyle name="Comma 3 10 6" xfId="5902" xr:uid="{00000000-0005-0000-0000-000014160000}"/>
    <cellStyle name="Comma 3 10 6 2" xfId="17488" xr:uid="{2B293FF2-6301-4010-86D4-D97E04B75193}"/>
    <cellStyle name="Comma 3 10 6 3" xfId="27904" xr:uid="{B605B208-8917-4565-AD97-31837F000DD2}"/>
    <cellStyle name="Comma 3 10 7" xfId="14610" xr:uid="{82B4DEE6-158E-4B04-8CE4-B60049E1F1C9}"/>
    <cellStyle name="Comma 3 10 8" xfId="25026" xr:uid="{C4A4532D-AFF4-4016-8CAA-AAC86AAC9DC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2 2 2" xfId="20976" xr:uid="{7A9B5FE6-2D50-4B59-9662-814CF8709E05}"/>
    <cellStyle name="Comma 3 11 2 2 2 3" xfId="31392" xr:uid="{D5338CD9-CE51-46DF-9E43-EE90295E46D5}"/>
    <cellStyle name="Comma 3 11 2 2 3" xfId="14618" xr:uid="{CF9DE285-9FE5-403F-AF60-7D49A40E04A4}"/>
    <cellStyle name="Comma 3 11 2 2 4" xfId="25034" xr:uid="{FEBC2FE8-D444-41E6-905C-A1C9964BCDE2}"/>
    <cellStyle name="Comma 3 11 2 3" xfId="9429" xr:uid="{00000000-0005-0000-0000-000019160000}"/>
    <cellStyle name="Comma 3 11 2 3 2" xfId="20975" xr:uid="{7A678344-0467-4F08-8E10-994ECB22534C}"/>
    <cellStyle name="Comma 3 11 2 3 3" xfId="31391" xr:uid="{2CBA4C49-4686-4775-95DA-669E8B9930D2}"/>
    <cellStyle name="Comma 3 11 2 4" xfId="5906" xr:uid="{00000000-0005-0000-0000-00001A160000}"/>
    <cellStyle name="Comma 3 11 2 4 2" xfId="17492" xr:uid="{F377ADEB-1F48-455A-BD33-26999E743F6B}"/>
    <cellStyle name="Comma 3 11 2 4 3" xfId="27908" xr:uid="{9CAA2D6C-F006-489F-BEDB-7D6B000CC16D}"/>
    <cellStyle name="Comma 3 11 2 5" xfId="14617" xr:uid="{D857494A-FC7A-4E06-A9A2-04BE97D8B0A5}"/>
    <cellStyle name="Comma 3 11 2 6" xfId="25033" xr:uid="{94266D0E-19FE-42A9-A9CF-86C477C31F4C}"/>
    <cellStyle name="Comma 3 11 3" xfId="2284" xr:uid="{00000000-0005-0000-0000-00001B160000}"/>
    <cellStyle name="Comma 3 11 3 2" xfId="9431" xr:uid="{00000000-0005-0000-0000-00001C160000}"/>
    <cellStyle name="Comma 3 11 3 2 2" xfId="20977" xr:uid="{31C4E210-8903-4A75-9260-B6B770090FC2}"/>
    <cellStyle name="Comma 3 11 3 2 3" xfId="31393" xr:uid="{E722E34D-D03C-409C-9ECD-C3D7C6389ECB}"/>
    <cellStyle name="Comma 3 11 3 3" xfId="14619" xr:uid="{04FDFFBC-0245-4DEC-9BFC-0E142C65B8EB}"/>
    <cellStyle name="Comma 3 11 3 4" xfId="25035" xr:uid="{1EC9B048-5D9D-472E-AEC4-23C634D5E5E5}"/>
    <cellStyle name="Comma 3 11 4" xfId="9428" xr:uid="{00000000-0005-0000-0000-00001D160000}"/>
    <cellStyle name="Comma 3 11 4 2" xfId="20974" xr:uid="{FC00B7ED-6181-419A-9FE3-15FDA0CA7B36}"/>
    <cellStyle name="Comma 3 11 4 3" xfId="31390" xr:uid="{92136591-2846-4C29-93BC-7690CAA63F8B}"/>
    <cellStyle name="Comma 3 11 5" xfId="5905" xr:uid="{00000000-0005-0000-0000-00001E160000}"/>
    <cellStyle name="Comma 3 11 5 2" xfId="17491" xr:uid="{CCCA28E7-A05D-4052-BE8C-F55586AFBC40}"/>
    <cellStyle name="Comma 3 11 5 3" xfId="27907" xr:uid="{30F0A804-7E16-486B-8024-3B019126E10C}"/>
    <cellStyle name="Comma 3 11 6" xfId="14616" xr:uid="{089E55F8-781F-440C-84A9-7619DF505CD0}"/>
    <cellStyle name="Comma 3 11 7" xfId="25032" xr:uid="{5EC033B3-F102-4669-8ABD-3E36481700D8}"/>
    <cellStyle name="Comma 3 12" xfId="2285" xr:uid="{00000000-0005-0000-0000-00001F160000}"/>
    <cellStyle name="Comma 3 12 2" xfId="2286" xr:uid="{00000000-0005-0000-0000-000020160000}"/>
    <cellStyle name="Comma 3 12 2 2" xfId="9433" xr:uid="{00000000-0005-0000-0000-000021160000}"/>
    <cellStyle name="Comma 3 12 2 2 2" xfId="20979" xr:uid="{6BBE8705-0235-40DB-B7D1-D83381D09BF2}"/>
    <cellStyle name="Comma 3 12 2 2 3" xfId="31395" xr:uid="{EBDFC37A-3A9D-463E-9027-1C08D061D652}"/>
    <cellStyle name="Comma 3 12 2 3" xfId="14621" xr:uid="{D91F4F59-0F13-4D65-B1FE-F697C0D0D6AF}"/>
    <cellStyle name="Comma 3 12 2 4" xfId="25037" xr:uid="{64C1BF14-26B4-43B1-90DC-14C37177B836}"/>
    <cellStyle name="Comma 3 12 3" xfId="9432" xr:uid="{00000000-0005-0000-0000-000022160000}"/>
    <cellStyle name="Comma 3 12 3 2" xfId="20978" xr:uid="{F7EC8E86-5CA4-4E41-839F-936122BCB8A4}"/>
    <cellStyle name="Comma 3 12 3 3" xfId="31394" xr:uid="{8B9A8F58-2803-49AC-8D8C-D2F4466B4C7F}"/>
    <cellStyle name="Comma 3 12 4" xfId="5907" xr:uid="{00000000-0005-0000-0000-000023160000}"/>
    <cellStyle name="Comma 3 12 4 2" xfId="17493" xr:uid="{6F259BF4-5F70-4A46-97CB-4CA8E7CBAA5A}"/>
    <cellStyle name="Comma 3 12 4 3" xfId="27909" xr:uid="{C553F546-EE1F-4B93-99E7-0EE017EE3E42}"/>
    <cellStyle name="Comma 3 12 5" xfId="14620" xr:uid="{B0B804FB-0684-4F5F-9363-EF96088EFE74}"/>
    <cellStyle name="Comma 3 12 6" xfId="25036" xr:uid="{BD5FB588-4D99-4357-A6BE-B0CA9082A092}"/>
    <cellStyle name="Comma 3 13" xfId="2287" xr:uid="{00000000-0005-0000-0000-000024160000}"/>
    <cellStyle name="Comma 3 13 2" xfId="2288" xr:uid="{00000000-0005-0000-0000-000025160000}"/>
    <cellStyle name="Comma 3 13 2 2" xfId="9435" xr:uid="{00000000-0005-0000-0000-000026160000}"/>
    <cellStyle name="Comma 3 13 2 2 2" xfId="20981" xr:uid="{292582F8-F3B3-4AD1-AEFD-F65C304DD64F}"/>
    <cellStyle name="Comma 3 13 2 2 3" xfId="31397" xr:uid="{CD53B5C5-07C4-4553-909A-B4C07CA29E25}"/>
    <cellStyle name="Comma 3 13 2 3" xfId="14623" xr:uid="{F583823C-6A26-4EC3-A22D-D71C310FEBAD}"/>
    <cellStyle name="Comma 3 13 2 4" xfId="25039" xr:uid="{584D6432-A8FD-4D20-9C4D-B73DF3BF35DB}"/>
    <cellStyle name="Comma 3 13 3" xfId="9434" xr:uid="{00000000-0005-0000-0000-000027160000}"/>
    <cellStyle name="Comma 3 13 3 2" xfId="20980" xr:uid="{D90CA0DA-3D89-476C-9B76-7756A5DF4A0A}"/>
    <cellStyle name="Comma 3 13 3 3" xfId="31396" xr:uid="{88EC6086-E5D0-496D-9647-D36E4025EC6C}"/>
    <cellStyle name="Comma 3 13 4" xfId="5908" xr:uid="{00000000-0005-0000-0000-000028160000}"/>
    <cellStyle name="Comma 3 13 4 2" xfId="17494" xr:uid="{57F55AB4-F717-490F-8676-DDE987A0FF61}"/>
    <cellStyle name="Comma 3 13 4 3" xfId="27910" xr:uid="{B4DD0630-3355-47DB-BC18-3FC2EAC07EE3}"/>
    <cellStyle name="Comma 3 13 5" xfId="14622" xr:uid="{8E076A8B-0582-4F1E-92B1-806008875B47}"/>
    <cellStyle name="Comma 3 13 6" xfId="25038" xr:uid="{2C623587-FF6C-4B4A-BF2E-2BA3A20A3ACE}"/>
    <cellStyle name="Comma 3 14" xfId="2289" xr:uid="{00000000-0005-0000-0000-000029160000}"/>
    <cellStyle name="Comma 3 14 2" xfId="9437" xr:uid="{00000000-0005-0000-0000-00002A160000}"/>
    <cellStyle name="Comma 3 14 2 2" xfId="20983" xr:uid="{92CED930-4277-4205-99D9-AA0E7B43C9B6}"/>
    <cellStyle name="Comma 3 14 2 3" xfId="31399" xr:uid="{AD4FBFF8-8F98-482F-B519-197C1A0B3CEB}"/>
    <cellStyle name="Comma 3 14 3" xfId="9436" xr:uid="{00000000-0005-0000-0000-00002B160000}"/>
    <cellStyle name="Comma 3 14 3 2" xfId="20982" xr:uid="{5C9472C5-CF88-47E4-9332-936227EE87C0}"/>
    <cellStyle name="Comma 3 14 3 3" xfId="31398" xr:uid="{7CFE2B31-6C8B-403B-8819-60EBEAE6A23B}"/>
    <cellStyle name="Comma 3 14 4" xfId="5909" xr:uid="{00000000-0005-0000-0000-00002C160000}"/>
    <cellStyle name="Comma 3 14 4 2" xfId="17495" xr:uid="{5728B4B7-0D82-4B7D-BDB8-2632631AF012}"/>
    <cellStyle name="Comma 3 14 4 3" xfId="27911" xr:uid="{D05E362F-AD10-4CFC-92FF-4F6957F041E6}"/>
    <cellStyle name="Comma 3 14 5" xfId="14624" xr:uid="{8BDF725C-625B-47C8-9C21-5F4506155516}"/>
    <cellStyle name="Comma 3 14 6" xfId="25040" xr:uid="{B32A3A4E-E474-4ABB-B53F-58387B5030B3}"/>
    <cellStyle name="Comma 3 15" xfId="2274" xr:uid="{00000000-0005-0000-0000-00002D160000}"/>
    <cellStyle name="Comma 3 15 2" xfId="9438" xr:uid="{00000000-0005-0000-0000-00002E160000}"/>
    <cellStyle name="Comma 3 15 2 2" xfId="20984" xr:uid="{9A333B78-7794-42A7-917D-5627EB8241F4}"/>
    <cellStyle name="Comma 3 15 2 3" xfId="31400" xr:uid="{CE9F2B44-7A6F-4A99-B33C-936F9982C11C}"/>
    <cellStyle name="Comma 3 15 3" xfId="14609" xr:uid="{93A46146-19AC-4A76-BB20-CC9D8D028A2B}"/>
    <cellStyle name="Comma 3 15 4" xfId="25025" xr:uid="{05AB86DE-62F3-47B8-886A-7213B349D83F}"/>
    <cellStyle name="Comma 3 16" xfId="9421" xr:uid="{00000000-0005-0000-0000-00002F160000}"/>
    <cellStyle name="Comma 3 16 2" xfId="20967" xr:uid="{4B998999-7EE0-461D-8CFA-AFF0507DD824}"/>
    <cellStyle name="Comma 3 16 3" xfId="31383" xr:uid="{6C4B58F4-D4CC-48B5-9014-200E64A4F00E}"/>
    <cellStyle name="Comma 3 17" xfId="12311" xr:uid="{00000000-0005-0000-0000-000030160000}"/>
    <cellStyle name="Comma 3 17 2" xfId="22728" xr:uid="{45497A13-C770-436C-8E73-39CF57377370}"/>
    <cellStyle name="Comma 3 17 3" xfId="33144" xr:uid="{F8332418-FFC8-4E33-B5CB-F50397D550BA}"/>
    <cellStyle name="Comma 3 18" xfId="5901" xr:uid="{00000000-0005-0000-0000-000031160000}"/>
    <cellStyle name="Comma 3 18 2" xfId="17487" xr:uid="{D56FA652-4CFF-49BD-82F4-1EA70B8BFDC1}"/>
    <cellStyle name="Comma 3 18 3" xfId="27903" xr:uid="{C25B0601-7162-43D0-B032-D67AE4B20784}"/>
    <cellStyle name="Comma 3 19" xfId="12326" xr:uid="{00000000-0005-0000-0000-000032160000}"/>
    <cellStyle name="Comma 3 19 2" xfId="22732" xr:uid="{E9831280-FB8A-46EE-80ED-CF594246EB2D}"/>
    <cellStyle name="Comma 3 19 3" xfId="33148" xr:uid="{949C28F9-FA20-4AD1-9C5E-E18D2F2F4648}"/>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2 2 2" xfId="20987" xr:uid="{CBC45073-95F4-411C-9E06-2E67B575A885}"/>
    <cellStyle name="Comma 3 2 10 2 2 3" xfId="31403" xr:uid="{E59000F9-9580-4C4C-88D8-2EFF65C72198}"/>
    <cellStyle name="Comma 3 2 10 2 3" xfId="14627" xr:uid="{DA4E8A55-C8DC-4BB0-8CC7-122E4B90F23A}"/>
    <cellStyle name="Comma 3 2 10 2 4" xfId="25043" xr:uid="{83B2A224-BF2E-42CD-88BD-78CAFB0BA9A2}"/>
    <cellStyle name="Comma 3 2 10 3" xfId="9440" xr:uid="{00000000-0005-0000-0000-000037160000}"/>
    <cellStyle name="Comma 3 2 10 3 2" xfId="20986" xr:uid="{6ECB0768-08D2-422D-A530-A435F76408FD}"/>
    <cellStyle name="Comma 3 2 10 3 3" xfId="31402" xr:uid="{9FED422C-2C10-4A53-9B73-366027728F86}"/>
    <cellStyle name="Comma 3 2 10 4" xfId="5911" xr:uid="{00000000-0005-0000-0000-000038160000}"/>
    <cellStyle name="Comma 3 2 10 4 2" xfId="17497" xr:uid="{467C4845-93F0-4891-9AF6-D95062A43B38}"/>
    <cellStyle name="Comma 3 2 10 4 3" xfId="27913" xr:uid="{966C59FB-9C6C-4263-8AFD-A9BE2372AD46}"/>
    <cellStyle name="Comma 3 2 10 5" xfId="14626" xr:uid="{A083EFA8-E70E-47B9-B370-99D6DB5818B3}"/>
    <cellStyle name="Comma 3 2 10 6" xfId="25042" xr:uid="{53F5F88B-EB88-40F9-BB7F-11A3A4DC3DF0}"/>
    <cellStyle name="Comma 3 2 11" xfId="2293" xr:uid="{00000000-0005-0000-0000-000039160000}"/>
    <cellStyle name="Comma 3 2 11 2" xfId="9442" xr:uid="{00000000-0005-0000-0000-00003A160000}"/>
    <cellStyle name="Comma 3 2 11 2 2" xfId="20988" xr:uid="{6444898E-17F4-445F-9F91-B8A8C64D2633}"/>
    <cellStyle name="Comma 3 2 11 2 3" xfId="31404" xr:uid="{A9FB1F1F-D9BE-46F1-8B1F-C0729B534B6A}"/>
    <cellStyle name="Comma 3 2 11 3" xfId="14628" xr:uid="{5C7D0A12-E9CC-4E4F-8F57-76531F606328}"/>
    <cellStyle name="Comma 3 2 11 4" xfId="25044" xr:uid="{2BAD7F07-66AE-4FE3-92A4-777A8E4EB38E}"/>
    <cellStyle name="Comma 3 2 12" xfId="9439" xr:uid="{00000000-0005-0000-0000-00003B160000}"/>
    <cellStyle name="Comma 3 2 12 2" xfId="20985" xr:uid="{4EB6DDBE-99BA-4BF9-A7BD-FEF7EDE8C2F0}"/>
    <cellStyle name="Comma 3 2 12 3" xfId="31401" xr:uid="{D243E648-1AAC-4719-98FE-1A3D4E59DB87}"/>
    <cellStyle name="Comma 3 2 13" xfId="5910" xr:uid="{00000000-0005-0000-0000-00003C160000}"/>
    <cellStyle name="Comma 3 2 13 2" xfId="17496" xr:uid="{23C476A3-290C-4342-B560-F5A49D5262B7}"/>
    <cellStyle name="Comma 3 2 13 3" xfId="27912" xr:uid="{C183E5B0-25FE-4DB5-AEF9-F33FAAF439ED}"/>
    <cellStyle name="Comma 3 2 14" xfId="12331" xr:uid="{00000000-0005-0000-0000-00003D160000}"/>
    <cellStyle name="Comma 3 2 14 2" xfId="22737" xr:uid="{6439E8C4-C198-4735-AC80-E8AF8D0A8A87}"/>
    <cellStyle name="Comma 3 2 14 3" xfId="33153" xr:uid="{5D190321-D0B7-4DCA-88AC-87A4920900A4}"/>
    <cellStyle name="Comma 3 2 15" xfId="12341" xr:uid="{00000000-0005-0000-0000-00003E160000}"/>
    <cellStyle name="Comma 3 2 15 2" xfId="22747" xr:uid="{CA6824C2-9641-4CB5-83FE-AB30E4990C65}"/>
    <cellStyle name="Comma 3 2 15 3" xfId="33163" xr:uid="{E8C5EA39-FEEC-42C3-8D6B-8E875A4A0946}"/>
    <cellStyle name="Comma 3 2 16" xfId="12356" xr:uid="{00000000-0005-0000-0000-00003F160000}"/>
    <cellStyle name="Comma 3 2 16 2" xfId="22762" xr:uid="{8F1D967B-6222-439A-AD98-527620D74EFD}"/>
    <cellStyle name="Comma 3 2 16 3" xfId="33178" xr:uid="{D4F9F80A-55E9-428F-A57C-5D2314A5EF62}"/>
    <cellStyle name="Comma 3 2 17" xfId="14625" xr:uid="{79CEA91A-AE2A-4A0E-BCB8-7940AA67FF4A}"/>
    <cellStyle name="Comma 3 2 18" xfId="25041" xr:uid="{7A461823-DBC3-4519-B087-27C1CCC4A30A}"/>
    <cellStyle name="Comma 3 2 2" xfId="2294" xr:uid="{00000000-0005-0000-0000-000040160000}"/>
    <cellStyle name="Comma 3 2 2 10" xfId="2295" xr:uid="{00000000-0005-0000-0000-000041160000}"/>
    <cellStyle name="Comma 3 2 2 10 2" xfId="9444" xr:uid="{00000000-0005-0000-0000-000042160000}"/>
    <cellStyle name="Comma 3 2 2 10 2 2" xfId="20990" xr:uid="{D740F54B-81E1-4438-8C79-D4CCEBE973D9}"/>
    <cellStyle name="Comma 3 2 2 10 2 3" xfId="31406" xr:uid="{FDCBBB98-4DA2-439E-9C71-81292BDFBF8B}"/>
    <cellStyle name="Comma 3 2 2 10 3" xfId="14630" xr:uid="{D99D6DD9-4A03-4E7C-8AC9-F478A76CF870}"/>
    <cellStyle name="Comma 3 2 2 10 4" xfId="25046" xr:uid="{B6E22FA8-CC40-469A-B9FC-1C09182FFE48}"/>
    <cellStyle name="Comma 3 2 2 11" xfId="9443" xr:uid="{00000000-0005-0000-0000-000043160000}"/>
    <cellStyle name="Comma 3 2 2 11 2" xfId="20989" xr:uid="{7C146D8F-85BE-4253-9D94-9EB0A52BFA81}"/>
    <cellStyle name="Comma 3 2 2 11 3" xfId="31405" xr:uid="{73C04425-C8CE-4820-8DEC-8EDFA6A36AC4}"/>
    <cellStyle name="Comma 3 2 2 12" xfId="5912" xr:uid="{00000000-0005-0000-0000-000044160000}"/>
    <cellStyle name="Comma 3 2 2 12 2" xfId="17498" xr:uid="{E86D1375-5136-4FDF-9777-E736DC1A4F5D}"/>
    <cellStyle name="Comma 3 2 2 12 3" xfId="27914" xr:uid="{F1BD9A27-CBE6-495B-B263-79ACEAC0ADA3}"/>
    <cellStyle name="Comma 3 2 2 13" xfId="14629" xr:uid="{8CDCCC12-B1C4-4F4E-9581-49C88091D824}"/>
    <cellStyle name="Comma 3 2 2 14" xfId="25045" xr:uid="{9053A2FF-965E-4D6A-9A4A-ED6AEB8477C3}"/>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2 2 2" xfId="20994" xr:uid="{66705FAE-69D3-4773-BF41-D690B1D4FDA6}"/>
    <cellStyle name="Comma 3 2 2 2 2 2 2 2 3" xfId="31410" xr:uid="{F6766D66-8841-41E9-9E4A-5950A9BFF789}"/>
    <cellStyle name="Comma 3 2 2 2 2 2 2 3" xfId="14634" xr:uid="{D3DEE755-8FBC-420B-81DD-1F2CC29083AC}"/>
    <cellStyle name="Comma 3 2 2 2 2 2 2 4" xfId="25050" xr:uid="{CF0D8994-A802-4391-948C-B4830D35ED3E}"/>
    <cellStyle name="Comma 3 2 2 2 2 2 3" xfId="9447" xr:uid="{00000000-0005-0000-0000-00004A160000}"/>
    <cellStyle name="Comma 3 2 2 2 2 2 3 2" xfId="20993" xr:uid="{F91EC567-AC9E-4FEE-A391-8A141A8BD48E}"/>
    <cellStyle name="Comma 3 2 2 2 2 2 3 3" xfId="31409" xr:uid="{D0734BDB-32E6-4D55-AE79-B6AA8575DDFB}"/>
    <cellStyle name="Comma 3 2 2 2 2 2 4" xfId="5915" xr:uid="{00000000-0005-0000-0000-00004B160000}"/>
    <cellStyle name="Comma 3 2 2 2 2 2 4 2" xfId="17501" xr:uid="{1ACCE376-EBAE-4EA3-A5D1-A6431E271377}"/>
    <cellStyle name="Comma 3 2 2 2 2 2 4 3" xfId="27917" xr:uid="{32B90F23-EB72-48EA-B960-8D070AD7F276}"/>
    <cellStyle name="Comma 3 2 2 2 2 2 5" xfId="14633" xr:uid="{00C6A9B1-FF94-4DDF-ACAB-65C24CFBB6AA}"/>
    <cellStyle name="Comma 3 2 2 2 2 2 6" xfId="25049" xr:uid="{03047961-0423-4A08-979A-9C5E9063B302}"/>
    <cellStyle name="Comma 3 2 2 2 2 3" xfId="2300" xr:uid="{00000000-0005-0000-0000-00004C160000}"/>
    <cellStyle name="Comma 3 2 2 2 2 3 2" xfId="9449" xr:uid="{00000000-0005-0000-0000-00004D160000}"/>
    <cellStyle name="Comma 3 2 2 2 2 3 2 2" xfId="20995" xr:uid="{61E24FD3-CCE6-4961-9C34-8E85FED9E8E5}"/>
    <cellStyle name="Comma 3 2 2 2 2 3 2 3" xfId="31411" xr:uid="{54E9A6E8-871C-45D7-80F1-EBB0CD5D5F56}"/>
    <cellStyle name="Comma 3 2 2 2 2 3 3" xfId="14635" xr:uid="{C76628D9-BAFD-48D4-A9F9-19F7E7594180}"/>
    <cellStyle name="Comma 3 2 2 2 2 3 4" xfId="25051" xr:uid="{AC71594A-2846-4F39-84EE-5C3EEB0E92EE}"/>
    <cellStyle name="Comma 3 2 2 2 2 4" xfId="9446" xr:uid="{00000000-0005-0000-0000-00004E160000}"/>
    <cellStyle name="Comma 3 2 2 2 2 4 2" xfId="20992" xr:uid="{68C8516B-5BDA-47DA-8DA6-B9EFA02D3049}"/>
    <cellStyle name="Comma 3 2 2 2 2 4 3" xfId="31408" xr:uid="{1962EFB9-4C9D-49B0-90AB-666ECD5C66FC}"/>
    <cellStyle name="Comma 3 2 2 2 2 5" xfId="5914" xr:uid="{00000000-0005-0000-0000-00004F160000}"/>
    <cellStyle name="Comma 3 2 2 2 2 5 2" xfId="17500" xr:uid="{2BD3FAB2-37A7-4D4B-9280-DFE70A2C0EC6}"/>
    <cellStyle name="Comma 3 2 2 2 2 5 3" xfId="27916" xr:uid="{A6B9BFD4-1E9F-453B-AF22-E08EBAF28AFB}"/>
    <cellStyle name="Comma 3 2 2 2 2 6" xfId="14632" xr:uid="{01ADCA13-104A-4D62-8CBC-BD848814872E}"/>
    <cellStyle name="Comma 3 2 2 2 2 7" xfId="25048" xr:uid="{B41AA498-D3D8-47E7-BF8C-2A5269338137}"/>
    <cellStyle name="Comma 3 2 2 2 3" xfId="2301" xr:uid="{00000000-0005-0000-0000-000050160000}"/>
    <cellStyle name="Comma 3 2 2 2 3 2" xfId="2302" xr:uid="{00000000-0005-0000-0000-000051160000}"/>
    <cellStyle name="Comma 3 2 2 2 3 2 2" xfId="9451" xr:uid="{00000000-0005-0000-0000-000052160000}"/>
    <cellStyle name="Comma 3 2 2 2 3 2 2 2" xfId="20997" xr:uid="{C7EA06CC-159D-42A5-9966-F11FC187E343}"/>
    <cellStyle name="Comma 3 2 2 2 3 2 2 3" xfId="31413" xr:uid="{2261D05E-7B32-4B12-ADA4-C1673EEA007D}"/>
    <cellStyle name="Comma 3 2 2 2 3 2 3" xfId="14637" xr:uid="{C056673F-E6CE-440B-8FB8-1E06D641AD8F}"/>
    <cellStyle name="Comma 3 2 2 2 3 2 4" xfId="25053" xr:uid="{FCFA7D88-692E-43DD-B8C2-39781FBFD52A}"/>
    <cellStyle name="Comma 3 2 2 2 3 3" xfId="9450" xr:uid="{00000000-0005-0000-0000-000053160000}"/>
    <cellStyle name="Comma 3 2 2 2 3 3 2" xfId="20996" xr:uid="{7A15C313-000C-4B1E-94CC-565A39717392}"/>
    <cellStyle name="Comma 3 2 2 2 3 3 3" xfId="31412" xr:uid="{BB57B992-7C26-4889-A8B8-47616ACD3AD9}"/>
    <cellStyle name="Comma 3 2 2 2 3 4" xfId="5916" xr:uid="{00000000-0005-0000-0000-000054160000}"/>
    <cellStyle name="Comma 3 2 2 2 3 4 2" xfId="17502" xr:uid="{B9F63769-F34B-4570-9E8A-880B48CEB3B6}"/>
    <cellStyle name="Comma 3 2 2 2 3 4 3" xfId="27918" xr:uid="{0BBB080D-3E50-422C-B73E-BDBF2CE7E82B}"/>
    <cellStyle name="Comma 3 2 2 2 3 5" xfId="14636" xr:uid="{4DC8AAA9-1DD4-4423-9DCF-005A83D137AF}"/>
    <cellStyle name="Comma 3 2 2 2 3 6" xfId="25052" xr:uid="{06C6BF7B-70EF-4AAA-8C2A-F7E91163C154}"/>
    <cellStyle name="Comma 3 2 2 2 4" xfId="2303" xr:uid="{00000000-0005-0000-0000-000055160000}"/>
    <cellStyle name="Comma 3 2 2 2 4 2" xfId="2304" xr:uid="{00000000-0005-0000-0000-000056160000}"/>
    <cellStyle name="Comma 3 2 2 2 4 2 2" xfId="9453" xr:uid="{00000000-0005-0000-0000-000057160000}"/>
    <cellStyle name="Comma 3 2 2 2 4 2 2 2" xfId="20999" xr:uid="{A39E5ADC-D916-4554-BAB4-8A0CAB0959E0}"/>
    <cellStyle name="Comma 3 2 2 2 4 2 2 3" xfId="31415" xr:uid="{CA8F4A17-1BB6-46BD-8E33-65C2B032C415}"/>
    <cellStyle name="Comma 3 2 2 2 4 2 3" xfId="14639" xr:uid="{3D721E5E-0BCF-493A-9851-F4DCAD2BC5AC}"/>
    <cellStyle name="Comma 3 2 2 2 4 2 4" xfId="25055" xr:uid="{88622EFD-7FEC-4634-B161-644F8161FC1A}"/>
    <cellStyle name="Comma 3 2 2 2 4 3" xfId="9452" xr:uid="{00000000-0005-0000-0000-000058160000}"/>
    <cellStyle name="Comma 3 2 2 2 4 3 2" xfId="20998" xr:uid="{FA67F974-9C93-4494-9979-647DFB98D0B9}"/>
    <cellStyle name="Comma 3 2 2 2 4 3 3" xfId="31414" xr:uid="{951B8CEF-9DC7-4143-9CF5-178E24BB06EE}"/>
    <cellStyle name="Comma 3 2 2 2 4 4" xfId="5917" xr:uid="{00000000-0005-0000-0000-000059160000}"/>
    <cellStyle name="Comma 3 2 2 2 4 4 2" xfId="17503" xr:uid="{FF4AEA67-9AA6-4348-9FA0-DF667755ABA5}"/>
    <cellStyle name="Comma 3 2 2 2 4 4 3" xfId="27919" xr:uid="{8BD2491F-B068-4474-ADC6-3B1D1CB4E19B}"/>
    <cellStyle name="Comma 3 2 2 2 4 5" xfId="14638" xr:uid="{0138FEF5-CAB0-45E1-A9B5-56053B19999F}"/>
    <cellStyle name="Comma 3 2 2 2 4 6" xfId="25054" xr:uid="{A7662DB1-F694-4F25-9A32-6428F4D6645F}"/>
    <cellStyle name="Comma 3 2 2 2 5" xfId="2305" xr:uid="{00000000-0005-0000-0000-00005A160000}"/>
    <cellStyle name="Comma 3 2 2 2 5 2" xfId="9454" xr:uid="{00000000-0005-0000-0000-00005B160000}"/>
    <cellStyle name="Comma 3 2 2 2 5 2 2" xfId="21000" xr:uid="{C30BF4E1-A008-4FC5-91D6-766CCABD549D}"/>
    <cellStyle name="Comma 3 2 2 2 5 2 3" xfId="31416" xr:uid="{C0CED4C9-F700-4C2E-B4A8-5A442ED920AA}"/>
    <cellStyle name="Comma 3 2 2 2 5 3" xfId="14640" xr:uid="{CACA50DC-C53E-41D9-B978-B7E58F544B74}"/>
    <cellStyle name="Comma 3 2 2 2 5 4" xfId="25056" xr:uid="{E830B9D5-092E-4414-8710-C4C8FEA118A8}"/>
    <cellStyle name="Comma 3 2 2 2 6" xfId="9445" xr:uid="{00000000-0005-0000-0000-00005C160000}"/>
    <cellStyle name="Comma 3 2 2 2 6 2" xfId="20991" xr:uid="{AD442524-92E3-428F-B5E7-FA74247B95F0}"/>
    <cellStyle name="Comma 3 2 2 2 6 3" xfId="31407" xr:uid="{0146D62D-6DC5-4FB7-80FF-8F407B510DC7}"/>
    <cellStyle name="Comma 3 2 2 2 7" xfId="5913" xr:uid="{00000000-0005-0000-0000-00005D160000}"/>
    <cellStyle name="Comma 3 2 2 2 7 2" xfId="17499" xr:uid="{27C4FE47-EB42-4FB1-AF3E-D73BE54635CD}"/>
    <cellStyle name="Comma 3 2 2 2 7 3" xfId="27915" xr:uid="{587D50FA-CD44-48E5-8ABC-4070D3247A45}"/>
    <cellStyle name="Comma 3 2 2 2 8" xfId="14631" xr:uid="{5A96C174-47C7-4B1C-9012-17A18EFE8604}"/>
    <cellStyle name="Comma 3 2 2 2 9" xfId="25047" xr:uid="{F29F16ED-0CD2-42A5-8BA3-09F2DB036C4D}"/>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2 2 2" xfId="21004" xr:uid="{87E09D51-5042-402F-847F-97FD7A310911}"/>
    <cellStyle name="Comma 3 2 2 3 2 2 2 2 3" xfId="31420" xr:uid="{55BD1130-D565-4976-AF06-36CF74F78D60}"/>
    <cellStyle name="Comma 3 2 2 3 2 2 2 3" xfId="14644" xr:uid="{23C4C2BA-BA54-4F8C-9A4D-CACA039493D8}"/>
    <cellStyle name="Comma 3 2 2 3 2 2 2 4" xfId="25060" xr:uid="{3B704499-79C8-4594-BE85-9301DDEC3A94}"/>
    <cellStyle name="Comma 3 2 2 3 2 2 3" xfId="9457" xr:uid="{00000000-0005-0000-0000-000063160000}"/>
    <cellStyle name="Comma 3 2 2 3 2 2 3 2" xfId="21003" xr:uid="{499BFF89-9AB8-4528-A49A-ECB13B6725F1}"/>
    <cellStyle name="Comma 3 2 2 3 2 2 3 3" xfId="31419" xr:uid="{6F96ABBF-E180-48B8-85CD-5564AC1A16B8}"/>
    <cellStyle name="Comma 3 2 2 3 2 2 4" xfId="5920" xr:uid="{00000000-0005-0000-0000-000064160000}"/>
    <cellStyle name="Comma 3 2 2 3 2 2 4 2" xfId="17506" xr:uid="{3AFC5CCE-4D21-4B9F-B9A6-B3F06EAEA002}"/>
    <cellStyle name="Comma 3 2 2 3 2 2 4 3" xfId="27922" xr:uid="{7F28E27A-9875-4B44-9CBC-AF49386216C3}"/>
    <cellStyle name="Comma 3 2 2 3 2 2 5" xfId="14643" xr:uid="{2667CCE0-2D73-4D37-81C9-944CA33A77AA}"/>
    <cellStyle name="Comma 3 2 2 3 2 2 6" xfId="25059" xr:uid="{0B945168-EB12-4934-8F07-E3CED6FA8A70}"/>
    <cellStyle name="Comma 3 2 2 3 2 3" xfId="2310" xr:uid="{00000000-0005-0000-0000-000065160000}"/>
    <cellStyle name="Comma 3 2 2 3 2 3 2" xfId="9459" xr:uid="{00000000-0005-0000-0000-000066160000}"/>
    <cellStyle name="Comma 3 2 2 3 2 3 2 2" xfId="21005" xr:uid="{59B3FED6-F571-4FB7-B2E8-A8974B8FB1DA}"/>
    <cellStyle name="Comma 3 2 2 3 2 3 2 3" xfId="31421" xr:uid="{CB82D2CC-AF86-4816-B31C-DF8394ABB3A2}"/>
    <cellStyle name="Comma 3 2 2 3 2 3 3" xfId="14645" xr:uid="{E7158EAF-D5B4-40D7-8742-9BDADC7B79C2}"/>
    <cellStyle name="Comma 3 2 2 3 2 3 4" xfId="25061" xr:uid="{795C888D-D039-4212-8325-DC4D3360A8BA}"/>
    <cellStyle name="Comma 3 2 2 3 2 4" xfId="9456" xr:uid="{00000000-0005-0000-0000-000067160000}"/>
    <cellStyle name="Comma 3 2 2 3 2 4 2" xfId="21002" xr:uid="{45375353-302D-42D6-A82F-3A0B02957961}"/>
    <cellStyle name="Comma 3 2 2 3 2 4 3" xfId="31418" xr:uid="{02FFF02D-D987-4C0F-AB33-63038596FBCB}"/>
    <cellStyle name="Comma 3 2 2 3 2 5" xfId="5919" xr:uid="{00000000-0005-0000-0000-000068160000}"/>
    <cellStyle name="Comma 3 2 2 3 2 5 2" xfId="17505" xr:uid="{CB7AD1F9-276B-444A-B147-ECD63BA741F1}"/>
    <cellStyle name="Comma 3 2 2 3 2 5 3" xfId="27921" xr:uid="{DEFD0120-5F52-480D-BE5E-BC749E8F097F}"/>
    <cellStyle name="Comma 3 2 2 3 2 6" xfId="14642" xr:uid="{04A939ED-BE98-4A2E-B9E6-C9BA2465D162}"/>
    <cellStyle name="Comma 3 2 2 3 2 7" xfId="25058" xr:uid="{7F5F0A30-04FB-4129-A0AD-C877E5475DFC}"/>
    <cellStyle name="Comma 3 2 2 3 3" xfId="2311" xr:uid="{00000000-0005-0000-0000-000069160000}"/>
    <cellStyle name="Comma 3 2 2 3 3 2" xfId="2312" xr:uid="{00000000-0005-0000-0000-00006A160000}"/>
    <cellStyle name="Comma 3 2 2 3 3 2 2" xfId="9461" xr:uid="{00000000-0005-0000-0000-00006B160000}"/>
    <cellStyle name="Comma 3 2 2 3 3 2 2 2" xfId="21007" xr:uid="{18D2DD45-EF38-4DF2-9CF1-D91A41833583}"/>
    <cellStyle name="Comma 3 2 2 3 3 2 2 3" xfId="31423" xr:uid="{DCA75AC5-598B-4F76-9DA9-468DEF25D80A}"/>
    <cellStyle name="Comma 3 2 2 3 3 2 3" xfId="14647" xr:uid="{B9B72E17-0750-4FFA-B588-4D1424856C12}"/>
    <cellStyle name="Comma 3 2 2 3 3 2 4" xfId="25063" xr:uid="{B038AF44-6109-491F-81C7-F4760574D5F4}"/>
    <cellStyle name="Comma 3 2 2 3 3 3" xfId="9460" xr:uid="{00000000-0005-0000-0000-00006C160000}"/>
    <cellStyle name="Comma 3 2 2 3 3 3 2" xfId="21006" xr:uid="{994EF5E7-BD8D-4080-921B-359217FD46DD}"/>
    <cellStyle name="Comma 3 2 2 3 3 3 3" xfId="31422" xr:uid="{C1F21A80-C8CF-441F-9F37-B3DE0E3C5CF9}"/>
    <cellStyle name="Comma 3 2 2 3 3 4" xfId="5921" xr:uid="{00000000-0005-0000-0000-00006D160000}"/>
    <cellStyle name="Comma 3 2 2 3 3 4 2" xfId="17507" xr:uid="{20313733-0652-4E9E-84FA-5C0733D745CA}"/>
    <cellStyle name="Comma 3 2 2 3 3 4 3" xfId="27923" xr:uid="{C501607C-B970-4E75-9048-EFD177ACCA0D}"/>
    <cellStyle name="Comma 3 2 2 3 3 5" xfId="14646" xr:uid="{D5329B76-4051-423E-B172-26ACF92105B0}"/>
    <cellStyle name="Comma 3 2 2 3 3 6" xfId="25062" xr:uid="{F3BE6128-5588-47FE-9F71-A5EF0223EAF5}"/>
    <cellStyle name="Comma 3 2 2 3 4" xfId="2313" xr:uid="{00000000-0005-0000-0000-00006E160000}"/>
    <cellStyle name="Comma 3 2 2 3 4 2" xfId="2314" xr:uid="{00000000-0005-0000-0000-00006F160000}"/>
    <cellStyle name="Comma 3 2 2 3 4 2 2" xfId="9463" xr:uid="{00000000-0005-0000-0000-000070160000}"/>
    <cellStyle name="Comma 3 2 2 3 4 2 2 2" xfId="21009" xr:uid="{B824C512-5113-4123-A376-0AE502D8E8C0}"/>
    <cellStyle name="Comma 3 2 2 3 4 2 2 3" xfId="31425" xr:uid="{1314DCFD-1BA7-425A-84F9-23731E809444}"/>
    <cellStyle name="Comma 3 2 2 3 4 2 3" xfId="14649" xr:uid="{3899BE8E-F784-4194-BD48-8C99372A3419}"/>
    <cellStyle name="Comma 3 2 2 3 4 2 4" xfId="25065" xr:uid="{366242F1-C8E2-41B5-AD06-8AD9FF14DC6D}"/>
    <cellStyle name="Comma 3 2 2 3 4 3" xfId="9462" xr:uid="{00000000-0005-0000-0000-000071160000}"/>
    <cellStyle name="Comma 3 2 2 3 4 3 2" xfId="21008" xr:uid="{B6C38A7D-CE96-497F-8894-B5B34AA6F016}"/>
    <cellStyle name="Comma 3 2 2 3 4 3 3" xfId="31424" xr:uid="{D8D2B994-7172-463D-83BC-2AD3F94A3F81}"/>
    <cellStyle name="Comma 3 2 2 3 4 4" xfId="5922" xr:uid="{00000000-0005-0000-0000-000072160000}"/>
    <cellStyle name="Comma 3 2 2 3 4 4 2" xfId="17508" xr:uid="{54175C86-5FB6-4318-9AEA-4661964ECF47}"/>
    <cellStyle name="Comma 3 2 2 3 4 4 3" xfId="27924" xr:uid="{0FD831DD-1AD1-4A73-B02D-FFE8A526E8A7}"/>
    <cellStyle name="Comma 3 2 2 3 4 5" xfId="14648" xr:uid="{6B9305AD-D948-4B9C-9035-E140AF5EC934}"/>
    <cellStyle name="Comma 3 2 2 3 4 6" xfId="25064" xr:uid="{4F61B19B-C07A-4E50-B01C-1B57911A50D8}"/>
    <cellStyle name="Comma 3 2 2 3 5" xfId="2315" xr:uid="{00000000-0005-0000-0000-000073160000}"/>
    <cellStyle name="Comma 3 2 2 3 5 2" xfId="9464" xr:uid="{00000000-0005-0000-0000-000074160000}"/>
    <cellStyle name="Comma 3 2 2 3 5 2 2" xfId="21010" xr:uid="{6DAA1AB6-CC06-4D13-8FF9-B8EB68A31986}"/>
    <cellStyle name="Comma 3 2 2 3 5 2 3" xfId="31426" xr:uid="{E75623D5-92E7-4627-8A47-2E9F1BAD21F7}"/>
    <cellStyle name="Comma 3 2 2 3 5 3" xfId="14650" xr:uid="{2AD52CD7-8400-4B64-A468-60EBE69E97D3}"/>
    <cellStyle name="Comma 3 2 2 3 5 4" xfId="25066" xr:uid="{A890A5E5-D094-4026-B919-A85B6AEF02A4}"/>
    <cellStyle name="Comma 3 2 2 3 6" xfId="9455" xr:uid="{00000000-0005-0000-0000-000075160000}"/>
    <cellStyle name="Comma 3 2 2 3 6 2" xfId="21001" xr:uid="{A008D013-AA46-4828-B9DA-724AFF79E4C3}"/>
    <cellStyle name="Comma 3 2 2 3 6 3" xfId="31417" xr:uid="{379EAF0D-D945-4CF6-AB68-252B063FF2F0}"/>
    <cellStyle name="Comma 3 2 2 3 7" xfId="5918" xr:uid="{00000000-0005-0000-0000-000076160000}"/>
    <cellStyle name="Comma 3 2 2 3 7 2" xfId="17504" xr:uid="{BD12D047-5EC3-43F4-B824-4D23A74F768E}"/>
    <cellStyle name="Comma 3 2 2 3 7 3" xfId="27920" xr:uid="{7CB36184-49B3-4ADA-A66C-40DA7BC23CC2}"/>
    <cellStyle name="Comma 3 2 2 3 8" xfId="14641" xr:uid="{01DB3D8C-68E4-4A24-9791-95E187E216B4}"/>
    <cellStyle name="Comma 3 2 2 3 9" xfId="25057" xr:uid="{95E5D8F7-CD21-42C8-83E4-43A374381497}"/>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2 2 2" xfId="21014" xr:uid="{0469190E-DA71-483E-B139-D72558534856}"/>
    <cellStyle name="Comma 3 2 2 4 2 2 2 2 3" xfId="31430" xr:uid="{A42B2F8F-9D3C-492C-9E4F-603F2C001305}"/>
    <cellStyle name="Comma 3 2 2 4 2 2 2 3" xfId="14654" xr:uid="{22ABFB92-6301-4182-982D-BD08F40E13C6}"/>
    <cellStyle name="Comma 3 2 2 4 2 2 2 4" xfId="25070" xr:uid="{4273373A-A28E-4298-AD7D-8F125CF3CA7B}"/>
    <cellStyle name="Comma 3 2 2 4 2 2 3" xfId="9467" xr:uid="{00000000-0005-0000-0000-00007C160000}"/>
    <cellStyle name="Comma 3 2 2 4 2 2 3 2" xfId="21013" xr:uid="{B3DE0797-99A7-441C-8E0F-998B1D4D87EF}"/>
    <cellStyle name="Comma 3 2 2 4 2 2 3 3" xfId="31429" xr:uid="{CC6B3581-2C7F-4CF9-BF34-BF183560CD0D}"/>
    <cellStyle name="Comma 3 2 2 4 2 2 4" xfId="5925" xr:uid="{00000000-0005-0000-0000-00007D160000}"/>
    <cellStyle name="Comma 3 2 2 4 2 2 4 2" xfId="17511" xr:uid="{F33C0BCE-3DA9-4832-8971-628D31F276D8}"/>
    <cellStyle name="Comma 3 2 2 4 2 2 4 3" xfId="27927" xr:uid="{423DF3FD-594A-4777-A7EB-9B0F6D26A205}"/>
    <cellStyle name="Comma 3 2 2 4 2 2 5" xfId="14653" xr:uid="{89512A5A-6FA0-4AFC-912D-7EAC65BFDD87}"/>
    <cellStyle name="Comma 3 2 2 4 2 2 6" xfId="25069" xr:uid="{A3D99C89-D74A-4184-A4C0-407E2A170BD8}"/>
    <cellStyle name="Comma 3 2 2 4 2 3" xfId="2320" xr:uid="{00000000-0005-0000-0000-00007E160000}"/>
    <cellStyle name="Comma 3 2 2 4 2 3 2" xfId="9469" xr:uid="{00000000-0005-0000-0000-00007F160000}"/>
    <cellStyle name="Comma 3 2 2 4 2 3 2 2" xfId="21015" xr:uid="{F15836FE-CDA5-4A5E-A9DC-41C19889EEBA}"/>
    <cellStyle name="Comma 3 2 2 4 2 3 2 3" xfId="31431" xr:uid="{7D75D6B6-AC42-4013-987B-9B9E0A3EE68C}"/>
    <cellStyle name="Comma 3 2 2 4 2 3 3" xfId="14655" xr:uid="{11CD7AA5-D736-46C8-9EB9-CCD7FE697589}"/>
    <cellStyle name="Comma 3 2 2 4 2 3 4" xfId="25071" xr:uid="{1C05550C-97EA-4FD5-B097-F266081B1FFF}"/>
    <cellStyle name="Comma 3 2 2 4 2 4" xfId="9466" xr:uid="{00000000-0005-0000-0000-000080160000}"/>
    <cellStyle name="Comma 3 2 2 4 2 4 2" xfId="21012" xr:uid="{DDF9F778-17F8-4272-8CB0-4695C1CB901A}"/>
    <cellStyle name="Comma 3 2 2 4 2 4 3" xfId="31428" xr:uid="{53AF6A84-8EB7-435D-AA9E-A0430B5A84F1}"/>
    <cellStyle name="Comma 3 2 2 4 2 5" xfId="5924" xr:uid="{00000000-0005-0000-0000-000081160000}"/>
    <cellStyle name="Comma 3 2 2 4 2 5 2" xfId="17510" xr:uid="{C3ED5470-4E91-48C0-BCC0-25500C20F1B5}"/>
    <cellStyle name="Comma 3 2 2 4 2 5 3" xfId="27926" xr:uid="{49626D30-9106-4A8F-AB29-2A266A86BA70}"/>
    <cellStyle name="Comma 3 2 2 4 2 6" xfId="14652" xr:uid="{1779C12F-EF82-4B5C-B753-B1AD2906434B}"/>
    <cellStyle name="Comma 3 2 2 4 2 7" xfId="25068" xr:uid="{68DF9D96-C623-4C9B-BDB4-66C02882BF7B}"/>
    <cellStyle name="Comma 3 2 2 4 3" xfId="2321" xr:uid="{00000000-0005-0000-0000-000082160000}"/>
    <cellStyle name="Comma 3 2 2 4 3 2" xfId="2322" xr:uid="{00000000-0005-0000-0000-000083160000}"/>
    <cellStyle name="Comma 3 2 2 4 3 2 2" xfId="9471" xr:uid="{00000000-0005-0000-0000-000084160000}"/>
    <cellStyle name="Comma 3 2 2 4 3 2 2 2" xfId="21017" xr:uid="{1AB93553-96C5-4FFD-AB5C-0DA79E115551}"/>
    <cellStyle name="Comma 3 2 2 4 3 2 2 3" xfId="31433" xr:uid="{60B3937C-FCA4-496B-A77F-6F040A11AAA8}"/>
    <cellStyle name="Comma 3 2 2 4 3 2 3" xfId="14657" xr:uid="{D0855F9A-1DE6-4376-B65A-E8B522DC7F76}"/>
    <cellStyle name="Comma 3 2 2 4 3 2 4" xfId="25073" xr:uid="{0AAE2AC6-2D12-4E8F-BAD9-ED54C0BBB912}"/>
    <cellStyle name="Comma 3 2 2 4 3 3" xfId="9470" xr:uid="{00000000-0005-0000-0000-000085160000}"/>
    <cellStyle name="Comma 3 2 2 4 3 3 2" xfId="21016" xr:uid="{7FF038C1-0FB1-470D-9B0A-3DF4A3854225}"/>
    <cellStyle name="Comma 3 2 2 4 3 3 3" xfId="31432" xr:uid="{A7C685F5-4A00-4BBD-8F7F-A7B29B2DFF8A}"/>
    <cellStyle name="Comma 3 2 2 4 3 4" xfId="5926" xr:uid="{00000000-0005-0000-0000-000086160000}"/>
    <cellStyle name="Comma 3 2 2 4 3 4 2" xfId="17512" xr:uid="{3DB95472-D072-45A8-9092-D9FAB627A1DF}"/>
    <cellStyle name="Comma 3 2 2 4 3 4 3" xfId="27928" xr:uid="{3485F907-F05F-46EF-ADC0-94AA456FF613}"/>
    <cellStyle name="Comma 3 2 2 4 3 5" xfId="14656" xr:uid="{67032FEA-5256-42ED-92B2-346B0D5BA2DF}"/>
    <cellStyle name="Comma 3 2 2 4 3 6" xfId="25072" xr:uid="{BAA2FA10-2003-49EF-9505-D9D37CE10B37}"/>
    <cellStyle name="Comma 3 2 2 4 4" xfId="2323" xr:uid="{00000000-0005-0000-0000-000087160000}"/>
    <cellStyle name="Comma 3 2 2 4 4 2" xfId="2324" xr:uid="{00000000-0005-0000-0000-000088160000}"/>
    <cellStyle name="Comma 3 2 2 4 4 2 2" xfId="9473" xr:uid="{00000000-0005-0000-0000-000089160000}"/>
    <cellStyle name="Comma 3 2 2 4 4 2 2 2" xfId="21019" xr:uid="{B86A9EB3-69A3-42FB-9A3E-F2A3CFF9F464}"/>
    <cellStyle name="Comma 3 2 2 4 4 2 2 3" xfId="31435" xr:uid="{4FCAEAAB-6814-4D1E-99BB-EB2F018CF4D0}"/>
    <cellStyle name="Comma 3 2 2 4 4 2 3" xfId="14659" xr:uid="{DCD3A98F-16F6-4409-9480-1C030F8ADBBE}"/>
    <cellStyle name="Comma 3 2 2 4 4 2 4" xfId="25075" xr:uid="{CFC40879-8246-4237-9B82-53374C5CD4BC}"/>
    <cellStyle name="Comma 3 2 2 4 4 3" xfId="9472" xr:uid="{00000000-0005-0000-0000-00008A160000}"/>
    <cellStyle name="Comma 3 2 2 4 4 3 2" xfId="21018" xr:uid="{D29940CE-EE69-418B-AAD2-DECD17CBE618}"/>
    <cellStyle name="Comma 3 2 2 4 4 3 3" xfId="31434" xr:uid="{6B1F2BC7-1118-4BD2-8C85-0D00E1E61E47}"/>
    <cellStyle name="Comma 3 2 2 4 4 4" xfId="5927" xr:uid="{00000000-0005-0000-0000-00008B160000}"/>
    <cellStyle name="Comma 3 2 2 4 4 4 2" xfId="17513" xr:uid="{54CCC563-9010-4D46-B799-546953C31AFB}"/>
    <cellStyle name="Comma 3 2 2 4 4 4 3" xfId="27929" xr:uid="{AAF34432-8A58-44C9-8989-5CC472C63FCD}"/>
    <cellStyle name="Comma 3 2 2 4 4 5" xfId="14658" xr:uid="{AA70764D-C3FE-40C0-9135-1CA50D3F7E98}"/>
    <cellStyle name="Comma 3 2 2 4 4 6" xfId="25074" xr:uid="{C424F53A-2DED-4E41-BC71-C17B394207AA}"/>
    <cellStyle name="Comma 3 2 2 4 5" xfId="2325" xr:uid="{00000000-0005-0000-0000-00008C160000}"/>
    <cellStyle name="Comma 3 2 2 4 5 2" xfId="9474" xr:uid="{00000000-0005-0000-0000-00008D160000}"/>
    <cellStyle name="Comma 3 2 2 4 5 2 2" xfId="21020" xr:uid="{6C0D1982-2B8C-480C-88DB-E674F1D745C2}"/>
    <cellStyle name="Comma 3 2 2 4 5 2 3" xfId="31436" xr:uid="{5ED12D96-A949-48AD-848A-53D5AD568618}"/>
    <cellStyle name="Comma 3 2 2 4 5 3" xfId="14660" xr:uid="{B2C9084B-3F11-42F9-AAB4-7B18C0514C7B}"/>
    <cellStyle name="Comma 3 2 2 4 5 4" xfId="25076" xr:uid="{B26C36E9-E30B-4EFB-A65E-BA94E9768C33}"/>
    <cellStyle name="Comma 3 2 2 4 6" xfId="9465" xr:uid="{00000000-0005-0000-0000-00008E160000}"/>
    <cellStyle name="Comma 3 2 2 4 6 2" xfId="21011" xr:uid="{8541BF81-511B-4D77-9639-5FB0CC8C8F81}"/>
    <cellStyle name="Comma 3 2 2 4 6 3" xfId="31427" xr:uid="{D27BCCF0-1B9E-4075-A353-9DB8ABCCF86D}"/>
    <cellStyle name="Comma 3 2 2 4 7" xfId="5923" xr:uid="{00000000-0005-0000-0000-00008F160000}"/>
    <cellStyle name="Comma 3 2 2 4 7 2" xfId="17509" xr:uid="{AC4DAEF0-9083-4D51-A1AF-799D04934161}"/>
    <cellStyle name="Comma 3 2 2 4 7 3" xfId="27925" xr:uid="{327B6B13-4C8A-4CA2-946D-15DE8D312749}"/>
    <cellStyle name="Comma 3 2 2 4 8" xfId="14651" xr:uid="{B7DAE072-3313-4358-8BB7-B2E0B4E2CF44}"/>
    <cellStyle name="Comma 3 2 2 4 9" xfId="25067" xr:uid="{1BE07345-FFE7-4395-BBD5-1CE9781F536B}"/>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2 2 2" xfId="21024" xr:uid="{E5DE0975-A895-4885-8CD1-C7BB93B73BDB}"/>
    <cellStyle name="Comma 3 2 2 5 2 2 2 2 3" xfId="31440" xr:uid="{83073917-4FE2-4724-B534-2696E848A0C7}"/>
    <cellStyle name="Comma 3 2 2 5 2 2 2 3" xfId="14664" xr:uid="{77DDD4FE-9828-4F63-984C-327A2883A68A}"/>
    <cellStyle name="Comma 3 2 2 5 2 2 2 4" xfId="25080" xr:uid="{9CCFA923-B7E9-42B7-AF63-0E1A688EAAFA}"/>
    <cellStyle name="Comma 3 2 2 5 2 2 3" xfId="9477" xr:uid="{00000000-0005-0000-0000-000095160000}"/>
    <cellStyle name="Comma 3 2 2 5 2 2 3 2" xfId="21023" xr:uid="{86582B1B-81E3-4507-85D1-EFC3F8552144}"/>
    <cellStyle name="Comma 3 2 2 5 2 2 3 3" xfId="31439" xr:uid="{CAA18043-4DE9-4BC4-BDA0-4A6319087EB5}"/>
    <cellStyle name="Comma 3 2 2 5 2 2 4" xfId="5930" xr:uid="{00000000-0005-0000-0000-000096160000}"/>
    <cellStyle name="Comma 3 2 2 5 2 2 4 2" xfId="17516" xr:uid="{83907B69-ECD1-4CC5-BC3D-5A6EFBB6B284}"/>
    <cellStyle name="Comma 3 2 2 5 2 2 4 3" xfId="27932" xr:uid="{B8114F96-7992-41D0-92CD-525BC5A876F2}"/>
    <cellStyle name="Comma 3 2 2 5 2 2 5" xfId="14663" xr:uid="{C976FFAF-3BE7-4B67-A284-7B67D3AB5EA0}"/>
    <cellStyle name="Comma 3 2 2 5 2 2 6" xfId="25079" xr:uid="{1490B0E4-CA17-4D58-9F8F-F3CB1D98ECF7}"/>
    <cellStyle name="Comma 3 2 2 5 2 3" xfId="2330" xr:uid="{00000000-0005-0000-0000-000097160000}"/>
    <cellStyle name="Comma 3 2 2 5 2 3 2" xfId="9479" xr:uid="{00000000-0005-0000-0000-000098160000}"/>
    <cellStyle name="Comma 3 2 2 5 2 3 2 2" xfId="21025" xr:uid="{B3A26BD8-F057-4919-AFC6-DF5385D7B0EC}"/>
    <cellStyle name="Comma 3 2 2 5 2 3 2 3" xfId="31441" xr:uid="{95E4BA13-85E7-4DDC-862F-FB1C375572F3}"/>
    <cellStyle name="Comma 3 2 2 5 2 3 3" xfId="14665" xr:uid="{1E6C1D53-8291-4A55-BCFC-01C079A3A4B5}"/>
    <cellStyle name="Comma 3 2 2 5 2 3 4" xfId="25081" xr:uid="{D4509B49-DD90-422D-9B28-A3DB3DB4CDEE}"/>
    <cellStyle name="Comma 3 2 2 5 2 4" xfId="9476" xr:uid="{00000000-0005-0000-0000-000099160000}"/>
    <cellStyle name="Comma 3 2 2 5 2 4 2" xfId="21022" xr:uid="{DB152119-56FC-40D8-8107-70D2B69DCA51}"/>
    <cellStyle name="Comma 3 2 2 5 2 4 3" xfId="31438" xr:uid="{B52FAED0-793E-4C85-9C3A-05989366380A}"/>
    <cellStyle name="Comma 3 2 2 5 2 5" xfId="5929" xr:uid="{00000000-0005-0000-0000-00009A160000}"/>
    <cellStyle name="Comma 3 2 2 5 2 5 2" xfId="17515" xr:uid="{5E1AD893-F4E1-4024-9736-FFD2341D21CA}"/>
    <cellStyle name="Comma 3 2 2 5 2 5 3" xfId="27931" xr:uid="{22FFF278-9C11-4B6C-BC00-A48CD3C54B33}"/>
    <cellStyle name="Comma 3 2 2 5 2 6" xfId="14662" xr:uid="{E6EBF532-E120-452C-A7CB-67DD022E1D23}"/>
    <cellStyle name="Comma 3 2 2 5 2 7" xfId="25078" xr:uid="{AB393A8D-EFC9-465B-8B3A-05BE31F56766}"/>
    <cellStyle name="Comma 3 2 2 5 3" xfId="2331" xr:uid="{00000000-0005-0000-0000-00009B160000}"/>
    <cellStyle name="Comma 3 2 2 5 3 2" xfId="2332" xr:uid="{00000000-0005-0000-0000-00009C160000}"/>
    <cellStyle name="Comma 3 2 2 5 3 2 2" xfId="9481" xr:uid="{00000000-0005-0000-0000-00009D160000}"/>
    <cellStyle name="Comma 3 2 2 5 3 2 2 2" xfId="21027" xr:uid="{FD445FC8-9B9E-489A-976F-568F2040C7D2}"/>
    <cellStyle name="Comma 3 2 2 5 3 2 2 3" xfId="31443" xr:uid="{E1B68B68-2972-4A08-B0E9-33B218FC5056}"/>
    <cellStyle name="Comma 3 2 2 5 3 2 3" xfId="14667" xr:uid="{88C4050C-A48E-4954-9485-CCBB0664F531}"/>
    <cellStyle name="Comma 3 2 2 5 3 2 4" xfId="25083" xr:uid="{E4377518-2430-43DE-88DF-E06C1588F3C3}"/>
    <cellStyle name="Comma 3 2 2 5 3 3" xfId="9480" xr:uid="{00000000-0005-0000-0000-00009E160000}"/>
    <cellStyle name="Comma 3 2 2 5 3 3 2" xfId="21026" xr:uid="{CDD26BA9-8E19-4D2F-BB3A-E03020E022AF}"/>
    <cellStyle name="Comma 3 2 2 5 3 3 3" xfId="31442" xr:uid="{F260BC4B-9539-4B6D-8CAF-A27F9C7101F6}"/>
    <cellStyle name="Comma 3 2 2 5 3 4" xfId="5931" xr:uid="{00000000-0005-0000-0000-00009F160000}"/>
    <cellStyle name="Comma 3 2 2 5 3 4 2" xfId="17517" xr:uid="{4668527D-4150-46A3-B1EF-AE5A98D80D36}"/>
    <cellStyle name="Comma 3 2 2 5 3 4 3" xfId="27933" xr:uid="{403796FD-0713-4A20-AD54-208FF1634071}"/>
    <cellStyle name="Comma 3 2 2 5 3 5" xfId="14666" xr:uid="{7E59CAFC-EBAD-4252-898C-C7AE51F0966C}"/>
    <cellStyle name="Comma 3 2 2 5 3 6" xfId="25082" xr:uid="{B43AFE95-3E15-4D14-887B-C71D6299D3C2}"/>
    <cellStyle name="Comma 3 2 2 5 4" xfId="2333" xr:uid="{00000000-0005-0000-0000-0000A0160000}"/>
    <cellStyle name="Comma 3 2 2 5 4 2" xfId="2334" xr:uid="{00000000-0005-0000-0000-0000A1160000}"/>
    <cellStyle name="Comma 3 2 2 5 4 2 2" xfId="9483" xr:uid="{00000000-0005-0000-0000-0000A2160000}"/>
    <cellStyle name="Comma 3 2 2 5 4 2 2 2" xfId="21029" xr:uid="{E1B5D6C8-7B7B-4216-A48C-49E6EE3F1F93}"/>
    <cellStyle name="Comma 3 2 2 5 4 2 2 3" xfId="31445" xr:uid="{EC9CD088-553C-4680-98FE-68F7BFA46EFB}"/>
    <cellStyle name="Comma 3 2 2 5 4 2 3" xfId="14669" xr:uid="{26023B95-B419-4D7F-BDE7-12A6E0531991}"/>
    <cellStyle name="Comma 3 2 2 5 4 2 4" xfId="25085" xr:uid="{F32A6647-E9A5-4266-A483-FCCF8B62C06D}"/>
    <cellStyle name="Comma 3 2 2 5 4 3" xfId="9482" xr:uid="{00000000-0005-0000-0000-0000A3160000}"/>
    <cellStyle name="Comma 3 2 2 5 4 3 2" xfId="21028" xr:uid="{E86CCB3A-00AD-4EDA-9DC1-B77DC12353AB}"/>
    <cellStyle name="Comma 3 2 2 5 4 3 3" xfId="31444" xr:uid="{8E517A5D-1F58-4FF7-AECE-AFED78C847D1}"/>
    <cellStyle name="Comma 3 2 2 5 4 4" xfId="5932" xr:uid="{00000000-0005-0000-0000-0000A4160000}"/>
    <cellStyle name="Comma 3 2 2 5 4 4 2" xfId="17518" xr:uid="{B57AFCE1-C61C-4E84-A0EE-F036B860C025}"/>
    <cellStyle name="Comma 3 2 2 5 4 4 3" xfId="27934" xr:uid="{74BFE31C-01F9-4547-AFAD-3C656907E906}"/>
    <cellStyle name="Comma 3 2 2 5 4 5" xfId="14668" xr:uid="{780A4A41-4EF9-4BAE-9D82-D1BAEC8B325A}"/>
    <cellStyle name="Comma 3 2 2 5 4 6" xfId="25084" xr:uid="{99D316BB-5420-4BF3-9E5A-6B50A3F44D4B}"/>
    <cellStyle name="Comma 3 2 2 5 5" xfId="2335" xr:uid="{00000000-0005-0000-0000-0000A5160000}"/>
    <cellStyle name="Comma 3 2 2 5 5 2" xfId="9484" xr:uid="{00000000-0005-0000-0000-0000A6160000}"/>
    <cellStyle name="Comma 3 2 2 5 5 2 2" xfId="21030" xr:uid="{8D3651D1-D610-4E26-B3B4-3076C26C4B40}"/>
    <cellStyle name="Comma 3 2 2 5 5 2 3" xfId="31446" xr:uid="{4FE41EAA-56BC-4718-AC1D-FB44F4DC4E8E}"/>
    <cellStyle name="Comma 3 2 2 5 5 3" xfId="14670" xr:uid="{FBA6A72B-1BC9-4798-99B1-0FAAE1F3F06D}"/>
    <cellStyle name="Comma 3 2 2 5 5 4" xfId="25086" xr:uid="{B53C1C33-2AC2-4695-86E9-844EDA89EF88}"/>
    <cellStyle name="Comma 3 2 2 5 6" xfId="9475" xr:uid="{00000000-0005-0000-0000-0000A7160000}"/>
    <cellStyle name="Comma 3 2 2 5 6 2" xfId="21021" xr:uid="{045C530A-49E7-46B3-93BD-F12D78D0FF31}"/>
    <cellStyle name="Comma 3 2 2 5 6 3" xfId="31437" xr:uid="{690C8E2A-F519-4224-9DC2-7639E9DA7AD0}"/>
    <cellStyle name="Comma 3 2 2 5 7" xfId="5928" xr:uid="{00000000-0005-0000-0000-0000A8160000}"/>
    <cellStyle name="Comma 3 2 2 5 7 2" xfId="17514" xr:uid="{B9652C23-4175-40D1-968C-AE1D30D92F76}"/>
    <cellStyle name="Comma 3 2 2 5 7 3" xfId="27930" xr:uid="{D916A1CE-BE09-4439-8DF3-C57EE84C5060}"/>
    <cellStyle name="Comma 3 2 2 5 8" xfId="14661" xr:uid="{8EC1FC17-DA1F-4F77-AD45-7F20F1106AF5}"/>
    <cellStyle name="Comma 3 2 2 5 9" xfId="25077" xr:uid="{2F25062F-D3FC-4C05-BB2A-679EB0C9CF64}"/>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2 2 2" xfId="21033" xr:uid="{ECC213EB-2BE0-48CC-A3F1-563F2E3FC524}"/>
    <cellStyle name="Comma 3 2 2 6 2 2 2 3" xfId="31449" xr:uid="{99AD02D1-2A98-48E3-AA77-66269C79013C}"/>
    <cellStyle name="Comma 3 2 2 6 2 2 3" xfId="14673" xr:uid="{EE0CDECA-C977-4AF6-9FB9-A0705780D602}"/>
    <cellStyle name="Comma 3 2 2 6 2 2 4" xfId="25089" xr:uid="{27184F08-A4D5-4C0C-AC50-EB5383114464}"/>
    <cellStyle name="Comma 3 2 2 6 2 3" xfId="9486" xr:uid="{00000000-0005-0000-0000-0000AD160000}"/>
    <cellStyle name="Comma 3 2 2 6 2 3 2" xfId="21032" xr:uid="{D24DBCAF-475F-4317-9750-0DA7ED8012BA}"/>
    <cellStyle name="Comma 3 2 2 6 2 3 3" xfId="31448" xr:uid="{7F5C1B38-4A73-4855-BE5A-1911C0CF7F4A}"/>
    <cellStyle name="Comma 3 2 2 6 2 4" xfId="5934" xr:uid="{00000000-0005-0000-0000-0000AE160000}"/>
    <cellStyle name="Comma 3 2 2 6 2 4 2" xfId="17520" xr:uid="{2FDF3C98-82D3-4633-9959-059764E87EC4}"/>
    <cellStyle name="Comma 3 2 2 6 2 4 3" xfId="27936" xr:uid="{A04B2ABE-4BAC-4073-B887-25E6E9869319}"/>
    <cellStyle name="Comma 3 2 2 6 2 5" xfId="14672" xr:uid="{A8046A2D-0102-4D00-AD0C-F7CE889F6CC9}"/>
    <cellStyle name="Comma 3 2 2 6 2 6" xfId="25088" xr:uid="{4CE026F7-1AC6-4568-84F7-047A892D12E8}"/>
    <cellStyle name="Comma 3 2 2 6 3" xfId="2339" xr:uid="{00000000-0005-0000-0000-0000AF160000}"/>
    <cellStyle name="Comma 3 2 2 6 3 2" xfId="2340" xr:uid="{00000000-0005-0000-0000-0000B0160000}"/>
    <cellStyle name="Comma 3 2 2 6 3 2 2" xfId="9489" xr:uid="{00000000-0005-0000-0000-0000B1160000}"/>
    <cellStyle name="Comma 3 2 2 6 3 2 2 2" xfId="21035" xr:uid="{EE3CA449-4EAF-4502-AD8F-F18E1E9C5414}"/>
    <cellStyle name="Comma 3 2 2 6 3 2 2 3" xfId="31451" xr:uid="{E123B09B-B799-44F9-B8CA-10BD1055C626}"/>
    <cellStyle name="Comma 3 2 2 6 3 2 3" xfId="14675" xr:uid="{9E90328B-0B86-48FE-97D1-9068A4CD8E75}"/>
    <cellStyle name="Comma 3 2 2 6 3 2 4" xfId="25091" xr:uid="{DC7EBC93-0BFF-48FE-BF62-156C71E21D96}"/>
    <cellStyle name="Comma 3 2 2 6 3 3" xfId="9488" xr:uid="{00000000-0005-0000-0000-0000B2160000}"/>
    <cellStyle name="Comma 3 2 2 6 3 3 2" xfId="21034" xr:uid="{54419BAE-E7C5-4059-8374-1F52912641DE}"/>
    <cellStyle name="Comma 3 2 2 6 3 3 3" xfId="31450" xr:uid="{F23BABE9-B253-415E-B003-4B41AB024380}"/>
    <cellStyle name="Comma 3 2 2 6 3 4" xfId="5935" xr:uid="{00000000-0005-0000-0000-0000B3160000}"/>
    <cellStyle name="Comma 3 2 2 6 3 4 2" xfId="17521" xr:uid="{E2032FBC-D15A-47D6-A316-06923ACAEB8A}"/>
    <cellStyle name="Comma 3 2 2 6 3 4 3" xfId="27937" xr:uid="{857F6997-B198-4ACA-8727-337237C0C473}"/>
    <cellStyle name="Comma 3 2 2 6 3 5" xfId="14674" xr:uid="{615DA7CA-3166-4B70-898E-4A692FACFA3D}"/>
    <cellStyle name="Comma 3 2 2 6 3 6" xfId="25090" xr:uid="{1725D794-FE3A-41B9-A316-4F355FDF456A}"/>
    <cellStyle name="Comma 3 2 2 6 4" xfId="2341" xr:uid="{00000000-0005-0000-0000-0000B4160000}"/>
    <cellStyle name="Comma 3 2 2 6 4 2" xfId="9490" xr:uid="{00000000-0005-0000-0000-0000B5160000}"/>
    <cellStyle name="Comma 3 2 2 6 4 2 2" xfId="21036" xr:uid="{7F97448B-8496-4A26-A896-74F31393E1C2}"/>
    <cellStyle name="Comma 3 2 2 6 4 2 3" xfId="31452" xr:uid="{66FD0C43-BC72-489D-9D8B-FF1FA8ADAB67}"/>
    <cellStyle name="Comma 3 2 2 6 4 3" xfId="14676" xr:uid="{AC0A9229-73AC-4C91-B660-F4A8195ACB38}"/>
    <cellStyle name="Comma 3 2 2 6 4 4" xfId="25092" xr:uid="{838BB414-40FE-499A-BCF2-5911AAA5CC0A}"/>
    <cellStyle name="Comma 3 2 2 6 5" xfId="9485" xr:uid="{00000000-0005-0000-0000-0000B6160000}"/>
    <cellStyle name="Comma 3 2 2 6 5 2" xfId="21031" xr:uid="{5DD7A390-8F83-4FEE-B096-8415E50327D3}"/>
    <cellStyle name="Comma 3 2 2 6 5 3" xfId="31447" xr:uid="{3D863CD1-6EE1-4269-BDAD-E4AE6F74D03A}"/>
    <cellStyle name="Comma 3 2 2 6 6" xfId="5933" xr:uid="{00000000-0005-0000-0000-0000B7160000}"/>
    <cellStyle name="Comma 3 2 2 6 6 2" xfId="17519" xr:uid="{5C8F57BA-92C1-4893-8B38-3F994870AE03}"/>
    <cellStyle name="Comma 3 2 2 6 6 3" xfId="27935" xr:uid="{31153218-3696-4D49-80E6-09B1B67ED8FF}"/>
    <cellStyle name="Comma 3 2 2 6 7" xfId="14671" xr:uid="{BDC67024-C088-4790-9C2A-BE6647093D10}"/>
    <cellStyle name="Comma 3 2 2 6 8" xfId="25087" xr:uid="{8F3E3B07-1F23-4D4E-ACB9-33937B4B2769}"/>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2 2 2" xfId="21039" xr:uid="{AF795B76-EF2A-40FB-BE48-5439E8658F02}"/>
    <cellStyle name="Comma 3 2 2 7 2 2 2 3" xfId="31455" xr:uid="{BFE00299-FE1C-4DD6-ADC6-B600E1A4DB85}"/>
    <cellStyle name="Comma 3 2 2 7 2 2 3" xfId="14679" xr:uid="{1F9E17D6-B212-4249-A045-5D223A20E2F1}"/>
    <cellStyle name="Comma 3 2 2 7 2 2 4" xfId="25095" xr:uid="{8EA70512-9053-4A52-A4C3-0B1116D4128D}"/>
    <cellStyle name="Comma 3 2 2 7 2 3" xfId="9492" xr:uid="{00000000-0005-0000-0000-0000BC160000}"/>
    <cellStyle name="Comma 3 2 2 7 2 3 2" xfId="21038" xr:uid="{9DBFBFCE-B6DE-4DBF-8307-AD81DE02C39F}"/>
    <cellStyle name="Comma 3 2 2 7 2 3 3" xfId="31454" xr:uid="{9BC4DDD9-6113-4631-9694-479B42A1EB8F}"/>
    <cellStyle name="Comma 3 2 2 7 2 4" xfId="5937" xr:uid="{00000000-0005-0000-0000-0000BD160000}"/>
    <cellStyle name="Comma 3 2 2 7 2 4 2" xfId="17523" xr:uid="{2A886F0E-9E9D-4CA4-830A-133A773D09FE}"/>
    <cellStyle name="Comma 3 2 2 7 2 4 3" xfId="27939" xr:uid="{ED30DED1-26E1-42ED-AAFB-7F09C2775D7B}"/>
    <cellStyle name="Comma 3 2 2 7 2 5" xfId="14678" xr:uid="{EA478DB5-788C-4F81-BB6D-22D5F41F3F82}"/>
    <cellStyle name="Comma 3 2 2 7 2 6" xfId="25094" xr:uid="{127408A1-24F2-406A-BB39-46A909FC6469}"/>
    <cellStyle name="Comma 3 2 2 7 3" xfId="2345" xr:uid="{00000000-0005-0000-0000-0000BE160000}"/>
    <cellStyle name="Comma 3 2 2 7 3 2" xfId="9494" xr:uid="{00000000-0005-0000-0000-0000BF160000}"/>
    <cellStyle name="Comma 3 2 2 7 3 2 2" xfId="21040" xr:uid="{48A562A1-D560-407B-BEE8-C3B3EB329F0A}"/>
    <cellStyle name="Comma 3 2 2 7 3 2 3" xfId="31456" xr:uid="{03C9C04E-E878-483E-BB4F-FAB1F8177303}"/>
    <cellStyle name="Comma 3 2 2 7 3 3" xfId="14680" xr:uid="{24258F03-8092-48DB-9B53-A033B1A9FA32}"/>
    <cellStyle name="Comma 3 2 2 7 3 4" xfId="25096" xr:uid="{6B5BA944-C669-42B1-933B-76893A138440}"/>
    <cellStyle name="Comma 3 2 2 7 4" xfId="9491" xr:uid="{00000000-0005-0000-0000-0000C0160000}"/>
    <cellStyle name="Comma 3 2 2 7 4 2" xfId="21037" xr:uid="{22D62F35-99CD-4FC2-997D-E4064E865F1C}"/>
    <cellStyle name="Comma 3 2 2 7 4 3" xfId="31453" xr:uid="{76236ED2-DF2D-46B5-8263-61C42CF3E539}"/>
    <cellStyle name="Comma 3 2 2 7 5" xfId="5936" xr:uid="{00000000-0005-0000-0000-0000C1160000}"/>
    <cellStyle name="Comma 3 2 2 7 5 2" xfId="17522" xr:uid="{865689AA-5FDA-4081-A319-67FA8383CBDD}"/>
    <cellStyle name="Comma 3 2 2 7 5 3" xfId="27938" xr:uid="{BB631332-82BC-4D4B-823E-086594C3180E}"/>
    <cellStyle name="Comma 3 2 2 7 6" xfId="14677" xr:uid="{3EAF005C-1F78-4494-9F5B-5BFDE36B8FCC}"/>
    <cellStyle name="Comma 3 2 2 7 7" xfId="25093" xr:uid="{2490C794-1A3F-4208-90F5-23524DC39FC7}"/>
    <cellStyle name="Comma 3 2 2 8" xfId="2346" xr:uid="{00000000-0005-0000-0000-0000C2160000}"/>
    <cellStyle name="Comma 3 2 2 8 2" xfId="2347" xr:uid="{00000000-0005-0000-0000-0000C3160000}"/>
    <cellStyle name="Comma 3 2 2 8 2 2" xfId="9496" xr:uid="{00000000-0005-0000-0000-0000C4160000}"/>
    <cellStyle name="Comma 3 2 2 8 2 2 2" xfId="21042" xr:uid="{351F73D4-3660-44AB-B5CB-D2F0AB91DB46}"/>
    <cellStyle name="Comma 3 2 2 8 2 2 3" xfId="31458" xr:uid="{79E157D4-E0E1-4786-B3A2-47564DD2D82E}"/>
    <cellStyle name="Comma 3 2 2 8 2 3" xfId="14682" xr:uid="{0747FB42-1151-45B1-8193-1A51E65C8452}"/>
    <cellStyle name="Comma 3 2 2 8 2 4" xfId="25098" xr:uid="{FD3B3DF8-122E-4482-BA79-1A68D6B5D083}"/>
    <cellStyle name="Comma 3 2 2 8 3" xfId="9495" xr:uid="{00000000-0005-0000-0000-0000C5160000}"/>
    <cellStyle name="Comma 3 2 2 8 3 2" xfId="21041" xr:uid="{FA6C3904-15D2-409F-B18E-7BBEB65F43C1}"/>
    <cellStyle name="Comma 3 2 2 8 3 3" xfId="31457" xr:uid="{5FE854A4-8432-49B1-BA88-6FE97DC3D4AA}"/>
    <cellStyle name="Comma 3 2 2 8 4" xfId="5938" xr:uid="{00000000-0005-0000-0000-0000C6160000}"/>
    <cellStyle name="Comma 3 2 2 8 4 2" xfId="17524" xr:uid="{C0D7BBE6-A9BB-4EC6-9887-3146D0CA591C}"/>
    <cellStyle name="Comma 3 2 2 8 4 3" xfId="27940" xr:uid="{61A0153D-E37A-4EDD-87FF-4E664AD6D24D}"/>
    <cellStyle name="Comma 3 2 2 8 5" xfId="14681" xr:uid="{E26A3A9B-F740-4C2C-BED2-F9C42AE7400C}"/>
    <cellStyle name="Comma 3 2 2 8 6" xfId="25097" xr:uid="{EFE5374F-F7A9-4457-AFCA-ED75618D7F72}"/>
    <cellStyle name="Comma 3 2 2 9" xfId="2348" xr:uid="{00000000-0005-0000-0000-0000C7160000}"/>
    <cellStyle name="Comma 3 2 2 9 2" xfId="2349" xr:uid="{00000000-0005-0000-0000-0000C8160000}"/>
    <cellStyle name="Comma 3 2 2 9 2 2" xfId="9498" xr:uid="{00000000-0005-0000-0000-0000C9160000}"/>
    <cellStyle name="Comma 3 2 2 9 2 2 2" xfId="21044" xr:uid="{70450794-B9D3-4D7E-B2C5-2C5F1F769D7E}"/>
    <cellStyle name="Comma 3 2 2 9 2 2 3" xfId="31460" xr:uid="{7C05E7C8-EBF2-4743-A4DC-C09B34D1F929}"/>
    <cellStyle name="Comma 3 2 2 9 2 3" xfId="14684" xr:uid="{29BD2051-E8EC-40EF-B2EA-FBA516F48CB0}"/>
    <cellStyle name="Comma 3 2 2 9 2 4" xfId="25100" xr:uid="{F9FA010B-7BA9-40F1-B353-C27D497CFE37}"/>
    <cellStyle name="Comma 3 2 2 9 3" xfId="9497" xr:uid="{00000000-0005-0000-0000-0000CA160000}"/>
    <cellStyle name="Comma 3 2 2 9 3 2" xfId="21043" xr:uid="{01AC845F-AF6D-4475-AC4D-3BEF2D06D7BD}"/>
    <cellStyle name="Comma 3 2 2 9 3 3" xfId="31459" xr:uid="{A1D5C07D-1757-4D5C-809B-D6687C048104}"/>
    <cellStyle name="Comma 3 2 2 9 4" xfId="5939" xr:uid="{00000000-0005-0000-0000-0000CB160000}"/>
    <cellStyle name="Comma 3 2 2 9 4 2" xfId="17525" xr:uid="{78F79717-9C27-4BF2-888F-FAE1C45FED93}"/>
    <cellStyle name="Comma 3 2 2 9 4 3" xfId="27941" xr:uid="{BE3397F5-485E-4F75-9BC1-96263493321D}"/>
    <cellStyle name="Comma 3 2 2 9 5" xfId="14683" xr:uid="{CB0749DA-ED69-4C75-8E86-73FD43C2DFA7}"/>
    <cellStyle name="Comma 3 2 2 9 6" xfId="25099" xr:uid="{59D3E794-45D7-460C-BB03-D6D68F18373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2 2 2" xfId="21048" xr:uid="{E72003B8-BA32-485F-8B4C-2445615F1B1A}"/>
    <cellStyle name="Comma 3 2 3 2 2 2 2 3" xfId="31464" xr:uid="{526D3FAA-6E04-49BF-B98B-5BF1B4C2624B}"/>
    <cellStyle name="Comma 3 2 3 2 2 2 3" xfId="14688" xr:uid="{E269491A-565E-4BA0-A674-8E91CD7B9E42}"/>
    <cellStyle name="Comma 3 2 3 2 2 2 4" xfId="25104" xr:uid="{35090979-2B89-421F-9805-1C5A7190FDEC}"/>
    <cellStyle name="Comma 3 2 3 2 2 3" xfId="9501" xr:uid="{00000000-0005-0000-0000-0000D1160000}"/>
    <cellStyle name="Comma 3 2 3 2 2 3 2" xfId="21047" xr:uid="{E0685AFC-FDF6-418A-BCC1-236E4CD4346A}"/>
    <cellStyle name="Comma 3 2 3 2 2 3 3" xfId="31463" xr:uid="{B947AD81-18FD-4F8B-9218-B73CB3BFE5F3}"/>
    <cellStyle name="Comma 3 2 3 2 2 4" xfId="5942" xr:uid="{00000000-0005-0000-0000-0000D2160000}"/>
    <cellStyle name="Comma 3 2 3 2 2 4 2" xfId="17528" xr:uid="{F619FFA6-70E6-40A5-A433-BD5B7AC8F6B4}"/>
    <cellStyle name="Comma 3 2 3 2 2 4 3" xfId="27944" xr:uid="{4471BBB3-8815-45EA-A0BE-508A2D584CB2}"/>
    <cellStyle name="Comma 3 2 3 2 2 5" xfId="14687" xr:uid="{D99B0ED9-EDB2-4C7C-923C-D4115BFC8920}"/>
    <cellStyle name="Comma 3 2 3 2 2 6" xfId="25103" xr:uid="{55FA093C-7117-4039-BF0D-8AFB80028F56}"/>
    <cellStyle name="Comma 3 2 3 2 3" xfId="2354" xr:uid="{00000000-0005-0000-0000-0000D3160000}"/>
    <cellStyle name="Comma 3 2 3 2 3 2" xfId="9503" xr:uid="{00000000-0005-0000-0000-0000D4160000}"/>
    <cellStyle name="Comma 3 2 3 2 3 2 2" xfId="21049" xr:uid="{D70FF150-8C06-4D42-8CD8-B826BF281A6A}"/>
    <cellStyle name="Comma 3 2 3 2 3 2 3" xfId="31465" xr:uid="{D5F50209-4EC2-4E0A-A15F-B191E77F4C00}"/>
    <cellStyle name="Comma 3 2 3 2 3 3" xfId="14689" xr:uid="{2E517DA9-F2A0-49EF-B174-559487C613C7}"/>
    <cellStyle name="Comma 3 2 3 2 3 4" xfId="25105" xr:uid="{CC62F691-D105-4905-9326-7523CA00071E}"/>
    <cellStyle name="Comma 3 2 3 2 4" xfId="9500" xr:uid="{00000000-0005-0000-0000-0000D5160000}"/>
    <cellStyle name="Comma 3 2 3 2 4 2" xfId="21046" xr:uid="{5FF1F2EC-D526-4264-80BB-FDD15B1E1317}"/>
    <cellStyle name="Comma 3 2 3 2 4 3" xfId="31462" xr:uid="{6800B83E-29E9-470F-82E7-D915B5E1DCC8}"/>
    <cellStyle name="Comma 3 2 3 2 5" xfId="5941" xr:uid="{00000000-0005-0000-0000-0000D6160000}"/>
    <cellStyle name="Comma 3 2 3 2 5 2" xfId="17527" xr:uid="{496441A3-DC97-450F-8A99-F5C85DFB0AB1}"/>
    <cellStyle name="Comma 3 2 3 2 5 3" xfId="27943" xr:uid="{3A909BF8-6157-44F3-9834-72055F5AAA62}"/>
    <cellStyle name="Comma 3 2 3 2 6" xfId="14686" xr:uid="{494296BA-A972-413C-AE5F-120A6CAC4944}"/>
    <cellStyle name="Comma 3 2 3 2 7" xfId="25102" xr:uid="{7C5D0244-25C1-4BE0-931B-850A35FD4BB6}"/>
    <cellStyle name="Comma 3 2 3 3" xfId="2355" xr:uid="{00000000-0005-0000-0000-0000D7160000}"/>
    <cellStyle name="Comma 3 2 3 3 2" xfId="2356" xr:uid="{00000000-0005-0000-0000-0000D8160000}"/>
    <cellStyle name="Comma 3 2 3 3 2 2" xfId="9505" xr:uid="{00000000-0005-0000-0000-0000D9160000}"/>
    <cellStyle name="Comma 3 2 3 3 2 2 2" xfId="21051" xr:uid="{9770B787-1D43-4473-B9B0-B03C0D7A0146}"/>
    <cellStyle name="Comma 3 2 3 3 2 2 3" xfId="31467" xr:uid="{90395556-BD17-454D-A082-DC145E80870E}"/>
    <cellStyle name="Comma 3 2 3 3 2 3" xfId="14691" xr:uid="{70C8BA28-CE44-4FD7-9121-76794D975A8C}"/>
    <cellStyle name="Comma 3 2 3 3 2 4" xfId="25107" xr:uid="{3EFC8B95-36A2-4751-BC05-A74C2135A5E4}"/>
    <cellStyle name="Comma 3 2 3 3 3" xfId="9504" xr:uid="{00000000-0005-0000-0000-0000DA160000}"/>
    <cellStyle name="Comma 3 2 3 3 3 2" xfId="21050" xr:uid="{F5F2FF3A-0FA9-4982-A38B-62795F14873F}"/>
    <cellStyle name="Comma 3 2 3 3 3 3" xfId="31466" xr:uid="{E73D1B8B-A02F-4C32-A5A8-9DE707523FBA}"/>
    <cellStyle name="Comma 3 2 3 3 4" xfId="5943" xr:uid="{00000000-0005-0000-0000-0000DB160000}"/>
    <cellStyle name="Comma 3 2 3 3 4 2" xfId="17529" xr:uid="{F2D96212-45A4-4E35-97D3-5C50DFAA9D27}"/>
    <cellStyle name="Comma 3 2 3 3 4 3" xfId="27945" xr:uid="{1369D1DF-7C16-4E8D-B69C-83C29F84CA4E}"/>
    <cellStyle name="Comma 3 2 3 3 5" xfId="14690" xr:uid="{A30AB3AA-C54C-44EE-BE42-C31682777684}"/>
    <cellStyle name="Comma 3 2 3 3 6" xfId="25106" xr:uid="{3827A828-1E5F-45E1-8687-B16CD91A7940}"/>
    <cellStyle name="Comma 3 2 3 4" xfId="2357" xr:uid="{00000000-0005-0000-0000-0000DC160000}"/>
    <cellStyle name="Comma 3 2 3 4 2" xfId="2358" xr:uid="{00000000-0005-0000-0000-0000DD160000}"/>
    <cellStyle name="Comma 3 2 3 4 2 2" xfId="9507" xr:uid="{00000000-0005-0000-0000-0000DE160000}"/>
    <cellStyle name="Comma 3 2 3 4 2 2 2" xfId="21053" xr:uid="{FDA89271-67B8-4DD3-93DC-82F4423F43E9}"/>
    <cellStyle name="Comma 3 2 3 4 2 2 3" xfId="31469" xr:uid="{ED9134F0-8202-4AF1-93DC-D74A50906EF1}"/>
    <cellStyle name="Comma 3 2 3 4 2 3" xfId="14693" xr:uid="{39413E20-4594-4C95-920E-29D6DA2F6D15}"/>
    <cellStyle name="Comma 3 2 3 4 2 4" xfId="25109" xr:uid="{59BFFDDD-50D6-4036-AF40-F63887DEFB2F}"/>
    <cellStyle name="Comma 3 2 3 4 3" xfId="9506" xr:uid="{00000000-0005-0000-0000-0000DF160000}"/>
    <cellStyle name="Comma 3 2 3 4 3 2" xfId="21052" xr:uid="{DF73B90D-0385-4404-9B06-32F8AC11061E}"/>
    <cellStyle name="Comma 3 2 3 4 3 3" xfId="31468" xr:uid="{0AC4CA25-1AF3-434B-A6CF-04CE68F858C2}"/>
    <cellStyle name="Comma 3 2 3 4 4" xfId="5944" xr:uid="{00000000-0005-0000-0000-0000E0160000}"/>
    <cellStyle name="Comma 3 2 3 4 4 2" xfId="17530" xr:uid="{593DEEF2-F627-4169-8DB0-4BAFCA41F2E5}"/>
    <cellStyle name="Comma 3 2 3 4 4 3" xfId="27946" xr:uid="{8127D251-0B52-4D8E-A9E5-5D472BBEE76B}"/>
    <cellStyle name="Comma 3 2 3 4 5" xfId="14692" xr:uid="{7251B667-FE07-4C61-A0F2-5CF9BBCD19D5}"/>
    <cellStyle name="Comma 3 2 3 4 6" xfId="25108" xr:uid="{3C009B8B-4D4E-4C0C-9A73-91E1764DD9F2}"/>
    <cellStyle name="Comma 3 2 3 5" xfId="2359" xr:uid="{00000000-0005-0000-0000-0000E1160000}"/>
    <cellStyle name="Comma 3 2 3 5 2" xfId="9508" xr:uid="{00000000-0005-0000-0000-0000E2160000}"/>
    <cellStyle name="Comma 3 2 3 5 2 2" xfId="21054" xr:uid="{E9D8E4FF-E476-4C88-AC9A-146B7D30EFD5}"/>
    <cellStyle name="Comma 3 2 3 5 2 3" xfId="31470" xr:uid="{76411E68-A7FD-4914-9F6A-C95F9A0B729D}"/>
    <cellStyle name="Comma 3 2 3 5 3" xfId="14694" xr:uid="{41CBFFC6-9BC1-4292-B4A9-D42224B62002}"/>
    <cellStyle name="Comma 3 2 3 5 4" xfId="25110" xr:uid="{0A110208-F82B-4FD7-8789-7CB009759E92}"/>
    <cellStyle name="Comma 3 2 3 6" xfId="9499" xr:uid="{00000000-0005-0000-0000-0000E3160000}"/>
    <cellStyle name="Comma 3 2 3 6 2" xfId="21045" xr:uid="{079B626F-EDE9-4CFE-A960-7A9AD3BF4045}"/>
    <cellStyle name="Comma 3 2 3 6 3" xfId="31461" xr:uid="{B89F6726-8538-4AFC-920C-4D8BB1877D5D}"/>
    <cellStyle name="Comma 3 2 3 7" xfId="5940" xr:uid="{00000000-0005-0000-0000-0000E4160000}"/>
    <cellStyle name="Comma 3 2 3 7 2" xfId="17526" xr:uid="{C3756B41-E709-4596-AE4F-58688C72C507}"/>
    <cellStyle name="Comma 3 2 3 7 3" xfId="27942" xr:uid="{2FE1A631-D1E6-4999-B7F5-1B2BA5BEB8BE}"/>
    <cellStyle name="Comma 3 2 3 8" xfId="14685" xr:uid="{101349EA-2896-43D4-B09B-E1DC78594130}"/>
    <cellStyle name="Comma 3 2 3 9" xfId="25101" xr:uid="{6E480092-3FA9-498E-9A40-EC61A4C016A6}"/>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2 2 2" xfId="21058" xr:uid="{925226AD-FC69-443E-8C79-EA06BEA2E7FA}"/>
    <cellStyle name="Comma 3 2 4 2 2 2 2 3" xfId="31474" xr:uid="{77613EF0-F741-4773-BDA2-697639F739D1}"/>
    <cellStyle name="Comma 3 2 4 2 2 2 3" xfId="14698" xr:uid="{8E8B9B44-770C-46CD-9136-A73C595D3881}"/>
    <cellStyle name="Comma 3 2 4 2 2 2 4" xfId="25114" xr:uid="{2A06BD99-26FE-46FE-80F8-009FE3C0F96D}"/>
    <cellStyle name="Comma 3 2 4 2 2 3" xfId="9511" xr:uid="{00000000-0005-0000-0000-0000EA160000}"/>
    <cellStyle name="Comma 3 2 4 2 2 3 2" xfId="21057" xr:uid="{9FDC2F55-229C-4B9D-9335-B64BC9B3B485}"/>
    <cellStyle name="Comma 3 2 4 2 2 3 3" xfId="31473" xr:uid="{CE6C5393-6194-4632-B0F5-4D391E7B194E}"/>
    <cellStyle name="Comma 3 2 4 2 2 4" xfId="5947" xr:uid="{00000000-0005-0000-0000-0000EB160000}"/>
    <cellStyle name="Comma 3 2 4 2 2 4 2" xfId="17533" xr:uid="{1BCC2668-B4F7-4C9C-A80F-6075702DD851}"/>
    <cellStyle name="Comma 3 2 4 2 2 4 3" xfId="27949" xr:uid="{C1CB652C-302F-4C61-BFDF-CC940584D54D}"/>
    <cellStyle name="Comma 3 2 4 2 2 5" xfId="14697" xr:uid="{7D583428-BC08-45ED-81F6-85DF733F75F1}"/>
    <cellStyle name="Comma 3 2 4 2 2 6" xfId="25113" xr:uid="{A564C652-536C-46C3-B452-3431AD9934DD}"/>
    <cellStyle name="Comma 3 2 4 2 3" xfId="2364" xr:uid="{00000000-0005-0000-0000-0000EC160000}"/>
    <cellStyle name="Comma 3 2 4 2 3 2" xfId="9513" xr:uid="{00000000-0005-0000-0000-0000ED160000}"/>
    <cellStyle name="Comma 3 2 4 2 3 2 2" xfId="21059" xr:uid="{D6EB8729-0722-4277-A7A0-A7FFC9FC4D84}"/>
    <cellStyle name="Comma 3 2 4 2 3 2 3" xfId="31475" xr:uid="{498DBE80-9EE2-450D-8373-ED5B2DE3DC77}"/>
    <cellStyle name="Comma 3 2 4 2 3 3" xfId="14699" xr:uid="{E2834E0E-B124-49DF-958D-F59A2AFEA47A}"/>
    <cellStyle name="Comma 3 2 4 2 3 4" xfId="25115" xr:uid="{69493CF9-9FCF-4D56-A427-D1DF63C1036A}"/>
    <cellStyle name="Comma 3 2 4 2 4" xfId="9510" xr:uid="{00000000-0005-0000-0000-0000EE160000}"/>
    <cellStyle name="Comma 3 2 4 2 4 2" xfId="21056" xr:uid="{CB8F473B-A822-4112-B0D6-36BD4C10E8E4}"/>
    <cellStyle name="Comma 3 2 4 2 4 3" xfId="31472" xr:uid="{E7E19D9D-A711-4B41-89A6-5833448A8FB2}"/>
    <cellStyle name="Comma 3 2 4 2 5" xfId="5946" xr:uid="{00000000-0005-0000-0000-0000EF160000}"/>
    <cellStyle name="Comma 3 2 4 2 5 2" xfId="17532" xr:uid="{2C65C4C5-1D4E-4417-8C35-99A1FD2F0593}"/>
    <cellStyle name="Comma 3 2 4 2 5 3" xfId="27948" xr:uid="{335A175B-08AF-4B1F-BA3A-B1E253C7C613}"/>
    <cellStyle name="Comma 3 2 4 2 6" xfId="14696" xr:uid="{981740B8-C78B-4B36-BCE9-FEE704D83944}"/>
    <cellStyle name="Comma 3 2 4 2 7" xfId="25112" xr:uid="{C0AEE42E-3ADE-4F9B-88AE-8E45B5DC5AF0}"/>
    <cellStyle name="Comma 3 2 4 3" xfId="2365" xr:uid="{00000000-0005-0000-0000-0000F0160000}"/>
    <cellStyle name="Comma 3 2 4 3 2" xfId="2366" xr:uid="{00000000-0005-0000-0000-0000F1160000}"/>
    <cellStyle name="Comma 3 2 4 3 2 2" xfId="9515" xr:uid="{00000000-0005-0000-0000-0000F2160000}"/>
    <cellStyle name="Comma 3 2 4 3 2 2 2" xfId="21061" xr:uid="{A9C16048-CC1D-466C-A6D4-AF462562651A}"/>
    <cellStyle name="Comma 3 2 4 3 2 2 3" xfId="31477" xr:uid="{7CE38B00-F905-474F-AFD0-2FF9381CC36B}"/>
    <cellStyle name="Comma 3 2 4 3 2 3" xfId="14701" xr:uid="{72B111A1-7DF1-4D3A-9B8E-3DE8CCBB0A57}"/>
    <cellStyle name="Comma 3 2 4 3 2 4" xfId="25117" xr:uid="{8271FE80-96A8-4354-90B0-F45C3FE57C7D}"/>
    <cellStyle name="Comma 3 2 4 3 3" xfId="9514" xr:uid="{00000000-0005-0000-0000-0000F3160000}"/>
    <cellStyle name="Comma 3 2 4 3 3 2" xfId="21060" xr:uid="{C74EA849-A801-4968-ACE2-C7D831C11174}"/>
    <cellStyle name="Comma 3 2 4 3 3 3" xfId="31476" xr:uid="{36DC62E9-C23A-4C15-B9CD-9B6735DB1610}"/>
    <cellStyle name="Comma 3 2 4 3 4" xfId="5948" xr:uid="{00000000-0005-0000-0000-0000F4160000}"/>
    <cellStyle name="Comma 3 2 4 3 4 2" xfId="17534" xr:uid="{FE02D5D5-3385-4F9F-A9E6-BD72EA3C879B}"/>
    <cellStyle name="Comma 3 2 4 3 4 3" xfId="27950" xr:uid="{A98FB122-97E8-4AA7-86E2-1F616A86351F}"/>
    <cellStyle name="Comma 3 2 4 3 5" xfId="14700" xr:uid="{445B6531-7C12-49E3-9ACB-D5FA93FECDFC}"/>
    <cellStyle name="Comma 3 2 4 3 6" xfId="25116" xr:uid="{C4AED053-4E4C-4C74-9526-A70540806FCE}"/>
    <cellStyle name="Comma 3 2 4 4" xfId="2367" xr:uid="{00000000-0005-0000-0000-0000F5160000}"/>
    <cellStyle name="Comma 3 2 4 4 2" xfId="2368" xr:uid="{00000000-0005-0000-0000-0000F6160000}"/>
    <cellStyle name="Comma 3 2 4 4 2 2" xfId="9517" xr:uid="{00000000-0005-0000-0000-0000F7160000}"/>
    <cellStyle name="Comma 3 2 4 4 2 2 2" xfId="21063" xr:uid="{C30DA29A-5A9C-4052-90D7-74BBDE940B80}"/>
    <cellStyle name="Comma 3 2 4 4 2 2 3" xfId="31479" xr:uid="{86C02200-CD5C-469E-B428-2658005E63A1}"/>
    <cellStyle name="Comma 3 2 4 4 2 3" xfId="14703" xr:uid="{6C58FCF1-ACBE-43C0-A57A-26B356FE2F2A}"/>
    <cellStyle name="Comma 3 2 4 4 2 4" xfId="25119" xr:uid="{6676BB2D-3042-42C7-A4BB-DA147C0F27F2}"/>
    <cellStyle name="Comma 3 2 4 4 3" xfId="9516" xr:uid="{00000000-0005-0000-0000-0000F8160000}"/>
    <cellStyle name="Comma 3 2 4 4 3 2" xfId="21062" xr:uid="{7BEBCB5D-922B-466B-AE02-8F0A9DA90150}"/>
    <cellStyle name="Comma 3 2 4 4 3 3" xfId="31478" xr:uid="{C57DC324-1272-4463-8257-EC187C2EE30B}"/>
    <cellStyle name="Comma 3 2 4 4 4" xfId="5949" xr:uid="{00000000-0005-0000-0000-0000F9160000}"/>
    <cellStyle name="Comma 3 2 4 4 4 2" xfId="17535" xr:uid="{72361584-DFA7-4B2C-8EF4-D36ACC747562}"/>
    <cellStyle name="Comma 3 2 4 4 4 3" xfId="27951" xr:uid="{BB2ABE1E-C927-418F-8006-6C226F789ADF}"/>
    <cellStyle name="Comma 3 2 4 4 5" xfId="14702" xr:uid="{D353F71B-CA9B-4A89-A371-8611440E9D74}"/>
    <cellStyle name="Comma 3 2 4 4 6" xfId="25118" xr:uid="{036D6A02-E87C-4F4E-974C-65FE65B70A2A}"/>
    <cellStyle name="Comma 3 2 4 5" xfId="2369" xr:uid="{00000000-0005-0000-0000-0000FA160000}"/>
    <cellStyle name="Comma 3 2 4 5 2" xfId="9518" xr:uid="{00000000-0005-0000-0000-0000FB160000}"/>
    <cellStyle name="Comma 3 2 4 5 2 2" xfId="21064" xr:uid="{6BD00222-0266-4284-AC05-DF537863B685}"/>
    <cellStyle name="Comma 3 2 4 5 2 3" xfId="31480" xr:uid="{607B964D-CC1B-4587-A1C8-F9611F2787F7}"/>
    <cellStyle name="Comma 3 2 4 5 3" xfId="14704" xr:uid="{1F434E78-6D22-4BDA-811E-605E345D55E0}"/>
    <cellStyle name="Comma 3 2 4 5 4" xfId="25120" xr:uid="{0DE9EAD1-3264-40CF-BD21-2E705EFD927A}"/>
    <cellStyle name="Comma 3 2 4 6" xfId="9509" xr:uid="{00000000-0005-0000-0000-0000FC160000}"/>
    <cellStyle name="Comma 3 2 4 6 2" xfId="21055" xr:uid="{D7125531-A950-4CCF-85DE-63F60356AD9E}"/>
    <cellStyle name="Comma 3 2 4 6 3" xfId="31471" xr:uid="{BD55FEF1-F9A5-4D5F-8C81-5CC58C714ECA}"/>
    <cellStyle name="Comma 3 2 4 7" xfId="5945" xr:uid="{00000000-0005-0000-0000-0000FD160000}"/>
    <cellStyle name="Comma 3 2 4 7 2" xfId="17531" xr:uid="{C1BD317C-D58E-4931-A66A-763D96BEFDFD}"/>
    <cellStyle name="Comma 3 2 4 7 3" xfId="27947" xr:uid="{9506757E-816E-42D6-B2A2-2D44BF3875E2}"/>
    <cellStyle name="Comma 3 2 4 8" xfId="14695" xr:uid="{3A19DF79-163C-4021-9B79-50FDD70A232E}"/>
    <cellStyle name="Comma 3 2 4 9" xfId="25111" xr:uid="{82C63269-64E9-491F-8CE3-F5082E4A2479}"/>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2 2 2" xfId="21068" xr:uid="{3D6DCC35-AE64-41FF-8DCF-D3F77AED4E90}"/>
    <cellStyle name="Comma 3 2 5 2 2 2 2 3" xfId="31484" xr:uid="{FCB6056B-259C-4454-A918-9D0511DEC918}"/>
    <cellStyle name="Comma 3 2 5 2 2 2 3" xfId="14708" xr:uid="{A3173FDB-5B74-4905-AB6F-09597A5DB20D}"/>
    <cellStyle name="Comma 3 2 5 2 2 2 4" xfId="25124" xr:uid="{16A8A22C-F930-4B07-9533-8488CAABCFC5}"/>
    <cellStyle name="Comma 3 2 5 2 2 3" xfId="9521" xr:uid="{00000000-0005-0000-0000-000003170000}"/>
    <cellStyle name="Comma 3 2 5 2 2 3 2" xfId="21067" xr:uid="{E28B04FF-F206-4A00-996A-4B072B99E96D}"/>
    <cellStyle name="Comma 3 2 5 2 2 3 3" xfId="31483" xr:uid="{44174081-94E6-4D13-8BCB-8BE789685478}"/>
    <cellStyle name="Comma 3 2 5 2 2 4" xfId="5952" xr:uid="{00000000-0005-0000-0000-000004170000}"/>
    <cellStyle name="Comma 3 2 5 2 2 4 2" xfId="17538" xr:uid="{C0234EDD-F9EC-4201-82A4-900100AAC3E2}"/>
    <cellStyle name="Comma 3 2 5 2 2 4 3" xfId="27954" xr:uid="{34A1922E-5188-48AA-92D4-423639E50C48}"/>
    <cellStyle name="Comma 3 2 5 2 2 5" xfId="14707" xr:uid="{5437BDF7-E70E-47A5-8EE1-576673B46E58}"/>
    <cellStyle name="Comma 3 2 5 2 2 6" xfId="25123" xr:uid="{88E331E1-63AA-4DD0-973E-49999910CA92}"/>
    <cellStyle name="Comma 3 2 5 2 3" xfId="2374" xr:uid="{00000000-0005-0000-0000-000005170000}"/>
    <cellStyle name="Comma 3 2 5 2 3 2" xfId="9523" xr:uid="{00000000-0005-0000-0000-000006170000}"/>
    <cellStyle name="Comma 3 2 5 2 3 2 2" xfId="21069" xr:uid="{313C4DCC-8637-45F9-8629-24F3E5B47DBF}"/>
    <cellStyle name="Comma 3 2 5 2 3 2 3" xfId="31485" xr:uid="{B2A76DED-A10D-4CC4-B34E-E2DFAA4F52AB}"/>
    <cellStyle name="Comma 3 2 5 2 3 3" xfId="14709" xr:uid="{EE96A3C5-EF89-4B44-AC05-F27893C1D4B2}"/>
    <cellStyle name="Comma 3 2 5 2 3 4" xfId="25125" xr:uid="{F1C93D48-B8D9-4585-8BCE-361106B39384}"/>
    <cellStyle name="Comma 3 2 5 2 4" xfId="9520" xr:uid="{00000000-0005-0000-0000-000007170000}"/>
    <cellStyle name="Comma 3 2 5 2 4 2" xfId="21066" xr:uid="{3FE8C683-7324-4ECF-BB31-25BF874D82E7}"/>
    <cellStyle name="Comma 3 2 5 2 4 3" xfId="31482" xr:uid="{C8373892-75FB-4B7E-AA17-DC3218190FF3}"/>
    <cellStyle name="Comma 3 2 5 2 5" xfId="5951" xr:uid="{00000000-0005-0000-0000-000008170000}"/>
    <cellStyle name="Comma 3 2 5 2 5 2" xfId="17537" xr:uid="{5225D7E1-D308-4001-B7C9-65B3AB748A7B}"/>
    <cellStyle name="Comma 3 2 5 2 5 3" xfId="27953" xr:uid="{BDC54727-82E6-4F6A-870D-F2BDED800694}"/>
    <cellStyle name="Comma 3 2 5 2 6" xfId="14706" xr:uid="{A1663898-2DCB-41D3-A800-9CAAC0D326B0}"/>
    <cellStyle name="Comma 3 2 5 2 7" xfId="25122" xr:uid="{E0F244C5-6340-4BA0-B239-137B5D3EDBDF}"/>
    <cellStyle name="Comma 3 2 5 3" xfId="2375" xr:uid="{00000000-0005-0000-0000-000009170000}"/>
    <cellStyle name="Comma 3 2 5 3 2" xfId="2376" xr:uid="{00000000-0005-0000-0000-00000A170000}"/>
    <cellStyle name="Comma 3 2 5 3 2 2" xfId="9525" xr:uid="{00000000-0005-0000-0000-00000B170000}"/>
    <cellStyle name="Comma 3 2 5 3 2 2 2" xfId="21071" xr:uid="{9A93E18E-A2DF-4EED-8A96-35C281FBF543}"/>
    <cellStyle name="Comma 3 2 5 3 2 2 3" xfId="31487" xr:uid="{640E0CFC-C43C-43E8-8468-9AB0CD107F3B}"/>
    <cellStyle name="Comma 3 2 5 3 2 3" xfId="14711" xr:uid="{9A7B5CF0-3CF3-4B3D-8537-56314BA64A4F}"/>
    <cellStyle name="Comma 3 2 5 3 2 4" xfId="25127" xr:uid="{ED7D6BBE-73D0-4739-B9B1-FA1DFC4414FD}"/>
    <cellStyle name="Comma 3 2 5 3 3" xfId="9524" xr:uid="{00000000-0005-0000-0000-00000C170000}"/>
    <cellStyle name="Comma 3 2 5 3 3 2" xfId="21070" xr:uid="{DDC2669C-B8DE-4F7E-BC71-0669C4C70AAE}"/>
    <cellStyle name="Comma 3 2 5 3 3 3" xfId="31486" xr:uid="{02B5BDA0-8C0A-4E4C-8D41-A1F57E369738}"/>
    <cellStyle name="Comma 3 2 5 3 4" xfId="5953" xr:uid="{00000000-0005-0000-0000-00000D170000}"/>
    <cellStyle name="Comma 3 2 5 3 4 2" xfId="17539" xr:uid="{A4119CD5-97EF-4CC4-AA6D-8D5F163777CE}"/>
    <cellStyle name="Comma 3 2 5 3 4 3" xfId="27955" xr:uid="{22E8E1A5-4661-4F95-8577-2CC7C00C8B6A}"/>
    <cellStyle name="Comma 3 2 5 3 5" xfId="14710" xr:uid="{FC8DDBF6-794E-45BE-A3C9-EE8FAFFB6698}"/>
    <cellStyle name="Comma 3 2 5 3 6" xfId="25126" xr:uid="{E51346FC-B14C-4CC8-B7A8-BA7CCEAC15D6}"/>
    <cellStyle name="Comma 3 2 5 4" xfId="2377" xr:uid="{00000000-0005-0000-0000-00000E170000}"/>
    <cellStyle name="Comma 3 2 5 4 2" xfId="2378" xr:uid="{00000000-0005-0000-0000-00000F170000}"/>
    <cellStyle name="Comma 3 2 5 4 2 2" xfId="9527" xr:uid="{00000000-0005-0000-0000-000010170000}"/>
    <cellStyle name="Comma 3 2 5 4 2 2 2" xfId="21073" xr:uid="{8AAC3C36-D913-43D1-882D-8DD2C3416885}"/>
    <cellStyle name="Comma 3 2 5 4 2 2 3" xfId="31489" xr:uid="{563D16BF-67F2-4404-A63D-FCAA2B07D284}"/>
    <cellStyle name="Comma 3 2 5 4 2 3" xfId="14713" xr:uid="{199FD303-18F5-4AE5-94E4-2B8E609B2787}"/>
    <cellStyle name="Comma 3 2 5 4 2 4" xfId="25129" xr:uid="{21879925-ED28-463D-9D42-35DAE9995470}"/>
    <cellStyle name="Comma 3 2 5 4 3" xfId="9526" xr:uid="{00000000-0005-0000-0000-000011170000}"/>
    <cellStyle name="Comma 3 2 5 4 3 2" xfId="21072" xr:uid="{9E67BA7E-3435-4DF4-8B2B-F3991BB24523}"/>
    <cellStyle name="Comma 3 2 5 4 3 3" xfId="31488" xr:uid="{68DC4503-3A6D-41CB-A491-1553489B8753}"/>
    <cellStyle name="Comma 3 2 5 4 4" xfId="5954" xr:uid="{00000000-0005-0000-0000-000012170000}"/>
    <cellStyle name="Comma 3 2 5 4 4 2" xfId="17540" xr:uid="{3DF40EDF-6A49-44FE-8872-917477D8B644}"/>
    <cellStyle name="Comma 3 2 5 4 4 3" xfId="27956" xr:uid="{4B3FEE95-FF58-4CDC-8061-F1D6C028FC38}"/>
    <cellStyle name="Comma 3 2 5 4 5" xfId="14712" xr:uid="{2CED489A-DB00-40A7-8B78-AA1FA091344E}"/>
    <cellStyle name="Comma 3 2 5 4 6" xfId="25128" xr:uid="{B7B82FDF-DA76-4F0D-A36D-3F6F04214ADC}"/>
    <cellStyle name="Comma 3 2 5 5" xfId="2379" xr:uid="{00000000-0005-0000-0000-000013170000}"/>
    <cellStyle name="Comma 3 2 5 5 2" xfId="9528" xr:uid="{00000000-0005-0000-0000-000014170000}"/>
    <cellStyle name="Comma 3 2 5 5 2 2" xfId="21074" xr:uid="{3769A04E-9559-4EFA-9FDD-D043A923EE94}"/>
    <cellStyle name="Comma 3 2 5 5 2 3" xfId="31490" xr:uid="{16A17EB1-3542-44E4-B123-67A4E7A6CF21}"/>
    <cellStyle name="Comma 3 2 5 5 3" xfId="14714" xr:uid="{A6E31EBD-7268-4A6E-8514-FDA6426F6D48}"/>
    <cellStyle name="Comma 3 2 5 5 4" xfId="25130" xr:uid="{B1959485-078E-4A65-B761-A9FA24C4253B}"/>
    <cellStyle name="Comma 3 2 5 6" xfId="9519" xr:uid="{00000000-0005-0000-0000-000015170000}"/>
    <cellStyle name="Comma 3 2 5 6 2" xfId="21065" xr:uid="{ADFD543B-38F8-42A5-ABD2-58F01A1D1537}"/>
    <cellStyle name="Comma 3 2 5 6 3" xfId="31481" xr:uid="{68B02671-D160-439D-9FAD-484BF9C87D6B}"/>
    <cellStyle name="Comma 3 2 5 7" xfId="5950" xr:uid="{00000000-0005-0000-0000-000016170000}"/>
    <cellStyle name="Comma 3 2 5 7 2" xfId="17536" xr:uid="{B079F050-5876-4DF5-AF3A-24E00CB0B965}"/>
    <cellStyle name="Comma 3 2 5 7 3" xfId="27952" xr:uid="{A786212D-94CC-4E0B-AE85-C1F7105D71B5}"/>
    <cellStyle name="Comma 3 2 5 8" xfId="14705" xr:uid="{C6DA96FF-BFEA-48D5-A13E-04E6FDEE7332}"/>
    <cellStyle name="Comma 3 2 5 9" xfId="25121" xr:uid="{DAB0EC0D-3EC7-4A31-828A-1989F2763638}"/>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2 2 2" xfId="21078" xr:uid="{72359054-90D2-4342-8481-5442C065D06B}"/>
    <cellStyle name="Comma 3 2 6 2 2 2 2 3" xfId="31494" xr:uid="{D4E2C9B0-0B76-4CC6-9AC5-7B1E166F3639}"/>
    <cellStyle name="Comma 3 2 6 2 2 2 3" xfId="14718" xr:uid="{169CABF1-1756-4248-8C86-46741E7FFFAA}"/>
    <cellStyle name="Comma 3 2 6 2 2 2 4" xfId="25134" xr:uid="{12FC2A40-2ED3-4C4E-838B-AA74778BDB59}"/>
    <cellStyle name="Comma 3 2 6 2 2 3" xfId="9531" xr:uid="{00000000-0005-0000-0000-00001C170000}"/>
    <cellStyle name="Comma 3 2 6 2 2 3 2" xfId="21077" xr:uid="{553D715D-E4D7-473B-A878-099F7E129B08}"/>
    <cellStyle name="Comma 3 2 6 2 2 3 3" xfId="31493" xr:uid="{EEE70B59-3901-4436-AAF2-98BF862BFAC1}"/>
    <cellStyle name="Comma 3 2 6 2 2 4" xfId="5957" xr:uid="{00000000-0005-0000-0000-00001D170000}"/>
    <cellStyle name="Comma 3 2 6 2 2 4 2" xfId="17543" xr:uid="{C257D78D-00E9-401D-A40A-45CA270B5AFC}"/>
    <cellStyle name="Comma 3 2 6 2 2 4 3" xfId="27959" xr:uid="{21181E69-4F81-4CFF-9B1E-C712536240E8}"/>
    <cellStyle name="Comma 3 2 6 2 2 5" xfId="14717" xr:uid="{57452E7D-4010-4E88-860F-A83DDA27E9CC}"/>
    <cellStyle name="Comma 3 2 6 2 2 6" xfId="25133" xr:uid="{2936AD74-A41F-45BF-805F-EB864DD823CE}"/>
    <cellStyle name="Comma 3 2 6 2 3" xfId="2384" xr:uid="{00000000-0005-0000-0000-00001E170000}"/>
    <cellStyle name="Comma 3 2 6 2 3 2" xfId="9533" xr:uid="{00000000-0005-0000-0000-00001F170000}"/>
    <cellStyle name="Comma 3 2 6 2 3 2 2" xfId="21079" xr:uid="{AC9A2545-B618-42D8-B265-7F0A979697CA}"/>
    <cellStyle name="Comma 3 2 6 2 3 2 3" xfId="31495" xr:uid="{D8D64690-0E04-48D3-A6CF-F48C93B10CB8}"/>
    <cellStyle name="Comma 3 2 6 2 3 3" xfId="14719" xr:uid="{B524A42D-8B00-4E37-B152-6160BC396A3C}"/>
    <cellStyle name="Comma 3 2 6 2 3 4" xfId="25135" xr:uid="{681036C8-5EC8-4FF6-A653-886F4EE326E9}"/>
    <cellStyle name="Comma 3 2 6 2 4" xfId="9530" xr:uid="{00000000-0005-0000-0000-000020170000}"/>
    <cellStyle name="Comma 3 2 6 2 4 2" xfId="21076" xr:uid="{89109B4F-E95E-49F8-BC15-DFBA31ECC923}"/>
    <cellStyle name="Comma 3 2 6 2 4 3" xfId="31492" xr:uid="{E2427BBB-3B89-4DAD-8DAE-8321C4F6D47C}"/>
    <cellStyle name="Comma 3 2 6 2 5" xfId="5956" xr:uid="{00000000-0005-0000-0000-000021170000}"/>
    <cellStyle name="Comma 3 2 6 2 5 2" xfId="17542" xr:uid="{F322C5BE-0B53-4C8E-8365-9FB399F51DA1}"/>
    <cellStyle name="Comma 3 2 6 2 5 3" xfId="27958" xr:uid="{466211A9-13BA-465B-9054-6560CCE36266}"/>
    <cellStyle name="Comma 3 2 6 2 6" xfId="14716" xr:uid="{AAA39A7B-9FA6-45D1-BDD0-6F70D1B6A9BB}"/>
    <cellStyle name="Comma 3 2 6 2 7" xfId="25132" xr:uid="{E8B2ED2F-6D6D-4360-A0D2-3D9434CA31B8}"/>
    <cellStyle name="Comma 3 2 6 3" xfId="2385" xr:uid="{00000000-0005-0000-0000-000022170000}"/>
    <cellStyle name="Comma 3 2 6 3 2" xfId="2386" xr:uid="{00000000-0005-0000-0000-000023170000}"/>
    <cellStyle name="Comma 3 2 6 3 2 2" xfId="9535" xr:uid="{00000000-0005-0000-0000-000024170000}"/>
    <cellStyle name="Comma 3 2 6 3 2 2 2" xfId="21081" xr:uid="{15ED7FC9-7B09-42BB-A623-AE47E9551CAD}"/>
    <cellStyle name="Comma 3 2 6 3 2 2 3" xfId="31497" xr:uid="{73FA79A1-3EBF-44BD-A61A-0C3E05092A4B}"/>
    <cellStyle name="Comma 3 2 6 3 2 3" xfId="14721" xr:uid="{6866312F-23A8-4938-9CFE-D65390CF8351}"/>
    <cellStyle name="Comma 3 2 6 3 2 4" xfId="25137" xr:uid="{43C36E6B-4BAB-4030-8A04-B73E6FA7474E}"/>
    <cellStyle name="Comma 3 2 6 3 3" xfId="9534" xr:uid="{00000000-0005-0000-0000-000025170000}"/>
    <cellStyle name="Comma 3 2 6 3 3 2" xfId="21080" xr:uid="{5AC710DB-C23B-4A79-B029-063CB7349B2E}"/>
    <cellStyle name="Comma 3 2 6 3 3 3" xfId="31496" xr:uid="{7EDDA263-1608-45D4-AD3D-595C898A6D53}"/>
    <cellStyle name="Comma 3 2 6 3 4" xfId="5958" xr:uid="{00000000-0005-0000-0000-000026170000}"/>
    <cellStyle name="Comma 3 2 6 3 4 2" xfId="17544" xr:uid="{414DF14A-56EC-46A2-8566-2AA71FEDCD28}"/>
    <cellStyle name="Comma 3 2 6 3 4 3" xfId="27960" xr:uid="{771ECF9A-1B71-47E6-9D59-E2AC4650507F}"/>
    <cellStyle name="Comma 3 2 6 3 5" xfId="14720" xr:uid="{908B6C82-8131-4609-9CB5-2537721B4414}"/>
    <cellStyle name="Comma 3 2 6 3 6" xfId="25136" xr:uid="{F798D8D0-4857-4925-831F-BCBA7E886A97}"/>
    <cellStyle name="Comma 3 2 6 4" xfId="2387" xr:uid="{00000000-0005-0000-0000-000027170000}"/>
    <cellStyle name="Comma 3 2 6 4 2" xfId="2388" xr:uid="{00000000-0005-0000-0000-000028170000}"/>
    <cellStyle name="Comma 3 2 6 4 2 2" xfId="9537" xr:uid="{00000000-0005-0000-0000-000029170000}"/>
    <cellStyle name="Comma 3 2 6 4 2 2 2" xfId="21083" xr:uid="{834423B2-18D9-4D88-AAD2-80EACDD91F51}"/>
    <cellStyle name="Comma 3 2 6 4 2 2 3" xfId="31499" xr:uid="{4ECA0FBE-B0B5-4154-B29A-10401A23C9ED}"/>
    <cellStyle name="Comma 3 2 6 4 2 3" xfId="14723" xr:uid="{7C6B0345-519D-4BE2-8237-F3B143DF4B7E}"/>
    <cellStyle name="Comma 3 2 6 4 2 4" xfId="25139" xr:uid="{F293D041-3697-4204-B009-1B016FBD9AC6}"/>
    <cellStyle name="Comma 3 2 6 4 3" xfId="9536" xr:uid="{00000000-0005-0000-0000-00002A170000}"/>
    <cellStyle name="Comma 3 2 6 4 3 2" xfId="21082" xr:uid="{9CE5F1E1-66E4-481F-B4F3-590840266D2D}"/>
    <cellStyle name="Comma 3 2 6 4 3 3" xfId="31498" xr:uid="{A52BD44C-45A2-4FAA-A2D1-48BD7342554D}"/>
    <cellStyle name="Comma 3 2 6 4 4" xfId="5959" xr:uid="{00000000-0005-0000-0000-00002B170000}"/>
    <cellStyle name="Comma 3 2 6 4 4 2" xfId="17545" xr:uid="{AD8C65EB-272C-4E94-9538-0EA6A3CDC64A}"/>
    <cellStyle name="Comma 3 2 6 4 4 3" xfId="27961" xr:uid="{55B3F081-9D6A-40E9-BAE1-CC3B3AB5DD13}"/>
    <cellStyle name="Comma 3 2 6 4 5" xfId="14722" xr:uid="{192E9DD7-7011-457A-9391-DD8DE0E0376C}"/>
    <cellStyle name="Comma 3 2 6 4 6" xfId="25138" xr:uid="{4727BDE0-7A88-47B6-936E-1E8BC526C05A}"/>
    <cellStyle name="Comma 3 2 6 5" xfId="2389" xr:uid="{00000000-0005-0000-0000-00002C170000}"/>
    <cellStyle name="Comma 3 2 6 5 2" xfId="9538" xr:uid="{00000000-0005-0000-0000-00002D170000}"/>
    <cellStyle name="Comma 3 2 6 5 2 2" xfId="21084" xr:uid="{CDFB5F94-B90F-4077-AB94-729AA3CCEE93}"/>
    <cellStyle name="Comma 3 2 6 5 2 3" xfId="31500" xr:uid="{CC291EAC-02B8-47A5-93E4-AEDA9E58450A}"/>
    <cellStyle name="Comma 3 2 6 5 3" xfId="14724" xr:uid="{68ADBFC4-6259-4459-A3E2-DB888787914B}"/>
    <cellStyle name="Comma 3 2 6 5 4" xfId="25140" xr:uid="{A5EE9637-E529-4FD9-85C5-124D9E3E2F60}"/>
    <cellStyle name="Comma 3 2 6 6" xfId="9529" xr:uid="{00000000-0005-0000-0000-00002E170000}"/>
    <cellStyle name="Comma 3 2 6 6 2" xfId="21075" xr:uid="{6B0433DC-2DD3-48A3-B6A2-5F6C073AE993}"/>
    <cellStyle name="Comma 3 2 6 6 3" xfId="31491" xr:uid="{54B7DA10-0837-470F-B600-EFBD09DBD8CE}"/>
    <cellStyle name="Comma 3 2 6 7" xfId="5955" xr:uid="{00000000-0005-0000-0000-00002F170000}"/>
    <cellStyle name="Comma 3 2 6 7 2" xfId="17541" xr:uid="{B821C3AD-399B-4E91-BC4E-913E7D2503CF}"/>
    <cellStyle name="Comma 3 2 6 7 3" xfId="27957" xr:uid="{95167574-CB05-4ECC-8DE0-6CEADBFE0A7C}"/>
    <cellStyle name="Comma 3 2 6 8" xfId="14715" xr:uid="{60FDC3C4-277C-46D0-A895-FD8AF70B706D}"/>
    <cellStyle name="Comma 3 2 6 9" xfId="25131" xr:uid="{0A1EC931-C05E-404C-92C4-D68CDF89F9E6}"/>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2 2 2" xfId="21087" xr:uid="{BFCF7A9F-BCDF-47A8-8BEB-22A1C6A524AB}"/>
    <cellStyle name="Comma 3 2 7 2 2 2 3" xfId="31503" xr:uid="{910031D8-9BE4-42DC-91C4-67D1D13E3FBE}"/>
    <cellStyle name="Comma 3 2 7 2 2 3" xfId="14727" xr:uid="{25E83D34-7052-4378-828E-6E290EA684DF}"/>
    <cellStyle name="Comma 3 2 7 2 2 4" xfId="25143" xr:uid="{4076F42B-8C04-4084-B886-860D0A812E27}"/>
    <cellStyle name="Comma 3 2 7 2 3" xfId="9540" xr:uid="{00000000-0005-0000-0000-000034170000}"/>
    <cellStyle name="Comma 3 2 7 2 3 2" xfId="21086" xr:uid="{B021FBFD-5CD1-4BF7-ABFF-3634D45BE86C}"/>
    <cellStyle name="Comma 3 2 7 2 3 3" xfId="31502" xr:uid="{543051A2-4712-4322-AD67-4659A5749A53}"/>
    <cellStyle name="Comma 3 2 7 2 4" xfId="5961" xr:uid="{00000000-0005-0000-0000-000035170000}"/>
    <cellStyle name="Comma 3 2 7 2 4 2" xfId="17547" xr:uid="{A4BFF1F8-6437-4297-AAF2-C332B9BCD7DD}"/>
    <cellStyle name="Comma 3 2 7 2 4 3" xfId="27963" xr:uid="{1F2AD246-4390-4F2C-9C1E-BC200361316D}"/>
    <cellStyle name="Comma 3 2 7 2 5" xfId="14726" xr:uid="{B2443837-D572-4A6A-B749-DD11D4D58F64}"/>
    <cellStyle name="Comma 3 2 7 2 6" xfId="25142" xr:uid="{77BCDB2D-66EA-4209-AB87-90BB996A35AE}"/>
    <cellStyle name="Comma 3 2 7 3" xfId="2393" xr:uid="{00000000-0005-0000-0000-000036170000}"/>
    <cellStyle name="Comma 3 2 7 3 2" xfId="2394" xr:uid="{00000000-0005-0000-0000-000037170000}"/>
    <cellStyle name="Comma 3 2 7 3 2 2" xfId="9543" xr:uid="{00000000-0005-0000-0000-000038170000}"/>
    <cellStyle name="Comma 3 2 7 3 2 2 2" xfId="21089" xr:uid="{0B5A22F9-A25F-4B1B-9472-2E688CFA0A83}"/>
    <cellStyle name="Comma 3 2 7 3 2 2 3" xfId="31505" xr:uid="{DE64E4DE-2B3B-4F0C-99ED-828634921EA3}"/>
    <cellStyle name="Comma 3 2 7 3 2 3" xfId="14729" xr:uid="{7F620BEF-FC74-4D7C-850D-8C0800A59871}"/>
    <cellStyle name="Comma 3 2 7 3 2 4" xfId="25145" xr:uid="{D08C8F19-FCD2-499A-9279-078A07FF664E}"/>
    <cellStyle name="Comma 3 2 7 3 3" xfId="9542" xr:uid="{00000000-0005-0000-0000-000039170000}"/>
    <cellStyle name="Comma 3 2 7 3 3 2" xfId="21088" xr:uid="{22A94B2B-E072-4405-B36B-57A6AA0A06FA}"/>
    <cellStyle name="Comma 3 2 7 3 3 3" xfId="31504" xr:uid="{9F3DCDD6-0B32-4393-9D7E-EAD698D428A7}"/>
    <cellStyle name="Comma 3 2 7 3 4" xfId="5962" xr:uid="{00000000-0005-0000-0000-00003A170000}"/>
    <cellStyle name="Comma 3 2 7 3 4 2" xfId="17548" xr:uid="{A8FC5102-F636-4043-AC69-4612C11594E1}"/>
    <cellStyle name="Comma 3 2 7 3 4 3" xfId="27964" xr:uid="{6D737B1B-9918-4D58-ABA8-70662EC59328}"/>
    <cellStyle name="Comma 3 2 7 3 5" xfId="14728" xr:uid="{B430088E-0F45-4184-ADB2-B73652A10B0E}"/>
    <cellStyle name="Comma 3 2 7 3 6" xfId="25144" xr:uid="{67B6A46E-FFCE-47DA-8083-FA851C3345BE}"/>
    <cellStyle name="Comma 3 2 7 4" xfId="2395" xr:uid="{00000000-0005-0000-0000-00003B170000}"/>
    <cellStyle name="Comma 3 2 7 4 2" xfId="9544" xr:uid="{00000000-0005-0000-0000-00003C170000}"/>
    <cellStyle name="Comma 3 2 7 4 2 2" xfId="21090" xr:uid="{78D98B32-B6CB-4AAA-A152-333CF9C3BAA6}"/>
    <cellStyle name="Comma 3 2 7 4 2 3" xfId="31506" xr:uid="{36E7D0B2-89CA-419D-A0B3-0D742923E154}"/>
    <cellStyle name="Comma 3 2 7 4 3" xfId="14730" xr:uid="{F27E283C-4F02-40AC-AF56-BBD7E0EAD112}"/>
    <cellStyle name="Comma 3 2 7 4 4" xfId="25146" xr:uid="{AB895AEB-D08F-401A-AFFC-DC36B2CFE6BF}"/>
    <cellStyle name="Comma 3 2 7 5" xfId="9539" xr:uid="{00000000-0005-0000-0000-00003D170000}"/>
    <cellStyle name="Comma 3 2 7 5 2" xfId="21085" xr:uid="{1D6F85B3-5179-4A28-B0BB-F4C08699698E}"/>
    <cellStyle name="Comma 3 2 7 5 3" xfId="31501" xr:uid="{B96824A1-B778-4D1F-8598-DDF36BB031E7}"/>
    <cellStyle name="Comma 3 2 7 6" xfId="5960" xr:uid="{00000000-0005-0000-0000-00003E170000}"/>
    <cellStyle name="Comma 3 2 7 6 2" xfId="17546" xr:uid="{2289516D-C4CD-4A1D-B92F-9E26A9E59A86}"/>
    <cellStyle name="Comma 3 2 7 6 3" xfId="27962" xr:uid="{82630065-4A16-4D41-B76A-48F935229DB3}"/>
    <cellStyle name="Comma 3 2 7 7" xfId="14725" xr:uid="{DFB4A1AA-519A-47B9-B820-001B982F8641}"/>
    <cellStyle name="Comma 3 2 7 8" xfId="25141" xr:uid="{517D75B4-A270-4B6B-8703-CD997A41E749}"/>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2 2 2" xfId="21093" xr:uid="{3170ED30-3115-4FDE-9FCD-77623B84D700}"/>
    <cellStyle name="Comma 3 2 8 2 2 2 3" xfId="31509" xr:uid="{1BB83F0B-E400-458F-B989-81A35C190A59}"/>
    <cellStyle name="Comma 3 2 8 2 2 3" xfId="14733" xr:uid="{6D23F426-6DA0-4F7B-9A7C-9F8CE0981BE4}"/>
    <cellStyle name="Comma 3 2 8 2 2 4" xfId="25149" xr:uid="{AFDA8110-1719-4FB6-9143-B4C9517AF885}"/>
    <cellStyle name="Comma 3 2 8 2 3" xfId="9546" xr:uid="{00000000-0005-0000-0000-000043170000}"/>
    <cellStyle name="Comma 3 2 8 2 3 2" xfId="21092" xr:uid="{70B115C0-4583-4F7D-906F-E98F2680B19E}"/>
    <cellStyle name="Comma 3 2 8 2 3 3" xfId="31508" xr:uid="{6ED892B9-05F4-4E7F-AB6A-AFB1C8A53168}"/>
    <cellStyle name="Comma 3 2 8 2 4" xfId="5964" xr:uid="{00000000-0005-0000-0000-000044170000}"/>
    <cellStyle name="Comma 3 2 8 2 4 2" xfId="17550" xr:uid="{448C23DE-6083-42FF-A8AD-5782A9F70B02}"/>
    <cellStyle name="Comma 3 2 8 2 4 3" xfId="27966" xr:uid="{31B9A7CC-6344-4B6B-97D5-10EC8BE2ACDC}"/>
    <cellStyle name="Comma 3 2 8 2 5" xfId="14732" xr:uid="{74DE34CE-AFDA-43EA-948C-C9026B4A4CA3}"/>
    <cellStyle name="Comma 3 2 8 2 6" xfId="25148" xr:uid="{444FBEA3-62FB-4E63-AEB7-AE5DA1F13F1D}"/>
    <cellStyle name="Comma 3 2 8 3" xfId="2399" xr:uid="{00000000-0005-0000-0000-000045170000}"/>
    <cellStyle name="Comma 3 2 8 3 2" xfId="9548" xr:uid="{00000000-0005-0000-0000-000046170000}"/>
    <cellStyle name="Comma 3 2 8 3 2 2" xfId="21094" xr:uid="{28CB5981-3209-4835-84A5-4AFDAFE41337}"/>
    <cellStyle name="Comma 3 2 8 3 2 3" xfId="31510" xr:uid="{F7BCB29B-E5D0-4756-B0C5-B324569668DF}"/>
    <cellStyle name="Comma 3 2 8 3 3" xfId="14734" xr:uid="{AACAB4FE-B5B9-41F5-B10C-DC12896126B7}"/>
    <cellStyle name="Comma 3 2 8 3 4" xfId="25150" xr:uid="{0FDE898A-A112-4D37-81D5-D3DE0B88FD98}"/>
    <cellStyle name="Comma 3 2 8 4" xfId="9545" xr:uid="{00000000-0005-0000-0000-000047170000}"/>
    <cellStyle name="Comma 3 2 8 4 2" xfId="21091" xr:uid="{448905DD-C6F8-4D8A-B29F-1D8AAE215519}"/>
    <cellStyle name="Comma 3 2 8 4 3" xfId="31507" xr:uid="{A034E518-8440-4A26-9E09-6D4E74790603}"/>
    <cellStyle name="Comma 3 2 8 5" xfId="5963" xr:uid="{00000000-0005-0000-0000-000048170000}"/>
    <cellStyle name="Comma 3 2 8 5 2" xfId="17549" xr:uid="{FA78B469-E8C2-466D-8A69-67D5C7A1DB5E}"/>
    <cellStyle name="Comma 3 2 8 5 3" xfId="27965" xr:uid="{D49C8FC4-6A18-4C4B-B642-D5EDDA07C2B7}"/>
    <cellStyle name="Comma 3 2 8 6" xfId="14731" xr:uid="{C8B70040-5F22-43E8-B347-3514E216F9D2}"/>
    <cellStyle name="Comma 3 2 8 7" xfId="25147" xr:uid="{C05FD66C-0109-4489-90F3-680A3717213D}"/>
    <cellStyle name="Comma 3 2 9" xfId="2400" xr:uid="{00000000-0005-0000-0000-000049170000}"/>
    <cellStyle name="Comma 3 2 9 2" xfId="2401" xr:uid="{00000000-0005-0000-0000-00004A170000}"/>
    <cellStyle name="Comma 3 2 9 2 2" xfId="9550" xr:uid="{00000000-0005-0000-0000-00004B170000}"/>
    <cellStyle name="Comma 3 2 9 2 2 2" xfId="21096" xr:uid="{63594AFE-6B8C-4B24-80E5-6020DA324DF9}"/>
    <cellStyle name="Comma 3 2 9 2 2 3" xfId="31512" xr:uid="{79D36371-2A07-4067-B52F-5642060B2190}"/>
    <cellStyle name="Comma 3 2 9 2 3" xfId="14736" xr:uid="{E3DBBE26-5430-4F3E-A8DB-789BCF4F04D3}"/>
    <cellStyle name="Comma 3 2 9 2 4" xfId="25152" xr:uid="{BF418E34-5E08-4EE4-A4AA-A9D4DEBA27B0}"/>
    <cellStyle name="Comma 3 2 9 3" xfId="9549" xr:uid="{00000000-0005-0000-0000-00004C170000}"/>
    <cellStyle name="Comma 3 2 9 3 2" xfId="21095" xr:uid="{D1A5EB41-78AA-48CF-BD8C-3E3ED1C54978}"/>
    <cellStyle name="Comma 3 2 9 3 3" xfId="31511" xr:uid="{777C4484-DA17-4DA1-973A-4B03D12777F4}"/>
    <cellStyle name="Comma 3 2 9 4" xfId="5965" xr:uid="{00000000-0005-0000-0000-00004D170000}"/>
    <cellStyle name="Comma 3 2 9 4 2" xfId="17551" xr:uid="{5FDA8D2B-C8FD-462B-BCAE-8E49267C610C}"/>
    <cellStyle name="Comma 3 2 9 4 3" xfId="27967" xr:uid="{17EEC9D6-0ACB-4C40-B3EF-F67A92C28D2B}"/>
    <cellStyle name="Comma 3 2 9 5" xfId="14735" xr:uid="{416C4A7D-3A3F-4B3F-9AFB-DBDB5B40CA08}"/>
    <cellStyle name="Comma 3 2 9 6" xfId="25151" xr:uid="{BA228849-A05B-40B7-879D-999805839C13}"/>
    <cellStyle name="Comma 3 20" xfId="12336" xr:uid="{00000000-0005-0000-0000-00004E170000}"/>
    <cellStyle name="Comma 3 20 2" xfId="22742" xr:uid="{8485E088-AD33-448D-986F-F01CDC74CDA8}"/>
    <cellStyle name="Comma 3 20 3" xfId="33158" xr:uid="{1DA33E3E-DB73-489E-9331-B65F86566046}"/>
    <cellStyle name="Comma 3 21" xfId="12351" xr:uid="{00000000-0005-0000-0000-00004F170000}"/>
    <cellStyle name="Comma 3 21 2" xfId="22757" xr:uid="{7D3A8776-C75B-46D2-8256-B861FC7D4882}"/>
    <cellStyle name="Comma 3 21 3" xfId="33173" xr:uid="{1E711559-1B6A-4DB7-ADF8-8D72B3F40B28}"/>
    <cellStyle name="Comma 3 22" xfId="12366" xr:uid="{18C01492-CC37-4E89-AE8E-DF0F018B4ABF}"/>
    <cellStyle name="Comma 3 23" xfId="22782" xr:uid="{13E658E0-9B3F-4DB6-959B-A68E207A119B}"/>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2 2 2" xfId="21099" xr:uid="{641CEDE9-5D9C-4A20-AA8B-9E62CFE097D1}"/>
    <cellStyle name="Comma 3 3 10 2 2 3" xfId="31515" xr:uid="{53724714-4D14-4020-9CE3-619A918DF12F}"/>
    <cellStyle name="Comma 3 3 10 2 3" xfId="14739" xr:uid="{6489D209-588C-4A7A-B4E5-5AB8F3F71187}"/>
    <cellStyle name="Comma 3 3 10 2 4" xfId="25155" xr:uid="{BDC6ECE8-BF6A-4C65-8D08-F402D495BAD3}"/>
    <cellStyle name="Comma 3 3 10 3" xfId="9552" xr:uid="{00000000-0005-0000-0000-000054170000}"/>
    <cellStyle name="Comma 3 3 10 3 2" xfId="21098" xr:uid="{8F6A50B8-78E6-4411-A66A-578C6C594B72}"/>
    <cellStyle name="Comma 3 3 10 3 3" xfId="31514" xr:uid="{4D01283C-E72A-4B36-8949-0D8DAFE4B141}"/>
    <cellStyle name="Comma 3 3 10 4" xfId="5967" xr:uid="{00000000-0005-0000-0000-000055170000}"/>
    <cellStyle name="Comma 3 3 10 4 2" xfId="17553" xr:uid="{A5218D9D-D247-4026-A336-A44D5E2D36E8}"/>
    <cellStyle name="Comma 3 3 10 4 3" xfId="27969" xr:uid="{F3BF5FBE-BE28-4FB4-A414-2071DED1994F}"/>
    <cellStyle name="Comma 3 3 10 5" xfId="14738" xr:uid="{A8035060-6891-46EE-9BD0-AFCCD8618A09}"/>
    <cellStyle name="Comma 3 3 10 6" xfId="25154" xr:uid="{CF2DAB74-6418-481C-8ED6-656A9A0E145D}"/>
    <cellStyle name="Comma 3 3 11" xfId="2405" xr:uid="{00000000-0005-0000-0000-000056170000}"/>
    <cellStyle name="Comma 3 3 11 2" xfId="9554" xr:uid="{00000000-0005-0000-0000-000057170000}"/>
    <cellStyle name="Comma 3 3 11 2 2" xfId="21100" xr:uid="{A2B9ED5A-6B48-4C15-B8AE-03D78DCF39BF}"/>
    <cellStyle name="Comma 3 3 11 2 3" xfId="31516" xr:uid="{B4CB2C1F-B154-4FBE-85C2-2988D9472424}"/>
    <cellStyle name="Comma 3 3 11 3" xfId="14740" xr:uid="{1C62269A-0D17-4D5D-AAD0-8653A1425B33}"/>
    <cellStyle name="Comma 3 3 11 4" xfId="25156" xr:uid="{262842D8-01EA-4C70-B97D-66EE2BFD88D9}"/>
    <cellStyle name="Comma 3 3 12" xfId="9551" xr:uid="{00000000-0005-0000-0000-000058170000}"/>
    <cellStyle name="Comma 3 3 12 2" xfId="21097" xr:uid="{A96C1D46-35A1-45DF-A301-A84ED88019FF}"/>
    <cellStyle name="Comma 3 3 12 3" xfId="31513" xr:uid="{2E44BCF4-FB3F-4EDA-8182-87F5D61B98E8}"/>
    <cellStyle name="Comma 3 3 13" xfId="5966" xr:uid="{00000000-0005-0000-0000-000059170000}"/>
    <cellStyle name="Comma 3 3 13 2" xfId="17552" xr:uid="{1C9BF83E-E4FE-4115-BCC6-8ECE25ABC865}"/>
    <cellStyle name="Comma 3 3 13 3" xfId="27968" xr:uid="{622B791D-3C50-4597-B524-BA6F1CAE5B23}"/>
    <cellStyle name="Comma 3 3 14" xfId="12346" xr:uid="{00000000-0005-0000-0000-00005A170000}"/>
    <cellStyle name="Comma 3 3 14 2" xfId="22752" xr:uid="{173022AC-D6DD-4FE4-A8B8-7AF8BCF914C1}"/>
    <cellStyle name="Comma 3 3 14 3" xfId="33168" xr:uid="{FEED1054-4E46-4C24-A1C5-FF8B5DF45735}"/>
    <cellStyle name="Comma 3 3 15" xfId="12361" xr:uid="{00000000-0005-0000-0000-00005B170000}"/>
    <cellStyle name="Comma 3 3 15 2" xfId="22767" xr:uid="{76663E46-190B-4EA7-BC06-E01282FBAEAE}"/>
    <cellStyle name="Comma 3 3 15 3" xfId="33183" xr:uid="{78F3C37B-5494-4009-A4C4-8D5D769A92DD}"/>
    <cellStyle name="Comma 3 3 16" xfId="14737" xr:uid="{B3857625-366C-46CC-B58C-F40695CD77E9}"/>
    <cellStyle name="Comma 3 3 17" xfId="25153" xr:uid="{2B9CAF33-5E57-4E1B-8DFE-C3845B55DA20}"/>
    <cellStyle name="Comma 3 3 2" xfId="2406" xr:uid="{00000000-0005-0000-0000-00005C170000}"/>
    <cellStyle name="Comma 3 3 2 10" xfId="2407" xr:uid="{00000000-0005-0000-0000-00005D170000}"/>
    <cellStyle name="Comma 3 3 2 10 2" xfId="9556" xr:uid="{00000000-0005-0000-0000-00005E170000}"/>
    <cellStyle name="Comma 3 3 2 10 2 2" xfId="21102" xr:uid="{857E57FA-BE66-4B42-BB38-68D0CB559FE5}"/>
    <cellStyle name="Comma 3 3 2 10 2 3" xfId="31518" xr:uid="{39B7A294-07E2-4949-B012-7C749E1DEA27}"/>
    <cellStyle name="Comma 3 3 2 10 3" xfId="14742" xr:uid="{58623DC7-1CD9-42F8-8B52-615900F61FEE}"/>
    <cellStyle name="Comma 3 3 2 10 4" xfId="25158" xr:uid="{5142F0AE-847B-42F8-AAC7-1E1377C3E3D5}"/>
    <cellStyle name="Comma 3 3 2 11" xfId="9555" xr:uid="{00000000-0005-0000-0000-00005F170000}"/>
    <cellStyle name="Comma 3 3 2 11 2" xfId="21101" xr:uid="{CE900A49-D6D6-46ED-868A-C6DB6B521006}"/>
    <cellStyle name="Comma 3 3 2 11 3" xfId="31517" xr:uid="{B8A374BC-1A01-4299-B031-06445FC55BE7}"/>
    <cellStyle name="Comma 3 3 2 12" xfId="5968" xr:uid="{00000000-0005-0000-0000-000060170000}"/>
    <cellStyle name="Comma 3 3 2 12 2" xfId="17554" xr:uid="{D17A6549-F778-4B89-8983-4EBA9344D644}"/>
    <cellStyle name="Comma 3 3 2 12 3" xfId="27970" xr:uid="{C8588B27-0CE3-4610-9308-897A73CCF658}"/>
    <cellStyle name="Comma 3 3 2 13" xfId="14741" xr:uid="{82FC6557-C365-4D29-854D-3CD9F778359F}"/>
    <cellStyle name="Comma 3 3 2 14" xfId="25157" xr:uid="{9F83DF9B-8001-47FC-AF2D-E599808FE103}"/>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2 2 2" xfId="21106" xr:uid="{C90EEB77-EEAC-40CC-9398-0361ADCC7CEE}"/>
    <cellStyle name="Comma 3 3 2 2 2 2 2 2 3" xfId="31522" xr:uid="{5FE2B7BE-E28A-4492-81DE-989D36B0977C}"/>
    <cellStyle name="Comma 3 3 2 2 2 2 2 3" xfId="14746" xr:uid="{42D9C57F-B50D-4FA7-AB93-6244BC9CED86}"/>
    <cellStyle name="Comma 3 3 2 2 2 2 2 4" xfId="25162" xr:uid="{D1011CC7-CDBC-4D18-9EE4-870D5F5F9638}"/>
    <cellStyle name="Comma 3 3 2 2 2 2 3" xfId="9559" xr:uid="{00000000-0005-0000-0000-000066170000}"/>
    <cellStyle name="Comma 3 3 2 2 2 2 3 2" xfId="21105" xr:uid="{7FCFEEF9-29EA-4E30-A548-787B93AE22B9}"/>
    <cellStyle name="Comma 3 3 2 2 2 2 3 3" xfId="31521" xr:uid="{86E4B97D-743F-4C2F-B7DD-755FD9B12958}"/>
    <cellStyle name="Comma 3 3 2 2 2 2 4" xfId="5971" xr:uid="{00000000-0005-0000-0000-000067170000}"/>
    <cellStyle name="Comma 3 3 2 2 2 2 4 2" xfId="17557" xr:uid="{10CAF72C-D922-49DF-8B36-FE1102E7CFAB}"/>
    <cellStyle name="Comma 3 3 2 2 2 2 4 3" xfId="27973" xr:uid="{12CA67C8-3FA1-434B-950C-C7AFE27AEBA4}"/>
    <cellStyle name="Comma 3 3 2 2 2 2 5" xfId="14745" xr:uid="{B2160671-F53B-4224-89AA-40453619A841}"/>
    <cellStyle name="Comma 3 3 2 2 2 2 6" xfId="25161" xr:uid="{1818BB3B-F4FC-4BBA-9933-6ECCCE8B3028}"/>
    <cellStyle name="Comma 3 3 2 2 2 3" xfId="2412" xr:uid="{00000000-0005-0000-0000-000068170000}"/>
    <cellStyle name="Comma 3 3 2 2 2 3 2" xfId="9561" xr:uid="{00000000-0005-0000-0000-000069170000}"/>
    <cellStyle name="Comma 3 3 2 2 2 3 2 2" xfId="21107" xr:uid="{2446D278-ABB3-4EBE-8707-67229D391DBC}"/>
    <cellStyle name="Comma 3 3 2 2 2 3 2 3" xfId="31523" xr:uid="{3710BFAF-CF20-4642-852C-55500414F392}"/>
    <cellStyle name="Comma 3 3 2 2 2 3 3" xfId="14747" xr:uid="{B9A84C60-BB18-4808-B6C9-23FA21106ACF}"/>
    <cellStyle name="Comma 3 3 2 2 2 3 4" xfId="25163" xr:uid="{6C86A565-E3AE-4D84-A4F5-DE4765A33A20}"/>
    <cellStyle name="Comma 3 3 2 2 2 4" xfId="9558" xr:uid="{00000000-0005-0000-0000-00006A170000}"/>
    <cellStyle name="Comma 3 3 2 2 2 4 2" xfId="21104" xr:uid="{D6566454-BC79-40E3-B432-0C6AAF0EBBFB}"/>
    <cellStyle name="Comma 3 3 2 2 2 4 3" xfId="31520" xr:uid="{9BACF9A9-E42B-4A1E-A132-9A261398BDBB}"/>
    <cellStyle name="Comma 3 3 2 2 2 5" xfId="5970" xr:uid="{00000000-0005-0000-0000-00006B170000}"/>
    <cellStyle name="Comma 3 3 2 2 2 5 2" xfId="17556" xr:uid="{4ED50A87-E1D4-4A44-B6A3-56A6A1B91C29}"/>
    <cellStyle name="Comma 3 3 2 2 2 5 3" xfId="27972" xr:uid="{AB03F05A-7934-4561-9E73-A34DBB88CA3F}"/>
    <cellStyle name="Comma 3 3 2 2 2 6" xfId="14744" xr:uid="{96194B35-EEFF-4BA2-8967-199100205735}"/>
    <cellStyle name="Comma 3 3 2 2 2 7" xfId="25160" xr:uid="{AE78B090-A2AC-4B39-AA60-9589C9BE8322}"/>
    <cellStyle name="Comma 3 3 2 2 3" xfId="2413" xr:uid="{00000000-0005-0000-0000-00006C170000}"/>
    <cellStyle name="Comma 3 3 2 2 3 2" xfId="2414" xr:uid="{00000000-0005-0000-0000-00006D170000}"/>
    <cellStyle name="Comma 3 3 2 2 3 2 2" xfId="9563" xr:uid="{00000000-0005-0000-0000-00006E170000}"/>
    <cellStyle name="Comma 3 3 2 2 3 2 2 2" xfId="21109" xr:uid="{DE9FA1C8-651B-4BB4-BB27-1D24D2B218CC}"/>
    <cellStyle name="Comma 3 3 2 2 3 2 2 3" xfId="31525" xr:uid="{2B964BF4-08BE-4F53-B452-796024729617}"/>
    <cellStyle name="Comma 3 3 2 2 3 2 3" xfId="14749" xr:uid="{1DF1D160-7B24-47F2-AA64-35E957D910DD}"/>
    <cellStyle name="Comma 3 3 2 2 3 2 4" xfId="25165" xr:uid="{0239BB3A-FA3B-4EC2-BBB8-CB18B17CEC44}"/>
    <cellStyle name="Comma 3 3 2 2 3 3" xfId="9562" xr:uid="{00000000-0005-0000-0000-00006F170000}"/>
    <cellStyle name="Comma 3 3 2 2 3 3 2" xfId="21108" xr:uid="{EA5EA8D1-72FB-4509-9B83-ADA4BC36B241}"/>
    <cellStyle name="Comma 3 3 2 2 3 3 3" xfId="31524" xr:uid="{343A496B-4448-4B83-9B3C-6D278F1AC9DD}"/>
    <cellStyle name="Comma 3 3 2 2 3 4" xfId="5972" xr:uid="{00000000-0005-0000-0000-000070170000}"/>
    <cellStyle name="Comma 3 3 2 2 3 4 2" xfId="17558" xr:uid="{FFED139F-5670-4F0F-8F4D-E06EFD59EB9D}"/>
    <cellStyle name="Comma 3 3 2 2 3 4 3" xfId="27974" xr:uid="{B69E4069-F76A-43F5-9528-8C0BDE2E15E3}"/>
    <cellStyle name="Comma 3 3 2 2 3 5" xfId="14748" xr:uid="{AE96DA6E-F68E-4DCB-94BC-841453C8D09A}"/>
    <cellStyle name="Comma 3 3 2 2 3 6" xfId="25164" xr:uid="{84114A5E-3CEE-4652-85B1-0F6583725A5F}"/>
    <cellStyle name="Comma 3 3 2 2 4" xfId="2415" xr:uid="{00000000-0005-0000-0000-000071170000}"/>
    <cellStyle name="Comma 3 3 2 2 4 2" xfId="2416" xr:uid="{00000000-0005-0000-0000-000072170000}"/>
    <cellStyle name="Comma 3 3 2 2 4 2 2" xfId="9565" xr:uid="{00000000-0005-0000-0000-000073170000}"/>
    <cellStyle name="Comma 3 3 2 2 4 2 2 2" xfId="21111" xr:uid="{18341072-6ABE-4B2F-ADE2-9AA7C2CDECC4}"/>
    <cellStyle name="Comma 3 3 2 2 4 2 2 3" xfId="31527" xr:uid="{8D762441-EC6A-47D6-A66A-5616B225E7E9}"/>
    <cellStyle name="Comma 3 3 2 2 4 2 3" xfId="14751" xr:uid="{99B565E5-AFA2-4C15-A0F0-3D4E5A3E57A7}"/>
    <cellStyle name="Comma 3 3 2 2 4 2 4" xfId="25167" xr:uid="{E472C59C-2E5E-48A1-AD0F-B0FD3B9FAAFA}"/>
    <cellStyle name="Comma 3 3 2 2 4 3" xfId="9564" xr:uid="{00000000-0005-0000-0000-000074170000}"/>
    <cellStyle name="Comma 3 3 2 2 4 3 2" xfId="21110" xr:uid="{623488DF-0B53-4E21-9B2D-8545D30C6248}"/>
    <cellStyle name="Comma 3 3 2 2 4 3 3" xfId="31526" xr:uid="{F642C4DE-70F0-4775-AEB8-9E31EA7060BA}"/>
    <cellStyle name="Comma 3 3 2 2 4 4" xfId="5973" xr:uid="{00000000-0005-0000-0000-000075170000}"/>
    <cellStyle name="Comma 3 3 2 2 4 4 2" xfId="17559" xr:uid="{8758E024-C7F7-40A1-8B50-ED1CC1AE7DD5}"/>
    <cellStyle name="Comma 3 3 2 2 4 4 3" xfId="27975" xr:uid="{6B199B9F-0ABE-4357-95E3-86A6E4A287F3}"/>
    <cellStyle name="Comma 3 3 2 2 4 5" xfId="14750" xr:uid="{EC3122A5-9CFE-4BF1-AE93-762C84917A23}"/>
    <cellStyle name="Comma 3 3 2 2 4 6" xfId="25166" xr:uid="{E7539665-1177-48CF-9586-4B07FAFE1994}"/>
    <cellStyle name="Comma 3 3 2 2 5" xfId="2417" xr:uid="{00000000-0005-0000-0000-000076170000}"/>
    <cellStyle name="Comma 3 3 2 2 5 2" xfId="9566" xr:uid="{00000000-0005-0000-0000-000077170000}"/>
    <cellStyle name="Comma 3 3 2 2 5 2 2" xfId="21112" xr:uid="{F20B94C2-EC6A-468E-8414-AE890DFD1ADF}"/>
    <cellStyle name="Comma 3 3 2 2 5 2 3" xfId="31528" xr:uid="{2FD832D4-F31C-41AF-8A03-A0FF311B31AB}"/>
    <cellStyle name="Comma 3 3 2 2 5 3" xfId="14752" xr:uid="{BCF3F215-D77F-4FF6-B48E-101F2B9421F5}"/>
    <cellStyle name="Comma 3 3 2 2 5 4" xfId="25168" xr:uid="{2B8DE2FB-F20E-4A57-8168-A9ECD9CEC3B6}"/>
    <cellStyle name="Comma 3 3 2 2 6" xfId="9557" xr:uid="{00000000-0005-0000-0000-000078170000}"/>
    <cellStyle name="Comma 3 3 2 2 6 2" xfId="21103" xr:uid="{2D1ABACB-BE8D-49BB-8E20-71B702145595}"/>
    <cellStyle name="Comma 3 3 2 2 6 3" xfId="31519" xr:uid="{7BF6619B-3A02-4575-A861-729A7D4B5518}"/>
    <cellStyle name="Comma 3 3 2 2 7" xfId="5969" xr:uid="{00000000-0005-0000-0000-000079170000}"/>
    <cellStyle name="Comma 3 3 2 2 7 2" xfId="17555" xr:uid="{958B11C0-E342-460F-857E-C5CAFD012183}"/>
    <cellStyle name="Comma 3 3 2 2 7 3" xfId="27971" xr:uid="{538E7303-E392-4E5B-8A4E-DE35048F0576}"/>
    <cellStyle name="Comma 3 3 2 2 8" xfId="14743" xr:uid="{6E87ADCE-4C16-4313-8C5E-7E7252B2E9D8}"/>
    <cellStyle name="Comma 3 3 2 2 9" xfId="25159" xr:uid="{DB9BC8A5-7B32-4E16-9104-3BB61E98F21A}"/>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2 2 2" xfId="21116" xr:uid="{97C95EE6-9169-4C9A-95BF-819DBCB08F06}"/>
    <cellStyle name="Comma 3 3 2 3 2 2 2 2 3" xfId="31532" xr:uid="{D28DC044-FBAE-42CD-92BA-32A1A37E915C}"/>
    <cellStyle name="Comma 3 3 2 3 2 2 2 3" xfId="14756" xr:uid="{4EFB89DA-F5D5-4186-B137-C2E52E292865}"/>
    <cellStyle name="Comma 3 3 2 3 2 2 2 4" xfId="25172" xr:uid="{F35BE0EA-8CA0-45A3-A6A7-9F3A160DAE60}"/>
    <cellStyle name="Comma 3 3 2 3 2 2 3" xfId="9569" xr:uid="{00000000-0005-0000-0000-00007F170000}"/>
    <cellStyle name="Comma 3 3 2 3 2 2 3 2" xfId="21115" xr:uid="{D59A6E8B-C5AB-4221-9D19-BA623C1A383C}"/>
    <cellStyle name="Comma 3 3 2 3 2 2 3 3" xfId="31531" xr:uid="{670D4CBC-B9AE-43F4-95CC-EF706D1B15A2}"/>
    <cellStyle name="Comma 3 3 2 3 2 2 4" xfId="5976" xr:uid="{00000000-0005-0000-0000-000080170000}"/>
    <cellStyle name="Comma 3 3 2 3 2 2 4 2" xfId="17562" xr:uid="{6E925276-8011-464D-A989-020C524FBA53}"/>
    <cellStyle name="Comma 3 3 2 3 2 2 4 3" xfId="27978" xr:uid="{095FF13C-4A45-4D4E-951D-25FF2CAE4E50}"/>
    <cellStyle name="Comma 3 3 2 3 2 2 5" xfId="14755" xr:uid="{BF249C7E-71FB-495A-B5B9-01B513B76A75}"/>
    <cellStyle name="Comma 3 3 2 3 2 2 6" xfId="25171" xr:uid="{D2B1DF11-2154-47B4-9BA4-961D1545FB91}"/>
    <cellStyle name="Comma 3 3 2 3 2 3" xfId="2422" xr:uid="{00000000-0005-0000-0000-000081170000}"/>
    <cellStyle name="Comma 3 3 2 3 2 3 2" xfId="9571" xr:uid="{00000000-0005-0000-0000-000082170000}"/>
    <cellStyle name="Comma 3 3 2 3 2 3 2 2" xfId="21117" xr:uid="{6A5706BE-C221-4D6C-988B-7D13779FA8CD}"/>
    <cellStyle name="Comma 3 3 2 3 2 3 2 3" xfId="31533" xr:uid="{51C62676-215E-4087-92E0-9283BE9AB397}"/>
    <cellStyle name="Comma 3 3 2 3 2 3 3" xfId="14757" xr:uid="{BC5EB03E-A5B8-4AAD-BA29-4F967BAB6B04}"/>
    <cellStyle name="Comma 3 3 2 3 2 3 4" xfId="25173" xr:uid="{FB32A876-B2B6-4396-9482-1C02E724C08E}"/>
    <cellStyle name="Comma 3 3 2 3 2 4" xfId="9568" xr:uid="{00000000-0005-0000-0000-000083170000}"/>
    <cellStyle name="Comma 3 3 2 3 2 4 2" xfId="21114" xr:uid="{C79F61BE-217E-4FA5-B9CA-1B718B851E3F}"/>
    <cellStyle name="Comma 3 3 2 3 2 4 3" xfId="31530" xr:uid="{7979AED2-7E65-4625-BA5E-38F472946D11}"/>
    <cellStyle name="Comma 3 3 2 3 2 5" xfId="5975" xr:uid="{00000000-0005-0000-0000-000084170000}"/>
    <cellStyle name="Comma 3 3 2 3 2 5 2" xfId="17561" xr:uid="{4E7716AC-AFA6-4E39-BDC1-C519E1B00D2E}"/>
    <cellStyle name="Comma 3 3 2 3 2 5 3" xfId="27977" xr:uid="{79CEC541-2910-4AC4-86FF-277529422BE5}"/>
    <cellStyle name="Comma 3 3 2 3 2 6" xfId="14754" xr:uid="{D9F1321C-86F7-45A4-97BE-CD1921C2C499}"/>
    <cellStyle name="Comma 3 3 2 3 2 7" xfId="25170" xr:uid="{0D15C6A6-BAE9-4CAC-80E7-E93E5AC6C2D9}"/>
    <cellStyle name="Comma 3 3 2 3 3" xfId="2423" xr:uid="{00000000-0005-0000-0000-000085170000}"/>
    <cellStyle name="Comma 3 3 2 3 3 2" xfId="2424" xr:uid="{00000000-0005-0000-0000-000086170000}"/>
    <cellStyle name="Comma 3 3 2 3 3 2 2" xfId="9573" xr:uid="{00000000-0005-0000-0000-000087170000}"/>
    <cellStyle name="Comma 3 3 2 3 3 2 2 2" xfId="21119" xr:uid="{BAA02C08-07EA-4336-B6EC-633989E32E48}"/>
    <cellStyle name="Comma 3 3 2 3 3 2 2 3" xfId="31535" xr:uid="{78E48874-7F72-4062-BF83-84955B234AFE}"/>
    <cellStyle name="Comma 3 3 2 3 3 2 3" xfId="14759" xr:uid="{977E6EB1-69BE-43AF-8DFA-276B77444636}"/>
    <cellStyle name="Comma 3 3 2 3 3 2 4" xfId="25175" xr:uid="{EF35E2D4-F04A-4392-ABF1-A8A81A74DE0D}"/>
    <cellStyle name="Comma 3 3 2 3 3 3" xfId="9572" xr:uid="{00000000-0005-0000-0000-000088170000}"/>
    <cellStyle name="Comma 3 3 2 3 3 3 2" xfId="21118" xr:uid="{FD92160F-B9DE-48C2-9FBD-C76CD06FC5A2}"/>
    <cellStyle name="Comma 3 3 2 3 3 3 3" xfId="31534" xr:uid="{6C23ED2B-24BD-4061-9BBC-DDDFE11B5E81}"/>
    <cellStyle name="Comma 3 3 2 3 3 4" xfId="5977" xr:uid="{00000000-0005-0000-0000-000089170000}"/>
    <cellStyle name="Comma 3 3 2 3 3 4 2" xfId="17563" xr:uid="{0BB9214C-71A7-4CC7-8A93-574DA81049DA}"/>
    <cellStyle name="Comma 3 3 2 3 3 4 3" xfId="27979" xr:uid="{04B03DD8-EAF0-4376-BA31-0D5191C2A0A5}"/>
    <cellStyle name="Comma 3 3 2 3 3 5" xfId="14758" xr:uid="{31447982-F6CC-4C43-BC63-267B031474AB}"/>
    <cellStyle name="Comma 3 3 2 3 3 6" xfId="25174" xr:uid="{0A590D70-70B9-4D1E-8039-283F7FA1DB60}"/>
    <cellStyle name="Comma 3 3 2 3 4" xfId="2425" xr:uid="{00000000-0005-0000-0000-00008A170000}"/>
    <cellStyle name="Comma 3 3 2 3 4 2" xfId="2426" xr:uid="{00000000-0005-0000-0000-00008B170000}"/>
    <cellStyle name="Comma 3 3 2 3 4 2 2" xfId="9575" xr:uid="{00000000-0005-0000-0000-00008C170000}"/>
    <cellStyle name="Comma 3 3 2 3 4 2 2 2" xfId="21121" xr:uid="{BCAF1949-2EEC-4713-B6C5-E96F2AD667B9}"/>
    <cellStyle name="Comma 3 3 2 3 4 2 2 3" xfId="31537" xr:uid="{82C95C0B-056A-4F37-ACC5-96E8106D9826}"/>
    <cellStyle name="Comma 3 3 2 3 4 2 3" xfId="14761" xr:uid="{D2573F85-CFFF-41C1-96F5-C79D75086DC4}"/>
    <cellStyle name="Comma 3 3 2 3 4 2 4" xfId="25177" xr:uid="{F2118706-CEA6-4113-8B24-2457FF8C585A}"/>
    <cellStyle name="Comma 3 3 2 3 4 3" xfId="9574" xr:uid="{00000000-0005-0000-0000-00008D170000}"/>
    <cellStyle name="Comma 3 3 2 3 4 3 2" xfId="21120" xr:uid="{1D035E16-22AB-4EA3-A2CB-2DC70F6C3E51}"/>
    <cellStyle name="Comma 3 3 2 3 4 3 3" xfId="31536" xr:uid="{3F6E88CD-50C5-48A1-A542-8198395E3F9F}"/>
    <cellStyle name="Comma 3 3 2 3 4 4" xfId="5978" xr:uid="{00000000-0005-0000-0000-00008E170000}"/>
    <cellStyle name="Comma 3 3 2 3 4 4 2" xfId="17564" xr:uid="{D3AA2C6D-1779-4276-8EFA-40ECF9F554C2}"/>
    <cellStyle name="Comma 3 3 2 3 4 4 3" xfId="27980" xr:uid="{3253CE94-1D5C-422C-AE57-2E2AB6A88C3C}"/>
    <cellStyle name="Comma 3 3 2 3 4 5" xfId="14760" xr:uid="{5CB51EA0-0D41-4940-9EB2-16D3042FD596}"/>
    <cellStyle name="Comma 3 3 2 3 4 6" xfId="25176" xr:uid="{6F8D103A-1017-4DCF-A156-AE6A06DCB936}"/>
    <cellStyle name="Comma 3 3 2 3 5" xfId="2427" xr:uid="{00000000-0005-0000-0000-00008F170000}"/>
    <cellStyle name="Comma 3 3 2 3 5 2" xfId="9576" xr:uid="{00000000-0005-0000-0000-000090170000}"/>
    <cellStyle name="Comma 3 3 2 3 5 2 2" xfId="21122" xr:uid="{B0562D59-455C-4BEB-99EE-718BC441C496}"/>
    <cellStyle name="Comma 3 3 2 3 5 2 3" xfId="31538" xr:uid="{9FB1CDF8-582E-48DD-B24D-9A959AEF655E}"/>
    <cellStyle name="Comma 3 3 2 3 5 3" xfId="14762" xr:uid="{3914FB77-C993-4DEE-9B22-9BF04DB6CE8C}"/>
    <cellStyle name="Comma 3 3 2 3 5 4" xfId="25178" xr:uid="{E74E6681-2303-4C32-98FB-05E7C82ECDE8}"/>
    <cellStyle name="Comma 3 3 2 3 6" xfId="9567" xr:uid="{00000000-0005-0000-0000-000091170000}"/>
    <cellStyle name="Comma 3 3 2 3 6 2" xfId="21113" xr:uid="{EE7B5A85-BEB0-4A8B-9678-F63C687B3328}"/>
    <cellStyle name="Comma 3 3 2 3 6 3" xfId="31529" xr:uid="{83A40EEC-2C26-4EA7-AD12-B7EB15C70748}"/>
    <cellStyle name="Comma 3 3 2 3 7" xfId="5974" xr:uid="{00000000-0005-0000-0000-000092170000}"/>
    <cellStyle name="Comma 3 3 2 3 7 2" xfId="17560" xr:uid="{060961BA-24FB-4771-8F73-410DC7C620E6}"/>
    <cellStyle name="Comma 3 3 2 3 7 3" xfId="27976" xr:uid="{62D385B9-4FC2-4707-9897-10FC5FD57A24}"/>
    <cellStyle name="Comma 3 3 2 3 8" xfId="14753" xr:uid="{065788F2-8A1E-4E87-AC99-28F87398FC09}"/>
    <cellStyle name="Comma 3 3 2 3 9" xfId="25169" xr:uid="{2688639C-A67F-4477-B66E-2F8C84D8A895}"/>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2 2 2" xfId="21126" xr:uid="{E36D48B0-DBAC-4DE1-B581-043B61102CC1}"/>
    <cellStyle name="Comma 3 3 2 4 2 2 2 2 3" xfId="31542" xr:uid="{61AB22D9-4EA5-415A-A8E4-CD4C68FA329C}"/>
    <cellStyle name="Comma 3 3 2 4 2 2 2 3" xfId="14766" xr:uid="{9CDB23C4-F007-410D-9AA8-CE2CAB49338D}"/>
    <cellStyle name="Comma 3 3 2 4 2 2 2 4" xfId="25182" xr:uid="{30E99415-F48F-4230-A4E4-E1E9FFC3A66B}"/>
    <cellStyle name="Comma 3 3 2 4 2 2 3" xfId="9579" xr:uid="{00000000-0005-0000-0000-000098170000}"/>
    <cellStyle name="Comma 3 3 2 4 2 2 3 2" xfId="21125" xr:uid="{92E19466-23F0-487D-9F40-86EB045D682D}"/>
    <cellStyle name="Comma 3 3 2 4 2 2 3 3" xfId="31541" xr:uid="{84D0FBD6-65DE-4D9D-97C1-4147AFAD0C79}"/>
    <cellStyle name="Comma 3 3 2 4 2 2 4" xfId="5981" xr:uid="{00000000-0005-0000-0000-000099170000}"/>
    <cellStyle name="Comma 3 3 2 4 2 2 4 2" xfId="17567" xr:uid="{EEADE292-07E7-481F-977A-28EF161A8A5D}"/>
    <cellStyle name="Comma 3 3 2 4 2 2 4 3" xfId="27983" xr:uid="{E19C3E98-68B7-4652-A06D-2C74FA886503}"/>
    <cellStyle name="Comma 3 3 2 4 2 2 5" xfId="14765" xr:uid="{6095422C-ED46-4F2B-9BF9-5ED8C806AAEC}"/>
    <cellStyle name="Comma 3 3 2 4 2 2 6" xfId="25181" xr:uid="{842D0792-A667-4CE1-8BE9-5FDE52D9A3B1}"/>
    <cellStyle name="Comma 3 3 2 4 2 3" xfId="2432" xr:uid="{00000000-0005-0000-0000-00009A170000}"/>
    <cellStyle name="Comma 3 3 2 4 2 3 2" xfId="9581" xr:uid="{00000000-0005-0000-0000-00009B170000}"/>
    <cellStyle name="Comma 3 3 2 4 2 3 2 2" xfId="21127" xr:uid="{59753366-4159-4EF0-B8F6-374B69BC715E}"/>
    <cellStyle name="Comma 3 3 2 4 2 3 2 3" xfId="31543" xr:uid="{3FA3183F-0B07-4859-A9D0-1207E02CD704}"/>
    <cellStyle name="Comma 3 3 2 4 2 3 3" xfId="14767" xr:uid="{EFD104DB-0065-4921-8D24-1F6B5B1A8D41}"/>
    <cellStyle name="Comma 3 3 2 4 2 3 4" xfId="25183" xr:uid="{E3D6640C-616F-4007-8DE6-4E5C2A458B9B}"/>
    <cellStyle name="Comma 3 3 2 4 2 4" xfId="9578" xr:uid="{00000000-0005-0000-0000-00009C170000}"/>
    <cellStyle name="Comma 3 3 2 4 2 4 2" xfId="21124" xr:uid="{5D90BD0A-6121-469A-B423-FDF260D28A2C}"/>
    <cellStyle name="Comma 3 3 2 4 2 4 3" xfId="31540" xr:uid="{F8EBC04C-4782-4F13-97D6-E9EC6429817D}"/>
    <cellStyle name="Comma 3 3 2 4 2 5" xfId="5980" xr:uid="{00000000-0005-0000-0000-00009D170000}"/>
    <cellStyle name="Comma 3 3 2 4 2 5 2" xfId="17566" xr:uid="{32848D27-730A-431E-9480-56E3AC4EBD23}"/>
    <cellStyle name="Comma 3 3 2 4 2 5 3" xfId="27982" xr:uid="{527E206B-6B3C-4D33-8AEA-61788A0FEAB6}"/>
    <cellStyle name="Comma 3 3 2 4 2 6" xfId="14764" xr:uid="{15211E3C-F37D-4695-89F6-C0DBB11F58E3}"/>
    <cellStyle name="Comma 3 3 2 4 2 7" xfId="25180" xr:uid="{95B765BA-D91E-4F87-A8A9-87468821DA9F}"/>
    <cellStyle name="Comma 3 3 2 4 3" xfId="2433" xr:uid="{00000000-0005-0000-0000-00009E170000}"/>
    <cellStyle name="Comma 3 3 2 4 3 2" xfId="2434" xr:uid="{00000000-0005-0000-0000-00009F170000}"/>
    <cellStyle name="Comma 3 3 2 4 3 2 2" xfId="9583" xr:uid="{00000000-0005-0000-0000-0000A0170000}"/>
    <cellStyle name="Comma 3 3 2 4 3 2 2 2" xfId="21129" xr:uid="{951BB40F-A609-400A-ACEC-F4D48FDE972E}"/>
    <cellStyle name="Comma 3 3 2 4 3 2 2 3" xfId="31545" xr:uid="{1CF5F961-34E2-4469-8D28-E943BDA1CEB9}"/>
    <cellStyle name="Comma 3 3 2 4 3 2 3" xfId="14769" xr:uid="{BCDF79EB-138C-4B09-8379-0C4EB12C6BA4}"/>
    <cellStyle name="Comma 3 3 2 4 3 2 4" xfId="25185" xr:uid="{F5259214-7BC7-4E24-A96C-F6B51D268A08}"/>
    <cellStyle name="Comma 3 3 2 4 3 3" xfId="9582" xr:uid="{00000000-0005-0000-0000-0000A1170000}"/>
    <cellStyle name="Comma 3 3 2 4 3 3 2" xfId="21128" xr:uid="{1FB2308B-0DC5-4B06-8A67-27280F93D73B}"/>
    <cellStyle name="Comma 3 3 2 4 3 3 3" xfId="31544" xr:uid="{78C7AD0A-CE43-46B4-A5B0-4A70B7AC6D93}"/>
    <cellStyle name="Comma 3 3 2 4 3 4" xfId="5982" xr:uid="{00000000-0005-0000-0000-0000A2170000}"/>
    <cellStyle name="Comma 3 3 2 4 3 4 2" xfId="17568" xr:uid="{98569849-1DBA-48A7-A96B-96D6122F65C1}"/>
    <cellStyle name="Comma 3 3 2 4 3 4 3" xfId="27984" xr:uid="{E469DA75-C2D6-4C92-8AE4-94FB95DB43B1}"/>
    <cellStyle name="Comma 3 3 2 4 3 5" xfId="14768" xr:uid="{8F7416C3-9EEC-4F4C-B2B4-093EC3A985CF}"/>
    <cellStyle name="Comma 3 3 2 4 3 6" xfId="25184" xr:uid="{02C61DD3-F8C2-42D2-8FFD-D66677C13944}"/>
    <cellStyle name="Comma 3 3 2 4 4" xfId="2435" xr:uid="{00000000-0005-0000-0000-0000A3170000}"/>
    <cellStyle name="Comma 3 3 2 4 4 2" xfId="2436" xr:uid="{00000000-0005-0000-0000-0000A4170000}"/>
    <cellStyle name="Comma 3 3 2 4 4 2 2" xfId="9585" xr:uid="{00000000-0005-0000-0000-0000A5170000}"/>
    <cellStyle name="Comma 3 3 2 4 4 2 2 2" xfId="21131" xr:uid="{F2C5D580-44E9-40C9-A98F-4F3123A26E67}"/>
    <cellStyle name="Comma 3 3 2 4 4 2 2 3" xfId="31547" xr:uid="{2C250385-94D7-4A38-8A87-1526488EC5D5}"/>
    <cellStyle name="Comma 3 3 2 4 4 2 3" xfId="14771" xr:uid="{B140C657-1EBE-4C44-88D8-F7DFE9BAB68F}"/>
    <cellStyle name="Comma 3 3 2 4 4 2 4" xfId="25187" xr:uid="{DBC49F3D-926D-4286-BD57-E8BDCE27AB1D}"/>
    <cellStyle name="Comma 3 3 2 4 4 3" xfId="9584" xr:uid="{00000000-0005-0000-0000-0000A6170000}"/>
    <cellStyle name="Comma 3 3 2 4 4 3 2" xfId="21130" xr:uid="{4A00DE84-6607-44C1-B9AF-6B7295154AEB}"/>
    <cellStyle name="Comma 3 3 2 4 4 3 3" xfId="31546" xr:uid="{42FE39AC-93B0-48FF-83AF-5D2F8AA693B8}"/>
    <cellStyle name="Comma 3 3 2 4 4 4" xfId="5983" xr:uid="{00000000-0005-0000-0000-0000A7170000}"/>
    <cellStyle name="Comma 3 3 2 4 4 4 2" xfId="17569" xr:uid="{DE31F872-23AA-4881-8538-39B7F2DED8B9}"/>
    <cellStyle name="Comma 3 3 2 4 4 4 3" xfId="27985" xr:uid="{9F5748A5-281F-433C-B82F-0BFE3AA934AA}"/>
    <cellStyle name="Comma 3 3 2 4 4 5" xfId="14770" xr:uid="{C36C2271-0AE8-4BCA-814F-D6BF461C11CF}"/>
    <cellStyle name="Comma 3 3 2 4 4 6" xfId="25186" xr:uid="{702D7ACC-53C8-4028-ABD8-C089C8075D9A}"/>
    <cellStyle name="Comma 3 3 2 4 5" xfId="2437" xr:uid="{00000000-0005-0000-0000-0000A8170000}"/>
    <cellStyle name="Comma 3 3 2 4 5 2" xfId="9586" xr:uid="{00000000-0005-0000-0000-0000A9170000}"/>
    <cellStyle name="Comma 3 3 2 4 5 2 2" xfId="21132" xr:uid="{5595F361-B476-4DB0-A64D-93615B150894}"/>
    <cellStyle name="Comma 3 3 2 4 5 2 3" xfId="31548" xr:uid="{8B981CC1-54C7-49D8-B2D5-85C26FAE1EB3}"/>
    <cellStyle name="Comma 3 3 2 4 5 3" xfId="14772" xr:uid="{E2E0293E-BC1F-4C64-A064-C2B05652C4E0}"/>
    <cellStyle name="Comma 3 3 2 4 5 4" xfId="25188" xr:uid="{98FAC996-7029-4D5B-AC68-2A5AE94CA9CE}"/>
    <cellStyle name="Comma 3 3 2 4 6" xfId="9577" xr:uid="{00000000-0005-0000-0000-0000AA170000}"/>
    <cellStyle name="Comma 3 3 2 4 6 2" xfId="21123" xr:uid="{759FA7AC-7A2B-4961-B27B-BBD612C5FCE1}"/>
    <cellStyle name="Comma 3 3 2 4 6 3" xfId="31539" xr:uid="{3C45C384-C9E2-4397-A251-1E34ADD7034E}"/>
    <cellStyle name="Comma 3 3 2 4 7" xfId="5979" xr:uid="{00000000-0005-0000-0000-0000AB170000}"/>
    <cellStyle name="Comma 3 3 2 4 7 2" xfId="17565" xr:uid="{D8CEBD68-C7CC-423E-8E2B-2DBFF824FFA4}"/>
    <cellStyle name="Comma 3 3 2 4 7 3" xfId="27981" xr:uid="{47FAA3D5-CF45-42A4-AF12-C296854E6DBC}"/>
    <cellStyle name="Comma 3 3 2 4 8" xfId="14763" xr:uid="{1B57A26E-59EF-4CB6-8914-18E24F1CE1C6}"/>
    <cellStyle name="Comma 3 3 2 4 9" xfId="25179" xr:uid="{ADB7AD71-1362-436E-B3AC-924DE3286308}"/>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2 2 2" xfId="21136" xr:uid="{1E48D200-5CD6-4DA7-973F-A72EEE52C943}"/>
    <cellStyle name="Comma 3 3 2 5 2 2 2 2 3" xfId="31552" xr:uid="{499246E2-9D67-47E4-8BCD-3E71B03F7E78}"/>
    <cellStyle name="Comma 3 3 2 5 2 2 2 3" xfId="14776" xr:uid="{9CB98BC0-0970-4745-A4A7-28E49D0DD6D5}"/>
    <cellStyle name="Comma 3 3 2 5 2 2 2 4" xfId="25192" xr:uid="{C703DB7C-729C-45CD-8659-6A18486D898E}"/>
    <cellStyle name="Comma 3 3 2 5 2 2 3" xfId="9589" xr:uid="{00000000-0005-0000-0000-0000B1170000}"/>
    <cellStyle name="Comma 3 3 2 5 2 2 3 2" xfId="21135" xr:uid="{373CC649-3B24-4221-B754-3DBA572889DA}"/>
    <cellStyle name="Comma 3 3 2 5 2 2 3 3" xfId="31551" xr:uid="{39F94467-D724-4B7F-AC09-D0FFBA2212F4}"/>
    <cellStyle name="Comma 3 3 2 5 2 2 4" xfId="5986" xr:uid="{00000000-0005-0000-0000-0000B2170000}"/>
    <cellStyle name="Comma 3 3 2 5 2 2 4 2" xfId="17572" xr:uid="{69E0B96E-26B9-49F9-82A3-B179A4B8CAD8}"/>
    <cellStyle name="Comma 3 3 2 5 2 2 4 3" xfId="27988" xr:uid="{6A8D1F7F-5398-4C44-8A46-33E42F8ABC1D}"/>
    <cellStyle name="Comma 3 3 2 5 2 2 5" xfId="14775" xr:uid="{41B43168-9124-467F-B6F3-5F1FFF6C4C99}"/>
    <cellStyle name="Comma 3 3 2 5 2 2 6" xfId="25191" xr:uid="{D9F8B821-8CC1-4A4F-BE80-9CF63E8ADF11}"/>
    <cellStyle name="Comma 3 3 2 5 2 3" xfId="2442" xr:uid="{00000000-0005-0000-0000-0000B3170000}"/>
    <cellStyle name="Comma 3 3 2 5 2 3 2" xfId="9591" xr:uid="{00000000-0005-0000-0000-0000B4170000}"/>
    <cellStyle name="Comma 3 3 2 5 2 3 2 2" xfId="21137" xr:uid="{FB7D9D7F-F175-4EBC-994F-2E015FFCBD1B}"/>
    <cellStyle name="Comma 3 3 2 5 2 3 2 3" xfId="31553" xr:uid="{89D9B2EA-8556-40F1-922C-BDFFE1E230BE}"/>
    <cellStyle name="Comma 3 3 2 5 2 3 3" xfId="14777" xr:uid="{DDD8A830-66E6-441F-AD2C-41D77B7C15D0}"/>
    <cellStyle name="Comma 3 3 2 5 2 3 4" xfId="25193" xr:uid="{BF52F65F-D16B-47EF-9266-8A081A3B068D}"/>
    <cellStyle name="Comma 3 3 2 5 2 4" xfId="9588" xr:uid="{00000000-0005-0000-0000-0000B5170000}"/>
    <cellStyle name="Comma 3 3 2 5 2 4 2" xfId="21134" xr:uid="{0352E4A7-5ACF-474F-BF58-55B97733585C}"/>
    <cellStyle name="Comma 3 3 2 5 2 4 3" xfId="31550" xr:uid="{B6682BB0-B92E-424B-93C2-F8FA8CC9B56F}"/>
    <cellStyle name="Comma 3 3 2 5 2 5" xfId="5985" xr:uid="{00000000-0005-0000-0000-0000B6170000}"/>
    <cellStyle name="Comma 3 3 2 5 2 5 2" xfId="17571" xr:uid="{499A73B2-FB61-4C66-9346-5339A216F47D}"/>
    <cellStyle name="Comma 3 3 2 5 2 5 3" xfId="27987" xr:uid="{09F2D3CC-2F3E-4639-8EDB-78A23BD7FAFD}"/>
    <cellStyle name="Comma 3 3 2 5 2 6" xfId="14774" xr:uid="{24DDD951-3872-481C-93D8-0C9BC18F155C}"/>
    <cellStyle name="Comma 3 3 2 5 2 7" xfId="25190" xr:uid="{C136DE46-9109-4239-B81D-370B5C8DCB25}"/>
    <cellStyle name="Comma 3 3 2 5 3" xfId="2443" xr:uid="{00000000-0005-0000-0000-0000B7170000}"/>
    <cellStyle name="Comma 3 3 2 5 3 2" xfId="2444" xr:uid="{00000000-0005-0000-0000-0000B8170000}"/>
    <cellStyle name="Comma 3 3 2 5 3 2 2" xfId="9593" xr:uid="{00000000-0005-0000-0000-0000B9170000}"/>
    <cellStyle name="Comma 3 3 2 5 3 2 2 2" xfId="21139" xr:uid="{CAC0CFBB-DC88-461E-AED4-4C22848BEAF3}"/>
    <cellStyle name="Comma 3 3 2 5 3 2 2 3" xfId="31555" xr:uid="{935E8311-C77C-490F-9C41-E4E0EFE6ED1A}"/>
    <cellStyle name="Comma 3 3 2 5 3 2 3" xfId="14779" xr:uid="{61E1D697-FDF8-4546-9358-BF1D1097E1B3}"/>
    <cellStyle name="Comma 3 3 2 5 3 2 4" xfId="25195" xr:uid="{F62880FA-424C-496B-98B3-8AA7D510DD84}"/>
    <cellStyle name="Comma 3 3 2 5 3 3" xfId="9592" xr:uid="{00000000-0005-0000-0000-0000BA170000}"/>
    <cellStyle name="Comma 3 3 2 5 3 3 2" xfId="21138" xr:uid="{7FC07C53-C8EF-4243-A9B8-4619D6A8072D}"/>
    <cellStyle name="Comma 3 3 2 5 3 3 3" xfId="31554" xr:uid="{F57F7B0D-0153-48EC-B135-4D2D93B1D9FF}"/>
    <cellStyle name="Comma 3 3 2 5 3 4" xfId="5987" xr:uid="{00000000-0005-0000-0000-0000BB170000}"/>
    <cellStyle name="Comma 3 3 2 5 3 4 2" xfId="17573" xr:uid="{B031AC83-5DA6-49FE-ABE7-63D4E5B1D49F}"/>
    <cellStyle name="Comma 3 3 2 5 3 4 3" xfId="27989" xr:uid="{FE41531B-05DC-4A94-BA43-54F2D51CC88E}"/>
    <cellStyle name="Comma 3 3 2 5 3 5" xfId="14778" xr:uid="{EC3FD086-C2A4-412F-BC20-21EB3257AEAB}"/>
    <cellStyle name="Comma 3 3 2 5 3 6" xfId="25194" xr:uid="{E8FBDC30-750F-421A-BB56-0928E493EE4B}"/>
    <cellStyle name="Comma 3 3 2 5 4" xfId="2445" xr:uid="{00000000-0005-0000-0000-0000BC170000}"/>
    <cellStyle name="Comma 3 3 2 5 4 2" xfId="2446" xr:uid="{00000000-0005-0000-0000-0000BD170000}"/>
    <cellStyle name="Comma 3 3 2 5 4 2 2" xfId="9595" xr:uid="{00000000-0005-0000-0000-0000BE170000}"/>
    <cellStyle name="Comma 3 3 2 5 4 2 2 2" xfId="21141" xr:uid="{E9B36521-6D0D-49B3-8FF2-9AFF91068494}"/>
    <cellStyle name="Comma 3 3 2 5 4 2 2 3" xfId="31557" xr:uid="{CC14015B-1161-49F9-A7B1-DCA9F009A945}"/>
    <cellStyle name="Comma 3 3 2 5 4 2 3" xfId="14781" xr:uid="{96370B6E-E16E-43C0-96D4-1EC9CB742F96}"/>
    <cellStyle name="Comma 3 3 2 5 4 2 4" xfId="25197" xr:uid="{5159CD50-ADD3-4F5B-881E-511FF4D43839}"/>
    <cellStyle name="Comma 3 3 2 5 4 3" xfId="9594" xr:uid="{00000000-0005-0000-0000-0000BF170000}"/>
    <cellStyle name="Comma 3 3 2 5 4 3 2" xfId="21140" xr:uid="{E99438F2-4451-485D-A5C9-690BBD2E70C0}"/>
    <cellStyle name="Comma 3 3 2 5 4 3 3" xfId="31556" xr:uid="{B65D3C54-E2F0-467F-B4D0-3DFE10E6DC33}"/>
    <cellStyle name="Comma 3 3 2 5 4 4" xfId="5988" xr:uid="{00000000-0005-0000-0000-0000C0170000}"/>
    <cellStyle name="Comma 3 3 2 5 4 4 2" xfId="17574" xr:uid="{E25F2485-1349-430C-BD0A-D524CFF2CA68}"/>
    <cellStyle name="Comma 3 3 2 5 4 4 3" xfId="27990" xr:uid="{392B512B-DD3F-4A22-815F-BF14A528C7C2}"/>
    <cellStyle name="Comma 3 3 2 5 4 5" xfId="14780" xr:uid="{43C35CE4-5305-484C-B28F-2B00BBEF7FC7}"/>
    <cellStyle name="Comma 3 3 2 5 4 6" xfId="25196" xr:uid="{E990FB7B-987B-43F5-A649-947865F34FB8}"/>
    <cellStyle name="Comma 3 3 2 5 5" xfId="2447" xr:uid="{00000000-0005-0000-0000-0000C1170000}"/>
    <cellStyle name="Comma 3 3 2 5 5 2" xfId="9596" xr:uid="{00000000-0005-0000-0000-0000C2170000}"/>
    <cellStyle name="Comma 3 3 2 5 5 2 2" xfId="21142" xr:uid="{26AC6920-459D-41DA-B11D-7DBE0E8DB419}"/>
    <cellStyle name="Comma 3 3 2 5 5 2 3" xfId="31558" xr:uid="{F1C47414-989D-45DB-9036-C190A8F3D851}"/>
    <cellStyle name="Comma 3 3 2 5 5 3" xfId="14782" xr:uid="{EE45A8CF-22E0-48ED-A72E-AE3E1FD33875}"/>
    <cellStyle name="Comma 3 3 2 5 5 4" xfId="25198" xr:uid="{70C062BC-BA3F-448B-A180-63EE6E87203F}"/>
    <cellStyle name="Comma 3 3 2 5 6" xfId="9587" xr:uid="{00000000-0005-0000-0000-0000C3170000}"/>
    <cellStyle name="Comma 3 3 2 5 6 2" xfId="21133" xr:uid="{C325A541-5B5C-4FDF-9430-BB44E752CFCC}"/>
    <cellStyle name="Comma 3 3 2 5 6 3" xfId="31549" xr:uid="{CC57FBC6-C2E3-4BB1-A202-EE02D5696669}"/>
    <cellStyle name="Comma 3 3 2 5 7" xfId="5984" xr:uid="{00000000-0005-0000-0000-0000C4170000}"/>
    <cellStyle name="Comma 3 3 2 5 7 2" xfId="17570" xr:uid="{6CC0E777-D144-4D72-9B92-65BE0F51D85F}"/>
    <cellStyle name="Comma 3 3 2 5 7 3" xfId="27986" xr:uid="{5B6B8A0D-DE43-4698-A6D2-B81C7EB02752}"/>
    <cellStyle name="Comma 3 3 2 5 8" xfId="14773" xr:uid="{781CC41F-1C68-4A19-9389-EA7217E3828B}"/>
    <cellStyle name="Comma 3 3 2 5 9" xfId="25189" xr:uid="{0864D3FA-67FE-4C19-90E9-5FCA530A7088}"/>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2 2 2" xfId="21145" xr:uid="{4870C4C8-D326-4149-B2E0-039338EE354C}"/>
    <cellStyle name="Comma 3 3 2 6 2 2 2 3" xfId="31561" xr:uid="{13AC921E-02E3-4022-8221-7D70308AD64E}"/>
    <cellStyle name="Comma 3 3 2 6 2 2 3" xfId="14785" xr:uid="{2EBB5CA7-C367-4A9C-9DD6-34A0E47EF88C}"/>
    <cellStyle name="Comma 3 3 2 6 2 2 4" xfId="25201" xr:uid="{3728F1BB-82F3-4EAB-994A-E182D6A159E6}"/>
    <cellStyle name="Comma 3 3 2 6 2 3" xfId="9598" xr:uid="{00000000-0005-0000-0000-0000C9170000}"/>
    <cellStyle name="Comma 3 3 2 6 2 3 2" xfId="21144" xr:uid="{168295DC-09CA-45B3-B923-C5E7E8E507F2}"/>
    <cellStyle name="Comma 3 3 2 6 2 3 3" xfId="31560" xr:uid="{AC65BADD-DB6F-41A8-8EB0-C5B1FE508D82}"/>
    <cellStyle name="Comma 3 3 2 6 2 4" xfId="5990" xr:uid="{00000000-0005-0000-0000-0000CA170000}"/>
    <cellStyle name="Comma 3 3 2 6 2 4 2" xfId="17576" xr:uid="{B7A9AE62-C66E-42B0-84F4-C7FE776D01B0}"/>
    <cellStyle name="Comma 3 3 2 6 2 4 3" xfId="27992" xr:uid="{3CF32445-117F-4ECC-8824-2E95D4C655D7}"/>
    <cellStyle name="Comma 3 3 2 6 2 5" xfId="14784" xr:uid="{3FFE37FB-9AA5-4BEB-97DE-C4B36AD6D8F4}"/>
    <cellStyle name="Comma 3 3 2 6 2 6" xfId="25200" xr:uid="{AE57DEA6-DEA4-48C0-A3C0-D800A6946607}"/>
    <cellStyle name="Comma 3 3 2 6 3" xfId="2451" xr:uid="{00000000-0005-0000-0000-0000CB170000}"/>
    <cellStyle name="Comma 3 3 2 6 3 2" xfId="2452" xr:uid="{00000000-0005-0000-0000-0000CC170000}"/>
    <cellStyle name="Comma 3 3 2 6 3 2 2" xfId="9601" xr:uid="{00000000-0005-0000-0000-0000CD170000}"/>
    <cellStyle name="Comma 3 3 2 6 3 2 2 2" xfId="21147" xr:uid="{8A3FF23A-78C1-4058-87D1-F9D5426E87B4}"/>
    <cellStyle name="Comma 3 3 2 6 3 2 2 3" xfId="31563" xr:uid="{6E8BF2F4-FC6B-4611-8CD3-45FA37B3115D}"/>
    <cellStyle name="Comma 3 3 2 6 3 2 3" xfId="14787" xr:uid="{0968C953-71CB-4D9C-A588-544A213492C2}"/>
    <cellStyle name="Comma 3 3 2 6 3 2 4" xfId="25203" xr:uid="{763AB84B-4D21-4162-B3DD-C470E24E966B}"/>
    <cellStyle name="Comma 3 3 2 6 3 3" xfId="9600" xr:uid="{00000000-0005-0000-0000-0000CE170000}"/>
    <cellStyle name="Comma 3 3 2 6 3 3 2" xfId="21146" xr:uid="{AD052809-06DB-461D-914D-98F8E7BD038F}"/>
    <cellStyle name="Comma 3 3 2 6 3 3 3" xfId="31562" xr:uid="{F6FA609A-608A-4612-BEFB-CB4EB485BCE7}"/>
    <cellStyle name="Comma 3 3 2 6 3 4" xfId="5991" xr:uid="{00000000-0005-0000-0000-0000CF170000}"/>
    <cellStyle name="Comma 3 3 2 6 3 4 2" xfId="17577" xr:uid="{6AC79DA9-21D9-433D-8E75-43D8927C3C8F}"/>
    <cellStyle name="Comma 3 3 2 6 3 4 3" xfId="27993" xr:uid="{8ED8393B-0CD6-41F2-913B-AB191020C4B3}"/>
    <cellStyle name="Comma 3 3 2 6 3 5" xfId="14786" xr:uid="{03F6C9C4-D91B-4CCB-915C-7F383F521D5F}"/>
    <cellStyle name="Comma 3 3 2 6 3 6" xfId="25202" xr:uid="{40B001AC-2651-4DDD-BD14-5974BCA3559C}"/>
    <cellStyle name="Comma 3 3 2 6 4" xfId="2453" xr:uid="{00000000-0005-0000-0000-0000D0170000}"/>
    <cellStyle name="Comma 3 3 2 6 4 2" xfId="9602" xr:uid="{00000000-0005-0000-0000-0000D1170000}"/>
    <cellStyle name="Comma 3 3 2 6 4 2 2" xfId="21148" xr:uid="{1FF7F0F7-56F2-4B8B-9742-9813A9B775D5}"/>
    <cellStyle name="Comma 3 3 2 6 4 2 3" xfId="31564" xr:uid="{BEB82873-C81C-429A-B12E-FB70C9F381FE}"/>
    <cellStyle name="Comma 3 3 2 6 4 3" xfId="14788" xr:uid="{FA6C8BB1-9234-447A-BE20-03CBD81A1708}"/>
    <cellStyle name="Comma 3 3 2 6 4 4" xfId="25204" xr:uid="{182E4E53-00D7-4783-BE4A-9DB759F19D86}"/>
    <cellStyle name="Comma 3 3 2 6 5" xfId="9597" xr:uid="{00000000-0005-0000-0000-0000D2170000}"/>
    <cellStyle name="Comma 3 3 2 6 5 2" xfId="21143" xr:uid="{236CA89B-1018-4BA4-82F3-A142191075ED}"/>
    <cellStyle name="Comma 3 3 2 6 5 3" xfId="31559" xr:uid="{C1904EEA-46C5-476C-A7C7-681F2A9F62CE}"/>
    <cellStyle name="Comma 3 3 2 6 6" xfId="5989" xr:uid="{00000000-0005-0000-0000-0000D3170000}"/>
    <cellStyle name="Comma 3 3 2 6 6 2" xfId="17575" xr:uid="{C78350A4-08EF-4A6E-91A2-BF18144E63E4}"/>
    <cellStyle name="Comma 3 3 2 6 6 3" xfId="27991" xr:uid="{51024994-F519-4461-BC9D-4002FAE32A3E}"/>
    <cellStyle name="Comma 3 3 2 6 7" xfId="14783" xr:uid="{EF83210A-4010-4CFC-BAD4-7E6CE7D8E594}"/>
    <cellStyle name="Comma 3 3 2 6 8" xfId="25199" xr:uid="{78C0F8C4-AA5C-46AE-BE7F-763A85750F9D}"/>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2 2 2" xfId="21151" xr:uid="{D9B09673-710E-4B51-8767-F80701AF2C48}"/>
    <cellStyle name="Comma 3 3 2 7 2 2 2 3" xfId="31567" xr:uid="{BC8258E9-1FE8-408D-9AA8-7A06BAD99E86}"/>
    <cellStyle name="Comma 3 3 2 7 2 2 3" xfId="14791" xr:uid="{33A9D7C2-492A-450E-A699-D76D6F9A095F}"/>
    <cellStyle name="Comma 3 3 2 7 2 2 4" xfId="25207" xr:uid="{F61FBB47-4620-46AD-B0C7-F9FBC235A12A}"/>
    <cellStyle name="Comma 3 3 2 7 2 3" xfId="9604" xr:uid="{00000000-0005-0000-0000-0000D8170000}"/>
    <cellStyle name="Comma 3 3 2 7 2 3 2" xfId="21150" xr:uid="{82B117F4-6844-48F2-9C52-2115EBE061B0}"/>
    <cellStyle name="Comma 3 3 2 7 2 3 3" xfId="31566" xr:uid="{0B5DC96E-593C-4200-BA2F-E1B5098B7828}"/>
    <cellStyle name="Comma 3 3 2 7 2 4" xfId="5993" xr:uid="{00000000-0005-0000-0000-0000D9170000}"/>
    <cellStyle name="Comma 3 3 2 7 2 4 2" xfId="17579" xr:uid="{D4595C3F-BEB4-4E46-824A-38842A39C4CC}"/>
    <cellStyle name="Comma 3 3 2 7 2 4 3" xfId="27995" xr:uid="{C55381B0-12F2-45F2-88F4-5BC2043445D1}"/>
    <cellStyle name="Comma 3 3 2 7 2 5" xfId="14790" xr:uid="{B569B1D2-4C13-4037-944E-5D2791442427}"/>
    <cellStyle name="Comma 3 3 2 7 2 6" xfId="25206" xr:uid="{DC03F794-9682-4C31-BF0E-F75CD728F544}"/>
    <cellStyle name="Comma 3 3 2 7 3" xfId="2457" xr:uid="{00000000-0005-0000-0000-0000DA170000}"/>
    <cellStyle name="Comma 3 3 2 7 3 2" xfId="9606" xr:uid="{00000000-0005-0000-0000-0000DB170000}"/>
    <cellStyle name="Comma 3 3 2 7 3 2 2" xfId="21152" xr:uid="{61F40B3D-F8E6-49F9-88BB-51FC3C86D3CF}"/>
    <cellStyle name="Comma 3 3 2 7 3 2 3" xfId="31568" xr:uid="{5CA03D6A-CA29-42B9-972D-435F74283AE3}"/>
    <cellStyle name="Comma 3 3 2 7 3 3" xfId="14792" xr:uid="{C47401D5-A594-4F2B-AD26-E1D4F6D3CAD2}"/>
    <cellStyle name="Comma 3 3 2 7 3 4" xfId="25208" xr:uid="{6577C525-CA44-47FD-A161-CFE72F58AE72}"/>
    <cellStyle name="Comma 3 3 2 7 4" xfId="9603" xr:uid="{00000000-0005-0000-0000-0000DC170000}"/>
    <cellStyle name="Comma 3 3 2 7 4 2" xfId="21149" xr:uid="{AEA917CC-3B73-4752-9E5A-978DCDEB6E7C}"/>
    <cellStyle name="Comma 3 3 2 7 4 3" xfId="31565" xr:uid="{E35FC025-4192-4F6A-9A48-AD11F109AE83}"/>
    <cellStyle name="Comma 3 3 2 7 5" xfId="5992" xr:uid="{00000000-0005-0000-0000-0000DD170000}"/>
    <cellStyle name="Comma 3 3 2 7 5 2" xfId="17578" xr:uid="{4601C0C3-F678-4A68-9911-EA89A596791D}"/>
    <cellStyle name="Comma 3 3 2 7 5 3" xfId="27994" xr:uid="{1745D51C-8F4D-431E-A476-3C99EEAD7486}"/>
    <cellStyle name="Comma 3 3 2 7 6" xfId="14789" xr:uid="{415300F2-757A-40AB-BAA3-559CE121F2B8}"/>
    <cellStyle name="Comma 3 3 2 7 7" xfId="25205" xr:uid="{77E849D5-F457-4CB1-9658-315E1EA7C4A9}"/>
    <cellStyle name="Comma 3 3 2 8" xfId="2458" xr:uid="{00000000-0005-0000-0000-0000DE170000}"/>
    <cellStyle name="Comma 3 3 2 8 2" xfId="2459" xr:uid="{00000000-0005-0000-0000-0000DF170000}"/>
    <cellStyle name="Comma 3 3 2 8 2 2" xfId="9608" xr:uid="{00000000-0005-0000-0000-0000E0170000}"/>
    <cellStyle name="Comma 3 3 2 8 2 2 2" xfId="21154" xr:uid="{BF3A8DFD-C6CB-40F5-A9CF-C21582EB0224}"/>
    <cellStyle name="Comma 3 3 2 8 2 2 3" xfId="31570" xr:uid="{9C09F201-B698-42A9-8C6E-77BBA9996175}"/>
    <cellStyle name="Comma 3 3 2 8 2 3" xfId="14794" xr:uid="{9C0E1C46-CF6A-473F-A39E-1D53A9BAE037}"/>
    <cellStyle name="Comma 3 3 2 8 2 4" xfId="25210" xr:uid="{40A38AB5-1015-43E0-85ED-E75BB3E8636E}"/>
    <cellStyle name="Comma 3 3 2 8 3" xfId="9607" xr:uid="{00000000-0005-0000-0000-0000E1170000}"/>
    <cellStyle name="Comma 3 3 2 8 3 2" xfId="21153" xr:uid="{DA946AE9-3ABF-4DF2-BFF7-555D30BD7C5C}"/>
    <cellStyle name="Comma 3 3 2 8 3 3" xfId="31569" xr:uid="{34F3DE38-10E1-44F8-BEB2-E14C74A28542}"/>
    <cellStyle name="Comma 3 3 2 8 4" xfId="5994" xr:uid="{00000000-0005-0000-0000-0000E2170000}"/>
    <cellStyle name="Comma 3 3 2 8 4 2" xfId="17580" xr:uid="{A19D0291-8AC8-4B63-A84C-F4299A3C720B}"/>
    <cellStyle name="Comma 3 3 2 8 4 3" xfId="27996" xr:uid="{57A7ACD2-4B98-486C-A4AE-AD1E159059E4}"/>
    <cellStyle name="Comma 3 3 2 8 5" xfId="14793" xr:uid="{877D0674-8EB1-41C0-8C84-5B46B90A0EC3}"/>
    <cellStyle name="Comma 3 3 2 8 6" xfId="25209" xr:uid="{866C4932-A2E2-4EDF-8BB8-71FC4F61F45E}"/>
    <cellStyle name="Comma 3 3 2 9" xfId="2460" xr:uid="{00000000-0005-0000-0000-0000E3170000}"/>
    <cellStyle name="Comma 3 3 2 9 2" xfId="2461" xr:uid="{00000000-0005-0000-0000-0000E4170000}"/>
    <cellStyle name="Comma 3 3 2 9 2 2" xfId="9610" xr:uid="{00000000-0005-0000-0000-0000E5170000}"/>
    <cellStyle name="Comma 3 3 2 9 2 2 2" xfId="21156" xr:uid="{60433A1C-B014-42F7-B8B8-80019F7DD287}"/>
    <cellStyle name="Comma 3 3 2 9 2 2 3" xfId="31572" xr:uid="{ADCCA09D-9910-448A-86B1-28E406E31271}"/>
    <cellStyle name="Comma 3 3 2 9 2 3" xfId="14796" xr:uid="{BD14A72D-2D3B-4D84-A564-D008E2123F23}"/>
    <cellStyle name="Comma 3 3 2 9 2 4" xfId="25212" xr:uid="{0A9F13C6-F161-4361-94EC-AFD56AD94DF3}"/>
    <cellStyle name="Comma 3 3 2 9 3" xfId="9609" xr:uid="{00000000-0005-0000-0000-0000E6170000}"/>
    <cellStyle name="Comma 3 3 2 9 3 2" xfId="21155" xr:uid="{BBDE4536-2E39-4110-BDBC-5BFFA7099C47}"/>
    <cellStyle name="Comma 3 3 2 9 3 3" xfId="31571" xr:uid="{D3902055-8543-4C0A-BFA7-12ABE577A5C0}"/>
    <cellStyle name="Comma 3 3 2 9 4" xfId="5995" xr:uid="{00000000-0005-0000-0000-0000E7170000}"/>
    <cellStyle name="Comma 3 3 2 9 4 2" xfId="17581" xr:uid="{D3375936-58E9-4B4D-9406-78A9A7D1EBA0}"/>
    <cellStyle name="Comma 3 3 2 9 4 3" xfId="27997" xr:uid="{50A5003C-D19A-4C5C-9548-2CE3551AB619}"/>
    <cellStyle name="Comma 3 3 2 9 5" xfId="14795" xr:uid="{514ED0EF-E0C1-4C44-A547-3406237B659F}"/>
    <cellStyle name="Comma 3 3 2 9 6" xfId="25211" xr:uid="{E6C2608E-6A22-4242-81DD-82B1C098F452}"/>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2 2 2" xfId="21160" xr:uid="{6AB0DB59-446F-41C3-ADBE-C2B4DD2CD318}"/>
    <cellStyle name="Comma 3 3 3 2 2 2 2 3" xfId="31576" xr:uid="{4390B7F2-3F68-4BC4-A4CE-DB1531914C45}"/>
    <cellStyle name="Comma 3 3 3 2 2 2 3" xfId="14800" xr:uid="{90EE0CC5-7902-4B14-8D6C-B04CD11547BB}"/>
    <cellStyle name="Comma 3 3 3 2 2 2 4" xfId="25216" xr:uid="{194CB23D-E246-4FDE-89BF-F4B810F53598}"/>
    <cellStyle name="Comma 3 3 3 2 2 3" xfId="9613" xr:uid="{00000000-0005-0000-0000-0000ED170000}"/>
    <cellStyle name="Comma 3 3 3 2 2 3 2" xfId="21159" xr:uid="{29CE3D1E-F983-42E2-B68F-D1B7D91BF362}"/>
    <cellStyle name="Comma 3 3 3 2 2 3 3" xfId="31575" xr:uid="{72F418DF-1A26-4061-BA6C-099030871311}"/>
    <cellStyle name="Comma 3 3 3 2 2 4" xfId="5998" xr:uid="{00000000-0005-0000-0000-0000EE170000}"/>
    <cellStyle name="Comma 3 3 3 2 2 4 2" xfId="17584" xr:uid="{FB317C89-5FD2-45C7-9CBC-0CD11195E469}"/>
    <cellStyle name="Comma 3 3 3 2 2 4 3" xfId="28000" xr:uid="{6BA4378E-16B9-448E-9FD7-464B87342CA0}"/>
    <cellStyle name="Comma 3 3 3 2 2 5" xfId="14799" xr:uid="{59140B18-E0D4-4436-BEEF-8971B530CA27}"/>
    <cellStyle name="Comma 3 3 3 2 2 6" xfId="25215" xr:uid="{95EDA433-23F7-4ABE-8EAB-F64A7C62FBD4}"/>
    <cellStyle name="Comma 3 3 3 2 3" xfId="2466" xr:uid="{00000000-0005-0000-0000-0000EF170000}"/>
    <cellStyle name="Comma 3 3 3 2 3 2" xfId="9615" xr:uid="{00000000-0005-0000-0000-0000F0170000}"/>
    <cellStyle name="Comma 3 3 3 2 3 2 2" xfId="21161" xr:uid="{36E85047-B0E2-46CC-8CF0-8450ABB404EE}"/>
    <cellStyle name="Comma 3 3 3 2 3 2 3" xfId="31577" xr:uid="{7A1AFF18-D22B-480C-9C6E-7D2DEC785159}"/>
    <cellStyle name="Comma 3 3 3 2 3 3" xfId="14801" xr:uid="{7C7A6308-CAF9-44BD-AA01-E6BCE0207A50}"/>
    <cellStyle name="Comma 3 3 3 2 3 4" xfId="25217" xr:uid="{A8E77097-7F3E-4296-9811-4B1416C9D789}"/>
    <cellStyle name="Comma 3 3 3 2 4" xfId="9612" xr:uid="{00000000-0005-0000-0000-0000F1170000}"/>
    <cellStyle name="Comma 3 3 3 2 4 2" xfId="21158" xr:uid="{F85A7753-F4D8-4A39-8476-662F5BCD7E1C}"/>
    <cellStyle name="Comma 3 3 3 2 4 3" xfId="31574" xr:uid="{D17FBCB3-93AD-480A-B202-A142F44FDC43}"/>
    <cellStyle name="Comma 3 3 3 2 5" xfId="5997" xr:uid="{00000000-0005-0000-0000-0000F2170000}"/>
    <cellStyle name="Comma 3 3 3 2 5 2" xfId="17583" xr:uid="{CFE17F2C-C337-40D8-8279-F6F2E240FD74}"/>
    <cellStyle name="Comma 3 3 3 2 5 3" xfId="27999" xr:uid="{06F7FD77-26D8-41F9-9271-823B134BFB3D}"/>
    <cellStyle name="Comma 3 3 3 2 6" xfId="14798" xr:uid="{2EF02EEF-32B6-4798-B864-544168F8C06E}"/>
    <cellStyle name="Comma 3 3 3 2 7" xfId="25214" xr:uid="{93F25724-B5DF-41A9-99D0-2398AE231BBF}"/>
    <cellStyle name="Comma 3 3 3 3" xfId="2467" xr:uid="{00000000-0005-0000-0000-0000F3170000}"/>
    <cellStyle name="Comma 3 3 3 3 2" xfId="2468" xr:uid="{00000000-0005-0000-0000-0000F4170000}"/>
    <cellStyle name="Comma 3 3 3 3 2 2" xfId="9617" xr:uid="{00000000-0005-0000-0000-0000F5170000}"/>
    <cellStyle name="Comma 3 3 3 3 2 2 2" xfId="21163" xr:uid="{66ADDE1C-1882-4569-BEAB-3F22B8E5C96C}"/>
    <cellStyle name="Comma 3 3 3 3 2 2 3" xfId="31579" xr:uid="{1DA368C8-CA99-4DEF-B44F-8D83817FB2A2}"/>
    <cellStyle name="Comma 3 3 3 3 2 3" xfId="14803" xr:uid="{1926520F-1A33-4825-84FA-466A272DB844}"/>
    <cellStyle name="Comma 3 3 3 3 2 4" xfId="25219" xr:uid="{B31E9BFF-1ECB-4E74-9F05-E8C1808D587F}"/>
    <cellStyle name="Comma 3 3 3 3 3" xfId="9616" xr:uid="{00000000-0005-0000-0000-0000F6170000}"/>
    <cellStyle name="Comma 3 3 3 3 3 2" xfId="21162" xr:uid="{F8C31B40-BBE2-464B-A454-73953CB8E607}"/>
    <cellStyle name="Comma 3 3 3 3 3 3" xfId="31578" xr:uid="{2DAED112-4C2D-4B18-B017-94E0A87094F2}"/>
    <cellStyle name="Comma 3 3 3 3 4" xfId="5999" xr:uid="{00000000-0005-0000-0000-0000F7170000}"/>
    <cellStyle name="Comma 3 3 3 3 4 2" xfId="17585" xr:uid="{B52911D5-1C73-4A82-904F-EB3440C20061}"/>
    <cellStyle name="Comma 3 3 3 3 4 3" xfId="28001" xr:uid="{DC314921-B0DD-478B-A7C3-F147DF0B3DED}"/>
    <cellStyle name="Comma 3 3 3 3 5" xfId="14802" xr:uid="{0B7A5796-C034-4F61-A842-EDB51A213A73}"/>
    <cellStyle name="Comma 3 3 3 3 6" xfId="25218" xr:uid="{9656E0FA-CFBC-4108-912C-499D9CE8CC9F}"/>
    <cellStyle name="Comma 3 3 3 4" xfId="2469" xr:uid="{00000000-0005-0000-0000-0000F8170000}"/>
    <cellStyle name="Comma 3 3 3 4 2" xfId="2470" xr:uid="{00000000-0005-0000-0000-0000F9170000}"/>
    <cellStyle name="Comma 3 3 3 4 2 2" xfId="9619" xr:uid="{00000000-0005-0000-0000-0000FA170000}"/>
    <cellStyle name="Comma 3 3 3 4 2 2 2" xfId="21165" xr:uid="{4FE3893D-0011-4920-9833-B2B04696E820}"/>
    <cellStyle name="Comma 3 3 3 4 2 2 3" xfId="31581" xr:uid="{E8601A91-CFC7-4E9B-B21C-2EBA2ADC0855}"/>
    <cellStyle name="Comma 3 3 3 4 2 3" xfId="14805" xr:uid="{923C9D84-65E9-4F5B-AC45-3A0352C64068}"/>
    <cellStyle name="Comma 3 3 3 4 2 4" xfId="25221" xr:uid="{2DB68457-F52C-4DC3-A1F0-E5DC59791AA6}"/>
    <cellStyle name="Comma 3 3 3 4 3" xfId="9618" xr:uid="{00000000-0005-0000-0000-0000FB170000}"/>
    <cellStyle name="Comma 3 3 3 4 3 2" xfId="21164" xr:uid="{DD03EB3B-0AAE-4E90-B5B9-85EBD08677AD}"/>
    <cellStyle name="Comma 3 3 3 4 3 3" xfId="31580" xr:uid="{3A3CC1DB-BC32-40E7-9E1F-24013DB78B7F}"/>
    <cellStyle name="Comma 3 3 3 4 4" xfId="6000" xr:uid="{00000000-0005-0000-0000-0000FC170000}"/>
    <cellStyle name="Comma 3 3 3 4 4 2" xfId="17586" xr:uid="{3006CF38-78A8-4D88-A8B5-F6A018F8A007}"/>
    <cellStyle name="Comma 3 3 3 4 4 3" xfId="28002" xr:uid="{CC7E009E-6CEB-4D08-8B18-229E03813706}"/>
    <cellStyle name="Comma 3 3 3 4 5" xfId="14804" xr:uid="{D56DAE4E-9E79-449A-AA87-74870A2A1B89}"/>
    <cellStyle name="Comma 3 3 3 4 6" xfId="25220" xr:uid="{F1391F74-09DD-43CC-895B-A4380132A2BC}"/>
    <cellStyle name="Comma 3 3 3 5" xfId="2471" xr:uid="{00000000-0005-0000-0000-0000FD170000}"/>
    <cellStyle name="Comma 3 3 3 5 2" xfId="9620" xr:uid="{00000000-0005-0000-0000-0000FE170000}"/>
    <cellStyle name="Comma 3 3 3 5 2 2" xfId="21166" xr:uid="{02C5018B-8623-400D-89C0-4D8B6776D65C}"/>
    <cellStyle name="Comma 3 3 3 5 2 3" xfId="31582" xr:uid="{8B4BC5CB-30B1-4984-A983-9C54E05B4E8A}"/>
    <cellStyle name="Comma 3 3 3 5 3" xfId="14806" xr:uid="{D786968E-56C8-4E63-AAF9-640B705424A6}"/>
    <cellStyle name="Comma 3 3 3 5 4" xfId="25222" xr:uid="{731447E3-C697-4300-88B7-4ED9A9EAB7EE}"/>
    <cellStyle name="Comma 3 3 3 6" xfId="9611" xr:uid="{00000000-0005-0000-0000-0000FF170000}"/>
    <cellStyle name="Comma 3 3 3 6 2" xfId="21157" xr:uid="{513B1E98-5BE4-4850-9E63-65AA434717EF}"/>
    <cellStyle name="Comma 3 3 3 6 3" xfId="31573" xr:uid="{749D7AF4-45F1-4C6D-B768-7254D3BC989D}"/>
    <cellStyle name="Comma 3 3 3 7" xfId="5996" xr:uid="{00000000-0005-0000-0000-000000180000}"/>
    <cellStyle name="Comma 3 3 3 7 2" xfId="17582" xr:uid="{B9507E1A-89D4-4A2D-8F10-6CA690810F18}"/>
    <cellStyle name="Comma 3 3 3 7 3" xfId="27998" xr:uid="{7B9C93CA-D773-4331-ACA2-7BE92DC93F16}"/>
    <cellStyle name="Comma 3 3 3 8" xfId="14797" xr:uid="{AAB2AB82-0668-48E9-8657-B5B351403032}"/>
    <cellStyle name="Comma 3 3 3 9" xfId="25213" xr:uid="{085884F0-1EE9-47B2-8BFE-3299235C4F8E}"/>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2 2 2" xfId="21170" xr:uid="{FED578EF-AD2F-46EC-B58E-F3E30BAA059D}"/>
    <cellStyle name="Comma 3 3 4 2 2 2 2 3" xfId="31586" xr:uid="{2E872DDD-37D6-4C02-8FC9-9D59EBDEFDC6}"/>
    <cellStyle name="Comma 3 3 4 2 2 2 3" xfId="14810" xr:uid="{C67125AC-D166-4F14-B392-75D2E5E0E4D7}"/>
    <cellStyle name="Comma 3 3 4 2 2 2 4" xfId="25226" xr:uid="{4D0A96FE-8501-4A7D-B83C-2549AE85592D}"/>
    <cellStyle name="Comma 3 3 4 2 2 3" xfId="9623" xr:uid="{00000000-0005-0000-0000-000006180000}"/>
    <cellStyle name="Comma 3 3 4 2 2 3 2" xfId="21169" xr:uid="{F7E9F0B0-849C-44C5-8A68-08C91A3E67FD}"/>
    <cellStyle name="Comma 3 3 4 2 2 3 3" xfId="31585" xr:uid="{733D5A2C-F8F8-4E26-AC11-AB2423D9CF1F}"/>
    <cellStyle name="Comma 3 3 4 2 2 4" xfId="6003" xr:uid="{00000000-0005-0000-0000-000007180000}"/>
    <cellStyle name="Comma 3 3 4 2 2 4 2" xfId="17589" xr:uid="{432E4076-39D4-4123-B0C8-206944933604}"/>
    <cellStyle name="Comma 3 3 4 2 2 4 3" xfId="28005" xr:uid="{4DECD503-6DCA-46D3-BE20-C9A4EE2F3C31}"/>
    <cellStyle name="Comma 3 3 4 2 2 5" xfId="14809" xr:uid="{7ADAE6BC-4B6A-495B-82B1-7B4EC65F4C9B}"/>
    <cellStyle name="Comma 3 3 4 2 2 6" xfId="25225" xr:uid="{568DA9A8-0447-4085-A1AB-24A809DD8C16}"/>
    <cellStyle name="Comma 3 3 4 2 3" xfId="2476" xr:uid="{00000000-0005-0000-0000-000008180000}"/>
    <cellStyle name="Comma 3 3 4 2 3 2" xfId="9625" xr:uid="{00000000-0005-0000-0000-000009180000}"/>
    <cellStyle name="Comma 3 3 4 2 3 2 2" xfId="21171" xr:uid="{AFA299C5-25D3-45C0-BAC4-6D8BADD75C52}"/>
    <cellStyle name="Comma 3 3 4 2 3 2 3" xfId="31587" xr:uid="{D1562F8B-C996-4F24-B379-6D98B0DA8FCC}"/>
    <cellStyle name="Comma 3 3 4 2 3 3" xfId="14811" xr:uid="{9956EC8B-3F16-437E-B5F8-F1977739939A}"/>
    <cellStyle name="Comma 3 3 4 2 3 4" xfId="25227" xr:uid="{364D1FE5-18E0-489B-AEDE-6EFFD293AEE2}"/>
    <cellStyle name="Comma 3 3 4 2 4" xfId="9622" xr:uid="{00000000-0005-0000-0000-00000A180000}"/>
    <cellStyle name="Comma 3 3 4 2 4 2" xfId="21168" xr:uid="{9FDC1CF5-EDDC-4919-8DBE-52DB9F35BCDD}"/>
    <cellStyle name="Comma 3 3 4 2 4 3" xfId="31584" xr:uid="{4BAF1C8C-0613-4FBC-9649-2BACFB022FC1}"/>
    <cellStyle name="Comma 3 3 4 2 5" xfId="6002" xr:uid="{00000000-0005-0000-0000-00000B180000}"/>
    <cellStyle name="Comma 3 3 4 2 5 2" xfId="17588" xr:uid="{F45CDBC9-1552-4813-8F90-8EC9AAB46260}"/>
    <cellStyle name="Comma 3 3 4 2 5 3" xfId="28004" xr:uid="{2DBEE382-AFA8-4056-B04B-3595670D2944}"/>
    <cellStyle name="Comma 3 3 4 2 6" xfId="14808" xr:uid="{85E4BABC-3BB1-481B-BF92-47BC3701800B}"/>
    <cellStyle name="Comma 3 3 4 2 7" xfId="25224" xr:uid="{BEF33874-3139-4E08-9B5D-AE6137F61186}"/>
    <cellStyle name="Comma 3 3 4 3" xfId="2477" xr:uid="{00000000-0005-0000-0000-00000C180000}"/>
    <cellStyle name="Comma 3 3 4 3 2" xfId="2478" xr:uid="{00000000-0005-0000-0000-00000D180000}"/>
    <cellStyle name="Comma 3 3 4 3 2 2" xfId="9627" xr:uid="{00000000-0005-0000-0000-00000E180000}"/>
    <cellStyle name="Comma 3 3 4 3 2 2 2" xfId="21173" xr:uid="{227EAF72-16A3-47D4-86E3-E5E826D08A7E}"/>
    <cellStyle name="Comma 3 3 4 3 2 2 3" xfId="31589" xr:uid="{A4109931-FF97-442E-BB6D-75AEB1BCC4F1}"/>
    <cellStyle name="Comma 3 3 4 3 2 3" xfId="14813" xr:uid="{5410F402-A1D9-422E-A8CA-9926E05135BF}"/>
    <cellStyle name="Comma 3 3 4 3 2 4" xfId="25229" xr:uid="{1B92FC7B-ECAC-4A57-B19A-814588D7E99B}"/>
    <cellStyle name="Comma 3 3 4 3 3" xfId="9626" xr:uid="{00000000-0005-0000-0000-00000F180000}"/>
    <cellStyle name="Comma 3 3 4 3 3 2" xfId="21172" xr:uid="{99E7586A-AFD1-43C5-A6B5-A66F15238F18}"/>
    <cellStyle name="Comma 3 3 4 3 3 3" xfId="31588" xr:uid="{528A9DB6-8EE8-4B81-BB67-0C9BF7347827}"/>
    <cellStyle name="Comma 3 3 4 3 4" xfId="6004" xr:uid="{00000000-0005-0000-0000-000010180000}"/>
    <cellStyle name="Comma 3 3 4 3 4 2" xfId="17590" xr:uid="{CAEDF5EE-B338-4FE7-8A81-B31984EDC53D}"/>
    <cellStyle name="Comma 3 3 4 3 4 3" xfId="28006" xr:uid="{3FE7C736-2A46-4FDB-9C1D-E31E4E9B9BD6}"/>
    <cellStyle name="Comma 3 3 4 3 5" xfId="14812" xr:uid="{B08CC674-6E45-47F5-99E2-D488B051D9EE}"/>
    <cellStyle name="Comma 3 3 4 3 6" xfId="25228" xr:uid="{1D3F33BC-5F89-4755-8BF5-817F5BCA99A5}"/>
    <cellStyle name="Comma 3 3 4 4" xfId="2479" xr:uid="{00000000-0005-0000-0000-000011180000}"/>
    <cellStyle name="Comma 3 3 4 4 2" xfId="2480" xr:uid="{00000000-0005-0000-0000-000012180000}"/>
    <cellStyle name="Comma 3 3 4 4 2 2" xfId="9629" xr:uid="{00000000-0005-0000-0000-000013180000}"/>
    <cellStyle name="Comma 3 3 4 4 2 2 2" xfId="21175" xr:uid="{4B7ECD02-401B-44CD-853F-6EEF0A1CB929}"/>
    <cellStyle name="Comma 3 3 4 4 2 2 3" xfId="31591" xr:uid="{FC251740-9DB7-4F43-973C-F829240A08CC}"/>
    <cellStyle name="Comma 3 3 4 4 2 3" xfId="14815" xr:uid="{5C645C3D-5388-4E6E-8CD7-42F8DC180096}"/>
    <cellStyle name="Comma 3 3 4 4 2 4" xfId="25231" xr:uid="{8E40DB91-9CF3-4C47-B284-EE9574C2E228}"/>
    <cellStyle name="Comma 3 3 4 4 3" xfId="9628" xr:uid="{00000000-0005-0000-0000-000014180000}"/>
    <cellStyle name="Comma 3 3 4 4 3 2" xfId="21174" xr:uid="{2E65FD8F-8A7D-4D34-A4A1-41F91204E6A7}"/>
    <cellStyle name="Comma 3 3 4 4 3 3" xfId="31590" xr:uid="{6CAF2998-4636-4E86-8DB3-B20E0C8E1E66}"/>
    <cellStyle name="Comma 3 3 4 4 4" xfId="6005" xr:uid="{00000000-0005-0000-0000-000015180000}"/>
    <cellStyle name="Comma 3 3 4 4 4 2" xfId="17591" xr:uid="{9672B544-EFC7-4A91-8F7D-C54721547B0C}"/>
    <cellStyle name="Comma 3 3 4 4 4 3" xfId="28007" xr:uid="{1C8AB33F-098B-4AA2-82E3-90FC54E028E7}"/>
    <cellStyle name="Comma 3 3 4 4 5" xfId="14814" xr:uid="{675F19EB-A863-4651-BACC-C7F9DD6F89CA}"/>
    <cellStyle name="Comma 3 3 4 4 6" xfId="25230" xr:uid="{24335C2D-163F-432C-912C-CD860DBD4034}"/>
    <cellStyle name="Comma 3 3 4 5" xfId="2481" xr:uid="{00000000-0005-0000-0000-000016180000}"/>
    <cellStyle name="Comma 3 3 4 5 2" xfId="9630" xr:uid="{00000000-0005-0000-0000-000017180000}"/>
    <cellStyle name="Comma 3 3 4 5 2 2" xfId="21176" xr:uid="{39FB6D82-5FE7-43D5-9B9A-E26F3004260E}"/>
    <cellStyle name="Comma 3 3 4 5 2 3" xfId="31592" xr:uid="{7781E3A5-59EB-4A36-AAFF-F422A48672DF}"/>
    <cellStyle name="Comma 3 3 4 5 3" xfId="14816" xr:uid="{BBD7556C-C264-48C8-8563-D88F226F81AE}"/>
    <cellStyle name="Comma 3 3 4 5 4" xfId="25232" xr:uid="{1B047766-B70A-41F5-9625-1F73A035B5C3}"/>
    <cellStyle name="Comma 3 3 4 6" xfId="9621" xr:uid="{00000000-0005-0000-0000-000018180000}"/>
    <cellStyle name="Comma 3 3 4 6 2" xfId="21167" xr:uid="{AE1E0FAC-4653-4D0F-937D-9EB872F0BF08}"/>
    <cellStyle name="Comma 3 3 4 6 3" xfId="31583" xr:uid="{B1D6FAF0-4AAE-4494-9C38-AF751E8E047B}"/>
    <cellStyle name="Comma 3 3 4 7" xfId="6001" xr:uid="{00000000-0005-0000-0000-000019180000}"/>
    <cellStyle name="Comma 3 3 4 7 2" xfId="17587" xr:uid="{DCFCDD90-B2FF-45F1-BD04-AE47FE19B4FB}"/>
    <cellStyle name="Comma 3 3 4 7 3" xfId="28003" xr:uid="{D0B6CA0D-E688-438A-A096-8D511FB5FE2F}"/>
    <cellStyle name="Comma 3 3 4 8" xfId="14807" xr:uid="{DE46EFB7-C721-414F-8C9C-B3A75ADF0833}"/>
    <cellStyle name="Comma 3 3 4 9" xfId="25223" xr:uid="{E9BAAC08-E277-4D56-BD77-EEDFA30764A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2 2 2" xfId="21180" xr:uid="{887865AB-BF58-4381-8ECE-C6D69C16BC21}"/>
    <cellStyle name="Comma 3 3 5 2 2 2 2 3" xfId="31596" xr:uid="{E5A07E13-E30B-4EBC-9770-845E8EB5231C}"/>
    <cellStyle name="Comma 3 3 5 2 2 2 3" xfId="14820" xr:uid="{DF20A072-37A1-4156-ADB1-E8DD595FA789}"/>
    <cellStyle name="Comma 3 3 5 2 2 2 4" xfId="25236" xr:uid="{125FCE3F-5F7E-4090-B68A-E6AAA2F7D969}"/>
    <cellStyle name="Comma 3 3 5 2 2 3" xfId="9633" xr:uid="{00000000-0005-0000-0000-00001F180000}"/>
    <cellStyle name="Comma 3 3 5 2 2 3 2" xfId="21179" xr:uid="{32951DFA-77A2-4614-BC1D-154EBBC97C0B}"/>
    <cellStyle name="Comma 3 3 5 2 2 3 3" xfId="31595" xr:uid="{2B489F9E-E7BC-4057-8C91-B94AA658DCF3}"/>
    <cellStyle name="Comma 3 3 5 2 2 4" xfId="6008" xr:uid="{00000000-0005-0000-0000-000020180000}"/>
    <cellStyle name="Comma 3 3 5 2 2 4 2" xfId="17594" xr:uid="{8A44FF38-35EC-42B7-8D63-85A6371F2B5B}"/>
    <cellStyle name="Comma 3 3 5 2 2 4 3" xfId="28010" xr:uid="{F924E5D1-1303-45FE-8279-D6294C947333}"/>
    <cellStyle name="Comma 3 3 5 2 2 5" xfId="14819" xr:uid="{06006FE3-E7DC-4F3B-A467-56A940D58A61}"/>
    <cellStyle name="Comma 3 3 5 2 2 6" xfId="25235" xr:uid="{45ECAF5E-AAFB-451E-968B-CAC66CA28971}"/>
    <cellStyle name="Comma 3 3 5 2 3" xfId="2486" xr:uid="{00000000-0005-0000-0000-000021180000}"/>
    <cellStyle name="Comma 3 3 5 2 3 2" xfId="9635" xr:uid="{00000000-0005-0000-0000-000022180000}"/>
    <cellStyle name="Comma 3 3 5 2 3 2 2" xfId="21181" xr:uid="{822CD245-3DA3-40E9-83EC-DE4B86BF2C55}"/>
    <cellStyle name="Comma 3 3 5 2 3 2 3" xfId="31597" xr:uid="{AE132D47-6A77-4BDC-ADF2-B59A3276E248}"/>
    <cellStyle name="Comma 3 3 5 2 3 3" xfId="14821" xr:uid="{841E69C1-2F2C-42AB-93A4-57B3D6096015}"/>
    <cellStyle name="Comma 3 3 5 2 3 4" xfId="25237" xr:uid="{13551DC6-0CE2-49C5-9685-73ED5C0ACB7B}"/>
    <cellStyle name="Comma 3 3 5 2 4" xfId="9632" xr:uid="{00000000-0005-0000-0000-000023180000}"/>
    <cellStyle name="Comma 3 3 5 2 4 2" xfId="21178" xr:uid="{AC59C3E3-300A-4BE5-A1B3-E8A24DB26BF1}"/>
    <cellStyle name="Comma 3 3 5 2 4 3" xfId="31594" xr:uid="{6CACE988-19A5-4D04-92CC-6B787DBAA2CF}"/>
    <cellStyle name="Comma 3 3 5 2 5" xfId="6007" xr:uid="{00000000-0005-0000-0000-000024180000}"/>
    <cellStyle name="Comma 3 3 5 2 5 2" xfId="17593" xr:uid="{2C554380-4509-49D8-A983-EC2E5AB4C032}"/>
    <cellStyle name="Comma 3 3 5 2 5 3" xfId="28009" xr:uid="{E7007A34-14CD-434F-A635-5F93D49B253E}"/>
    <cellStyle name="Comma 3 3 5 2 6" xfId="14818" xr:uid="{301FF2E9-873C-42CC-AA92-085226772DDC}"/>
    <cellStyle name="Comma 3 3 5 2 7" xfId="25234" xr:uid="{F483572B-0E77-4066-A7F4-8E5C82900F48}"/>
    <cellStyle name="Comma 3 3 5 3" xfId="2487" xr:uid="{00000000-0005-0000-0000-000025180000}"/>
    <cellStyle name="Comma 3 3 5 3 2" xfId="2488" xr:uid="{00000000-0005-0000-0000-000026180000}"/>
    <cellStyle name="Comma 3 3 5 3 2 2" xfId="9637" xr:uid="{00000000-0005-0000-0000-000027180000}"/>
    <cellStyle name="Comma 3 3 5 3 2 2 2" xfId="21183" xr:uid="{E5DA66A6-16C6-4500-BBD9-431D07F43B57}"/>
    <cellStyle name="Comma 3 3 5 3 2 2 3" xfId="31599" xr:uid="{DBEDB6BE-B4C6-4B84-AFE1-565957E054B9}"/>
    <cellStyle name="Comma 3 3 5 3 2 3" xfId="14823" xr:uid="{D1079754-EC9F-4857-9C30-5C03DAFA37C4}"/>
    <cellStyle name="Comma 3 3 5 3 2 4" xfId="25239" xr:uid="{25711639-097F-47F3-851E-F64144D16701}"/>
    <cellStyle name="Comma 3 3 5 3 3" xfId="9636" xr:uid="{00000000-0005-0000-0000-000028180000}"/>
    <cellStyle name="Comma 3 3 5 3 3 2" xfId="21182" xr:uid="{5BA09F4C-2FA1-4D4F-B8D8-904EB997B834}"/>
    <cellStyle name="Comma 3 3 5 3 3 3" xfId="31598" xr:uid="{D91CA4DC-6EA0-423A-867B-809533EF30F2}"/>
    <cellStyle name="Comma 3 3 5 3 4" xfId="6009" xr:uid="{00000000-0005-0000-0000-000029180000}"/>
    <cellStyle name="Comma 3 3 5 3 4 2" xfId="17595" xr:uid="{63675BD3-CC28-47DE-A747-62D439D981A4}"/>
    <cellStyle name="Comma 3 3 5 3 4 3" xfId="28011" xr:uid="{192B6682-62BC-4688-B23B-F4371A2A9949}"/>
    <cellStyle name="Comma 3 3 5 3 5" xfId="14822" xr:uid="{E995539A-4341-48E4-8244-7FFE7E5F7D9D}"/>
    <cellStyle name="Comma 3 3 5 3 6" xfId="25238" xr:uid="{F2172085-F8F7-48BD-AEC6-683C662A6A6B}"/>
    <cellStyle name="Comma 3 3 5 4" xfId="2489" xr:uid="{00000000-0005-0000-0000-00002A180000}"/>
    <cellStyle name="Comma 3 3 5 4 2" xfId="2490" xr:uid="{00000000-0005-0000-0000-00002B180000}"/>
    <cellStyle name="Comma 3 3 5 4 2 2" xfId="9639" xr:uid="{00000000-0005-0000-0000-00002C180000}"/>
    <cellStyle name="Comma 3 3 5 4 2 2 2" xfId="21185" xr:uid="{58A022D7-F2DC-4DB7-8229-24AB16F1A554}"/>
    <cellStyle name="Comma 3 3 5 4 2 2 3" xfId="31601" xr:uid="{38F5273F-66B2-4D81-BE49-F7273E297DF0}"/>
    <cellStyle name="Comma 3 3 5 4 2 3" xfId="14825" xr:uid="{64537FBA-C30D-4F8C-BBF6-439BA47C95A8}"/>
    <cellStyle name="Comma 3 3 5 4 2 4" xfId="25241" xr:uid="{0E6BA4C2-4EE7-442B-908E-AD5620967B11}"/>
    <cellStyle name="Comma 3 3 5 4 3" xfId="9638" xr:uid="{00000000-0005-0000-0000-00002D180000}"/>
    <cellStyle name="Comma 3 3 5 4 3 2" xfId="21184" xr:uid="{D0868187-CEBC-4220-9CFB-34087237517B}"/>
    <cellStyle name="Comma 3 3 5 4 3 3" xfId="31600" xr:uid="{48440DD7-8B6C-4AFD-86FA-BADC04B74B0E}"/>
    <cellStyle name="Comma 3 3 5 4 4" xfId="6010" xr:uid="{00000000-0005-0000-0000-00002E180000}"/>
    <cellStyle name="Comma 3 3 5 4 4 2" xfId="17596" xr:uid="{9146487A-7E24-441A-8B45-7C08FB08B075}"/>
    <cellStyle name="Comma 3 3 5 4 4 3" xfId="28012" xr:uid="{4551DEC1-5FE3-42FE-9F21-FD449C8197AE}"/>
    <cellStyle name="Comma 3 3 5 4 5" xfId="14824" xr:uid="{5A838DD7-4DC6-4FFC-80CA-4BB39EFEACF0}"/>
    <cellStyle name="Comma 3 3 5 4 6" xfId="25240" xr:uid="{9DCC648E-4900-4302-B1F5-B33B4F5DF412}"/>
    <cellStyle name="Comma 3 3 5 5" xfId="2491" xr:uid="{00000000-0005-0000-0000-00002F180000}"/>
    <cellStyle name="Comma 3 3 5 5 2" xfId="9640" xr:uid="{00000000-0005-0000-0000-000030180000}"/>
    <cellStyle name="Comma 3 3 5 5 2 2" xfId="21186" xr:uid="{873114C3-0C4E-4940-8673-B3081618B938}"/>
    <cellStyle name="Comma 3 3 5 5 2 3" xfId="31602" xr:uid="{78225038-E186-4C55-B881-021B12C05D82}"/>
    <cellStyle name="Comma 3 3 5 5 3" xfId="14826" xr:uid="{77086B77-AE29-492A-9BB4-CCD47844B792}"/>
    <cellStyle name="Comma 3 3 5 5 4" xfId="25242" xr:uid="{919AE9DD-6F5E-4061-B99C-F710B4321BA3}"/>
    <cellStyle name="Comma 3 3 5 6" xfId="9631" xr:uid="{00000000-0005-0000-0000-000031180000}"/>
    <cellStyle name="Comma 3 3 5 6 2" xfId="21177" xr:uid="{87F4C3A2-BD29-4423-B07A-2739ADBEDBD3}"/>
    <cellStyle name="Comma 3 3 5 6 3" xfId="31593" xr:uid="{DEA84DBA-E007-4B9D-8134-486CE695E6E1}"/>
    <cellStyle name="Comma 3 3 5 7" xfId="6006" xr:uid="{00000000-0005-0000-0000-000032180000}"/>
    <cellStyle name="Comma 3 3 5 7 2" xfId="17592" xr:uid="{7C511104-A7DE-4446-A615-BA6F927B2ECE}"/>
    <cellStyle name="Comma 3 3 5 7 3" xfId="28008" xr:uid="{15263E62-A966-4884-A194-43E983977887}"/>
    <cellStyle name="Comma 3 3 5 8" xfId="14817" xr:uid="{5904A66D-390D-4067-A590-5A9A1C3AFD59}"/>
    <cellStyle name="Comma 3 3 5 9" xfId="25233" xr:uid="{C4DCD91B-6FFF-4367-A6F6-E36342B0EB2A}"/>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2 2 2" xfId="21190" xr:uid="{267C1B8B-2417-4531-8886-24080BA1F432}"/>
    <cellStyle name="Comma 3 3 6 2 2 2 2 3" xfId="31606" xr:uid="{F50B1794-FE22-40B8-949E-6EB7B8F34447}"/>
    <cellStyle name="Comma 3 3 6 2 2 2 3" xfId="14830" xr:uid="{72718F13-BA78-41CB-8BAA-9AE603F8F0B3}"/>
    <cellStyle name="Comma 3 3 6 2 2 2 4" xfId="25246" xr:uid="{DD38666C-361C-41C2-902F-4477CCABD55E}"/>
    <cellStyle name="Comma 3 3 6 2 2 3" xfId="9643" xr:uid="{00000000-0005-0000-0000-000038180000}"/>
    <cellStyle name="Comma 3 3 6 2 2 3 2" xfId="21189" xr:uid="{083F3022-CB16-430D-A65D-767F0B26BE0B}"/>
    <cellStyle name="Comma 3 3 6 2 2 3 3" xfId="31605" xr:uid="{3F85E6C3-A97B-4205-ACAB-8E7FB7B1EC9B}"/>
    <cellStyle name="Comma 3 3 6 2 2 4" xfId="6013" xr:uid="{00000000-0005-0000-0000-000039180000}"/>
    <cellStyle name="Comma 3 3 6 2 2 4 2" xfId="17599" xr:uid="{7CFCDE8A-29D6-42CE-B349-A43988473C6A}"/>
    <cellStyle name="Comma 3 3 6 2 2 4 3" xfId="28015" xr:uid="{F1E49A43-A044-4FD0-9BF1-D138AC07D75D}"/>
    <cellStyle name="Comma 3 3 6 2 2 5" xfId="14829" xr:uid="{B80C88E8-6879-46F1-A5BB-46E592CF2AEB}"/>
    <cellStyle name="Comma 3 3 6 2 2 6" xfId="25245" xr:uid="{72774605-AB7B-47C6-AD2B-30D2B469B69B}"/>
    <cellStyle name="Comma 3 3 6 2 3" xfId="2496" xr:uid="{00000000-0005-0000-0000-00003A180000}"/>
    <cellStyle name="Comma 3 3 6 2 3 2" xfId="9645" xr:uid="{00000000-0005-0000-0000-00003B180000}"/>
    <cellStyle name="Comma 3 3 6 2 3 2 2" xfId="21191" xr:uid="{5349A111-4EAF-4B32-B0C8-AC468CE4AC14}"/>
    <cellStyle name="Comma 3 3 6 2 3 2 3" xfId="31607" xr:uid="{20D6E0D3-FE94-4F2B-AD4F-96AA26824CEA}"/>
    <cellStyle name="Comma 3 3 6 2 3 3" xfId="14831" xr:uid="{5FEC63E4-2E70-4F88-AF99-1E93436FC461}"/>
    <cellStyle name="Comma 3 3 6 2 3 4" xfId="25247" xr:uid="{E23EC97B-DFD4-438C-B786-C57C4A16B828}"/>
    <cellStyle name="Comma 3 3 6 2 4" xfId="9642" xr:uid="{00000000-0005-0000-0000-00003C180000}"/>
    <cellStyle name="Comma 3 3 6 2 4 2" xfId="21188" xr:uid="{BE3726A8-7D38-4A77-B672-DBBBCBC035BF}"/>
    <cellStyle name="Comma 3 3 6 2 4 3" xfId="31604" xr:uid="{76DA5397-223B-4040-9AA6-A97EA080884D}"/>
    <cellStyle name="Comma 3 3 6 2 5" xfId="6012" xr:uid="{00000000-0005-0000-0000-00003D180000}"/>
    <cellStyle name="Comma 3 3 6 2 5 2" xfId="17598" xr:uid="{B6CC7C09-654F-4F16-BEE9-2F5FB986976B}"/>
    <cellStyle name="Comma 3 3 6 2 5 3" xfId="28014" xr:uid="{E292D3CB-C080-486F-A627-329120A884A5}"/>
    <cellStyle name="Comma 3 3 6 2 6" xfId="14828" xr:uid="{8273BF2A-B3E1-4C60-A20D-C479C524AD5C}"/>
    <cellStyle name="Comma 3 3 6 2 7" xfId="25244" xr:uid="{B568EAAE-C159-448E-8064-759BBCA69022}"/>
    <cellStyle name="Comma 3 3 6 3" xfId="2497" xr:uid="{00000000-0005-0000-0000-00003E180000}"/>
    <cellStyle name="Comma 3 3 6 3 2" xfId="2498" xr:uid="{00000000-0005-0000-0000-00003F180000}"/>
    <cellStyle name="Comma 3 3 6 3 2 2" xfId="9647" xr:uid="{00000000-0005-0000-0000-000040180000}"/>
    <cellStyle name="Comma 3 3 6 3 2 2 2" xfId="21193" xr:uid="{0472BAD0-6677-477D-A2C0-7BA0B035DED3}"/>
    <cellStyle name="Comma 3 3 6 3 2 2 3" xfId="31609" xr:uid="{85431476-2AEC-470B-B9F3-93965C2F2E78}"/>
    <cellStyle name="Comma 3 3 6 3 2 3" xfId="14833" xr:uid="{8EB978A7-BA3D-4D0E-A224-A44620737C1F}"/>
    <cellStyle name="Comma 3 3 6 3 2 4" xfId="25249" xr:uid="{4D89583E-A41F-4106-93C9-2B5A6A5B34CA}"/>
    <cellStyle name="Comma 3 3 6 3 3" xfId="9646" xr:uid="{00000000-0005-0000-0000-000041180000}"/>
    <cellStyle name="Comma 3 3 6 3 3 2" xfId="21192" xr:uid="{B70AA13F-8977-47F5-A077-B4B366A82AFF}"/>
    <cellStyle name="Comma 3 3 6 3 3 3" xfId="31608" xr:uid="{D786A8AD-64B2-44F6-9A10-2F52C794C9E9}"/>
    <cellStyle name="Comma 3 3 6 3 4" xfId="6014" xr:uid="{00000000-0005-0000-0000-000042180000}"/>
    <cellStyle name="Comma 3 3 6 3 4 2" xfId="17600" xr:uid="{E389E130-33E5-42E7-B67F-74E4307BCBA8}"/>
    <cellStyle name="Comma 3 3 6 3 4 3" xfId="28016" xr:uid="{161A5750-C687-4026-8991-8576BB2D29BF}"/>
    <cellStyle name="Comma 3 3 6 3 5" xfId="14832" xr:uid="{7842AEF2-3D2A-4442-B33D-31C2745A172E}"/>
    <cellStyle name="Comma 3 3 6 3 6" xfId="25248" xr:uid="{2C66CA37-DA70-4DBD-8F2F-C065E9633E5B}"/>
    <cellStyle name="Comma 3 3 6 4" xfId="2499" xr:uid="{00000000-0005-0000-0000-000043180000}"/>
    <cellStyle name="Comma 3 3 6 4 2" xfId="2500" xr:uid="{00000000-0005-0000-0000-000044180000}"/>
    <cellStyle name="Comma 3 3 6 4 2 2" xfId="9649" xr:uid="{00000000-0005-0000-0000-000045180000}"/>
    <cellStyle name="Comma 3 3 6 4 2 2 2" xfId="21195" xr:uid="{B82792DC-97E1-4986-9127-515C869BF6DD}"/>
    <cellStyle name="Comma 3 3 6 4 2 2 3" xfId="31611" xr:uid="{53FC8400-09C0-4A08-8A0D-717879CE57FD}"/>
    <cellStyle name="Comma 3 3 6 4 2 3" xfId="14835" xr:uid="{AA0839F5-75A5-4637-A542-3721035B762E}"/>
    <cellStyle name="Comma 3 3 6 4 2 4" xfId="25251" xr:uid="{A3BF7F70-CC12-430F-BFA7-27B0E156DCBD}"/>
    <cellStyle name="Comma 3 3 6 4 3" xfId="9648" xr:uid="{00000000-0005-0000-0000-000046180000}"/>
    <cellStyle name="Comma 3 3 6 4 3 2" xfId="21194" xr:uid="{4EA83D9C-C81D-4036-BEBB-94FF9B5BE0BE}"/>
    <cellStyle name="Comma 3 3 6 4 3 3" xfId="31610" xr:uid="{7CCC6E1D-171E-42C0-90F2-97419DA39ACE}"/>
    <cellStyle name="Comma 3 3 6 4 4" xfId="6015" xr:uid="{00000000-0005-0000-0000-000047180000}"/>
    <cellStyle name="Comma 3 3 6 4 4 2" xfId="17601" xr:uid="{C5583F20-0D23-41C2-9D6B-6BFD967795F7}"/>
    <cellStyle name="Comma 3 3 6 4 4 3" xfId="28017" xr:uid="{5CDC7735-0204-468A-9A60-C9B6830B84E0}"/>
    <cellStyle name="Comma 3 3 6 4 5" xfId="14834" xr:uid="{065DDFB8-E575-4F1B-A55A-616669955F6D}"/>
    <cellStyle name="Comma 3 3 6 4 6" xfId="25250" xr:uid="{3E871DBD-3740-4B0D-BBFA-69231EA736BC}"/>
    <cellStyle name="Comma 3 3 6 5" xfId="2501" xr:uid="{00000000-0005-0000-0000-000048180000}"/>
    <cellStyle name="Comma 3 3 6 5 2" xfId="9650" xr:uid="{00000000-0005-0000-0000-000049180000}"/>
    <cellStyle name="Comma 3 3 6 5 2 2" xfId="21196" xr:uid="{7052D6D0-2DE0-4369-B339-5EDCBBF7507A}"/>
    <cellStyle name="Comma 3 3 6 5 2 3" xfId="31612" xr:uid="{F537F494-A654-4BD3-ADFC-55E434AA03C6}"/>
    <cellStyle name="Comma 3 3 6 5 3" xfId="14836" xr:uid="{8CB4D27D-FE01-4646-82FF-FE7B2102A200}"/>
    <cellStyle name="Comma 3 3 6 5 4" xfId="25252" xr:uid="{D70D8B72-129E-4DF4-8A69-28C5016BCBC8}"/>
    <cellStyle name="Comma 3 3 6 6" xfId="9641" xr:uid="{00000000-0005-0000-0000-00004A180000}"/>
    <cellStyle name="Comma 3 3 6 6 2" xfId="21187" xr:uid="{43322607-DF5C-4E05-BFD1-110C2DFBFDBE}"/>
    <cellStyle name="Comma 3 3 6 6 3" xfId="31603" xr:uid="{CC02DFA6-5325-4CA6-948A-A6E460BC4855}"/>
    <cellStyle name="Comma 3 3 6 7" xfId="6011" xr:uid="{00000000-0005-0000-0000-00004B180000}"/>
    <cellStyle name="Comma 3 3 6 7 2" xfId="17597" xr:uid="{91D11DF6-6FEF-4495-83FE-BC4CF7C2E1C9}"/>
    <cellStyle name="Comma 3 3 6 7 3" xfId="28013" xr:uid="{A40AB82C-C960-4580-9DCF-497B49012DA3}"/>
    <cellStyle name="Comma 3 3 6 8" xfId="14827" xr:uid="{CA014614-BD0D-4093-80DE-FFF653E102E9}"/>
    <cellStyle name="Comma 3 3 6 9" xfId="25243" xr:uid="{3F8C344D-F628-4717-BA05-42D274D00724}"/>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2 2 2" xfId="21199" xr:uid="{4A062618-F842-46CF-A23B-437A8D634786}"/>
    <cellStyle name="Comma 3 3 7 2 2 2 3" xfId="31615" xr:uid="{49D50AE7-D56E-4648-87B9-4EA1C71CF4EE}"/>
    <cellStyle name="Comma 3 3 7 2 2 3" xfId="14839" xr:uid="{CB3EACE0-DD5D-4B5C-9174-110BCB0AEDC7}"/>
    <cellStyle name="Comma 3 3 7 2 2 4" xfId="25255" xr:uid="{2B466A14-7C7B-4040-9E68-FBEBDE0CBBE7}"/>
    <cellStyle name="Comma 3 3 7 2 3" xfId="9652" xr:uid="{00000000-0005-0000-0000-000050180000}"/>
    <cellStyle name="Comma 3 3 7 2 3 2" xfId="21198" xr:uid="{72920B56-01D5-4FE3-B0D9-ACAF62FC559F}"/>
    <cellStyle name="Comma 3 3 7 2 3 3" xfId="31614" xr:uid="{676F8E99-2F38-42B0-8EE0-92A6AE4C76C4}"/>
    <cellStyle name="Comma 3 3 7 2 4" xfId="6017" xr:uid="{00000000-0005-0000-0000-000051180000}"/>
    <cellStyle name="Comma 3 3 7 2 4 2" xfId="17603" xr:uid="{FD74F28E-E7BE-4FE3-8F26-3A93E5327E11}"/>
    <cellStyle name="Comma 3 3 7 2 4 3" xfId="28019" xr:uid="{240228AD-EBB5-4146-AD3D-B2F83F672B65}"/>
    <cellStyle name="Comma 3 3 7 2 5" xfId="14838" xr:uid="{96DCF5CA-DC19-4F17-97F9-78BB74D1AD6B}"/>
    <cellStyle name="Comma 3 3 7 2 6" xfId="25254" xr:uid="{4F8D216C-B805-424A-A90C-5AB29FD24ED8}"/>
    <cellStyle name="Comma 3 3 7 3" xfId="2505" xr:uid="{00000000-0005-0000-0000-000052180000}"/>
    <cellStyle name="Comma 3 3 7 3 2" xfId="2506" xr:uid="{00000000-0005-0000-0000-000053180000}"/>
    <cellStyle name="Comma 3 3 7 3 2 2" xfId="9655" xr:uid="{00000000-0005-0000-0000-000054180000}"/>
    <cellStyle name="Comma 3 3 7 3 2 2 2" xfId="21201" xr:uid="{36920DD7-C825-416F-B4BC-6C52E5A15F1B}"/>
    <cellStyle name="Comma 3 3 7 3 2 2 3" xfId="31617" xr:uid="{A36433CE-A9D8-4FFC-BDDD-BE30C13DE7CB}"/>
    <cellStyle name="Comma 3 3 7 3 2 3" xfId="14841" xr:uid="{92169932-53E4-48BA-8742-E744C1AA308B}"/>
    <cellStyle name="Comma 3 3 7 3 2 4" xfId="25257" xr:uid="{0452CE4F-4523-446B-AC4A-47D47FC70C80}"/>
    <cellStyle name="Comma 3 3 7 3 3" xfId="9654" xr:uid="{00000000-0005-0000-0000-000055180000}"/>
    <cellStyle name="Comma 3 3 7 3 3 2" xfId="21200" xr:uid="{9222D2CA-BA6C-48F9-8CF5-B2A0019B3A78}"/>
    <cellStyle name="Comma 3 3 7 3 3 3" xfId="31616" xr:uid="{C4DBC49D-336B-4595-AFF7-11C1EDC0ECB3}"/>
    <cellStyle name="Comma 3 3 7 3 4" xfId="6018" xr:uid="{00000000-0005-0000-0000-000056180000}"/>
    <cellStyle name="Comma 3 3 7 3 4 2" xfId="17604" xr:uid="{D2E5F61B-961E-4E37-8D25-D061F5FB05F7}"/>
    <cellStyle name="Comma 3 3 7 3 4 3" xfId="28020" xr:uid="{474993BD-B335-4869-837C-B4603C902296}"/>
    <cellStyle name="Comma 3 3 7 3 5" xfId="14840" xr:uid="{05787F46-C719-4245-815D-3042D6DB6A90}"/>
    <cellStyle name="Comma 3 3 7 3 6" xfId="25256" xr:uid="{463B316E-DBF1-488F-8234-2AEB8FF49F72}"/>
    <cellStyle name="Comma 3 3 7 4" xfId="2507" xr:uid="{00000000-0005-0000-0000-000057180000}"/>
    <cellStyle name="Comma 3 3 7 4 2" xfId="9656" xr:uid="{00000000-0005-0000-0000-000058180000}"/>
    <cellStyle name="Comma 3 3 7 4 2 2" xfId="21202" xr:uid="{E4630C4D-5901-47B4-B98C-E3F593523600}"/>
    <cellStyle name="Comma 3 3 7 4 2 3" xfId="31618" xr:uid="{BA3C146B-E65C-411E-8F3C-62041273C9F3}"/>
    <cellStyle name="Comma 3 3 7 4 3" xfId="14842" xr:uid="{0949AF1A-E50C-4A50-B75A-D03BFB9902E7}"/>
    <cellStyle name="Comma 3 3 7 4 4" xfId="25258" xr:uid="{4CAB9A4E-3C52-4FF7-A017-13A97DE22238}"/>
    <cellStyle name="Comma 3 3 7 5" xfId="9651" xr:uid="{00000000-0005-0000-0000-000059180000}"/>
    <cellStyle name="Comma 3 3 7 5 2" xfId="21197" xr:uid="{42E8CF45-BBE9-4495-B9D0-254EB73F4818}"/>
    <cellStyle name="Comma 3 3 7 5 3" xfId="31613" xr:uid="{AEA4040D-C2A7-4D19-90E8-EAAFDF1D519D}"/>
    <cellStyle name="Comma 3 3 7 6" xfId="6016" xr:uid="{00000000-0005-0000-0000-00005A180000}"/>
    <cellStyle name="Comma 3 3 7 6 2" xfId="17602" xr:uid="{8CC6E80A-DA0B-4214-884A-B4599985738A}"/>
    <cellStyle name="Comma 3 3 7 6 3" xfId="28018" xr:uid="{2F4A9734-9B9E-4E9C-937A-A4613CEDFBE7}"/>
    <cellStyle name="Comma 3 3 7 7" xfId="14837" xr:uid="{A6A84B11-063A-4752-8170-DB25914166CD}"/>
    <cellStyle name="Comma 3 3 7 8" xfId="25253" xr:uid="{812E9B07-C07C-4E53-91B8-AF16F58308F4}"/>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2 2 2" xfId="21205" xr:uid="{E54F9E57-56FF-4832-8CA5-119F8D3B82EA}"/>
    <cellStyle name="Comma 3 3 8 2 2 2 3" xfId="31621" xr:uid="{4570AD94-D254-4B0E-962D-81F32DE1D5D4}"/>
    <cellStyle name="Comma 3 3 8 2 2 3" xfId="14845" xr:uid="{533BC892-DF1F-4888-BDB3-7FEBA7994E9D}"/>
    <cellStyle name="Comma 3 3 8 2 2 4" xfId="25261" xr:uid="{A7444F51-E4A6-429E-B3D1-929B28F46283}"/>
    <cellStyle name="Comma 3 3 8 2 3" xfId="9658" xr:uid="{00000000-0005-0000-0000-00005F180000}"/>
    <cellStyle name="Comma 3 3 8 2 3 2" xfId="21204" xr:uid="{82252050-C050-4E88-8114-D6DF04ED4B56}"/>
    <cellStyle name="Comma 3 3 8 2 3 3" xfId="31620" xr:uid="{67F3D387-BA15-4BCF-9E61-5C089DD04774}"/>
    <cellStyle name="Comma 3 3 8 2 4" xfId="6020" xr:uid="{00000000-0005-0000-0000-000060180000}"/>
    <cellStyle name="Comma 3 3 8 2 4 2" xfId="17606" xr:uid="{4D8F8387-0FB7-418E-8D86-19E9D37D2267}"/>
    <cellStyle name="Comma 3 3 8 2 4 3" xfId="28022" xr:uid="{ED88C3FF-605F-4604-9E08-1D6F01591EF2}"/>
    <cellStyle name="Comma 3 3 8 2 5" xfId="14844" xr:uid="{978BABF3-EE13-4CD9-9093-E7E34F5C9075}"/>
    <cellStyle name="Comma 3 3 8 2 6" xfId="25260" xr:uid="{A7EF4A7E-5388-4DD1-B859-BBC9050BC9FF}"/>
    <cellStyle name="Comma 3 3 8 3" xfId="2511" xr:uid="{00000000-0005-0000-0000-000061180000}"/>
    <cellStyle name="Comma 3 3 8 3 2" xfId="9660" xr:uid="{00000000-0005-0000-0000-000062180000}"/>
    <cellStyle name="Comma 3 3 8 3 2 2" xfId="21206" xr:uid="{0AF5D642-690C-4F20-9595-3151D2B3BCDC}"/>
    <cellStyle name="Comma 3 3 8 3 2 3" xfId="31622" xr:uid="{28C0EFF3-F021-4422-87E6-204B0E1E3310}"/>
    <cellStyle name="Comma 3 3 8 3 3" xfId="14846" xr:uid="{6FDA0BE5-742A-44FF-BB21-1F86462C5E8A}"/>
    <cellStyle name="Comma 3 3 8 3 4" xfId="25262" xr:uid="{2E4454F9-C234-43FD-9901-E948A2CF8900}"/>
    <cellStyle name="Comma 3 3 8 4" xfId="9657" xr:uid="{00000000-0005-0000-0000-000063180000}"/>
    <cellStyle name="Comma 3 3 8 4 2" xfId="21203" xr:uid="{7E131093-590D-4BED-B907-8C9E4EAC1995}"/>
    <cellStyle name="Comma 3 3 8 4 3" xfId="31619" xr:uid="{49BC6034-EDB2-407E-919A-BD509E46D2F5}"/>
    <cellStyle name="Comma 3 3 8 5" xfId="6019" xr:uid="{00000000-0005-0000-0000-000064180000}"/>
    <cellStyle name="Comma 3 3 8 5 2" xfId="17605" xr:uid="{CB5AC997-4144-416B-BFD9-767DC4E871BC}"/>
    <cellStyle name="Comma 3 3 8 5 3" xfId="28021" xr:uid="{50AA5B0C-BEC9-4CB5-B1CF-C064AD2BD741}"/>
    <cellStyle name="Comma 3 3 8 6" xfId="14843" xr:uid="{4D3163AA-07EF-4F26-8D86-E98094AB7E15}"/>
    <cellStyle name="Comma 3 3 8 7" xfId="25259" xr:uid="{202FDE18-3B3B-4385-BBB1-5711CD1FCF9B}"/>
    <cellStyle name="Comma 3 3 9" xfId="2512" xr:uid="{00000000-0005-0000-0000-000065180000}"/>
    <cellStyle name="Comma 3 3 9 2" xfId="2513" xr:uid="{00000000-0005-0000-0000-000066180000}"/>
    <cellStyle name="Comma 3 3 9 2 2" xfId="9662" xr:uid="{00000000-0005-0000-0000-000067180000}"/>
    <cellStyle name="Comma 3 3 9 2 2 2" xfId="21208" xr:uid="{7DF19004-CBFF-4F03-A882-DC6476486DDB}"/>
    <cellStyle name="Comma 3 3 9 2 2 3" xfId="31624" xr:uid="{61A27C19-5270-4BE9-8BF1-F09470629A69}"/>
    <cellStyle name="Comma 3 3 9 2 3" xfId="14848" xr:uid="{F8D497B0-8CD9-4DFF-AACA-0CA6062ED224}"/>
    <cellStyle name="Comma 3 3 9 2 4" xfId="25264" xr:uid="{67B0A52E-3DA6-486C-AAA8-B1121B970A1A}"/>
    <cellStyle name="Comma 3 3 9 3" xfId="9661" xr:uid="{00000000-0005-0000-0000-000068180000}"/>
    <cellStyle name="Comma 3 3 9 3 2" xfId="21207" xr:uid="{111F5E7D-95C2-451F-AAC6-4C178DF55117}"/>
    <cellStyle name="Comma 3 3 9 3 3" xfId="31623" xr:uid="{C603F955-6F26-4125-A17C-9EB192AABDFF}"/>
    <cellStyle name="Comma 3 3 9 4" xfId="6021" xr:uid="{00000000-0005-0000-0000-000069180000}"/>
    <cellStyle name="Comma 3 3 9 4 2" xfId="17607" xr:uid="{D4944CD3-A7A6-4333-916A-6D127BCA8848}"/>
    <cellStyle name="Comma 3 3 9 4 3" xfId="28023" xr:uid="{E202B23F-F0BA-4EA7-8758-603C21A132E3}"/>
    <cellStyle name="Comma 3 3 9 5" xfId="14847" xr:uid="{C9E51BE2-EF23-418F-BA82-4A12D70BF17B}"/>
    <cellStyle name="Comma 3 3 9 6" xfId="25263" xr:uid="{6DE62C51-E3F4-4DEE-8668-117E9BED149D}"/>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2 2 2" xfId="21211" xr:uid="{E03D6826-A424-4C79-B1F3-476A4FD318C8}"/>
    <cellStyle name="Comma 3 4 10 2 2 3" xfId="31627" xr:uid="{5CDAAE2A-2D9B-40D7-9B73-4140E521041A}"/>
    <cellStyle name="Comma 3 4 10 2 3" xfId="14851" xr:uid="{D0A4C2EC-40B4-43EC-AFC8-01D6C1CBC087}"/>
    <cellStyle name="Comma 3 4 10 2 4" xfId="25267" xr:uid="{E4B27BB1-AA0C-41BF-B729-A88392EBD5F9}"/>
    <cellStyle name="Comma 3 4 10 3" xfId="9664" xr:uid="{00000000-0005-0000-0000-00006E180000}"/>
    <cellStyle name="Comma 3 4 10 3 2" xfId="21210" xr:uid="{9A4E685C-E05B-4561-8067-5ABBEB242C22}"/>
    <cellStyle name="Comma 3 4 10 3 3" xfId="31626" xr:uid="{1DA6C354-15CF-4350-B6F6-58EF6FE6A2E9}"/>
    <cellStyle name="Comma 3 4 10 4" xfId="6023" xr:uid="{00000000-0005-0000-0000-00006F180000}"/>
    <cellStyle name="Comma 3 4 10 4 2" xfId="17609" xr:uid="{C29305C8-C81B-465D-B0E6-204CBBCA2360}"/>
    <cellStyle name="Comma 3 4 10 4 3" xfId="28025" xr:uid="{F8BB5617-12C0-42E0-9BDD-4C81DAB90C28}"/>
    <cellStyle name="Comma 3 4 10 5" xfId="14850" xr:uid="{39F6A323-35E7-4652-A7BA-D0C7EBAEB665}"/>
    <cellStyle name="Comma 3 4 10 6" xfId="25266" xr:uid="{D4B54124-7D35-4F0F-AB68-E999E8A27A86}"/>
    <cellStyle name="Comma 3 4 11" xfId="2517" xr:uid="{00000000-0005-0000-0000-000070180000}"/>
    <cellStyle name="Comma 3 4 11 2" xfId="9666" xr:uid="{00000000-0005-0000-0000-000071180000}"/>
    <cellStyle name="Comma 3 4 11 2 2" xfId="21212" xr:uid="{E469630A-314F-4638-B205-9C1716AC15EC}"/>
    <cellStyle name="Comma 3 4 11 2 3" xfId="31628" xr:uid="{F9874621-951B-4536-A78D-749C1A19038B}"/>
    <cellStyle name="Comma 3 4 11 3" xfId="14852" xr:uid="{84356139-647E-4682-9D88-8708A8E15C1A}"/>
    <cellStyle name="Comma 3 4 11 4" xfId="25268" xr:uid="{FCDCAE40-BE14-434F-A3D2-F42EB12A6238}"/>
    <cellStyle name="Comma 3 4 12" xfId="9663" xr:uid="{00000000-0005-0000-0000-000072180000}"/>
    <cellStyle name="Comma 3 4 12 2" xfId="21209" xr:uid="{6074C2E1-CA2E-4347-8FCE-5066B77D7E0A}"/>
    <cellStyle name="Comma 3 4 12 3" xfId="31625" xr:uid="{7A0B83AA-3392-4786-9496-3C211C64C3AC}"/>
    <cellStyle name="Comma 3 4 13" xfId="6022" xr:uid="{00000000-0005-0000-0000-000073180000}"/>
    <cellStyle name="Comma 3 4 13 2" xfId="17608" xr:uid="{CA0F87FF-9EE5-43B1-A965-21008EE41C9B}"/>
    <cellStyle name="Comma 3 4 13 3" xfId="28024" xr:uid="{8D23DA19-617D-49C6-AF01-CB527FB28B1C}"/>
    <cellStyle name="Comma 3 4 14" xfId="14849" xr:uid="{A3CC45F6-DF94-4621-90F0-96879EC8A729}"/>
    <cellStyle name="Comma 3 4 15" xfId="25265" xr:uid="{93A2CDCE-0001-4A35-910E-879CE0926D2E}"/>
    <cellStyle name="Comma 3 4 2" xfId="2518" xr:uid="{00000000-0005-0000-0000-000074180000}"/>
    <cellStyle name="Comma 3 4 2 10" xfId="2519" xr:uid="{00000000-0005-0000-0000-000075180000}"/>
    <cellStyle name="Comma 3 4 2 10 2" xfId="9668" xr:uid="{00000000-0005-0000-0000-000076180000}"/>
    <cellStyle name="Comma 3 4 2 10 2 2" xfId="21214" xr:uid="{39FFB17D-21AD-4BA2-B739-CC10EB6E8CCF}"/>
    <cellStyle name="Comma 3 4 2 10 2 3" xfId="31630" xr:uid="{D9DD4302-DF82-4738-B157-E659F7E264E0}"/>
    <cellStyle name="Comma 3 4 2 10 3" xfId="14854" xr:uid="{F95B9CDF-BB32-4F8A-856A-797CC9AD2791}"/>
    <cellStyle name="Comma 3 4 2 10 4" xfId="25270" xr:uid="{EB27C7CE-B5E5-4C57-A851-56EEC518001A}"/>
    <cellStyle name="Comma 3 4 2 11" xfId="9667" xr:uid="{00000000-0005-0000-0000-000077180000}"/>
    <cellStyle name="Comma 3 4 2 11 2" xfId="21213" xr:uid="{C033BC8B-1036-4656-B628-8E48AF60717E}"/>
    <cellStyle name="Comma 3 4 2 11 3" xfId="31629" xr:uid="{6983059B-3D1E-4BF0-905F-7D6FAD4D60AD}"/>
    <cellStyle name="Comma 3 4 2 12" xfId="6024" xr:uid="{00000000-0005-0000-0000-000078180000}"/>
    <cellStyle name="Comma 3 4 2 12 2" xfId="17610" xr:uid="{C328C32F-0412-4749-ACC9-C3E8EDC5F49E}"/>
    <cellStyle name="Comma 3 4 2 12 3" xfId="28026" xr:uid="{DD271754-3C93-4C8A-9006-ECACFCD1E485}"/>
    <cellStyle name="Comma 3 4 2 13" xfId="14853" xr:uid="{06F78EB9-3045-4423-80FE-EECE0820360E}"/>
    <cellStyle name="Comma 3 4 2 14" xfId="25269" xr:uid="{C9CE1F43-6597-424A-A243-DD494054D13D}"/>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2 2 2" xfId="21218" xr:uid="{F736DE5C-52F1-45F4-B175-7F1334995EE5}"/>
    <cellStyle name="Comma 3 4 2 2 2 2 2 2 3" xfId="31634" xr:uid="{73F2F695-FD32-4917-8657-778292000FCD}"/>
    <cellStyle name="Comma 3 4 2 2 2 2 2 3" xfId="14858" xr:uid="{C76886EE-A446-466B-99DD-7E14492F6DC8}"/>
    <cellStyle name="Comma 3 4 2 2 2 2 2 4" xfId="25274" xr:uid="{B7B5AA69-1537-4F36-83BD-63B2FE5C2DED}"/>
    <cellStyle name="Comma 3 4 2 2 2 2 3" xfId="9671" xr:uid="{00000000-0005-0000-0000-00007E180000}"/>
    <cellStyle name="Comma 3 4 2 2 2 2 3 2" xfId="21217" xr:uid="{543D1D8A-CC49-4014-A43C-72956491BC84}"/>
    <cellStyle name="Comma 3 4 2 2 2 2 3 3" xfId="31633" xr:uid="{74F1308C-A894-4C6D-9679-7903A594532C}"/>
    <cellStyle name="Comma 3 4 2 2 2 2 4" xfId="6027" xr:uid="{00000000-0005-0000-0000-00007F180000}"/>
    <cellStyle name="Comma 3 4 2 2 2 2 4 2" xfId="17613" xr:uid="{DC1F823E-9236-4CE2-9EC5-64B200A00C70}"/>
    <cellStyle name="Comma 3 4 2 2 2 2 4 3" xfId="28029" xr:uid="{F7395609-D4A0-462A-96BB-5FBD14C780A8}"/>
    <cellStyle name="Comma 3 4 2 2 2 2 5" xfId="14857" xr:uid="{CB28FAB4-079D-4C79-BB90-F96B43BA4CD1}"/>
    <cellStyle name="Comma 3 4 2 2 2 2 6" xfId="25273" xr:uid="{E97FE3CC-72DC-414D-B315-7C44C8D50740}"/>
    <cellStyle name="Comma 3 4 2 2 2 3" xfId="2524" xr:uid="{00000000-0005-0000-0000-000080180000}"/>
    <cellStyle name="Comma 3 4 2 2 2 3 2" xfId="9673" xr:uid="{00000000-0005-0000-0000-000081180000}"/>
    <cellStyle name="Comma 3 4 2 2 2 3 2 2" xfId="21219" xr:uid="{A4DD84F3-03CC-4BE7-97B1-3C2A8A28942C}"/>
    <cellStyle name="Comma 3 4 2 2 2 3 2 3" xfId="31635" xr:uid="{82873840-8852-48B2-9BC9-68328D3A50EB}"/>
    <cellStyle name="Comma 3 4 2 2 2 3 3" xfId="14859" xr:uid="{3689731F-8F30-458B-8451-75F53753A282}"/>
    <cellStyle name="Comma 3 4 2 2 2 3 4" xfId="25275" xr:uid="{AE32272E-8DCF-4FFD-A38D-525B0A5596CC}"/>
    <cellStyle name="Comma 3 4 2 2 2 4" xfId="9670" xr:uid="{00000000-0005-0000-0000-000082180000}"/>
    <cellStyle name="Comma 3 4 2 2 2 4 2" xfId="21216" xr:uid="{81ECF710-EDBB-4868-ACD2-01221990C80D}"/>
    <cellStyle name="Comma 3 4 2 2 2 4 3" xfId="31632" xr:uid="{FC53CDC3-178F-4D68-9586-DDEAD4737B17}"/>
    <cellStyle name="Comma 3 4 2 2 2 5" xfId="6026" xr:uid="{00000000-0005-0000-0000-000083180000}"/>
    <cellStyle name="Comma 3 4 2 2 2 5 2" xfId="17612" xr:uid="{D9F3587A-1EB3-4C44-B410-B5F2640984FC}"/>
    <cellStyle name="Comma 3 4 2 2 2 5 3" xfId="28028" xr:uid="{B156D0D7-9BA3-438D-B3A7-BB76664471B7}"/>
    <cellStyle name="Comma 3 4 2 2 2 6" xfId="14856" xr:uid="{66A96F2F-B133-497C-9159-82B9555DDD01}"/>
    <cellStyle name="Comma 3 4 2 2 2 7" xfId="25272" xr:uid="{D5AD9C6E-023B-4030-99DB-6FC7D8376818}"/>
    <cellStyle name="Comma 3 4 2 2 3" xfId="2525" xr:uid="{00000000-0005-0000-0000-000084180000}"/>
    <cellStyle name="Comma 3 4 2 2 3 2" xfId="2526" xr:uid="{00000000-0005-0000-0000-000085180000}"/>
    <cellStyle name="Comma 3 4 2 2 3 2 2" xfId="9675" xr:uid="{00000000-0005-0000-0000-000086180000}"/>
    <cellStyle name="Comma 3 4 2 2 3 2 2 2" xfId="21221" xr:uid="{3F46178D-77E1-4E84-AB54-8CC5C224BC6D}"/>
    <cellStyle name="Comma 3 4 2 2 3 2 2 3" xfId="31637" xr:uid="{17E37DDF-D806-488F-8019-0753346E29C8}"/>
    <cellStyle name="Comma 3 4 2 2 3 2 3" xfId="14861" xr:uid="{CE61C636-3F6F-4E90-826C-CB94BAFB4A94}"/>
    <cellStyle name="Comma 3 4 2 2 3 2 4" xfId="25277" xr:uid="{0B352A6A-B3F5-45D5-A97F-D5B8D648E5C0}"/>
    <cellStyle name="Comma 3 4 2 2 3 3" xfId="9674" xr:uid="{00000000-0005-0000-0000-000087180000}"/>
    <cellStyle name="Comma 3 4 2 2 3 3 2" xfId="21220" xr:uid="{0E1A6BC0-1847-43EF-B43C-31B35650C40D}"/>
    <cellStyle name="Comma 3 4 2 2 3 3 3" xfId="31636" xr:uid="{B2A0524A-BF84-43A5-868C-3687ABC47D34}"/>
    <cellStyle name="Comma 3 4 2 2 3 4" xfId="6028" xr:uid="{00000000-0005-0000-0000-000088180000}"/>
    <cellStyle name="Comma 3 4 2 2 3 4 2" xfId="17614" xr:uid="{7E8F33A8-3452-45E0-AF2D-6F0C9383ACE3}"/>
    <cellStyle name="Comma 3 4 2 2 3 4 3" xfId="28030" xr:uid="{4934CA4F-DF24-4777-B429-ACA2D0DC9FA1}"/>
    <cellStyle name="Comma 3 4 2 2 3 5" xfId="14860" xr:uid="{FD8CD535-25C4-4CEB-B63E-D77E023A01C8}"/>
    <cellStyle name="Comma 3 4 2 2 3 6" xfId="25276" xr:uid="{C6FC1437-6606-4163-8BC1-D318538F48EA}"/>
    <cellStyle name="Comma 3 4 2 2 4" xfId="2527" xr:uid="{00000000-0005-0000-0000-000089180000}"/>
    <cellStyle name="Comma 3 4 2 2 4 2" xfId="2528" xr:uid="{00000000-0005-0000-0000-00008A180000}"/>
    <cellStyle name="Comma 3 4 2 2 4 2 2" xfId="9677" xr:uid="{00000000-0005-0000-0000-00008B180000}"/>
    <cellStyle name="Comma 3 4 2 2 4 2 2 2" xfId="21223" xr:uid="{8C97619F-0A8B-4246-B213-A1AE3D4A2334}"/>
    <cellStyle name="Comma 3 4 2 2 4 2 2 3" xfId="31639" xr:uid="{FA541B87-E147-4EA4-B126-9D7E0FD81C0A}"/>
    <cellStyle name="Comma 3 4 2 2 4 2 3" xfId="14863" xr:uid="{D1FBC707-5465-4477-9E20-6967085B4922}"/>
    <cellStyle name="Comma 3 4 2 2 4 2 4" xfId="25279" xr:uid="{C9E40B31-7188-4B2B-BC8A-A77DC2122E8C}"/>
    <cellStyle name="Comma 3 4 2 2 4 3" xfId="9676" xr:uid="{00000000-0005-0000-0000-00008C180000}"/>
    <cellStyle name="Comma 3 4 2 2 4 3 2" xfId="21222" xr:uid="{CF5EF911-F565-4D69-8D74-0CA0F5A0EF4B}"/>
    <cellStyle name="Comma 3 4 2 2 4 3 3" xfId="31638" xr:uid="{3CAE66D7-A783-4CBB-99EE-D84C2EC662C0}"/>
    <cellStyle name="Comma 3 4 2 2 4 4" xfId="6029" xr:uid="{00000000-0005-0000-0000-00008D180000}"/>
    <cellStyle name="Comma 3 4 2 2 4 4 2" xfId="17615" xr:uid="{55369371-5B63-416C-8B73-84CD9AC9BD30}"/>
    <cellStyle name="Comma 3 4 2 2 4 4 3" xfId="28031" xr:uid="{A4298FB6-E4EA-4298-A437-95EDCB31F4FF}"/>
    <cellStyle name="Comma 3 4 2 2 4 5" xfId="14862" xr:uid="{94A1C8E0-A2EC-4A18-93ED-11365A14DB3E}"/>
    <cellStyle name="Comma 3 4 2 2 4 6" xfId="25278" xr:uid="{FFB76F03-95DC-4A41-B019-60BB3FB25323}"/>
    <cellStyle name="Comma 3 4 2 2 5" xfId="2529" xr:uid="{00000000-0005-0000-0000-00008E180000}"/>
    <cellStyle name="Comma 3 4 2 2 5 2" xfId="9678" xr:uid="{00000000-0005-0000-0000-00008F180000}"/>
    <cellStyle name="Comma 3 4 2 2 5 2 2" xfId="21224" xr:uid="{BED84775-CE5D-4AA0-B824-3CEB93AB398E}"/>
    <cellStyle name="Comma 3 4 2 2 5 2 3" xfId="31640" xr:uid="{9161D827-22B0-446B-A034-56D40BCE301C}"/>
    <cellStyle name="Comma 3 4 2 2 5 3" xfId="14864" xr:uid="{7DB6200B-51C2-4D5A-98EE-731C10015222}"/>
    <cellStyle name="Comma 3 4 2 2 5 4" xfId="25280" xr:uid="{5E4244B9-D10E-4D37-BA6F-B1B7616F3ECD}"/>
    <cellStyle name="Comma 3 4 2 2 6" xfId="9669" xr:uid="{00000000-0005-0000-0000-000090180000}"/>
    <cellStyle name="Comma 3 4 2 2 6 2" xfId="21215" xr:uid="{C1FC7FA2-9D73-4B00-8CA6-345074843660}"/>
    <cellStyle name="Comma 3 4 2 2 6 3" xfId="31631" xr:uid="{F87E91B6-9F46-4725-934C-A7B6B8B2D9DB}"/>
    <cellStyle name="Comma 3 4 2 2 7" xfId="6025" xr:uid="{00000000-0005-0000-0000-000091180000}"/>
    <cellStyle name="Comma 3 4 2 2 7 2" xfId="17611" xr:uid="{3D7D5EDC-197A-4CDD-A2C6-C7E4AC98D8F1}"/>
    <cellStyle name="Comma 3 4 2 2 7 3" xfId="28027" xr:uid="{153E6E21-1462-49F6-8A41-E60129FA8BAE}"/>
    <cellStyle name="Comma 3 4 2 2 8" xfId="14855" xr:uid="{73455C6C-9460-4C36-87E6-62FE88443B3C}"/>
    <cellStyle name="Comma 3 4 2 2 9" xfId="25271" xr:uid="{EEC2CD93-ED1E-4762-9AA8-55219F365BE4}"/>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2 2 2" xfId="21228" xr:uid="{45EF2664-401A-4AFB-97A6-B1FC7C733723}"/>
    <cellStyle name="Comma 3 4 2 3 2 2 2 2 3" xfId="31644" xr:uid="{46FC7B94-1248-4144-9C62-09EB466EBC0A}"/>
    <cellStyle name="Comma 3 4 2 3 2 2 2 3" xfId="14868" xr:uid="{BFB21DAD-8CCD-4B2D-BF2A-52620D6E5DFC}"/>
    <cellStyle name="Comma 3 4 2 3 2 2 2 4" xfId="25284" xr:uid="{FC2B4799-1C4E-450D-A810-0B095CDF768F}"/>
    <cellStyle name="Comma 3 4 2 3 2 2 3" xfId="9681" xr:uid="{00000000-0005-0000-0000-000097180000}"/>
    <cellStyle name="Comma 3 4 2 3 2 2 3 2" xfId="21227" xr:uid="{70EC1AC7-ABAE-4096-B797-98B7663D12C6}"/>
    <cellStyle name="Comma 3 4 2 3 2 2 3 3" xfId="31643" xr:uid="{A57DDEA0-7AB0-42E5-ABEF-9839DAE310EA}"/>
    <cellStyle name="Comma 3 4 2 3 2 2 4" xfId="6032" xr:uid="{00000000-0005-0000-0000-000098180000}"/>
    <cellStyle name="Comma 3 4 2 3 2 2 4 2" xfId="17618" xr:uid="{CC69FE65-6301-431E-A44F-0C8BB5838149}"/>
    <cellStyle name="Comma 3 4 2 3 2 2 4 3" xfId="28034" xr:uid="{4CDD4DDC-76AF-4BEC-B067-75EE08C1FDBC}"/>
    <cellStyle name="Comma 3 4 2 3 2 2 5" xfId="14867" xr:uid="{9A5E6513-560E-4AC7-AF4D-E842BE0C7F32}"/>
    <cellStyle name="Comma 3 4 2 3 2 2 6" xfId="25283" xr:uid="{2F59C5A0-0762-4BF4-83D7-5BEC2473EAE8}"/>
    <cellStyle name="Comma 3 4 2 3 2 3" xfId="2534" xr:uid="{00000000-0005-0000-0000-000099180000}"/>
    <cellStyle name="Comma 3 4 2 3 2 3 2" xfId="9683" xr:uid="{00000000-0005-0000-0000-00009A180000}"/>
    <cellStyle name="Comma 3 4 2 3 2 3 2 2" xfId="21229" xr:uid="{8F247741-2205-4E6F-81AE-07479141A0B4}"/>
    <cellStyle name="Comma 3 4 2 3 2 3 2 3" xfId="31645" xr:uid="{FA792C42-A0AA-4816-B421-EF6CC96E152C}"/>
    <cellStyle name="Comma 3 4 2 3 2 3 3" xfId="14869" xr:uid="{98934FD7-FFE3-4D58-87A0-803F45637F9E}"/>
    <cellStyle name="Comma 3 4 2 3 2 3 4" xfId="25285" xr:uid="{A6D9C0CF-F261-4EFA-94B1-11EAC69974AF}"/>
    <cellStyle name="Comma 3 4 2 3 2 4" xfId="9680" xr:uid="{00000000-0005-0000-0000-00009B180000}"/>
    <cellStyle name="Comma 3 4 2 3 2 4 2" xfId="21226" xr:uid="{2DD78DE9-E543-4A0D-97C1-F44A15AA9D0F}"/>
    <cellStyle name="Comma 3 4 2 3 2 4 3" xfId="31642" xr:uid="{AD2FADBA-C89C-4D34-890E-A52064CECDA4}"/>
    <cellStyle name="Comma 3 4 2 3 2 5" xfId="6031" xr:uid="{00000000-0005-0000-0000-00009C180000}"/>
    <cellStyle name="Comma 3 4 2 3 2 5 2" xfId="17617" xr:uid="{D9E12627-9383-4F9E-9348-D48B7C5FF792}"/>
    <cellStyle name="Comma 3 4 2 3 2 5 3" xfId="28033" xr:uid="{9F7B4B73-E11F-419F-BDAE-C8FC5171C7A1}"/>
    <cellStyle name="Comma 3 4 2 3 2 6" xfId="14866" xr:uid="{311DC9E6-86C6-4470-B6AF-3D6B8659BAC4}"/>
    <cellStyle name="Comma 3 4 2 3 2 7" xfId="25282" xr:uid="{3F30BEA4-C39C-48D9-8038-330760B28055}"/>
    <cellStyle name="Comma 3 4 2 3 3" xfId="2535" xr:uid="{00000000-0005-0000-0000-00009D180000}"/>
    <cellStyle name="Comma 3 4 2 3 3 2" xfId="2536" xr:uid="{00000000-0005-0000-0000-00009E180000}"/>
    <cellStyle name="Comma 3 4 2 3 3 2 2" xfId="9685" xr:uid="{00000000-0005-0000-0000-00009F180000}"/>
    <cellStyle name="Comma 3 4 2 3 3 2 2 2" xfId="21231" xr:uid="{56B513E4-6F7C-493B-AB28-7C08AA3D7AEB}"/>
    <cellStyle name="Comma 3 4 2 3 3 2 2 3" xfId="31647" xr:uid="{B154AB44-08F5-4689-9E04-2244C5535861}"/>
    <cellStyle name="Comma 3 4 2 3 3 2 3" xfId="14871" xr:uid="{A9391A10-C3C5-47D4-AA58-53FB42BFA1A1}"/>
    <cellStyle name="Comma 3 4 2 3 3 2 4" xfId="25287" xr:uid="{B9E02215-7C73-4A48-933C-FAC56DD252D9}"/>
    <cellStyle name="Comma 3 4 2 3 3 3" xfId="9684" xr:uid="{00000000-0005-0000-0000-0000A0180000}"/>
    <cellStyle name="Comma 3 4 2 3 3 3 2" xfId="21230" xr:uid="{5918B809-AE57-470F-9BEA-F00CB1799493}"/>
    <cellStyle name="Comma 3 4 2 3 3 3 3" xfId="31646" xr:uid="{EA34ECCF-D475-4F1C-88C8-7CF25047BF1E}"/>
    <cellStyle name="Comma 3 4 2 3 3 4" xfId="6033" xr:uid="{00000000-0005-0000-0000-0000A1180000}"/>
    <cellStyle name="Comma 3 4 2 3 3 4 2" xfId="17619" xr:uid="{1408B520-FEAD-4D5A-8DE1-E8186F4C5756}"/>
    <cellStyle name="Comma 3 4 2 3 3 4 3" xfId="28035" xr:uid="{E7BCB062-DBE0-4747-A5EB-16B166AC2408}"/>
    <cellStyle name="Comma 3 4 2 3 3 5" xfId="14870" xr:uid="{69E9F625-1357-4C5F-9581-C95DF7D058E7}"/>
    <cellStyle name="Comma 3 4 2 3 3 6" xfId="25286" xr:uid="{CD17702C-93B0-4AEC-B337-79985B2F775D}"/>
    <cellStyle name="Comma 3 4 2 3 4" xfId="2537" xr:uid="{00000000-0005-0000-0000-0000A2180000}"/>
    <cellStyle name="Comma 3 4 2 3 4 2" xfId="2538" xr:uid="{00000000-0005-0000-0000-0000A3180000}"/>
    <cellStyle name="Comma 3 4 2 3 4 2 2" xfId="9687" xr:uid="{00000000-0005-0000-0000-0000A4180000}"/>
    <cellStyle name="Comma 3 4 2 3 4 2 2 2" xfId="21233" xr:uid="{0DF8561A-5EC2-49EE-ADB7-FB6C5E41B904}"/>
    <cellStyle name="Comma 3 4 2 3 4 2 2 3" xfId="31649" xr:uid="{BD7588F9-FCAD-4B19-B866-CEB843E32265}"/>
    <cellStyle name="Comma 3 4 2 3 4 2 3" xfId="14873" xr:uid="{19B02C38-B3D6-4F2D-8FA8-EA85BCFC328F}"/>
    <cellStyle name="Comma 3 4 2 3 4 2 4" xfId="25289" xr:uid="{631EAB6D-31D2-43AE-B5FA-3464EF5552C2}"/>
    <cellStyle name="Comma 3 4 2 3 4 3" xfId="9686" xr:uid="{00000000-0005-0000-0000-0000A5180000}"/>
    <cellStyle name="Comma 3 4 2 3 4 3 2" xfId="21232" xr:uid="{DA2E309F-CD0D-48FA-8E81-58F596032431}"/>
    <cellStyle name="Comma 3 4 2 3 4 3 3" xfId="31648" xr:uid="{187331EC-A500-476D-A1E9-E8261CACBBE5}"/>
    <cellStyle name="Comma 3 4 2 3 4 4" xfId="6034" xr:uid="{00000000-0005-0000-0000-0000A6180000}"/>
    <cellStyle name="Comma 3 4 2 3 4 4 2" xfId="17620" xr:uid="{61704313-21C4-46B8-B593-A3A4563EEF54}"/>
    <cellStyle name="Comma 3 4 2 3 4 4 3" xfId="28036" xr:uid="{2CD2C7B5-CB58-485C-B3A9-0EFDC2F27CD3}"/>
    <cellStyle name="Comma 3 4 2 3 4 5" xfId="14872" xr:uid="{5E8D550C-16AD-45CC-882F-300413723A14}"/>
    <cellStyle name="Comma 3 4 2 3 4 6" xfId="25288" xr:uid="{88BFD1C9-6917-4173-B588-B4EF8286ABFD}"/>
    <cellStyle name="Comma 3 4 2 3 5" xfId="2539" xr:uid="{00000000-0005-0000-0000-0000A7180000}"/>
    <cellStyle name="Comma 3 4 2 3 5 2" xfId="9688" xr:uid="{00000000-0005-0000-0000-0000A8180000}"/>
    <cellStyle name="Comma 3 4 2 3 5 2 2" xfId="21234" xr:uid="{6D445AF1-E5D5-4306-A76C-B973B227BC5A}"/>
    <cellStyle name="Comma 3 4 2 3 5 2 3" xfId="31650" xr:uid="{38A4DDF8-E7D5-4DBE-BDB7-8FF247FF28C2}"/>
    <cellStyle name="Comma 3 4 2 3 5 3" xfId="14874" xr:uid="{C0690C2A-6C41-4323-82A4-986F481E6DAC}"/>
    <cellStyle name="Comma 3 4 2 3 5 4" xfId="25290" xr:uid="{E107E807-54DD-428C-BC58-DCD1E3DB2C9D}"/>
    <cellStyle name="Comma 3 4 2 3 6" xfId="9679" xr:uid="{00000000-0005-0000-0000-0000A9180000}"/>
    <cellStyle name="Comma 3 4 2 3 6 2" xfId="21225" xr:uid="{4BB72753-B359-4A1D-A5A7-F136941A3A60}"/>
    <cellStyle name="Comma 3 4 2 3 6 3" xfId="31641" xr:uid="{A2E76833-E184-4334-88FB-4534B2B681E8}"/>
    <cellStyle name="Comma 3 4 2 3 7" xfId="6030" xr:uid="{00000000-0005-0000-0000-0000AA180000}"/>
    <cellStyle name="Comma 3 4 2 3 7 2" xfId="17616" xr:uid="{31DBEA68-7E1F-4E1B-A23B-8EE15C2AF1A0}"/>
    <cellStyle name="Comma 3 4 2 3 7 3" xfId="28032" xr:uid="{7E1787CD-C2F8-4892-B5B8-2914CD87738E}"/>
    <cellStyle name="Comma 3 4 2 3 8" xfId="14865" xr:uid="{BC197A70-6D06-4F28-8D98-9A0F390A880B}"/>
    <cellStyle name="Comma 3 4 2 3 9" xfId="25281" xr:uid="{249162E3-DECB-4A41-A6B9-CDBC1AD7BB59}"/>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2 2 2" xfId="21238" xr:uid="{9892E97C-6B72-413F-A87D-BE1EF28EB671}"/>
    <cellStyle name="Comma 3 4 2 4 2 2 2 2 3" xfId="31654" xr:uid="{EA6CD40F-DC0B-426F-9D10-5DAA9D3E3147}"/>
    <cellStyle name="Comma 3 4 2 4 2 2 2 3" xfId="14878" xr:uid="{0E383DC7-728D-4F00-A781-837592377571}"/>
    <cellStyle name="Comma 3 4 2 4 2 2 2 4" xfId="25294" xr:uid="{8BC28107-CC2C-4D9A-807F-F1C02DBF3E42}"/>
    <cellStyle name="Comma 3 4 2 4 2 2 3" xfId="9691" xr:uid="{00000000-0005-0000-0000-0000B0180000}"/>
    <cellStyle name="Comma 3 4 2 4 2 2 3 2" xfId="21237" xr:uid="{A578CD7C-7412-424D-BD8B-80B3617B8B45}"/>
    <cellStyle name="Comma 3 4 2 4 2 2 3 3" xfId="31653" xr:uid="{4F8AF067-1B8F-459B-9DEF-188CEADD214B}"/>
    <cellStyle name="Comma 3 4 2 4 2 2 4" xfId="6037" xr:uid="{00000000-0005-0000-0000-0000B1180000}"/>
    <cellStyle name="Comma 3 4 2 4 2 2 4 2" xfId="17623" xr:uid="{F2A02BB8-5134-45D7-967A-7681A62EBF72}"/>
    <cellStyle name="Comma 3 4 2 4 2 2 4 3" xfId="28039" xr:uid="{B1F137D8-0F4A-4819-A1B4-58330F011DD4}"/>
    <cellStyle name="Comma 3 4 2 4 2 2 5" xfId="14877" xr:uid="{7B49578B-11FC-4A18-96E4-F001AEC937BA}"/>
    <cellStyle name="Comma 3 4 2 4 2 2 6" xfId="25293" xr:uid="{56C8CF63-8DC0-4155-80C2-B70AE2232B62}"/>
    <cellStyle name="Comma 3 4 2 4 2 3" xfId="2544" xr:uid="{00000000-0005-0000-0000-0000B2180000}"/>
    <cellStyle name="Comma 3 4 2 4 2 3 2" xfId="9693" xr:uid="{00000000-0005-0000-0000-0000B3180000}"/>
    <cellStyle name="Comma 3 4 2 4 2 3 2 2" xfId="21239" xr:uid="{38DBEE0D-63FF-4F36-82C4-D0F0439A247E}"/>
    <cellStyle name="Comma 3 4 2 4 2 3 2 3" xfId="31655" xr:uid="{B5770241-275D-4388-9A90-BD98585EC09F}"/>
    <cellStyle name="Comma 3 4 2 4 2 3 3" xfId="14879" xr:uid="{9B18D1AB-5C06-49CD-905F-C1C3BAD76145}"/>
    <cellStyle name="Comma 3 4 2 4 2 3 4" xfId="25295" xr:uid="{067F4DFF-FF4E-4186-8C39-1351CF740149}"/>
    <cellStyle name="Comma 3 4 2 4 2 4" xfId="9690" xr:uid="{00000000-0005-0000-0000-0000B4180000}"/>
    <cellStyle name="Comma 3 4 2 4 2 4 2" xfId="21236" xr:uid="{0974579F-A03F-4737-AA80-D3F8B9D44C36}"/>
    <cellStyle name="Comma 3 4 2 4 2 4 3" xfId="31652" xr:uid="{43B3B2E2-A5FA-4CDA-8DA2-FB1A804DDD12}"/>
    <cellStyle name="Comma 3 4 2 4 2 5" xfId="6036" xr:uid="{00000000-0005-0000-0000-0000B5180000}"/>
    <cellStyle name="Comma 3 4 2 4 2 5 2" xfId="17622" xr:uid="{69429F2A-4DB7-487D-A68D-A624AFD9EA5B}"/>
    <cellStyle name="Comma 3 4 2 4 2 5 3" xfId="28038" xr:uid="{6ABB4BE4-316C-49B7-A61A-A9F302A9C2D3}"/>
    <cellStyle name="Comma 3 4 2 4 2 6" xfId="14876" xr:uid="{E6CF5C7C-7074-4563-A1E6-A13508C3A6F8}"/>
    <cellStyle name="Comma 3 4 2 4 2 7" xfId="25292" xr:uid="{B50BC60C-9D9B-4539-9F29-A1292DCED209}"/>
    <cellStyle name="Comma 3 4 2 4 3" xfId="2545" xr:uid="{00000000-0005-0000-0000-0000B6180000}"/>
    <cellStyle name="Comma 3 4 2 4 3 2" xfId="2546" xr:uid="{00000000-0005-0000-0000-0000B7180000}"/>
    <cellStyle name="Comma 3 4 2 4 3 2 2" xfId="9695" xr:uid="{00000000-0005-0000-0000-0000B8180000}"/>
    <cellStyle name="Comma 3 4 2 4 3 2 2 2" xfId="21241" xr:uid="{EF228BD7-7ED0-4965-A798-8A43352AE26C}"/>
    <cellStyle name="Comma 3 4 2 4 3 2 2 3" xfId="31657" xr:uid="{3227337E-CAC7-4C9D-9342-3F696890902E}"/>
    <cellStyle name="Comma 3 4 2 4 3 2 3" xfId="14881" xr:uid="{F86414B7-2DA9-456C-855F-6DD537D9F8D0}"/>
    <cellStyle name="Comma 3 4 2 4 3 2 4" xfId="25297" xr:uid="{F0F6EDB0-0C7E-4344-A159-635B5BE23725}"/>
    <cellStyle name="Comma 3 4 2 4 3 3" xfId="9694" xr:uid="{00000000-0005-0000-0000-0000B9180000}"/>
    <cellStyle name="Comma 3 4 2 4 3 3 2" xfId="21240" xr:uid="{86989A84-3C46-46BF-8A17-8B987C0CE310}"/>
    <cellStyle name="Comma 3 4 2 4 3 3 3" xfId="31656" xr:uid="{32BDB1CA-BDD8-4E16-B913-4CE27FA49B4D}"/>
    <cellStyle name="Comma 3 4 2 4 3 4" xfId="6038" xr:uid="{00000000-0005-0000-0000-0000BA180000}"/>
    <cellStyle name="Comma 3 4 2 4 3 4 2" xfId="17624" xr:uid="{6581AC5F-5260-4E57-B29C-D4A1478BF32B}"/>
    <cellStyle name="Comma 3 4 2 4 3 4 3" xfId="28040" xr:uid="{BCC97C3E-F37C-476E-B1E4-FC058561022F}"/>
    <cellStyle name="Comma 3 4 2 4 3 5" xfId="14880" xr:uid="{26EF0A1A-2082-4063-B9A5-19A3093FF8B5}"/>
    <cellStyle name="Comma 3 4 2 4 3 6" xfId="25296" xr:uid="{03A51D9F-BF53-455F-A929-8B462AEC35E4}"/>
    <cellStyle name="Comma 3 4 2 4 4" xfId="2547" xr:uid="{00000000-0005-0000-0000-0000BB180000}"/>
    <cellStyle name="Comma 3 4 2 4 4 2" xfId="2548" xr:uid="{00000000-0005-0000-0000-0000BC180000}"/>
    <cellStyle name="Comma 3 4 2 4 4 2 2" xfId="9697" xr:uid="{00000000-0005-0000-0000-0000BD180000}"/>
    <cellStyle name="Comma 3 4 2 4 4 2 2 2" xfId="21243" xr:uid="{972C75EA-7678-4B51-ABA0-DA9DC904EB68}"/>
    <cellStyle name="Comma 3 4 2 4 4 2 2 3" xfId="31659" xr:uid="{9DA52A0D-A7BA-4A49-BD1D-18E7FAEB0515}"/>
    <cellStyle name="Comma 3 4 2 4 4 2 3" xfId="14883" xr:uid="{8A039756-B99D-4477-A44B-F29618F5FE3F}"/>
    <cellStyle name="Comma 3 4 2 4 4 2 4" xfId="25299" xr:uid="{A87B17B4-3C92-4AD3-85C1-E1504F7AC124}"/>
    <cellStyle name="Comma 3 4 2 4 4 3" xfId="9696" xr:uid="{00000000-0005-0000-0000-0000BE180000}"/>
    <cellStyle name="Comma 3 4 2 4 4 3 2" xfId="21242" xr:uid="{2F6BCA98-CB6E-421E-BC9F-02B5FC762579}"/>
    <cellStyle name="Comma 3 4 2 4 4 3 3" xfId="31658" xr:uid="{DF2F22F1-9737-4EDB-9BC5-0D26BD91E468}"/>
    <cellStyle name="Comma 3 4 2 4 4 4" xfId="6039" xr:uid="{00000000-0005-0000-0000-0000BF180000}"/>
    <cellStyle name="Comma 3 4 2 4 4 4 2" xfId="17625" xr:uid="{D52093C4-9CFA-49A4-837D-79807BC3BBB7}"/>
    <cellStyle name="Comma 3 4 2 4 4 4 3" xfId="28041" xr:uid="{73001E66-C5EE-441E-B8F9-FA912A9A2301}"/>
    <cellStyle name="Comma 3 4 2 4 4 5" xfId="14882" xr:uid="{FC0C8864-501E-44FA-B46A-6B7549D6E991}"/>
    <cellStyle name="Comma 3 4 2 4 4 6" xfId="25298" xr:uid="{99014668-ED6B-4903-9B2A-81B5CFB39152}"/>
    <cellStyle name="Comma 3 4 2 4 5" xfId="2549" xr:uid="{00000000-0005-0000-0000-0000C0180000}"/>
    <cellStyle name="Comma 3 4 2 4 5 2" xfId="9698" xr:uid="{00000000-0005-0000-0000-0000C1180000}"/>
    <cellStyle name="Comma 3 4 2 4 5 2 2" xfId="21244" xr:uid="{019A66BC-4A31-4841-A023-3370A7134B75}"/>
    <cellStyle name="Comma 3 4 2 4 5 2 3" xfId="31660" xr:uid="{C82C7D20-39FB-48C4-B356-1CAC49FF8B0C}"/>
    <cellStyle name="Comma 3 4 2 4 5 3" xfId="14884" xr:uid="{414FF680-5BE6-4446-BE95-0B82F05DC1EA}"/>
    <cellStyle name="Comma 3 4 2 4 5 4" xfId="25300" xr:uid="{5E506DDE-20CF-41B6-BF97-86D8F49315C0}"/>
    <cellStyle name="Comma 3 4 2 4 6" xfId="9689" xr:uid="{00000000-0005-0000-0000-0000C2180000}"/>
    <cellStyle name="Comma 3 4 2 4 6 2" xfId="21235" xr:uid="{AFCF99AA-15BA-4E26-A6AF-CD38EA18ADAE}"/>
    <cellStyle name="Comma 3 4 2 4 6 3" xfId="31651" xr:uid="{3869F04E-615A-4636-857C-04C6B25C168F}"/>
    <cellStyle name="Comma 3 4 2 4 7" xfId="6035" xr:uid="{00000000-0005-0000-0000-0000C3180000}"/>
    <cellStyle name="Comma 3 4 2 4 7 2" xfId="17621" xr:uid="{2BB245EC-83E6-4010-8FE4-498393962AD2}"/>
    <cellStyle name="Comma 3 4 2 4 7 3" xfId="28037" xr:uid="{81824EF0-F041-47F5-9025-9BE32A2D7721}"/>
    <cellStyle name="Comma 3 4 2 4 8" xfId="14875" xr:uid="{353CF7EC-E548-41E4-9AC8-9BFC42C4197F}"/>
    <cellStyle name="Comma 3 4 2 4 9" xfId="25291" xr:uid="{34F66944-6168-4842-B66A-870465FF22F7}"/>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2 2 2" xfId="21248" xr:uid="{47AF8EE2-BFE5-47B8-AC51-7B3AC0E1E566}"/>
    <cellStyle name="Comma 3 4 2 5 2 2 2 2 3" xfId="31664" xr:uid="{7559957A-B2D4-4D6B-B833-C7A928E1BBFF}"/>
    <cellStyle name="Comma 3 4 2 5 2 2 2 3" xfId="14888" xr:uid="{FC2ED299-CF19-49C9-8CD8-46CFDEFB5C67}"/>
    <cellStyle name="Comma 3 4 2 5 2 2 2 4" xfId="25304" xr:uid="{B18392E0-FC4D-4375-A163-BCE3E17E56D6}"/>
    <cellStyle name="Comma 3 4 2 5 2 2 3" xfId="9701" xr:uid="{00000000-0005-0000-0000-0000C9180000}"/>
    <cellStyle name="Comma 3 4 2 5 2 2 3 2" xfId="21247" xr:uid="{6A065FC5-5C2B-4E7B-815F-3853FF79C24D}"/>
    <cellStyle name="Comma 3 4 2 5 2 2 3 3" xfId="31663" xr:uid="{4E124F2F-67C4-4944-91B7-6EA91BF18D9D}"/>
    <cellStyle name="Comma 3 4 2 5 2 2 4" xfId="6042" xr:uid="{00000000-0005-0000-0000-0000CA180000}"/>
    <cellStyle name="Comma 3 4 2 5 2 2 4 2" xfId="17628" xr:uid="{6AB61997-FB91-421B-9E04-83D7E7C5BAFA}"/>
    <cellStyle name="Comma 3 4 2 5 2 2 4 3" xfId="28044" xr:uid="{28C6F56E-1E56-4E6E-B4B8-A4AF06FD4892}"/>
    <cellStyle name="Comma 3 4 2 5 2 2 5" xfId="14887" xr:uid="{A3DD56BC-D621-4C74-B58B-AFCC1F68C15C}"/>
    <cellStyle name="Comma 3 4 2 5 2 2 6" xfId="25303" xr:uid="{D74DAD58-53F6-41F0-B6B1-8C8271A5847B}"/>
    <cellStyle name="Comma 3 4 2 5 2 3" xfId="2554" xr:uid="{00000000-0005-0000-0000-0000CB180000}"/>
    <cellStyle name="Comma 3 4 2 5 2 3 2" xfId="9703" xr:uid="{00000000-0005-0000-0000-0000CC180000}"/>
    <cellStyle name="Comma 3 4 2 5 2 3 2 2" xfId="21249" xr:uid="{6B8A8C66-29B9-4D2E-AA50-B4B0AD654A4B}"/>
    <cellStyle name="Comma 3 4 2 5 2 3 2 3" xfId="31665" xr:uid="{0935878E-C349-4F6B-92D4-5A751AEF5BF8}"/>
    <cellStyle name="Comma 3 4 2 5 2 3 3" xfId="14889" xr:uid="{32ACF493-AC80-49F7-946F-96403130F28E}"/>
    <cellStyle name="Comma 3 4 2 5 2 3 4" xfId="25305" xr:uid="{D6EACEA5-C665-4619-B82F-8BB8DE16FE59}"/>
    <cellStyle name="Comma 3 4 2 5 2 4" xfId="9700" xr:uid="{00000000-0005-0000-0000-0000CD180000}"/>
    <cellStyle name="Comma 3 4 2 5 2 4 2" xfId="21246" xr:uid="{8989F5BA-B23C-4D15-BA77-C76E7F043115}"/>
    <cellStyle name="Comma 3 4 2 5 2 4 3" xfId="31662" xr:uid="{F7C3550D-331F-488C-8ACC-F5C964038498}"/>
    <cellStyle name="Comma 3 4 2 5 2 5" xfId="6041" xr:uid="{00000000-0005-0000-0000-0000CE180000}"/>
    <cellStyle name="Comma 3 4 2 5 2 5 2" xfId="17627" xr:uid="{2FAC3F27-1C93-4883-B885-A9527B9A9DE3}"/>
    <cellStyle name="Comma 3 4 2 5 2 5 3" xfId="28043" xr:uid="{5AF9F8DE-B55E-4BF1-B6C3-F83F91B326BF}"/>
    <cellStyle name="Comma 3 4 2 5 2 6" xfId="14886" xr:uid="{9D74B48E-4398-4C51-96A3-949AA79B0485}"/>
    <cellStyle name="Comma 3 4 2 5 2 7" xfId="25302" xr:uid="{15077D4E-386E-41C4-B8E5-58466BB89A0E}"/>
    <cellStyle name="Comma 3 4 2 5 3" xfId="2555" xr:uid="{00000000-0005-0000-0000-0000CF180000}"/>
    <cellStyle name="Comma 3 4 2 5 3 2" xfId="2556" xr:uid="{00000000-0005-0000-0000-0000D0180000}"/>
    <cellStyle name="Comma 3 4 2 5 3 2 2" xfId="9705" xr:uid="{00000000-0005-0000-0000-0000D1180000}"/>
    <cellStyle name="Comma 3 4 2 5 3 2 2 2" xfId="21251" xr:uid="{B5F5D3ED-C461-4E7C-AC49-96329AA341DB}"/>
    <cellStyle name="Comma 3 4 2 5 3 2 2 3" xfId="31667" xr:uid="{7CD273E5-FF70-4A6C-BBDE-C711C3BE105F}"/>
    <cellStyle name="Comma 3 4 2 5 3 2 3" xfId="14891" xr:uid="{EF72DAE3-94C3-414C-AD6D-BAFD79041F76}"/>
    <cellStyle name="Comma 3 4 2 5 3 2 4" xfId="25307" xr:uid="{9CEF47EE-36A3-4A81-A735-01AC99E0635B}"/>
    <cellStyle name="Comma 3 4 2 5 3 3" xfId="9704" xr:uid="{00000000-0005-0000-0000-0000D2180000}"/>
    <cellStyle name="Comma 3 4 2 5 3 3 2" xfId="21250" xr:uid="{222935AA-3DD9-41A7-96EE-349E81DBA9A2}"/>
    <cellStyle name="Comma 3 4 2 5 3 3 3" xfId="31666" xr:uid="{8BD9CDC0-0A14-4E3A-AD0A-5FCEFAE05599}"/>
    <cellStyle name="Comma 3 4 2 5 3 4" xfId="6043" xr:uid="{00000000-0005-0000-0000-0000D3180000}"/>
    <cellStyle name="Comma 3 4 2 5 3 4 2" xfId="17629" xr:uid="{A19F52C3-E24B-40C8-A6AE-E309A105BEE2}"/>
    <cellStyle name="Comma 3 4 2 5 3 4 3" xfId="28045" xr:uid="{82F037F8-5DF2-4517-B6AA-E9380418D375}"/>
    <cellStyle name="Comma 3 4 2 5 3 5" xfId="14890" xr:uid="{1FA0F541-96FB-4385-9667-CEC892BA9B3A}"/>
    <cellStyle name="Comma 3 4 2 5 3 6" xfId="25306" xr:uid="{B1A85611-A352-409D-AF29-E33761134D72}"/>
    <cellStyle name="Comma 3 4 2 5 4" xfId="2557" xr:uid="{00000000-0005-0000-0000-0000D4180000}"/>
    <cellStyle name="Comma 3 4 2 5 4 2" xfId="2558" xr:uid="{00000000-0005-0000-0000-0000D5180000}"/>
    <cellStyle name="Comma 3 4 2 5 4 2 2" xfId="9707" xr:uid="{00000000-0005-0000-0000-0000D6180000}"/>
    <cellStyle name="Comma 3 4 2 5 4 2 2 2" xfId="21253" xr:uid="{CF646865-67CB-4F84-891B-FC941BDD26FF}"/>
    <cellStyle name="Comma 3 4 2 5 4 2 2 3" xfId="31669" xr:uid="{32934AD4-A6E9-420F-8D86-E57BE57A4D13}"/>
    <cellStyle name="Comma 3 4 2 5 4 2 3" xfId="14893" xr:uid="{D40E76AD-EFEE-4EB6-8784-DB9885940DDC}"/>
    <cellStyle name="Comma 3 4 2 5 4 2 4" xfId="25309" xr:uid="{37C96D49-2BAF-42B4-9251-48F59B12754D}"/>
    <cellStyle name="Comma 3 4 2 5 4 3" xfId="9706" xr:uid="{00000000-0005-0000-0000-0000D7180000}"/>
    <cellStyle name="Comma 3 4 2 5 4 3 2" xfId="21252" xr:uid="{E505CA58-DF65-4B85-9617-7D173E1B3985}"/>
    <cellStyle name="Comma 3 4 2 5 4 3 3" xfId="31668" xr:uid="{AA5AFFF7-19EC-47AF-96B2-9F044DDC3841}"/>
    <cellStyle name="Comma 3 4 2 5 4 4" xfId="6044" xr:uid="{00000000-0005-0000-0000-0000D8180000}"/>
    <cellStyle name="Comma 3 4 2 5 4 4 2" xfId="17630" xr:uid="{D8A957F7-3225-44C2-B4EB-6866247441CA}"/>
    <cellStyle name="Comma 3 4 2 5 4 4 3" xfId="28046" xr:uid="{8992240F-A91E-4B8C-AAD9-A0589B55223A}"/>
    <cellStyle name="Comma 3 4 2 5 4 5" xfId="14892" xr:uid="{CE8AF23F-3DFD-4C86-B627-A941AD2F9D66}"/>
    <cellStyle name="Comma 3 4 2 5 4 6" xfId="25308" xr:uid="{67A91F9A-5509-4016-9AAA-EC0B78422507}"/>
    <cellStyle name="Comma 3 4 2 5 5" xfId="2559" xr:uid="{00000000-0005-0000-0000-0000D9180000}"/>
    <cellStyle name="Comma 3 4 2 5 5 2" xfId="9708" xr:uid="{00000000-0005-0000-0000-0000DA180000}"/>
    <cellStyle name="Comma 3 4 2 5 5 2 2" xfId="21254" xr:uid="{F740B799-6E86-4B2E-8CF1-ED44DBB0E237}"/>
    <cellStyle name="Comma 3 4 2 5 5 2 3" xfId="31670" xr:uid="{98E6CBF1-7B78-4E86-A3E3-D0FC61D71364}"/>
    <cellStyle name="Comma 3 4 2 5 5 3" xfId="14894" xr:uid="{5ED472F2-9F1B-4EF9-893C-4EC112C3D7A3}"/>
    <cellStyle name="Comma 3 4 2 5 5 4" xfId="25310" xr:uid="{061FB383-40FF-421E-B863-AFC9638856C2}"/>
    <cellStyle name="Comma 3 4 2 5 6" xfId="9699" xr:uid="{00000000-0005-0000-0000-0000DB180000}"/>
    <cellStyle name="Comma 3 4 2 5 6 2" xfId="21245" xr:uid="{786BBE65-2CC4-448F-9682-D2F3669AB187}"/>
    <cellStyle name="Comma 3 4 2 5 6 3" xfId="31661" xr:uid="{EAE3225B-506B-41A8-83F1-24BEDEB5E4C2}"/>
    <cellStyle name="Comma 3 4 2 5 7" xfId="6040" xr:uid="{00000000-0005-0000-0000-0000DC180000}"/>
    <cellStyle name="Comma 3 4 2 5 7 2" xfId="17626" xr:uid="{9B4B13F1-11F1-4B3D-922E-5C7AA9E4895D}"/>
    <cellStyle name="Comma 3 4 2 5 7 3" xfId="28042" xr:uid="{6615C004-BFED-4FDD-84F8-2C089F83AF7F}"/>
    <cellStyle name="Comma 3 4 2 5 8" xfId="14885" xr:uid="{BBA7E600-B635-40D7-80F8-1FC61EB2E486}"/>
    <cellStyle name="Comma 3 4 2 5 9" xfId="25301" xr:uid="{89124243-F918-4553-A039-D7E7D2C5385A}"/>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2 2 2" xfId="21257" xr:uid="{93BA9F40-F9CF-4BB8-805B-F910CEF5687E}"/>
    <cellStyle name="Comma 3 4 2 6 2 2 2 3" xfId="31673" xr:uid="{EDD70ED7-2F69-469E-BD38-29B6FBCB3211}"/>
    <cellStyle name="Comma 3 4 2 6 2 2 3" xfId="14897" xr:uid="{61AA9ADC-196E-4D19-9FCE-D36341F7D7E2}"/>
    <cellStyle name="Comma 3 4 2 6 2 2 4" xfId="25313" xr:uid="{9F65CD5D-6EDD-4076-BA8E-1C4935490928}"/>
    <cellStyle name="Comma 3 4 2 6 2 3" xfId="9710" xr:uid="{00000000-0005-0000-0000-0000E1180000}"/>
    <cellStyle name="Comma 3 4 2 6 2 3 2" xfId="21256" xr:uid="{771452B3-A2F6-47B0-BDB8-7974C15CEE65}"/>
    <cellStyle name="Comma 3 4 2 6 2 3 3" xfId="31672" xr:uid="{5986490E-A404-4115-994C-71C526E0197B}"/>
    <cellStyle name="Comma 3 4 2 6 2 4" xfId="6046" xr:uid="{00000000-0005-0000-0000-0000E2180000}"/>
    <cellStyle name="Comma 3 4 2 6 2 4 2" xfId="17632" xr:uid="{F08F0522-2EDB-4934-840F-000B3AD2F5F8}"/>
    <cellStyle name="Comma 3 4 2 6 2 4 3" xfId="28048" xr:uid="{3D4DB29D-47F7-4BBE-B5C8-3713E35E693B}"/>
    <cellStyle name="Comma 3 4 2 6 2 5" xfId="14896" xr:uid="{A28A479F-00D5-4E89-82CB-FBCDAEF70255}"/>
    <cellStyle name="Comma 3 4 2 6 2 6" xfId="25312" xr:uid="{0E146503-7818-4D66-9F69-00C1E846EB0D}"/>
    <cellStyle name="Comma 3 4 2 6 3" xfId="2563" xr:uid="{00000000-0005-0000-0000-0000E3180000}"/>
    <cellStyle name="Comma 3 4 2 6 3 2" xfId="2564" xr:uid="{00000000-0005-0000-0000-0000E4180000}"/>
    <cellStyle name="Comma 3 4 2 6 3 2 2" xfId="9713" xr:uid="{00000000-0005-0000-0000-0000E5180000}"/>
    <cellStyle name="Comma 3 4 2 6 3 2 2 2" xfId="21259" xr:uid="{21D7478D-4702-4246-A057-6ED1B33B0E91}"/>
    <cellStyle name="Comma 3 4 2 6 3 2 2 3" xfId="31675" xr:uid="{74370B22-A04E-4F62-A433-712A0BE10BDB}"/>
    <cellStyle name="Comma 3 4 2 6 3 2 3" xfId="14899" xr:uid="{2C77DFB2-391B-4FBC-BABF-D067DE94C7B7}"/>
    <cellStyle name="Comma 3 4 2 6 3 2 4" xfId="25315" xr:uid="{FD0F2522-1CCE-4A87-AF72-BA44A927E11A}"/>
    <cellStyle name="Comma 3 4 2 6 3 3" xfId="9712" xr:uid="{00000000-0005-0000-0000-0000E6180000}"/>
    <cellStyle name="Comma 3 4 2 6 3 3 2" xfId="21258" xr:uid="{C350C8F4-6DAD-4E3F-9867-0934AF5C7D56}"/>
    <cellStyle name="Comma 3 4 2 6 3 3 3" xfId="31674" xr:uid="{B74ED16B-C35D-4CD4-94FB-1F3C9FCBFF8C}"/>
    <cellStyle name="Comma 3 4 2 6 3 4" xfId="6047" xr:uid="{00000000-0005-0000-0000-0000E7180000}"/>
    <cellStyle name="Comma 3 4 2 6 3 4 2" xfId="17633" xr:uid="{524C4978-A5D6-4D30-BA29-96B40F10A6EA}"/>
    <cellStyle name="Comma 3 4 2 6 3 4 3" xfId="28049" xr:uid="{B811248B-62BA-41FE-8F87-D336DB0C7D70}"/>
    <cellStyle name="Comma 3 4 2 6 3 5" xfId="14898" xr:uid="{D16182C2-C21D-4E66-A6CF-202B27DA36FB}"/>
    <cellStyle name="Comma 3 4 2 6 3 6" xfId="25314" xr:uid="{284DEA74-8C43-4823-8F10-A20F3F53C6F4}"/>
    <cellStyle name="Comma 3 4 2 6 4" xfId="2565" xr:uid="{00000000-0005-0000-0000-0000E8180000}"/>
    <cellStyle name="Comma 3 4 2 6 4 2" xfId="9714" xr:uid="{00000000-0005-0000-0000-0000E9180000}"/>
    <cellStyle name="Comma 3 4 2 6 4 2 2" xfId="21260" xr:uid="{CC9D822D-0FD0-48A5-8784-BEEA6F2A84E6}"/>
    <cellStyle name="Comma 3 4 2 6 4 2 3" xfId="31676" xr:uid="{DE9CC8B8-9463-4CB2-A3C3-2DCDC4756BE0}"/>
    <cellStyle name="Comma 3 4 2 6 4 3" xfId="14900" xr:uid="{4520A58F-2640-42E3-9192-1DE544842437}"/>
    <cellStyle name="Comma 3 4 2 6 4 4" xfId="25316" xr:uid="{32E76458-3EAE-47AF-9A33-B0FBD6ADBE1B}"/>
    <cellStyle name="Comma 3 4 2 6 5" xfId="9709" xr:uid="{00000000-0005-0000-0000-0000EA180000}"/>
    <cellStyle name="Comma 3 4 2 6 5 2" xfId="21255" xr:uid="{8DF54247-4A15-4118-B60E-20CF3887E643}"/>
    <cellStyle name="Comma 3 4 2 6 5 3" xfId="31671" xr:uid="{7FF8C14F-535D-491D-8E3C-67575D0ECC39}"/>
    <cellStyle name="Comma 3 4 2 6 6" xfId="6045" xr:uid="{00000000-0005-0000-0000-0000EB180000}"/>
    <cellStyle name="Comma 3 4 2 6 6 2" xfId="17631" xr:uid="{42266052-FDAC-42B1-A099-E0B6F687E0A8}"/>
    <cellStyle name="Comma 3 4 2 6 6 3" xfId="28047" xr:uid="{199C5172-1080-49F6-A12E-D9E87DD3A44A}"/>
    <cellStyle name="Comma 3 4 2 6 7" xfId="14895" xr:uid="{5874E073-A0F1-467C-9C52-20318DD83426}"/>
    <cellStyle name="Comma 3 4 2 6 8" xfId="25311" xr:uid="{0FCC23C0-7CBC-4352-AC65-5489AC7C6585}"/>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2 2 2" xfId="21263" xr:uid="{879DBF29-2503-413B-ACAE-9A49662C8671}"/>
    <cellStyle name="Comma 3 4 2 7 2 2 2 3" xfId="31679" xr:uid="{1A1424F1-E41A-43E2-8021-A61E5BB960D3}"/>
    <cellStyle name="Comma 3 4 2 7 2 2 3" xfId="14903" xr:uid="{BB270A0D-8326-4FB0-B489-FD5BEA5C3AB1}"/>
    <cellStyle name="Comma 3 4 2 7 2 2 4" xfId="25319" xr:uid="{C4A0DAE9-F309-4FB6-B71A-E45DDFADC6BC}"/>
    <cellStyle name="Comma 3 4 2 7 2 3" xfId="9716" xr:uid="{00000000-0005-0000-0000-0000F0180000}"/>
    <cellStyle name="Comma 3 4 2 7 2 3 2" xfId="21262" xr:uid="{485CB812-7AB9-439C-B568-C32BDDE2F775}"/>
    <cellStyle name="Comma 3 4 2 7 2 3 3" xfId="31678" xr:uid="{88752920-6727-489D-8247-194C2FED87E3}"/>
    <cellStyle name="Comma 3 4 2 7 2 4" xfId="6049" xr:uid="{00000000-0005-0000-0000-0000F1180000}"/>
    <cellStyle name="Comma 3 4 2 7 2 4 2" xfId="17635" xr:uid="{3972485B-CFC8-4B80-8E37-5081314E2C97}"/>
    <cellStyle name="Comma 3 4 2 7 2 4 3" xfId="28051" xr:uid="{32FDFE83-29C8-4240-BAA6-9532737EF422}"/>
    <cellStyle name="Comma 3 4 2 7 2 5" xfId="14902" xr:uid="{F9BE5EF6-3219-4437-A1E7-B5551C882A7E}"/>
    <cellStyle name="Comma 3 4 2 7 2 6" xfId="25318" xr:uid="{1942917E-B88E-44A4-A430-14E06E04D72C}"/>
    <cellStyle name="Comma 3 4 2 7 3" xfId="2569" xr:uid="{00000000-0005-0000-0000-0000F2180000}"/>
    <cellStyle name="Comma 3 4 2 7 3 2" xfId="9718" xr:uid="{00000000-0005-0000-0000-0000F3180000}"/>
    <cellStyle name="Comma 3 4 2 7 3 2 2" xfId="21264" xr:uid="{00161FE7-747C-451A-9ACE-F5C6D3AE41C6}"/>
    <cellStyle name="Comma 3 4 2 7 3 2 3" xfId="31680" xr:uid="{8B1B3DA2-89EF-4409-81D7-96F9F9CC864D}"/>
    <cellStyle name="Comma 3 4 2 7 3 3" xfId="14904" xr:uid="{BD4AF892-F168-49B0-9ED2-7200C3535D50}"/>
    <cellStyle name="Comma 3 4 2 7 3 4" xfId="25320" xr:uid="{0173F2BC-9B94-4943-AE4C-14F2F8BAF3BC}"/>
    <cellStyle name="Comma 3 4 2 7 4" xfId="9715" xr:uid="{00000000-0005-0000-0000-0000F4180000}"/>
    <cellStyle name="Comma 3 4 2 7 4 2" xfId="21261" xr:uid="{BB35BCB3-C165-4B50-9928-8511B40EDEA0}"/>
    <cellStyle name="Comma 3 4 2 7 4 3" xfId="31677" xr:uid="{31AC9C13-FAD1-4187-817C-ED3FFDC4B1D6}"/>
    <cellStyle name="Comma 3 4 2 7 5" xfId="6048" xr:uid="{00000000-0005-0000-0000-0000F5180000}"/>
    <cellStyle name="Comma 3 4 2 7 5 2" xfId="17634" xr:uid="{700CD1F7-BE18-42D4-993E-AB9C9B6A109F}"/>
    <cellStyle name="Comma 3 4 2 7 5 3" xfId="28050" xr:uid="{142368B5-43DD-4D76-98C7-963CE79252C0}"/>
    <cellStyle name="Comma 3 4 2 7 6" xfId="14901" xr:uid="{2FD357AB-2858-4AD7-9AA5-7DDDF2021187}"/>
    <cellStyle name="Comma 3 4 2 7 7" xfId="25317" xr:uid="{F6C9E7EA-A5F1-44D6-A0D2-03F1DE9809D1}"/>
    <cellStyle name="Comma 3 4 2 8" xfId="2570" xr:uid="{00000000-0005-0000-0000-0000F6180000}"/>
    <cellStyle name="Comma 3 4 2 8 2" xfId="2571" xr:uid="{00000000-0005-0000-0000-0000F7180000}"/>
    <cellStyle name="Comma 3 4 2 8 2 2" xfId="9720" xr:uid="{00000000-0005-0000-0000-0000F8180000}"/>
    <cellStyle name="Comma 3 4 2 8 2 2 2" xfId="21266" xr:uid="{4AEE1395-ED15-4F86-9D97-5FC3E4D60AD8}"/>
    <cellStyle name="Comma 3 4 2 8 2 2 3" xfId="31682" xr:uid="{12F0B121-B2F0-434E-B6ED-4FFCE6B8C44E}"/>
    <cellStyle name="Comma 3 4 2 8 2 3" xfId="14906" xr:uid="{5E3A96BD-4636-44BF-869F-53BE28D1309E}"/>
    <cellStyle name="Comma 3 4 2 8 2 4" xfId="25322" xr:uid="{0C71F352-BD4E-4086-AD79-982CC157A0A1}"/>
    <cellStyle name="Comma 3 4 2 8 3" xfId="9719" xr:uid="{00000000-0005-0000-0000-0000F9180000}"/>
    <cellStyle name="Comma 3 4 2 8 3 2" xfId="21265" xr:uid="{D595E488-3828-4A28-B726-38E6E1E13848}"/>
    <cellStyle name="Comma 3 4 2 8 3 3" xfId="31681" xr:uid="{9D696F94-BFB1-4288-B5F3-EB5A723CF5A1}"/>
    <cellStyle name="Comma 3 4 2 8 4" xfId="6050" xr:uid="{00000000-0005-0000-0000-0000FA180000}"/>
    <cellStyle name="Comma 3 4 2 8 4 2" xfId="17636" xr:uid="{55B03E85-52E2-431D-9C60-A47B4C6C60D9}"/>
    <cellStyle name="Comma 3 4 2 8 4 3" xfId="28052" xr:uid="{5AAF4852-C0C9-4FF0-BB3F-E27813BB9882}"/>
    <cellStyle name="Comma 3 4 2 8 5" xfId="14905" xr:uid="{5ECDCF00-3A8F-4425-A578-9804E4C865CE}"/>
    <cellStyle name="Comma 3 4 2 8 6" xfId="25321" xr:uid="{42A5D8F5-CC7F-478F-B374-A0C4AE5FBBAD}"/>
    <cellStyle name="Comma 3 4 2 9" xfId="2572" xr:uid="{00000000-0005-0000-0000-0000FB180000}"/>
    <cellStyle name="Comma 3 4 2 9 2" xfId="2573" xr:uid="{00000000-0005-0000-0000-0000FC180000}"/>
    <cellStyle name="Comma 3 4 2 9 2 2" xfId="9722" xr:uid="{00000000-0005-0000-0000-0000FD180000}"/>
    <cellStyle name="Comma 3 4 2 9 2 2 2" xfId="21268" xr:uid="{9886D284-4919-4FD3-8C94-BC9C970CB202}"/>
    <cellStyle name="Comma 3 4 2 9 2 2 3" xfId="31684" xr:uid="{B4870E52-3904-4CB5-86DE-7210F819876C}"/>
    <cellStyle name="Comma 3 4 2 9 2 3" xfId="14908" xr:uid="{D9CC180A-4C75-4F54-88E7-F7A090ABA9C5}"/>
    <cellStyle name="Comma 3 4 2 9 2 4" xfId="25324" xr:uid="{C5D9F8AF-C455-4EA4-8551-7A7F22027C3D}"/>
    <cellStyle name="Comma 3 4 2 9 3" xfId="9721" xr:uid="{00000000-0005-0000-0000-0000FE180000}"/>
    <cellStyle name="Comma 3 4 2 9 3 2" xfId="21267" xr:uid="{BD894C21-7739-4BB0-A846-3787CCDB5F13}"/>
    <cellStyle name="Comma 3 4 2 9 3 3" xfId="31683" xr:uid="{BBED81F9-DFAD-4446-9D01-058EDB5C6820}"/>
    <cellStyle name="Comma 3 4 2 9 4" xfId="6051" xr:uid="{00000000-0005-0000-0000-0000FF180000}"/>
    <cellStyle name="Comma 3 4 2 9 4 2" xfId="17637" xr:uid="{7A473708-6F8B-48AE-B4B6-4B16879CFB0A}"/>
    <cellStyle name="Comma 3 4 2 9 4 3" xfId="28053" xr:uid="{DA359C22-410C-4E69-8ABD-718D02F4D684}"/>
    <cellStyle name="Comma 3 4 2 9 5" xfId="14907" xr:uid="{D3232610-3111-41A8-9391-17FE5C4A9D48}"/>
    <cellStyle name="Comma 3 4 2 9 6" xfId="25323" xr:uid="{17ACD8F2-169B-433A-A151-14141BEF7016}"/>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2 2 2" xfId="21272" xr:uid="{8224CF52-93EB-4DA9-A1E2-4D9553FCDE75}"/>
    <cellStyle name="Comma 3 4 3 2 2 2 2 3" xfId="31688" xr:uid="{4CD51B16-0061-4821-86D1-60279E3BA63D}"/>
    <cellStyle name="Comma 3 4 3 2 2 2 3" xfId="14912" xr:uid="{F6A4B41A-DF16-4C86-BADE-C03B2DB3F807}"/>
    <cellStyle name="Comma 3 4 3 2 2 2 4" xfId="25328" xr:uid="{D22A764A-921C-4D1A-B2A7-9C1E51C4A85A}"/>
    <cellStyle name="Comma 3 4 3 2 2 3" xfId="9725" xr:uid="{00000000-0005-0000-0000-000005190000}"/>
    <cellStyle name="Comma 3 4 3 2 2 3 2" xfId="21271" xr:uid="{66CF29EB-7F97-4E9A-AC1B-5847ECE45AAC}"/>
    <cellStyle name="Comma 3 4 3 2 2 3 3" xfId="31687" xr:uid="{9317E129-5B62-49E1-B0C9-B8521B56BBC3}"/>
    <cellStyle name="Comma 3 4 3 2 2 4" xfId="6054" xr:uid="{00000000-0005-0000-0000-000006190000}"/>
    <cellStyle name="Comma 3 4 3 2 2 4 2" xfId="17640" xr:uid="{FB63EB13-BB11-4F6C-9BC5-E302C4FC33DE}"/>
    <cellStyle name="Comma 3 4 3 2 2 4 3" xfId="28056" xr:uid="{5D9A4876-0B1B-4499-820E-69CF1C5D82A2}"/>
    <cellStyle name="Comma 3 4 3 2 2 5" xfId="14911" xr:uid="{3A1810F5-E4B3-468F-8D38-5D246F06EC7E}"/>
    <cellStyle name="Comma 3 4 3 2 2 6" xfId="25327" xr:uid="{C9C23352-C25C-472D-BA3B-B7577F98FC90}"/>
    <cellStyle name="Comma 3 4 3 2 3" xfId="2578" xr:uid="{00000000-0005-0000-0000-000007190000}"/>
    <cellStyle name="Comma 3 4 3 2 3 2" xfId="9727" xr:uid="{00000000-0005-0000-0000-000008190000}"/>
    <cellStyle name="Comma 3 4 3 2 3 2 2" xfId="21273" xr:uid="{3012541C-F043-46E8-8224-FBEF6875ECA2}"/>
    <cellStyle name="Comma 3 4 3 2 3 2 3" xfId="31689" xr:uid="{071C067A-B94C-4B76-BFF3-0A94C48D6D88}"/>
    <cellStyle name="Comma 3 4 3 2 3 3" xfId="14913" xr:uid="{B135F90C-89CD-4B2D-8810-AE4CED02FD91}"/>
    <cellStyle name="Comma 3 4 3 2 3 4" xfId="25329" xr:uid="{57D961CB-43BC-4D46-AA26-FDF6ECC88D37}"/>
    <cellStyle name="Comma 3 4 3 2 4" xfId="9724" xr:uid="{00000000-0005-0000-0000-000009190000}"/>
    <cellStyle name="Comma 3 4 3 2 4 2" xfId="21270" xr:uid="{5C25EC6D-07E1-4004-972C-8E168B82857D}"/>
    <cellStyle name="Comma 3 4 3 2 4 3" xfId="31686" xr:uid="{67676937-C381-4DD7-A931-641C9A576872}"/>
    <cellStyle name="Comma 3 4 3 2 5" xfId="6053" xr:uid="{00000000-0005-0000-0000-00000A190000}"/>
    <cellStyle name="Comma 3 4 3 2 5 2" xfId="17639" xr:uid="{06B022BA-81E2-4032-B516-5A3F8C7C5C19}"/>
    <cellStyle name="Comma 3 4 3 2 5 3" xfId="28055" xr:uid="{B5F25B3A-14BE-40D2-87C1-14F95D8AE3D0}"/>
    <cellStyle name="Comma 3 4 3 2 6" xfId="14910" xr:uid="{A3CC6898-CD0F-4AAD-B32F-6949A0495D80}"/>
    <cellStyle name="Comma 3 4 3 2 7" xfId="25326" xr:uid="{EAADD3E4-5059-4DD4-9F16-2C1F23C144B2}"/>
    <cellStyle name="Comma 3 4 3 3" xfId="2579" xr:uid="{00000000-0005-0000-0000-00000B190000}"/>
    <cellStyle name="Comma 3 4 3 3 2" xfId="2580" xr:uid="{00000000-0005-0000-0000-00000C190000}"/>
    <cellStyle name="Comma 3 4 3 3 2 2" xfId="9729" xr:uid="{00000000-0005-0000-0000-00000D190000}"/>
    <cellStyle name="Comma 3 4 3 3 2 2 2" xfId="21275" xr:uid="{31D8FDBF-19C1-4D9A-897B-CED4218FB3A5}"/>
    <cellStyle name="Comma 3 4 3 3 2 2 3" xfId="31691" xr:uid="{1DD04F3B-3DBC-4976-B2CF-B9BF7D24CF63}"/>
    <cellStyle name="Comma 3 4 3 3 2 3" xfId="14915" xr:uid="{603FB0C5-2D25-4225-8FD4-B8CF28A7D8F3}"/>
    <cellStyle name="Comma 3 4 3 3 2 4" xfId="25331" xr:uid="{1C0D126E-B4C0-4595-8044-45BC3FA8501F}"/>
    <cellStyle name="Comma 3 4 3 3 3" xfId="9728" xr:uid="{00000000-0005-0000-0000-00000E190000}"/>
    <cellStyle name="Comma 3 4 3 3 3 2" xfId="21274" xr:uid="{76101EFC-D456-4DF8-8CA4-44F0DD345D77}"/>
    <cellStyle name="Comma 3 4 3 3 3 3" xfId="31690" xr:uid="{75A1CDD6-DD88-4264-8F54-B462B5E1D788}"/>
    <cellStyle name="Comma 3 4 3 3 4" xfId="6055" xr:uid="{00000000-0005-0000-0000-00000F190000}"/>
    <cellStyle name="Comma 3 4 3 3 4 2" xfId="17641" xr:uid="{A40D18DE-FBBD-4287-9FB3-9EC9B9E52B8F}"/>
    <cellStyle name="Comma 3 4 3 3 4 3" xfId="28057" xr:uid="{381B0AAD-B0D7-4871-BAD7-403859273DB6}"/>
    <cellStyle name="Comma 3 4 3 3 5" xfId="14914" xr:uid="{8EB676D0-3660-4A13-9849-A29BABDE5F74}"/>
    <cellStyle name="Comma 3 4 3 3 6" xfId="25330" xr:uid="{9534AE86-07FE-4CFF-ADAC-942843989253}"/>
    <cellStyle name="Comma 3 4 3 4" xfId="2581" xr:uid="{00000000-0005-0000-0000-000010190000}"/>
    <cellStyle name="Comma 3 4 3 4 2" xfId="2582" xr:uid="{00000000-0005-0000-0000-000011190000}"/>
    <cellStyle name="Comma 3 4 3 4 2 2" xfId="9731" xr:uid="{00000000-0005-0000-0000-000012190000}"/>
    <cellStyle name="Comma 3 4 3 4 2 2 2" xfId="21277" xr:uid="{8268B1D8-0382-41AB-8A6B-A88E27C33042}"/>
    <cellStyle name="Comma 3 4 3 4 2 2 3" xfId="31693" xr:uid="{9B13D5E2-5BB6-4C46-A5BB-0404C1AD7621}"/>
    <cellStyle name="Comma 3 4 3 4 2 3" xfId="14917" xr:uid="{4B7CE140-ABCA-4B9F-AC7C-088BF60EEBA3}"/>
    <cellStyle name="Comma 3 4 3 4 2 4" xfId="25333" xr:uid="{9B17F4B6-BA1C-43A8-A2B4-9A855FB17866}"/>
    <cellStyle name="Comma 3 4 3 4 3" xfId="9730" xr:uid="{00000000-0005-0000-0000-000013190000}"/>
    <cellStyle name="Comma 3 4 3 4 3 2" xfId="21276" xr:uid="{574927A4-769A-4A25-AB2F-0AAC44FCF8AC}"/>
    <cellStyle name="Comma 3 4 3 4 3 3" xfId="31692" xr:uid="{D3436DC3-7D69-4668-B710-DCF6C5A6F1B0}"/>
    <cellStyle name="Comma 3 4 3 4 4" xfId="6056" xr:uid="{00000000-0005-0000-0000-000014190000}"/>
    <cellStyle name="Comma 3 4 3 4 4 2" xfId="17642" xr:uid="{09A3C982-4553-4A89-818B-08940AD5B8FE}"/>
    <cellStyle name="Comma 3 4 3 4 4 3" xfId="28058" xr:uid="{335FBADF-6E58-4293-AFC8-8865401A5FA9}"/>
    <cellStyle name="Comma 3 4 3 4 5" xfId="14916" xr:uid="{F393915B-208F-4FFF-AE89-51BFC22978EA}"/>
    <cellStyle name="Comma 3 4 3 4 6" xfId="25332" xr:uid="{604989F7-9266-4171-98E0-B7CB59230E44}"/>
    <cellStyle name="Comma 3 4 3 5" xfId="2583" xr:uid="{00000000-0005-0000-0000-000015190000}"/>
    <cellStyle name="Comma 3 4 3 5 2" xfId="9732" xr:uid="{00000000-0005-0000-0000-000016190000}"/>
    <cellStyle name="Comma 3 4 3 5 2 2" xfId="21278" xr:uid="{CD6BBEF8-C8C3-4FF9-9500-4D4737FF5099}"/>
    <cellStyle name="Comma 3 4 3 5 2 3" xfId="31694" xr:uid="{669DF9BE-1586-4E6E-87F8-AF14159B9CE4}"/>
    <cellStyle name="Comma 3 4 3 5 3" xfId="14918" xr:uid="{B6C88AAD-61A0-49E4-B67D-70D4318C8B0E}"/>
    <cellStyle name="Comma 3 4 3 5 4" xfId="25334" xr:uid="{988D2092-7BDD-4F43-81EC-7D9AEA7442C6}"/>
    <cellStyle name="Comma 3 4 3 6" xfId="9723" xr:uid="{00000000-0005-0000-0000-000017190000}"/>
    <cellStyle name="Comma 3 4 3 6 2" xfId="21269" xr:uid="{12F206B0-2E7C-495C-A797-5FFCAFA9C6D2}"/>
    <cellStyle name="Comma 3 4 3 6 3" xfId="31685" xr:uid="{698F7F4C-27E7-4FAB-8BC7-2B2B4457C32F}"/>
    <cellStyle name="Comma 3 4 3 7" xfId="6052" xr:uid="{00000000-0005-0000-0000-000018190000}"/>
    <cellStyle name="Comma 3 4 3 7 2" xfId="17638" xr:uid="{E088F7A2-1944-42BF-8478-62536F014BEA}"/>
    <cellStyle name="Comma 3 4 3 7 3" xfId="28054" xr:uid="{B3790404-960F-4510-8FE1-1130DD958606}"/>
    <cellStyle name="Comma 3 4 3 8" xfId="14909" xr:uid="{A59181C8-7CDB-401A-BA4B-7A01A938E215}"/>
    <cellStyle name="Comma 3 4 3 9" xfId="25325" xr:uid="{26279F14-AD7A-47A2-B7FE-361E481BF4AD}"/>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2 2 2" xfId="21282" xr:uid="{23475B5E-09C3-4300-B151-13599A556606}"/>
    <cellStyle name="Comma 3 4 4 2 2 2 2 3" xfId="31698" xr:uid="{8BAACF9C-4D01-41C5-8529-4C48B87B2340}"/>
    <cellStyle name="Comma 3 4 4 2 2 2 3" xfId="14922" xr:uid="{CF883EA0-1989-4EB6-96A5-6D3EF13234F9}"/>
    <cellStyle name="Comma 3 4 4 2 2 2 4" xfId="25338" xr:uid="{E5B6F4C5-EAF4-4550-84DD-DC53590EF132}"/>
    <cellStyle name="Comma 3 4 4 2 2 3" xfId="9735" xr:uid="{00000000-0005-0000-0000-00001E190000}"/>
    <cellStyle name="Comma 3 4 4 2 2 3 2" xfId="21281" xr:uid="{552CF087-2B5D-4E30-B9CC-C0F377A927F8}"/>
    <cellStyle name="Comma 3 4 4 2 2 3 3" xfId="31697" xr:uid="{AFEA7E2A-0A1A-43E1-A7A6-9EE09BFF8E0B}"/>
    <cellStyle name="Comma 3 4 4 2 2 4" xfId="6059" xr:uid="{00000000-0005-0000-0000-00001F190000}"/>
    <cellStyle name="Comma 3 4 4 2 2 4 2" xfId="17645" xr:uid="{2E641EEC-1286-446C-A473-29686B6AA647}"/>
    <cellStyle name="Comma 3 4 4 2 2 4 3" xfId="28061" xr:uid="{73607997-1987-497B-9254-424F56024F53}"/>
    <cellStyle name="Comma 3 4 4 2 2 5" xfId="14921" xr:uid="{8E587E33-9A9C-4E8D-A843-668E90E6AD3E}"/>
    <cellStyle name="Comma 3 4 4 2 2 6" xfId="25337" xr:uid="{1978CF5B-9890-4589-81EB-B72479161C8C}"/>
    <cellStyle name="Comma 3 4 4 2 3" xfId="2588" xr:uid="{00000000-0005-0000-0000-000020190000}"/>
    <cellStyle name="Comma 3 4 4 2 3 2" xfId="9737" xr:uid="{00000000-0005-0000-0000-000021190000}"/>
    <cellStyle name="Comma 3 4 4 2 3 2 2" xfId="21283" xr:uid="{1E720631-B6F5-497F-B8E4-6928FCAD0C23}"/>
    <cellStyle name="Comma 3 4 4 2 3 2 3" xfId="31699" xr:uid="{20C6A9DD-7625-4F51-BF45-674F9BA6A670}"/>
    <cellStyle name="Comma 3 4 4 2 3 3" xfId="14923" xr:uid="{1D0CE4FE-6FB4-46EE-9C6A-CCFA2032FDDF}"/>
    <cellStyle name="Comma 3 4 4 2 3 4" xfId="25339" xr:uid="{4FBD0C50-6F8A-4B70-9D3A-5721FD2C8305}"/>
    <cellStyle name="Comma 3 4 4 2 4" xfId="9734" xr:uid="{00000000-0005-0000-0000-000022190000}"/>
    <cellStyle name="Comma 3 4 4 2 4 2" xfId="21280" xr:uid="{3F28F494-C443-4CA2-AB89-537531AC7E0E}"/>
    <cellStyle name="Comma 3 4 4 2 4 3" xfId="31696" xr:uid="{ED7036B1-D7D5-4863-9A9B-46D6EDA0FB0A}"/>
    <cellStyle name="Comma 3 4 4 2 5" xfId="6058" xr:uid="{00000000-0005-0000-0000-000023190000}"/>
    <cellStyle name="Comma 3 4 4 2 5 2" xfId="17644" xr:uid="{904DC7A5-9E45-4825-A8E7-41EC8B614C8C}"/>
    <cellStyle name="Comma 3 4 4 2 5 3" xfId="28060" xr:uid="{27E516D5-DFEA-4E70-A252-5BC312CA18B9}"/>
    <cellStyle name="Comma 3 4 4 2 6" xfId="14920" xr:uid="{7747DC64-31F1-4BBF-BAC4-4361A935A5C3}"/>
    <cellStyle name="Comma 3 4 4 2 7" xfId="25336" xr:uid="{5F981395-7C26-47E3-8DDC-68D100DB7BA0}"/>
    <cellStyle name="Comma 3 4 4 3" xfId="2589" xr:uid="{00000000-0005-0000-0000-000024190000}"/>
    <cellStyle name="Comma 3 4 4 3 2" xfId="2590" xr:uid="{00000000-0005-0000-0000-000025190000}"/>
    <cellStyle name="Comma 3 4 4 3 2 2" xfId="9739" xr:uid="{00000000-0005-0000-0000-000026190000}"/>
    <cellStyle name="Comma 3 4 4 3 2 2 2" xfId="21285" xr:uid="{6B8BE65C-0935-4F08-BEAB-1AE236818733}"/>
    <cellStyle name="Comma 3 4 4 3 2 2 3" xfId="31701" xr:uid="{3869566C-BC4E-4603-912C-7B967AFCD1F1}"/>
    <cellStyle name="Comma 3 4 4 3 2 3" xfId="14925" xr:uid="{5E069C91-A194-4FAC-B168-2B386FFA08AD}"/>
    <cellStyle name="Comma 3 4 4 3 2 4" xfId="25341" xr:uid="{471E2741-ECD2-475A-A3E3-D54DD6061FD3}"/>
    <cellStyle name="Comma 3 4 4 3 3" xfId="9738" xr:uid="{00000000-0005-0000-0000-000027190000}"/>
    <cellStyle name="Comma 3 4 4 3 3 2" xfId="21284" xr:uid="{1086EE11-C1A1-4B1C-A96F-DA3EB6120C4B}"/>
    <cellStyle name="Comma 3 4 4 3 3 3" xfId="31700" xr:uid="{BAE8B803-C97D-4051-98B0-E1791061D3D0}"/>
    <cellStyle name="Comma 3 4 4 3 4" xfId="6060" xr:uid="{00000000-0005-0000-0000-000028190000}"/>
    <cellStyle name="Comma 3 4 4 3 4 2" xfId="17646" xr:uid="{58B51601-1B18-40F9-965A-FC133E592572}"/>
    <cellStyle name="Comma 3 4 4 3 4 3" xfId="28062" xr:uid="{D08F3374-1BE4-4B79-8DE9-272A4999B6FC}"/>
    <cellStyle name="Comma 3 4 4 3 5" xfId="14924" xr:uid="{BC6EB6C1-99D6-416F-AAAF-24E8C739382B}"/>
    <cellStyle name="Comma 3 4 4 3 6" xfId="25340" xr:uid="{8F1891F2-6317-4825-984A-EFD6142D37AC}"/>
    <cellStyle name="Comma 3 4 4 4" xfId="2591" xr:uid="{00000000-0005-0000-0000-000029190000}"/>
    <cellStyle name="Comma 3 4 4 4 2" xfId="2592" xr:uid="{00000000-0005-0000-0000-00002A190000}"/>
    <cellStyle name="Comma 3 4 4 4 2 2" xfId="9741" xr:uid="{00000000-0005-0000-0000-00002B190000}"/>
    <cellStyle name="Comma 3 4 4 4 2 2 2" xfId="21287" xr:uid="{0D129CFD-F23B-42BA-B279-DB89E6416D15}"/>
    <cellStyle name="Comma 3 4 4 4 2 2 3" xfId="31703" xr:uid="{100A509C-61F1-407B-AD90-A01185EA7942}"/>
    <cellStyle name="Comma 3 4 4 4 2 3" xfId="14927" xr:uid="{1F7A251D-0CC9-4FD7-B5E7-869E67F5C3CA}"/>
    <cellStyle name="Comma 3 4 4 4 2 4" xfId="25343" xr:uid="{7D81D0FB-2E48-442F-9E05-C71251D6EFEA}"/>
    <cellStyle name="Comma 3 4 4 4 3" xfId="9740" xr:uid="{00000000-0005-0000-0000-00002C190000}"/>
    <cellStyle name="Comma 3 4 4 4 3 2" xfId="21286" xr:uid="{0E6B7C43-264F-4B38-B46B-904F139AC36C}"/>
    <cellStyle name="Comma 3 4 4 4 3 3" xfId="31702" xr:uid="{A504F05C-FC9A-4718-B9F8-7C16F13E14DD}"/>
    <cellStyle name="Comma 3 4 4 4 4" xfId="6061" xr:uid="{00000000-0005-0000-0000-00002D190000}"/>
    <cellStyle name="Comma 3 4 4 4 4 2" xfId="17647" xr:uid="{F7B0869E-A95E-42F8-AFE8-638F40372A4D}"/>
    <cellStyle name="Comma 3 4 4 4 4 3" xfId="28063" xr:uid="{FCDBE925-79D7-4660-AB0F-CE55EC2699F2}"/>
    <cellStyle name="Comma 3 4 4 4 5" xfId="14926" xr:uid="{689D4882-4E40-4BBC-B883-667DBF5C8DEB}"/>
    <cellStyle name="Comma 3 4 4 4 6" xfId="25342" xr:uid="{44E6BE6D-7B8B-4CC7-98A0-4F3EA40E5042}"/>
    <cellStyle name="Comma 3 4 4 5" xfId="2593" xr:uid="{00000000-0005-0000-0000-00002E190000}"/>
    <cellStyle name="Comma 3 4 4 5 2" xfId="9742" xr:uid="{00000000-0005-0000-0000-00002F190000}"/>
    <cellStyle name="Comma 3 4 4 5 2 2" xfId="21288" xr:uid="{E7347E1A-5A68-4035-9121-504896368E1E}"/>
    <cellStyle name="Comma 3 4 4 5 2 3" xfId="31704" xr:uid="{6FD170F6-8EA5-42A7-85A6-C254F2ACC762}"/>
    <cellStyle name="Comma 3 4 4 5 3" xfId="14928" xr:uid="{4088FD5C-179E-4D98-97B7-30478848943B}"/>
    <cellStyle name="Comma 3 4 4 5 4" xfId="25344" xr:uid="{21BE5145-DA73-446D-B12D-F0C954E0F4B4}"/>
    <cellStyle name="Comma 3 4 4 6" xfId="9733" xr:uid="{00000000-0005-0000-0000-000030190000}"/>
    <cellStyle name="Comma 3 4 4 6 2" xfId="21279" xr:uid="{B5B727D2-5CB7-4559-9218-7FBE713B7047}"/>
    <cellStyle name="Comma 3 4 4 6 3" xfId="31695" xr:uid="{9B62710C-03E9-4C78-A98D-6D40455B9A87}"/>
    <cellStyle name="Comma 3 4 4 7" xfId="6057" xr:uid="{00000000-0005-0000-0000-000031190000}"/>
    <cellStyle name="Comma 3 4 4 7 2" xfId="17643" xr:uid="{DC6BAABF-2CA3-417F-ADAE-5AA1579467DD}"/>
    <cellStyle name="Comma 3 4 4 7 3" xfId="28059" xr:uid="{37C38CA8-CF3F-4C80-86BB-1FDF15F335BF}"/>
    <cellStyle name="Comma 3 4 4 8" xfId="14919" xr:uid="{F00551F6-69FF-4FFF-8FBA-EC01C6F05C25}"/>
    <cellStyle name="Comma 3 4 4 9" xfId="25335" xr:uid="{F406A1B5-F315-4E12-92AC-72AEE57BEE73}"/>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2 2 2" xfId="21292" xr:uid="{B0DAAD9D-9DFC-457D-8A7F-D27AB35747C0}"/>
    <cellStyle name="Comma 3 4 5 2 2 2 2 3" xfId="31708" xr:uid="{B37A90AD-73BE-4C7A-8D3E-459DACCDCCCD}"/>
    <cellStyle name="Comma 3 4 5 2 2 2 3" xfId="14932" xr:uid="{4D2A7FB7-9091-455D-AED7-7568C715A024}"/>
    <cellStyle name="Comma 3 4 5 2 2 2 4" xfId="25348" xr:uid="{A2B37AF9-10BF-4E60-B12F-DDF58B76F353}"/>
    <cellStyle name="Comma 3 4 5 2 2 3" xfId="9745" xr:uid="{00000000-0005-0000-0000-000037190000}"/>
    <cellStyle name="Comma 3 4 5 2 2 3 2" xfId="21291" xr:uid="{E5F35114-A47C-48C6-AA3F-890097C752C7}"/>
    <cellStyle name="Comma 3 4 5 2 2 3 3" xfId="31707" xr:uid="{BCBF13C3-A5C3-4AAB-A63E-7F0C509F364E}"/>
    <cellStyle name="Comma 3 4 5 2 2 4" xfId="6064" xr:uid="{00000000-0005-0000-0000-000038190000}"/>
    <cellStyle name="Comma 3 4 5 2 2 4 2" xfId="17650" xr:uid="{52A17DD2-F0B8-4897-8A9D-E0D80BD5AA9D}"/>
    <cellStyle name="Comma 3 4 5 2 2 4 3" xfId="28066" xr:uid="{AFCE0DDE-86EA-4310-9F9B-0F4568C2061F}"/>
    <cellStyle name="Comma 3 4 5 2 2 5" xfId="14931" xr:uid="{051F1C0A-F3C2-4A08-BD43-7B2EBCC6D8F9}"/>
    <cellStyle name="Comma 3 4 5 2 2 6" xfId="25347" xr:uid="{D163E4D2-D9FF-4502-BAA8-D34EAE9E267E}"/>
    <cellStyle name="Comma 3 4 5 2 3" xfId="2598" xr:uid="{00000000-0005-0000-0000-000039190000}"/>
    <cellStyle name="Comma 3 4 5 2 3 2" xfId="9747" xr:uid="{00000000-0005-0000-0000-00003A190000}"/>
    <cellStyle name="Comma 3 4 5 2 3 2 2" xfId="21293" xr:uid="{68863E73-70AF-4E57-A55B-190F782A0DC9}"/>
    <cellStyle name="Comma 3 4 5 2 3 2 3" xfId="31709" xr:uid="{0F81618A-869C-4241-AD36-FBD37E43264F}"/>
    <cellStyle name="Comma 3 4 5 2 3 3" xfId="14933" xr:uid="{7F13A326-A50F-4CB8-93E0-CA45519ED30B}"/>
    <cellStyle name="Comma 3 4 5 2 3 4" xfId="25349" xr:uid="{8D5832F5-24FA-4FD8-9C67-6A9451D8CA34}"/>
    <cellStyle name="Comma 3 4 5 2 4" xfId="9744" xr:uid="{00000000-0005-0000-0000-00003B190000}"/>
    <cellStyle name="Comma 3 4 5 2 4 2" xfId="21290" xr:uid="{7C8606CF-60C1-4988-B61A-A927BBA23940}"/>
    <cellStyle name="Comma 3 4 5 2 4 3" xfId="31706" xr:uid="{17AB791A-49A7-46FE-A78A-C097E20DB829}"/>
    <cellStyle name="Comma 3 4 5 2 5" xfId="6063" xr:uid="{00000000-0005-0000-0000-00003C190000}"/>
    <cellStyle name="Comma 3 4 5 2 5 2" xfId="17649" xr:uid="{AC03DB19-08DF-44C0-B6E3-AAEDF13A24F7}"/>
    <cellStyle name="Comma 3 4 5 2 5 3" xfId="28065" xr:uid="{DC2BF5E2-3EE7-4073-A132-77D2A88D76DB}"/>
    <cellStyle name="Comma 3 4 5 2 6" xfId="14930" xr:uid="{22F70C03-8B14-4212-A9F3-875970457A54}"/>
    <cellStyle name="Comma 3 4 5 2 7" xfId="25346" xr:uid="{0592B8BF-F0CC-47ED-AAB1-FFC525A5CAD5}"/>
    <cellStyle name="Comma 3 4 5 3" xfId="2599" xr:uid="{00000000-0005-0000-0000-00003D190000}"/>
    <cellStyle name="Comma 3 4 5 3 2" xfId="2600" xr:uid="{00000000-0005-0000-0000-00003E190000}"/>
    <cellStyle name="Comma 3 4 5 3 2 2" xfId="9749" xr:uid="{00000000-0005-0000-0000-00003F190000}"/>
    <cellStyle name="Comma 3 4 5 3 2 2 2" xfId="21295" xr:uid="{609B9BDE-B357-4C11-886C-6AFA3702F3AB}"/>
    <cellStyle name="Comma 3 4 5 3 2 2 3" xfId="31711" xr:uid="{6D0B1C63-F2D1-411E-9CAA-FD507759AFCB}"/>
    <cellStyle name="Comma 3 4 5 3 2 3" xfId="14935" xr:uid="{3A8A38E4-1B0F-43D4-A82C-273C595454D4}"/>
    <cellStyle name="Comma 3 4 5 3 2 4" xfId="25351" xr:uid="{B0877E2B-E92B-4547-96DF-808714B36EF4}"/>
    <cellStyle name="Comma 3 4 5 3 3" xfId="9748" xr:uid="{00000000-0005-0000-0000-000040190000}"/>
    <cellStyle name="Comma 3 4 5 3 3 2" xfId="21294" xr:uid="{70ABD6D3-37B4-4C99-9C84-7EAFCD554A2C}"/>
    <cellStyle name="Comma 3 4 5 3 3 3" xfId="31710" xr:uid="{EE13CD89-7EAB-4D97-96A5-2483EEF94862}"/>
    <cellStyle name="Comma 3 4 5 3 4" xfId="6065" xr:uid="{00000000-0005-0000-0000-000041190000}"/>
    <cellStyle name="Comma 3 4 5 3 4 2" xfId="17651" xr:uid="{9B5910AE-8C35-4D13-B383-DAAB4C2277D9}"/>
    <cellStyle name="Comma 3 4 5 3 4 3" xfId="28067" xr:uid="{61D505CA-2ACB-4034-A38A-25EA3A7FF72B}"/>
    <cellStyle name="Comma 3 4 5 3 5" xfId="14934" xr:uid="{4899F48A-87FB-45B8-9C84-C145E743A4C1}"/>
    <cellStyle name="Comma 3 4 5 3 6" xfId="25350" xr:uid="{AF1CF2B5-6B8E-49A8-A8EE-84B5030F333B}"/>
    <cellStyle name="Comma 3 4 5 4" xfId="2601" xr:uid="{00000000-0005-0000-0000-000042190000}"/>
    <cellStyle name="Comma 3 4 5 4 2" xfId="2602" xr:uid="{00000000-0005-0000-0000-000043190000}"/>
    <cellStyle name="Comma 3 4 5 4 2 2" xfId="9751" xr:uid="{00000000-0005-0000-0000-000044190000}"/>
    <cellStyle name="Comma 3 4 5 4 2 2 2" xfId="21297" xr:uid="{B06CFDFE-5269-4D77-8F15-4CC2BC93FA60}"/>
    <cellStyle name="Comma 3 4 5 4 2 2 3" xfId="31713" xr:uid="{F37361BF-C9D5-4DCC-9BEA-67B6AB7FB973}"/>
    <cellStyle name="Comma 3 4 5 4 2 3" xfId="14937" xr:uid="{A9532431-E5E7-4BBE-9802-E979514E9F96}"/>
    <cellStyle name="Comma 3 4 5 4 2 4" xfId="25353" xr:uid="{FC01F6E0-C92B-4768-9DAE-F236002BDCE6}"/>
    <cellStyle name="Comma 3 4 5 4 3" xfId="9750" xr:uid="{00000000-0005-0000-0000-000045190000}"/>
    <cellStyle name="Comma 3 4 5 4 3 2" xfId="21296" xr:uid="{A2623B3E-DCE5-43D7-961F-FE69A194FBF9}"/>
    <cellStyle name="Comma 3 4 5 4 3 3" xfId="31712" xr:uid="{81094271-DA6A-4FB6-825B-A445B24E361C}"/>
    <cellStyle name="Comma 3 4 5 4 4" xfId="6066" xr:uid="{00000000-0005-0000-0000-000046190000}"/>
    <cellStyle name="Comma 3 4 5 4 4 2" xfId="17652" xr:uid="{B424DB5A-C8B7-47D5-9DA6-F4991D9D815B}"/>
    <cellStyle name="Comma 3 4 5 4 4 3" xfId="28068" xr:uid="{798F98CC-1CDD-454D-B85F-BB83797041E9}"/>
    <cellStyle name="Comma 3 4 5 4 5" xfId="14936" xr:uid="{8D510259-0892-482E-BA6B-94519BB6352D}"/>
    <cellStyle name="Comma 3 4 5 4 6" xfId="25352" xr:uid="{E7804696-1072-4B33-8B95-BD74FEF7DF50}"/>
    <cellStyle name="Comma 3 4 5 5" xfId="2603" xr:uid="{00000000-0005-0000-0000-000047190000}"/>
    <cellStyle name="Comma 3 4 5 5 2" xfId="9752" xr:uid="{00000000-0005-0000-0000-000048190000}"/>
    <cellStyle name="Comma 3 4 5 5 2 2" xfId="21298" xr:uid="{A262E28E-D5A2-40DE-A855-4F7B5671E87E}"/>
    <cellStyle name="Comma 3 4 5 5 2 3" xfId="31714" xr:uid="{31613C65-9087-4F8D-8094-1ED23699C314}"/>
    <cellStyle name="Comma 3 4 5 5 3" xfId="14938" xr:uid="{D128F5DC-E30B-48E2-B9B4-49B6EEA948DA}"/>
    <cellStyle name="Comma 3 4 5 5 4" xfId="25354" xr:uid="{3AE50D39-DDF0-4F1D-8192-DC453F6BEE6A}"/>
    <cellStyle name="Comma 3 4 5 6" xfId="9743" xr:uid="{00000000-0005-0000-0000-000049190000}"/>
    <cellStyle name="Comma 3 4 5 6 2" xfId="21289" xr:uid="{3446D565-DC96-49C9-9CEA-72875DFEF08A}"/>
    <cellStyle name="Comma 3 4 5 6 3" xfId="31705" xr:uid="{2C929FDF-7508-420F-B243-3290AD576139}"/>
    <cellStyle name="Comma 3 4 5 7" xfId="6062" xr:uid="{00000000-0005-0000-0000-00004A190000}"/>
    <cellStyle name="Comma 3 4 5 7 2" xfId="17648" xr:uid="{B4FA2A7E-0E68-4AC9-A105-A18942330D26}"/>
    <cellStyle name="Comma 3 4 5 7 3" xfId="28064" xr:uid="{FF1E88BB-F929-43B5-A13F-B257E08E041E}"/>
    <cellStyle name="Comma 3 4 5 8" xfId="14929" xr:uid="{B3DA3F2B-525A-4438-9F3A-5B8D2740C256}"/>
    <cellStyle name="Comma 3 4 5 9" xfId="25345" xr:uid="{16D7C89F-5A78-4D03-BD96-C97B15F5ABFE}"/>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2 2 2" xfId="21302" xr:uid="{0D9C50CF-96F7-4231-B188-6918EA1D01F4}"/>
    <cellStyle name="Comma 3 4 6 2 2 2 2 3" xfId="31718" xr:uid="{79C5E6D4-0027-4CA2-954A-68164699C2A6}"/>
    <cellStyle name="Comma 3 4 6 2 2 2 3" xfId="14942" xr:uid="{7D4350B6-0C97-4B92-BF4B-AC45F6F469FF}"/>
    <cellStyle name="Comma 3 4 6 2 2 2 4" xfId="25358" xr:uid="{A5E60E32-7797-438B-BD72-7B1E61704875}"/>
    <cellStyle name="Comma 3 4 6 2 2 3" xfId="9755" xr:uid="{00000000-0005-0000-0000-000050190000}"/>
    <cellStyle name="Comma 3 4 6 2 2 3 2" xfId="21301" xr:uid="{B77ED9BD-8025-4372-8024-E5B453DC6543}"/>
    <cellStyle name="Comma 3 4 6 2 2 3 3" xfId="31717" xr:uid="{BD9EDC93-F743-4818-A505-5D92961BC424}"/>
    <cellStyle name="Comma 3 4 6 2 2 4" xfId="6069" xr:uid="{00000000-0005-0000-0000-000051190000}"/>
    <cellStyle name="Comma 3 4 6 2 2 4 2" xfId="17655" xr:uid="{E867F289-6A64-41AC-8355-145DDFBB8906}"/>
    <cellStyle name="Comma 3 4 6 2 2 4 3" xfId="28071" xr:uid="{4AD50CF2-72AC-48FD-BA1A-845A723F9DB4}"/>
    <cellStyle name="Comma 3 4 6 2 2 5" xfId="14941" xr:uid="{381CC916-BA4C-4DBA-A6A2-6012DD08EB4D}"/>
    <cellStyle name="Comma 3 4 6 2 2 6" xfId="25357" xr:uid="{4E8B06A3-06F6-49FA-B5A7-52FCD47F942E}"/>
    <cellStyle name="Comma 3 4 6 2 3" xfId="2608" xr:uid="{00000000-0005-0000-0000-000052190000}"/>
    <cellStyle name="Comma 3 4 6 2 3 2" xfId="9757" xr:uid="{00000000-0005-0000-0000-000053190000}"/>
    <cellStyle name="Comma 3 4 6 2 3 2 2" xfId="21303" xr:uid="{D80B1746-32C9-4CE1-AA4F-3B9C1974B6E1}"/>
    <cellStyle name="Comma 3 4 6 2 3 2 3" xfId="31719" xr:uid="{DBD03AD7-59DA-4F98-8073-29AA44F124AC}"/>
    <cellStyle name="Comma 3 4 6 2 3 3" xfId="14943" xr:uid="{F9A6FFE5-EAC3-4180-BD7B-5767F6E8C269}"/>
    <cellStyle name="Comma 3 4 6 2 3 4" xfId="25359" xr:uid="{CC6303B0-2693-4DC7-8751-70B046C5F567}"/>
    <cellStyle name="Comma 3 4 6 2 4" xfId="9754" xr:uid="{00000000-0005-0000-0000-000054190000}"/>
    <cellStyle name="Comma 3 4 6 2 4 2" xfId="21300" xr:uid="{4D9575A7-38BF-4A58-BBB2-F792496C3E63}"/>
    <cellStyle name="Comma 3 4 6 2 4 3" xfId="31716" xr:uid="{AB7F9476-4CA5-4AEA-B5E2-5D0B62196882}"/>
    <cellStyle name="Comma 3 4 6 2 5" xfId="6068" xr:uid="{00000000-0005-0000-0000-000055190000}"/>
    <cellStyle name="Comma 3 4 6 2 5 2" xfId="17654" xr:uid="{BB9C5AF9-6829-4ECF-B876-34F38C660A01}"/>
    <cellStyle name="Comma 3 4 6 2 5 3" xfId="28070" xr:uid="{0D134624-E97A-4976-AB92-84EB7ED768B1}"/>
    <cellStyle name="Comma 3 4 6 2 6" xfId="14940" xr:uid="{3AB585BD-C19B-455E-8B31-9DC87AE56518}"/>
    <cellStyle name="Comma 3 4 6 2 7" xfId="25356" xr:uid="{18FC2CFC-7930-499C-B1E4-84BEEDA16D99}"/>
    <cellStyle name="Comma 3 4 6 3" xfId="2609" xr:uid="{00000000-0005-0000-0000-000056190000}"/>
    <cellStyle name="Comma 3 4 6 3 2" xfId="2610" xr:uid="{00000000-0005-0000-0000-000057190000}"/>
    <cellStyle name="Comma 3 4 6 3 2 2" xfId="9759" xr:uid="{00000000-0005-0000-0000-000058190000}"/>
    <cellStyle name="Comma 3 4 6 3 2 2 2" xfId="21305" xr:uid="{089B4FE7-9DA9-4D90-8847-DE110AC95BCA}"/>
    <cellStyle name="Comma 3 4 6 3 2 2 3" xfId="31721" xr:uid="{17A0C462-C864-4870-BCB2-E38FACFE0A58}"/>
    <cellStyle name="Comma 3 4 6 3 2 3" xfId="14945" xr:uid="{BEDB7F8B-82B5-4785-8C99-BC813FFD5614}"/>
    <cellStyle name="Comma 3 4 6 3 2 4" xfId="25361" xr:uid="{6E3E9565-4902-4889-833F-E257A0BD2810}"/>
    <cellStyle name="Comma 3 4 6 3 3" xfId="9758" xr:uid="{00000000-0005-0000-0000-000059190000}"/>
    <cellStyle name="Comma 3 4 6 3 3 2" xfId="21304" xr:uid="{D64A79D9-6A35-4FDE-A1B5-82A51FAC412B}"/>
    <cellStyle name="Comma 3 4 6 3 3 3" xfId="31720" xr:uid="{E2B46660-0740-464C-B689-4EA05B6CBEBA}"/>
    <cellStyle name="Comma 3 4 6 3 4" xfId="6070" xr:uid="{00000000-0005-0000-0000-00005A190000}"/>
    <cellStyle name="Comma 3 4 6 3 4 2" xfId="17656" xr:uid="{8504D872-0F12-47CF-8023-AA1E3032D33B}"/>
    <cellStyle name="Comma 3 4 6 3 4 3" xfId="28072" xr:uid="{3761756F-E6B0-4E07-BF72-568BB7C2F1A5}"/>
    <cellStyle name="Comma 3 4 6 3 5" xfId="14944" xr:uid="{DC929AC5-EA2F-473B-BD88-9B72E76ABCDC}"/>
    <cellStyle name="Comma 3 4 6 3 6" xfId="25360" xr:uid="{46F1E139-2727-4615-811F-A5EEC036BAC8}"/>
    <cellStyle name="Comma 3 4 6 4" xfId="2611" xr:uid="{00000000-0005-0000-0000-00005B190000}"/>
    <cellStyle name="Comma 3 4 6 4 2" xfId="2612" xr:uid="{00000000-0005-0000-0000-00005C190000}"/>
    <cellStyle name="Comma 3 4 6 4 2 2" xfId="9761" xr:uid="{00000000-0005-0000-0000-00005D190000}"/>
    <cellStyle name="Comma 3 4 6 4 2 2 2" xfId="21307" xr:uid="{37FEC8B3-7D1C-468C-BE7D-A69EF22B62BD}"/>
    <cellStyle name="Comma 3 4 6 4 2 2 3" xfId="31723" xr:uid="{B6D198B8-1A17-4FB8-99AB-284B38482850}"/>
    <cellStyle name="Comma 3 4 6 4 2 3" xfId="14947" xr:uid="{AAE8093E-11E5-45A8-8EF1-5F60279D98AD}"/>
    <cellStyle name="Comma 3 4 6 4 2 4" xfId="25363" xr:uid="{963837C0-FE6E-41C2-A0DA-CBBDDCD5881E}"/>
    <cellStyle name="Comma 3 4 6 4 3" xfId="9760" xr:uid="{00000000-0005-0000-0000-00005E190000}"/>
    <cellStyle name="Comma 3 4 6 4 3 2" xfId="21306" xr:uid="{4CB3BAA6-564D-4B5E-ABE5-FD36D49C7FF3}"/>
    <cellStyle name="Comma 3 4 6 4 3 3" xfId="31722" xr:uid="{47E45502-FC3C-48E1-854F-CDE413499B6B}"/>
    <cellStyle name="Comma 3 4 6 4 4" xfId="6071" xr:uid="{00000000-0005-0000-0000-00005F190000}"/>
    <cellStyle name="Comma 3 4 6 4 4 2" xfId="17657" xr:uid="{82BE2251-A926-401D-B40B-8999AC8F8E79}"/>
    <cellStyle name="Comma 3 4 6 4 4 3" xfId="28073" xr:uid="{5AE46BDE-1417-4734-BFDB-8AA4F9B72710}"/>
    <cellStyle name="Comma 3 4 6 4 5" xfId="14946" xr:uid="{6433E2F7-7A71-468F-8708-12D98AC1C395}"/>
    <cellStyle name="Comma 3 4 6 4 6" xfId="25362" xr:uid="{61ECEC30-A313-4537-A575-0B11C09793AE}"/>
    <cellStyle name="Comma 3 4 6 5" xfId="2613" xr:uid="{00000000-0005-0000-0000-000060190000}"/>
    <cellStyle name="Comma 3 4 6 5 2" xfId="9762" xr:uid="{00000000-0005-0000-0000-000061190000}"/>
    <cellStyle name="Comma 3 4 6 5 2 2" xfId="21308" xr:uid="{300A934B-CC62-4867-AAFD-2A7AB85F9880}"/>
    <cellStyle name="Comma 3 4 6 5 2 3" xfId="31724" xr:uid="{C584D329-2211-4F5A-AE57-E2C0992AB3C4}"/>
    <cellStyle name="Comma 3 4 6 5 3" xfId="14948" xr:uid="{AB6B13A6-94D5-4CE1-81AE-C83E8BCF8C7E}"/>
    <cellStyle name="Comma 3 4 6 5 4" xfId="25364" xr:uid="{692206FD-8109-4A7C-A958-0F2660146243}"/>
    <cellStyle name="Comma 3 4 6 6" xfId="9753" xr:uid="{00000000-0005-0000-0000-000062190000}"/>
    <cellStyle name="Comma 3 4 6 6 2" xfId="21299" xr:uid="{ABC7C3B8-B4CE-4BEC-A49F-B0C13F5813D8}"/>
    <cellStyle name="Comma 3 4 6 6 3" xfId="31715" xr:uid="{E1D9D913-0314-4FAC-80A5-2B72685E4382}"/>
    <cellStyle name="Comma 3 4 6 7" xfId="6067" xr:uid="{00000000-0005-0000-0000-000063190000}"/>
    <cellStyle name="Comma 3 4 6 7 2" xfId="17653" xr:uid="{1E2F1D1E-92D6-41AF-9494-4B4199486BDA}"/>
    <cellStyle name="Comma 3 4 6 7 3" xfId="28069" xr:uid="{80185E11-7D46-43A3-878E-256B7D31C302}"/>
    <cellStyle name="Comma 3 4 6 8" xfId="14939" xr:uid="{9680548B-0C32-4F8F-9084-02AD0BC5C4D6}"/>
    <cellStyle name="Comma 3 4 6 9" xfId="25355" xr:uid="{FE48E6E3-0714-4A67-B322-D24AE41381CF}"/>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2 2 2" xfId="21311" xr:uid="{366FA3D5-74E8-4BE4-A9C2-114D90669321}"/>
    <cellStyle name="Comma 3 4 7 2 2 2 3" xfId="31727" xr:uid="{120B2871-DCA4-425D-BECC-DF8330B2F274}"/>
    <cellStyle name="Comma 3 4 7 2 2 3" xfId="14951" xr:uid="{9808AE4E-C6B3-4855-96AE-329DFC5F6230}"/>
    <cellStyle name="Comma 3 4 7 2 2 4" xfId="25367" xr:uid="{83CA821D-DD7C-400F-9E68-EBB883AD2D9C}"/>
    <cellStyle name="Comma 3 4 7 2 3" xfId="9764" xr:uid="{00000000-0005-0000-0000-000068190000}"/>
    <cellStyle name="Comma 3 4 7 2 3 2" xfId="21310" xr:uid="{4E8723EE-A847-406C-8B73-EAC0A4AD0663}"/>
    <cellStyle name="Comma 3 4 7 2 3 3" xfId="31726" xr:uid="{8045F8B1-8001-435A-8995-AEC1D84A7913}"/>
    <cellStyle name="Comma 3 4 7 2 4" xfId="6073" xr:uid="{00000000-0005-0000-0000-000069190000}"/>
    <cellStyle name="Comma 3 4 7 2 4 2" xfId="17659" xr:uid="{0E09F975-04A9-4210-9B20-F5B7DEE07D90}"/>
    <cellStyle name="Comma 3 4 7 2 4 3" xfId="28075" xr:uid="{BED8CE93-C5CA-4687-8690-EECF74014CC9}"/>
    <cellStyle name="Comma 3 4 7 2 5" xfId="14950" xr:uid="{594E8069-F3AB-4295-946D-E40EA8369368}"/>
    <cellStyle name="Comma 3 4 7 2 6" xfId="25366" xr:uid="{ADCBFFA4-120C-4FFC-AFFE-1EC55729C5F7}"/>
    <cellStyle name="Comma 3 4 7 3" xfId="2617" xr:uid="{00000000-0005-0000-0000-00006A190000}"/>
    <cellStyle name="Comma 3 4 7 3 2" xfId="2618" xr:uid="{00000000-0005-0000-0000-00006B190000}"/>
    <cellStyle name="Comma 3 4 7 3 2 2" xfId="9767" xr:uid="{00000000-0005-0000-0000-00006C190000}"/>
    <cellStyle name="Comma 3 4 7 3 2 2 2" xfId="21313" xr:uid="{0F2A3702-2E52-4E47-915D-D7F7F6FF47AD}"/>
    <cellStyle name="Comma 3 4 7 3 2 2 3" xfId="31729" xr:uid="{0546D4F8-1656-4A60-A0E5-CE60D7D1CF08}"/>
    <cellStyle name="Comma 3 4 7 3 2 3" xfId="14953" xr:uid="{52BA0744-E44A-4A91-8838-AA50EF16578A}"/>
    <cellStyle name="Comma 3 4 7 3 2 4" xfId="25369" xr:uid="{3FBBD871-AC95-4A4A-A73F-9727594BC79D}"/>
    <cellStyle name="Comma 3 4 7 3 3" xfId="9766" xr:uid="{00000000-0005-0000-0000-00006D190000}"/>
    <cellStyle name="Comma 3 4 7 3 3 2" xfId="21312" xr:uid="{C17A014E-79D7-465F-BE2B-998D05D3C209}"/>
    <cellStyle name="Comma 3 4 7 3 3 3" xfId="31728" xr:uid="{FB92A52A-EE2C-4AAB-977F-E25221D8FBEE}"/>
    <cellStyle name="Comma 3 4 7 3 4" xfId="6074" xr:uid="{00000000-0005-0000-0000-00006E190000}"/>
    <cellStyle name="Comma 3 4 7 3 4 2" xfId="17660" xr:uid="{EA6C7F79-3BA1-436C-9A3F-D5E3B4C53289}"/>
    <cellStyle name="Comma 3 4 7 3 4 3" xfId="28076" xr:uid="{36575945-2364-473E-ABB5-411F13FBE772}"/>
    <cellStyle name="Comma 3 4 7 3 5" xfId="14952" xr:uid="{2B68D473-6254-4948-BC9B-C0B7769AEB45}"/>
    <cellStyle name="Comma 3 4 7 3 6" xfId="25368" xr:uid="{98D5C1F1-F2D1-43AA-8962-EC1D8D8DD274}"/>
    <cellStyle name="Comma 3 4 7 4" xfId="2619" xr:uid="{00000000-0005-0000-0000-00006F190000}"/>
    <cellStyle name="Comma 3 4 7 4 2" xfId="9768" xr:uid="{00000000-0005-0000-0000-000070190000}"/>
    <cellStyle name="Comma 3 4 7 4 2 2" xfId="21314" xr:uid="{97A050E5-30DB-4BF3-BEED-EEB3F55B46B3}"/>
    <cellStyle name="Comma 3 4 7 4 2 3" xfId="31730" xr:uid="{8B77F3D4-0415-4503-A6F4-3EA86FB206A4}"/>
    <cellStyle name="Comma 3 4 7 4 3" xfId="14954" xr:uid="{A9917248-4033-4280-B9CF-88710296821E}"/>
    <cellStyle name="Comma 3 4 7 4 4" xfId="25370" xr:uid="{34524748-D2DD-4FC8-AF27-321C510C7553}"/>
    <cellStyle name="Comma 3 4 7 5" xfId="9763" xr:uid="{00000000-0005-0000-0000-000071190000}"/>
    <cellStyle name="Comma 3 4 7 5 2" xfId="21309" xr:uid="{1FE43351-2C36-4646-8DBC-4F7AC179255F}"/>
    <cellStyle name="Comma 3 4 7 5 3" xfId="31725" xr:uid="{03A5F153-A493-4049-A534-2815382DBB65}"/>
    <cellStyle name="Comma 3 4 7 6" xfId="6072" xr:uid="{00000000-0005-0000-0000-000072190000}"/>
    <cellStyle name="Comma 3 4 7 6 2" xfId="17658" xr:uid="{8DB67631-7A92-494F-BE32-4A854E729BE1}"/>
    <cellStyle name="Comma 3 4 7 6 3" xfId="28074" xr:uid="{910F6E7E-3F22-40E3-9D55-762EB91837D3}"/>
    <cellStyle name="Comma 3 4 7 7" xfId="14949" xr:uid="{C88640DE-A32A-4C06-9CBC-A5CE26A3BD06}"/>
    <cellStyle name="Comma 3 4 7 8" xfId="25365" xr:uid="{680A9DED-3396-44CC-B94D-6257A7AE0525}"/>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2 2 2" xfId="21317" xr:uid="{FEA0BBF1-2E8D-481E-8DC1-FCA00FB25185}"/>
    <cellStyle name="Comma 3 4 8 2 2 2 3" xfId="31733" xr:uid="{8F58989D-9EB4-4BC4-A86E-8B8329362A7C}"/>
    <cellStyle name="Comma 3 4 8 2 2 3" xfId="14957" xr:uid="{AF0A3305-0595-4CA1-9D06-1E4CDE5C66AA}"/>
    <cellStyle name="Comma 3 4 8 2 2 4" xfId="25373" xr:uid="{98DDB57C-B004-460C-8E13-4B98AA23CD8D}"/>
    <cellStyle name="Comma 3 4 8 2 3" xfId="9770" xr:uid="{00000000-0005-0000-0000-000077190000}"/>
    <cellStyle name="Comma 3 4 8 2 3 2" xfId="21316" xr:uid="{AC66D53B-453B-449D-AD1D-45BFEC9F1D9A}"/>
    <cellStyle name="Comma 3 4 8 2 3 3" xfId="31732" xr:uid="{EA6F649D-29EE-4A4E-9E5B-F214DD2BD4AF}"/>
    <cellStyle name="Comma 3 4 8 2 4" xfId="6076" xr:uid="{00000000-0005-0000-0000-000078190000}"/>
    <cellStyle name="Comma 3 4 8 2 4 2" xfId="17662" xr:uid="{D25761AB-4CDC-447F-9523-C53ADC9FC234}"/>
    <cellStyle name="Comma 3 4 8 2 4 3" xfId="28078" xr:uid="{FD6B227B-5743-4C4C-8BC0-696C818D1AAF}"/>
    <cellStyle name="Comma 3 4 8 2 5" xfId="14956" xr:uid="{2B831905-F73A-4817-9158-A0C1E05E6A5E}"/>
    <cellStyle name="Comma 3 4 8 2 6" xfId="25372" xr:uid="{8E05FC0B-BC23-4F56-A274-D9D31CDF7EAE}"/>
    <cellStyle name="Comma 3 4 8 3" xfId="2623" xr:uid="{00000000-0005-0000-0000-000079190000}"/>
    <cellStyle name="Comma 3 4 8 3 2" xfId="9772" xr:uid="{00000000-0005-0000-0000-00007A190000}"/>
    <cellStyle name="Comma 3 4 8 3 2 2" xfId="21318" xr:uid="{247B649B-D214-4A71-BAD4-3F4C96BA004F}"/>
    <cellStyle name="Comma 3 4 8 3 2 3" xfId="31734" xr:uid="{40764481-50F9-4557-A612-4DBB580DEE17}"/>
    <cellStyle name="Comma 3 4 8 3 3" xfId="14958" xr:uid="{0E392855-A625-49C7-9401-2346D30122E0}"/>
    <cellStyle name="Comma 3 4 8 3 4" xfId="25374" xr:uid="{4AE01F04-08F9-4875-976B-C5477043B9B0}"/>
    <cellStyle name="Comma 3 4 8 4" xfId="9769" xr:uid="{00000000-0005-0000-0000-00007B190000}"/>
    <cellStyle name="Comma 3 4 8 4 2" xfId="21315" xr:uid="{6CDD6E3D-EF69-432D-ABB6-B185AFA9809A}"/>
    <cellStyle name="Comma 3 4 8 4 3" xfId="31731" xr:uid="{342ECBF2-2AFB-42C1-987B-B805FBB95314}"/>
    <cellStyle name="Comma 3 4 8 5" xfId="6075" xr:uid="{00000000-0005-0000-0000-00007C190000}"/>
    <cellStyle name="Comma 3 4 8 5 2" xfId="17661" xr:uid="{528EC425-4D5C-49DA-9746-E30A80C04C24}"/>
    <cellStyle name="Comma 3 4 8 5 3" xfId="28077" xr:uid="{65ED2D46-D60D-4D37-B758-989A2F3245E6}"/>
    <cellStyle name="Comma 3 4 8 6" xfId="14955" xr:uid="{ABBF9057-317C-4BA0-B8B4-A8F00C1C3F36}"/>
    <cellStyle name="Comma 3 4 8 7" xfId="25371" xr:uid="{31D8FF59-7FC2-4DE8-8300-52DAEE46A11D}"/>
    <cellStyle name="Comma 3 4 9" xfId="2624" xr:uid="{00000000-0005-0000-0000-00007D190000}"/>
    <cellStyle name="Comma 3 4 9 2" xfId="2625" xr:uid="{00000000-0005-0000-0000-00007E190000}"/>
    <cellStyle name="Comma 3 4 9 2 2" xfId="9774" xr:uid="{00000000-0005-0000-0000-00007F190000}"/>
    <cellStyle name="Comma 3 4 9 2 2 2" xfId="21320" xr:uid="{F551C058-BE4F-47DA-84C9-14659630255C}"/>
    <cellStyle name="Comma 3 4 9 2 2 3" xfId="31736" xr:uid="{74D49C32-A3A8-4710-8B87-38B194F8EA69}"/>
    <cellStyle name="Comma 3 4 9 2 3" xfId="14960" xr:uid="{93E2D1E0-5EDC-4EE4-B09B-5878EEE10A38}"/>
    <cellStyle name="Comma 3 4 9 2 4" xfId="25376" xr:uid="{DB2CFB69-08EB-4B75-82DC-C1FE080B29C3}"/>
    <cellStyle name="Comma 3 4 9 3" xfId="9773" xr:uid="{00000000-0005-0000-0000-000080190000}"/>
    <cellStyle name="Comma 3 4 9 3 2" xfId="21319" xr:uid="{1BC056C5-D943-4790-8F5A-FF91F964A77B}"/>
    <cellStyle name="Comma 3 4 9 3 3" xfId="31735" xr:uid="{FED0B010-1A79-4D4A-842E-45D29F5B60FE}"/>
    <cellStyle name="Comma 3 4 9 4" xfId="6077" xr:uid="{00000000-0005-0000-0000-000081190000}"/>
    <cellStyle name="Comma 3 4 9 4 2" xfId="17663" xr:uid="{D5D074C0-A4CA-41E4-B761-8490A8FDD578}"/>
    <cellStyle name="Comma 3 4 9 4 3" xfId="28079" xr:uid="{81F1C694-47D1-4100-8F03-E38495D7AD0C}"/>
    <cellStyle name="Comma 3 4 9 5" xfId="14959" xr:uid="{984BD8C3-FA0A-4F53-9C8B-2ABAAAD1EC93}"/>
    <cellStyle name="Comma 3 4 9 6" xfId="25375" xr:uid="{E75B1305-24DD-4C13-891A-45CBB8092EEE}"/>
    <cellStyle name="Comma 3 5" xfId="2626" xr:uid="{00000000-0005-0000-0000-000082190000}"/>
    <cellStyle name="Comma 3 5 10" xfId="2627" xr:uid="{00000000-0005-0000-0000-000083190000}"/>
    <cellStyle name="Comma 3 5 10 2" xfId="9776" xr:uid="{00000000-0005-0000-0000-000084190000}"/>
    <cellStyle name="Comma 3 5 10 2 2" xfId="21322" xr:uid="{20FCB69E-9231-445C-A3DC-9506D830DC06}"/>
    <cellStyle name="Comma 3 5 10 2 3" xfId="31738" xr:uid="{DCE92095-F1DB-4455-A9DF-7B3488D2CFC3}"/>
    <cellStyle name="Comma 3 5 10 3" xfId="14962" xr:uid="{F3794615-8C9F-4C8E-9FEF-BCD28660B620}"/>
    <cellStyle name="Comma 3 5 10 4" xfId="25378" xr:uid="{D1B51283-8129-422B-AEA7-75540926CEC2}"/>
    <cellStyle name="Comma 3 5 11" xfId="9775" xr:uid="{00000000-0005-0000-0000-000085190000}"/>
    <cellStyle name="Comma 3 5 11 2" xfId="21321" xr:uid="{8BC614F6-0762-4C34-88DE-B2F152B0222B}"/>
    <cellStyle name="Comma 3 5 11 3" xfId="31737" xr:uid="{401A7F7B-86B9-4AA9-B2F9-BDD3A94B799F}"/>
    <cellStyle name="Comma 3 5 12" xfId="6078" xr:uid="{00000000-0005-0000-0000-000086190000}"/>
    <cellStyle name="Comma 3 5 12 2" xfId="17664" xr:uid="{D8CB5B2A-C60B-49DB-A2B8-C3B5D25D5C3A}"/>
    <cellStyle name="Comma 3 5 12 3" xfId="28080" xr:uid="{C4B747A6-75DD-43E8-A0C5-90E84E2E9760}"/>
    <cellStyle name="Comma 3 5 13" xfId="14961" xr:uid="{32825A4E-EBA5-40F0-84C9-93385902A444}"/>
    <cellStyle name="Comma 3 5 14" xfId="25377" xr:uid="{87286B66-B22D-4A35-96B8-B836BA63F833}"/>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2 2 2" xfId="21326" xr:uid="{CE3D92B6-85E9-4B02-B5B0-2372F46E033F}"/>
    <cellStyle name="Comma 3 5 2 2 2 2 2 3" xfId="31742" xr:uid="{DA77F5B8-3B62-4C98-94B9-07DB4F1BB43A}"/>
    <cellStyle name="Comma 3 5 2 2 2 2 3" xfId="14966" xr:uid="{F558504D-3907-49B2-A351-1AFD08860754}"/>
    <cellStyle name="Comma 3 5 2 2 2 2 4" xfId="25382" xr:uid="{60E311E7-01B4-4FFF-9591-883B33643685}"/>
    <cellStyle name="Comma 3 5 2 2 2 3" xfId="9779" xr:uid="{00000000-0005-0000-0000-00008C190000}"/>
    <cellStyle name="Comma 3 5 2 2 2 3 2" xfId="21325" xr:uid="{12356666-3283-4223-ACA5-E7819958A5ED}"/>
    <cellStyle name="Comma 3 5 2 2 2 3 3" xfId="31741" xr:uid="{99A0DB3F-A3EF-443F-9AA3-04562BAC0E0B}"/>
    <cellStyle name="Comma 3 5 2 2 2 4" xfId="6081" xr:uid="{00000000-0005-0000-0000-00008D190000}"/>
    <cellStyle name="Comma 3 5 2 2 2 4 2" xfId="17667" xr:uid="{26ACB7C8-124A-46B4-A3D9-FC99D73B81CB}"/>
    <cellStyle name="Comma 3 5 2 2 2 4 3" xfId="28083" xr:uid="{3BAF9A54-79B8-448A-AACB-BECA57D72A25}"/>
    <cellStyle name="Comma 3 5 2 2 2 5" xfId="14965" xr:uid="{47CED75F-2A00-48CB-B2C9-55601946C175}"/>
    <cellStyle name="Comma 3 5 2 2 2 6" xfId="25381" xr:uid="{5059B038-FF7D-427F-BF4B-8F2BE0A0A5B9}"/>
    <cellStyle name="Comma 3 5 2 2 3" xfId="2632" xr:uid="{00000000-0005-0000-0000-00008E190000}"/>
    <cellStyle name="Comma 3 5 2 2 3 2" xfId="9781" xr:uid="{00000000-0005-0000-0000-00008F190000}"/>
    <cellStyle name="Comma 3 5 2 2 3 2 2" xfId="21327" xr:uid="{08EE43BB-D145-4ABC-8DAF-BAF7F8782F5A}"/>
    <cellStyle name="Comma 3 5 2 2 3 2 3" xfId="31743" xr:uid="{1A2D842B-5131-446E-B77B-C3CF2C4CC584}"/>
    <cellStyle name="Comma 3 5 2 2 3 3" xfId="14967" xr:uid="{A6FEAE1E-E765-41AA-8F70-09B0D0F71AEF}"/>
    <cellStyle name="Comma 3 5 2 2 3 4" xfId="25383" xr:uid="{29D7AE9C-32BA-4E19-A185-E03743B2F6BE}"/>
    <cellStyle name="Comma 3 5 2 2 4" xfId="9778" xr:uid="{00000000-0005-0000-0000-000090190000}"/>
    <cellStyle name="Comma 3 5 2 2 4 2" xfId="21324" xr:uid="{7F2314B7-468B-4AAA-9A27-B23854C5863B}"/>
    <cellStyle name="Comma 3 5 2 2 4 3" xfId="31740" xr:uid="{DAB08056-6D9E-4EDA-AE4B-848362ECD9A7}"/>
    <cellStyle name="Comma 3 5 2 2 5" xfId="6080" xr:uid="{00000000-0005-0000-0000-000091190000}"/>
    <cellStyle name="Comma 3 5 2 2 5 2" xfId="17666" xr:uid="{B2685A27-FFDF-49EA-9F64-0D7CD3AC7E8D}"/>
    <cellStyle name="Comma 3 5 2 2 5 3" xfId="28082" xr:uid="{BA8FAA9E-09B6-45CE-9EE0-EB126E02436B}"/>
    <cellStyle name="Comma 3 5 2 2 6" xfId="14964" xr:uid="{45F9544C-4E3F-4E3B-BDCA-62CB3E12E83C}"/>
    <cellStyle name="Comma 3 5 2 2 7" xfId="25380" xr:uid="{4AC8872F-77FF-4052-B08B-33D63AAC1CBF}"/>
    <cellStyle name="Comma 3 5 2 3" xfId="2633" xr:uid="{00000000-0005-0000-0000-000092190000}"/>
    <cellStyle name="Comma 3 5 2 3 2" xfId="2634" xr:uid="{00000000-0005-0000-0000-000093190000}"/>
    <cellStyle name="Comma 3 5 2 3 2 2" xfId="9783" xr:uid="{00000000-0005-0000-0000-000094190000}"/>
    <cellStyle name="Comma 3 5 2 3 2 2 2" xfId="21329" xr:uid="{5CADFF11-D2A8-4332-B16D-C4048FD47180}"/>
    <cellStyle name="Comma 3 5 2 3 2 2 3" xfId="31745" xr:uid="{A70904C5-6759-4FF8-B0CA-78A2D5A09A46}"/>
    <cellStyle name="Comma 3 5 2 3 2 3" xfId="14969" xr:uid="{EB9046BB-8F5F-4EAC-AC33-CD4FE4215515}"/>
    <cellStyle name="Comma 3 5 2 3 2 4" xfId="25385" xr:uid="{CE86B445-36B7-4FF5-BB9F-66FA41EA22D6}"/>
    <cellStyle name="Comma 3 5 2 3 3" xfId="9782" xr:uid="{00000000-0005-0000-0000-000095190000}"/>
    <cellStyle name="Comma 3 5 2 3 3 2" xfId="21328" xr:uid="{686CECE2-2FFA-428D-A750-3190FC06D83E}"/>
    <cellStyle name="Comma 3 5 2 3 3 3" xfId="31744" xr:uid="{867027F7-869A-4583-94A8-6635EB1D09AE}"/>
    <cellStyle name="Comma 3 5 2 3 4" xfId="6082" xr:uid="{00000000-0005-0000-0000-000096190000}"/>
    <cellStyle name="Comma 3 5 2 3 4 2" xfId="17668" xr:uid="{8FD8570B-C180-4B41-971A-059720880110}"/>
    <cellStyle name="Comma 3 5 2 3 4 3" xfId="28084" xr:uid="{4CD13247-1D07-40A6-9DD3-3F3835E9BF3B}"/>
    <cellStyle name="Comma 3 5 2 3 5" xfId="14968" xr:uid="{EA43020A-2F50-476E-AB9C-27DD544F3079}"/>
    <cellStyle name="Comma 3 5 2 3 6" xfId="25384" xr:uid="{FA9591AD-892C-4109-BF3A-8FD05E081F98}"/>
    <cellStyle name="Comma 3 5 2 4" xfId="2635" xr:uid="{00000000-0005-0000-0000-000097190000}"/>
    <cellStyle name="Comma 3 5 2 4 2" xfId="2636" xr:uid="{00000000-0005-0000-0000-000098190000}"/>
    <cellStyle name="Comma 3 5 2 4 2 2" xfId="9785" xr:uid="{00000000-0005-0000-0000-000099190000}"/>
    <cellStyle name="Comma 3 5 2 4 2 2 2" xfId="21331" xr:uid="{1E46D469-DB11-4A06-8A3D-CCD2594FCC85}"/>
    <cellStyle name="Comma 3 5 2 4 2 2 3" xfId="31747" xr:uid="{0F9C88C1-05CC-499F-9E49-5DA519DDD871}"/>
    <cellStyle name="Comma 3 5 2 4 2 3" xfId="14971" xr:uid="{AC351618-3734-49E0-878F-9351FFF47970}"/>
    <cellStyle name="Comma 3 5 2 4 2 4" xfId="25387" xr:uid="{03539083-3F11-41FC-A16B-837CD44CCC28}"/>
    <cellStyle name="Comma 3 5 2 4 3" xfId="9784" xr:uid="{00000000-0005-0000-0000-00009A190000}"/>
    <cellStyle name="Comma 3 5 2 4 3 2" xfId="21330" xr:uid="{EB1D2A15-6B48-4BAA-8D6D-E002223FD87D}"/>
    <cellStyle name="Comma 3 5 2 4 3 3" xfId="31746" xr:uid="{64E1838D-5E65-473A-943C-77F4EDDB2EF8}"/>
    <cellStyle name="Comma 3 5 2 4 4" xfId="6083" xr:uid="{00000000-0005-0000-0000-00009B190000}"/>
    <cellStyle name="Comma 3 5 2 4 4 2" xfId="17669" xr:uid="{0E7E44DD-1AE3-4E06-9DD9-2A2A589AC3D2}"/>
    <cellStyle name="Comma 3 5 2 4 4 3" xfId="28085" xr:uid="{42B5707F-7EB7-4894-98DF-2E84806FEFCF}"/>
    <cellStyle name="Comma 3 5 2 4 5" xfId="14970" xr:uid="{30DDFB7C-3D49-41EC-AD8B-03C385930C8D}"/>
    <cellStyle name="Comma 3 5 2 4 6" xfId="25386" xr:uid="{770F9016-77C4-4316-9F6B-68722FFD21D1}"/>
    <cellStyle name="Comma 3 5 2 5" xfId="2637" xr:uid="{00000000-0005-0000-0000-00009C190000}"/>
    <cellStyle name="Comma 3 5 2 5 2" xfId="9786" xr:uid="{00000000-0005-0000-0000-00009D190000}"/>
    <cellStyle name="Comma 3 5 2 5 2 2" xfId="21332" xr:uid="{B31A67D8-7837-4DC0-AF75-0381FA1B1002}"/>
    <cellStyle name="Comma 3 5 2 5 2 3" xfId="31748" xr:uid="{157670C0-4A29-4EC4-88F0-A393375F8DAA}"/>
    <cellStyle name="Comma 3 5 2 5 3" xfId="14972" xr:uid="{A72FABB2-1A17-446A-B2AD-E2FB3B179834}"/>
    <cellStyle name="Comma 3 5 2 5 4" xfId="25388" xr:uid="{3FA5C374-672B-43DB-924F-F8AE5049ACE8}"/>
    <cellStyle name="Comma 3 5 2 6" xfId="9777" xr:uid="{00000000-0005-0000-0000-00009E190000}"/>
    <cellStyle name="Comma 3 5 2 6 2" xfId="21323" xr:uid="{B857AFAD-BE54-43F9-8309-EBFDFE00A5E0}"/>
    <cellStyle name="Comma 3 5 2 6 3" xfId="31739" xr:uid="{4CC8C93C-8A7F-4B19-9B7B-D2A15990E9BB}"/>
    <cellStyle name="Comma 3 5 2 7" xfId="6079" xr:uid="{00000000-0005-0000-0000-00009F190000}"/>
    <cellStyle name="Comma 3 5 2 7 2" xfId="17665" xr:uid="{F7E2F385-87C8-4759-8BAC-36B42D5FDFCA}"/>
    <cellStyle name="Comma 3 5 2 7 3" xfId="28081" xr:uid="{1A837148-412F-400D-B8CD-17D1FCB581E0}"/>
    <cellStyle name="Comma 3 5 2 8" xfId="14963" xr:uid="{23876715-DAB5-498F-9991-A7298555140F}"/>
    <cellStyle name="Comma 3 5 2 9" xfId="25379" xr:uid="{170299B7-1B0F-4E22-98E0-BD51901BB958}"/>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2 2 2" xfId="21336" xr:uid="{08A1397C-6BF5-41EC-BB61-DC4CE5255DBA}"/>
    <cellStyle name="Comma 3 5 3 2 2 2 2 3" xfId="31752" xr:uid="{0702B9DB-DAE5-4E0D-81DC-89BE50FF636F}"/>
    <cellStyle name="Comma 3 5 3 2 2 2 3" xfId="14976" xr:uid="{FDC7C549-6084-475C-ADF2-037FCEAD9CA2}"/>
    <cellStyle name="Comma 3 5 3 2 2 2 4" xfId="25392" xr:uid="{2101E5EB-32CC-4CAF-858E-2AC3024524A2}"/>
    <cellStyle name="Comma 3 5 3 2 2 3" xfId="9789" xr:uid="{00000000-0005-0000-0000-0000A5190000}"/>
    <cellStyle name="Comma 3 5 3 2 2 3 2" xfId="21335" xr:uid="{F94E0E1D-3C76-4877-BBFF-692C1B06BDA4}"/>
    <cellStyle name="Comma 3 5 3 2 2 3 3" xfId="31751" xr:uid="{65613E7C-4B56-4208-AC8B-CAD9B79E3A3D}"/>
    <cellStyle name="Comma 3 5 3 2 2 4" xfId="6086" xr:uid="{00000000-0005-0000-0000-0000A6190000}"/>
    <cellStyle name="Comma 3 5 3 2 2 4 2" xfId="17672" xr:uid="{A35D4E41-A239-4C54-BC3E-3D190DAFC218}"/>
    <cellStyle name="Comma 3 5 3 2 2 4 3" xfId="28088" xr:uid="{69DD1635-474A-44FB-8C24-26B26D79AF0F}"/>
    <cellStyle name="Comma 3 5 3 2 2 5" xfId="14975" xr:uid="{75E901F4-0814-434B-AED2-8EA791B9728F}"/>
    <cellStyle name="Comma 3 5 3 2 2 6" xfId="25391" xr:uid="{9E7D2F2B-9D06-41C5-B4DD-2F327D04974E}"/>
    <cellStyle name="Comma 3 5 3 2 3" xfId="2642" xr:uid="{00000000-0005-0000-0000-0000A7190000}"/>
    <cellStyle name="Comma 3 5 3 2 3 2" xfId="9791" xr:uid="{00000000-0005-0000-0000-0000A8190000}"/>
    <cellStyle name="Comma 3 5 3 2 3 2 2" xfId="21337" xr:uid="{118B5B56-678A-4457-A5A2-3AECFB855699}"/>
    <cellStyle name="Comma 3 5 3 2 3 2 3" xfId="31753" xr:uid="{26B4E117-14AA-4514-A6CE-5B1D137FF1B0}"/>
    <cellStyle name="Comma 3 5 3 2 3 3" xfId="14977" xr:uid="{C96CC224-224E-4F91-8652-2635F52EAE6F}"/>
    <cellStyle name="Comma 3 5 3 2 3 4" xfId="25393" xr:uid="{D7B00C48-0CC4-470A-83BC-5EBE821E06E5}"/>
    <cellStyle name="Comma 3 5 3 2 4" xfId="9788" xr:uid="{00000000-0005-0000-0000-0000A9190000}"/>
    <cellStyle name="Comma 3 5 3 2 4 2" xfId="21334" xr:uid="{9CC8A59D-5227-495E-A07A-9E1CFC79D4A2}"/>
    <cellStyle name="Comma 3 5 3 2 4 3" xfId="31750" xr:uid="{1CCE2F62-D884-4B74-8AD5-1BF67DD3A9AC}"/>
    <cellStyle name="Comma 3 5 3 2 5" xfId="6085" xr:uid="{00000000-0005-0000-0000-0000AA190000}"/>
    <cellStyle name="Comma 3 5 3 2 5 2" xfId="17671" xr:uid="{F452F7C1-63F8-416D-B41F-BC639C719F0B}"/>
    <cellStyle name="Comma 3 5 3 2 5 3" xfId="28087" xr:uid="{A0A668A4-C25C-418A-936B-39EA7D7C2CB3}"/>
    <cellStyle name="Comma 3 5 3 2 6" xfId="14974" xr:uid="{C6CC6111-F36C-4B70-9B4F-09BA8B35C3A9}"/>
    <cellStyle name="Comma 3 5 3 2 7" xfId="25390" xr:uid="{0DCEBBCF-CCAA-4F5C-AF65-95F233EEA676}"/>
    <cellStyle name="Comma 3 5 3 3" xfId="2643" xr:uid="{00000000-0005-0000-0000-0000AB190000}"/>
    <cellStyle name="Comma 3 5 3 3 2" xfId="2644" xr:uid="{00000000-0005-0000-0000-0000AC190000}"/>
    <cellStyle name="Comma 3 5 3 3 2 2" xfId="9793" xr:uid="{00000000-0005-0000-0000-0000AD190000}"/>
    <cellStyle name="Comma 3 5 3 3 2 2 2" xfId="21339" xr:uid="{BBB6482D-384C-4E1A-BD73-FCF95757B2EE}"/>
    <cellStyle name="Comma 3 5 3 3 2 2 3" xfId="31755" xr:uid="{FCEB9CC2-1AD2-46BF-BA6E-7CC9989038B7}"/>
    <cellStyle name="Comma 3 5 3 3 2 3" xfId="14979" xr:uid="{34DBA7E3-4B0C-44A5-94A2-AE23F96F5574}"/>
    <cellStyle name="Comma 3 5 3 3 2 4" xfId="25395" xr:uid="{2887879E-D3AF-4243-9654-52A17A9E2813}"/>
    <cellStyle name="Comma 3 5 3 3 3" xfId="9792" xr:uid="{00000000-0005-0000-0000-0000AE190000}"/>
    <cellStyle name="Comma 3 5 3 3 3 2" xfId="21338" xr:uid="{BF924F8B-5A74-4F61-973C-C6994E1EA4EB}"/>
    <cellStyle name="Comma 3 5 3 3 3 3" xfId="31754" xr:uid="{83FD5538-C147-4F61-9B76-447A1DC5FB80}"/>
    <cellStyle name="Comma 3 5 3 3 4" xfId="6087" xr:uid="{00000000-0005-0000-0000-0000AF190000}"/>
    <cellStyle name="Comma 3 5 3 3 4 2" xfId="17673" xr:uid="{1B466EDD-89B9-46F3-8957-3D02CC190A66}"/>
    <cellStyle name="Comma 3 5 3 3 4 3" xfId="28089" xr:uid="{ECF8EE69-1AA4-476A-B9D7-2739740731F2}"/>
    <cellStyle name="Comma 3 5 3 3 5" xfId="14978" xr:uid="{9DDF9C17-708C-4F16-91E3-35C707C1B9AF}"/>
    <cellStyle name="Comma 3 5 3 3 6" xfId="25394" xr:uid="{5BA54256-713F-4A6F-AA16-8E9263FA7BBC}"/>
    <cellStyle name="Comma 3 5 3 4" xfId="2645" xr:uid="{00000000-0005-0000-0000-0000B0190000}"/>
    <cellStyle name="Comma 3 5 3 4 2" xfId="2646" xr:uid="{00000000-0005-0000-0000-0000B1190000}"/>
    <cellStyle name="Comma 3 5 3 4 2 2" xfId="9795" xr:uid="{00000000-0005-0000-0000-0000B2190000}"/>
    <cellStyle name="Comma 3 5 3 4 2 2 2" xfId="21341" xr:uid="{E74A6BB3-516F-4257-B0CC-A7F932E7FCC6}"/>
    <cellStyle name="Comma 3 5 3 4 2 2 3" xfId="31757" xr:uid="{40A42E37-87AC-4481-B740-7E0AA07431AC}"/>
    <cellStyle name="Comma 3 5 3 4 2 3" xfId="14981" xr:uid="{1C1D14DE-4354-40D6-A5BF-199C2E903E51}"/>
    <cellStyle name="Comma 3 5 3 4 2 4" xfId="25397" xr:uid="{CC68DCB3-3DD7-44BC-B6B9-9D474759BD0C}"/>
    <cellStyle name="Comma 3 5 3 4 3" xfId="9794" xr:uid="{00000000-0005-0000-0000-0000B3190000}"/>
    <cellStyle name="Comma 3 5 3 4 3 2" xfId="21340" xr:uid="{B79EAD78-BA8E-4295-BDFA-1E3F8CDBD827}"/>
    <cellStyle name="Comma 3 5 3 4 3 3" xfId="31756" xr:uid="{F84CFE31-DA5A-499A-AF60-2D8533173A54}"/>
    <cellStyle name="Comma 3 5 3 4 4" xfId="6088" xr:uid="{00000000-0005-0000-0000-0000B4190000}"/>
    <cellStyle name="Comma 3 5 3 4 4 2" xfId="17674" xr:uid="{88D3EDCB-3111-4F86-90D4-A1EC92CACB69}"/>
    <cellStyle name="Comma 3 5 3 4 4 3" xfId="28090" xr:uid="{F0EE2C6B-DD5B-4073-A75A-C8A1BB63F377}"/>
    <cellStyle name="Comma 3 5 3 4 5" xfId="14980" xr:uid="{C9AB338A-C68B-404D-A93F-B1B2DDC27295}"/>
    <cellStyle name="Comma 3 5 3 4 6" xfId="25396" xr:uid="{C09514E7-F1F4-4C8C-A483-642E25369CFA}"/>
    <cellStyle name="Comma 3 5 3 5" xfId="2647" xr:uid="{00000000-0005-0000-0000-0000B5190000}"/>
    <cellStyle name="Comma 3 5 3 5 2" xfId="9796" xr:uid="{00000000-0005-0000-0000-0000B6190000}"/>
    <cellStyle name="Comma 3 5 3 5 2 2" xfId="21342" xr:uid="{68D870A4-AC7E-437F-893E-5BF5D85C2949}"/>
    <cellStyle name="Comma 3 5 3 5 2 3" xfId="31758" xr:uid="{6E8C2C75-39E6-47D3-BA1E-E2CEF9F32E06}"/>
    <cellStyle name="Comma 3 5 3 5 3" xfId="14982" xr:uid="{CAE18D12-C9DB-41E1-BDA6-93FED9012CC8}"/>
    <cellStyle name="Comma 3 5 3 5 4" xfId="25398" xr:uid="{2ADD3C6A-9473-4468-AB65-008DEF5F156D}"/>
    <cellStyle name="Comma 3 5 3 6" xfId="9787" xr:uid="{00000000-0005-0000-0000-0000B7190000}"/>
    <cellStyle name="Comma 3 5 3 6 2" xfId="21333" xr:uid="{E3E5F926-64F7-48DF-8A39-DBAC8F39D886}"/>
    <cellStyle name="Comma 3 5 3 6 3" xfId="31749" xr:uid="{B4D4236A-FE7D-4FA3-BC90-7E5F4EAF5C47}"/>
    <cellStyle name="Comma 3 5 3 7" xfId="6084" xr:uid="{00000000-0005-0000-0000-0000B8190000}"/>
    <cellStyle name="Comma 3 5 3 7 2" xfId="17670" xr:uid="{D065E138-851E-4E92-8F81-2117ECC9D9CA}"/>
    <cellStyle name="Comma 3 5 3 7 3" xfId="28086" xr:uid="{C99674C0-58A4-48D6-8C28-A374BD445813}"/>
    <cellStyle name="Comma 3 5 3 8" xfId="14973" xr:uid="{2EF9B0C4-6C74-4BE0-93AC-7317D6FBC760}"/>
    <cellStyle name="Comma 3 5 3 9" xfId="25389" xr:uid="{967BFC63-2A6C-4541-8EC8-651A3D14B906}"/>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2 2 2" xfId="21346" xr:uid="{F78811F4-7840-4A42-B04B-85034080FF53}"/>
    <cellStyle name="Comma 3 5 4 2 2 2 2 3" xfId="31762" xr:uid="{8AB13549-03CE-4139-91D1-5C2111EE08B8}"/>
    <cellStyle name="Comma 3 5 4 2 2 2 3" xfId="14986" xr:uid="{40B695F3-00ED-47EF-A90F-9460D9F2A7C2}"/>
    <cellStyle name="Comma 3 5 4 2 2 2 4" xfId="25402" xr:uid="{07A04473-ECDC-41CA-A718-06D7D8CAE870}"/>
    <cellStyle name="Comma 3 5 4 2 2 3" xfId="9799" xr:uid="{00000000-0005-0000-0000-0000BE190000}"/>
    <cellStyle name="Comma 3 5 4 2 2 3 2" xfId="21345" xr:uid="{39099D71-D107-4122-AD14-19ADF2E5B8FD}"/>
    <cellStyle name="Comma 3 5 4 2 2 3 3" xfId="31761" xr:uid="{C09A1800-42E0-4C9C-9C0E-2CE66A76D2C8}"/>
    <cellStyle name="Comma 3 5 4 2 2 4" xfId="6091" xr:uid="{00000000-0005-0000-0000-0000BF190000}"/>
    <cellStyle name="Comma 3 5 4 2 2 4 2" xfId="17677" xr:uid="{3076B201-794F-4C14-AC0A-FF2467FCB5A9}"/>
    <cellStyle name="Comma 3 5 4 2 2 4 3" xfId="28093" xr:uid="{1E899E8D-D577-4199-BD40-C0FB97D5D39C}"/>
    <cellStyle name="Comma 3 5 4 2 2 5" xfId="14985" xr:uid="{A5E19312-A354-4ADC-B2B5-0AFB6F9CF2A1}"/>
    <cellStyle name="Comma 3 5 4 2 2 6" xfId="25401" xr:uid="{F2088ACB-A72D-46E0-A495-9A7C03EC3B7A}"/>
    <cellStyle name="Comma 3 5 4 2 3" xfId="2652" xr:uid="{00000000-0005-0000-0000-0000C0190000}"/>
    <cellStyle name="Comma 3 5 4 2 3 2" xfId="9801" xr:uid="{00000000-0005-0000-0000-0000C1190000}"/>
    <cellStyle name="Comma 3 5 4 2 3 2 2" xfId="21347" xr:uid="{64A6BAC3-FD94-4F62-BDBF-E6170D7DC606}"/>
    <cellStyle name="Comma 3 5 4 2 3 2 3" xfId="31763" xr:uid="{93CDAFC3-C53B-4EA2-BC21-B4C2E2DC6BD4}"/>
    <cellStyle name="Comma 3 5 4 2 3 3" xfId="14987" xr:uid="{039B8135-BF17-4BF7-AF4F-0F0BABEE6979}"/>
    <cellStyle name="Comma 3 5 4 2 3 4" xfId="25403" xr:uid="{AA36DD68-379F-46E0-B658-3E0E9175E87C}"/>
    <cellStyle name="Comma 3 5 4 2 4" xfId="9798" xr:uid="{00000000-0005-0000-0000-0000C2190000}"/>
    <cellStyle name="Comma 3 5 4 2 4 2" xfId="21344" xr:uid="{6DC62595-2A57-4E2B-9246-CA66BCEAED58}"/>
    <cellStyle name="Comma 3 5 4 2 4 3" xfId="31760" xr:uid="{B9412981-261A-485D-8992-3A98842125C5}"/>
    <cellStyle name="Comma 3 5 4 2 5" xfId="6090" xr:uid="{00000000-0005-0000-0000-0000C3190000}"/>
    <cellStyle name="Comma 3 5 4 2 5 2" xfId="17676" xr:uid="{FEB91F72-C93C-424D-849C-0E6A84DDB9F5}"/>
    <cellStyle name="Comma 3 5 4 2 5 3" xfId="28092" xr:uid="{A3073772-E09F-445C-8040-D62DCCFCF9DE}"/>
    <cellStyle name="Comma 3 5 4 2 6" xfId="14984" xr:uid="{2CDD2FFA-8CE6-46B2-97DD-CEC00BC846A8}"/>
    <cellStyle name="Comma 3 5 4 2 7" xfId="25400" xr:uid="{9660092D-FFAD-476B-99EF-0B485514029A}"/>
    <cellStyle name="Comma 3 5 4 3" xfId="2653" xr:uid="{00000000-0005-0000-0000-0000C4190000}"/>
    <cellStyle name="Comma 3 5 4 3 2" xfId="2654" xr:uid="{00000000-0005-0000-0000-0000C5190000}"/>
    <cellStyle name="Comma 3 5 4 3 2 2" xfId="9803" xr:uid="{00000000-0005-0000-0000-0000C6190000}"/>
    <cellStyle name="Comma 3 5 4 3 2 2 2" xfId="21349" xr:uid="{026C3C09-A101-4A91-B44C-1628A6FB79BF}"/>
    <cellStyle name="Comma 3 5 4 3 2 2 3" xfId="31765" xr:uid="{31D7F901-AE97-49B4-9DE2-3EA7A5E73ADE}"/>
    <cellStyle name="Comma 3 5 4 3 2 3" xfId="14989" xr:uid="{2A9F2692-363F-49E5-BEDC-F2B59D383560}"/>
    <cellStyle name="Comma 3 5 4 3 2 4" xfId="25405" xr:uid="{4C399721-02C4-47C9-9B88-FA5BB9D423E2}"/>
    <cellStyle name="Comma 3 5 4 3 3" xfId="9802" xr:uid="{00000000-0005-0000-0000-0000C7190000}"/>
    <cellStyle name="Comma 3 5 4 3 3 2" xfId="21348" xr:uid="{C55CD264-BE15-4922-8F45-9CB5C442645A}"/>
    <cellStyle name="Comma 3 5 4 3 3 3" xfId="31764" xr:uid="{ABA076E7-4ACB-402A-9860-F03BC4EFA7BC}"/>
    <cellStyle name="Comma 3 5 4 3 4" xfId="6092" xr:uid="{00000000-0005-0000-0000-0000C8190000}"/>
    <cellStyle name="Comma 3 5 4 3 4 2" xfId="17678" xr:uid="{848E021C-5501-447F-9C9C-CC3C9FB209D2}"/>
    <cellStyle name="Comma 3 5 4 3 4 3" xfId="28094" xr:uid="{05E11406-6BE2-4D04-A95D-23DA2D78B2EB}"/>
    <cellStyle name="Comma 3 5 4 3 5" xfId="14988" xr:uid="{B0F3A83B-BE63-409A-8677-308A7494D161}"/>
    <cellStyle name="Comma 3 5 4 3 6" xfId="25404" xr:uid="{76896740-3141-4473-8185-CDAD134ABF4F}"/>
    <cellStyle name="Comma 3 5 4 4" xfId="2655" xr:uid="{00000000-0005-0000-0000-0000C9190000}"/>
    <cellStyle name="Comma 3 5 4 4 2" xfId="2656" xr:uid="{00000000-0005-0000-0000-0000CA190000}"/>
    <cellStyle name="Comma 3 5 4 4 2 2" xfId="9805" xr:uid="{00000000-0005-0000-0000-0000CB190000}"/>
    <cellStyle name="Comma 3 5 4 4 2 2 2" xfId="21351" xr:uid="{41565A26-E660-41E5-BB7F-C508A62ABADC}"/>
    <cellStyle name="Comma 3 5 4 4 2 2 3" xfId="31767" xr:uid="{0AC3CD06-BE8B-4EE3-A38F-5E99704D20DC}"/>
    <cellStyle name="Comma 3 5 4 4 2 3" xfId="14991" xr:uid="{5A63497E-A60E-49F5-BD0E-10C4B4562A79}"/>
    <cellStyle name="Comma 3 5 4 4 2 4" xfId="25407" xr:uid="{FA7F9F40-C72E-4336-98CB-9B774B453230}"/>
    <cellStyle name="Comma 3 5 4 4 3" xfId="9804" xr:uid="{00000000-0005-0000-0000-0000CC190000}"/>
    <cellStyle name="Comma 3 5 4 4 3 2" xfId="21350" xr:uid="{3BBC3B8D-FA2F-4A2A-89B7-36D19B9295DE}"/>
    <cellStyle name="Comma 3 5 4 4 3 3" xfId="31766" xr:uid="{279CD07A-80EF-490D-93B1-DDFEEAD84359}"/>
    <cellStyle name="Comma 3 5 4 4 4" xfId="6093" xr:uid="{00000000-0005-0000-0000-0000CD190000}"/>
    <cellStyle name="Comma 3 5 4 4 4 2" xfId="17679" xr:uid="{4D7B26DD-2CD2-42F7-8F9F-D1B6122E7F9B}"/>
    <cellStyle name="Comma 3 5 4 4 4 3" xfId="28095" xr:uid="{B4132059-C395-46CD-934A-BA566C95FA81}"/>
    <cellStyle name="Comma 3 5 4 4 5" xfId="14990" xr:uid="{D7F37783-417A-4D67-ADF4-D65B7A747E65}"/>
    <cellStyle name="Comma 3 5 4 4 6" xfId="25406" xr:uid="{DE670E22-8305-4EF4-AC21-46E1A100EA5F}"/>
    <cellStyle name="Comma 3 5 4 5" xfId="2657" xr:uid="{00000000-0005-0000-0000-0000CE190000}"/>
    <cellStyle name="Comma 3 5 4 5 2" xfId="9806" xr:uid="{00000000-0005-0000-0000-0000CF190000}"/>
    <cellStyle name="Comma 3 5 4 5 2 2" xfId="21352" xr:uid="{0EE0A12E-54DF-4429-B94E-BB89BC89804D}"/>
    <cellStyle name="Comma 3 5 4 5 2 3" xfId="31768" xr:uid="{F7B5F2A2-0118-48DA-BB5B-8E452D9FD1AF}"/>
    <cellStyle name="Comma 3 5 4 5 3" xfId="14992" xr:uid="{B482CE74-CD72-4AC1-AAC9-DD6984A3305D}"/>
    <cellStyle name="Comma 3 5 4 5 4" xfId="25408" xr:uid="{6DB893BA-DF38-4FBA-A754-CC04A9C1ED8C}"/>
    <cellStyle name="Comma 3 5 4 6" xfId="9797" xr:uid="{00000000-0005-0000-0000-0000D0190000}"/>
    <cellStyle name="Comma 3 5 4 6 2" xfId="21343" xr:uid="{1B705236-ED87-492B-BA26-71F66CA6E429}"/>
    <cellStyle name="Comma 3 5 4 6 3" xfId="31759" xr:uid="{9EDA2D15-DD65-4B08-BF13-B572168C7DB4}"/>
    <cellStyle name="Comma 3 5 4 7" xfId="6089" xr:uid="{00000000-0005-0000-0000-0000D1190000}"/>
    <cellStyle name="Comma 3 5 4 7 2" xfId="17675" xr:uid="{45D3121C-0B8A-4F24-BEE1-FB11E0DBAAC1}"/>
    <cellStyle name="Comma 3 5 4 7 3" xfId="28091" xr:uid="{BECE8549-97FA-4344-A8A3-F6414C6F5E66}"/>
    <cellStyle name="Comma 3 5 4 8" xfId="14983" xr:uid="{1B254383-E789-44F5-BFFA-05214FADABBE}"/>
    <cellStyle name="Comma 3 5 4 9" xfId="25399" xr:uid="{C4B09BAF-EF04-4D8A-B3AF-6281E20521DA}"/>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2 2 2" xfId="21356" xr:uid="{959B33A2-C755-4DD4-8105-0E5B7B5CC7C8}"/>
    <cellStyle name="Comma 3 5 5 2 2 2 2 3" xfId="31772" xr:uid="{3512619F-13DA-4EBF-859B-C89177271F71}"/>
    <cellStyle name="Comma 3 5 5 2 2 2 3" xfId="14996" xr:uid="{B81E2F43-4CAC-4C6A-BD97-2670076E518C}"/>
    <cellStyle name="Comma 3 5 5 2 2 2 4" xfId="25412" xr:uid="{19346B12-B03D-4F01-9625-04A51F2CB679}"/>
    <cellStyle name="Comma 3 5 5 2 2 3" xfId="9809" xr:uid="{00000000-0005-0000-0000-0000D7190000}"/>
    <cellStyle name="Comma 3 5 5 2 2 3 2" xfId="21355" xr:uid="{BD1D9DDD-3DAD-4F19-9C7F-AACB15418E26}"/>
    <cellStyle name="Comma 3 5 5 2 2 3 3" xfId="31771" xr:uid="{EE41B9B3-2239-4C97-BB63-C2255A4CC259}"/>
    <cellStyle name="Comma 3 5 5 2 2 4" xfId="6096" xr:uid="{00000000-0005-0000-0000-0000D8190000}"/>
    <cellStyle name="Comma 3 5 5 2 2 4 2" xfId="17682" xr:uid="{3555BE18-6D21-4AA1-AE01-C1A2DE9E5BD4}"/>
    <cellStyle name="Comma 3 5 5 2 2 4 3" xfId="28098" xr:uid="{EEA4A811-FB35-4F7D-BA57-59914D10B03D}"/>
    <cellStyle name="Comma 3 5 5 2 2 5" xfId="14995" xr:uid="{27F86BDF-82B5-464E-992A-B982FB6B78D1}"/>
    <cellStyle name="Comma 3 5 5 2 2 6" xfId="25411" xr:uid="{89136479-D48E-4DBC-962D-27C7BE9DDC6F}"/>
    <cellStyle name="Comma 3 5 5 2 3" xfId="2662" xr:uid="{00000000-0005-0000-0000-0000D9190000}"/>
    <cellStyle name="Comma 3 5 5 2 3 2" xfId="9811" xr:uid="{00000000-0005-0000-0000-0000DA190000}"/>
    <cellStyle name="Comma 3 5 5 2 3 2 2" xfId="21357" xr:uid="{EBA7622E-4D18-4A0A-98AE-DFB13E005424}"/>
    <cellStyle name="Comma 3 5 5 2 3 2 3" xfId="31773" xr:uid="{CBAC58E3-AC72-419E-ABC6-CA5DFEC36722}"/>
    <cellStyle name="Comma 3 5 5 2 3 3" xfId="14997" xr:uid="{6A577A2B-C37A-4A9D-BCCE-68C7F49B2FF6}"/>
    <cellStyle name="Comma 3 5 5 2 3 4" xfId="25413" xr:uid="{C9845DDD-89ED-4C08-B9EB-C6E73E1F713F}"/>
    <cellStyle name="Comma 3 5 5 2 4" xfId="9808" xr:uid="{00000000-0005-0000-0000-0000DB190000}"/>
    <cellStyle name="Comma 3 5 5 2 4 2" xfId="21354" xr:uid="{9BB6D648-7E70-4D66-84FC-FDBB21A289B9}"/>
    <cellStyle name="Comma 3 5 5 2 4 3" xfId="31770" xr:uid="{62CBE5A0-6C2B-4164-94B7-AF7BFD474686}"/>
    <cellStyle name="Comma 3 5 5 2 5" xfId="6095" xr:uid="{00000000-0005-0000-0000-0000DC190000}"/>
    <cellStyle name="Comma 3 5 5 2 5 2" xfId="17681" xr:uid="{B03581D4-BF87-4F2C-AB4A-14969611D20C}"/>
    <cellStyle name="Comma 3 5 5 2 5 3" xfId="28097" xr:uid="{9654A69C-965A-4F69-8B2D-AD154A4870E7}"/>
    <cellStyle name="Comma 3 5 5 2 6" xfId="14994" xr:uid="{9CB04026-28C9-499E-A0BD-9DF7B7E85647}"/>
    <cellStyle name="Comma 3 5 5 2 7" xfId="25410" xr:uid="{84A378AE-F9E4-4AD6-A541-743C6A750A8C}"/>
    <cellStyle name="Comma 3 5 5 3" xfId="2663" xr:uid="{00000000-0005-0000-0000-0000DD190000}"/>
    <cellStyle name="Comma 3 5 5 3 2" xfId="2664" xr:uid="{00000000-0005-0000-0000-0000DE190000}"/>
    <cellStyle name="Comma 3 5 5 3 2 2" xfId="9813" xr:uid="{00000000-0005-0000-0000-0000DF190000}"/>
    <cellStyle name="Comma 3 5 5 3 2 2 2" xfId="21359" xr:uid="{7C3CCD91-3B9E-4178-A43F-D9AC1A05B3D0}"/>
    <cellStyle name="Comma 3 5 5 3 2 2 3" xfId="31775" xr:uid="{D75E9EA8-5782-41F5-9EA2-AECC3D2F127D}"/>
    <cellStyle name="Comma 3 5 5 3 2 3" xfId="14999" xr:uid="{7A074A16-943E-484E-87C4-BE7F4E4E4E47}"/>
    <cellStyle name="Comma 3 5 5 3 2 4" xfId="25415" xr:uid="{D61808FE-206C-4F0D-8DDE-5C449C7E70BB}"/>
    <cellStyle name="Comma 3 5 5 3 3" xfId="9812" xr:uid="{00000000-0005-0000-0000-0000E0190000}"/>
    <cellStyle name="Comma 3 5 5 3 3 2" xfId="21358" xr:uid="{8CD7AB6C-31F2-498A-BD45-2C17C0D2B32F}"/>
    <cellStyle name="Comma 3 5 5 3 3 3" xfId="31774" xr:uid="{99CB9975-0423-4A39-A99E-1755775F9EAC}"/>
    <cellStyle name="Comma 3 5 5 3 4" xfId="6097" xr:uid="{00000000-0005-0000-0000-0000E1190000}"/>
    <cellStyle name="Comma 3 5 5 3 4 2" xfId="17683" xr:uid="{D0418A2B-F18E-462D-B0E9-1AF32EEA76EF}"/>
    <cellStyle name="Comma 3 5 5 3 4 3" xfId="28099" xr:uid="{7C203C72-2FAA-4CD8-A7EC-4A88780DED1B}"/>
    <cellStyle name="Comma 3 5 5 3 5" xfId="14998" xr:uid="{E2CCB59A-44E7-4CF3-9C8C-492FEF484072}"/>
    <cellStyle name="Comma 3 5 5 3 6" xfId="25414" xr:uid="{C840E82B-CF0F-48E4-8CEE-B0A22BC4EBE2}"/>
    <cellStyle name="Comma 3 5 5 4" xfId="2665" xr:uid="{00000000-0005-0000-0000-0000E2190000}"/>
    <cellStyle name="Comma 3 5 5 4 2" xfId="2666" xr:uid="{00000000-0005-0000-0000-0000E3190000}"/>
    <cellStyle name="Comma 3 5 5 4 2 2" xfId="9815" xr:uid="{00000000-0005-0000-0000-0000E4190000}"/>
    <cellStyle name="Comma 3 5 5 4 2 2 2" xfId="21361" xr:uid="{C7A1CCF3-3071-4BD1-AE34-A3004E68BAD2}"/>
    <cellStyle name="Comma 3 5 5 4 2 2 3" xfId="31777" xr:uid="{D6C92368-2703-4C0D-AF71-75313FF5436F}"/>
    <cellStyle name="Comma 3 5 5 4 2 3" xfId="15001" xr:uid="{D795AEE4-BB94-4244-9211-569F18897AD2}"/>
    <cellStyle name="Comma 3 5 5 4 2 4" xfId="25417" xr:uid="{42501366-2382-4DE4-9DE6-6AC38BB4C51E}"/>
    <cellStyle name="Comma 3 5 5 4 3" xfId="9814" xr:uid="{00000000-0005-0000-0000-0000E5190000}"/>
    <cellStyle name="Comma 3 5 5 4 3 2" xfId="21360" xr:uid="{89F070E0-C627-4B9E-ADE7-18B6C1DA499E}"/>
    <cellStyle name="Comma 3 5 5 4 3 3" xfId="31776" xr:uid="{E2B1B1AC-D8A1-48E9-8DE0-0548B6D59850}"/>
    <cellStyle name="Comma 3 5 5 4 4" xfId="6098" xr:uid="{00000000-0005-0000-0000-0000E6190000}"/>
    <cellStyle name="Comma 3 5 5 4 4 2" xfId="17684" xr:uid="{02F3DBE0-6B67-45FA-8B0B-9AEF88BFD5FC}"/>
    <cellStyle name="Comma 3 5 5 4 4 3" xfId="28100" xr:uid="{5AD373B6-8F96-4601-950B-F4E630E2E035}"/>
    <cellStyle name="Comma 3 5 5 4 5" xfId="15000" xr:uid="{2B7588BC-D0DD-4A92-B4CF-A9A0D2BF2990}"/>
    <cellStyle name="Comma 3 5 5 4 6" xfId="25416" xr:uid="{98388967-20C1-40FC-B26F-E5CD8E52F320}"/>
    <cellStyle name="Comma 3 5 5 5" xfId="2667" xr:uid="{00000000-0005-0000-0000-0000E7190000}"/>
    <cellStyle name="Comma 3 5 5 5 2" xfId="9816" xr:uid="{00000000-0005-0000-0000-0000E8190000}"/>
    <cellStyle name="Comma 3 5 5 5 2 2" xfId="21362" xr:uid="{13552183-7441-44E5-88D5-25ABD8202094}"/>
    <cellStyle name="Comma 3 5 5 5 2 3" xfId="31778" xr:uid="{CFCF85EF-E946-43F3-BD04-9237289C0687}"/>
    <cellStyle name="Comma 3 5 5 5 3" xfId="15002" xr:uid="{9AA8B97B-3D43-4BCA-95EA-7FA13C537EF0}"/>
    <cellStyle name="Comma 3 5 5 5 4" xfId="25418" xr:uid="{CC7B4A89-2520-4348-972D-E486C0A138BC}"/>
    <cellStyle name="Comma 3 5 5 6" xfId="9807" xr:uid="{00000000-0005-0000-0000-0000E9190000}"/>
    <cellStyle name="Comma 3 5 5 6 2" xfId="21353" xr:uid="{236414AF-CA01-47CB-99B0-5E0B060D3414}"/>
    <cellStyle name="Comma 3 5 5 6 3" xfId="31769" xr:uid="{79573C87-EF8E-48E5-BBE2-FE36FFB87BF8}"/>
    <cellStyle name="Comma 3 5 5 7" xfId="6094" xr:uid="{00000000-0005-0000-0000-0000EA190000}"/>
    <cellStyle name="Comma 3 5 5 7 2" xfId="17680" xr:uid="{6C4E028B-9115-4F41-B484-52864F287546}"/>
    <cellStyle name="Comma 3 5 5 7 3" xfId="28096" xr:uid="{5638F761-192B-48BF-AF92-AEA998C141C9}"/>
    <cellStyle name="Comma 3 5 5 8" xfId="14993" xr:uid="{0A7BEA9E-E726-47B3-B69C-60F56F8008CD}"/>
    <cellStyle name="Comma 3 5 5 9" xfId="25409" xr:uid="{2DA38A4E-69BC-4615-8DAD-967D25AA2E8A}"/>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2 2 2" xfId="21365" xr:uid="{48385245-0D66-474E-A2A1-BC593C89BF1F}"/>
    <cellStyle name="Comma 3 5 6 2 2 2 3" xfId="31781" xr:uid="{27EEBCA5-3706-475F-8CCE-66F482F004C4}"/>
    <cellStyle name="Comma 3 5 6 2 2 3" xfId="15005" xr:uid="{E27D0783-B40E-4B8A-AF6B-45C1236EA84A}"/>
    <cellStyle name="Comma 3 5 6 2 2 4" xfId="25421" xr:uid="{F91AFD41-EEBB-4761-94FD-C7882F2510E9}"/>
    <cellStyle name="Comma 3 5 6 2 3" xfId="9818" xr:uid="{00000000-0005-0000-0000-0000EF190000}"/>
    <cellStyle name="Comma 3 5 6 2 3 2" xfId="21364" xr:uid="{04EF0F2C-ED1F-4A42-A4CF-DB8E9B84306F}"/>
    <cellStyle name="Comma 3 5 6 2 3 3" xfId="31780" xr:uid="{EEEC0B5D-95EA-407F-9FB0-BC5DADE0F64E}"/>
    <cellStyle name="Comma 3 5 6 2 4" xfId="6100" xr:uid="{00000000-0005-0000-0000-0000F0190000}"/>
    <cellStyle name="Comma 3 5 6 2 4 2" xfId="17686" xr:uid="{F980C783-2D73-4B16-AD54-35E8C6B8D4B0}"/>
    <cellStyle name="Comma 3 5 6 2 4 3" xfId="28102" xr:uid="{8824823F-F793-4CF7-844C-7111CB8786B9}"/>
    <cellStyle name="Comma 3 5 6 2 5" xfId="15004" xr:uid="{B5C314A8-F9CF-4959-840E-C31E9AD2A379}"/>
    <cellStyle name="Comma 3 5 6 2 6" xfId="25420" xr:uid="{353598DD-9066-4798-BF30-DEA7DABBBB59}"/>
    <cellStyle name="Comma 3 5 6 3" xfId="2671" xr:uid="{00000000-0005-0000-0000-0000F1190000}"/>
    <cellStyle name="Comma 3 5 6 3 2" xfId="2672" xr:uid="{00000000-0005-0000-0000-0000F2190000}"/>
    <cellStyle name="Comma 3 5 6 3 2 2" xfId="9821" xr:uid="{00000000-0005-0000-0000-0000F3190000}"/>
    <cellStyle name="Comma 3 5 6 3 2 2 2" xfId="21367" xr:uid="{13D24677-5C27-4815-BD57-78658765CEBF}"/>
    <cellStyle name="Comma 3 5 6 3 2 2 3" xfId="31783" xr:uid="{9511F9D0-2F66-4F95-B264-6D139952888F}"/>
    <cellStyle name="Comma 3 5 6 3 2 3" xfId="15007" xr:uid="{CE9D18CC-8937-4115-A190-6FFB9E9E10E0}"/>
    <cellStyle name="Comma 3 5 6 3 2 4" xfId="25423" xr:uid="{4BCD184B-285E-4C16-97E7-99AF44B37D98}"/>
    <cellStyle name="Comma 3 5 6 3 3" xfId="9820" xr:uid="{00000000-0005-0000-0000-0000F4190000}"/>
    <cellStyle name="Comma 3 5 6 3 3 2" xfId="21366" xr:uid="{AFA59C96-1366-4C80-BAB1-465FB137983B}"/>
    <cellStyle name="Comma 3 5 6 3 3 3" xfId="31782" xr:uid="{2ECFA4EB-6F49-4A32-84D0-B58D425AE1F1}"/>
    <cellStyle name="Comma 3 5 6 3 4" xfId="6101" xr:uid="{00000000-0005-0000-0000-0000F5190000}"/>
    <cellStyle name="Comma 3 5 6 3 4 2" xfId="17687" xr:uid="{BBDA4800-4A82-4CEE-A0F3-76656DFFCD12}"/>
    <cellStyle name="Comma 3 5 6 3 4 3" xfId="28103" xr:uid="{1044D5CB-4AD4-4BE5-924C-22E4072C1380}"/>
    <cellStyle name="Comma 3 5 6 3 5" xfId="15006" xr:uid="{F0A27394-65BD-4A1A-9E7E-688E49B8AE3C}"/>
    <cellStyle name="Comma 3 5 6 3 6" xfId="25422" xr:uid="{5BF9E0C6-7D30-4E3D-BA5F-6C4360FA3B23}"/>
    <cellStyle name="Comma 3 5 6 4" xfId="2673" xr:uid="{00000000-0005-0000-0000-0000F6190000}"/>
    <cellStyle name="Comma 3 5 6 4 2" xfId="9822" xr:uid="{00000000-0005-0000-0000-0000F7190000}"/>
    <cellStyle name="Comma 3 5 6 4 2 2" xfId="21368" xr:uid="{F4294B2C-42C4-4286-813E-B725A773DE75}"/>
    <cellStyle name="Comma 3 5 6 4 2 3" xfId="31784" xr:uid="{AC5FDA74-F850-428F-A973-5397FD684E4F}"/>
    <cellStyle name="Comma 3 5 6 4 3" xfId="15008" xr:uid="{0F0A90C3-83E6-4336-8A43-8C8F727FDFCF}"/>
    <cellStyle name="Comma 3 5 6 4 4" xfId="25424" xr:uid="{FC14FEE7-C321-4709-B8B8-158C6F2E29A6}"/>
    <cellStyle name="Comma 3 5 6 5" xfId="9817" xr:uid="{00000000-0005-0000-0000-0000F8190000}"/>
    <cellStyle name="Comma 3 5 6 5 2" xfId="21363" xr:uid="{1D050901-0B0E-4558-B13D-02CED35F19E1}"/>
    <cellStyle name="Comma 3 5 6 5 3" xfId="31779" xr:uid="{E69AD769-8839-40D0-B35D-B5C44D62FEC2}"/>
    <cellStyle name="Comma 3 5 6 6" xfId="6099" xr:uid="{00000000-0005-0000-0000-0000F9190000}"/>
    <cellStyle name="Comma 3 5 6 6 2" xfId="17685" xr:uid="{34EDE165-822C-4FAB-98A2-9EC686833E74}"/>
    <cellStyle name="Comma 3 5 6 6 3" xfId="28101" xr:uid="{69B2EDAE-7389-46F9-96EE-DEFB7B4FB65B}"/>
    <cellStyle name="Comma 3 5 6 7" xfId="15003" xr:uid="{D222BEF0-9437-414F-823D-1B652399B2F1}"/>
    <cellStyle name="Comma 3 5 6 8" xfId="25419" xr:uid="{DE5EC928-072F-4F64-AE7A-5435C01F3E2D}"/>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2 2 2" xfId="21371" xr:uid="{06C2E8ED-80FF-4E6D-AAE3-738A1EA855F8}"/>
    <cellStyle name="Comma 3 5 7 2 2 2 3" xfId="31787" xr:uid="{608F9434-5300-461B-AE5B-2C7133353603}"/>
    <cellStyle name="Comma 3 5 7 2 2 3" xfId="15011" xr:uid="{C393B193-A429-478D-A196-A45DBEDC24A3}"/>
    <cellStyle name="Comma 3 5 7 2 2 4" xfId="25427" xr:uid="{52CEFAD8-0B5E-477F-8AFD-36F362A3637C}"/>
    <cellStyle name="Comma 3 5 7 2 3" xfId="9824" xr:uid="{00000000-0005-0000-0000-0000FE190000}"/>
    <cellStyle name="Comma 3 5 7 2 3 2" xfId="21370" xr:uid="{40038466-FA1E-4DE9-BF60-C1560702804D}"/>
    <cellStyle name="Comma 3 5 7 2 3 3" xfId="31786" xr:uid="{7908CED6-2C52-4A56-9090-4A2703AE9782}"/>
    <cellStyle name="Comma 3 5 7 2 4" xfId="6103" xr:uid="{00000000-0005-0000-0000-0000FF190000}"/>
    <cellStyle name="Comma 3 5 7 2 4 2" xfId="17689" xr:uid="{AFA67E85-ADD5-4ADD-B963-AA4198CA9C0E}"/>
    <cellStyle name="Comma 3 5 7 2 4 3" xfId="28105" xr:uid="{617D79F2-BA2C-490F-B0A9-ACF7AA1208C2}"/>
    <cellStyle name="Comma 3 5 7 2 5" xfId="15010" xr:uid="{F6D0A519-F999-4E5A-8371-DB1AF5F7118C}"/>
    <cellStyle name="Comma 3 5 7 2 6" xfId="25426" xr:uid="{7C4C235E-55A2-4E3F-9D3F-0DE5FC9E2374}"/>
    <cellStyle name="Comma 3 5 7 3" xfId="2677" xr:uid="{00000000-0005-0000-0000-0000001A0000}"/>
    <cellStyle name="Comma 3 5 7 3 2" xfId="9826" xr:uid="{00000000-0005-0000-0000-0000011A0000}"/>
    <cellStyle name="Comma 3 5 7 3 2 2" xfId="21372" xr:uid="{95ADA67A-B670-44BC-89BE-6CDAD0B62146}"/>
    <cellStyle name="Comma 3 5 7 3 2 3" xfId="31788" xr:uid="{51942261-80BF-47D0-96E4-D852C5683F89}"/>
    <cellStyle name="Comma 3 5 7 3 3" xfId="15012" xr:uid="{1515A0AA-A8D4-4860-B1D7-1721A0E7126E}"/>
    <cellStyle name="Comma 3 5 7 3 4" xfId="25428" xr:uid="{D679AD6F-E8F7-473B-9587-6FABBD8A4FD7}"/>
    <cellStyle name="Comma 3 5 7 4" xfId="9823" xr:uid="{00000000-0005-0000-0000-0000021A0000}"/>
    <cellStyle name="Comma 3 5 7 4 2" xfId="21369" xr:uid="{5CA3DD0B-8F40-44CE-A1C8-DCBEF31ADFBA}"/>
    <cellStyle name="Comma 3 5 7 4 3" xfId="31785" xr:uid="{830E9BC3-C5A2-48C7-AA69-85F43C516710}"/>
    <cellStyle name="Comma 3 5 7 5" xfId="6102" xr:uid="{00000000-0005-0000-0000-0000031A0000}"/>
    <cellStyle name="Comma 3 5 7 5 2" xfId="17688" xr:uid="{E6073A15-98AC-412C-9BD4-B0F43619810D}"/>
    <cellStyle name="Comma 3 5 7 5 3" xfId="28104" xr:uid="{9C13CCEA-0391-4ED0-9609-ABED4F1EA16A}"/>
    <cellStyle name="Comma 3 5 7 6" xfId="15009" xr:uid="{21303A7F-4148-4285-84D7-1029226B6CA6}"/>
    <cellStyle name="Comma 3 5 7 7" xfId="25425" xr:uid="{4783E03F-063C-4D37-BD2D-8502A979DD57}"/>
    <cellStyle name="Comma 3 5 8" xfId="2678" xr:uid="{00000000-0005-0000-0000-0000041A0000}"/>
    <cellStyle name="Comma 3 5 8 2" xfId="2679" xr:uid="{00000000-0005-0000-0000-0000051A0000}"/>
    <cellStyle name="Comma 3 5 8 2 2" xfId="9828" xr:uid="{00000000-0005-0000-0000-0000061A0000}"/>
    <cellStyle name="Comma 3 5 8 2 2 2" xfId="21374" xr:uid="{D2A6D0B4-C0A5-4489-B47C-40CB9D9DDF41}"/>
    <cellStyle name="Comma 3 5 8 2 2 3" xfId="31790" xr:uid="{FAFF353A-5AA5-4554-81C1-A7BC9E0FC401}"/>
    <cellStyle name="Comma 3 5 8 2 3" xfId="15014" xr:uid="{2FF03D73-1A9A-41CB-9E5A-D8224C7B8D95}"/>
    <cellStyle name="Comma 3 5 8 2 4" xfId="25430" xr:uid="{1B16D6A5-7EB7-4506-8340-E8FFB17C860C}"/>
    <cellStyle name="Comma 3 5 8 3" xfId="9827" xr:uid="{00000000-0005-0000-0000-0000071A0000}"/>
    <cellStyle name="Comma 3 5 8 3 2" xfId="21373" xr:uid="{BD1DFE57-33A6-4285-8D55-B8C59883F9C6}"/>
    <cellStyle name="Comma 3 5 8 3 3" xfId="31789" xr:uid="{87D8D1B8-E1DC-4946-B196-EC5EA56543D8}"/>
    <cellStyle name="Comma 3 5 8 4" xfId="6104" xr:uid="{00000000-0005-0000-0000-0000081A0000}"/>
    <cellStyle name="Comma 3 5 8 4 2" xfId="17690" xr:uid="{F8C62468-86BA-4CE5-97C3-11B0F2311503}"/>
    <cellStyle name="Comma 3 5 8 4 3" xfId="28106" xr:uid="{3E9BF634-CCC6-46D3-BF41-08E82F9A206A}"/>
    <cellStyle name="Comma 3 5 8 5" xfId="15013" xr:uid="{39D227A8-7B17-4D98-867E-3D97EF8B2D12}"/>
    <cellStyle name="Comma 3 5 8 6" xfId="25429" xr:uid="{B3E5E0F1-0924-442C-8992-F1C552BBF5C2}"/>
    <cellStyle name="Comma 3 5 9" xfId="2680" xr:uid="{00000000-0005-0000-0000-0000091A0000}"/>
    <cellStyle name="Comma 3 5 9 2" xfId="2681" xr:uid="{00000000-0005-0000-0000-00000A1A0000}"/>
    <cellStyle name="Comma 3 5 9 2 2" xfId="9830" xr:uid="{00000000-0005-0000-0000-00000B1A0000}"/>
    <cellStyle name="Comma 3 5 9 2 2 2" xfId="21376" xr:uid="{B7B61B50-A655-4068-8AF7-AD517352A5DB}"/>
    <cellStyle name="Comma 3 5 9 2 2 3" xfId="31792" xr:uid="{850DF813-A629-490E-A8DC-69002D3B55A4}"/>
    <cellStyle name="Comma 3 5 9 2 3" xfId="15016" xr:uid="{91298DED-2C1D-4DD1-A027-13651D8D89E0}"/>
    <cellStyle name="Comma 3 5 9 2 4" xfId="25432" xr:uid="{01D27F55-8530-4FD6-AF30-9BBB73EFFA0E}"/>
    <cellStyle name="Comma 3 5 9 3" xfId="9829" xr:uid="{00000000-0005-0000-0000-00000C1A0000}"/>
    <cellStyle name="Comma 3 5 9 3 2" xfId="21375" xr:uid="{585B20E8-B93F-4377-8455-D3DE70A4C6FC}"/>
    <cellStyle name="Comma 3 5 9 3 3" xfId="31791" xr:uid="{228F71C5-42D7-42A1-8B61-B77C053C6F6E}"/>
    <cellStyle name="Comma 3 5 9 4" xfId="6105" xr:uid="{00000000-0005-0000-0000-00000D1A0000}"/>
    <cellStyle name="Comma 3 5 9 4 2" xfId="17691" xr:uid="{32888C83-5CC5-4ECE-87B6-7503D98A712A}"/>
    <cellStyle name="Comma 3 5 9 4 3" xfId="28107" xr:uid="{2D556D7F-8DD1-4C2C-818C-D59BB88E9D69}"/>
    <cellStyle name="Comma 3 5 9 5" xfId="15015" xr:uid="{3F2F86A4-BCFD-4B97-BBDD-43C69AD8717C}"/>
    <cellStyle name="Comma 3 5 9 6" xfId="25431" xr:uid="{265BE573-814A-45F6-AE46-FFF76AB28931}"/>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2 2 2" xfId="21380" xr:uid="{2FE56551-9E70-49CF-BABC-E750044F11B8}"/>
    <cellStyle name="Comma 3 6 2 2 2 2 3" xfId="31796" xr:uid="{A736D370-BE10-4E4B-972A-E6A4502806B4}"/>
    <cellStyle name="Comma 3 6 2 2 2 3" xfId="15020" xr:uid="{BFECB8D4-8023-4E42-9505-CE65A18693B3}"/>
    <cellStyle name="Comma 3 6 2 2 2 4" xfId="25436" xr:uid="{2D66E224-EDE7-4B1B-B50A-CC4C2D2BAFE8}"/>
    <cellStyle name="Comma 3 6 2 2 3" xfId="9833" xr:uid="{00000000-0005-0000-0000-0000131A0000}"/>
    <cellStyle name="Comma 3 6 2 2 3 2" xfId="21379" xr:uid="{442B68EC-6D57-4339-84D8-1FDB1C606D1A}"/>
    <cellStyle name="Comma 3 6 2 2 3 3" xfId="31795" xr:uid="{1044DE4A-D455-465E-A861-3E8DD5BFF129}"/>
    <cellStyle name="Comma 3 6 2 2 4" xfId="6108" xr:uid="{00000000-0005-0000-0000-0000141A0000}"/>
    <cellStyle name="Comma 3 6 2 2 4 2" xfId="17694" xr:uid="{8537591F-664D-4840-B711-E7093D95CC4F}"/>
    <cellStyle name="Comma 3 6 2 2 4 3" xfId="28110" xr:uid="{C1F64946-2139-4BDC-9061-4A6873489B38}"/>
    <cellStyle name="Comma 3 6 2 2 5" xfId="15019" xr:uid="{18D1C38B-FAD2-4DFD-A893-5157CDD703D5}"/>
    <cellStyle name="Comma 3 6 2 2 6" xfId="25435" xr:uid="{A0D4F586-9402-4D81-AA5B-B8F6F2988A0E}"/>
    <cellStyle name="Comma 3 6 2 3" xfId="2686" xr:uid="{00000000-0005-0000-0000-0000151A0000}"/>
    <cellStyle name="Comma 3 6 2 3 2" xfId="9835" xr:uid="{00000000-0005-0000-0000-0000161A0000}"/>
    <cellStyle name="Comma 3 6 2 3 2 2" xfId="21381" xr:uid="{B468A5F0-D921-401C-A0F4-B0E758F83DB8}"/>
    <cellStyle name="Comma 3 6 2 3 2 3" xfId="31797" xr:uid="{81C1BF2E-C90A-4085-AC1E-F8EFD86DBF5B}"/>
    <cellStyle name="Comma 3 6 2 3 3" xfId="15021" xr:uid="{F60FAC3D-6F5C-42D8-B1AA-CEFEE5411780}"/>
    <cellStyle name="Comma 3 6 2 3 4" xfId="25437" xr:uid="{F330A991-8E9C-4F97-9F4B-50CF0E1E3312}"/>
    <cellStyle name="Comma 3 6 2 4" xfId="9832" xr:uid="{00000000-0005-0000-0000-0000171A0000}"/>
    <cellStyle name="Comma 3 6 2 4 2" xfId="21378" xr:uid="{94AB6CA7-F7CA-42B1-BD59-D9128B8DFC1F}"/>
    <cellStyle name="Comma 3 6 2 4 3" xfId="31794" xr:uid="{5AD3AFC3-F8EA-4DDA-AC84-7BAB7939F368}"/>
    <cellStyle name="Comma 3 6 2 5" xfId="6107" xr:uid="{00000000-0005-0000-0000-0000181A0000}"/>
    <cellStyle name="Comma 3 6 2 5 2" xfId="17693" xr:uid="{23F47B47-4166-46AF-9E83-A8D4A01BB6F2}"/>
    <cellStyle name="Comma 3 6 2 5 3" xfId="28109" xr:uid="{A6B82BBE-D72F-4391-8706-9F3B6B3D6642}"/>
    <cellStyle name="Comma 3 6 2 6" xfId="15018" xr:uid="{C0D15B4C-D9A1-4A87-9630-D4CFCB079E3B}"/>
    <cellStyle name="Comma 3 6 2 7" xfId="25434" xr:uid="{FED8C1E9-BDB6-4A1B-B8BC-4372DCFF0735}"/>
    <cellStyle name="Comma 3 6 3" xfId="2687" xr:uid="{00000000-0005-0000-0000-0000191A0000}"/>
    <cellStyle name="Comma 3 6 3 2" xfId="2688" xr:uid="{00000000-0005-0000-0000-00001A1A0000}"/>
    <cellStyle name="Comma 3 6 3 2 2" xfId="9837" xr:uid="{00000000-0005-0000-0000-00001B1A0000}"/>
    <cellStyle name="Comma 3 6 3 2 2 2" xfId="21383" xr:uid="{2268EF26-F283-4650-843B-1ECDBC2984E4}"/>
    <cellStyle name="Comma 3 6 3 2 2 3" xfId="31799" xr:uid="{83C68F69-F4EC-4110-A433-07FB568E69E0}"/>
    <cellStyle name="Comma 3 6 3 2 3" xfId="15023" xr:uid="{DE1DAF7C-2C61-437F-AA14-9044BA8AC3B8}"/>
    <cellStyle name="Comma 3 6 3 2 4" xfId="25439" xr:uid="{4B13E697-40A6-4AEF-9DD6-70597EEF7548}"/>
    <cellStyle name="Comma 3 6 3 3" xfId="9836" xr:uid="{00000000-0005-0000-0000-00001C1A0000}"/>
    <cellStyle name="Comma 3 6 3 3 2" xfId="21382" xr:uid="{5CAADFD1-A691-461E-9D95-706A5FA8F8D4}"/>
    <cellStyle name="Comma 3 6 3 3 3" xfId="31798" xr:uid="{4D0C79F1-6491-4CCB-A276-FF1EC9060739}"/>
    <cellStyle name="Comma 3 6 3 4" xfId="6109" xr:uid="{00000000-0005-0000-0000-00001D1A0000}"/>
    <cellStyle name="Comma 3 6 3 4 2" xfId="17695" xr:uid="{12E8EAA3-2FC2-4024-A474-6CEBA409AAE5}"/>
    <cellStyle name="Comma 3 6 3 4 3" xfId="28111" xr:uid="{59808182-1325-4F2D-AE00-0D625CC8A9D4}"/>
    <cellStyle name="Comma 3 6 3 5" xfId="15022" xr:uid="{9ACE3C82-114D-4F53-9F41-D82B0BD4FC67}"/>
    <cellStyle name="Comma 3 6 3 6" xfId="25438" xr:uid="{8208DB6F-BD3E-43F5-9D6E-78AC92DB862E}"/>
    <cellStyle name="Comma 3 6 4" xfId="2689" xr:uid="{00000000-0005-0000-0000-00001E1A0000}"/>
    <cellStyle name="Comma 3 6 4 2" xfId="2690" xr:uid="{00000000-0005-0000-0000-00001F1A0000}"/>
    <cellStyle name="Comma 3 6 4 2 2" xfId="9839" xr:uid="{00000000-0005-0000-0000-0000201A0000}"/>
    <cellStyle name="Comma 3 6 4 2 2 2" xfId="21385" xr:uid="{A3A4760A-E448-448D-B27B-6754B92A2DBF}"/>
    <cellStyle name="Comma 3 6 4 2 2 3" xfId="31801" xr:uid="{DF649545-0539-42D7-B35E-423B466A04D3}"/>
    <cellStyle name="Comma 3 6 4 2 3" xfId="15025" xr:uid="{7D23B19A-1A48-4CF5-AAC0-51A73B249CEC}"/>
    <cellStyle name="Comma 3 6 4 2 4" xfId="25441" xr:uid="{BE17ECF3-A7BF-45C9-99B4-C515C818448F}"/>
    <cellStyle name="Comma 3 6 4 3" xfId="9838" xr:uid="{00000000-0005-0000-0000-0000211A0000}"/>
    <cellStyle name="Comma 3 6 4 3 2" xfId="21384" xr:uid="{096F11B2-DA42-4884-9708-633EFFB654AD}"/>
    <cellStyle name="Comma 3 6 4 3 3" xfId="31800" xr:uid="{1B36CAFA-A9FC-4C5F-8431-FA4849157983}"/>
    <cellStyle name="Comma 3 6 4 4" xfId="6110" xr:uid="{00000000-0005-0000-0000-0000221A0000}"/>
    <cellStyle name="Comma 3 6 4 4 2" xfId="17696" xr:uid="{4CD64C6E-9185-458D-BFA8-FBDD3D6CC674}"/>
    <cellStyle name="Comma 3 6 4 4 3" xfId="28112" xr:uid="{DAF659C1-F69F-4B40-A71B-E4907D9D7B73}"/>
    <cellStyle name="Comma 3 6 4 5" xfId="15024" xr:uid="{85912EE4-B19C-43A6-99E2-9D3E5D49B30A}"/>
    <cellStyle name="Comma 3 6 4 6" xfId="25440" xr:uid="{A792BB66-61AB-48CF-B765-591972ED8692}"/>
    <cellStyle name="Comma 3 6 5" xfId="2691" xr:uid="{00000000-0005-0000-0000-0000231A0000}"/>
    <cellStyle name="Comma 3 6 5 2" xfId="9840" xr:uid="{00000000-0005-0000-0000-0000241A0000}"/>
    <cellStyle name="Comma 3 6 5 2 2" xfId="21386" xr:uid="{4295F6F9-51B9-427F-B7AA-3AF00A27E9E3}"/>
    <cellStyle name="Comma 3 6 5 2 3" xfId="31802" xr:uid="{BD1ECDD9-32F6-4F06-BC28-742E1C669BC4}"/>
    <cellStyle name="Comma 3 6 5 3" xfId="15026" xr:uid="{1523F19C-EC82-4A8B-BD9E-5A5A3E8A3A8C}"/>
    <cellStyle name="Comma 3 6 5 4" xfId="25442" xr:uid="{5D989C23-5C2B-4E92-A2F5-77CD428F823E}"/>
    <cellStyle name="Comma 3 6 6" xfId="9831" xr:uid="{00000000-0005-0000-0000-0000251A0000}"/>
    <cellStyle name="Comma 3 6 6 2" xfId="21377" xr:uid="{DF7B15D5-F0C1-417A-8037-1FF927391788}"/>
    <cellStyle name="Comma 3 6 6 3" xfId="31793" xr:uid="{A69B150D-3F3E-4FDC-9225-D83AFCE71FED}"/>
    <cellStyle name="Comma 3 6 7" xfId="6106" xr:uid="{00000000-0005-0000-0000-0000261A0000}"/>
    <cellStyle name="Comma 3 6 7 2" xfId="17692" xr:uid="{A917D890-00DA-41D3-9B02-E3DE0791792A}"/>
    <cellStyle name="Comma 3 6 7 3" xfId="28108" xr:uid="{CA774071-5550-4E37-BBEE-5F8B906E329D}"/>
    <cellStyle name="Comma 3 6 8" xfId="15017" xr:uid="{9844826C-B932-49A7-9A18-631AC4065F72}"/>
    <cellStyle name="Comma 3 6 9" xfId="25433" xr:uid="{49C6521A-D844-4999-B804-EF84DCD44655}"/>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2 2 2" xfId="21390" xr:uid="{A761D244-98DB-4D78-A9D8-0590B81FE97D}"/>
    <cellStyle name="Comma 3 7 2 2 2 2 3" xfId="31806" xr:uid="{77F6B6A8-77BB-46E6-9943-F3568503DD47}"/>
    <cellStyle name="Comma 3 7 2 2 2 3" xfId="15030" xr:uid="{9EBBEED3-1F9C-4EC0-8BFC-FF8DEB1C8969}"/>
    <cellStyle name="Comma 3 7 2 2 2 4" xfId="25446" xr:uid="{66E03D68-4369-4D3B-AF9E-1D7659AE65BB}"/>
    <cellStyle name="Comma 3 7 2 2 3" xfId="9843" xr:uid="{00000000-0005-0000-0000-00002C1A0000}"/>
    <cellStyle name="Comma 3 7 2 2 3 2" xfId="21389" xr:uid="{E568E219-F2F8-45F6-919F-F648BAAF652B}"/>
    <cellStyle name="Comma 3 7 2 2 3 3" xfId="31805" xr:uid="{0348B5FA-3C9D-4312-AFB6-EC44F40EC56E}"/>
    <cellStyle name="Comma 3 7 2 2 4" xfId="6113" xr:uid="{00000000-0005-0000-0000-00002D1A0000}"/>
    <cellStyle name="Comma 3 7 2 2 4 2" xfId="17699" xr:uid="{1D38CC57-2596-4296-9DAD-AAD68CA9D09F}"/>
    <cellStyle name="Comma 3 7 2 2 4 3" xfId="28115" xr:uid="{C97FE6B9-5170-4757-8996-1C2E72E2A34A}"/>
    <cellStyle name="Comma 3 7 2 2 5" xfId="15029" xr:uid="{E8D89AED-11F0-4942-8AF0-A2909EFDD2CD}"/>
    <cellStyle name="Comma 3 7 2 2 6" xfId="25445" xr:uid="{5111DD22-E875-41E5-BA18-2788418A508E}"/>
    <cellStyle name="Comma 3 7 2 3" xfId="2696" xr:uid="{00000000-0005-0000-0000-00002E1A0000}"/>
    <cellStyle name="Comma 3 7 2 3 2" xfId="9845" xr:uid="{00000000-0005-0000-0000-00002F1A0000}"/>
    <cellStyle name="Comma 3 7 2 3 2 2" xfId="21391" xr:uid="{4E8DB7F2-C974-45F3-8393-0758A61C9D28}"/>
    <cellStyle name="Comma 3 7 2 3 2 3" xfId="31807" xr:uid="{777ABBEF-0669-48E9-9CA7-28ECD1B431BC}"/>
    <cellStyle name="Comma 3 7 2 3 3" xfId="15031" xr:uid="{B893F633-74C6-4646-A74D-ABC8E3F6D1DC}"/>
    <cellStyle name="Comma 3 7 2 3 4" xfId="25447" xr:uid="{2E767CA2-4228-4548-AE69-A3AFBF15D03E}"/>
    <cellStyle name="Comma 3 7 2 4" xfId="9842" xr:uid="{00000000-0005-0000-0000-0000301A0000}"/>
    <cellStyle name="Comma 3 7 2 4 2" xfId="21388" xr:uid="{5F5483D6-9EB6-467F-AA81-5B31BDFC73D2}"/>
    <cellStyle name="Comma 3 7 2 4 3" xfId="31804" xr:uid="{89649AA7-210D-49A4-BC0C-5F8088D0C4DA}"/>
    <cellStyle name="Comma 3 7 2 5" xfId="6112" xr:uid="{00000000-0005-0000-0000-0000311A0000}"/>
    <cellStyle name="Comma 3 7 2 5 2" xfId="17698" xr:uid="{9879E3AB-0C73-4EF5-A4C9-1BE756C2BBB9}"/>
    <cellStyle name="Comma 3 7 2 5 3" xfId="28114" xr:uid="{5D348F78-110C-4CB7-B493-8E1CFEBF442A}"/>
    <cellStyle name="Comma 3 7 2 6" xfId="15028" xr:uid="{5F4EE5C4-725E-4315-A6D9-3A8C3B8BD276}"/>
    <cellStyle name="Comma 3 7 2 7" xfId="25444" xr:uid="{7F158A3B-1F57-4349-BC36-367BB8F8407E}"/>
    <cellStyle name="Comma 3 7 3" xfId="2697" xr:uid="{00000000-0005-0000-0000-0000321A0000}"/>
    <cellStyle name="Comma 3 7 3 2" xfId="2698" xr:uid="{00000000-0005-0000-0000-0000331A0000}"/>
    <cellStyle name="Comma 3 7 3 2 2" xfId="9847" xr:uid="{00000000-0005-0000-0000-0000341A0000}"/>
    <cellStyle name="Comma 3 7 3 2 2 2" xfId="21393" xr:uid="{C7A6EEF4-C2E5-43EC-B758-A67B68285EEF}"/>
    <cellStyle name="Comma 3 7 3 2 2 3" xfId="31809" xr:uid="{9B7A1839-890E-43D2-986A-B885AB68D48A}"/>
    <cellStyle name="Comma 3 7 3 2 3" xfId="15033" xr:uid="{5745D8F5-A701-4B13-82D1-53326AA4B38A}"/>
    <cellStyle name="Comma 3 7 3 2 4" xfId="25449" xr:uid="{6812A89D-5D7F-4E80-8362-E1D86FC7C091}"/>
    <cellStyle name="Comma 3 7 3 3" xfId="9846" xr:uid="{00000000-0005-0000-0000-0000351A0000}"/>
    <cellStyle name="Comma 3 7 3 3 2" xfId="21392" xr:uid="{C015A89E-8E77-4C99-9D9E-0DB3B7C4FFD0}"/>
    <cellStyle name="Comma 3 7 3 3 3" xfId="31808" xr:uid="{FFFABBA8-9252-402B-8ADB-B2FD404302A9}"/>
    <cellStyle name="Comma 3 7 3 4" xfId="6114" xr:uid="{00000000-0005-0000-0000-0000361A0000}"/>
    <cellStyle name="Comma 3 7 3 4 2" xfId="17700" xr:uid="{F2ECE8EE-5CC1-47EE-9887-56FF414C3FAE}"/>
    <cellStyle name="Comma 3 7 3 4 3" xfId="28116" xr:uid="{09DBC514-A18F-46D0-B209-27E9EAD4AEEB}"/>
    <cellStyle name="Comma 3 7 3 5" xfId="15032" xr:uid="{B926895D-221F-40DE-B357-79A86E58379D}"/>
    <cellStyle name="Comma 3 7 3 6" xfId="25448" xr:uid="{7553E343-9BCE-4510-B0AC-00110E5686BC}"/>
    <cellStyle name="Comma 3 7 4" xfId="2699" xr:uid="{00000000-0005-0000-0000-0000371A0000}"/>
    <cellStyle name="Comma 3 7 4 2" xfId="2700" xr:uid="{00000000-0005-0000-0000-0000381A0000}"/>
    <cellStyle name="Comma 3 7 4 2 2" xfId="9849" xr:uid="{00000000-0005-0000-0000-0000391A0000}"/>
    <cellStyle name="Comma 3 7 4 2 2 2" xfId="21395" xr:uid="{BDAF8FB9-B06C-4041-8B71-6C65707B9C7F}"/>
    <cellStyle name="Comma 3 7 4 2 2 3" xfId="31811" xr:uid="{CA24FCBF-D194-4666-BCCE-905CF5031385}"/>
    <cellStyle name="Comma 3 7 4 2 3" xfId="15035" xr:uid="{EA19BFB4-6DF5-400D-AAE6-A4BDA6414547}"/>
    <cellStyle name="Comma 3 7 4 2 4" xfId="25451" xr:uid="{5572A00A-3471-43FB-9D76-84835902C1B1}"/>
    <cellStyle name="Comma 3 7 4 3" xfId="9848" xr:uid="{00000000-0005-0000-0000-00003A1A0000}"/>
    <cellStyle name="Comma 3 7 4 3 2" xfId="21394" xr:uid="{68594985-8ED5-4B16-945B-22AD2277E621}"/>
    <cellStyle name="Comma 3 7 4 3 3" xfId="31810" xr:uid="{DAE88D5D-2C9E-4EF4-A52A-677589562E1D}"/>
    <cellStyle name="Comma 3 7 4 4" xfId="6115" xr:uid="{00000000-0005-0000-0000-00003B1A0000}"/>
    <cellStyle name="Comma 3 7 4 4 2" xfId="17701" xr:uid="{84515D6D-0471-4D4E-911E-7D0ABF7D40C5}"/>
    <cellStyle name="Comma 3 7 4 4 3" xfId="28117" xr:uid="{C1FF78A0-2691-4A5D-9C37-5DFA3437A783}"/>
    <cellStyle name="Comma 3 7 4 5" xfId="15034" xr:uid="{459C3BA2-A54D-4C76-850A-A22BBBBD9B74}"/>
    <cellStyle name="Comma 3 7 4 6" xfId="25450" xr:uid="{BF04A28B-E8E8-4220-955A-796AA7149AC3}"/>
    <cellStyle name="Comma 3 7 5" xfId="2701" xr:uid="{00000000-0005-0000-0000-00003C1A0000}"/>
    <cellStyle name="Comma 3 7 5 2" xfId="9850" xr:uid="{00000000-0005-0000-0000-00003D1A0000}"/>
    <cellStyle name="Comma 3 7 5 2 2" xfId="21396" xr:uid="{E4B35BC8-BE49-402B-A981-F678C0104646}"/>
    <cellStyle name="Comma 3 7 5 2 3" xfId="31812" xr:uid="{B1CEAA2B-487C-4565-950C-463A9874D203}"/>
    <cellStyle name="Comma 3 7 5 3" xfId="15036" xr:uid="{89F27A32-A168-4FE3-ABCB-859BC47655DC}"/>
    <cellStyle name="Comma 3 7 5 4" xfId="25452" xr:uid="{F0291E6B-81AF-442B-B074-A128C15DEDF3}"/>
    <cellStyle name="Comma 3 7 6" xfId="9841" xr:uid="{00000000-0005-0000-0000-00003E1A0000}"/>
    <cellStyle name="Comma 3 7 6 2" xfId="21387" xr:uid="{5B4AB759-05FD-4A0E-8DEB-A9B8ABDA5630}"/>
    <cellStyle name="Comma 3 7 6 3" xfId="31803" xr:uid="{A28EB368-1B64-4D92-A17A-524D7CD89BCE}"/>
    <cellStyle name="Comma 3 7 7" xfId="6111" xr:uid="{00000000-0005-0000-0000-00003F1A0000}"/>
    <cellStyle name="Comma 3 7 7 2" xfId="17697" xr:uid="{E1141E53-0BE0-466F-B3C2-CE4CB3337F9B}"/>
    <cellStyle name="Comma 3 7 7 3" xfId="28113" xr:uid="{80891604-CF83-48C7-95AE-0F7061CEC04A}"/>
    <cellStyle name="Comma 3 7 8" xfId="15027" xr:uid="{F2495320-587D-48A0-A1D2-2F9FA8C88EF4}"/>
    <cellStyle name="Comma 3 7 9" xfId="25443" xr:uid="{7CD82DD0-1ECE-4FAB-92DF-3DEB7EE87F07}"/>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2 2 2" xfId="21400" xr:uid="{A66E69B9-7F06-42EE-92EE-7F54A58B9DE4}"/>
    <cellStyle name="Comma 3 8 2 2 2 2 3" xfId="31816" xr:uid="{8FC02D56-28B3-4DB9-967C-11AE818B49EA}"/>
    <cellStyle name="Comma 3 8 2 2 2 3" xfId="15040" xr:uid="{D6D01419-CF2E-483D-BA4E-626D07BF602A}"/>
    <cellStyle name="Comma 3 8 2 2 2 4" xfId="25456" xr:uid="{FD1CB8CF-28E0-414B-88B4-E5A82AC7EB83}"/>
    <cellStyle name="Comma 3 8 2 2 3" xfId="9853" xr:uid="{00000000-0005-0000-0000-0000451A0000}"/>
    <cellStyle name="Comma 3 8 2 2 3 2" xfId="21399" xr:uid="{FE0B95B8-A812-4106-AEFE-22D195C6C134}"/>
    <cellStyle name="Comma 3 8 2 2 3 3" xfId="31815" xr:uid="{56780D3D-D9CE-41BD-AA1B-8A798DB8A00C}"/>
    <cellStyle name="Comma 3 8 2 2 4" xfId="6118" xr:uid="{00000000-0005-0000-0000-0000461A0000}"/>
    <cellStyle name="Comma 3 8 2 2 4 2" xfId="17704" xr:uid="{4718A6F1-B5FB-4138-85EC-62AA5BDDF691}"/>
    <cellStyle name="Comma 3 8 2 2 4 3" xfId="28120" xr:uid="{8C1216E9-904E-48EC-843C-831BC22891B1}"/>
    <cellStyle name="Comma 3 8 2 2 5" xfId="15039" xr:uid="{5C61BE30-DBA1-4DBD-B20A-42B3D0A0AFE8}"/>
    <cellStyle name="Comma 3 8 2 2 6" xfId="25455" xr:uid="{791E7C2F-86AC-40F4-A6C0-6CA083BFFDDC}"/>
    <cellStyle name="Comma 3 8 2 3" xfId="2706" xr:uid="{00000000-0005-0000-0000-0000471A0000}"/>
    <cellStyle name="Comma 3 8 2 3 2" xfId="9855" xr:uid="{00000000-0005-0000-0000-0000481A0000}"/>
    <cellStyle name="Comma 3 8 2 3 2 2" xfId="21401" xr:uid="{E92CB265-59A2-4322-92A7-5F7F143714E6}"/>
    <cellStyle name="Comma 3 8 2 3 2 3" xfId="31817" xr:uid="{3B51D949-5388-4BEE-9A54-1D949B8272E8}"/>
    <cellStyle name="Comma 3 8 2 3 3" xfId="15041" xr:uid="{4D402F3A-A1F8-4FB1-9336-A3A1DA379950}"/>
    <cellStyle name="Comma 3 8 2 3 4" xfId="25457" xr:uid="{F5E2B1E9-6C9C-4FC7-AB6F-CC5A32805D84}"/>
    <cellStyle name="Comma 3 8 2 4" xfId="9852" xr:uid="{00000000-0005-0000-0000-0000491A0000}"/>
    <cellStyle name="Comma 3 8 2 4 2" xfId="21398" xr:uid="{F0B7F27C-7FA9-404D-8F5A-1A1AA1EB313B}"/>
    <cellStyle name="Comma 3 8 2 4 3" xfId="31814" xr:uid="{835666D2-F7C0-45D3-8FA4-D585BE9D77C8}"/>
    <cellStyle name="Comma 3 8 2 5" xfId="6117" xr:uid="{00000000-0005-0000-0000-00004A1A0000}"/>
    <cellStyle name="Comma 3 8 2 5 2" xfId="17703" xr:uid="{E1AFDF4F-EA2F-42A6-AFED-734F87220502}"/>
    <cellStyle name="Comma 3 8 2 5 3" xfId="28119" xr:uid="{DD19208F-0044-4D48-A2EA-653BB23B5469}"/>
    <cellStyle name="Comma 3 8 2 6" xfId="15038" xr:uid="{C874F859-CB81-4009-A3BB-8F9B7E354DCB}"/>
    <cellStyle name="Comma 3 8 2 7" xfId="25454" xr:uid="{22D833A3-1F42-4495-931E-9AC8F178FE61}"/>
    <cellStyle name="Comma 3 8 3" xfId="2707" xr:uid="{00000000-0005-0000-0000-00004B1A0000}"/>
    <cellStyle name="Comma 3 8 3 2" xfId="2708" xr:uid="{00000000-0005-0000-0000-00004C1A0000}"/>
    <cellStyle name="Comma 3 8 3 2 2" xfId="9857" xr:uid="{00000000-0005-0000-0000-00004D1A0000}"/>
    <cellStyle name="Comma 3 8 3 2 2 2" xfId="21403" xr:uid="{731A700D-8679-4480-9962-6CFB4987A70C}"/>
    <cellStyle name="Comma 3 8 3 2 2 3" xfId="31819" xr:uid="{97D2C92F-4356-43C0-8B5E-3E6EB0DD91AC}"/>
    <cellStyle name="Comma 3 8 3 2 3" xfId="15043" xr:uid="{D77F1363-9EDE-4E6C-8438-66394E8A81BC}"/>
    <cellStyle name="Comma 3 8 3 2 4" xfId="25459" xr:uid="{DBA2D2BD-ED9C-4979-98C0-5F75AD2DFB89}"/>
    <cellStyle name="Comma 3 8 3 3" xfId="9856" xr:uid="{00000000-0005-0000-0000-00004E1A0000}"/>
    <cellStyle name="Comma 3 8 3 3 2" xfId="21402" xr:uid="{2F9BD509-8CFE-4B16-8498-8690951EB158}"/>
    <cellStyle name="Comma 3 8 3 3 3" xfId="31818" xr:uid="{4747BA31-1E8B-49C5-AAD1-4E0E69884EF2}"/>
    <cellStyle name="Comma 3 8 3 4" xfId="6119" xr:uid="{00000000-0005-0000-0000-00004F1A0000}"/>
    <cellStyle name="Comma 3 8 3 4 2" xfId="17705" xr:uid="{F7A64F00-BC34-48E9-A942-CC8182A22515}"/>
    <cellStyle name="Comma 3 8 3 4 3" xfId="28121" xr:uid="{A902A091-5E90-43AC-8838-E0E40BC08F66}"/>
    <cellStyle name="Comma 3 8 3 5" xfId="15042" xr:uid="{48283A77-1C52-484F-966D-CFE3ED530354}"/>
    <cellStyle name="Comma 3 8 3 6" xfId="25458" xr:uid="{030B5940-B944-43CB-B323-F96FCDA2B6BE}"/>
    <cellStyle name="Comma 3 8 4" xfId="2709" xr:uid="{00000000-0005-0000-0000-0000501A0000}"/>
    <cellStyle name="Comma 3 8 4 2" xfId="2710" xr:uid="{00000000-0005-0000-0000-0000511A0000}"/>
    <cellStyle name="Comma 3 8 4 2 2" xfId="9859" xr:uid="{00000000-0005-0000-0000-0000521A0000}"/>
    <cellStyle name="Comma 3 8 4 2 2 2" xfId="21405" xr:uid="{BD002B93-3695-4AAD-8173-FEB9B3E6CCA2}"/>
    <cellStyle name="Comma 3 8 4 2 2 3" xfId="31821" xr:uid="{710FAD78-FF2C-4E55-8139-9B2ABA3B85D6}"/>
    <cellStyle name="Comma 3 8 4 2 3" xfId="15045" xr:uid="{BBE230BD-5840-425B-9297-6231658D04F4}"/>
    <cellStyle name="Comma 3 8 4 2 4" xfId="25461" xr:uid="{F1F1E3EF-394C-4506-8CBC-1CED15E2B8BE}"/>
    <cellStyle name="Comma 3 8 4 3" xfId="9858" xr:uid="{00000000-0005-0000-0000-0000531A0000}"/>
    <cellStyle name="Comma 3 8 4 3 2" xfId="21404" xr:uid="{E2BD0BE7-F868-4C63-9E39-BE60AAE08EF4}"/>
    <cellStyle name="Comma 3 8 4 3 3" xfId="31820" xr:uid="{8E9FF83A-36DB-40D0-A3EF-6B08F648DE0D}"/>
    <cellStyle name="Comma 3 8 4 4" xfId="6120" xr:uid="{00000000-0005-0000-0000-0000541A0000}"/>
    <cellStyle name="Comma 3 8 4 4 2" xfId="17706" xr:uid="{B2AFF65F-9582-46F3-AAC8-1F1BD1A23626}"/>
    <cellStyle name="Comma 3 8 4 4 3" xfId="28122" xr:uid="{470F1C59-E1F6-4D93-A5CE-EBD63E4C319B}"/>
    <cellStyle name="Comma 3 8 4 5" xfId="15044" xr:uid="{4D6F25D7-7AB8-44BB-AB27-3995B50C22C9}"/>
    <cellStyle name="Comma 3 8 4 6" xfId="25460" xr:uid="{3BF397A3-7BFC-4196-9E2D-06A3FA7AB828}"/>
    <cellStyle name="Comma 3 8 5" xfId="2711" xr:uid="{00000000-0005-0000-0000-0000551A0000}"/>
    <cellStyle name="Comma 3 8 5 2" xfId="9860" xr:uid="{00000000-0005-0000-0000-0000561A0000}"/>
    <cellStyle name="Comma 3 8 5 2 2" xfId="21406" xr:uid="{EB6EF422-EF2B-4C94-BDAE-31DFD67C9062}"/>
    <cellStyle name="Comma 3 8 5 2 3" xfId="31822" xr:uid="{A730A6EE-DB72-44A8-B015-0E772784342A}"/>
    <cellStyle name="Comma 3 8 5 3" xfId="15046" xr:uid="{67BE9098-CF3B-4402-8F86-F55D9E1F46F6}"/>
    <cellStyle name="Comma 3 8 5 4" xfId="25462" xr:uid="{C1E78B21-AD7C-483F-88D3-68A802C4D033}"/>
    <cellStyle name="Comma 3 8 6" xfId="9851" xr:uid="{00000000-0005-0000-0000-0000571A0000}"/>
    <cellStyle name="Comma 3 8 6 2" xfId="21397" xr:uid="{42FE1B5E-C53C-402B-9C09-9B6D2B0D44CE}"/>
    <cellStyle name="Comma 3 8 6 3" xfId="31813" xr:uid="{FB843ADE-92AB-40EC-B9B8-57E1DC3AF4D4}"/>
    <cellStyle name="Comma 3 8 7" xfId="6116" xr:uid="{00000000-0005-0000-0000-0000581A0000}"/>
    <cellStyle name="Comma 3 8 7 2" xfId="17702" xr:uid="{E1CE290F-14DD-4D27-A65A-D7F6795116F4}"/>
    <cellStyle name="Comma 3 8 7 3" xfId="28118" xr:uid="{92889FAA-07ED-41A6-8C75-87749D23450E}"/>
    <cellStyle name="Comma 3 8 8" xfId="15037" xr:uid="{E68DD0CB-E7BE-49FD-BA57-8C34C514C4C4}"/>
    <cellStyle name="Comma 3 8 9" xfId="25453" xr:uid="{795859D2-48D3-4089-8037-67A8507198FC}"/>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2 2 2" xfId="21410" xr:uid="{86101124-1217-427C-9EA7-ED855C2AF079}"/>
    <cellStyle name="Comma 3 9 2 2 2 2 3" xfId="31826" xr:uid="{7779C0CD-865C-4ACA-BEE2-8BECA5C4DD07}"/>
    <cellStyle name="Comma 3 9 2 2 2 3" xfId="15050" xr:uid="{E13C7665-DE42-43A3-B83F-63FB21DAE5CC}"/>
    <cellStyle name="Comma 3 9 2 2 2 4" xfId="25466" xr:uid="{5D4E73CC-80DB-4E96-A76D-FA12410D2552}"/>
    <cellStyle name="Comma 3 9 2 2 3" xfId="9863" xr:uid="{00000000-0005-0000-0000-00005E1A0000}"/>
    <cellStyle name="Comma 3 9 2 2 3 2" xfId="21409" xr:uid="{4C6411F4-E8AA-4029-AE02-16F4A54CB071}"/>
    <cellStyle name="Comma 3 9 2 2 3 3" xfId="31825" xr:uid="{4ECF8E3C-0465-4A66-AF8B-782DD0E075A2}"/>
    <cellStyle name="Comma 3 9 2 2 4" xfId="6123" xr:uid="{00000000-0005-0000-0000-00005F1A0000}"/>
    <cellStyle name="Comma 3 9 2 2 4 2" xfId="17709" xr:uid="{91DEB75B-1A31-404F-AD21-2274E70D0F40}"/>
    <cellStyle name="Comma 3 9 2 2 4 3" xfId="28125" xr:uid="{EA99891A-BAE7-4F6F-9379-EC5E8BE1C862}"/>
    <cellStyle name="Comma 3 9 2 2 5" xfId="15049" xr:uid="{09A93E69-9D7C-4D3C-B6E8-2BF01ED41E0B}"/>
    <cellStyle name="Comma 3 9 2 2 6" xfId="25465" xr:uid="{96A7CED8-CA6A-43CD-838F-99471B91A90D}"/>
    <cellStyle name="Comma 3 9 2 3" xfId="2716" xr:uid="{00000000-0005-0000-0000-0000601A0000}"/>
    <cellStyle name="Comma 3 9 2 3 2" xfId="9865" xr:uid="{00000000-0005-0000-0000-0000611A0000}"/>
    <cellStyle name="Comma 3 9 2 3 2 2" xfId="21411" xr:uid="{22F86819-DA3E-47CF-A547-1968568EADB4}"/>
    <cellStyle name="Comma 3 9 2 3 2 3" xfId="31827" xr:uid="{E8C73D75-668D-4CF7-A714-B6395E793BF5}"/>
    <cellStyle name="Comma 3 9 2 3 3" xfId="15051" xr:uid="{A1D188CC-FF28-46BE-A7C6-5C929C8D59C7}"/>
    <cellStyle name="Comma 3 9 2 3 4" xfId="25467" xr:uid="{626F1CCA-393A-4620-BC2A-0DB2CAF7DF23}"/>
    <cellStyle name="Comma 3 9 2 4" xfId="9862" xr:uid="{00000000-0005-0000-0000-0000621A0000}"/>
    <cellStyle name="Comma 3 9 2 4 2" xfId="21408" xr:uid="{67AF5A7C-2393-45B2-99DF-23419F9859D3}"/>
    <cellStyle name="Comma 3 9 2 4 3" xfId="31824" xr:uid="{D459853E-0041-4E17-9780-4E67009E4080}"/>
    <cellStyle name="Comma 3 9 2 5" xfId="6122" xr:uid="{00000000-0005-0000-0000-0000631A0000}"/>
    <cellStyle name="Comma 3 9 2 5 2" xfId="17708" xr:uid="{5FE40936-5FE0-4C4F-A540-5A8ED852BF39}"/>
    <cellStyle name="Comma 3 9 2 5 3" xfId="28124" xr:uid="{C47C412F-F25D-4546-B024-658EDCEDC6C6}"/>
    <cellStyle name="Comma 3 9 2 6" xfId="15048" xr:uid="{5673EDE2-FE6A-49F3-A6E7-3498E709606D}"/>
    <cellStyle name="Comma 3 9 2 7" xfId="25464" xr:uid="{8FD921CC-FE0E-4F44-B932-F59004165614}"/>
    <cellStyle name="Comma 3 9 3" xfId="2717" xr:uid="{00000000-0005-0000-0000-0000641A0000}"/>
    <cellStyle name="Comma 3 9 3 2" xfId="2718" xr:uid="{00000000-0005-0000-0000-0000651A0000}"/>
    <cellStyle name="Comma 3 9 3 2 2" xfId="9867" xr:uid="{00000000-0005-0000-0000-0000661A0000}"/>
    <cellStyle name="Comma 3 9 3 2 2 2" xfId="21413" xr:uid="{D866226A-F121-44F7-A622-67EB37193FF9}"/>
    <cellStyle name="Comma 3 9 3 2 2 3" xfId="31829" xr:uid="{B5A4B136-CEFA-4A7F-8C53-633006EDD1AE}"/>
    <cellStyle name="Comma 3 9 3 2 3" xfId="15053" xr:uid="{24F56688-60A9-4966-888C-5FA956E5FAB6}"/>
    <cellStyle name="Comma 3 9 3 2 4" xfId="25469" xr:uid="{5CB6C512-2237-4A0A-9A6B-FE880C0A3556}"/>
    <cellStyle name="Comma 3 9 3 3" xfId="9866" xr:uid="{00000000-0005-0000-0000-0000671A0000}"/>
    <cellStyle name="Comma 3 9 3 3 2" xfId="21412" xr:uid="{B83B3000-270C-432B-8BBD-BCE01E36E393}"/>
    <cellStyle name="Comma 3 9 3 3 3" xfId="31828" xr:uid="{DC6F3A36-45F9-4500-A734-B030778EECCF}"/>
    <cellStyle name="Comma 3 9 3 4" xfId="6124" xr:uid="{00000000-0005-0000-0000-0000681A0000}"/>
    <cellStyle name="Comma 3 9 3 4 2" xfId="17710" xr:uid="{99F847ED-FF5B-463A-A860-FC81461E719D}"/>
    <cellStyle name="Comma 3 9 3 4 3" xfId="28126" xr:uid="{D09FC944-D3A9-42B0-B022-A71224E93EC4}"/>
    <cellStyle name="Comma 3 9 3 5" xfId="15052" xr:uid="{368AE45A-92DD-4285-ADEB-1CFAEE6482E2}"/>
    <cellStyle name="Comma 3 9 3 6" xfId="25468" xr:uid="{A676CB0A-E8BE-4EFB-90EE-F74D2621653E}"/>
    <cellStyle name="Comma 3 9 4" xfId="2719" xr:uid="{00000000-0005-0000-0000-0000691A0000}"/>
    <cellStyle name="Comma 3 9 4 2" xfId="2720" xr:uid="{00000000-0005-0000-0000-00006A1A0000}"/>
    <cellStyle name="Comma 3 9 4 2 2" xfId="9869" xr:uid="{00000000-0005-0000-0000-00006B1A0000}"/>
    <cellStyle name="Comma 3 9 4 2 2 2" xfId="21415" xr:uid="{39E11C2A-0D26-4164-A038-24131D053AC9}"/>
    <cellStyle name="Comma 3 9 4 2 2 3" xfId="31831" xr:uid="{BF532653-A8D7-41F9-A1F5-5EB6A1359BAA}"/>
    <cellStyle name="Comma 3 9 4 2 3" xfId="15055" xr:uid="{555AB064-787C-4875-AABD-F45FD86B61A7}"/>
    <cellStyle name="Comma 3 9 4 2 4" xfId="25471" xr:uid="{519C6A84-1A0B-4794-9203-7744DDD9643A}"/>
    <cellStyle name="Comma 3 9 4 3" xfId="9868" xr:uid="{00000000-0005-0000-0000-00006C1A0000}"/>
    <cellStyle name="Comma 3 9 4 3 2" xfId="21414" xr:uid="{EB398462-EE68-4401-8C72-A9D021D0FECB}"/>
    <cellStyle name="Comma 3 9 4 3 3" xfId="31830" xr:uid="{CA4B7B55-9921-4D06-B2FF-580163881F6C}"/>
    <cellStyle name="Comma 3 9 4 4" xfId="6125" xr:uid="{00000000-0005-0000-0000-00006D1A0000}"/>
    <cellStyle name="Comma 3 9 4 4 2" xfId="17711" xr:uid="{41248BA8-544E-4E5C-A870-8C1E99352515}"/>
    <cellStyle name="Comma 3 9 4 4 3" xfId="28127" xr:uid="{1A57C4CF-69DE-4239-A2D1-AB2F5FC1547C}"/>
    <cellStyle name="Comma 3 9 4 5" xfId="15054" xr:uid="{0E0783F4-3857-45EE-A756-88EF524FF13B}"/>
    <cellStyle name="Comma 3 9 4 6" xfId="25470" xr:uid="{54EB459A-AB34-4462-8439-F9E8BAAE5610}"/>
    <cellStyle name="Comma 3 9 5" xfId="2721" xr:uid="{00000000-0005-0000-0000-00006E1A0000}"/>
    <cellStyle name="Comma 3 9 5 2" xfId="9870" xr:uid="{00000000-0005-0000-0000-00006F1A0000}"/>
    <cellStyle name="Comma 3 9 5 2 2" xfId="21416" xr:uid="{8E772546-0597-495B-B8F7-25262B5AB21D}"/>
    <cellStyle name="Comma 3 9 5 2 3" xfId="31832" xr:uid="{42C61664-8572-4F43-AE1B-2E6B6C98F82E}"/>
    <cellStyle name="Comma 3 9 5 3" xfId="15056" xr:uid="{FF35A666-525F-4B44-BD27-F2B35F4996D4}"/>
    <cellStyle name="Comma 3 9 5 4" xfId="25472" xr:uid="{41A6DCE6-D97D-46CC-A48B-97A8AF340140}"/>
    <cellStyle name="Comma 3 9 6" xfId="9861" xr:uid="{00000000-0005-0000-0000-0000701A0000}"/>
    <cellStyle name="Comma 3 9 6 2" xfId="21407" xr:uid="{09F580AD-860C-4FF4-8858-83AD39922510}"/>
    <cellStyle name="Comma 3 9 6 3" xfId="31823" xr:uid="{D23BEAA6-3DCD-41B6-81D9-ED4ADC5D7BDA}"/>
    <cellStyle name="Comma 3 9 7" xfId="6121" xr:uid="{00000000-0005-0000-0000-0000711A0000}"/>
    <cellStyle name="Comma 3 9 7 2" xfId="17707" xr:uid="{94ED878A-ADB7-4B11-9A3E-0C7E74B80BE9}"/>
    <cellStyle name="Comma 3 9 7 3" xfId="28123" xr:uid="{1F5A837C-40A9-43D8-A3E8-B434EC9058F0}"/>
    <cellStyle name="Comma 3 9 8" xfId="15047" xr:uid="{64B99238-D8D9-4A00-99CD-C115F078A356}"/>
    <cellStyle name="Comma 3 9 9" xfId="25463" xr:uid="{9BDFFA69-D348-48F5-857C-AFD12A8086DD}"/>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2 2 2" xfId="21420" xr:uid="{D6064536-59B9-40AF-B72E-6636399933B0}"/>
    <cellStyle name="Comma 4 10 2 2 2 3" xfId="31836" xr:uid="{C7988008-1C9C-4406-A66A-1B8A73C3FECA}"/>
    <cellStyle name="Comma 4 10 2 2 3" xfId="15060" xr:uid="{A5187112-DCAB-4B7F-AE6E-356B6BEF9E69}"/>
    <cellStyle name="Comma 4 10 2 2 4" xfId="25476" xr:uid="{21E7F59A-4DB3-43B8-8020-FB4936C53BEB}"/>
    <cellStyle name="Comma 4 10 2 3" xfId="9873" xr:uid="{00000000-0005-0000-0000-0000771A0000}"/>
    <cellStyle name="Comma 4 10 2 3 2" xfId="21419" xr:uid="{D5B47A13-1367-4C8B-81A3-82101CDD888F}"/>
    <cellStyle name="Comma 4 10 2 3 3" xfId="31835" xr:uid="{021D4A0D-AF22-43DF-818A-59E2125CE351}"/>
    <cellStyle name="Comma 4 10 2 4" xfId="6128" xr:uid="{00000000-0005-0000-0000-0000781A0000}"/>
    <cellStyle name="Comma 4 10 2 4 2" xfId="17714" xr:uid="{FAF71A1B-23ED-40E8-86F9-EC5B2CF921C5}"/>
    <cellStyle name="Comma 4 10 2 4 3" xfId="28130" xr:uid="{F5E30DEC-C923-4307-9E5A-A3534E3DBE88}"/>
    <cellStyle name="Comma 4 10 2 5" xfId="15059" xr:uid="{7F552ED3-8A83-43EF-BF3A-A22EF59F24D4}"/>
    <cellStyle name="Comma 4 10 2 6" xfId="25475" xr:uid="{DE2D1DAB-6987-4B9B-975B-DFD43F759E31}"/>
    <cellStyle name="Comma 4 10 3" xfId="2726" xr:uid="{00000000-0005-0000-0000-0000791A0000}"/>
    <cellStyle name="Comma 4 10 3 2" xfId="2727" xr:uid="{00000000-0005-0000-0000-00007A1A0000}"/>
    <cellStyle name="Comma 4 10 3 2 2" xfId="9876" xr:uid="{00000000-0005-0000-0000-00007B1A0000}"/>
    <cellStyle name="Comma 4 10 3 2 2 2" xfId="21422" xr:uid="{979C1DDC-7317-4CA7-98B4-13BC944CAE58}"/>
    <cellStyle name="Comma 4 10 3 2 2 3" xfId="31838" xr:uid="{70CEF16B-7730-41BC-8023-2F6584316AD0}"/>
    <cellStyle name="Comma 4 10 3 2 3" xfId="15062" xr:uid="{40B48F4A-6C93-46B3-993D-39127C7D8712}"/>
    <cellStyle name="Comma 4 10 3 2 4" xfId="25478" xr:uid="{2885B654-95C0-4D3A-A51C-F5812E93AC5A}"/>
    <cellStyle name="Comma 4 10 3 3" xfId="9875" xr:uid="{00000000-0005-0000-0000-00007C1A0000}"/>
    <cellStyle name="Comma 4 10 3 3 2" xfId="21421" xr:uid="{DED92B1C-4814-43AE-8F4A-3FEB0661E2B0}"/>
    <cellStyle name="Comma 4 10 3 3 3" xfId="31837" xr:uid="{5A2F71EA-DCAE-4AD5-8C44-43C9B89E59EE}"/>
    <cellStyle name="Comma 4 10 3 4" xfId="6129" xr:uid="{00000000-0005-0000-0000-00007D1A0000}"/>
    <cellStyle name="Comma 4 10 3 4 2" xfId="17715" xr:uid="{5899EE6C-277E-4141-A5F4-A0A28C92316B}"/>
    <cellStyle name="Comma 4 10 3 4 3" xfId="28131" xr:uid="{51FA9C11-F447-4E4B-ADE8-6A7DC1F655D8}"/>
    <cellStyle name="Comma 4 10 3 5" xfId="15061" xr:uid="{9DEE9E69-7CEF-415E-B686-6F0AFBA7B794}"/>
    <cellStyle name="Comma 4 10 3 6" xfId="25477" xr:uid="{DB62D68E-3492-435C-B917-34EEB316734F}"/>
    <cellStyle name="Comma 4 10 4" xfId="2728" xr:uid="{00000000-0005-0000-0000-00007E1A0000}"/>
    <cellStyle name="Comma 4 10 4 2" xfId="9877" xr:uid="{00000000-0005-0000-0000-00007F1A0000}"/>
    <cellStyle name="Comma 4 10 4 2 2" xfId="21423" xr:uid="{012F6125-A258-4F51-98A2-1059C145C50B}"/>
    <cellStyle name="Comma 4 10 4 2 3" xfId="31839" xr:uid="{E5E375E6-6187-4C72-B695-D4F049E9B998}"/>
    <cellStyle name="Comma 4 10 4 3" xfId="15063" xr:uid="{C3107981-0246-43B2-8FCD-CCD67E1180E3}"/>
    <cellStyle name="Comma 4 10 4 4" xfId="25479" xr:uid="{07653053-C70D-4A65-8403-F91ACB4157D1}"/>
    <cellStyle name="Comma 4 10 5" xfId="9872" xr:uid="{00000000-0005-0000-0000-0000801A0000}"/>
    <cellStyle name="Comma 4 10 5 2" xfId="21418" xr:uid="{80EE084C-CB69-404E-AC5F-F7F8F6765B08}"/>
    <cellStyle name="Comma 4 10 5 3" xfId="31834" xr:uid="{74E85B21-6893-4983-B577-740B19828661}"/>
    <cellStyle name="Comma 4 10 6" xfId="6127" xr:uid="{00000000-0005-0000-0000-0000811A0000}"/>
    <cellStyle name="Comma 4 10 6 2" xfId="17713" xr:uid="{ADBD4D1D-3B19-4927-9E61-8E9CC585CBF2}"/>
    <cellStyle name="Comma 4 10 6 3" xfId="28129" xr:uid="{693EDCA2-BB13-4506-B59D-11B545DAB786}"/>
    <cellStyle name="Comma 4 10 7" xfId="15058" xr:uid="{2936DB1D-5F8B-4105-8AF2-D75BF40BB2E0}"/>
    <cellStyle name="Comma 4 10 8" xfId="25474" xr:uid="{3C4AB690-B5AC-4461-8C53-1B416B18CBE1}"/>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2 2 2" xfId="21426" xr:uid="{3495BA51-FAAB-4F51-80D6-0DAE6127DB07}"/>
    <cellStyle name="Comma 4 11 2 2 2 3" xfId="31842" xr:uid="{241CE26C-A079-435F-A469-96FE16799EEF}"/>
    <cellStyle name="Comma 4 11 2 2 3" xfId="15066" xr:uid="{8F82DA77-8C67-4850-A44E-9ACB8BE853D7}"/>
    <cellStyle name="Comma 4 11 2 2 4" xfId="25482" xr:uid="{037FF6D5-E3A4-45E4-8492-D31A34AB5ECE}"/>
    <cellStyle name="Comma 4 11 2 3" xfId="9879" xr:uid="{00000000-0005-0000-0000-0000861A0000}"/>
    <cellStyle name="Comma 4 11 2 3 2" xfId="21425" xr:uid="{94C8D4C9-735B-4A48-8533-2DC026118955}"/>
    <cellStyle name="Comma 4 11 2 3 3" xfId="31841" xr:uid="{92F85C3D-0A42-496A-9121-5901E6FE8F51}"/>
    <cellStyle name="Comma 4 11 2 4" xfId="6131" xr:uid="{00000000-0005-0000-0000-0000871A0000}"/>
    <cellStyle name="Comma 4 11 2 4 2" xfId="17717" xr:uid="{4A666674-7ADE-4968-8FF6-EA415FA382FC}"/>
    <cellStyle name="Comma 4 11 2 4 3" xfId="28133" xr:uid="{58B4E6A9-9671-4ADF-9BD0-E76E690A8926}"/>
    <cellStyle name="Comma 4 11 2 5" xfId="15065" xr:uid="{5A724051-5A34-438B-A214-E7D0E7AF1CB9}"/>
    <cellStyle name="Comma 4 11 2 6" xfId="25481" xr:uid="{32D6E1D5-4C64-407F-8153-2368CB9F4F2A}"/>
    <cellStyle name="Comma 4 11 3" xfId="2732" xr:uid="{00000000-0005-0000-0000-0000881A0000}"/>
    <cellStyle name="Comma 4 11 3 2" xfId="9881" xr:uid="{00000000-0005-0000-0000-0000891A0000}"/>
    <cellStyle name="Comma 4 11 3 2 2" xfId="21427" xr:uid="{E7379C16-4CCD-4DEB-8880-9CD420FE981A}"/>
    <cellStyle name="Comma 4 11 3 2 3" xfId="31843" xr:uid="{9ADF0C9C-9986-4B59-8F55-971D2E728BD5}"/>
    <cellStyle name="Comma 4 11 3 3" xfId="15067" xr:uid="{2D4FC9D2-8E46-4F8F-9DBB-454A51E7BF9D}"/>
    <cellStyle name="Comma 4 11 3 4" xfId="25483" xr:uid="{8CDB6BA8-9623-4F0D-BF6D-AC415D6B3B57}"/>
    <cellStyle name="Comma 4 11 4" xfId="9878" xr:uid="{00000000-0005-0000-0000-00008A1A0000}"/>
    <cellStyle name="Comma 4 11 4 2" xfId="21424" xr:uid="{255A4107-A982-4C47-BEA3-477B457810A3}"/>
    <cellStyle name="Comma 4 11 4 3" xfId="31840" xr:uid="{88139A8B-CDD6-45F8-AD44-6B35FAB5A326}"/>
    <cellStyle name="Comma 4 11 5" xfId="6130" xr:uid="{00000000-0005-0000-0000-00008B1A0000}"/>
    <cellStyle name="Comma 4 11 5 2" xfId="17716" xr:uid="{F1DAB24C-AFEC-4A60-8FDC-1AB6EF644855}"/>
    <cellStyle name="Comma 4 11 5 3" xfId="28132" xr:uid="{4F6C0539-76DE-46E9-837A-500B0A0294AC}"/>
    <cellStyle name="Comma 4 11 6" xfId="15064" xr:uid="{260E90A0-DAD9-4EE4-B094-064A0A4A2E13}"/>
    <cellStyle name="Comma 4 11 7" xfId="25480" xr:uid="{6E5B0861-071E-4B19-8FDA-036E075FDB2D}"/>
    <cellStyle name="Comma 4 12" xfId="2733" xr:uid="{00000000-0005-0000-0000-00008C1A0000}"/>
    <cellStyle name="Comma 4 12 2" xfId="2734" xr:uid="{00000000-0005-0000-0000-00008D1A0000}"/>
    <cellStyle name="Comma 4 12 2 2" xfId="9883" xr:uid="{00000000-0005-0000-0000-00008E1A0000}"/>
    <cellStyle name="Comma 4 12 2 2 2" xfId="21429" xr:uid="{04CC03D1-9C04-4203-9991-7F56633E62C3}"/>
    <cellStyle name="Comma 4 12 2 2 3" xfId="31845" xr:uid="{C7625700-F5FD-42DE-92AC-5729E486594B}"/>
    <cellStyle name="Comma 4 12 2 3" xfId="15069" xr:uid="{B6AAEA5D-DBCC-49A9-8818-C2795F5FFCF4}"/>
    <cellStyle name="Comma 4 12 2 4" xfId="25485" xr:uid="{19D05AAB-7973-4531-A2B0-CABD6A2E6F11}"/>
    <cellStyle name="Comma 4 12 3" xfId="9882" xr:uid="{00000000-0005-0000-0000-00008F1A0000}"/>
    <cellStyle name="Comma 4 12 3 2" xfId="21428" xr:uid="{06BAC07D-9853-4817-B492-195113D348D9}"/>
    <cellStyle name="Comma 4 12 3 3" xfId="31844" xr:uid="{FB75330F-61BD-4663-9055-08305EE242EB}"/>
    <cellStyle name="Comma 4 12 4" xfId="6132" xr:uid="{00000000-0005-0000-0000-0000901A0000}"/>
    <cellStyle name="Comma 4 12 4 2" xfId="17718" xr:uid="{91BAEC01-54A8-459C-8F99-B7C840535327}"/>
    <cellStyle name="Comma 4 12 4 3" xfId="28134" xr:uid="{71339E6C-FFA2-4755-A3D7-902FEBAA562C}"/>
    <cellStyle name="Comma 4 12 5" xfId="15068" xr:uid="{C62B4CB8-B7E7-420B-B4B7-B8CD5E4E8AA2}"/>
    <cellStyle name="Comma 4 12 6" xfId="25484" xr:uid="{DF5EF016-E7BF-4F96-B0C0-23894FA6F626}"/>
    <cellStyle name="Comma 4 13" xfId="2735" xr:uid="{00000000-0005-0000-0000-0000911A0000}"/>
    <cellStyle name="Comma 4 13 2" xfId="2736" xr:uid="{00000000-0005-0000-0000-0000921A0000}"/>
    <cellStyle name="Comma 4 13 2 2" xfId="9885" xr:uid="{00000000-0005-0000-0000-0000931A0000}"/>
    <cellStyle name="Comma 4 13 2 2 2" xfId="21431" xr:uid="{F23468B0-D8E3-4723-968A-CE285D3DFBF2}"/>
    <cellStyle name="Comma 4 13 2 2 3" xfId="31847" xr:uid="{912FD54E-5B48-4BBE-A704-0AD2B35BEC8A}"/>
    <cellStyle name="Comma 4 13 2 3" xfId="15071" xr:uid="{CBA3FAED-5883-406E-8CD4-3A811730FC6A}"/>
    <cellStyle name="Comma 4 13 2 4" xfId="25487" xr:uid="{C1458040-4185-4706-A611-C5B4087B3B67}"/>
    <cellStyle name="Comma 4 13 3" xfId="9884" xr:uid="{00000000-0005-0000-0000-0000941A0000}"/>
    <cellStyle name="Comma 4 13 3 2" xfId="21430" xr:uid="{20245526-92BE-457A-938B-47CABA1D8787}"/>
    <cellStyle name="Comma 4 13 3 3" xfId="31846" xr:uid="{762E76C1-7DC5-4864-9F2D-1216AAEE28E7}"/>
    <cellStyle name="Comma 4 13 4" xfId="6133" xr:uid="{00000000-0005-0000-0000-0000951A0000}"/>
    <cellStyle name="Comma 4 13 4 2" xfId="17719" xr:uid="{A246719B-2835-41B4-8BC7-0D62836D88AE}"/>
    <cellStyle name="Comma 4 13 4 3" xfId="28135" xr:uid="{C3810C80-884E-4480-A4C7-F22C45FEFC6D}"/>
    <cellStyle name="Comma 4 13 5" xfId="15070" xr:uid="{E979A3CA-E36E-414D-8454-99B94733756A}"/>
    <cellStyle name="Comma 4 13 6" xfId="25486" xr:uid="{F74171D2-2980-4C6F-A4E7-4A5A953EE3BF}"/>
    <cellStyle name="Comma 4 14" xfId="2737" xr:uid="{00000000-0005-0000-0000-0000961A0000}"/>
    <cellStyle name="Comma 4 14 2" xfId="9886" xr:uid="{00000000-0005-0000-0000-0000971A0000}"/>
    <cellStyle name="Comma 4 14 2 2" xfId="21432" xr:uid="{29E555F9-F372-4FF8-A72B-DE052C2A34F3}"/>
    <cellStyle name="Comma 4 14 2 3" xfId="31848" xr:uid="{E572E209-8DA9-49CA-805C-A3B14A2119BA}"/>
    <cellStyle name="Comma 4 14 3" xfId="15072" xr:uid="{65879711-F62B-45B1-8727-7882D84ABC68}"/>
    <cellStyle name="Comma 4 14 4" xfId="25488" xr:uid="{5458B846-53D0-436F-9EC4-63B4821ADE35}"/>
    <cellStyle name="Comma 4 15" xfId="9871" xr:uid="{00000000-0005-0000-0000-0000981A0000}"/>
    <cellStyle name="Comma 4 15 2" xfId="21417" xr:uid="{75A0DCA1-D499-4056-8762-0E061821A337}"/>
    <cellStyle name="Comma 4 15 3" xfId="31833" xr:uid="{57EF7290-1E87-451F-85FB-333CDE19C57E}"/>
    <cellStyle name="Comma 4 16" xfId="6126" xr:uid="{00000000-0005-0000-0000-0000991A0000}"/>
    <cellStyle name="Comma 4 16 2" xfId="17712" xr:uid="{69A7170A-50BC-4FEF-8F8C-67401F23F5C1}"/>
    <cellStyle name="Comma 4 16 3" xfId="28128" xr:uid="{3A5A9BA5-7384-4EF9-BD83-5A3B41B09E7D}"/>
    <cellStyle name="Comma 4 17" xfId="12329" xr:uid="{00000000-0005-0000-0000-00009A1A0000}"/>
    <cellStyle name="Comma 4 17 2" xfId="22735" xr:uid="{C662A16A-3579-4367-B8A3-7A8D7C48EE9C}"/>
    <cellStyle name="Comma 4 17 3" xfId="33151" xr:uid="{36FC3C1A-E089-46B9-A6D5-5F12C30C430C}"/>
    <cellStyle name="Comma 4 18" xfId="12339" xr:uid="{00000000-0005-0000-0000-00009B1A0000}"/>
    <cellStyle name="Comma 4 18 2" xfId="22745" xr:uid="{80B0C537-F8C3-47BE-A4BB-269BC230FD89}"/>
    <cellStyle name="Comma 4 18 3" xfId="33161" xr:uid="{FF40777D-C46F-4B01-B092-90DD42BEDEE7}"/>
    <cellStyle name="Comma 4 19" xfId="12354" xr:uid="{00000000-0005-0000-0000-00009C1A0000}"/>
    <cellStyle name="Comma 4 19 2" xfId="22760" xr:uid="{CA896112-1404-4C0E-AD86-D9EAC4381EB5}"/>
    <cellStyle name="Comma 4 19 3" xfId="33176" xr:uid="{9229947F-01B3-4E67-B295-358F7DA5709B}"/>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2 2 2" xfId="21436" xr:uid="{BA3D1BAF-F45E-44EA-B40D-9A377D9671F1}"/>
    <cellStyle name="Comma 4 2 10 2 2 2 3" xfId="31852" xr:uid="{C3B6A304-F726-4A4A-B86E-69031B9D59D2}"/>
    <cellStyle name="Comma 4 2 10 2 2 3" xfId="15076" xr:uid="{0E9B2581-083E-4FC0-AAD4-3A49E2BEC2E3}"/>
    <cellStyle name="Comma 4 2 10 2 2 4" xfId="25492" xr:uid="{D76A5669-6E86-4C82-BF10-F001F880765C}"/>
    <cellStyle name="Comma 4 2 10 2 3" xfId="9889" xr:uid="{00000000-0005-0000-0000-0000A21A0000}"/>
    <cellStyle name="Comma 4 2 10 2 3 2" xfId="21435" xr:uid="{DB0937A1-5317-454E-AF73-FC86F838FFCE}"/>
    <cellStyle name="Comma 4 2 10 2 3 3" xfId="31851" xr:uid="{45CB7E2A-0398-4831-BA4E-20AC9C9BFF4C}"/>
    <cellStyle name="Comma 4 2 10 2 4" xfId="6136" xr:uid="{00000000-0005-0000-0000-0000A31A0000}"/>
    <cellStyle name="Comma 4 2 10 2 4 2" xfId="17722" xr:uid="{C4758D2B-FF82-4C47-ADB5-87C67F49C86D}"/>
    <cellStyle name="Comma 4 2 10 2 4 3" xfId="28138" xr:uid="{2B8BEA13-80A7-46C7-947D-8B44E6499E64}"/>
    <cellStyle name="Comma 4 2 10 2 5" xfId="15075" xr:uid="{E9EC5728-3F48-4A06-8A73-63988C24AFA9}"/>
    <cellStyle name="Comma 4 2 10 2 6" xfId="25491" xr:uid="{D1F7E2F7-3F3F-4661-89CF-D24470BD527B}"/>
    <cellStyle name="Comma 4 2 10 3" xfId="2742" xr:uid="{00000000-0005-0000-0000-0000A41A0000}"/>
    <cellStyle name="Comma 4 2 10 3 2" xfId="9891" xr:uid="{00000000-0005-0000-0000-0000A51A0000}"/>
    <cellStyle name="Comma 4 2 10 3 2 2" xfId="21437" xr:uid="{8A780423-4F77-4153-BB2D-8175B0ABBAF0}"/>
    <cellStyle name="Comma 4 2 10 3 2 3" xfId="31853" xr:uid="{51C1B807-F7B1-4A7E-994E-E50CDFCEF5A3}"/>
    <cellStyle name="Comma 4 2 10 3 3" xfId="15077" xr:uid="{70ED6AED-2089-4CC8-BAA9-7DEF3B1D5420}"/>
    <cellStyle name="Comma 4 2 10 3 4" xfId="25493" xr:uid="{1F1BDF7C-A192-4865-BCDC-781FBB430449}"/>
    <cellStyle name="Comma 4 2 10 4" xfId="9888" xr:uid="{00000000-0005-0000-0000-0000A61A0000}"/>
    <cellStyle name="Comma 4 2 10 4 2" xfId="21434" xr:uid="{A1535C55-910B-43E9-988F-BB1B5DD10265}"/>
    <cellStyle name="Comma 4 2 10 4 3" xfId="31850" xr:uid="{4D029A4D-B399-4618-A56A-F6AD5A442F67}"/>
    <cellStyle name="Comma 4 2 10 5" xfId="6135" xr:uid="{00000000-0005-0000-0000-0000A71A0000}"/>
    <cellStyle name="Comma 4 2 10 5 2" xfId="17721" xr:uid="{7377BF45-8CD0-400E-8056-776BBF170674}"/>
    <cellStyle name="Comma 4 2 10 5 3" xfId="28137" xr:uid="{70540CFA-7514-4900-8A12-BD3434A3B796}"/>
    <cellStyle name="Comma 4 2 10 6" xfId="15074" xr:uid="{4806F5A2-3647-4F03-89E4-AEEF004A6AB5}"/>
    <cellStyle name="Comma 4 2 10 7" xfId="25490" xr:uid="{5B3BCA5D-6DE0-4C91-BA4C-68B7BCA4467C}"/>
    <cellStyle name="Comma 4 2 11" xfId="2743" xr:uid="{00000000-0005-0000-0000-0000A81A0000}"/>
    <cellStyle name="Comma 4 2 11 2" xfId="2744" xr:uid="{00000000-0005-0000-0000-0000A91A0000}"/>
    <cellStyle name="Comma 4 2 11 2 2" xfId="9893" xr:uid="{00000000-0005-0000-0000-0000AA1A0000}"/>
    <cellStyle name="Comma 4 2 11 2 2 2" xfId="21439" xr:uid="{0CF9C3C2-743A-4438-A30C-DC848B875C83}"/>
    <cellStyle name="Comma 4 2 11 2 2 3" xfId="31855" xr:uid="{51E11F99-03DC-47AE-BA5B-7E323CD8B6B4}"/>
    <cellStyle name="Comma 4 2 11 2 3" xfId="15079" xr:uid="{4041EA76-FA4E-4998-9E13-90BE3C51218F}"/>
    <cellStyle name="Comma 4 2 11 2 4" xfId="25495" xr:uid="{D85FA07D-CA7E-4E48-8DCF-F15BE2CA30A4}"/>
    <cellStyle name="Comma 4 2 11 3" xfId="9892" xr:uid="{00000000-0005-0000-0000-0000AB1A0000}"/>
    <cellStyle name="Comma 4 2 11 3 2" xfId="21438" xr:uid="{4D8F1825-AAB2-4EA2-8AE8-BB09FAB443EB}"/>
    <cellStyle name="Comma 4 2 11 3 3" xfId="31854" xr:uid="{0DBF8D14-930D-4B92-8B3F-D0F62D211915}"/>
    <cellStyle name="Comma 4 2 11 4" xfId="6137" xr:uid="{00000000-0005-0000-0000-0000AC1A0000}"/>
    <cellStyle name="Comma 4 2 11 4 2" xfId="17723" xr:uid="{FE81CBA2-8302-46E5-938C-FB13283E4617}"/>
    <cellStyle name="Comma 4 2 11 4 3" xfId="28139" xr:uid="{6CA6981D-F88E-446B-8D2F-C0C4771F2C1F}"/>
    <cellStyle name="Comma 4 2 11 5" xfId="15078" xr:uid="{35CE62F7-B971-45BF-A91F-814143F4551A}"/>
    <cellStyle name="Comma 4 2 11 6" xfId="25494" xr:uid="{4D1098ED-F8AA-4D94-A6AA-BDCA1B65773D}"/>
    <cellStyle name="Comma 4 2 12" xfId="2745" xr:uid="{00000000-0005-0000-0000-0000AD1A0000}"/>
    <cellStyle name="Comma 4 2 12 2" xfId="2746" xr:uid="{00000000-0005-0000-0000-0000AE1A0000}"/>
    <cellStyle name="Comma 4 2 12 2 2" xfId="9895" xr:uid="{00000000-0005-0000-0000-0000AF1A0000}"/>
    <cellStyle name="Comma 4 2 12 2 2 2" xfId="21441" xr:uid="{9ED358D3-76FD-4EE8-AF2D-38F6DD39CA96}"/>
    <cellStyle name="Comma 4 2 12 2 2 3" xfId="31857" xr:uid="{C45C6AED-41BC-4472-857A-E697C030C5F7}"/>
    <cellStyle name="Comma 4 2 12 2 3" xfId="15081" xr:uid="{963B620E-2672-4C11-8265-01C1F1EBC5AE}"/>
    <cellStyle name="Comma 4 2 12 2 4" xfId="25497" xr:uid="{48AFD249-4499-436F-996C-871CF220F70A}"/>
    <cellStyle name="Comma 4 2 12 3" xfId="9894" xr:uid="{00000000-0005-0000-0000-0000B01A0000}"/>
    <cellStyle name="Comma 4 2 12 3 2" xfId="21440" xr:uid="{C69B84AF-D566-446C-8EC0-9A72E81F106A}"/>
    <cellStyle name="Comma 4 2 12 3 3" xfId="31856" xr:uid="{41DEB296-31AD-4AB5-8362-22CA385616DA}"/>
    <cellStyle name="Comma 4 2 12 4" xfId="6138" xr:uid="{00000000-0005-0000-0000-0000B11A0000}"/>
    <cellStyle name="Comma 4 2 12 4 2" xfId="17724" xr:uid="{61AFCC07-5424-480C-88D1-B706DA55E0DB}"/>
    <cellStyle name="Comma 4 2 12 4 3" xfId="28140" xr:uid="{F55B99DF-FB5F-4D7C-B2A3-99E490AE924D}"/>
    <cellStyle name="Comma 4 2 12 5" xfId="15080" xr:uid="{D8C3B7BF-A53D-43AB-BC28-D1BA9815F50B}"/>
    <cellStyle name="Comma 4 2 12 6" xfId="25496" xr:uid="{BB4F5BA7-E54C-4BB3-896D-5E4034A5B9ED}"/>
    <cellStyle name="Comma 4 2 13" xfId="2747" xr:uid="{00000000-0005-0000-0000-0000B21A0000}"/>
    <cellStyle name="Comma 4 2 13 2" xfId="9897" xr:uid="{00000000-0005-0000-0000-0000B31A0000}"/>
    <cellStyle name="Comma 4 2 13 2 2" xfId="21443" xr:uid="{91AB5B5E-E47D-413E-AA8E-A41019FAA3E5}"/>
    <cellStyle name="Comma 4 2 13 2 3" xfId="31859" xr:uid="{AF196788-479B-49DD-9DF0-DDE9226BFD5E}"/>
    <cellStyle name="Comma 4 2 13 3" xfId="9896" xr:uid="{00000000-0005-0000-0000-0000B41A0000}"/>
    <cellStyle name="Comma 4 2 13 3 2" xfId="21442" xr:uid="{D701F44B-F4BE-4412-BA36-02CFE228F98F}"/>
    <cellStyle name="Comma 4 2 13 3 3" xfId="31858" xr:uid="{D87FBD56-B107-4FDD-B88F-A6A07BCFDC31}"/>
    <cellStyle name="Comma 4 2 13 4" xfId="6139" xr:uid="{00000000-0005-0000-0000-0000B51A0000}"/>
    <cellStyle name="Comma 4 2 13 4 2" xfId="17725" xr:uid="{057BC188-BB57-4BB7-B495-3D0EA256EEA1}"/>
    <cellStyle name="Comma 4 2 13 4 3" xfId="28141" xr:uid="{65708FB6-ACE7-44E9-9640-F4A3B2B7B1A5}"/>
    <cellStyle name="Comma 4 2 13 5" xfId="15082" xr:uid="{C52330E4-7DCE-49B3-AC16-019F24549B77}"/>
    <cellStyle name="Comma 4 2 13 6" xfId="25498" xr:uid="{A5E3866B-45D2-4A5C-AA8F-7B96DD2FD0CD}"/>
    <cellStyle name="Comma 4 2 14" xfId="2738" xr:uid="{00000000-0005-0000-0000-0000B61A0000}"/>
    <cellStyle name="Comma 4 2 14 2" xfId="9898" xr:uid="{00000000-0005-0000-0000-0000B71A0000}"/>
    <cellStyle name="Comma 4 2 14 2 2" xfId="21444" xr:uid="{A7C4D9B8-B562-4C0A-9B27-60E8527D3BF7}"/>
    <cellStyle name="Comma 4 2 14 2 3" xfId="31860" xr:uid="{534AC36E-8C76-44D1-8144-3D118F8EF246}"/>
    <cellStyle name="Comma 4 2 14 3" xfId="15073" xr:uid="{2F14229E-1570-443F-B1B0-F2894B13FDB7}"/>
    <cellStyle name="Comma 4 2 14 4" xfId="25489" xr:uid="{0244730B-711A-43F8-ACB8-BF53E43ACDF1}"/>
    <cellStyle name="Comma 4 2 15" xfId="9887" xr:uid="{00000000-0005-0000-0000-0000B81A0000}"/>
    <cellStyle name="Comma 4 2 15 2" xfId="21433" xr:uid="{E5B874D0-E4BB-42FF-AC36-93CAD035EE56}"/>
    <cellStyle name="Comma 4 2 15 3" xfId="31849" xr:uid="{2BFAB891-7ECE-415E-967C-60DBAEC37717}"/>
    <cellStyle name="Comma 4 2 16" xfId="12310" xr:uid="{00000000-0005-0000-0000-0000B91A0000}"/>
    <cellStyle name="Comma 4 2 16 2" xfId="22727" xr:uid="{3988CEE0-42FD-45B0-A6E5-BE0C8CD6EF11}"/>
    <cellStyle name="Comma 4 2 16 3" xfId="33143" xr:uid="{73320EBE-59BF-41C4-BC83-F25628278BBD}"/>
    <cellStyle name="Comma 4 2 17" xfId="6134" xr:uid="{00000000-0005-0000-0000-0000BA1A0000}"/>
    <cellStyle name="Comma 4 2 17 2" xfId="17720" xr:uid="{21963E3F-1241-4549-AA68-961D7686FD58}"/>
    <cellStyle name="Comma 4 2 17 3" xfId="28136" xr:uid="{6A2811A5-8BDE-414A-A67A-AD30B8DC2CC7}"/>
    <cellStyle name="Comma 4 2 18" xfId="12328" xr:uid="{00000000-0005-0000-0000-0000BB1A0000}"/>
    <cellStyle name="Comma 4 2 18 2" xfId="22734" xr:uid="{7C84B246-1748-4102-B99E-7CCA0A874B4A}"/>
    <cellStyle name="Comma 4 2 18 3" xfId="33150" xr:uid="{2545454C-10EE-40DC-8ED5-86D03B863711}"/>
    <cellStyle name="Comma 4 2 19" xfId="12338" xr:uid="{00000000-0005-0000-0000-0000BC1A0000}"/>
    <cellStyle name="Comma 4 2 19 2" xfId="22744" xr:uid="{32EA2969-8F6F-4C65-9A55-0E2145C59DEE}"/>
    <cellStyle name="Comma 4 2 19 3" xfId="33160" xr:uid="{DC9B06D2-2FD5-4DFA-B639-7EE4DCDC7CB5}"/>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2 2 2" xfId="21447" xr:uid="{1964E958-32CD-475B-9E1C-4997D77D06EA}"/>
    <cellStyle name="Comma 4 2 2 10 2 2 3" xfId="31863" xr:uid="{45766644-3E42-4C8F-8CF8-DBC5C64CD174}"/>
    <cellStyle name="Comma 4 2 2 10 2 3" xfId="15085" xr:uid="{E6FCC27D-07CD-4C50-8E83-465427C94ECD}"/>
    <cellStyle name="Comma 4 2 2 10 2 4" xfId="25501" xr:uid="{A5DC959D-5D1C-4597-B0F9-DBB5534D3D5A}"/>
    <cellStyle name="Comma 4 2 2 10 3" xfId="9900" xr:uid="{00000000-0005-0000-0000-0000C11A0000}"/>
    <cellStyle name="Comma 4 2 2 10 3 2" xfId="21446" xr:uid="{958237CB-33D7-4313-86F7-43B951E0385D}"/>
    <cellStyle name="Comma 4 2 2 10 3 3" xfId="31862" xr:uid="{7F50097D-84DB-4040-B259-64CF58328C7A}"/>
    <cellStyle name="Comma 4 2 2 10 4" xfId="6141" xr:uid="{00000000-0005-0000-0000-0000C21A0000}"/>
    <cellStyle name="Comma 4 2 2 10 4 2" xfId="17727" xr:uid="{949B8E22-186B-44A8-AC66-E00AB66B012F}"/>
    <cellStyle name="Comma 4 2 2 10 4 3" xfId="28143" xr:uid="{F6AE063A-3EB7-4766-93D7-42E9CD4C0379}"/>
    <cellStyle name="Comma 4 2 2 10 5" xfId="15084" xr:uid="{B546918B-707A-43DF-9D1E-7479FA29ABCC}"/>
    <cellStyle name="Comma 4 2 2 10 6" xfId="25500" xr:uid="{E391D34A-6E71-4EDA-9059-C0F70B4B5A27}"/>
    <cellStyle name="Comma 4 2 2 11" xfId="2751" xr:uid="{00000000-0005-0000-0000-0000C31A0000}"/>
    <cellStyle name="Comma 4 2 2 11 2" xfId="9902" xr:uid="{00000000-0005-0000-0000-0000C41A0000}"/>
    <cellStyle name="Comma 4 2 2 11 2 2" xfId="21448" xr:uid="{6D7E4C3B-C1B8-4932-A29B-173F5475EE28}"/>
    <cellStyle name="Comma 4 2 2 11 2 3" xfId="31864" xr:uid="{8D23044E-9733-4D46-9E9A-F810621ED62F}"/>
    <cellStyle name="Comma 4 2 2 11 3" xfId="15086" xr:uid="{BE86B6FC-B09D-461E-974C-288161B1F229}"/>
    <cellStyle name="Comma 4 2 2 11 4" xfId="25502" xr:uid="{DCCD0511-C46F-410D-8623-197E8AEE8E85}"/>
    <cellStyle name="Comma 4 2 2 12" xfId="9899" xr:uid="{00000000-0005-0000-0000-0000C51A0000}"/>
    <cellStyle name="Comma 4 2 2 12 2" xfId="21445" xr:uid="{2B605BA8-76A6-4C70-946D-B72DA6833EFD}"/>
    <cellStyle name="Comma 4 2 2 12 3" xfId="31861" xr:uid="{7B80B85D-C8B9-4195-A3B8-BF23B9F71AEA}"/>
    <cellStyle name="Comma 4 2 2 13" xfId="6140" xr:uid="{00000000-0005-0000-0000-0000C61A0000}"/>
    <cellStyle name="Comma 4 2 2 13 2" xfId="17726" xr:uid="{485EA5BD-6B64-45B6-92BF-B70BEDD1871E}"/>
    <cellStyle name="Comma 4 2 2 13 3" xfId="28142" xr:uid="{CBAE8FE3-F754-47D2-A96D-29A0BADD034D}"/>
    <cellStyle name="Comma 4 2 2 14" xfId="12333" xr:uid="{00000000-0005-0000-0000-0000C71A0000}"/>
    <cellStyle name="Comma 4 2 2 14 2" xfId="22739" xr:uid="{0D75432E-592B-4176-917B-7873E4CBDEBE}"/>
    <cellStyle name="Comma 4 2 2 14 3" xfId="33155" xr:uid="{01237048-424B-4E1C-8D08-9B752088447F}"/>
    <cellStyle name="Comma 4 2 2 15" xfId="12343" xr:uid="{00000000-0005-0000-0000-0000C81A0000}"/>
    <cellStyle name="Comma 4 2 2 15 2" xfId="22749" xr:uid="{692517A7-3C7B-440C-A281-93D6E0C29D72}"/>
    <cellStyle name="Comma 4 2 2 15 3" xfId="33165" xr:uid="{17CBBEE0-83E3-43ED-BDA7-6B1EB8ED7F52}"/>
    <cellStyle name="Comma 4 2 2 16" xfId="12358" xr:uid="{00000000-0005-0000-0000-0000C91A0000}"/>
    <cellStyle name="Comma 4 2 2 16 2" xfId="22764" xr:uid="{C7966A1F-550B-412A-B405-C199F9229564}"/>
    <cellStyle name="Comma 4 2 2 16 3" xfId="33180" xr:uid="{4ADBAD0D-BCFF-4D54-8C00-D98613BC6388}"/>
    <cellStyle name="Comma 4 2 2 17" xfId="15083" xr:uid="{D1783B26-EB88-4D44-86B4-19B424D5629B}"/>
    <cellStyle name="Comma 4 2 2 18" xfId="25499" xr:uid="{C0D8F58D-8E27-4E16-B4E4-2E2DB37F421A}"/>
    <cellStyle name="Comma 4 2 2 2" xfId="2752" xr:uid="{00000000-0005-0000-0000-0000CA1A0000}"/>
    <cellStyle name="Comma 4 2 2 2 10" xfId="2753" xr:uid="{00000000-0005-0000-0000-0000CB1A0000}"/>
    <cellStyle name="Comma 4 2 2 2 10 2" xfId="9904" xr:uid="{00000000-0005-0000-0000-0000CC1A0000}"/>
    <cellStyle name="Comma 4 2 2 2 10 2 2" xfId="21450" xr:uid="{903BF576-FD59-4C14-BB83-F7783A864C10}"/>
    <cellStyle name="Comma 4 2 2 2 10 2 3" xfId="31866" xr:uid="{2799074F-3A42-4B17-9073-51F6C11C156F}"/>
    <cellStyle name="Comma 4 2 2 2 10 3" xfId="15088" xr:uid="{1CE2CEC1-8BBA-4B54-A319-F74D9E8AD0C1}"/>
    <cellStyle name="Comma 4 2 2 2 10 4" xfId="25504" xr:uid="{948CFB21-B3E9-4D99-8F05-A2C4B6F43856}"/>
    <cellStyle name="Comma 4 2 2 2 11" xfId="9903" xr:uid="{00000000-0005-0000-0000-0000CD1A0000}"/>
    <cellStyle name="Comma 4 2 2 2 11 2" xfId="21449" xr:uid="{7203B15C-BC0F-48DA-99D9-776B56F56092}"/>
    <cellStyle name="Comma 4 2 2 2 11 3" xfId="31865" xr:uid="{A3B1BEE4-AF2E-426F-8D77-CCC696D60656}"/>
    <cellStyle name="Comma 4 2 2 2 12" xfId="6142" xr:uid="{00000000-0005-0000-0000-0000CE1A0000}"/>
    <cellStyle name="Comma 4 2 2 2 12 2" xfId="17728" xr:uid="{D183DE4D-E172-4BA4-AA83-42D14D18FEB0}"/>
    <cellStyle name="Comma 4 2 2 2 12 3" xfId="28144" xr:uid="{46177AD3-8BED-438F-8602-A8BC744EC775}"/>
    <cellStyle name="Comma 4 2 2 2 13" xfId="15087" xr:uid="{EE80632A-0F65-4C2D-A119-B17751F001D1}"/>
    <cellStyle name="Comma 4 2 2 2 14" xfId="25503" xr:uid="{6760A7AB-6268-471F-BFEE-F245C7C2A2A7}"/>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2 2 2" xfId="21454" xr:uid="{0BE78B46-222B-4436-B0E9-B06B8D383DFE}"/>
    <cellStyle name="Comma 4 2 2 2 2 2 2 2 2 3" xfId="31870" xr:uid="{9D396529-76ED-4091-95DA-800DC19059ED}"/>
    <cellStyle name="Comma 4 2 2 2 2 2 2 2 3" xfId="15092" xr:uid="{F1CD8ABE-3C1F-4597-8129-D7FD75F7EF09}"/>
    <cellStyle name="Comma 4 2 2 2 2 2 2 2 4" xfId="25508" xr:uid="{630F5102-DAD0-430D-AD9D-3B707C3468CA}"/>
    <cellStyle name="Comma 4 2 2 2 2 2 2 3" xfId="9907" xr:uid="{00000000-0005-0000-0000-0000D41A0000}"/>
    <cellStyle name="Comma 4 2 2 2 2 2 2 3 2" xfId="21453" xr:uid="{6C6806A6-08EB-49FA-A542-4ED8A8730F47}"/>
    <cellStyle name="Comma 4 2 2 2 2 2 2 3 3" xfId="31869" xr:uid="{16584EC5-12B7-4E4C-B7F5-A15F00221AD7}"/>
    <cellStyle name="Comma 4 2 2 2 2 2 2 4" xfId="6145" xr:uid="{00000000-0005-0000-0000-0000D51A0000}"/>
    <cellStyle name="Comma 4 2 2 2 2 2 2 4 2" xfId="17731" xr:uid="{32CF9BD0-938D-4E7D-96A1-F73EA67E6341}"/>
    <cellStyle name="Comma 4 2 2 2 2 2 2 4 3" xfId="28147" xr:uid="{27FD6657-3BB6-441D-A7BE-2AD1256174B6}"/>
    <cellStyle name="Comma 4 2 2 2 2 2 2 5" xfId="15091" xr:uid="{DC60A818-23A8-479D-9349-421BD89EAA1E}"/>
    <cellStyle name="Comma 4 2 2 2 2 2 2 6" xfId="25507" xr:uid="{C15E1167-E62C-4C2D-85A7-62280EDCD8D4}"/>
    <cellStyle name="Comma 4 2 2 2 2 2 3" xfId="2758" xr:uid="{00000000-0005-0000-0000-0000D61A0000}"/>
    <cellStyle name="Comma 4 2 2 2 2 2 3 2" xfId="9909" xr:uid="{00000000-0005-0000-0000-0000D71A0000}"/>
    <cellStyle name="Comma 4 2 2 2 2 2 3 2 2" xfId="21455" xr:uid="{17C68196-87A3-433C-A5EC-6388D61C1470}"/>
    <cellStyle name="Comma 4 2 2 2 2 2 3 2 3" xfId="31871" xr:uid="{D3E3C84D-44C3-40AC-92FB-F660B55AE2AD}"/>
    <cellStyle name="Comma 4 2 2 2 2 2 3 3" xfId="15093" xr:uid="{27954D0A-3850-4288-BA34-4A3D19FA7A14}"/>
    <cellStyle name="Comma 4 2 2 2 2 2 3 4" xfId="25509" xr:uid="{61C500A0-79D5-4771-A1C3-E7F7F8303FF6}"/>
    <cellStyle name="Comma 4 2 2 2 2 2 4" xfId="9906" xr:uid="{00000000-0005-0000-0000-0000D81A0000}"/>
    <cellStyle name="Comma 4 2 2 2 2 2 4 2" xfId="21452" xr:uid="{EA5D634D-2B50-4E3F-978B-448DBC5D3199}"/>
    <cellStyle name="Comma 4 2 2 2 2 2 4 3" xfId="31868" xr:uid="{6CBF9E43-B890-44FB-8ADE-87182DB97C9A}"/>
    <cellStyle name="Comma 4 2 2 2 2 2 5" xfId="6144" xr:uid="{00000000-0005-0000-0000-0000D91A0000}"/>
    <cellStyle name="Comma 4 2 2 2 2 2 5 2" xfId="17730" xr:uid="{D99C8AFE-82C3-4FA6-AC35-0332287C2C76}"/>
    <cellStyle name="Comma 4 2 2 2 2 2 5 3" xfId="28146" xr:uid="{F93782F4-5F9C-4BB4-A154-ECEABC6CF547}"/>
    <cellStyle name="Comma 4 2 2 2 2 2 6" xfId="15090" xr:uid="{9FB761F2-26F0-4909-B54B-66CD3DE4FEA7}"/>
    <cellStyle name="Comma 4 2 2 2 2 2 7" xfId="25506" xr:uid="{81F305B3-7143-4BD9-8BFD-4292FA3AC840}"/>
    <cellStyle name="Comma 4 2 2 2 2 3" xfId="2759" xr:uid="{00000000-0005-0000-0000-0000DA1A0000}"/>
    <cellStyle name="Comma 4 2 2 2 2 3 2" xfId="2760" xr:uid="{00000000-0005-0000-0000-0000DB1A0000}"/>
    <cellStyle name="Comma 4 2 2 2 2 3 2 2" xfId="9911" xr:uid="{00000000-0005-0000-0000-0000DC1A0000}"/>
    <cellStyle name="Comma 4 2 2 2 2 3 2 2 2" xfId="21457" xr:uid="{ECCAEF17-A5B0-4A44-BACA-C02578FE5559}"/>
    <cellStyle name="Comma 4 2 2 2 2 3 2 2 3" xfId="31873" xr:uid="{32EF86FD-9CC6-4151-95CB-8B75C727C596}"/>
    <cellStyle name="Comma 4 2 2 2 2 3 2 3" xfId="15095" xr:uid="{11D11E35-9EDB-4B4D-9645-A35C90FC025D}"/>
    <cellStyle name="Comma 4 2 2 2 2 3 2 4" xfId="25511" xr:uid="{E6965C2E-32DC-49B6-9F1C-CC8EF0F2AABB}"/>
    <cellStyle name="Comma 4 2 2 2 2 3 3" xfId="9910" xr:uid="{00000000-0005-0000-0000-0000DD1A0000}"/>
    <cellStyle name="Comma 4 2 2 2 2 3 3 2" xfId="21456" xr:uid="{1CC14B82-CC11-447C-BAD3-0D7B35974C12}"/>
    <cellStyle name="Comma 4 2 2 2 2 3 3 3" xfId="31872" xr:uid="{51B63BAE-BDE6-44B4-9CCC-0D2473D4F5D2}"/>
    <cellStyle name="Comma 4 2 2 2 2 3 4" xfId="6146" xr:uid="{00000000-0005-0000-0000-0000DE1A0000}"/>
    <cellStyle name="Comma 4 2 2 2 2 3 4 2" xfId="17732" xr:uid="{1DD94A9C-654A-47EF-A14D-445B95BC45F5}"/>
    <cellStyle name="Comma 4 2 2 2 2 3 4 3" xfId="28148" xr:uid="{2D8125A9-F3BB-469C-9941-992F7D46F8F2}"/>
    <cellStyle name="Comma 4 2 2 2 2 3 5" xfId="15094" xr:uid="{C98B2677-AB1B-4EAF-9BF1-CEB704A8421B}"/>
    <cellStyle name="Comma 4 2 2 2 2 3 6" xfId="25510" xr:uid="{D2128C2C-F804-41E8-A686-F670A43F279A}"/>
    <cellStyle name="Comma 4 2 2 2 2 4" xfId="2761" xr:uid="{00000000-0005-0000-0000-0000DF1A0000}"/>
    <cellStyle name="Comma 4 2 2 2 2 4 2" xfId="2762" xr:uid="{00000000-0005-0000-0000-0000E01A0000}"/>
    <cellStyle name="Comma 4 2 2 2 2 4 2 2" xfId="9913" xr:uid="{00000000-0005-0000-0000-0000E11A0000}"/>
    <cellStyle name="Comma 4 2 2 2 2 4 2 2 2" xfId="21459" xr:uid="{A8D9DA1F-9D98-4DD8-B87B-D2CA924246E4}"/>
    <cellStyle name="Comma 4 2 2 2 2 4 2 2 3" xfId="31875" xr:uid="{CF35610D-7E82-4E92-B126-B9FD467D1AD2}"/>
    <cellStyle name="Comma 4 2 2 2 2 4 2 3" xfId="15097" xr:uid="{2874CAFE-8538-4451-A0B8-E614DFB526D8}"/>
    <cellStyle name="Comma 4 2 2 2 2 4 2 4" xfId="25513" xr:uid="{FD838776-A9C1-476A-A10A-5F54D120BDBD}"/>
    <cellStyle name="Comma 4 2 2 2 2 4 3" xfId="9912" xr:uid="{00000000-0005-0000-0000-0000E21A0000}"/>
    <cellStyle name="Comma 4 2 2 2 2 4 3 2" xfId="21458" xr:uid="{694E1DCB-FA64-4DC8-9BE4-91119E2C5A77}"/>
    <cellStyle name="Comma 4 2 2 2 2 4 3 3" xfId="31874" xr:uid="{F36F35DA-2517-4DD5-8E56-D711FF0AA253}"/>
    <cellStyle name="Comma 4 2 2 2 2 4 4" xfId="6147" xr:uid="{00000000-0005-0000-0000-0000E31A0000}"/>
    <cellStyle name="Comma 4 2 2 2 2 4 4 2" xfId="17733" xr:uid="{8295E8DD-DF87-41B1-A62C-98BB98C43810}"/>
    <cellStyle name="Comma 4 2 2 2 2 4 4 3" xfId="28149" xr:uid="{A029CA0E-D86D-43BE-8233-18FE1E6F9D1F}"/>
    <cellStyle name="Comma 4 2 2 2 2 4 5" xfId="15096" xr:uid="{75F916CF-CA5B-4451-94CA-072A84CEB1CC}"/>
    <cellStyle name="Comma 4 2 2 2 2 4 6" xfId="25512" xr:uid="{BA848F08-77C7-46B7-8E00-C20E835AB488}"/>
    <cellStyle name="Comma 4 2 2 2 2 5" xfId="2763" xr:uid="{00000000-0005-0000-0000-0000E41A0000}"/>
    <cellStyle name="Comma 4 2 2 2 2 5 2" xfId="9914" xr:uid="{00000000-0005-0000-0000-0000E51A0000}"/>
    <cellStyle name="Comma 4 2 2 2 2 5 2 2" xfId="21460" xr:uid="{E09125C6-C195-486F-B265-D9912EEA697B}"/>
    <cellStyle name="Comma 4 2 2 2 2 5 2 3" xfId="31876" xr:uid="{DF93F192-85E7-43F6-B877-58C044253D40}"/>
    <cellStyle name="Comma 4 2 2 2 2 5 3" xfId="15098" xr:uid="{544689DF-A81D-4BB7-AFE4-84B9C9B85019}"/>
    <cellStyle name="Comma 4 2 2 2 2 5 4" xfId="25514" xr:uid="{F553D446-382E-4926-BBCA-2B86BCEC0539}"/>
    <cellStyle name="Comma 4 2 2 2 2 6" xfId="9905" xr:uid="{00000000-0005-0000-0000-0000E61A0000}"/>
    <cellStyle name="Comma 4 2 2 2 2 6 2" xfId="21451" xr:uid="{CAB09FDD-E2D3-4FB6-8A85-2963C2A6E01B}"/>
    <cellStyle name="Comma 4 2 2 2 2 6 3" xfId="31867" xr:uid="{D389688E-6C42-429D-9FDC-8BE9A328530C}"/>
    <cellStyle name="Comma 4 2 2 2 2 7" xfId="6143" xr:uid="{00000000-0005-0000-0000-0000E71A0000}"/>
    <cellStyle name="Comma 4 2 2 2 2 7 2" xfId="17729" xr:uid="{FE9FB80E-05AE-4C22-B3AB-0E2499DD6415}"/>
    <cellStyle name="Comma 4 2 2 2 2 7 3" xfId="28145" xr:uid="{5CD98A8E-834B-48BD-8C69-BD8F6FB148E0}"/>
    <cellStyle name="Comma 4 2 2 2 2 8" xfId="15089" xr:uid="{F56548DF-726E-478F-A660-8D376E5B21D6}"/>
    <cellStyle name="Comma 4 2 2 2 2 9" xfId="25505" xr:uid="{4457AB88-4428-46BC-93CD-9CB904F24B83}"/>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2 2 2" xfId="21464" xr:uid="{4D788632-AD00-4AB4-8F07-160DA657E185}"/>
    <cellStyle name="Comma 4 2 2 2 3 2 2 2 2 3" xfId="31880" xr:uid="{406ACD8C-1571-4249-A74E-29C3534B471D}"/>
    <cellStyle name="Comma 4 2 2 2 3 2 2 2 3" xfId="15102" xr:uid="{75CD8DD2-AA11-4CEE-92C1-8E2FF5D93E44}"/>
    <cellStyle name="Comma 4 2 2 2 3 2 2 2 4" xfId="25518" xr:uid="{6C6C5C1B-4CA2-4362-832E-3A4496504DBC}"/>
    <cellStyle name="Comma 4 2 2 2 3 2 2 3" xfId="9917" xr:uid="{00000000-0005-0000-0000-0000ED1A0000}"/>
    <cellStyle name="Comma 4 2 2 2 3 2 2 3 2" xfId="21463" xr:uid="{5D61D9DD-1798-44FD-BA3D-1D99746B497E}"/>
    <cellStyle name="Comma 4 2 2 2 3 2 2 3 3" xfId="31879" xr:uid="{1AC1B6EF-2C39-4499-B879-ED4E9B69EAE3}"/>
    <cellStyle name="Comma 4 2 2 2 3 2 2 4" xfId="6150" xr:uid="{00000000-0005-0000-0000-0000EE1A0000}"/>
    <cellStyle name="Comma 4 2 2 2 3 2 2 4 2" xfId="17736" xr:uid="{3C161AC6-F25C-43C2-BA85-19C6CBCCB4FB}"/>
    <cellStyle name="Comma 4 2 2 2 3 2 2 4 3" xfId="28152" xr:uid="{13F2F37C-BAC2-4AB9-B2DD-7E4654815025}"/>
    <cellStyle name="Comma 4 2 2 2 3 2 2 5" xfId="15101" xr:uid="{3FF23899-35C2-4EF3-8CAB-306F41C7D85C}"/>
    <cellStyle name="Comma 4 2 2 2 3 2 2 6" xfId="25517" xr:uid="{1EAFEE78-0B7C-4D92-9C20-B4C4D63511E9}"/>
    <cellStyle name="Comma 4 2 2 2 3 2 3" xfId="2768" xr:uid="{00000000-0005-0000-0000-0000EF1A0000}"/>
    <cellStyle name="Comma 4 2 2 2 3 2 3 2" xfId="9919" xr:uid="{00000000-0005-0000-0000-0000F01A0000}"/>
    <cellStyle name="Comma 4 2 2 2 3 2 3 2 2" xfId="21465" xr:uid="{09E22D1C-9A8C-47A5-871A-F00F78BF01A3}"/>
    <cellStyle name="Comma 4 2 2 2 3 2 3 2 3" xfId="31881" xr:uid="{CC4330E2-85A6-4073-8881-A8C7111C5883}"/>
    <cellStyle name="Comma 4 2 2 2 3 2 3 3" xfId="15103" xr:uid="{0D7D0099-65DE-4BCF-BDAB-AF586D55DDD0}"/>
    <cellStyle name="Comma 4 2 2 2 3 2 3 4" xfId="25519" xr:uid="{83085315-1A9F-40F5-B4FE-5EDE1C71CAB2}"/>
    <cellStyle name="Comma 4 2 2 2 3 2 4" xfId="9916" xr:uid="{00000000-0005-0000-0000-0000F11A0000}"/>
    <cellStyle name="Comma 4 2 2 2 3 2 4 2" xfId="21462" xr:uid="{C09CB5B2-2F2E-4551-AC67-5BC65712DFF2}"/>
    <cellStyle name="Comma 4 2 2 2 3 2 4 3" xfId="31878" xr:uid="{AC29B055-7133-4735-BCBD-0D2B71CB0218}"/>
    <cellStyle name="Comma 4 2 2 2 3 2 5" xfId="6149" xr:uid="{00000000-0005-0000-0000-0000F21A0000}"/>
    <cellStyle name="Comma 4 2 2 2 3 2 5 2" xfId="17735" xr:uid="{6C4E75A0-7E1C-4FCE-9644-EA5753C72676}"/>
    <cellStyle name="Comma 4 2 2 2 3 2 5 3" xfId="28151" xr:uid="{69346F32-9419-48B9-A54D-47035345712D}"/>
    <cellStyle name="Comma 4 2 2 2 3 2 6" xfId="15100" xr:uid="{F3E9EE8D-D550-43F7-840B-9A584D499D16}"/>
    <cellStyle name="Comma 4 2 2 2 3 2 7" xfId="25516" xr:uid="{DAC04EF1-216B-4F85-9179-83938FEDEACC}"/>
    <cellStyle name="Comma 4 2 2 2 3 3" xfId="2769" xr:uid="{00000000-0005-0000-0000-0000F31A0000}"/>
    <cellStyle name="Comma 4 2 2 2 3 3 2" xfId="2770" xr:uid="{00000000-0005-0000-0000-0000F41A0000}"/>
    <cellStyle name="Comma 4 2 2 2 3 3 2 2" xfId="9921" xr:uid="{00000000-0005-0000-0000-0000F51A0000}"/>
    <cellStyle name="Comma 4 2 2 2 3 3 2 2 2" xfId="21467" xr:uid="{FDC7C0EB-85FF-4D57-801E-6DE9BA42F867}"/>
    <cellStyle name="Comma 4 2 2 2 3 3 2 2 3" xfId="31883" xr:uid="{D577230A-F8F9-4D2E-BC4B-61E57E27CD77}"/>
    <cellStyle name="Comma 4 2 2 2 3 3 2 3" xfId="15105" xr:uid="{6FF2B0B7-D716-4538-97BC-3E7A7C6EADA3}"/>
    <cellStyle name="Comma 4 2 2 2 3 3 2 4" xfId="25521" xr:uid="{7506630E-B4B5-4D62-9911-548154C78849}"/>
    <cellStyle name="Comma 4 2 2 2 3 3 3" xfId="9920" xr:uid="{00000000-0005-0000-0000-0000F61A0000}"/>
    <cellStyle name="Comma 4 2 2 2 3 3 3 2" xfId="21466" xr:uid="{CCB45B9F-A54B-4B3A-A52D-E6365466D1D7}"/>
    <cellStyle name="Comma 4 2 2 2 3 3 3 3" xfId="31882" xr:uid="{1EFCDDB6-F27B-4C88-BB3A-3FC4511B692A}"/>
    <cellStyle name="Comma 4 2 2 2 3 3 4" xfId="6151" xr:uid="{00000000-0005-0000-0000-0000F71A0000}"/>
    <cellStyle name="Comma 4 2 2 2 3 3 4 2" xfId="17737" xr:uid="{C6E9A64F-7014-498C-9AAB-34F7266A30D5}"/>
    <cellStyle name="Comma 4 2 2 2 3 3 4 3" xfId="28153" xr:uid="{F73B653E-227E-409B-ACF5-DECB3D5B01C1}"/>
    <cellStyle name="Comma 4 2 2 2 3 3 5" xfId="15104" xr:uid="{DE6FC6AD-13CB-49B2-AE1F-EAE45E731B4F}"/>
    <cellStyle name="Comma 4 2 2 2 3 3 6" xfId="25520" xr:uid="{2250179A-4485-401B-9E74-01741BD45723}"/>
    <cellStyle name="Comma 4 2 2 2 3 4" xfId="2771" xr:uid="{00000000-0005-0000-0000-0000F81A0000}"/>
    <cellStyle name="Comma 4 2 2 2 3 4 2" xfId="2772" xr:uid="{00000000-0005-0000-0000-0000F91A0000}"/>
    <cellStyle name="Comma 4 2 2 2 3 4 2 2" xfId="9923" xr:uid="{00000000-0005-0000-0000-0000FA1A0000}"/>
    <cellStyle name="Comma 4 2 2 2 3 4 2 2 2" xfId="21469" xr:uid="{80A7DBBB-BF67-45F0-8EC1-54D7E0B12DD4}"/>
    <cellStyle name="Comma 4 2 2 2 3 4 2 2 3" xfId="31885" xr:uid="{102C289B-5960-436D-9142-B7189A896049}"/>
    <cellStyle name="Comma 4 2 2 2 3 4 2 3" xfId="15107" xr:uid="{8546C52F-A847-4F38-97B6-D71425A4E8AC}"/>
    <cellStyle name="Comma 4 2 2 2 3 4 2 4" xfId="25523" xr:uid="{F3D13EFF-5D02-4E64-BED0-3E799E984A4F}"/>
    <cellStyle name="Comma 4 2 2 2 3 4 3" xfId="9922" xr:uid="{00000000-0005-0000-0000-0000FB1A0000}"/>
    <cellStyle name="Comma 4 2 2 2 3 4 3 2" xfId="21468" xr:uid="{8428C805-565C-43E5-A6F3-A46CB9880FE7}"/>
    <cellStyle name="Comma 4 2 2 2 3 4 3 3" xfId="31884" xr:uid="{752A2414-E032-411C-B279-46603FCC7F7F}"/>
    <cellStyle name="Comma 4 2 2 2 3 4 4" xfId="6152" xr:uid="{00000000-0005-0000-0000-0000FC1A0000}"/>
    <cellStyle name="Comma 4 2 2 2 3 4 4 2" xfId="17738" xr:uid="{A481B319-E930-4241-A279-8EDCA1D816C3}"/>
    <cellStyle name="Comma 4 2 2 2 3 4 4 3" xfId="28154" xr:uid="{EC9963F1-1ABC-4191-A024-CBED4B6A784E}"/>
    <cellStyle name="Comma 4 2 2 2 3 4 5" xfId="15106" xr:uid="{10AC982C-260C-45DE-9DE5-965498CEDD8F}"/>
    <cellStyle name="Comma 4 2 2 2 3 4 6" xfId="25522" xr:uid="{B2C242B7-D4D6-436A-8013-73F5C4D97597}"/>
    <cellStyle name="Comma 4 2 2 2 3 5" xfId="2773" xr:uid="{00000000-0005-0000-0000-0000FD1A0000}"/>
    <cellStyle name="Comma 4 2 2 2 3 5 2" xfId="9924" xr:uid="{00000000-0005-0000-0000-0000FE1A0000}"/>
    <cellStyle name="Comma 4 2 2 2 3 5 2 2" xfId="21470" xr:uid="{444ADDBD-26AB-43E5-A61A-61DCBA4B8ED7}"/>
    <cellStyle name="Comma 4 2 2 2 3 5 2 3" xfId="31886" xr:uid="{89D65902-C4CC-44D1-A9AE-7779804D8FFF}"/>
    <cellStyle name="Comma 4 2 2 2 3 5 3" xfId="15108" xr:uid="{2992B827-01F1-4FA5-BC3E-4EC82041A902}"/>
    <cellStyle name="Comma 4 2 2 2 3 5 4" xfId="25524" xr:uid="{9C0183F4-6203-4618-A302-09B937799601}"/>
    <cellStyle name="Comma 4 2 2 2 3 6" xfId="9915" xr:uid="{00000000-0005-0000-0000-0000FF1A0000}"/>
    <cellStyle name="Comma 4 2 2 2 3 6 2" xfId="21461" xr:uid="{02F7A32E-DD1D-4638-889A-F837857EAA5D}"/>
    <cellStyle name="Comma 4 2 2 2 3 6 3" xfId="31877" xr:uid="{6C0C08D1-2B6E-4F9E-8782-C69D7A890650}"/>
    <cellStyle name="Comma 4 2 2 2 3 7" xfId="6148" xr:uid="{00000000-0005-0000-0000-0000001B0000}"/>
    <cellStyle name="Comma 4 2 2 2 3 7 2" xfId="17734" xr:uid="{8B6B0630-8077-4E82-A3BE-8F9001F58798}"/>
    <cellStyle name="Comma 4 2 2 2 3 7 3" xfId="28150" xr:uid="{148C6FDE-5283-463D-8550-C42AEB3894EE}"/>
    <cellStyle name="Comma 4 2 2 2 3 8" xfId="15099" xr:uid="{FD5707B8-696C-4E42-8516-765C734C8C37}"/>
    <cellStyle name="Comma 4 2 2 2 3 9" xfId="25515" xr:uid="{826CCD94-3A23-4830-91E8-729DC4506575}"/>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2 2 2" xfId="21474" xr:uid="{E74C01DF-221C-4D9F-93CB-842448003332}"/>
    <cellStyle name="Comma 4 2 2 2 4 2 2 2 2 3" xfId="31890" xr:uid="{B44DC0E4-1DDB-4C75-925F-362526D36B08}"/>
    <cellStyle name="Comma 4 2 2 2 4 2 2 2 3" xfId="15112" xr:uid="{63361FA0-63A4-4DFD-B1DF-C2C254320743}"/>
    <cellStyle name="Comma 4 2 2 2 4 2 2 2 4" xfId="25528" xr:uid="{7AFE6172-DF48-404C-A7F4-2A802A08A16C}"/>
    <cellStyle name="Comma 4 2 2 2 4 2 2 3" xfId="9927" xr:uid="{00000000-0005-0000-0000-0000061B0000}"/>
    <cellStyle name="Comma 4 2 2 2 4 2 2 3 2" xfId="21473" xr:uid="{503CB8A9-5CA7-4D7A-9A75-E16320DC4059}"/>
    <cellStyle name="Comma 4 2 2 2 4 2 2 3 3" xfId="31889" xr:uid="{905159F0-D602-4C34-AFF2-1D6AD78073D0}"/>
    <cellStyle name="Comma 4 2 2 2 4 2 2 4" xfId="6155" xr:uid="{00000000-0005-0000-0000-0000071B0000}"/>
    <cellStyle name="Comma 4 2 2 2 4 2 2 4 2" xfId="17741" xr:uid="{9D99B689-70CD-4C90-AD72-8AAB04A54374}"/>
    <cellStyle name="Comma 4 2 2 2 4 2 2 4 3" xfId="28157" xr:uid="{0202C5DA-F306-4FC3-9504-D37B8A90D5BD}"/>
    <cellStyle name="Comma 4 2 2 2 4 2 2 5" xfId="15111" xr:uid="{108B89A0-85D5-40DB-897F-C91738E3D0B6}"/>
    <cellStyle name="Comma 4 2 2 2 4 2 2 6" xfId="25527" xr:uid="{AE19A8BE-AFFC-4C91-8F1A-D1E8C2773417}"/>
    <cellStyle name="Comma 4 2 2 2 4 2 3" xfId="2778" xr:uid="{00000000-0005-0000-0000-0000081B0000}"/>
    <cellStyle name="Comma 4 2 2 2 4 2 3 2" xfId="9929" xr:uid="{00000000-0005-0000-0000-0000091B0000}"/>
    <cellStyle name="Comma 4 2 2 2 4 2 3 2 2" xfId="21475" xr:uid="{13811EF7-B6F2-48DC-8C45-46913B5D6877}"/>
    <cellStyle name="Comma 4 2 2 2 4 2 3 2 3" xfId="31891" xr:uid="{C4E6E599-4398-4A83-B74D-2DA04562EE94}"/>
    <cellStyle name="Comma 4 2 2 2 4 2 3 3" xfId="15113" xr:uid="{31D868F5-089F-44CF-8F2B-EFF413A33F2F}"/>
    <cellStyle name="Comma 4 2 2 2 4 2 3 4" xfId="25529" xr:uid="{29DF8309-F5C2-4FEB-9551-77E746E588A7}"/>
    <cellStyle name="Comma 4 2 2 2 4 2 4" xfId="9926" xr:uid="{00000000-0005-0000-0000-00000A1B0000}"/>
    <cellStyle name="Comma 4 2 2 2 4 2 4 2" xfId="21472" xr:uid="{60C30AF5-AAB8-46ED-9DD0-C6E1531E0110}"/>
    <cellStyle name="Comma 4 2 2 2 4 2 4 3" xfId="31888" xr:uid="{3FB803AC-A7CF-4CD8-A02E-E4E8CBD5DEEB}"/>
    <cellStyle name="Comma 4 2 2 2 4 2 5" xfId="6154" xr:uid="{00000000-0005-0000-0000-00000B1B0000}"/>
    <cellStyle name="Comma 4 2 2 2 4 2 5 2" xfId="17740" xr:uid="{51C7E1FB-1917-44F7-81D2-4E8AA2481F75}"/>
    <cellStyle name="Comma 4 2 2 2 4 2 5 3" xfId="28156" xr:uid="{C78F9D79-C1D6-4507-AEF1-20181A63235B}"/>
    <cellStyle name="Comma 4 2 2 2 4 2 6" xfId="15110" xr:uid="{9B4F893C-DC19-4899-B27E-BD836B92E9D4}"/>
    <cellStyle name="Comma 4 2 2 2 4 2 7" xfId="25526" xr:uid="{FF8D63E4-0A5B-417F-926C-AAB5A8842589}"/>
    <cellStyle name="Comma 4 2 2 2 4 3" xfId="2779" xr:uid="{00000000-0005-0000-0000-00000C1B0000}"/>
    <cellStyle name="Comma 4 2 2 2 4 3 2" xfId="2780" xr:uid="{00000000-0005-0000-0000-00000D1B0000}"/>
    <cellStyle name="Comma 4 2 2 2 4 3 2 2" xfId="9931" xr:uid="{00000000-0005-0000-0000-00000E1B0000}"/>
    <cellStyle name="Comma 4 2 2 2 4 3 2 2 2" xfId="21477" xr:uid="{86057464-17DC-4C94-938C-5FA0A8DA43B0}"/>
    <cellStyle name="Comma 4 2 2 2 4 3 2 2 3" xfId="31893" xr:uid="{71B69A30-98B2-480D-8AAF-65E0AD4DF4CC}"/>
    <cellStyle name="Comma 4 2 2 2 4 3 2 3" xfId="15115" xr:uid="{1271C3D5-474E-4357-B8B4-34FB6A2850DC}"/>
    <cellStyle name="Comma 4 2 2 2 4 3 2 4" xfId="25531" xr:uid="{C6CE8979-B284-40A1-8FB1-3D4EBB6D85BC}"/>
    <cellStyle name="Comma 4 2 2 2 4 3 3" xfId="9930" xr:uid="{00000000-0005-0000-0000-00000F1B0000}"/>
    <cellStyle name="Comma 4 2 2 2 4 3 3 2" xfId="21476" xr:uid="{20C76611-D0EB-43B2-8AB0-CFB9F8746BA8}"/>
    <cellStyle name="Comma 4 2 2 2 4 3 3 3" xfId="31892" xr:uid="{0BD72E9A-32B0-428C-A740-9CDD7B1EE454}"/>
    <cellStyle name="Comma 4 2 2 2 4 3 4" xfId="6156" xr:uid="{00000000-0005-0000-0000-0000101B0000}"/>
    <cellStyle name="Comma 4 2 2 2 4 3 4 2" xfId="17742" xr:uid="{C04C542B-81B2-4E29-9BFD-44DB38F5987E}"/>
    <cellStyle name="Comma 4 2 2 2 4 3 4 3" xfId="28158" xr:uid="{7B313A05-F0E9-491E-BD97-815E3952EA5D}"/>
    <cellStyle name="Comma 4 2 2 2 4 3 5" xfId="15114" xr:uid="{585D4EC6-6AE4-4CD7-8DD7-8E45405528D7}"/>
    <cellStyle name="Comma 4 2 2 2 4 3 6" xfId="25530" xr:uid="{86C88BD8-50BA-4FC1-ABF8-7BD9EFB47AF3}"/>
    <cellStyle name="Comma 4 2 2 2 4 4" xfId="2781" xr:uid="{00000000-0005-0000-0000-0000111B0000}"/>
    <cellStyle name="Comma 4 2 2 2 4 4 2" xfId="2782" xr:uid="{00000000-0005-0000-0000-0000121B0000}"/>
    <cellStyle name="Comma 4 2 2 2 4 4 2 2" xfId="9933" xr:uid="{00000000-0005-0000-0000-0000131B0000}"/>
    <cellStyle name="Comma 4 2 2 2 4 4 2 2 2" xfId="21479" xr:uid="{F834CB0B-D0CB-432B-947D-14BEDF0AB324}"/>
    <cellStyle name="Comma 4 2 2 2 4 4 2 2 3" xfId="31895" xr:uid="{4DE80F06-C728-4A99-A39D-A096879E0CFC}"/>
    <cellStyle name="Comma 4 2 2 2 4 4 2 3" xfId="15117" xr:uid="{32B144CE-ECFB-4F19-8ECE-20F9ED634FB8}"/>
    <cellStyle name="Comma 4 2 2 2 4 4 2 4" xfId="25533" xr:uid="{B0EF6EF8-4766-4550-BA6D-750F9515FE81}"/>
    <cellStyle name="Comma 4 2 2 2 4 4 3" xfId="9932" xr:uid="{00000000-0005-0000-0000-0000141B0000}"/>
    <cellStyle name="Comma 4 2 2 2 4 4 3 2" xfId="21478" xr:uid="{A7D042A0-C8F4-457D-B9A7-743D48AD7668}"/>
    <cellStyle name="Comma 4 2 2 2 4 4 3 3" xfId="31894" xr:uid="{9C731B35-7DE2-4EC2-AB5F-4BAE57769514}"/>
    <cellStyle name="Comma 4 2 2 2 4 4 4" xfId="6157" xr:uid="{00000000-0005-0000-0000-0000151B0000}"/>
    <cellStyle name="Comma 4 2 2 2 4 4 4 2" xfId="17743" xr:uid="{62343790-0EB4-4518-9ED7-A8CB9FC64C80}"/>
    <cellStyle name="Comma 4 2 2 2 4 4 4 3" xfId="28159" xr:uid="{80629C36-E9B9-416A-A8DB-069884FCD0B5}"/>
    <cellStyle name="Comma 4 2 2 2 4 4 5" xfId="15116" xr:uid="{19F0455A-FEC5-4736-A7EF-57198D8544D4}"/>
    <cellStyle name="Comma 4 2 2 2 4 4 6" xfId="25532" xr:uid="{58E87DB3-DD2F-49CD-A9FD-D327B0736885}"/>
    <cellStyle name="Comma 4 2 2 2 4 5" xfId="2783" xr:uid="{00000000-0005-0000-0000-0000161B0000}"/>
    <cellStyle name="Comma 4 2 2 2 4 5 2" xfId="9934" xr:uid="{00000000-0005-0000-0000-0000171B0000}"/>
    <cellStyle name="Comma 4 2 2 2 4 5 2 2" xfId="21480" xr:uid="{66D0888E-4357-4D01-AFE3-DDF1CAF2F4E7}"/>
    <cellStyle name="Comma 4 2 2 2 4 5 2 3" xfId="31896" xr:uid="{7B29568A-B140-45ED-975C-E317EE42CA09}"/>
    <cellStyle name="Comma 4 2 2 2 4 5 3" xfId="15118" xr:uid="{8C0745D6-D0BD-4B5D-9BC7-F0BD06991826}"/>
    <cellStyle name="Comma 4 2 2 2 4 5 4" xfId="25534" xr:uid="{C69D7D65-9F7E-4466-892E-036A1CA9AC4E}"/>
    <cellStyle name="Comma 4 2 2 2 4 6" xfId="9925" xr:uid="{00000000-0005-0000-0000-0000181B0000}"/>
    <cellStyle name="Comma 4 2 2 2 4 6 2" xfId="21471" xr:uid="{C317CD23-4820-4141-BAB4-4E30420B8999}"/>
    <cellStyle name="Comma 4 2 2 2 4 6 3" xfId="31887" xr:uid="{1659FD6E-9AC7-4CD7-9802-4CF55E37C979}"/>
    <cellStyle name="Comma 4 2 2 2 4 7" xfId="6153" xr:uid="{00000000-0005-0000-0000-0000191B0000}"/>
    <cellStyle name="Comma 4 2 2 2 4 7 2" xfId="17739" xr:uid="{0C3716D3-03FB-4B84-8529-15D69AEBB461}"/>
    <cellStyle name="Comma 4 2 2 2 4 7 3" xfId="28155" xr:uid="{6FD8BCC3-3444-4CAB-940F-7A6C4385BD98}"/>
    <cellStyle name="Comma 4 2 2 2 4 8" xfId="15109" xr:uid="{F66B21C6-4D85-4AC9-B29E-1C03CF0E1086}"/>
    <cellStyle name="Comma 4 2 2 2 4 9" xfId="25525" xr:uid="{23A767B8-AA74-4095-A5CD-BF114CF9E373}"/>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2 2 2" xfId="21484" xr:uid="{7CA6719F-D6BD-4170-9F76-FE5912B59FE8}"/>
    <cellStyle name="Comma 4 2 2 2 5 2 2 2 2 3" xfId="31900" xr:uid="{EF6530B7-C198-4D37-9744-4612C35C4A5F}"/>
    <cellStyle name="Comma 4 2 2 2 5 2 2 2 3" xfId="15122" xr:uid="{F5D4DD05-0E20-428F-B747-81A35EB32189}"/>
    <cellStyle name="Comma 4 2 2 2 5 2 2 2 4" xfId="25538" xr:uid="{BBF029BA-DD07-4568-977B-A0D349BC5E8A}"/>
    <cellStyle name="Comma 4 2 2 2 5 2 2 3" xfId="9937" xr:uid="{00000000-0005-0000-0000-00001F1B0000}"/>
    <cellStyle name="Comma 4 2 2 2 5 2 2 3 2" xfId="21483" xr:uid="{D505B57F-A86A-4F30-B8E3-35DC11E9ED54}"/>
    <cellStyle name="Comma 4 2 2 2 5 2 2 3 3" xfId="31899" xr:uid="{8D7D3167-ECED-4E80-85D8-E4CAE6604D2F}"/>
    <cellStyle name="Comma 4 2 2 2 5 2 2 4" xfId="6160" xr:uid="{00000000-0005-0000-0000-0000201B0000}"/>
    <cellStyle name="Comma 4 2 2 2 5 2 2 4 2" xfId="17746" xr:uid="{9F96561B-B4E9-4B8C-AEC5-A7339220A51E}"/>
    <cellStyle name="Comma 4 2 2 2 5 2 2 4 3" xfId="28162" xr:uid="{8908D75D-C3B4-43EF-B146-1DECB2D00815}"/>
    <cellStyle name="Comma 4 2 2 2 5 2 2 5" xfId="15121" xr:uid="{3320B2A0-90C3-47E3-9392-41744D5674B8}"/>
    <cellStyle name="Comma 4 2 2 2 5 2 2 6" xfId="25537" xr:uid="{90E75195-2192-4DCF-92C8-275F3CBA8D62}"/>
    <cellStyle name="Comma 4 2 2 2 5 2 3" xfId="2788" xr:uid="{00000000-0005-0000-0000-0000211B0000}"/>
    <cellStyle name="Comma 4 2 2 2 5 2 3 2" xfId="9939" xr:uid="{00000000-0005-0000-0000-0000221B0000}"/>
    <cellStyle name="Comma 4 2 2 2 5 2 3 2 2" xfId="21485" xr:uid="{7CB07DFE-EC8F-45E4-AF84-E7A481F4D902}"/>
    <cellStyle name="Comma 4 2 2 2 5 2 3 2 3" xfId="31901" xr:uid="{40FFB098-57C2-4E34-89C0-F3B4EF5DC733}"/>
    <cellStyle name="Comma 4 2 2 2 5 2 3 3" xfId="15123" xr:uid="{CC60F2F5-9604-4316-8CF6-8E43624AB279}"/>
    <cellStyle name="Comma 4 2 2 2 5 2 3 4" xfId="25539" xr:uid="{6843045B-C0EC-44F6-9564-B57CF8B1B9B1}"/>
    <cellStyle name="Comma 4 2 2 2 5 2 4" xfId="9936" xr:uid="{00000000-0005-0000-0000-0000231B0000}"/>
    <cellStyle name="Comma 4 2 2 2 5 2 4 2" xfId="21482" xr:uid="{E5EC837C-7190-4345-92C6-F470C7FE3504}"/>
    <cellStyle name="Comma 4 2 2 2 5 2 4 3" xfId="31898" xr:uid="{DA0506E1-A867-40A1-A207-F0D08AB2EDB7}"/>
    <cellStyle name="Comma 4 2 2 2 5 2 5" xfId="6159" xr:uid="{00000000-0005-0000-0000-0000241B0000}"/>
    <cellStyle name="Comma 4 2 2 2 5 2 5 2" xfId="17745" xr:uid="{CFC596E0-A1E0-47A1-99BF-020CC0ADF239}"/>
    <cellStyle name="Comma 4 2 2 2 5 2 5 3" xfId="28161" xr:uid="{C68F3007-DDBF-4A40-A0F4-B4609CAE7032}"/>
    <cellStyle name="Comma 4 2 2 2 5 2 6" xfId="15120" xr:uid="{87E4BAD1-821E-4251-985A-EC0D5D18AEBA}"/>
    <cellStyle name="Comma 4 2 2 2 5 2 7" xfId="25536" xr:uid="{F7DF4D53-7FC7-4425-86A9-E2E3C66F4085}"/>
    <cellStyle name="Comma 4 2 2 2 5 3" xfId="2789" xr:uid="{00000000-0005-0000-0000-0000251B0000}"/>
    <cellStyle name="Comma 4 2 2 2 5 3 2" xfId="2790" xr:uid="{00000000-0005-0000-0000-0000261B0000}"/>
    <cellStyle name="Comma 4 2 2 2 5 3 2 2" xfId="9941" xr:uid="{00000000-0005-0000-0000-0000271B0000}"/>
    <cellStyle name="Comma 4 2 2 2 5 3 2 2 2" xfId="21487" xr:uid="{1CD23B97-D336-4B70-B893-5B49162AA855}"/>
    <cellStyle name="Comma 4 2 2 2 5 3 2 2 3" xfId="31903" xr:uid="{3467F7BD-F27D-426E-B508-D0FC717C3DFA}"/>
    <cellStyle name="Comma 4 2 2 2 5 3 2 3" xfId="15125" xr:uid="{B6F1A28E-3A80-4203-BF6A-81B75EF635DF}"/>
    <cellStyle name="Comma 4 2 2 2 5 3 2 4" xfId="25541" xr:uid="{00EA7D06-1B8A-4619-87DE-6DE42D92E10F}"/>
    <cellStyle name="Comma 4 2 2 2 5 3 3" xfId="9940" xr:uid="{00000000-0005-0000-0000-0000281B0000}"/>
    <cellStyle name="Comma 4 2 2 2 5 3 3 2" xfId="21486" xr:uid="{49DCFC31-FC6F-4C90-B4A9-577D4BE7242D}"/>
    <cellStyle name="Comma 4 2 2 2 5 3 3 3" xfId="31902" xr:uid="{2E1CB73A-EAFC-480A-B4BD-BB531B915754}"/>
    <cellStyle name="Comma 4 2 2 2 5 3 4" xfId="6161" xr:uid="{00000000-0005-0000-0000-0000291B0000}"/>
    <cellStyle name="Comma 4 2 2 2 5 3 4 2" xfId="17747" xr:uid="{CE5ECE5E-5D4A-4CD2-9C29-F2862999A26A}"/>
    <cellStyle name="Comma 4 2 2 2 5 3 4 3" xfId="28163" xr:uid="{53EE1568-4C18-4B08-84FA-EB628F1E0DAC}"/>
    <cellStyle name="Comma 4 2 2 2 5 3 5" xfId="15124" xr:uid="{BD8981A3-64DC-4A67-A32D-109F27B3C7D9}"/>
    <cellStyle name="Comma 4 2 2 2 5 3 6" xfId="25540" xr:uid="{375F4F23-9714-4A18-A070-5AD2EBA3F839}"/>
    <cellStyle name="Comma 4 2 2 2 5 4" xfId="2791" xr:uid="{00000000-0005-0000-0000-00002A1B0000}"/>
    <cellStyle name="Comma 4 2 2 2 5 4 2" xfId="2792" xr:uid="{00000000-0005-0000-0000-00002B1B0000}"/>
    <cellStyle name="Comma 4 2 2 2 5 4 2 2" xfId="9943" xr:uid="{00000000-0005-0000-0000-00002C1B0000}"/>
    <cellStyle name="Comma 4 2 2 2 5 4 2 2 2" xfId="21489" xr:uid="{3CE6E1E0-5654-4464-BF33-EB71663263AC}"/>
    <cellStyle name="Comma 4 2 2 2 5 4 2 2 3" xfId="31905" xr:uid="{09ACAC89-8DFA-4A1E-931C-72CA6829AE20}"/>
    <cellStyle name="Comma 4 2 2 2 5 4 2 3" xfId="15127" xr:uid="{B35DC393-5484-4FE9-9CE5-AA4B9A38F204}"/>
    <cellStyle name="Comma 4 2 2 2 5 4 2 4" xfId="25543" xr:uid="{1DBDFE30-5860-43BE-A567-193C16F50469}"/>
    <cellStyle name="Comma 4 2 2 2 5 4 3" xfId="9942" xr:uid="{00000000-0005-0000-0000-00002D1B0000}"/>
    <cellStyle name="Comma 4 2 2 2 5 4 3 2" xfId="21488" xr:uid="{549FB2FC-C75A-4B17-B460-E9F14589F935}"/>
    <cellStyle name="Comma 4 2 2 2 5 4 3 3" xfId="31904" xr:uid="{933423EC-D1F6-4F3D-BB7B-6EB4A30A0ADA}"/>
    <cellStyle name="Comma 4 2 2 2 5 4 4" xfId="6162" xr:uid="{00000000-0005-0000-0000-00002E1B0000}"/>
    <cellStyle name="Comma 4 2 2 2 5 4 4 2" xfId="17748" xr:uid="{1A6AA15A-7AE0-4CE9-B4D0-DEEB7F57960A}"/>
    <cellStyle name="Comma 4 2 2 2 5 4 4 3" xfId="28164" xr:uid="{F12DBA6C-B1CA-4D7D-864C-E0D00AF66398}"/>
    <cellStyle name="Comma 4 2 2 2 5 4 5" xfId="15126" xr:uid="{78967067-2C39-48C7-80DD-198F7DCDAE54}"/>
    <cellStyle name="Comma 4 2 2 2 5 4 6" xfId="25542" xr:uid="{A3059532-5B2F-4D01-9AC7-20077EE3433A}"/>
    <cellStyle name="Comma 4 2 2 2 5 5" xfId="2793" xr:uid="{00000000-0005-0000-0000-00002F1B0000}"/>
    <cellStyle name="Comma 4 2 2 2 5 5 2" xfId="9944" xr:uid="{00000000-0005-0000-0000-0000301B0000}"/>
    <cellStyle name="Comma 4 2 2 2 5 5 2 2" xfId="21490" xr:uid="{14AFE041-621C-4750-A5DC-0EB987B9BD40}"/>
    <cellStyle name="Comma 4 2 2 2 5 5 2 3" xfId="31906" xr:uid="{457D7F23-853D-4560-B139-425806F3BD34}"/>
    <cellStyle name="Comma 4 2 2 2 5 5 3" xfId="15128" xr:uid="{A3BD954D-0749-487C-A4F9-266E6A7F528D}"/>
    <cellStyle name="Comma 4 2 2 2 5 5 4" xfId="25544" xr:uid="{600AD75C-EAC7-4F44-B6DF-E5CB5156D513}"/>
    <cellStyle name="Comma 4 2 2 2 5 6" xfId="9935" xr:uid="{00000000-0005-0000-0000-0000311B0000}"/>
    <cellStyle name="Comma 4 2 2 2 5 6 2" xfId="21481" xr:uid="{9C7112CB-9494-4FF3-B38C-0AEB461CE4F4}"/>
    <cellStyle name="Comma 4 2 2 2 5 6 3" xfId="31897" xr:uid="{EC97151D-203F-4B19-95BE-2C71C888B968}"/>
    <cellStyle name="Comma 4 2 2 2 5 7" xfId="6158" xr:uid="{00000000-0005-0000-0000-0000321B0000}"/>
    <cellStyle name="Comma 4 2 2 2 5 7 2" xfId="17744" xr:uid="{B0AE2744-3545-45F5-9FAF-4A2837A26B09}"/>
    <cellStyle name="Comma 4 2 2 2 5 7 3" xfId="28160" xr:uid="{F5C79360-D75F-45C2-9DAA-61022F306140}"/>
    <cellStyle name="Comma 4 2 2 2 5 8" xfId="15119" xr:uid="{32AF4809-7D23-499E-8C53-51EB85C17808}"/>
    <cellStyle name="Comma 4 2 2 2 5 9" xfId="25535" xr:uid="{2CE46A25-D1AC-494D-A2E8-DDA3C2BD118E}"/>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2 2 2" xfId="21493" xr:uid="{20E29F01-3E88-41BD-8AD6-001A6F92CAB2}"/>
    <cellStyle name="Comma 4 2 2 2 6 2 2 2 3" xfId="31909" xr:uid="{164A5985-8808-4935-AF0C-D8921341258B}"/>
    <cellStyle name="Comma 4 2 2 2 6 2 2 3" xfId="15131" xr:uid="{659C88FB-8E99-4617-861B-1BE012A3E0C2}"/>
    <cellStyle name="Comma 4 2 2 2 6 2 2 4" xfId="25547" xr:uid="{01B88CDA-81EE-4B25-A785-CDD09E959B84}"/>
    <cellStyle name="Comma 4 2 2 2 6 2 3" xfId="9946" xr:uid="{00000000-0005-0000-0000-0000371B0000}"/>
    <cellStyle name="Comma 4 2 2 2 6 2 3 2" xfId="21492" xr:uid="{D5B1A03D-3A45-4E34-BECC-CEC0BD74EB5B}"/>
    <cellStyle name="Comma 4 2 2 2 6 2 3 3" xfId="31908" xr:uid="{2BFB962F-896A-4119-AF32-88E270132772}"/>
    <cellStyle name="Comma 4 2 2 2 6 2 4" xfId="6164" xr:uid="{00000000-0005-0000-0000-0000381B0000}"/>
    <cellStyle name="Comma 4 2 2 2 6 2 4 2" xfId="17750" xr:uid="{38B19459-B5F2-43A3-97FA-A7DE6E4DB60D}"/>
    <cellStyle name="Comma 4 2 2 2 6 2 4 3" xfId="28166" xr:uid="{DE03A393-24A2-4B5F-9F8E-588D02010F27}"/>
    <cellStyle name="Comma 4 2 2 2 6 2 5" xfId="15130" xr:uid="{911208D2-FA44-4A62-8414-E7883A3C07B6}"/>
    <cellStyle name="Comma 4 2 2 2 6 2 6" xfId="25546" xr:uid="{FF2F267C-C22A-4945-93A1-EB9E08D4F931}"/>
    <cellStyle name="Comma 4 2 2 2 6 3" xfId="2797" xr:uid="{00000000-0005-0000-0000-0000391B0000}"/>
    <cellStyle name="Comma 4 2 2 2 6 3 2" xfId="2798" xr:uid="{00000000-0005-0000-0000-00003A1B0000}"/>
    <cellStyle name="Comma 4 2 2 2 6 3 2 2" xfId="9949" xr:uid="{00000000-0005-0000-0000-00003B1B0000}"/>
    <cellStyle name="Comma 4 2 2 2 6 3 2 2 2" xfId="21495" xr:uid="{190D8D9B-FDB4-4BDA-BA17-9156B7CA7581}"/>
    <cellStyle name="Comma 4 2 2 2 6 3 2 2 3" xfId="31911" xr:uid="{3D5585D8-286F-416D-8F65-38C7DE3114A6}"/>
    <cellStyle name="Comma 4 2 2 2 6 3 2 3" xfId="15133" xr:uid="{DFF81E9A-4DFA-4DE4-A575-0820BAE7EE27}"/>
    <cellStyle name="Comma 4 2 2 2 6 3 2 4" xfId="25549" xr:uid="{5DA51EA8-ADA2-4899-9E36-CAD2D9E14902}"/>
    <cellStyle name="Comma 4 2 2 2 6 3 3" xfId="9948" xr:uid="{00000000-0005-0000-0000-00003C1B0000}"/>
    <cellStyle name="Comma 4 2 2 2 6 3 3 2" xfId="21494" xr:uid="{379890EA-91EE-4DD1-A599-D134FE99431C}"/>
    <cellStyle name="Comma 4 2 2 2 6 3 3 3" xfId="31910" xr:uid="{F7B60FB2-16AB-435B-B8F8-3BA8BF713AB9}"/>
    <cellStyle name="Comma 4 2 2 2 6 3 4" xfId="6165" xr:uid="{00000000-0005-0000-0000-00003D1B0000}"/>
    <cellStyle name="Comma 4 2 2 2 6 3 4 2" xfId="17751" xr:uid="{D0103B10-7B0E-456B-A0C2-E1259F8400E6}"/>
    <cellStyle name="Comma 4 2 2 2 6 3 4 3" xfId="28167" xr:uid="{5232B92E-6FF8-46AC-B7DC-0C8C2582B2DC}"/>
    <cellStyle name="Comma 4 2 2 2 6 3 5" xfId="15132" xr:uid="{1ADBE082-E721-4F8D-8840-4062B5129C49}"/>
    <cellStyle name="Comma 4 2 2 2 6 3 6" xfId="25548" xr:uid="{DDD3D9A8-8B3A-4371-BA06-DB775599C6DC}"/>
    <cellStyle name="Comma 4 2 2 2 6 4" xfId="2799" xr:uid="{00000000-0005-0000-0000-00003E1B0000}"/>
    <cellStyle name="Comma 4 2 2 2 6 4 2" xfId="9950" xr:uid="{00000000-0005-0000-0000-00003F1B0000}"/>
    <cellStyle name="Comma 4 2 2 2 6 4 2 2" xfId="21496" xr:uid="{0E42C61C-D787-4668-AA34-1B855E457CFF}"/>
    <cellStyle name="Comma 4 2 2 2 6 4 2 3" xfId="31912" xr:uid="{B7B3D420-28C6-467A-A4DF-2CFB1FBAEA15}"/>
    <cellStyle name="Comma 4 2 2 2 6 4 3" xfId="15134" xr:uid="{6D9CE99C-18E9-4210-BAE7-F1F13F4B9130}"/>
    <cellStyle name="Comma 4 2 2 2 6 4 4" xfId="25550" xr:uid="{9518D9BE-FA8C-4163-B889-9E1EF7F35CA3}"/>
    <cellStyle name="Comma 4 2 2 2 6 5" xfId="9945" xr:uid="{00000000-0005-0000-0000-0000401B0000}"/>
    <cellStyle name="Comma 4 2 2 2 6 5 2" xfId="21491" xr:uid="{BEBC84F0-BBBA-45EB-AA94-078AAC11A025}"/>
    <cellStyle name="Comma 4 2 2 2 6 5 3" xfId="31907" xr:uid="{D97A1B27-B5F7-4461-95C1-A3342E5B0DA8}"/>
    <cellStyle name="Comma 4 2 2 2 6 6" xfId="6163" xr:uid="{00000000-0005-0000-0000-0000411B0000}"/>
    <cellStyle name="Comma 4 2 2 2 6 6 2" xfId="17749" xr:uid="{4452CC01-0AB8-4867-9320-C0ECC7D6D946}"/>
    <cellStyle name="Comma 4 2 2 2 6 6 3" xfId="28165" xr:uid="{DDC41142-C28F-42C1-B645-9676A9A6E8F2}"/>
    <cellStyle name="Comma 4 2 2 2 6 7" xfId="15129" xr:uid="{6F592721-C12B-49A1-8BCB-CAFFF9D904D9}"/>
    <cellStyle name="Comma 4 2 2 2 6 8" xfId="25545" xr:uid="{5886FD92-7BA8-43C8-8754-3FAFE6FC56C7}"/>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2 2 2" xfId="21499" xr:uid="{988D02C8-6422-4C11-BF24-7ADA62156542}"/>
    <cellStyle name="Comma 4 2 2 2 7 2 2 2 3" xfId="31915" xr:uid="{8CA75E7F-11BD-471B-AE66-8634B777F271}"/>
    <cellStyle name="Comma 4 2 2 2 7 2 2 3" xfId="15137" xr:uid="{93EA0B61-61A7-44E5-A9D6-64B2AE7E660B}"/>
    <cellStyle name="Comma 4 2 2 2 7 2 2 4" xfId="25553" xr:uid="{13284E3A-BA88-4B20-9153-8A2480570E5B}"/>
    <cellStyle name="Comma 4 2 2 2 7 2 3" xfId="9952" xr:uid="{00000000-0005-0000-0000-0000461B0000}"/>
    <cellStyle name="Comma 4 2 2 2 7 2 3 2" xfId="21498" xr:uid="{46C14324-43C6-45FB-A539-7E2E1F4A6F34}"/>
    <cellStyle name="Comma 4 2 2 2 7 2 3 3" xfId="31914" xr:uid="{5696989D-687A-453F-9E9D-F300D3A177C3}"/>
    <cellStyle name="Comma 4 2 2 2 7 2 4" xfId="6167" xr:uid="{00000000-0005-0000-0000-0000471B0000}"/>
    <cellStyle name="Comma 4 2 2 2 7 2 4 2" xfId="17753" xr:uid="{11B323DE-AE0E-473B-8341-A937BF36500E}"/>
    <cellStyle name="Comma 4 2 2 2 7 2 4 3" xfId="28169" xr:uid="{508A0494-8162-4EE2-BC66-EAF1E23A22A5}"/>
    <cellStyle name="Comma 4 2 2 2 7 2 5" xfId="15136" xr:uid="{4BC76517-07E5-4163-B125-0DFF403FEC42}"/>
    <cellStyle name="Comma 4 2 2 2 7 2 6" xfId="25552" xr:uid="{7E6A4C95-B166-4F59-B81D-E71BFBDA37CC}"/>
    <cellStyle name="Comma 4 2 2 2 7 3" xfId="2803" xr:uid="{00000000-0005-0000-0000-0000481B0000}"/>
    <cellStyle name="Comma 4 2 2 2 7 3 2" xfId="9954" xr:uid="{00000000-0005-0000-0000-0000491B0000}"/>
    <cellStyle name="Comma 4 2 2 2 7 3 2 2" xfId="21500" xr:uid="{161C49E6-0DE5-4207-80A5-2CD188725CD8}"/>
    <cellStyle name="Comma 4 2 2 2 7 3 2 3" xfId="31916" xr:uid="{981A754A-B387-46DE-A428-A103F101FBA9}"/>
    <cellStyle name="Comma 4 2 2 2 7 3 3" xfId="15138" xr:uid="{DF395826-C987-46C7-994A-95C73935F279}"/>
    <cellStyle name="Comma 4 2 2 2 7 3 4" xfId="25554" xr:uid="{DC79C939-8954-4915-9D68-C9C19BF2E119}"/>
    <cellStyle name="Comma 4 2 2 2 7 4" xfId="9951" xr:uid="{00000000-0005-0000-0000-00004A1B0000}"/>
    <cellStyle name="Comma 4 2 2 2 7 4 2" xfId="21497" xr:uid="{AC925290-CC69-4CE0-B756-7ACEF3957DDF}"/>
    <cellStyle name="Comma 4 2 2 2 7 4 3" xfId="31913" xr:uid="{5D554829-6367-4906-BEE6-F42E7AB15F71}"/>
    <cellStyle name="Comma 4 2 2 2 7 5" xfId="6166" xr:uid="{00000000-0005-0000-0000-00004B1B0000}"/>
    <cellStyle name="Comma 4 2 2 2 7 5 2" xfId="17752" xr:uid="{5262DDB9-D74D-4CE0-8E0A-ABCCDCF06266}"/>
    <cellStyle name="Comma 4 2 2 2 7 5 3" xfId="28168" xr:uid="{5D527DAA-785B-4FA8-B25D-F60F645C879B}"/>
    <cellStyle name="Comma 4 2 2 2 7 6" xfId="15135" xr:uid="{EA839AD1-772F-4DDA-A16E-EFCB3879BBE0}"/>
    <cellStyle name="Comma 4 2 2 2 7 7" xfId="25551" xr:uid="{B3567740-8FE3-4ED7-9025-219FB8BF5A91}"/>
    <cellStyle name="Comma 4 2 2 2 8" xfId="2804" xr:uid="{00000000-0005-0000-0000-00004C1B0000}"/>
    <cellStyle name="Comma 4 2 2 2 8 2" xfId="2805" xr:uid="{00000000-0005-0000-0000-00004D1B0000}"/>
    <cellStyle name="Comma 4 2 2 2 8 2 2" xfId="9956" xr:uid="{00000000-0005-0000-0000-00004E1B0000}"/>
    <cellStyle name="Comma 4 2 2 2 8 2 2 2" xfId="21502" xr:uid="{233D2F6D-0D66-4CF9-ABD5-07ABAC2A00C5}"/>
    <cellStyle name="Comma 4 2 2 2 8 2 2 3" xfId="31918" xr:uid="{64A4E696-C13B-41EB-9E44-7AE062900D63}"/>
    <cellStyle name="Comma 4 2 2 2 8 2 3" xfId="15140" xr:uid="{7A37420E-5D12-4AAB-A59E-1EA8EE09DF36}"/>
    <cellStyle name="Comma 4 2 2 2 8 2 4" xfId="25556" xr:uid="{230F59D2-8EAA-4260-BB24-9BACB921DD75}"/>
    <cellStyle name="Comma 4 2 2 2 8 3" xfId="9955" xr:uid="{00000000-0005-0000-0000-00004F1B0000}"/>
    <cellStyle name="Comma 4 2 2 2 8 3 2" xfId="21501" xr:uid="{3951DC29-31CA-42ED-92B1-996BC4EC8F2F}"/>
    <cellStyle name="Comma 4 2 2 2 8 3 3" xfId="31917" xr:uid="{C3E23306-DDBA-4F74-9358-65C51DFC0529}"/>
    <cellStyle name="Comma 4 2 2 2 8 4" xfId="6168" xr:uid="{00000000-0005-0000-0000-0000501B0000}"/>
    <cellStyle name="Comma 4 2 2 2 8 4 2" xfId="17754" xr:uid="{1AA846F1-F48A-4046-A939-E1AA7163F7FB}"/>
    <cellStyle name="Comma 4 2 2 2 8 4 3" xfId="28170" xr:uid="{4234D932-90BC-4BD2-8E04-5E5A7A9617F5}"/>
    <cellStyle name="Comma 4 2 2 2 8 5" xfId="15139" xr:uid="{432A6640-FD77-4775-BAF1-95897AAFE598}"/>
    <cellStyle name="Comma 4 2 2 2 8 6" xfId="25555" xr:uid="{5E0B4DA4-41DC-474B-BCC5-9D86ADDC5C7E}"/>
    <cellStyle name="Comma 4 2 2 2 9" xfId="2806" xr:uid="{00000000-0005-0000-0000-0000511B0000}"/>
    <cellStyle name="Comma 4 2 2 2 9 2" xfId="2807" xr:uid="{00000000-0005-0000-0000-0000521B0000}"/>
    <cellStyle name="Comma 4 2 2 2 9 2 2" xfId="9958" xr:uid="{00000000-0005-0000-0000-0000531B0000}"/>
    <cellStyle name="Comma 4 2 2 2 9 2 2 2" xfId="21504" xr:uid="{3425AEF2-1A3D-4DF3-B943-C05D2868C9EB}"/>
    <cellStyle name="Comma 4 2 2 2 9 2 2 3" xfId="31920" xr:uid="{6F18A859-B03A-4D99-87B9-AA2814EDFA36}"/>
    <cellStyle name="Comma 4 2 2 2 9 2 3" xfId="15142" xr:uid="{AF4C3A20-45E3-4F38-95A2-D527940E94DA}"/>
    <cellStyle name="Comma 4 2 2 2 9 2 4" xfId="25558" xr:uid="{E46E7239-07FB-4A22-AD04-B3B4E7953AF6}"/>
    <cellStyle name="Comma 4 2 2 2 9 3" xfId="9957" xr:uid="{00000000-0005-0000-0000-0000541B0000}"/>
    <cellStyle name="Comma 4 2 2 2 9 3 2" xfId="21503" xr:uid="{A28B67B3-FFE5-4745-B74E-0166456C305F}"/>
    <cellStyle name="Comma 4 2 2 2 9 3 3" xfId="31919" xr:uid="{5DE597A2-C0F0-454E-86E0-752E7C1AC6A3}"/>
    <cellStyle name="Comma 4 2 2 2 9 4" xfId="6169" xr:uid="{00000000-0005-0000-0000-0000551B0000}"/>
    <cellStyle name="Comma 4 2 2 2 9 4 2" xfId="17755" xr:uid="{13937996-F86A-4028-BA54-1BB01FFCC5B6}"/>
    <cellStyle name="Comma 4 2 2 2 9 4 3" xfId="28171" xr:uid="{5129976C-03D4-49BF-B52A-0A9522454C21}"/>
    <cellStyle name="Comma 4 2 2 2 9 5" xfId="15141" xr:uid="{465719A7-43CB-47B9-A637-70277FEB7EB2}"/>
    <cellStyle name="Comma 4 2 2 2 9 6" xfId="25557" xr:uid="{CB724ABB-E00E-45FA-8C03-723399CA527D}"/>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2 2 2" xfId="21508" xr:uid="{45837DC9-6838-4683-A51A-3FBDD6A8B157}"/>
    <cellStyle name="Comma 4 2 2 3 2 2 2 2 3" xfId="31924" xr:uid="{6055AF1C-4AD8-43BA-8EEC-B378A3199F67}"/>
    <cellStyle name="Comma 4 2 2 3 2 2 2 3" xfId="15146" xr:uid="{1C5881D2-6FC2-4F09-83C7-3527915DD4C6}"/>
    <cellStyle name="Comma 4 2 2 3 2 2 2 4" xfId="25562" xr:uid="{D6545AE1-5371-47F6-A719-53C55DF3999C}"/>
    <cellStyle name="Comma 4 2 2 3 2 2 3" xfId="9961" xr:uid="{00000000-0005-0000-0000-00005B1B0000}"/>
    <cellStyle name="Comma 4 2 2 3 2 2 3 2" xfId="21507" xr:uid="{B49228B4-B9CF-4670-B5AC-392F1E73556F}"/>
    <cellStyle name="Comma 4 2 2 3 2 2 3 3" xfId="31923" xr:uid="{D2561202-2DF0-4488-985B-7A26791E5DBD}"/>
    <cellStyle name="Comma 4 2 2 3 2 2 4" xfId="6172" xr:uid="{00000000-0005-0000-0000-00005C1B0000}"/>
    <cellStyle name="Comma 4 2 2 3 2 2 4 2" xfId="17758" xr:uid="{118A16F7-F846-47EE-ACD1-78DD62BA9D99}"/>
    <cellStyle name="Comma 4 2 2 3 2 2 4 3" xfId="28174" xr:uid="{C8E05A9A-B8BF-4A52-B3F3-5DEC94A59C28}"/>
    <cellStyle name="Comma 4 2 2 3 2 2 5" xfId="15145" xr:uid="{B0C8A6A4-E187-4618-A86C-9239EA90CDB3}"/>
    <cellStyle name="Comma 4 2 2 3 2 2 6" xfId="25561" xr:uid="{38BBB757-60F8-4810-A3BB-1BCA08345394}"/>
    <cellStyle name="Comma 4 2 2 3 2 3" xfId="2812" xr:uid="{00000000-0005-0000-0000-00005D1B0000}"/>
    <cellStyle name="Comma 4 2 2 3 2 3 2" xfId="9963" xr:uid="{00000000-0005-0000-0000-00005E1B0000}"/>
    <cellStyle name="Comma 4 2 2 3 2 3 2 2" xfId="21509" xr:uid="{3922DBE8-62B0-4FF8-902C-9B31BC38C1AF}"/>
    <cellStyle name="Comma 4 2 2 3 2 3 2 3" xfId="31925" xr:uid="{11B62208-3FDF-434F-ACF1-E972F9D4A43F}"/>
    <cellStyle name="Comma 4 2 2 3 2 3 3" xfId="15147" xr:uid="{4B3265DC-281E-413F-8416-AF2CE332516A}"/>
    <cellStyle name="Comma 4 2 2 3 2 3 4" xfId="25563" xr:uid="{F04F199B-D906-4971-B5D0-FF1657326961}"/>
    <cellStyle name="Comma 4 2 2 3 2 4" xfId="9960" xr:uid="{00000000-0005-0000-0000-00005F1B0000}"/>
    <cellStyle name="Comma 4 2 2 3 2 4 2" xfId="21506" xr:uid="{F2703829-2DD2-4678-857D-0CE35E1BC1D2}"/>
    <cellStyle name="Comma 4 2 2 3 2 4 3" xfId="31922" xr:uid="{7A46B0AF-635A-4623-9FC6-5B7B228789F3}"/>
    <cellStyle name="Comma 4 2 2 3 2 5" xfId="6171" xr:uid="{00000000-0005-0000-0000-0000601B0000}"/>
    <cellStyle name="Comma 4 2 2 3 2 5 2" xfId="17757" xr:uid="{635C23D8-DA94-4F05-9341-6CD0D04E689E}"/>
    <cellStyle name="Comma 4 2 2 3 2 5 3" xfId="28173" xr:uid="{47FC5650-9529-429F-B20B-B3E113F4B4DF}"/>
    <cellStyle name="Comma 4 2 2 3 2 6" xfId="15144" xr:uid="{0CD7C431-AAC8-4FFE-BFAD-17A8800A77C7}"/>
    <cellStyle name="Comma 4 2 2 3 2 7" xfId="25560" xr:uid="{9E132C3D-8C0C-46DE-97DF-CE77A553199A}"/>
    <cellStyle name="Comma 4 2 2 3 3" xfId="2813" xr:uid="{00000000-0005-0000-0000-0000611B0000}"/>
    <cellStyle name="Comma 4 2 2 3 3 2" xfId="2814" xr:uid="{00000000-0005-0000-0000-0000621B0000}"/>
    <cellStyle name="Comma 4 2 2 3 3 2 2" xfId="9965" xr:uid="{00000000-0005-0000-0000-0000631B0000}"/>
    <cellStyle name="Comma 4 2 2 3 3 2 2 2" xfId="21511" xr:uid="{D1300102-90A3-41D2-82BA-5462641BC790}"/>
    <cellStyle name="Comma 4 2 2 3 3 2 2 3" xfId="31927" xr:uid="{BA38BA06-8E20-41A7-B741-8D477E67A37F}"/>
    <cellStyle name="Comma 4 2 2 3 3 2 3" xfId="15149" xr:uid="{66D368FB-E6A8-49E0-BD53-75419BF09E54}"/>
    <cellStyle name="Comma 4 2 2 3 3 2 4" xfId="25565" xr:uid="{340218BB-F604-4AC5-89DB-235DC6A39701}"/>
    <cellStyle name="Comma 4 2 2 3 3 3" xfId="9964" xr:uid="{00000000-0005-0000-0000-0000641B0000}"/>
    <cellStyle name="Comma 4 2 2 3 3 3 2" xfId="21510" xr:uid="{2A87F4AD-8C1D-4A86-B0DA-FD7A254E12A7}"/>
    <cellStyle name="Comma 4 2 2 3 3 3 3" xfId="31926" xr:uid="{09B2573D-5220-4E02-90B0-8E0F2DC0B313}"/>
    <cellStyle name="Comma 4 2 2 3 3 4" xfId="6173" xr:uid="{00000000-0005-0000-0000-0000651B0000}"/>
    <cellStyle name="Comma 4 2 2 3 3 4 2" xfId="17759" xr:uid="{1B551DF5-C24C-4071-8740-C1BAD73BAEE9}"/>
    <cellStyle name="Comma 4 2 2 3 3 4 3" xfId="28175" xr:uid="{E4D4DCC8-090D-4DEA-BC9A-9B135F2B8CE3}"/>
    <cellStyle name="Comma 4 2 2 3 3 5" xfId="15148" xr:uid="{20FB1A2F-7B20-4EF3-B367-82E2D165C71D}"/>
    <cellStyle name="Comma 4 2 2 3 3 6" xfId="25564" xr:uid="{423807B9-EBE4-445D-973D-4E408A7878E7}"/>
    <cellStyle name="Comma 4 2 2 3 4" xfId="2815" xr:uid="{00000000-0005-0000-0000-0000661B0000}"/>
    <cellStyle name="Comma 4 2 2 3 4 2" xfId="2816" xr:uid="{00000000-0005-0000-0000-0000671B0000}"/>
    <cellStyle name="Comma 4 2 2 3 4 2 2" xfId="9967" xr:uid="{00000000-0005-0000-0000-0000681B0000}"/>
    <cellStyle name="Comma 4 2 2 3 4 2 2 2" xfId="21513" xr:uid="{2960A770-62D6-4C81-999A-61912E24741E}"/>
    <cellStyle name="Comma 4 2 2 3 4 2 2 3" xfId="31929" xr:uid="{01B4DEA9-F113-4AFF-BB88-B77AF1746D81}"/>
    <cellStyle name="Comma 4 2 2 3 4 2 3" xfId="15151" xr:uid="{0181D450-F6C1-4786-9A13-F2E6E085CD51}"/>
    <cellStyle name="Comma 4 2 2 3 4 2 4" xfId="25567" xr:uid="{15B139DF-5670-414F-8197-33D8015F2AAC}"/>
    <cellStyle name="Comma 4 2 2 3 4 3" xfId="9966" xr:uid="{00000000-0005-0000-0000-0000691B0000}"/>
    <cellStyle name="Comma 4 2 2 3 4 3 2" xfId="21512" xr:uid="{1EE0FC8A-E89D-4306-8424-C09115EBC2F0}"/>
    <cellStyle name="Comma 4 2 2 3 4 3 3" xfId="31928" xr:uid="{9CEED849-B9B4-4165-8F47-378757337F16}"/>
    <cellStyle name="Comma 4 2 2 3 4 4" xfId="6174" xr:uid="{00000000-0005-0000-0000-00006A1B0000}"/>
    <cellStyle name="Comma 4 2 2 3 4 4 2" xfId="17760" xr:uid="{AC32A213-CBE9-4E38-BC9C-79A108220282}"/>
    <cellStyle name="Comma 4 2 2 3 4 4 3" xfId="28176" xr:uid="{B5B59D28-6F26-4725-8399-C4DECC378C65}"/>
    <cellStyle name="Comma 4 2 2 3 4 5" xfId="15150" xr:uid="{226C9FF4-291E-4030-88AA-60C9652F8ADA}"/>
    <cellStyle name="Comma 4 2 2 3 4 6" xfId="25566" xr:uid="{935A43EF-5166-491E-A5F9-E221C168E3AB}"/>
    <cellStyle name="Comma 4 2 2 3 5" xfId="2817" xr:uid="{00000000-0005-0000-0000-00006B1B0000}"/>
    <cellStyle name="Comma 4 2 2 3 5 2" xfId="9968" xr:uid="{00000000-0005-0000-0000-00006C1B0000}"/>
    <cellStyle name="Comma 4 2 2 3 5 2 2" xfId="21514" xr:uid="{17E1E1F5-2A3B-416B-92E9-0B2A4C7C7EF7}"/>
    <cellStyle name="Comma 4 2 2 3 5 2 3" xfId="31930" xr:uid="{5DFC17A1-FB3C-4D5F-9774-FACC51FBE8F0}"/>
    <cellStyle name="Comma 4 2 2 3 5 3" xfId="15152" xr:uid="{E0D5C4B9-4514-4CBC-9B8B-B351292FBA8A}"/>
    <cellStyle name="Comma 4 2 2 3 5 4" xfId="25568" xr:uid="{E5C19E27-F97A-4293-AB4B-D4CF9669E431}"/>
    <cellStyle name="Comma 4 2 2 3 6" xfId="9959" xr:uid="{00000000-0005-0000-0000-00006D1B0000}"/>
    <cellStyle name="Comma 4 2 2 3 6 2" xfId="21505" xr:uid="{F800F8FD-1094-4F07-9912-10C56558F2D1}"/>
    <cellStyle name="Comma 4 2 2 3 6 3" xfId="31921" xr:uid="{6A0FAE87-3B3F-47F7-B7BF-357CF1003F1E}"/>
    <cellStyle name="Comma 4 2 2 3 7" xfId="6170" xr:uid="{00000000-0005-0000-0000-00006E1B0000}"/>
    <cellStyle name="Comma 4 2 2 3 7 2" xfId="17756" xr:uid="{7E86716A-92D3-4F0F-8348-4C851F878A9F}"/>
    <cellStyle name="Comma 4 2 2 3 7 3" xfId="28172" xr:uid="{59ACFF49-5457-404D-BFC7-21E401097DB4}"/>
    <cellStyle name="Comma 4 2 2 3 8" xfId="15143" xr:uid="{3D041EAD-9928-4993-A412-063E5FC3141B}"/>
    <cellStyle name="Comma 4 2 2 3 9" xfId="25559" xr:uid="{8C7C6741-87B2-4D01-A87D-C01FF2393E27}"/>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2 2 2" xfId="21518" xr:uid="{5ED8D38F-EC40-45CD-B0C2-01F5D787EE58}"/>
    <cellStyle name="Comma 4 2 2 4 2 2 2 2 3" xfId="31934" xr:uid="{6E22BAFD-A223-457A-A3EF-17A69C42AC46}"/>
    <cellStyle name="Comma 4 2 2 4 2 2 2 3" xfId="15156" xr:uid="{BA02B315-C3F6-45DC-A305-C38B8D75854D}"/>
    <cellStyle name="Comma 4 2 2 4 2 2 2 4" xfId="25572" xr:uid="{D20E5FE2-5D5B-43D0-A054-DACE7F5CFCC0}"/>
    <cellStyle name="Comma 4 2 2 4 2 2 3" xfId="9971" xr:uid="{00000000-0005-0000-0000-0000741B0000}"/>
    <cellStyle name="Comma 4 2 2 4 2 2 3 2" xfId="21517" xr:uid="{D3F7E95A-1D89-4BFE-8C64-31A2D2EA1C0E}"/>
    <cellStyle name="Comma 4 2 2 4 2 2 3 3" xfId="31933" xr:uid="{82273D2A-E827-4673-810E-509480EFC807}"/>
    <cellStyle name="Comma 4 2 2 4 2 2 4" xfId="6177" xr:uid="{00000000-0005-0000-0000-0000751B0000}"/>
    <cellStyle name="Comma 4 2 2 4 2 2 4 2" xfId="17763" xr:uid="{FD3981DD-862E-4624-B267-1CDFBA6DB325}"/>
    <cellStyle name="Comma 4 2 2 4 2 2 4 3" xfId="28179" xr:uid="{7EA5E13F-DE9F-43EB-8B2A-41C7408A6333}"/>
    <cellStyle name="Comma 4 2 2 4 2 2 5" xfId="15155" xr:uid="{F054B026-0DDA-468D-854B-4E1C6FBC6FD8}"/>
    <cellStyle name="Comma 4 2 2 4 2 2 6" xfId="25571" xr:uid="{18446473-08D4-4604-80B7-ED37F0FBCEB4}"/>
    <cellStyle name="Comma 4 2 2 4 2 3" xfId="2822" xr:uid="{00000000-0005-0000-0000-0000761B0000}"/>
    <cellStyle name="Comma 4 2 2 4 2 3 2" xfId="9973" xr:uid="{00000000-0005-0000-0000-0000771B0000}"/>
    <cellStyle name="Comma 4 2 2 4 2 3 2 2" xfId="21519" xr:uid="{84136C4E-AFD0-44CA-B0D6-413BA5AC9F38}"/>
    <cellStyle name="Comma 4 2 2 4 2 3 2 3" xfId="31935" xr:uid="{C22BF34A-14B5-4906-BE11-366C20A29237}"/>
    <cellStyle name="Comma 4 2 2 4 2 3 3" xfId="15157" xr:uid="{1F04CB38-169F-4DD4-96D2-680DA5CB6660}"/>
    <cellStyle name="Comma 4 2 2 4 2 3 4" xfId="25573" xr:uid="{5E7FE665-8EFE-490F-9C6B-BD944F729264}"/>
    <cellStyle name="Comma 4 2 2 4 2 4" xfId="9970" xr:uid="{00000000-0005-0000-0000-0000781B0000}"/>
    <cellStyle name="Comma 4 2 2 4 2 4 2" xfId="21516" xr:uid="{0E8DE215-CFED-493E-9183-B752422D07F6}"/>
    <cellStyle name="Comma 4 2 2 4 2 4 3" xfId="31932" xr:uid="{9225B0D3-F614-402A-918B-773312272F0D}"/>
    <cellStyle name="Comma 4 2 2 4 2 5" xfId="6176" xr:uid="{00000000-0005-0000-0000-0000791B0000}"/>
    <cellStyle name="Comma 4 2 2 4 2 5 2" xfId="17762" xr:uid="{15479531-679C-4B83-94DF-D73AC4A1B352}"/>
    <cellStyle name="Comma 4 2 2 4 2 5 3" xfId="28178" xr:uid="{D73DB9C1-7C14-409B-AED8-B32074EDB4DF}"/>
    <cellStyle name="Comma 4 2 2 4 2 6" xfId="15154" xr:uid="{06B00F58-0781-4743-BDC9-2A9537C24045}"/>
    <cellStyle name="Comma 4 2 2 4 2 7" xfId="25570" xr:uid="{B585B04C-4468-42A9-A04F-C170D2903D8E}"/>
    <cellStyle name="Comma 4 2 2 4 3" xfId="2823" xr:uid="{00000000-0005-0000-0000-00007A1B0000}"/>
    <cellStyle name="Comma 4 2 2 4 3 2" xfId="2824" xr:uid="{00000000-0005-0000-0000-00007B1B0000}"/>
    <cellStyle name="Comma 4 2 2 4 3 2 2" xfId="9975" xr:uid="{00000000-0005-0000-0000-00007C1B0000}"/>
    <cellStyle name="Comma 4 2 2 4 3 2 2 2" xfId="21521" xr:uid="{DF4B1FFA-BC30-43B1-9CD1-07219E350012}"/>
    <cellStyle name="Comma 4 2 2 4 3 2 2 3" xfId="31937" xr:uid="{55DBFA7A-CEBD-44AC-B85D-DD94C445283B}"/>
    <cellStyle name="Comma 4 2 2 4 3 2 3" xfId="15159" xr:uid="{BFA29151-102C-4D36-8916-51867C795E7D}"/>
    <cellStyle name="Comma 4 2 2 4 3 2 4" xfId="25575" xr:uid="{57CC1303-1F8A-423F-8FD9-7A894FF048F0}"/>
    <cellStyle name="Comma 4 2 2 4 3 3" xfId="9974" xr:uid="{00000000-0005-0000-0000-00007D1B0000}"/>
    <cellStyle name="Comma 4 2 2 4 3 3 2" xfId="21520" xr:uid="{818534D8-331D-4B4E-ACD6-52C7A492E600}"/>
    <cellStyle name="Comma 4 2 2 4 3 3 3" xfId="31936" xr:uid="{0DA925C8-5D9E-491E-8975-3FE02F522723}"/>
    <cellStyle name="Comma 4 2 2 4 3 4" xfId="6178" xr:uid="{00000000-0005-0000-0000-00007E1B0000}"/>
    <cellStyle name="Comma 4 2 2 4 3 4 2" xfId="17764" xr:uid="{C79A9CAE-56DF-4E9F-ACBA-CE06776823E9}"/>
    <cellStyle name="Comma 4 2 2 4 3 4 3" xfId="28180" xr:uid="{E1F76DDB-F6AB-4077-98FC-9BC7B6ECFA69}"/>
    <cellStyle name="Comma 4 2 2 4 3 5" xfId="15158" xr:uid="{23E705E9-8685-43F3-844B-CF5F9CE68268}"/>
    <cellStyle name="Comma 4 2 2 4 3 6" xfId="25574" xr:uid="{DD628DF9-E9D6-4A23-925E-C5BA8793BDBA}"/>
    <cellStyle name="Comma 4 2 2 4 4" xfId="2825" xr:uid="{00000000-0005-0000-0000-00007F1B0000}"/>
    <cellStyle name="Comma 4 2 2 4 4 2" xfId="2826" xr:uid="{00000000-0005-0000-0000-0000801B0000}"/>
    <cellStyle name="Comma 4 2 2 4 4 2 2" xfId="9977" xr:uid="{00000000-0005-0000-0000-0000811B0000}"/>
    <cellStyle name="Comma 4 2 2 4 4 2 2 2" xfId="21523" xr:uid="{A36416FC-FC22-4358-A9CF-08BA6DAD5F9F}"/>
    <cellStyle name="Comma 4 2 2 4 4 2 2 3" xfId="31939" xr:uid="{4330A5FE-9327-4B05-B99E-D80A01D9C3BE}"/>
    <cellStyle name="Comma 4 2 2 4 4 2 3" xfId="15161" xr:uid="{8449DCB2-1C34-491D-9742-CCF6EB05250C}"/>
    <cellStyle name="Comma 4 2 2 4 4 2 4" xfId="25577" xr:uid="{AFD7C3F7-4544-41ED-879F-4F279A4B98D4}"/>
    <cellStyle name="Comma 4 2 2 4 4 3" xfId="9976" xr:uid="{00000000-0005-0000-0000-0000821B0000}"/>
    <cellStyle name="Comma 4 2 2 4 4 3 2" xfId="21522" xr:uid="{58AEAA1C-2C2A-4EB9-AFDF-AF29AAFB90E9}"/>
    <cellStyle name="Comma 4 2 2 4 4 3 3" xfId="31938" xr:uid="{C889A4E1-B9D4-4270-AD2D-4F87DA3BA651}"/>
    <cellStyle name="Comma 4 2 2 4 4 4" xfId="6179" xr:uid="{00000000-0005-0000-0000-0000831B0000}"/>
    <cellStyle name="Comma 4 2 2 4 4 4 2" xfId="17765" xr:uid="{8C7AFA50-3198-465A-8020-A87274766475}"/>
    <cellStyle name="Comma 4 2 2 4 4 4 3" xfId="28181" xr:uid="{F3242683-E755-4D72-95F4-96C5DF53970E}"/>
    <cellStyle name="Comma 4 2 2 4 4 5" xfId="15160" xr:uid="{2F2E6C69-BCF8-4A89-AD0D-0FE17C89779C}"/>
    <cellStyle name="Comma 4 2 2 4 4 6" xfId="25576" xr:uid="{5A2C2F63-412F-4279-93BB-7E3EB5EDBC02}"/>
    <cellStyle name="Comma 4 2 2 4 5" xfId="2827" xr:uid="{00000000-0005-0000-0000-0000841B0000}"/>
    <cellStyle name="Comma 4 2 2 4 5 2" xfId="9978" xr:uid="{00000000-0005-0000-0000-0000851B0000}"/>
    <cellStyle name="Comma 4 2 2 4 5 2 2" xfId="21524" xr:uid="{0EE97408-E075-49A8-86B2-E41F00E7C317}"/>
    <cellStyle name="Comma 4 2 2 4 5 2 3" xfId="31940" xr:uid="{3D53BF74-7EE2-4E4B-BD19-51231F0D6884}"/>
    <cellStyle name="Comma 4 2 2 4 5 3" xfId="15162" xr:uid="{5946E076-8894-4874-B16F-8D3A63E38C18}"/>
    <cellStyle name="Comma 4 2 2 4 5 4" xfId="25578" xr:uid="{6365C195-4604-4503-AD35-3076C167DD56}"/>
    <cellStyle name="Comma 4 2 2 4 6" xfId="9969" xr:uid="{00000000-0005-0000-0000-0000861B0000}"/>
    <cellStyle name="Comma 4 2 2 4 6 2" xfId="21515" xr:uid="{CCCB7463-6C0F-4F85-A77D-C1E0942E2BD3}"/>
    <cellStyle name="Comma 4 2 2 4 6 3" xfId="31931" xr:uid="{7772B49B-5234-4792-B0DF-C76815AC546D}"/>
    <cellStyle name="Comma 4 2 2 4 7" xfId="6175" xr:uid="{00000000-0005-0000-0000-0000871B0000}"/>
    <cellStyle name="Comma 4 2 2 4 7 2" xfId="17761" xr:uid="{37410FBB-9894-4433-879A-4F1AE55851B5}"/>
    <cellStyle name="Comma 4 2 2 4 7 3" xfId="28177" xr:uid="{C96D795F-7F58-4460-BD1B-9F01B13C30C7}"/>
    <cellStyle name="Comma 4 2 2 4 8" xfId="15153" xr:uid="{E33B66FB-4435-4F06-B1EC-AA4E490EBC6D}"/>
    <cellStyle name="Comma 4 2 2 4 9" xfId="25569" xr:uid="{BCA2C48B-B89D-4EB9-8C24-311CAF663FE2}"/>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2 2 2" xfId="21528" xr:uid="{FADDA2B7-7CF2-4E1D-8AB6-C1569343E07A}"/>
    <cellStyle name="Comma 4 2 2 5 2 2 2 2 3" xfId="31944" xr:uid="{415308FE-B6CC-4FC4-9174-8CB77FF58B7B}"/>
    <cellStyle name="Comma 4 2 2 5 2 2 2 3" xfId="15166" xr:uid="{228F1851-9FFD-40A0-98D6-A952E6ABFC59}"/>
    <cellStyle name="Comma 4 2 2 5 2 2 2 4" xfId="25582" xr:uid="{A7235F88-2FE0-4E64-AE16-D8B3D0DA4C09}"/>
    <cellStyle name="Comma 4 2 2 5 2 2 3" xfId="9981" xr:uid="{00000000-0005-0000-0000-00008D1B0000}"/>
    <cellStyle name="Comma 4 2 2 5 2 2 3 2" xfId="21527" xr:uid="{299954FD-416A-4A70-9E1E-CC5E41AA259E}"/>
    <cellStyle name="Comma 4 2 2 5 2 2 3 3" xfId="31943" xr:uid="{6998F863-37D9-4286-A8B7-5241FA216298}"/>
    <cellStyle name="Comma 4 2 2 5 2 2 4" xfId="6182" xr:uid="{00000000-0005-0000-0000-00008E1B0000}"/>
    <cellStyle name="Comma 4 2 2 5 2 2 4 2" xfId="17768" xr:uid="{6919B414-7AA4-4E71-A539-754C009DD3D6}"/>
    <cellStyle name="Comma 4 2 2 5 2 2 4 3" xfId="28184" xr:uid="{32280C89-2E63-4C76-ADFA-9AD8DE27811B}"/>
    <cellStyle name="Comma 4 2 2 5 2 2 5" xfId="15165" xr:uid="{3C460234-B73D-4BA8-9F66-2ED292A71A03}"/>
    <cellStyle name="Comma 4 2 2 5 2 2 6" xfId="25581" xr:uid="{002A8E71-3090-4E4E-8E12-B2E8638A88EA}"/>
    <cellStyle name="Comma 4 2 2 5 2 3" xfId="2832" xr:uid="{00000000-0005-0000-0000-00008F1B0000}"/>
    <cellStyle name="Comma 4 2 2 5 2 3 2" xfId="9983" xr:uid="{00000000-0005-0000-0000-0000901B0000}"/>
    <cellStyle name="Comma 4 2 2 5 2 3 2 2" xfId="21529" xr:uid="{BC08406A-411D-4817-A457-1F254D89174F}"/>
    <cellStyle name="Comma 4 2 2 5 2 3 2 3" xfId="31945" xr:uid="{1D51FEBB-56BB-492A-B205-154E4F861E40}"/>
    <cellStyle name="Comma 4 2 2 5 2 3 3" xfId="15167" xr:uid="{8AF85FB6-AD41-4CC1-AD5E-9DF7708C5ACE}"/>
    <cellStyle name="Comma 4 2 2 5 2 3 4" xfId="25583" xr:uid="{8DE7F47D-A84B-47C1-B28B-F222D63DC8BD}"/>
    <cellStyle name="Comma 4 2 2 5 2 4" xfId="9980" xr:uid="{00000000-0005-0000-0000-0000911B0000}"/>
    <cellStyle name="Comma 4 2 2 5 2 4 2" xfId="21526" xr:uid="{20BF378D-EC10-446A-B41A-60AEB4E64C69}"/>
    <cellStyle name="Comma 4 2 2 5 2 4 3" xfId="31942" xr:uid="{D998ABDE-721C-4918-BD9E-4B94ABD0CE5A}"/>
    <cellStyle name="Comma 4 2 2 5 2 5" xfId="6181" xr:uid="{00000000-0005-0000-0000-0000921B0000}"/>
    <cellStyle name="Comma 4 2 2 5 2 5 2" xfId="17767" xr:uid="{8D42E4BB-ED02-474C-BCEB-0A762F119F6C}"/>
    <cellStyle name="Comma 4 2 2 5 2 5 3" xfId="28183" xr:uid="{9448A252-E161-45C0-BFF8-4D370909CA27}"/>
    <cellStyle name="Comma 4 2 2 5 2 6" xfId="15164" xr:uid="{F4E3343B-CD98-4BCC-B17C-26D5525C8099}"/>
    <cellStyle name="Comma 4 2 2 5 2 7" xfId="25580" xr:uid="{94E2615E-6DC0-4DA6-BB48-12B61BE01BFA}"/>
    <cellStyle name="Comma 4 2 2 5 3" xfId="2833" xr:uid="{00000000-0005-0000-0000-0000931B0000}"/>
    <cellStyle name="Comma 4 2 2 5 3 2" xfId="2834" xr:uid="{00000000-0005-0000-0000-0000941B0000}"/>
    <cellStyle name="Comma 4 2 2 5 3 2 2" xfId="9985" xr:uid="{00000000-0005-0000-0000-0000951B0000}"/>
    <cellStyle name="Comma 4 2 2 5 3 2 2 2" xfId="21531" xr:uid="{70D26E2F-467C-41C9-873C-AAA98E99E2CC}"/>
    <cellStyle name="Comma 4 2 2 5 3 2 2 3" xfId="31947" xr:uid="{E74598D8-DFFA-4AB1-A59D-FEEF87A23A38}"/>
    <cellStyle name="Comma 4 2 2 5 3 2 3" xfId="15169" xr:uid="{AEC60C2D-E84F-4AD2-9C9E-72643A81D05B}"/>
    <cellStyle name="Comma 4 2 2 5 3 2 4" xfId="25585" xr:uid="{723DCC2E-2955-4951-BFFD-E917F3BB7A6D}"/>
    <cellStyle name="Comma 4 2 2 5 3 3" xfId="9984" xr:uid="{00000000-0005-0000-0000-0000961B0000}"/>
    <cellStyle name="Comma 4 2 2 5 3 3 2" xfId="21530" xr:uid="{AB6E5626-272C-46A0-82AD-ED7A4EFD11ED}"/>
    <cellStyle name="Comma 4 2 2 5 3 3 3" xfId="31946" xr:uid="{6B818F1A-4A93-4871-AB66-D096A23C54BA}"/>
    <cellStyle name="Comma 4 2 2 5 3 4" xfId="6183" xr:uid="{00000000-0005-0000-0000-0000971B0000}"/>
    <cellStyle name="Comma 4 2 2 5 3 4 2" xfId="17769" xr:uid="{72946658-A7A8-4840-B8AD-6D50F407A51F}"/>
    <cellStyle name="Comma 4 2 2 5 3 4 3" xfId="28185" xr:uid="{A6105120-A025-40EE-A680-509074684507}"/>
    <cellStyle name="Comma 4 2 2 5 3 5" xfId="15168" xr:uid="{6172AD07-2CD2-4EFF-BD48-C065D8546BCF}"/>
    <cellStyle name="Comma 4 2 2 5 3 6" xfId="25584" xr:uid="{15496498-22B1-40C3-88B1-8BDA70FBB583}"/>
    <cellStyle name="Comma 4 2 2 5 4" xfId="2835" xr:uid="{00000000-0005-0000-0000-0000981B0000}"/>
    <cellStyle name="Comma 4 2 2 5 4 2" xfId="2836" xr:uid="{00000000-0005-0000-0000-0000991B0000}"/>
    <cellStyle name="Comma 4 2 2 5 4 2 2" xfId="9987" xr:uid="{00000000-0005-0000-0000-00009A1B0000}"/>
    <cellStyle name="Comma 4 2 2 5 4 2 2 2" xfId="21533" xr:uid="{F0E4EED3-FA93-4BF2-9E4E-585A66F90BFE}"/>
    <cellStyle name="Comma 4 2 2 5 4 2 2 3" xfId="31949" xr:uid="{E7A4FB91-581F-4579-9320-E6434688F2E8}"/>
    <cellStyle name="Comma 4 2 2 5 4 2 3" xfId="15171" xr:uid="{893ECD8A-7BED-4066-B30B-F1BE77EF6027}"/>
    <cellStyle name="Comma 4 2 2 5 4 2 4" xfId="25587" xr:uid="{E3EAE4EE-55C4-48CD-B2C5-3A19E9E757BC}"/>
    <cellStyle name="Comma 4 2 2 5 4 3" xfId="9986" xr:uid="{00000000-0005-0000-0000-00009B1B0000}"/>
    <cellStyle name="Comma 4 2 2 5 4 3 2" xfId="21532" xr:uid="{CB5A817C-945F-4217-A3DD-BDC1BDDD18A5}"/>
    <cellStyle name="Comma 4 2 2 5 4 3 3" xfId="31948" xr:uid="{C90D9FC7-1D65-4DF1-A641-6D450D400A53}"/>
    <cellStyle name="Comma 4 2 2 5 4 4" xfId="6184" xr:uid="{00000000-0005-0000-0000-00009C1B0000}"/>
    <cellStyle name="Comma 4 2 2 5 4 4 2" xfId="17770" xr:uid="{23D3CE0E-5974-4665-B870-960B3A30AC5F}"/>
    <cellStyle name="Comma 4 2 2 5 4 4 3" xfId="28186" xr:uid="{B480E135-7701-4406-B383-506523F67CFF}"/>
    <cellStyle name="Comma 4 2 2 5 4 5" xfId="15170" xr:uid="{3EF7286C-448D-4682-96DF-786317030BEA}"/>
    <cellStyle name="Comma 4 2 2 5 4 6" xfId="25586" xr:uid="{BBEFA78C-ED1D-46F2-ACB2-5AA560300A38}"/>
    <cellStyle name="Comma 4 2 2 5 5" xfId="2837" xr:uid="{00000000-0005-0000-0000-00009D1B0000}"/>
    <cellStyle name="Comma 4 2 2 5 5 2" xfId="9988" xr:uid="{00000000-0005-0000-0000-00009E1B0000}"/>
    <cellStyle name="Comma 4 2 2 5 5 2 2" xfId="21534" xr:uid="{2734A802-12EB-4687-93DB-E944DFA519DE}"/>
    <cellStyle name="Comma 4 2 2 5 5 2 3" xfId="31950" xr:uid="{11AB79E0-745C-42FD-B33D-310D46610AB1}"/>
    <cellStyle name="Comma 4 2 2 5 5 3" xfId="15172" xr:uid="{D6B43D2B-CDA9-4A60-BF5B-FC9D14AAFD0B}"/>
    <cellStyle name="Comma 4 2 2 5 5 4" xfId="25588" xr:uid="{70431DD9-C6CC-4779-B7F7-44CE82C3C87E}"/>
    <cellStyle name="Comma 4 2 2 5 6" xfId="9979" xr:uid="{00000000-0005-0000-0000-00009F1B0000}"/>
    <cellStyle name="Comma 4 2 2 5 6 2" xfId="21525" xr:uid="{1EF9AE53-F383-47DE-ADAA-1775E9472AC3}"/>
    <cellStyle name="Comma 4 2 2 5 6 3" xfId="31941" xr:uid="{01D245A9-B4B9-47EE-B52E-36046614A12F}"/>
    <cellStyle name="Comma 4 2 2 5 7" xfId="6180" xr:uid="{00000000-0005-0000-0000-0000A01B0000}"/>
    <cellStyle name="Comma 4 2 2 5 7 2" xfId="17766" xr:uid="{67A8AC7A-DC0C-4CE9-AD8C-460546CCC3FA}"/>
    <cellStyle name="Comma 4 2 2 5 7 3" xfId="28182" xr:uid="{32FC65CF-94DB-40C6-8AE5-0D82E188A68A}"/>
    <cellStyle name="Comma 4 2 2 5 8" xfId="15163" xr:uid="{483AA773-31AB-4D9B-8F2B-339831D7D0CF}"/>
    <cellStyle name="Comma 4 2 2 5 9" xfId="25579" xr:uid="{8ECFBFEA-025F-4A2A-BDAE-8D0D1637751B}"/>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2 2 2" xfId="21538" xr:uid="{70A16215-6E79-4E8F-A701-84EC9BBD5C38}"/>
    <cellStyle name="Comma 4 2 2 6 2 2 2 2 3" xfId="31954" xr:uid="{98A7C75C-350E-4C06-8D29-CAEC85E74981}"/>
    <cellStyle name="Comma 4 2 2 6 2 2 2 3" xfId="15176" xr:uid="{851B6782-8A6C-45B8-9048-A1E51273E094}"/>
    <cellStyle name="Comma 4 2 2 6 2 2 2 4" xfId="25592" xr:uid="{46FF5C54-8C24-4BF6-984D-CDAA0BE8736E}"/>
    <cellStyle name="Comma 4 2 2 6 2 2 3" xfId="9991" xr:uid="{00000000-0005-0000-0000-0000A61B0000}"/>
    <cellStyle name="Comma 4 2 2 6 2 2 3 2" xfId="21537" xr:uid="{7A03A271-2ED3-4B33-8240-E1B51E3D358B}"/>
    <cellStyle name="Comma 4 2 2 6 2 2 3 3" xfId="31953" xr:uid="{93FAFD69-9B5E-4726-992F-30CF0377D28F}"/>
    <cellStyle name="Comma 4 2 2 6 2 2 4" xfId="6187" xr:uid="{00000000-0005-0000-0000-0000A71B0000}"/>
    <cellStyle name="Comma 4 2 2 6 2 2 4 2" xfId="17773" xr:uid="{D51035A4-1A1A-4315-AD62-23EDAF97E4CB}"/>
    <cellStyle name="Comma 4 2 2 6 2 2 4 3" xfId="28189" xr:uid="{05DB10CD-5B5C-4B45-9263-8DD42F643BCF}"/>
    <cellStyle name="Comma 4 2 2 6 2 2 5" xfId="15175" xr:uid="{F1FAB52E-69F1-4758-AE0A-6EB557AF381C}"/>
    <cellStyle name="Comma 4 2 2 6 2 2 6" xfId="25591" xr:uid="{C17D53AE-8132-4D2C-8CAF-D675EDCD6F51}"/>
    <cellStyle name="Comma 4 2 2 6 2 3" xfId="2842" xr:uid="{00000000-0005-0000-0000-0000A81B0000}"/>
    <cellStyle name="Comma 4 2 2 6 2 3 2" xfId="9993" xr:uid="{00000000-0005-0000-0000-0000A91B0000}"/>
    <cellStyle name="Comma 4 2 2 6 2 3 2 2" xfId="21539" xr:uid="{B29931C4-40E9-46D7-BC66-FC9FAC1CC351}"/>
    <cellStyle name="Comma 4 2 2 6 2 3 2 3" xfId="31955" xr:uid="{6E5322A0-B31D-4540-B21C-06C090AC60E2}"/>
    <cellStyle name="Comma 4 2 2 6 2 3 3" xfId="15177" xr:uid="{2CE04760-2AEE-4E73-A517-63A5899C734B}"/>
    <cellStyle name="Comma 4 2 2 6 2 3 4" xfId="25593" xr:uid="{E293F898-08B3-42EF-A842-7C6C6A2855D0}"/>
    <cellStyle name="Comma 4 2 2 6 2 4" xfId="9990" xr:uid="{00000000-0005-0000-0000-0000AA1B0000}"/>
    <cellStyle name="Comma 4 2 2 6 2 4 2" xfId="21536" xr:uid="{786C94C1-E110-44E4-BDD5-EF3C248FA6AC}"/>
    <cellStyle name="Comma 4 2 2 6 2 4 3" xfId="31952" xr:uid="{A5525CCA-60F3-4A44-A22B-37144784462C}"/>
    <cellStyle name="Comma 4 2 2 6 2 5" xfId="6186" xr:uid="{00000000-0005-0000-0000-0000AB1B0000}"/>
    <cellStyle name="Comma 4 2 2 6 2 5 2" xfId="17772" xr:uid="{19F78BBA-A845-4E78-990C-AF5843039096}"/>
    <cellStyle name="Comma 4 2 2 6 2 5 3" xfId="28188" xr:uid="{9151F125-66CE-43FE-82BB-B580BA75F6A8}"/>
    <cellStyle name="Comma 4 2 2 6 2 6" xfId="15174" xr:uid="{DD70C1BD-F4A7-4E1D-A8D5-CD5B6B94EB9C}"/>
    <cellStyle name="Comma 4 2 2 6 2 7" xfId="25590" xr:uid="{B62A6825-6975-43E9-BD6F-0FD378480F68}"/>
    <cellStyle name="Comma 4 2 2 6 3" xfId="2843" xr:uid="{00000000-0005-0000-0000-0000AC1B0000}"/>
    <cellStyle name="Comma 4 2 2 6 3 2" xfId="2844" xr:uid="{00000000-0005-0000-0000-0000AD1B0000}"/>
    <cellStyle name="Comma 4 2 2 6 3 2 2" xfId="9995" xr:uid="{00000000-0005-0000-0000-0000AE1B0000}"/>
    <cellStyle name="Comma 4 2 2 6 3 2 2 2" xfId="21541" xr:uid="{1F3D827E-7B5B-44D2-8DCB-B8DB10BF5C07}"/>
    <cellStyle name="Comma 4 2 2 6 3 2 2 3" xfId="31957" xr:uid="{7038826A-7278-4512-9787-ADF1FB5302BC}"/>
    <cellStyle name="Comma 4 2 2 6 3 2 3" xfId="15179" xr:uid="{BE270BFC-159A-427D-847F-88D072719586}"/>
    <cellStyle name="Comma 4 2 2 6 3 2 4" xfId="25595" xr:uid="{FAA746EE-61CD-4970-97AF-B277993D4C9D}"/>
    <cellStyle name="Comma 4 2 2 6 3 3" xfId="9994" xr:uid="{00000000-0005-0000-0000-0000AF1B0000}"/>
    <cellStyle name="Comma 4 2 2 6 3 3 2" xfId="21540" xr:uid="{83B79617-0ABF-4F7E-8BD5-24DD242D6870}"/>
    <cellStyle name="Comma 4 2 2 6 3 3 3" xfId="31956" xr:uid="{02DF212C-F354-4F02-A6AB-9DEBC5452B24}"/>
    <cellStyle name="Comma 4 2 2 6 3 4" xfId="6188" xr:uid="{00000000-0005-0000-0000-0000B01B0000}"/>
    <cellStyle name="Comma 4 2 2 6 3 4 2" xfId="17774" xr:uid="{AA1980DA-DFBB-4D92-AFB9-12169B143302}"/>
    <cellStyle name="Comma 4 2 2 6 3 4 3" xfId="28190" xr:uid="{A6DCC5B3-10F5-44AD-BF70-BAF0E2DA7018}"/>
    <cellStyle name="Comma 4 2 2 6 3 5" xfId="15178" xr:uid="{E6C86441-6C8D-426D-ADFE-406D9FF657B7}"/>
    <cellStyle name="Comma 4 2 2 6 3 6" xfId="25594" xr:uid="{C640DFB0-33DC-4C9F-AC88-880927E6F7A2}"/>
    <cellStyle name="Comma 4 2 2 6 4" xfId="2845" xr:uid="{00000000-0005-0000-0000-0000B11B0000}"/>
    <cellStyle name="Comma 4 2 2 6 4 2" xfId="2846" xr:uid="{00000000-0005-0000-0000-0000B21B0000}"/>
    <cellStyle name="Comma 4 2 2 6 4 2 2" xfId="9997" xr:uid="{00000000-0005-0000-0000-0000B31B0000}"/>
    <cellStyle name="Comma 4 2 2 6 4 2 2 2" xfId="21543" xr:uid="{25F1A2A6-6149-4A20-9376-620433AF18B0}"/>
    <cellStyle name="Comma 4 2 2 6 4 2 2 3" xfId="31959" xr:uid="{29565635-C29C-40FD-950E-144D7E0D1960}"/>
    <cellStyle name="Comma 4 2 2 6 4 2 3" xfId="15181" xr:uid="{0D5F3199-13C1-4A6C-9CCB-2B6C8D0D83C0}"/>
    <cellStyle name="Comma 4 2 2 6 4 2 4" xfId="25597" xr:uid="{1EE8544F-8280-4160-B31C-8FF7B76A9D4B}"/>
    <cellStyle name="Comma 4 2 2 6 4 3" xfId="9996" xr:uid="{00000000-0005-0000-0000-0000B41B0000}"/>
    <cellStyle name="Comma 4 2 2 6 4 3 2" xfId="21542" xr:uid="{3E02D3E0-2C17-43A4-8CD9-F12959B2927C}"/>
    <cellStyle name="Comma 4 2 2 6 4 3 3" xfId="31958" xr:uid="{0EDD6406-9ECB-4BB8-BDED-443D1E28C9A5}"/>
    <cellStyle name="Comma 4 2 2 6 4 4" xfId="6189" xr:uid="{00000000-0005-0000-0000-0000B51B0000}"/>
    <cellStyle name="Comma 4 2 2 6 4 4 2" xfId="17775" xr:uid="{6C66F51A-6330-4162-AE6B-A50221E0885F}"/>
    <cellStyle name="Comma 4 2 2 6 4 4 3" xfId="28191" xr:uid="{0054805A-742E-4AC2-9623-149796E3D663}"/>
    <cellStyle name="Comma 4 2 2 6 4 5" xfId="15180" xr:uid="{08201CB2-2CBC-499D-9422-1D416BFF1E64}"/>
    <cellStyle name="Comma 4 2 2 6 4 6" xfId="25596" xr:uid="{E5292BE4-1216-4BD4-B9B9-1642FC34DBC4}"/>
    <cellStyle name="Comma 4 2 2 6 5" xfId="2847" xr:uid="{00000000-0005-0000-0000-0000B61B0000}"/>
    <cellStyle name="Comma 4 2 2 6 5 2" xfId="9998" xr:uid="{00000000-0005-0000-0000-0000B71B0000}"/>
    <cellStyle name="Comma 4 2 2 6 5 2 2" xfId="21544" xr:uid="{C7BD1969-0B41-4440-B88A-BA23A7818F95}"/>
    <cellStyle name="Comma 4 2 2 6 5 2 3" xfId="31960" xr:uid="{01DA97EC-ECA0-4A3D-A03E-31369A2931A5}"/>
    <cellStyle name="Comma 4 2 2 6 5 3" xfId="15182" xr:uid="{DD680906-58FD-4E93-AAFD-F03138AF3303}"/>
    <cellStyle name="Comma 4 2 2 6 5 4" xfId="25598" xr:uid="{6BC36FDC-30F6-4FCD-AEFE-B50BFC1AF35E}"/>
    <cellStyle name="Comma 4 2 2 6 6" xfId="9989" xr:uid="{00000000-0005-0000-0000-0000B81B0000}"/>
    <cellStyle name="Comma 4 2 2 6 6 2" xfId="21535" xr:uid="{70C2CD4C-9BA3-4249-9342-8E9C3E599A9F}"/>
    <cellStyle name="Comma 4 2 2 6 6 3" xfId="31951" xr:uid="{CF0181A1-E20F-4A5A-A2E8-CA9D19FD2EF8}"/>
    <cellStyle name="Comma 4 2 2 6 7" xfId="6185" xr:uid="{00000000-0005-0000-0000-0000B91B0000}"/>
    <cellStyle name="Comma 4 2 2 6 7 2" xfId="17771" xr:uid="{7FD899A5-9E95-4553-A908-BD2111E4D3E7}"/>
    <cellStyle name="Comma 4 2 2 6 7 3" xfId="28187" xr:uid="{7EE80F15-8CBC-4637-97C9-E60745354B43}"/>
    <cellStyle name="Comma 4 2 2 6 8" xfId="15173" xr:uid="{EAB45AA2-833A-4AA3-B66A-02FC1F2B2BA3}"/>
    <cellStyle name="Comma 4 2 2 6 9" xfId="25589" xr:uid="{D05A8672-6E11-4592-8E05-CC858ECD7043}"/>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2 2 2" xfId="21547" xr:uid="{0FC6B5AE-3F59-46A3-A2A2-2346BB3C5DC6}"/>
    <cellStyle name="Comma 4 2 2 7 2 2 2 3" xfId="31963" xr:uid="{449ECC60-9531-44DC-AED9-1BE23B25B09C}"/>
    <cellStyle name="Comma 4 2 2 7 2 2 3" xfId="15185" xr:uid="{550DCE69-5B7A-4A5E-92FF-4FF07968B954}"/>
    <cellStyle name="Comma 4 2 2 7 2 2 4" xfId="25601" xr:uid="{8EDA6741-03B6-424F-B910-5F1266F9D773}"/>
    <cellStyle name="Comma 4 2 2 7 2 3" xfId="10000" xr:uid="{00000000-0005-0000-0000-0000BE1B0000}"/>
    <cellStyle name="Comma 4 2 2 7 2 3 2" xfId="21546" xr:uid="{46DDD46F-6C1B-4B54-A9B9-8CBA84C92D74}"/>
    <cellStyle name="Comma 4 2 2 7 2 3 3" xfId="31962" xr:uid="{A3889502-389A-43E5-9016-A94D5140B9F2}"/>
    <cellStyle name="Comma 4 2 2 7 2 4" xfId="6191" xr:uid="{00000000-0005-0000-0000-0000BF1B0000}"/>
    <cellStyle name="Comma 4 2 2 7 2 4 2" xfId="17777" xr:uid="{9F48371E-269B-4E78-B484-A4D6E5C2E6D4}"/>
    <cellStyle name="Comma 4 2 2 7 2 4 3" xfId="28193" xr:uid="{65DBE8CE-3875-47BF-B6E3-B0B2832AE659}"/>
    <cellStyle name="Comma 4 2 2 7 2 5" xfId="15184" xr:uid="{2D1CC045-8680-4B3D-8EBF-997619608110}"/>
    <cellStyle name="Comma 4 2 2 7 2 6" xfId="25600" xr:uid="{93812923-0E9B-4D49-A781-A91A2D80506D}"/>
    <cellStyle name="Comma 4 2 2 7 3" xfId="2851" xr:uid="{00000000-0005-0000-0000-0000C01B0000}"/>
    <cellStyle name="Comma 4 2 2 7 3 2" xfId="2852" xr:uid="{00000000-0005-0000-0000-0000C11B0000}"/>
    <cellStyle name="Comma 4 2 2 7 3 2 2" xfId="10003" xr:uid="{00000000-0005-0000-0000-0000C21B0000}"/>
    <cellStyle name="Comma 4 2 2 7 3 2 2 2" xfId="21549" xr:uid="{D20D995F-3AE5-4B4A-BB97-0B55BA7F08CC}"/>
    <cellStyle name="Comma 4 2 2 7 3 2 2 3" xfId="31965" xr:uid="{AC4B12FB-0DB2-47B5-8610-46F775E3F718}"/>
    <cellStyle name="Comma 4 2 2 7 3 2 3" xfId="15187" xr:uid="{E6891193-8FBB-435F-8AC3-C0047B139745}"/>
    <cellStyle name="Comma 4 2 2 7 3 2 4" xfId="25603" xr:uid="{EBCFA73B-DF83-4FF0-A9AA-710639681BD1}"/>
    <cellStyle name="Comma 4 2 2 7 3 3" xfId="10002" xr:uid="{00000000-0005-0000-0000-0000C31B0000}"/>
    <cellStyle name="Comma 4 2 2 7 3 3 2" xfId="21548" xr:uid="{AB64203C-A4C7-4B79-BF9B-92EB90D61492}"/>
    <cellStyle name="Comma 4 2 2 7 3 3 3" xfId="31964" xr:uid="{CB84A604-25E7-4958-A1F7-D1B58E1E3044}"/>
    <cellStyle name="Comma 4 2 2 7 3 4" xfId="6192" xr:uid="{00000000-0005-0000-0000-0000C41B0000}"/>
    <cellStyle name="Comma 4 2 2 7 3 4 2" xfId="17778" xr:uid="{63A4AADE-0BAC-44BA-B1C8-22943E7F5B3D}"/>
    <cellStyle name="Comma 4 2 2 7 3 4 3" xfId="28194" xr:uid="{A0759019-5DCC-43C6-BF89-EF3BAD47971E}"/>
    <cellStyle name="Comma 4 2 2 7 3 5" xfId="15186" xr:uid="{FB0CCB82-17A0-47A3-8A4D-223B895A3176}"/>
    <cellStyle name="Comma 4 2 2 7 3 6" xfId="25602" xr:uid="{423A4425-44F9-4074-923B-BF1CA39DB508}"/>
    <cellStyle name="Comma 4 2 2 7 4" xfId="2853" xr:uid="{00000000-0005-0000-0000-0000C51B0000}"/>
    <cellStyle name="Comma 4 2 2 7 4 2" xfId="10004" xr:uid="{00000000-0005-0000-0000-0000C61B0000}"/>
    <cellStyle name="Comma 4 2 2 7 4 2 2" xfId="21550" xr:uid="{EB3C2E2A-3031-4511-AF69-6ED680D9DDC3}"/>
    <cellStyle name="Comma 4 2 2 7 4 2 3" xfId="31966" xr:uid="{8B1FF461-7E7F-45F3-BBF6-AFD9889D9229}"/>
    <cellStyle name="Comma 4 2 2 7 4 3" xfId="15188" xr:uid="{FC9A671E-B8A3-4719-A92D-90C6D36AF2B0}"/>
    <cellStyle name="Comma 4 2 2 7 4 4" xfId="25604" xr:uid="{7055568F-B0AF-4BBA-93A7-6CD196EF4224}"/>
    <cellStyle name="Comma 4 2 2 7 5" xfId="9999" xr:uid="{00000000-0005-0000-0000-0000C71B0000}"/>
    <cellStyle name="Comma 4 2 2 7 5 2" xfId="21545" xr:uid="{7C88F7B3-14F5-4E2F-84BD-6CDC9780FEAD}"/>
    <cellStyle name="Comma 4 2 2 7 5 3" xfId="31961" xr:uid="{897EAE4D-B894-4056-95A8-A5D87B9136B9}"/>
    <cellStyle name="Comma 4 2 2 7 6" xfId="6190" xr:uid="{00000000-0005-0000-0000-0000C81B0000}"/>
    <cellStyle name="Comma 4 2 2 7 6 2" xfId="17776" xr:uid="{C41843F9-7CF6-49A0-BB6E-67A76E387F97}"/>
    <cellStyle name="Comma 4 2 2 7 6 3" xfId="28192" xr:uid="{EF6B49DD-900C-49D3-9CC7-95592F111F74}"/>
    <cellStyle name="Comma 4 2 2 7 7" xfId="15183" xr:uid="{38465B93-50F8-4440-8BA6-F7917422B100}"/>
    <cellStyle name="Comma 4 2 2 7 8" xfId="25599" xr:uid="{F0AD6747-F435-4978-B673-FABFE7EBEF5E}"/>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2 2 2" xfId="21553" xr:uid="{ABF76670-B96C-4BB3-ACE2-CD73A363EE2B}"/>
    <cellStyle name="Comma 4 2 2 8 2 2 2 3" xfId="31969" xr:uid="{FE2871C9-A512-4823-AA2F-A21A6BAC1273}"/>
    <cellStyle name="Comma 4 2 2 8 2 2 3" xfId="15191" xr:uid="{D1B2DEBE-DF42-4642-96E7-F76B431AD229}"/>
    <cellStyle name="Comma 4 2 2 8 2 2 4" xfId="25607" xr:uid="{A28F7767-8375-4309-97BE-3B5E14B56ABD}"/>
    <cellStyle name="Comma 4 2 2 8 2 3" xfId="10006" xr:uid="{00000000-0005-0000-0000-0000CD1B0000}"/>
    <cellStyle name="Comma 4 2 2 8 2 3 2" xfId="21552" xr:uid="{196516DC-F24C-4634-9074-6E9CF1E376DF}"/>
    <cellStyle name="Comma 4 2 2 8 2 3 3" xfId="31968" xr:uid="{4229139C-A205-4795-815E-89DD9528B9C6}"/>
    <cellStyle name="Comma 4 2 2 8 2 4" xfId="6194" xr:uid="{00000000-0005-0000-0000-0000CE1B0000}"/>
    <cellStyle name="Comma 4 2 2 8 2 4 2" xfId="17780" xr:uid="{289B9C1B-408D-41AE-B192-84D267DFC582}"/>
    <cellStyle name="Comma 4 2 2 8 2 4 3" xfId="28196" xr:uid="{4DD2A334-C7F1-46B6-982C-0F90693DD662}"/>
    <cellStyle name="Comma 4 2 2 8 2 5" xfId="15190" xr:uid="{C79139CE-3FF9-48D8-B449-58559C7EFA9D}"/>
    <cellStyle name="Comma 4 2 2 8 2 6" xfId="25606" xr:uid="{D3793AE8-021E-4CC5-AEDC-7800A33FA90C}"/>
    <cellStyle name="Comma 4 2 2 8 3" xfId="2857" xr:uid="{00000000-0005-0000-0000-0000CF1B0000}"/>
    <cellStyle name="Comma 4 2 2 8 3 2" xfId="10008" xr:uid="{00000000-0005-0000-0000-0000D01B0000}"/>
    <cellStyle name="Comma 4 2 2 8 3 2 2" xfId="21554" xr:uid="{22A58E11-3D43-408F-99DA-E1ABAE93D9C6}"/>
    <cellStyle name="Comma 4 2 2 8 3 2 3" xfId="31970" xr:uid="{3B8D220C-44FF-4331-AF6C-09CA2C1D7648}"/>
    <cellStyle name="Comma 4 2 2 8 3 3" xfId="15192" xr:uid="{D37ACD02-92D6-459F-8BD0-D7B8CA1B2719}"/>
    <cellStyle name="Comma 4 2 2 8 3 4" xfId="25608" xr:uid="{F2B1C2A8-B4D2-4731-B054-279BD3E5CEF6}"/>
    <cellStyle name="Comma 4 2 2 8 4" xfId="10005" xr:uid="{00000000-0005-0000-0000-0000D11B0000}"/>
    <cellStyle name="Comma 4 2 2 8 4 2" xfId="21551" xr:uid="{EE65A0F3-192E-4691-BBEA-3FBAD7DB4C98}"/>
    <cellStyle name="Comma 4 2 2 8 4 3" xfId="31967" xr:uid="{750EA16C-235C-4B4F-AE8D-2AEF11F12C24}"/>
    <cellStyle name="Comma 4 2 2 8 5" xfId="6193" xr:uid="{00000000-0005-0000-0000-0000D21B0000}"/>
    <cellStyle name="Comma 4 2 2 8 5 2" xfId="17779" xr:uid="{DD026E6B-79AD-45B3-8D50-CD619D595309}"/>
    <cellStyle name="Comma 4 2 2 8 5 3" xfId="28195" xr:uid="{791CDB0D-4AB2-46E6-9BC1-3BEF2A40C7AC}"/>
    <cellStyle name="Comma 4 2 2 8 6" xfId="15189" xr:uid="{581859DA-72FA-4D8F-91FC-E2E291F28B4C}"/>
    <cellStyle name="Comma 4 2 2 8 7" xfId="25605" xr:uid="{6BAF782D-4D68-4798-96A7-BFF536F81651}"/>
    <cellStyle name="Comma 4 2 2 9" xfId="2858" xr:uid="{00000000-0005-0000-0000-0000D31B0000}"/>
    <cellStyle name="Comma 4 2 2 9 2" xfId="2859" xr:uid="{00000000-0005-0000-0000-0000D41B0000}"/>
    <cellStyle name="Comma 4 2 2 9 2 2" xfId="10010" xr:uid="{00000000-0005-0000-0000-0000D51B0000}"/>
    <cellStyle name="Comma 4 2 2 9 2 2 2" xfId="21556" xr:uid="{9354032D-AC16-4A4C-92F4-C40E8CF07C79}"/>
    <cellStyle name="Comma 4 2 2 9 2 2 3" xfId="31972" xr:uid="{F86A6BC0-1E39-4D62-BEF0-578FAC68E93F}"/>
    <cellStyle name="Comma 4 2 2 9 2 3" xfId="15194" xr:uid="{4B78F945-1F00-4B29-A670-343844C9B094}"/>
    <cellStyle name="Comma 4 2 2 9 2 4" xfId="25610" xr:uid="{80A7D14F-5870-4558-A49C-2D65A27128B2}"/>
    <cellStyle name="Comma 4 2 2 9 3" xfId="10009" xr:uid="{00000000-0005-0000-0000-0000D61B0000}"/>
    <cellStyle name="Comma 4 2 2 9 3 2" xfId="21555" xr:uid="{DD1B535A-D3F0-48A4-89A1-8DE8FF097214}"/>
    <cellStyle name="Comma 4 2 2 9 3 3" xfId="31971" xr:uid="{65698627-ECA1-4FFB-8FB7-7156073ABC5E}"/>
    <cellStyle name="Comma 4 2 2 9 4" xfId="6195" xr:uid="{00000000-0005-0000-0000-0000D71B0000}"/>
    <cellStyle name="Comma 4 2 2 9 4 2" xfId="17781" xr:uid="{116593E4-BAAE-4879-8206-D08EE1E24D4B}"/>
    <cellStyle name="Comma 4 2 2 9 4 3" xfId="28197" xr:uid="{74458C2C-6BB3-4FB8-84D5-59C96CDABEED}"/>
    <cellStyle name="Comma 4 2 2 9 5" xfId="15193" xr:uid="{AF0E7DBE-A19E-4B3C-9368-6D02863CDFD8}"/>
    <cellStyle name="Comma 4 2 2 9 6" xfId="25609" xr:uid="{0F4F8E72-A910-4D0B-9323-53DBF4155347}"/>
    <cellStyle name="Comma 4 2 20" xfId="12353" xr:uid="{00000000-0005-0000-0000-0000D81B0000}"/>
    <cellStyle name="Comma 4 2 20 2" xfId="22759" xr:uid="{9AF377F5-B841-4D27-84E7-E46890D2B394}"/>
    <cellStyle name="Comma 4 2 20 3" xfId="33175" xr:uid="{8FA39ACA-02D6-4F73-B762-4D5EA1260B19}"/>
    <cellStyle name="Comma 4 2 21" xfId="12368" xr:uid="{6AB2F5CF-6167-4149-84E5-A14AB31A7A0F}"/>
    <cellStyle name="Comma 4 2 22" xfId="22784" xr:uid="{15A8B2C3-7CB9-4D8D-90D2-D099E621291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2 2 2" xfId="21559" xr:uid="{F87024E4-52FD-4583-AAFA-80F2EFA22E42}"/>
    <cellStyle name="Comma 4 2 3 10 2 2 3" xfId="31975" xr:uid="{87808039-C55F-409B-97C4-6A1F4ABA2C73}"/>
    <cellStyle name="Comma 4 2 3 10 2 3" xfId="15197" xr:uid="{FE0B225C-2027-4ACF-B792-F1326BDAFD67}"/>
    <cellStyle name="Comma 4 2 3 10 2 4" xfId="25613" xr:uid="{93B19348-1883-4250-9BF1-9A45815E83DD}"/>
    <cellStyle name="Comma 4 2 3 10 3" xfId="10012" xr:uid="{00000000-0005-0000-0000-0000DD1B0000}"/>
    <cellStyle name="Comma 4 2 3 10 3 2" xfId="21558" xr:uid="{803EDE74-2DA2-4F2A-B109-B8617E3FC694}"/>
    <cellStyle name="Comma 4 2 3 10 3 3" xfId="31974" xr:uid="{8B8FA24D-37B5-4E03-B401-5A2301F3C4FD}"/>
    <cellStyle name="Comma 4 2 3 10 4" xfId="6197" xr:uid="{00000000-0005-0000-0000-0000DE1B0000}"/>
    <cellStyle name="Comma 4 2 3 10 4 2" xfId="17783" xr:uid="{7375E0AC-BA81-4E79-A214-66F1D3115680}"/>
    <cellStyle name="Comma 4 2 3 10 4 3" xfId="28199" xr:uid="{1D52F302-9FA4-4002-9F6D-11C3343F4743}"/>
    <cellStyle name="Comma 4 2 3 10 5" xfId="15196" xr:uid="{6D781AB2-FED9-42BD-95D9-52BEC6F44663}"/>
    <cellStyle name="Comma 4 2 3 10 6" xfId="25612" xr:uid="{2410CE5E-0409-4FC5-8B61-039EB32B1F23}"/>
    <cellStyle name="Comma 4 2 3 11" xfId="2863" xr:uid="{00000000-0005-0000-0000-0000DF1B0000}"/>
    <cellStyle name="Comma 4 2 3 11 2" xfId="10014" xr:uid="{00000000-0005-0000-0000-0000E01B0000}"/>
    <cellStyle name="Comma 4 2 3 11 2 2" xfId="21560" xr:uid="{BAF3F7E3-FDC8-4645-AE4B-07CF12C53DE0}"/>
    <cellStyle name="Comma 4 2 3 11 2 3" xfId="31976" xr:uid="{05DA012F-CD1A-4246-A170-436DFCE541AA}"/>
    <cellStyle name="Comma 4 2 3 11 3" xfId="15198" xr:uid="{60D94469-1D0A-42C4-8D46-FBCC264978F3}"/>
    <cellStyle name="Comma 4 2 3 11 4" xfId="25614" xr:uid="{280FDC3E-7BD6-41C3-A9ED-2C65B44B7F5B}"/>
    <cellStyle name="Comma 4 2 3 12" xfId="10011" xr:uid="{00000000-0005-0000-0000-0000E11B0000}"/>
    <cellStyle name="Comma 4 2 3 12 2" xfId="21557" xr:uid="{19860B3B-AAFE-40E3-96BB-5F8A65E58CEA}"/>
    <cellStyle name="Comma 4 2 3 12 3" xfId="31973" xr:uid="{2ADF8C10-3E45-474A-A88F-DC21105830A6}"/>
    <cellStyle name="Comma 4 2 3 13" xfId="6196" xr:uid="{00000000-0005-0000-0000-0000E21B0000}"/>
    <cellStyle name="Comma 4 2 3 13 2" xfId="17782" xr:uid="{C8ECB32F-1D7E-4E30-BC4E-9DD677A99D3F}"/>
    <cellStyle name="Comma 4 2 3 13 3" xfId="28198" xr:uid="{471472AC-8F2B-4B0A-924B-392F4844D296}"/>
    <cellStyle name="Comma 4 2 3 14" xfId="12348" xr:uid="{00000000-0005-0000-0000-0000E31B0000}"/>
    <cellStyle name="Comma 4 2 3 14 2" xfId="22754" xr:uid="{0DBF61F9-970F-4ED3-AD2B-85C080A89E2C}"/>
    <cellStyle name="Comma 4 2 3 14 3" xfId="33170" xr:uid="{FCB2786E-E10D-45B4-A6B9-C7410B20169B}"/>
    <cellStyle name="Comma 4 2 3 15" xfId="12363" xr:uid="{00000000-0005-0000-0000-0000E41B0000}"/>
    <cellStyle name="Comma 4 2 3 15 2" xfId="22769" xr:uid="{7994DA15-0185-4081-9735-A8AAD6B50B0F}"/>
    <cellStyle name="Comma 4 2 3 15 3" xfId="33185" xr:uid="{F72228FD-1503-4358-B039-D0F6C5BD88FE}"/>
    <cellStyle name="Comma 4 2 3 16" xfId="15195" xr:uid="{CC4B8187-10E0-491A-805E-6CA8CE98C29A}"/>
    <cellStyle name="Comma 4 2 3 17" xfId="25611" xr:uid="{5864EA04-F5C2-4130-B2B9-4883C4A2A69D}"/>
    <cellStyle name="Comma 4 2 3 2" xfId="2864" xr:uid="{00000000-0005-0000-0000-0000E51B0000}"/>
    <cellStyle name="Comma 4 2 3 2 10" xfId="2865" xr:uid="{00000000-0005-0000-0000-0000E61B0000}"/>
    <cellStyle name="Comma 4 2 3 2 10 2" xfId="10016" xr:uid="{00000000-0005-0000-0000-0000E71B0000}"/>
    <cellStyle name="Comma 4 2 3 2 10 2 2" xfId="21562" xr:uid="{69AA1BAA-9C0A-4860-87B6-A40CB79DEE61}"/>
    <cellStyle name="Comma 4 2 3 2 10 2 3" xfId="31978" xr:uid="{FFC4856E-A341-4E2C-8093-359CCC98BD45}"/>
    <cellStyle name="Comma 4 2 3 2 10 3" xfId="15200" xr:uid="{51D68D23-D705-460E-98D9-0981263E3CD2}"/>
    <cellStyle name="Comma 4 2 3 2 10 4" xfId="25616" xr:uid="{8311A4CA-25A9-4AAB-AF7B-56F4C74ED49A}"/>
    <cellStyle name="Comma 4 2 3 2 11" xfId="10015" xr:uid="{00000000-0005-0000-0000-0000E81B0000}"/>
    <cellStyle name="Comma 4 2 3 2 11 2" xfId="21561" xr:uid="{584DD585-DEF2-496F-B3A6-15CACED18F9E}"/>
    <cellStyle name="Comma 4 2 3 2 11 3" xfId="31977" xr:uid="{1BC9B9F9-2832-4810-A116-C017F3BA4A02}"/>
    <cellStyle name="Comma 4 2 3 2 12" xfId="6198" xr:uid="{00000000-0005-0000-0000-0000E91B0000}"/>
    <cellStyle name="Comma 4 2 3 2 12 2" xfId="17784" xr:uid="{6B743B15-4191-4DE6-A0F2-E11CBEFE582C}"/>
    <cellStyle name="Comma 4 2 3 2 12 3" xfId="28200" xr:uid="{7BFBD1E3-ACE7-4326-B510-16BC6D96D2C9}"/>
    <cellStyle name="Comma 4 2 3 2 13" xfId="15199" xr:uid="{F07C3481-CD4C-427C-982B-BF8D5E577CFB}"/>
    <cellStyle name="Comma 4 2 3 2 14" xfId="25615" xr:uid="{56DF06F6-0417-4FBA-A958-BCE5B8DE56D6}"/>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2 2 2" xfId="21566" xr:uid="{7B192C35-4F98-48EC-9641-C37631300AE2}"/>
    <cellStyle name="Comma 4 2 3 2 2 2 2 2 2 3" xfId="31982" xr:uid="{B51FC84D-6E0B-494E-AADA-36A337341906}"/>
    <cellStyle name="Comma 4 2 3 2 2 2 2 2 3" xfId="15204" xr:uid="{87398BF5-AFC8-44B1-9973-C5E21736C91A}"/>
    <cellStyle name="Comma 4 2 3 2 2 2 2 2 4" xfId="25620" xr:uid="{25C6F649-3357-4C45-AE8C-495C69C7964D}"/>
    <cellStyle name="Comma 4 2 3 2 2 2 2 3" xfId="10019" xr:uid="{00000000-0005-0000-0000-0000EF1B0000}"/>
    <cellStyle name="Comma 4 2 3 2 2 2 2 3 2" xfId="21565" xr:uid="{0869B134-A62C-44A3-A3FC-A095BE3979C8}"/>
    <cellStyle name="Comma 4 2 3 2 2 2 2 3 3" xfId="31981" xr:uid="{A0CE5666-44A9-4842-BE6E-A9202CC80E1E}"/>
    <cellStyle name="Comma 4 2 3 2 2 2 2 4" xfId="6201" xr:uid="{00000000-0005-0000-0000-0000F01B0000}"/>
    <cellStyle name="Comma 4 2 3 2 2 2 2 4 2" xfId="17787" xr:uid="{4C5C7CAE-01E8-4357-A11A-7AD4FD2A5606}"/>
    <cellStyle name="Comma 4 2 3 2 2 2 2 4 3" xfId="28203" xr:uid="{8657BFA5-71F2-4CBC-A47C-9F3553AE4EB2}"/>
    <cellStyle name="Comma 4 2 3 2 2 2 2 5" xfId="15203" xr:uid="{5D939012-3F62-433B-9199-175278CD8846}"/>
    <cellStyle name="Comma 4 2 3 2 2 2 2 6" xfId="25619" xr:uid="{3A46310C-A0F6-4522-8CCD-87E6FF75173D}"/>
    <cellStyle name="Comma 4 2 3 2 2 2 3" xfId="2870" xr:uid="{00000000-0005-0000-0000-0000F11B0000}"/>
    <cellStyle name="Comma 4 2 3 2 2 2 3 2" xfId="10021" xr:uid="{00000000-0005-0000-0000-0000F21B0000}"/>
    <cellStyle name="Comma 4 2 3 2 2 2 3 2 2" xfId="21567" xr:uid="{15190BC1-0D24-40DC-9A27-55923B0018A7}"/>
    <cellStyle name="Comma 4 2 3 2 2 2 3 2 3" xfId="31983" xr:uid="{0ADA8669-3A90-41F0-A1A5-8C749E1CF017}"/>
    <cellStyle name="Comma 4 2 3 2 2 2 3 3" xfId="15205" xr:uid="{2285943E-C6F3-4C77-8D91-B2B108F2126F}"/>
    <cellStyle name="Comma 4 2 3 2 2 2 3 4" xfId="25621" xr:uid="{F8BFBA2A-B4B4-4FE3-896D-736FFA0A6B5E}"/>
    <cellStyle name="Comma 4 2 3 2 2 2 4" xfId="10018" xr:uid="{00000000-0005-0000-0000-0000F31B0000}"/>
    <cellStyle name="Comma 4 2 3 2 2 2 4 2" xfId="21564" xr:uid="{9642A6DA-8E03-4E41-8D54-0A11003C0E41}"/>
    <cellStyle name="Comma 4 2 3 2 2 2 4 3" xfId="31980" xr:uid="{DEF6E4BF-6C8B-4A2F-A96F-542DEF05C7A9}"/>
    <cellStyle name="Comma 4 2 3 2 2 2 5" xfId="6200" xr:uid="{00000000-0005-0000-0000-0000F41B0000}"/>
    <cellStyle name="Comma 4 2 3 2 2 2 5 2" xfId="17786" xr:uid="{BD8A9B15-49A5-4CA9-9FAD-0CE95AD1C7E6}"/>
    <cellStyle name="Comma 4 2 3 2 2 2 5 3" xfId="28202" xr:uid="{7F397F8B-88E1-4783-AF8E-5613D09CD9F7}"/>
    <cellStyle name="Comma 4 2 3 2 2 2 6" xfId="15202" xr:uid="{80441C10-2548-4B63-A159-527B2746946B}"/>
    <cellStyle name="Comma 4 2 3 2 2 2 7" xfId="25618" xr:uid="{26A0EF5A-6908-468C-9CC0-25E2D4757C15}"/>
    <cellStyle name="Comma 4 2 3 2 2 3" xfId="2871" xr:uid="{00000000-0005-0000-0000-0000F51B0000}"/>
    <cellStyle name="Comma 4 2 3 2 2 3 2" xfId="2872" xr:uid="{00000000-0005-0000-0000-0000F61B0000}"/>
    <cellStyle name="Comma 4 2 3 2 2 3 2 2" xfId="10023" xr:uid="{00000000-0005-0000-0000-0000F71B0000}"/>
    <cellStyle name="Comma 4 2 3 2 2 3 2 2 2" xfId="21569" xr:uid="{EB34D344-D68C-473F-B503-E807B3783918}"/>
    <cellStyle name="Comma 4 2 3 2 2 3 2 2 3" xfId="31985" xr:uid="{8870E57B-DAB0-4E80-A30C-8E79B4023C5B}"/>
    <cellStyle name="Comma 4 2 3 2 2 3 2 3" xfId="15207" xr:uid="{A0AC3FE3-16BC-42F4-9412-CD7C634A701C}"/>
    <cellStyle name="Comma 4 2 3 2 2 3 2 4" xfId="25623" xr:uid="{6AAF90DA-AE77-41D9-AFFF-2AA3C1B0050D}"/>
    <cellStyle name="Comma 4 2 3 2 2 3 3" xfId="10022" xr:uid="{00000000-0005-0000-0000-0000F81B0000}"/>
    <cellStyle name="Comma 4 2 3 2 2 3 3 2" xfId="21568" xr:uid="{E2DE7044-92E0-4C57-BBD9-15866C5C7C28}"/>
    <cellStyle name="Comma 4 2 3 2 2 3 3 3" xfId="31984" xr:uid="{AD14B8B0-E542-4675-86C1-5265A6935178}"/>
    <cellStyle name="Comma 4 2 3 2 2 3 4" xfId="6202" xr:uid="{00000000-0005-0000-0000-0000F91B0000}"/>
    <cellStyle name="Comma 4 2 3 2 2 3 4 2" xfId="17788" xr:uid="{82B468F5-1B98-4CBD-AA9F-F3E093402B20}"/>
    <cellStyle name="Comma 4 2 3 2 2 3 4 3" xfId="28204" xr:uid="{23CF0B96-BF39-4E26-A79C-A1C3E837F344}"/>
    <cellStyle name="Comma 4 2 3 2 2 3 5" xfId="15206" xr:uid="{B85345B5-4410-40DB-92F9-6CC08D17EC3B}"/>
    <cellStyle name="Comma 4 2 3 2 2 3 6" xfId="25622" xr:uid="{2EABFBD3-84AA-4BAF-964C-BF4AB4A23EB3}"/>
    <cellStyle name="Comma 4 2 3 2 2 4" xfId="2873" xr:uid="{00000000-0005-0000-0000-0000FA1B0000}"/>
    <cellStyle name="Comma 4 2 3 2 2 4 2" xfId="2874" xr:uid="{00000000-0005-0000-0000-0000FB1B0000}"/>
    <cellStyle name="Comma 4 2 3 2 2 4 2 2" xfId="10025" xr:uid="{00000000-0005-0000-0000-0000FC1B0000}"/>
    <cellStyle name="Comma 4 2 3 2 2 4 2 2 2" xfId="21571" xr:uid="{A2D4FA9D-1CC8-494B-9FD5-C2F0F7C1D395}"/>
    <cellStyle name="Comma 4 2 3 2 2 4 2 2 3" xfId="31987" xr:uid="{86B1CFAB-C522-42E1-BDBA-6455656A7048}"/>
    <cellStyle name="Comma 4 2 3 2 2 4 2 3" xfId="15209" xr:uid="{333C3A37-A7AB-4A7D-8869-C6FE7CD8AAB1}"/>
    <cellStyle name="Comma 4 2 3 2 2 4 2 4" xfId="25625" xr:uid="{5E9A62CA-6DC9-419E-8EA5-5A95893AF546}"/>
    <cellStyle name="Comma 4 2 3 2 2 4 3" xfId="10024" xr:uid="{00000000-0005-0000-0000-0000FD1B0000}"/>
    <cellStyle name="Comma 4 2 3 2 2 4 3 2" xfId="21570" xr:uid="{DEBEB504-6E76-46E6-B838-2401F022F016}"/>
    <cellStyle name="Comma 4 2 3 2 2 4 3 3" xfId="31986" xr:uid="{12A2438D-8209-4456-94BC-1200278E1042}"/>
    <cellStyle name="Comma 4 2 3 2 2 4 4" xfId="6203" xr:uid="{00000000-0005-0000-0000-0000FE1B0000}"/>
    <cellStyle name="Comma 4 2 3 2 2 4 4 2" xfId="17789" xr:uid="{81DF4CC0-0D0C-4706-ADD9-60D361C609D9}"/>
    <cellStyle name="Comma 4 2 3 2 2 4 4 3" xfId="28205" xr:uid="{B7850210-DFEC-48EC-80FC-DD528CB318FE}"/>
    <cellStyle name="Comma 4 2 3 2 2 4 5" xfId="15208" xr:uid="{0F15D7D7-D76B-4BC0-B0F6-9E6368001CAB}"/>
    <cellStyle name="Comma 4 2 3 2 2 4 6" xfId="25624" xr:uid="{564202E6-3D90-4A4B-8055-FAA6A6FC4F87}"/>
    <cellStyle name="Comma 4 2 3 2 2 5" xfId="2875" xr:uid="{00000000-0005-0000-0000-0000FF1B0000}"/>
    <cellStyle name="Comma 4 2 3 2 2 5 2" xfId="10026" xr:uid="{00000000-0005-0000-0000-0000001C0000}"/>
    <cellStyle name="Comma 4 2 3 2 2 5 2 2" xfId="21572" xr:uid="{6BF87E8D-D165-44B5-B234-E815E736F2C7}"/>
    <cellStyle name="Comma 4 2 3 2 2 5 2 3" xfId="31988" xr:uid="{FF448BE6-2128-4AEF-AB36-33B675AD5B81}"/>
    <cellStyle name="Comma 4 2 3 2 2 5 3" xfId="15210" xr:uid="{7FFA8663-B713-41AA-82F6-A6EFA065AFCB}"/>
    <cellStyle name="Comma 4 2 3 2 2 5 4" xfId="25626" xr:uid="{EDFF0BA5-6572-4E8D-AB42-A003A5EB3054}"/>
    <cellStyle name="Comma 4 2 3 2 2 6" xfId="10017" xr:uid="{00000000-0005-0000-0000-0000011C0000}"/>
    <cellStyle name="Comma 4 2 3 2 2 6 2" xfId="21563" xr:uid="{E6B6FB61-5610-4911-B931-D7B140BB5920}"/>
    <cellStyle name="Comma 4 2 3 2 2 6 3" xfId="31979" xr:uid="{DE72541D-F827-4920-899D-1B06D27614B7}"/>
    <cellStyle name="Comma 4 2 3 2 2 7" xfId="6199" xr:uid="{00000000-0005-0000-0000-0000021C0000}"/>
    <cellStyle name="Comma 4 2 3 2 2 7 2" xfId="17785" xr:uid="{88547DB4-A02D-41D9-BA32-D4C1FBFAEAE5}"/>
    <cellStyle name="Comma 4 2 3 2 2 7 3" xfId="28201" xr:uid="{D23C1C5B-AFDB-4224-94CE-6CC86F0F6A61}"/>
    <cellStyle name="Comma 4 2 3 2 2 8" xfId="15201" xr:uid="{87A10DF2-9217-458E-8D63-6E8C3205BA09}"/>
    <cellStyle name="Comma 4 2 3 2 2 9" xfId="25617" xr:uid="{0CAED2F5-A04C-41EA-886F-8D7406A7188D}"/>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2 2 2" xfId="21576" xr:uid="{6FB074F4-695A-4E62-BD89-C1E3422447F8}"/>
    <cellStyle name="Comma 4 2 3 2 3 2 2 2 2 3" xfId="31992" xr:uid="{3F174026-FA3F-4163-A665-A3C1FC3850C0}"/>
    <cellStyle name="Comma 4 2 3 2 3 2 2 2 3" xfId="15214" xr:uid="{44400D05-9407-4606-A065-B57E62BEFF97}"/>
    <cellStyle name="Comma 4 2 3 2 3 2 2 2 4" xfId="25630" xr:uid="{84AC1275-7209-4C40-B644-B03D24C94277}"/>
    <cellStyle name="Comma 4 2 3 2 3 2 2 3" xfId="10029" xr:uid="{00000000-0005-0000-0000-0000081C0000}"/>
    <cellStyle name="Comma 4 2 3 2 3 2 2 3 2" xfId="21575" xr:uid="{0ABA9D4D-7018-45AB-BF07-F7FD1009C77D}"/>
    <cellStyle name="Comma 4 2 3 2 3 2 2 3 3" xfId="31991" xr:uid="{1F7DB17C-0486-46AD-8630-EB04864379BF}"/>
    <cellStyle name="Comma 4 2 3 2 3 2 2 4" xfId="6206" xr:uid="{00000000-0005-0000-0000-0000091C0000}"/>
    <cellStyle name="Comma 4 2 3 2 3 2 2 4 2" xfId="17792" xr:uid="{448E3984-1C3B-458B-8DB0-A02613A90698}"/>
    <cellStyle name="Comma 4 2 3 2 3 2 2 4 3" xfId="28208" xr:uid="{53B40156-1DBD-4EB8-8DA7-2B2F1975ECDB}"/>
    <cellStyle name="Comma 4 2 3 2 3 2 2 5" xfId="15213" xr:uid="{B9973FE9-F66F-4C27-874F-366F1DE44212}"/>
    <cellStyle name="Comma 4 2 3 2 3 2 2 6" xfId="25629" xr:uid="{5A2D64EC-D914-4DE6-930A-4ECF89928B37}"/>
    <cellStyle name="Comma 4 2 3 2 3 2 3" xfId="2880" xr:uid="{00000000-0005-0000-0000-00000A1C0000}"/>
    <cellStyle name="Comma 4 2 3 2 3 2 3 2" xfId="10031" xr:uid="{00000000-0005-0000-0000-00000B1C0000}"/>
    <cellStyle name="Comma 4 2 3 2 3 2 3 2 2" xfId="21577" xr:uid="{9F0C4F94-D598-4FD9-B252-1F1142FD580B}"/>
    <cellStyle name="Comma 4 2 3 2 3 2 3 2 3" xfId="31993" xr:uid="{C07F6997-63A9-4D2C-80FA-B71AF2D191EB}"/>
    <cellStyle name="Comma 4 2 3 2 3 2 3 3" xfId="15215" xr:uid="{7696A9D8-EB47-40CD-8E08-51BFAB6B95EC}"/>
    <cellStyle name="Comma 4 2 3 2 3 2 3 4" xfId="25631" xr:uid="{9405364D-0ED0-4F01-AD7A-1767C89BED25}"/>
    <cellStyle name="Comma 4 2 3 2 3 2 4" xfId="10028" xr:uid="{00000000-0005-0000-0000-00000C1C0000}"/>
    <cellStyle name="Comma 4 2 3 2 3 2 4 2" xfId="21574" xr:uid="{43983DF0-0E73-44D3-A562-06129C7C054F}"/>
    <cellStyle name="Comma 4 2 3 2 3 2 4 3" xfId="31990" xr:uid="{B1FF1A75-60DC-4025-8A66-0201E569EDEB}"/>
    <cellStyle name="Comma 4 2 3 2 3 2 5" xfId="6205" xr:uid="{00000000-0005-0000-0000-00000D1C0000}"/>
    <cellStyle name="Comma 4 2 3 2 3 2 5 2" xfId="17791" xr:uid="{40FC8D50-5A08-4EBD-A0CC-79F03D27E196}"/>
    <cellStyle name="Comma 4 2 3 2 3 2 5 3" xfId="28207" xr:uid="{263CC1C1-7854-448D-90B7-57739DBA116C}"/>
    <cellStyle name="Comma 4 2 3 2 3 2 6" xfId="15212" xr:uid="{88C0ABA9-A6A6-4241-B846-62D84790C25C}"/>
    <cellStyle name="Comma 4 2 3 2 3 2 7" xfId="25628" xr:uid="{50CD128A-0BAE-4042-847F-2CB0E1B138A1}"/>
    <cellStyle name="Comma 4 2 3 2 3 3" xfId="2881" xr:uid="{00000000-0005-0000-0000-00000E1C0000}"/>
    <cellStyle name="Comma 4 2 3 2 3 3 2" xfId="2882" xr:uid="{00000000-0005-0000-0000-00000F1C0000}"/>
    <cellStyle name="Comma 4 2 3 2 3 3 2 2" xfId="10033" xr:uid="{00000000-0005-0000-0000-0000101C0000}"/>
    <cellStyle name="Comma 4 2 3 2 3 3 2 2 2" xfId="21579" xr:uid="{DE56C322-0588-40B0-9A51-7A0FCAC804F9}"/>
    <cellStyle name="Comma 4 2 3 2 3 3 2 2 3" xfId="31995" xr:uid="{2E74B4EA-C62A-4DA7-A598-E296D5E10A8D}"/>
    <cellStyle name="Comma 4 2 3 2 3 3 2 3" xfId="15217" xr:uid="{BDBE8DAF-52E7-427E-AA9B-519BD279FB7D}"/>
    <cellStyle name="Comma 4 2 3 2 3 3 2 4" xfId="25633" xr:uid="{AB6C0927-F369-43F1-B62E-FF223084F6AF}"/>
    <cellStyle name="Comma 4 2 3 2 3 3 3" xfId="10032" xr:uid="{00000000-0005-0000-0000-0000111C0000}"/>
    <cellStyle name="Comma 4 2 3 2 3 3 3 2" xfId="21578" xr:uid="{B35326EB-E4D0-4909-82E4-A4B78567C477}"/>
    <cellStyle name="Comma 4 2 3 2 3 3 3 3" xfId="31994" xr:uid="{76873233-961B-4784-9354-B96F8A65DBDC}"/>
    <cellStyle name="Comma 4 2 3 2 3 3 4" xfId="6207" xr:uid="{00000000-0005-0000-0000-0000121C0000}"/>
    <cellStyle name="Comma 4 2 3 2 3 3 4 2" xfId="17793" xr:uid="{1B4EE0C1-B1AC-4462-ADA0-C9D60DEF848B}"/>
    <cellStyle name="Comma 4 2 3 2 3 3 4 3" xfId="28209" xr:uid="{54A383D9-95F4-412A-9EDC-02F992E015D3}"/>
    <cellStyle name="Comma 4 2 3 2 3 3 5" xfId="15216" xr:uid="{9ACC471A-C341-454D-BEDB-22950C8A2E21}"/>
    <cellStyle name="Comma 4 2 3 2 3 3 6" xfId="25632" xr:uid="{7ECC956C-3680-499A-A790-8E8F68434B68}"/>
    <cellStyle name="Comma 4 2 3 2 3 4" xfId="2883" xr:uid="{00000000-0005-0000-0000-0000131C0000}"/>
    <cellStyle name="Comma 4 2 3 2 3 4 2" xfId="2884" xr:uid="{00000000-0005-0000-0000-0000141C0000}"/>
    <cellStyle name="Comma 4 2 3 2 3 4 2 2" xfId="10035" xr:uid="{00000000-0005-0000-0000-0000151C0000}"/>
    <cellStyle name="Comma 4 2 3 2 3 4 2 2 2" xfId="21581" xr:uid="{A9651BDF-1D13-4BE6-9E7D-DAED0D8E0690}"/>
    <cellStyle name="Comma 4 2 3 2 3 4 2 2 3" xfId="31997" xr:uid="{EEDEC41F-D73A-4798-8F7A-56F9914FDAEB}"/>
    <cellStyle name="Comma 4 2 3 2 3 4 2 3" xfId="15219" xr:uid="{280575E2-C6A9-4597-9C34-2557584D8094}"/>
    <cellStyle name="Comma 4 2 3 2 3 4 2 4" xfId="25635" xr:uid="{5A907F16-F4C2-4F7F-8E3F-E347E2095585}"/>
    <cellStyle name="Comma 4 2 3 2 3 4 3" xfId="10034" xr:uid="{00000000-0005-0000-0000-0000161C0000}"/>
    <cellStyle name="Comma 4 2 3 2 3 4 3 2" xfId="21580" xr:uid="{E1A17D1A-B0A8-485F-A367-B1794B19A8D0}"/>
    <cellStyle name="Comma 4 2 3 2 3 4 3 3" xfId="31996" xr:uid="{80FFC7A8-5039-4D3C-A638-6B4349A0FACF}"/>
    <cellStyle name="Comma 4 2 3 2 3 4 4" xfId="6208" xr:uid="{00000000-0005-0000-0000-0000171C0000}"/>
    <cellStyle name="Comma 4 2 3 2 3 4 4 2" xfId="17794" xr:uid="{85F1CDF4-5177-4498-8659-33C0BA65CA26}"/>
    <cellStyle name="Comma 4 2 3 2 3 4 4 3" xfId="28210" xr:uid="{99983985-7BBD-4CEB-8B91-2A58DE73062B}"/>
    <cellStyle name="Comma 4 2 3 2 3 4 5" xfId="15218" xr:uid="{0A53D601-F25F-4B8A-9F6D-80037030B030}"/>
    <cellStyle name="Comma 4 2 3 2 3 4 6" xfId="25634" xr:uid="{0F6EFDEE-8192-4FA5-A2EF-C5A091FD55D8}"/>
    <cellStyle name="Comma 4 2 3 2 3 5" xfId="2885" xr:uid="{00000000-0005-0000-0000-0000181C0000}"/>
    <cellStyle name="Comma 4 2 3 2 3 5 2" xfId="10036" xr:uid="{00000000-0005-0000-0000-0000191C0000}"/>
    <cellStyle name="Comma 4 2 3 2 3 5 2 2" xfId="21582" xr:uid="{892D7FF9-95F0-4855-AB83-8760D499C1C1}"/>
    <cellStyle name="Comma 4 2 3 2 3 5 2 3" xfId="31998" xr:uid="{438C269C-B6D4-4F12-8E2C-F4EA30770ECF}"/>
    <cellStyle name="Comma 4 2 3 2 3 5 3" xfId="15220" xr:uid="{29C0E25F-B802-4492-A33C-79D2B378B252}"/>
    <cellStyle name="Comma 4 2 3 2 3 5 4" xfId="25636" xr:uid="{7DD73A6C-7A58-4813-88C9-58740BE58E6B}"/>
    <cellStyle name="Comma 4 2 3 2 3 6" xfId="10027" xr:uid="{00000000-0005-0000-0000-00001A1C0000}"/>
    <cellStyle name="Comma 4 2 3 2 3 6 2" xfId="21573" xr:uid="{F4F59F03-F0B4-49E6-9A5C-35682EB8D2BA}"/>
    <cellStyle name="Comma 4 2 3 2 3 6 3" xfId="31989" xr:uid="{11600FFD-1793-477A-9E82-6D23D38EE1E5}"/>
    <cellStyle name="Comma 4 2 3 2 3 7" xfId="6204" xr:uid="{00000000-0005-0000-0000-00001B1C0000}"/>
    <cellStyle name="Comma 4 2 3 2 3 7 2" xfId="17790" xr:uid="{A20088E4-F2BD-40B4-92DC-7AB03FF177EF}"/>
    <cellStyle name="Comma 4 2 3 2 3 7 3" xfId="28206" xr:uid="{94B073D4-005E-4F75-ADE2-40425B9B2946}"/>
    <cellStyle name="Comma 4 2 3 2 3 8" xfId="15211" xr:uid="{65CDCB18-3EFF-48D1-8C52-78232AFD448B}"/>
    <cellStyle name="Comma 4 2 3 2 3 9" xfId="25627" xr:uid="{C513339E-5ECB-4578-826E-1BF5F434150A}"/>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2 2 2" xfId="21586" xr:uid="{11851B6C-1A53-4176-B1C7-74A227EBF2D3}"/>
    <cellStyle name="Comma 4 2 3 2 4 2 2 2 2 3" xfId="32002" xr:uid="{8D0FA097-FB4D-4348-A3D4-858E09E577BD}"/>
    <cellStyle name="Comma 4 2 3 2 4 2 2 2 3" xfId="15224" xr:uid="{689F81BF-229F-4282-8372-A59954934379}"/>
    <cellStyle name="Comma 4 2 3 2 4 2 2 2 4" xfId="25640" xr:uid="{7ED1C767-3614-4FFE-AD93-A78AB590F8F0}"/>
    <cellStyle name="Comma 4 2 3 2 4 2 2 3" xfId="10039" xr:uid="{00000000-0005-0000-0000-0000211C0000}"/>
    <cellStyle name="Comma 4 2 3 2 4 2 2 3 2" xfId="21585" xr:uid="{DDAAC705-AA48-4C1B-98F5-39BBFF093703}"/>
    <cellStyle name="Comma 4 2 3 2 4 2 2 3 3" xfId="32001" xr:uid="{2E9E6797-50C7-4AD9-9EB8-F81E174D52E7}"/>
    <cellStyle name="Comma 4 2 3 2 4 2 2 4" xfId="6211" xr:uid="{00000000-0005-0000-0000-0000221C0000}"/>
    <cellStyle name="Comma 4 2 3 2 4 2 2 4 2" xfId="17797" xr:uid="{543A5650-4EBC-462B-854A-26C62879DD60}"/>
    <cellStyle name="Comma 4 2 3 2 4 2 2 4 3" xfId="28213" xr:uid="{A3858D73-7A46-41DF-847B-ECBF89BA8E8C}"/>
    <cellStyle name="Comma 4 2 3 2 4 2 2 5" xfId="15223" xr:uid="{476C46E4-FDF9-4295-9D8D-DB92081867C4}"/>
    <cellStyle name="Comma 4 2 3 2 4 2 2 6" xfId="25639" xr:uid="{FD6F6D7E-5EB6-405E-A952-5F509589E54B}"/>
    <cellStyle name="Comma 4 2 3 2 4 2 3" xfId="2890" xr:uid="{00000000-0005-0000-0000-0000231C0000}"/>
    <cellStyle name="Comma 4 2 3 2 4 2 3 2" xfId="10041" xr:uid="{00000000-0005-0000-0000-0000241C0000}"/>
    <cellStyle name="Comma 4 2 3 2 4 2 3 2 2" xfId="21587" xr:uid="{FAD36E42-AC18-4A35-BB88-88DD18959BE1}"/>
    <cellStyle name="Comma 4 2 3 2 4 2 3 2 3" xfId="32003" xr:uid="{4E10438C-708F-462E-940B-172049D005D3}"/>
    <cellStyle name="Comma 4 2 3 2 4 2 3 3" xfId="15225" xr:uid="{232A352D-5726-419D-9C08-22FA0C8DDB55}"/>
    <cellStyle name="Comma 4 2 3 2 4 2 3 4" xfId="25641" xr:uid="{778D9C4D-1D61-40AF-8181-E690FE4B3A24}"/>
    <cellStyle name="Comma 4 2 3 2 4 2 4" xfId="10038" xr:uid="{00000000-0005-0000-0000-0000251C0000}"/>
    <cellStyle name="Comma 4 2 3 2 4 2 4 2" xfId="21584" xr:uid="{ABA61FEC-EEDA-41AF-B0F3-AF40F87C51E0}"/>
    <cellStyle name="Comma 4 2 3 2 4 2 4 3" xfId="32000" xr:uid="{6B72D376-6B50-42C5-8420-DB1BAF787958}"/>
    <cellStyle name="Comma 4 2 3 2 4 2 5" xfId="6210" xr:uid="{00000000-0005-0000-0000-0000261C0000}"/>
    <cellStyle name="Comma 4 2 3 2 4 2 5 2" xfId="17796" xr:uid="{8C0306E6-52A4-4A9F-9CD7-D63AEFC2749A}"/>
    <cellStyle name="Comma 4 2 3 2 4 2 5 3" xfId="28212" xr:uid="{44C228FE-46FC-4357-905C-654088F7FE5D}"/>
    <cellStyle name="Comma 4 2 3 2 4 2 6" xfId="15222" xr:uid="{672CEF2C-6DB0-47A0-8F36-EAFD6B37F58A}"/>
    <cellStyle name="Comma 4 2 3 2 4 2 7" xfId="25638" xr:uid="{D0F3CBA8-0DE9-486E-AED3-BA212316D800}"/>
    <cellStyle name="Comma 4 2 3 2 4 3" xfId="2891" xr:uid="{00000000-0005-0000-0000-0000271C0000}"/>
    <cellStyle name="Comma 4 2 3 2 4 3 2" xfId="2892" xr:uid="{00000000-0005-0000-0000-0000281C0000}"/>
    <cellStyle name="Comma 4 2 3 2 4 3 2 2" xfId="10043" xr:uid="{00000000-0005-0000-0000-0000291C0000}"/>
    <cellStyle name="Comma 4 2 3 2 4 3 2 2 2" xfId="21589" xr:uid="{3710FDB3-C532-4AAB-B62B-B73ADEB30C8F}"/>
    <cellStyle name="Comma 4 2 3 2 4 3 2 2 3" xfId="32005" xr:uid="{AF39679B-8CAA-48D6-A1D6-403772B06A6A}"/>
    <cellStyle name="Comma 4 2 3 2 4 3 2 3" xfId="15227" xr:uid="{FD5EA21F-B1B3-4847-B760-DDF0F445D0D1}"/>
    <cellStyle name="Comma 4 2 3 2 4 3 2 4" xfId="25643" xr:uid="{44807BC9-70C7-400B-8467-D8C2984327DA}"/>
    <cellStyle name="Comma 4 2 3 2 4 3 3" xfId="10042" xr:uid="{00000000-0005-0000-0000-00002A1C0000}"/>
    <cellStyle name="Comma 4 2 3 2 4 3 3 2" xfId="21588" xr:uid="{45165319-FD54-4B17-B8A2-5576573E340E}"/>
    <cellStyle name="Comma 4 2 3 2 4 3 3 3" xfId="32004" xr:uid="{35CAC49A-6756-466E-AF98-B0D9E3113D9A}"/>
    <cellStyle name="Comma 4 2 3 2 4 3 4" xfId="6212" xr:uid="{00000000-0005-0000-0000-00002B1C0000}"/>
    <cellStyle name="Comma 4 2 3 2 4 3 4 2" xfId="17798" xr:uid="{D05E6E7A-2CF3-446E-84DB-B4B4A90A0B6A}"/>
    <cellStyle name="Comma 4 2 3 2 4 3 4 3" xfId="28214" xr:uid="{E4AECB2D-D4A7-4242-AB9B-28951CA29693}"/>
    <cellStyle name="Comma 4 2 3 2 4 3 5" xfId="15226" xr:uid="{B3BC61D2-7EEC-429B-9800-CD1BFF59169D}"/>
    <cellStyle name="Comma 4 2 3 2 4 3 6" xfId="25642" xr:uid="{88F7B251-BEE2-4618-AFEC-C142667E2B49}"/>
    <cellStyle name="Comma 4 2 3 2 4 4" xfId="2893" xr:uid="{00000000-0005-0000-0000-00002C1C0000}"/>
    <cellStyle name="Comma 4 2 3 2 4 4 2" xfId="2894" xr:uid="{00000000-0005-0000-0000-00002D1C0000}"/>
    <cellStyle name="Comma 4 2 3 2 4 4 2 2" xfId="10045" xr:uid="{00000000-0005-0000-0000-00002E1C0000}"/>
    <cellStyle name="Comma 4 2 3 2 4 4 2 2 2" xfId="21591" xr:uid="{16C1C499-10BD-405C-A546-2B137FDF1D36}"/>
    <cellStyle name="Comma 4 2 3 2 4 4 2 2 3" xfId="32007" xr:uid="{4CE86BF9-3DBB-48E2-B674-805C110B731D}"/>
    <cellStyle name="Comma 4 2 3 2 4 4 2 3" xfId="15229" xr:uid="{5F942CE3-5182-4489-916A-E231ED917B80}"/>
    <cellStyle name="Comma 4 2 3 2 4 4 2 4" xfId="25645" xr:uid="{C665AB8F-3061-4AAB-A3BA-004A462F3E7A}"/>
    <cellStyle name="Comma 4 2 3 2 4 4 3" xfId="10044" xr:uid="{00000000-0005-0000-0000-00002F1C0000}"/>
    <cellStyle name="Comma 4 2 3 2 4 4 3 2" xfId="21590" xr:uid="{27BD87C7-22DE-4C10-8F66-F351FD70F194}"/>
    <cellStyle name="Comma 4 2 3 2 4 4 3 3" xfId="32006" xr:uid="{44F67E64-DEC8-4D2D-8A70-8E1C4A618219}"/>
    <cellStyle name="Comma 4 2 3 2 4 4 4" xfId="6213" xr:uid="{00000000-0005-0000-0000-0000301C0000}"/>
    <cellStyle name="Comma 4 2 3 2 4 4 4 2" xfId="17799" xr:uid="{C29D11FE-F28A-4220-BACB-53D6F4ECC58D}"/>
    <cellStyle name="Comma 4 2 3 2 4 4 4 3" xfId="28215" xr:uid="{7FFA60AB-B7C9-4D0A-8B25-1557C3E9E92C}"/>
    <cellStyle name="Comma 4 2 3 2 4 4 5" xfId="15228" xr:uid="{61622AF6-CA14-4E38-BA4F-58508C3FBAC7}"/>
    <cellStyle name="Comma 4 2 3 2 4 4 6" xfId="25644" xr:uid="{0E2B1D5A-5CB8-4F3C-8CD7-E2AB65C10DF0}"/>
    <cellStyle name="Comma 4 2 3 2 4 5" xfId="2895" xr:uid="{00000000-0005-0000-0000-0000311C0000}"/>
    <cellStyle name="Comma 4 2 3 2 4 5 2" xfId="10046" xr:uid="{00000000-0005-0000-0000-0000321C0000}"/>
    <cellStyle name="Comma 4 2 3 2 4 5 2 2" xfId="21592" xr:uid="{1F962243-71C5-46F9-9681-4EB415EED413}"/>
    <cellStyle name="Comma 4 2 3 2 4 5 2 3" xfId="32008" xr:uid="{EB4F7006-1ED4-4C62-962D-980A346B1BE3}"/>
    <cellStyle name="Comma 4 2 3 2 4 5 3" xfId="15230" xr:uid="{A0F5909F-3B37-4BE4-9781-E91C5BEEB138}"/>
    <cellStyle name="Comma 4 2 3 2 4 5 4" xfId="25646" xr:uid="{1CEAB4FB-3702-4F1F-A5D3-28F7120B0172}"/>
    <cellStyle name="Comma 4 2 3 2 4 6" xfId="10037" xr:uid="{00000000-0005-0000-0000-0000331C0000}"/>
    <cellStyle name="Comma 4 2 3 2 4 6 2" xfId="21583" xr:uid="{D7BA4E78-AB53-4222-80B4-37DEC31C4CBB}"/>
    <cellStyle name="Comma 4 2 3 2 4 6 3" xfId="31999" xr:uid="{04BB504C-3B83-49B5-9C96-47A01AFEB9B6}"/>
    <cellStyle name="Comma 4 2 3 2 4 7" xfId="6209" xr:uid="{00000000-0005-0000-0000-0000341C0000}"/>
    <cellStyle name="Comma 4 2 3 2 4 7 2" xfId="17795" xr:uid="{B35941F6-C023-496A-9D29-76B3E53CA3A7}"/>
    <cellStyle name="Comma 4 2 3 2 4 7 3" xfId="28211" xr:uid="{11B6CBBC-2007-47CB-B61A-E7EE7872193F}"/>
    <cellStyle name="Comma 4 2 3 2 4 8" xfId="15221" xr:uid="{80BF0FDF-A859-4BF1-85A9-D131A1C82A2B}"/>
    <cellStyle name="Comma 4 2 3 2 4 9" xfId="25637" xr:uid="{98C6EBE2-3E03-4760-9ACA-F48A3635EC99}"/>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2 2 2" xfId="21596" xr:uid="{EDE9E60D-FAE4-48B5-A615-5C007667CD43}"/>
    <cellStyle name="Comma 4 2 3 2 5 2 2 2 2 3" xfId="32012" xr:uid="{7ADA50DF-E185-4F8E-A07D-08FF4CCC34CF}"/>
    <cellStyle name="Comma 4 2 3 2 5 2 2 2 3" xfId="15234" xr:uid="{ACCA43BF-ABB1-4C2D-AE29-12A6FE852167}"/>
    <cellStyle name="Comma 4 2 3 2 5 2 2 2 4" xfId="25650" xr:uid="{CDBAA77E-0928-4C6B-978E-524AEA845BB5}"/>
    <cellStyle name="Comma 4 2 3 2 5 2 2 3" xfId="10049" xr:uid="{00000000-0005-0000-0000-00003A1C0000}"/>
    <cellStyle name="Comma 4 2 3 2 5 2 2 3 2" xfId="21595" xr:uid="{317CC0C8-9E22-4675-9BB2-33EE0F5E0811}"/>
    <cellStyle name="Comma 4 2 3 2 5 2 2 3 3" xfId="32011" xr:uid="{C8839623-0294-4E68-AFB4-865C243F6092}"/>
    <cellStyle name="Comma 4 2 3 2 5 2 2 4" xfId="6216" xr:uid="{00000000-0005-0000-0000-00003B1C0000}"/>
    <cellStyle name="Comma 4 2 3 2 5 2 2 4 2" xfId="17802" xr:uid="{CE2E41C3-D13B-43BB-A22D-33770F8CF235}"/>
    <cellStyle name="Comma 4 2 3 2 5 2 2 4 3" xfId="28218" xr:uid="{F4DE3CCE-9718-4CB4-9A7A-95880AD7B63D}"/>
    <cellStyle name="Comma 4 2 3 2 5 2 2 5" xfId="15233" xr:uid="{2F215B75-B422-40F0-B4FB-13B1246506F2}"/>
    <cellStyle name="Comma 4 2 3 2 5 2 2 6" xfId="25649" xr:uid="{918E3422-16C4-4267-B1BA-4395622257C5}"/>
    <cellStyle name="Comma 4 2 3 2 5 2 3" xfId="2900" xr:uid="{00000000-0005-0000-0000-00003C1C0000}"/>
    <cellStyle name="Comma 4 2 3 2 5 2 3 2" xfId="10051" xr:uid="{00000000-0005-0000-0000-00003D1C0000}"/>
    <cellStyle name="Comma 4 2 3 2 5 2 3 2 2" xfId="21597" xr:uid="{EA80EDD0-060B-4224-84F9-43721B664474}"/>
    <cellStyle name="Comma 4 2 3 2 5 2 3 2 3" xfId="32013" xr:uid="{BC591AC7-5F3D-4C66-8FC9-12CA94C01397}"/>
    <cellStyle name="Comma 4 2 3 2 5 2 3 3" xfId="15235" xr:uid="{E848E828-9368-4CFD-AC32-70EF3743361A}"/>
    <cellStyle name="Comma 4 2 3 2 5 2 3 4" xfId="25651" xr:uid="{758C8FBD-36AA-42DC-96FA-1876988A705B}"/>
    <cellStyle name="Comma 4 2 3 2 5 2 4" xfId="10048" xr:uid="{00000000-0005-0000-0000-00003E1C0000}"/>
    <cellStyle name="Comma 4 2 3 2 5 2 4 2" xfId="21594" xr:uid="{A5BDF86F-4823-41FC-920C-4A85AABC66FB}"/>
    <cellStyle name="Comma 4 2 3 2 5 2 4 3" xfId="32010" xr:uid="{592D78BA-822D-43CC-8959-7E69885CDE10}"/>
    <cellStyle name="Comma 4 2 3 2 5 2 5" xfId="6215" xr:uid="{00000000-0005-0000-0000-00003F1C0000}"/>
    <cellStyle name="Comma 4 2 3 2 5 2 5 2" xfId="17801" xr:uid="{9B27DAFC-06C7-41EA-9809-48AFF9762C78}"/>
    <cellStyle name="Comma 4 2 3 2 5 2 5 3" xfId="28217" xr:uid="{38094BF4-A81D-4256-B37A-6BA5D6E05CFD}"/>
    <cellStyle name="Comma 4 2 3 2 5 2 6" xfId="15232" xr:uid="{82E99C30-66BF-4F6F-8430-E7FA591707AF}"/>
    <cellStyle name="Comma 4 2 3 2 5 2 7" xfId="25648" xr:uid="{7DE51B78-C1A4-43A2-8D15-0C5E74E823D3}"/>
    <cellStyle name="Comma 4 2 3 2 5 3" xfId="2901" xr:uid="{00000000-0005-0000-0000-0000401C0000}"/>
    <cellStyle name="Comma 4 2 3 2 5 3 2" xfId="2902" xr:uid="{00000000-0005-0000-0000-0000411C0000}"/>
    <cellStyle name="Comma 4 2 3 2 5 3 2 2" xfId="10053" xr:uid="{00000000-0005-0000-0000-0000421C0000}"/>
    <cellStyle name="Comma 4 2 3 2 5 3 2 2 2" xfId="21599" xr:uid="{7475F4C2-4DBF-49E2-9C59-44EA1703B9C4}"/>
    <cellStyle name="Comma 4 2 3 2 5 3 2 2 3" xfId="32015" xr:uid="{F56AB8BD-C7E0-41E0-8C2E-5ECBA44C9686}"/>
    <cellStyle name="Comma 4 2 3 2 5 3 2 3" xfId="15237" xr:uid="{A631EC85-1D31-4266-BED3-43E019650579}"/>
    <cellStyle name="Comma 4 2 3 2 5 3 2 4" xfId="25653" xr:uid="{9B7C846B-3090-4AEF-B243-6D4EC6133619}"/>
    <cellStyle name="Comma 4 2 3 2 5 3 3" xfId="10052" xr:uid="{00000000-0005-0000-0000-0000431C0000}"/>
    <cellStyle name="Comma 4 2 3 2 5 3 3 2" xfId="21598" xr:uid="{531C2287-3C5D-4502-B913-9EEF3E367BB8}"/>
    <cellStyle name="Comma 4 2 3 2 5 3 3 3" xfId="32014" xr:uid="{C4D64990-1B27-49F2-96EF-51E117D16259}"/>
    <cellStyle name="Comma 4 2 3 2 5 3 4" xfId="6217" xr:uid="{00000000-0005-0000-0000-0000441C0000}"/>
    <cellStyle name="Comma 4 2 3 2 5 3 4 2" xfId="17803" xr:uid="{A0B78DDB-E331-403A-9DA5-D5CD4C549003}"/>
    <cellStyle name="Comma 4 2 3 2 5 3 4 3" xfId="28219" xr:uid="{B1C7C6D8-6EEC-497A-B2C2-88FDB7E52593}"/>
    <cellStyle name="Comma 4 2 3 2 5 3 5" xfId="15236" xr:uid="{4788594F-4DED-497A-9963-83E3E122655D}"/>
    <cellStyle name="Comma 4 2 3 2 5 3 6" xfId="25652" xr:uid="{EFB604B5-85B0-4FF8-A02C-806BF2930278}"/>
    <cellStyle name="Comma 4 2 3 2 5 4" xfId="2903" xr:uid="{00000000-0005-0000-0000-0000451C0000}"/>
    <cellStyle name="Comma 4 2 3 2 5 4 2" xfId="2904" xr:uid="{00000000-0005-0000-0000-0000461C0000}"/>
    <cellStyle name="Comma 4 2 3 2 5 4 2 2" xfId="10055" xr:uid="{00000000-0005-0000-0000-0000471C0000}"/>
    <cellStyle name="Comma 4 2 3 2 5 4 2 2 2" xfId="21601" xr:uid="{0CCE8D34-118E-43A0-BD82-AEC77CAA15A9}"/>
    <cellStyle name="Comma 4 2 3 2 5 4 2 2 3" xfId="32017" xr:uid="{1A07F269-9255-4A9F-857B-9211E5864001}"/>
    <cellStyle name="Comma 4 2 3 2 5 4 2 3" xfId="15239" xr:uid="{8843AF8D-068E-428C-8B38-7F67244CC872}"/>
    <cellStyle name="Comma 4 2 3 2 5 4 2 4" xfId="25655" xr:uid="{C5A1188E-C5EA-4C73-A7E0-35F7645E170C}"/>
    <cellStyle name="Comma 4 2 3 2 5 4 3" xfId="10054" xr:uid="{00000000-0005-0000-0000-0000481C0000}"/>
    <cellStyle name="Comma 4 2 3 2 5 4 3 2" xfId="21600" xr:uid="{45FD29CF-6429-4E4D-B157-D86AB9971523}"/>
    <cellStyle name="Comma 4 2 3 2 5 4 3 3" xfId="32016" xr:uid="{A96ED3EB-D834-46D9-94BD-F902F3BEC76A}"/>
    <cellStyle name="Comma 4 2 3 2 5 4 4" xfId="6218" xr:uid="{00000000-0005-0000-0000-0000491C0000}"/>
    <cellStyle name="Comma 4 2 3 2 5 4 4 2" xfId="17804" xr:uid="{10B74B79-BCCF-4634-9F6F-44CD2ABEE740}"/>
    <cellStyle name="Comma 4 2 3 2 5 4 4 3" xfId="28220" xr:uid="{1AA35E4A-FCE5-488A-8FC0-D78416E8E189}"/>
    <cellStyle name="Comma 4 2 3 2 5 4 5" xfId="15238" xr:uid="{3B4188FA-D81D-48F4-AEB7-5E913FBB815D}"/>
    <cellStyle name="Comma 4 2 3 2 5 4 6" xfId="25654" xr:uid="{C58D31E7-1E99-4DC6-9807-F56410DAF8C3}"/>
    <cellStyle name="Comma 4 2 3 2 5 5" xfId="2905" xr:uid="{00000000-0005-0000-0000-00004A1C0000}"/>
    <cellStyle name="Comma 4 2 3 2 5 5 2" xfId="10056" xr:uid="{00000000-0005-0000-0000-00004B1C0000}"/>
    <cellStyle name="Comma 4 2 3 2 5 5 2 2" xfId="21602" xr:uid="{E432E97E-AD75-49AB-8F19-A5A1D2AC0049}"/>
    <cellStyle name="Comma 4 2 3 2 5 5 2 3" xfId="32018" xr:uid="{B497BF41-0917-46DC-B085-620F86048894}"/>
    <cellStyle name="Comma 4 2 3 2 5 5 3" xfId="15240" xr:uid="{9A08F609-EF15-49AE-B556-BBC9AF856ADB}"/>
    <cellStyle name="Comma 4 2 3 2 5 5 4" xfId="25656" xr:uid="{81E50815-3BEE-414A-BD29-7C2982FE628C}"/>
    <cellStyle name="Comma 4 2 3 2 5 6" xfId="10047" xr:uid="{00000000-0005-0000-0000-00004C1C0000}"/>
    <cellStyle name="Comma 4 2 3 2 5 6 2" xfId="21593" xr:uid="{2BAA8F99-55A1-4622-8F74-84823804E0C0}"/>
    <cellStyle name="Comma 4 2 3 2 5 6 3" xfId="32009" xr:uid="{09703164-5179-4F18-9E7B-13EB70D30253}"/>
    <cellStyle name="Comma 4 2 3 2 5 7" xfId="6214" xr:uid="{00000000-0005-0000-0000-00004D1C0000}"/>
    <cellStyle name="Comma 4 2 3 2 5 7 2" xfId="17800" xr:uid="{F532A384-0BA0-4B7F-8BD2-C79283746B87}"/>
    <cellStyle name="Comma 4 2 3 2 5 7 3" xfId="28216" xr:uid="{153E7BED-114E-474B-BEBD-E9EEFE70FF4A}"/>
    <cellStyle name="Comma 4 2 3 2 5 8" xfId="15231" xr:uid="{44B867A0-056C-4701-AAB5-B85E8AE8C250}"/>
    <cellStyle name="Comma 4 2 3 2 5 9" xfId="25647" xr:uid="{98D5EF7F-00F9-4B9B-81B0-CD624E0926DF}"/>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2 2 2" xfId="21605" xr:uid="{E6B327C1-95F4-4448-8D14-3A5D72CF61AD}"/>
    <cellStyle name="Comma 4 2 3 2 6 2 2 2 3" xfId="32021" xr:uid="{864516D1-2FAB-4423-9F6C-FA84AB2C6001}"/>
    <cellStyle name="Comma 4 2 3 2 6 2 2 3" xfId="15243" xr:uid="{48D181F5-E844-460E-822D-DA5ECE572CDC}"/>
    <cellStyle name="Comma 4 2 3 2 6 2 2 4" xfId="25659" xr:uid="{15E4023A-02C5-48DE-93B9-C2E6CFF7534E}"/>
    <cellStyle name="Comma 4 2 3 2 6 2 3" xfId="10058" xr:uid="{00000000-0005-0000-0000-0000521C0000}"/>
    <cellStyle name="Comma 4 2 3 2 6 2 3 2" xfId="21604" xr:uid="{336BF2D4-68ED-464F-9950-4418BE864CEF}"/>
    <cellStyle name="Comma 4 2 3 2 6 2 3 3" xfId="32020" xr:uid="{DCA8287D-7588-4932-9136-B344A12B8AEE}"/>
    <cellStyle name="Comma 4 2 3 2 6 2 4" xfId="6220" xr:uid="{00000000-0005-0000-0000-0000531C0000}"/>
    <cellStyle name="Comma 4 2 3 2 6 2 4 2" xfId="17806" xr:uid="{8CCC9329-49E3-43E9-9452-A3395FB09B89}"/>
    <cellStyle name="Comma 4 2 3 2 6 2 4 3" xfId="28222" xr:uid="{935B899A-352C-4469-9850-6C82703EB01A}"/>
    <cellStyle name="Comma 4 2 3 2 6 2 5" xfId="15242" xr:uid="{E6D6AA6F-204B-4C99-9932-8A552976050B}"/>
    <cellStyle name="Comma 4 2 3 2 6 2 6" xfId="25658" xr:uid="{6DD3214E-54FB-427E-A611-A72CCB5CF553}"/>
    <cellStyle name="Comma 4 2 3 2 6 3" xfId="2909" xr:uid="{00000000-0005-0000-0000-0000541C0000}"/>
    <cellStyle name="Comma 4 2 3 2 6 3 2" xfId="2910" xr:uid="{00000000-0005-0000-0000-0000551C0000}"/>
    <cellStyle name="Comma 4 2 3 2 6 3 2 2" xfId="10061" xr:uid="{00000000-0005-0000-0000-0000561C0000}"/>
    <cellStyle name="Comma 4 2 3 2 6 3 2 2 2" xfId="21607" xr:uid="{48C5F83C-F88E-4936-8D0E-B52F8E925224}"/>
    <cellStyle name="Comma 4 2 3 2 6 3 2 2 3" xfId="32023" xr:uid="{EA8DB91B-308A-4202-8CD2-E46719AF4183}"/>
    <cellStyle name="Comma 4 2 3 2 6 3 2 3" xfId="15245" xr:uid="{39DE853C-0AB4-4FE9-B8C8-F540C88CF36D}"/>
    <cellStyle name="Comma 4 2 3 2 6 3 2 4" xfId="25661" xr:uid="{7964058F-2552-4DD2-96E9-816CCACF6909}"/>
    <cellStyle name="Comma 4 2 3 2 6 3 3" xfId="10060" xr:uid="{00000000-0005-0000-0000-0000571C0000}"/>
    <cellStyle name="Comma 4 2 3 2 6 3 3 2" xfId="21606" xr:uid="{F2F2C5E1-32EE-484F-8D52-551316ED14F0}"/>
    <cellStyle name="Comma 4 2 3 2 6 3 3 3" xfId="32022" xr:uid="{C7F96E41-22D7-4D18-BE28-613F159C0D63}"/>
    <cellStyle name="Comma 4 2 3 2 6 3 4" xfId="6221" xr:uid="{00000000-0005-0000-0000-0000581C0000}"/>
    <cellStyle name="Comma 4 2 3 2 6 3 4 2" xfId="17807" xr:uid="{15132FA6-FB5A-42ED-98E0-0F7BA1978D14}"/>
    <cellStyle name="Comma 4 2 3 2 6 3 4 3" xfId="28223" xr:uid="{BB136452-AF28-47BE-8CFD-2CA73838004C}"/>
    <cellStyle name="Comma 4 2 3 2 6 3 5" xfId="15244" xr:uid="{D07948C6-3B35-4985-8AB0-E1AE433AAFDF}"/>
    <cellStyle name="Comma 4 2 3 2 6 3 6" xfId="25660" xr:uid="{E393BD01-C71B-45A4-BAE3-9E40F7528AA3}"/>
    <cellStyle name="Comma 4 2 3 2 6 4" xfId="2911" xr:uid="{00000000-0005-0000-0000-0000591C0000}"/>
    <cellStyle name="Comma 4 2 3 2 6 4 2" xfId="10062" xr:uid="{00000000-0005-0000-0000-00005A1C0000}"/>
    <cellStyle name="Comma 4 2 3 2 6 4 2 2" xfId="21608" xr:uid="{5B2EBEE9-0B44-472D-A2D9-A08149443665}"/>
    <cellStyle name="Comma 4 2 3 2 6 4 2 3" xfId="32024" xr:uid="{8DB5A614-015A-45C8-8D9A-4377282320C7}"/>
    <cellStyle name="Comma 4 2 3 2 6 4 3" xfId="15246" xr:uid="{0AFC5ECC-CB65-4CC8-A913-5B00D1363132}"/>
    <cellStyle name="Comma 4 2 3 2 6 4 4" xfId="25662" xr:uid="{51B7CDF3-4E50-45EA-9AC1-348EACD62BD5}"/>
    <cellStyle name="Comma 4 2 3 2 6 5" xfId="10057" xr:uid="{00000000-0005-0000-0000-00005B1C0000}"/>
    <cellStyle name="Comma 4 2 3 2 6 5 2" xfId="21603" xr:uid="{AD366A3C-54B7-47F4-A286-D816ED4754E4}"/>
    <cellStyle name="Comma 4 2 3 2 6 5 3" xfId="32019" xr:uid="{7BB9AE35-069E-4E6D-B819-F3D67B27464D}"/>
    <cellStyle name="Comma 4 2 3 2 6 6" xfId="6219" xr:uid="{00000000-0005-0000-0000-00005C1C0000}"/>
    <cellStyle name="Comma 4 2 3 2 6 6 2" xfId="17805" xr:uid="{FD2F1D86-8285-41F3-AE5E-F680E46E7B24}"/>
    <cellStyle name="Comma 4 2 3 2 6 6 3" xfId="28221" xr:uid="{0AF6BB80-16CC-41B2-B5FA-9242CD992957}"/>
    <cellStyle name="Comma 4 2 3 2 6 7" xfId="15241" xr:uid="{9D16490D-906C-4FC5-B822-E7C5C05B2349}"/>
    <cellStyle name="Comma 4 2 3 2 6 8" xfId="25657" xr:uid="{5F1D2083-10F5-469B-94B5-47FED91CA9E7}"/>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2 2 2" xfId="21611" xr:uid="{234A916D-2F57-4976-AE8A-4007A4F7AE53}"/>
    <cellStyle name="Comma 4 2 3 2 7 2 2 2 3" xfId="32027" xr:uid="{DB353912-BAFE-45CB-B7CB-67904F950149}"/>
    <cellStyle name="Comma 4 2 3 2 7 2 2 3" xfId="15249" xr:uid="{172F4923-2BF7-4D06-A6C1-7009C8F705DE}"/>
    <cellStyle name="Comma 4 2 3 2 7 2 2 4" xfId="25665" xr:uid="{421AFC6F-BE53-4348-8697-07AFC7AC0CA5}"/>
    <cellStyle name="Comma 4 2 3 2 7 2 3" xfId="10064" xr:uid="{00000000-0005-0000-0000-0000611C0000}"/>
    <cellStyle name="Comma 4 2 3 2 7 2 3 2" xfId="21610" xr:uid="{10A02E0B-1D6A-407C-8E44-2CEEB7467406}"/>
    <cellStyle name="Comma 4 2 3 2 7 2 3 3" xfId="32026" xr:uid="{E671D07E-42B8-42B5-B2B8-82BC34D1F45A}"/>
    <cellStyle name="Comma 4 2 3 2 7 2 4" xfId="6223" xr:uid="{00000000-0005-0000-0000-0000621C0000}"/>
    <cellStyle name="Comma 4 2 3 2 7 2 4 2" xfId="17809" xr:uid="{E3056698-B4D5-4455-9C8F-75843BD621F3}"/>
    <cellStyle name="Comma 4 2 3 2 7 2 4 3" xfId="28225" xr:uid="{5AB38798-DFA6-42A3-84CA-8AC02ED51B89}"/>
    <cellStyle name="Comma 4 2 3 2 7 2 5" xfId="15248" xr:uid="{E23D454F-E48E-4217-8EDC-2A4D4A9566E3}"/>
    <cellStyle name="Comma 4 2 3 2 7 2 6" xfId="25664" xr:uid="{1102C551-AF18-4D0A-ACB3-CE7D2193029C}"/>
    <cellStyle name="Comma 4 2 3 2 7 3" xfId="2915" xr:uid="{00000000-0005-0000-0000-0000631C0000}"/>
    <cellStyle name="Comma 4 2 3 2 7 3 2" xfId="10066" xr:uid="{00000000-0005-0000-0000-0000641C0000}"/>
    <cellStyle name="Comma 4 2 3 2 7 3 2 2" xfId="21612" xr:uid="{96152F02-F37A-4F38-B10A-E7DBE00C030A}"/>
    <cellStyle name="Comma 4 2 3 2 7 3 2 3" xfId="32028" xr:uid="{4B567D84-686D-4BEF-9239-DE108B750694}"/>
    <cellStyle name="Comma 4 2 3 2 7 3 3" xfId="15250" xr:uid="{A3981B4A-0DF7-49DB-AEDE-1842A317826F}"/>
    <cellStyle name="Comma 4 2 3 2 7 3 4" xfId="25666" xr:uid="{178CAB12-79DB-441A-84B2-5EC27D45920D}"/>
    <cellStyle name="Comma 4 2 3 2 7 4" xfId="10063" xr:uid="{00000000-0005-0000-0000-0000651C0000}"/>
    <cellStyle name="Comma 4 2 3 2 7 4 2" xfId="21609" xr:uid="{61ADDB1E-0F1A-4400-91B9-27E9090043E7}"/>
    <cellStyle name="Comma 4 2 3 2 7 4 3" xfId="32025" xr:uid="{6D04C0D8-E34D-450D-80D1-0808E5A15AD1}"/>
    <cellStyle name="Comma 4 2 3 2 7 5" xfId="6222" xr:uid="{00000000-0005-0000-0000-0000661C0000}"/>
    <cellStyle name="Comma 4 2 3 2 7 5 2" xfId="17808" xr:uid="{F1363B3D-8689-4807-BA27-FE6A3B1B4088}"/>
    <cellStyle name="Comma 4 2 3 2 7 5 3" xfId="28224" xr:uid="{5C08759D-5104-43ED-AD3C-B221D1FF59A6}"/>
    <cellStyle name="Comma 4 2 3 2 7 6" xfId="15247" xr:uid="{1857AB14-DB2D-42CC-A61F-36215CCE7C06}"/>
    <cellStyle name="Comma 4 2 3 2 7 7" xfId="25663" xr:uid="{72D303CE-D441-401C-A530-83499D170BE4}"/>
    <cellStyle name="Comma 4 2 3 2 8" xfId="2916" xr:uid="{00000000-0005-0000-0000-0000671C0000}"/>
    <cellStyle name="Comma 4 2 3 2 8 2" xfId="2917" xr:uid="{00000000-0005-0000-0000-0000681C0000}"/>
    <cellStyle name="Comma 4 2 3 2 8 2 2" xfId="10068" xr:uid="{00000000-0005-0000-0000-0000691C0000}"/>
    <cellStyle name="Comma 4 2 3 2 8 2 2 2" xfId="21614" xr:uid="{FB5E73BC-330C-49D2-B347-E2455D5BB400}"/>
    <cellStyle name="Comma 4 2 3 2 8 2 2 3" xfId="32030" xr:uid="{09A1A20F-5C02-494D-BCEB-ACF525DD010C}"/>
    <cellStyle name="Comma 4 2 3 2 8 2 3" xfId="15252" xr:uid="{A4762D81-8905-4594-9EB2-493895F128C7}"/>
    <cellStyle name="Comma 4 2 3 2 8 2 4" xfId="25668" xr:uid="{FAE39B93-3438-499A-B985-819C55DBCA16}"/>
    <cellStyle name="Comma 4 2 3 2 8 3" xfId="10067" xr:uid="{00000000-0005-0000-0000-00006A1C0000}"/>
    <cellStyle name="Comma 4 2 3 2 8 3 2" xfId="21613" xr:uid="{4431314D-9F5C-4B82-8F58-15C1A10E3FE9}"/>
    <cellStyle name="Comma 4 2 3 2 8 3 3" xfId="32029" xr:uid="{96125BEF-1313-40AC-A9BA-BBEE72577887}"/>
    <cellStyle name="Comma 4 2 3 2 8 4" xfId="6224" xr:uid="{00000000-0005-0000-0000-00006B1C0000}"/>
    <cellStyle name="Comma 4 2 3 2 8 4 2" xfId="17810" xr:uid="{5AADB770-D94A-4D11-B642-2008A7BB3585}"/>
    <cellStyle name="Comma 4 2 3 2 8 4 3" xfId="28226" xr:uid="{4DA71245-0F95-484C-B879-DAB4B7FB53FA}"/>
    <cellStyle name="Comma 4 2 3 2 8 5" xfId="15251" xr:uid="{5B51C942-FB67-48D3-8739-26E12CB69D6F}"/>
    <cellStyle name="Comma 4 2 3 2 8 6" xfId="25667" xr:uid="{F2CE0B4F-B235-42D1-A8B8-E8317B2AAC1D}"/>
    <cellStyle name="Comma 4 2 3 2 9" xfId="2918" xr:uid="{00000000-0005-0000-0000-00006C1C0000}"/>
    <cellStyle name="Comma 4 2 3 2 9 2" xfId="2919" xr:uid="{00000000-0005-0000-0000-00006D1C0000}"/>
    <cellStyle name="Comma 4 2 3 2 9 2 2" xfId="10070" xr:uid="{00000000-0005-0000-0000-00006E1C0000}"/>
    <cellStyle name="Comma 4 2 3 2 9 2 2 2" xfId="21616" xr:uid="{2640A7BD-2F30-4733-99CD-92AF3A791649}"/>
    <cellStyle name="Comma 4 2 3 2 9 2 2 3" xfId="32032" xr:uid="{01AC4E40-6641-4D2E-AA42-C06232127D5F}"/>
    <cellStyle name="Comma 4 2 3 2 9 2 3" xfId="15254" xr:uid="{FC31EB31-296E-40CC-B3F7-08577A46F36C}"/>
    <cellStyle name="Comma 4 2 3 2 9 2 4" xfId="25670" xr:uid="{57734A0D-7DA2-4C77-A466-5F8DF0E700AA}"/>
    <cellStyle name="Comma 4 2 3 2 9 3" xfId="10069" xr:uid="{00000000-0005-0000-0000-00006F1C0000}"/>
    <cellStyle name="Comma 4 2 3 2 9 3 2" xfId="21615" xr:uid="{B2B05BF5-30B2-4A37-9683-742699372762}"/>
    <cellStyle name="Comma 4 2 3 2 9 3 3" xfId="32031" xr:uid="{63E75B45-BD1C-4631-9685-6E04D052B83E}"/>
    <cellStyle name="Comma 4 2 3 2 9 4" xfId="6225" xr:uid="{00000000-0005-0000-0000-0000701C0000}"/>
    <cellStyle name="Comma 4 2 3 2 9 4 2" xfId="17811" xr:uid="{A8733479-F350-4909-B0FF-865CB47C1239}"/>
    <cellStyle name="Comma 4 2 3 2 9 4 3" xfId="28227" xr:uid="{9C6A57AC-2AAC-40E8-A12C-35B52BD1204B}"/>
    <cellStyle name="Comma 4 2 3 2 9 5" xfId="15253" xr:uid="{3A4FF6B6-2C33-4EA8-8BDC-C14E273F00CA}"/>
    <cellStyle name="Comma 4 2 3 2 9 6" xfId="25669" xr:uid="{384DFE0A-7753-4A0F-9981-B2D30A04B7DC}"/>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2 2 2" xfId="21620" xr:uid="{9D1F36BD-E4CD-4A21-BE7A-1D4563E7BD14}"/>
    <cellStyle name="Comma 4 2 3 3 2 2 2 2 3" xfId="32036" xr:uid="{43AD07DB-663C-4ED3-B797-205B2B286A69}"/>
    <cellStyle name="Comma 4 2 3 3 2 2 2 3" xfId="15258" xr:uid="{6218A33B-2B5B-4BD0-8EBE-9D97AA9693EF}"/>
    <cellStyle name="Comma 4 2 3 3 2 2 2 4" xfId="25674" xr:uid="{C6F0D465-4158-4E8D-93FD-A4B4A944565B}"/>
    <cellStyle name="Comma 4 2 3 3 2 2 3" xfId="10073" xr:uid="{00000000-0005-0000-0000-0000761C0000}"/>
    <cellStyle name="Comma 4 2 3 3 2 2 3 2" xfId="21619" xr:uid="{DCA1B1F6-94A8-4EFC-A012-461D3C4CBEC7}"/>
    <cellStyle name="Comma 4 2 3 3 2 2 3 3" xfId="32035" xr:uid="{58B8B770-6B77-4420-8D91-1BE6B1F988BA}"/>
    <cellStyle name="Comma 4 2 3 3 2 2 4" xfId="6228" xr:uid="{00000000-0005-0000-0000-0000771C0000}"/>
    <cellStyle name="Comma 4 2 3 3 2 2 4 2" xfId="17814" xr:uid="{A5DAE38C-3694-4800-9D35-014A6CD77D6B}"/>
    <cellStyle name="Comma 4 2 3 3 2 2 4 3" xfId="28230" xr:uid="{E1DABBF9-0061-4B66-B386-6DC8DA61520C}"/>
    <cellStyle name="Comma 4 2 3 3 2 2 5" xfId="15257" xr:uid="{0B8A5943-5D18-4F46-A79A-D11F0401C3CF}"/>
    <cellStyle name="Comma 4 2 3 3 2 2 6" xfId="25673" xr:uid="{ED8B63C7-C651-4DEC-9761-BB02B8BE1031}"/>
    <cellStyle name="Comma 4 2 3 3 2 3" xfId="2924" xr:uid="{00000000-0005-0000-0000-0000781C0000}"/>
    <cellStyle name="Comma 4 2 3 3 2 3 2" xfId="10075" xr:uid="{00000000-0005-0000-0000-0000791C0000}"/>
    <cellStyle name="Comma 4 2 3 3 2 3 2 2" xfId="21621" xr:uid="{D99C66C1-51EB-400E-9D55-79644B315788}"/>
    <cellStyle name="Comma 4 2 3 3 2 3 2 3" xfId="32037" xr:uid="{06AD4244-2A8F-4677-B572-28BF718C8ECA}"/>
    <cellStyle name="Comma 4 2 3 3 2 3 3" xfId="15259" xr:uid="{E540A2BE-580C-45B8-BED1-E6F1C727381D}"/>
    <cellStyle name="Comma 4 2 3 3 2 3 4" xfId="25675" xr:uid="{C5361855-39B7-4605-BD91-555FF7CFECC0}"/>
    <cellStyle name="Comma 4 2 3 3 2 4" xfId="10072" xr:uid="{00000000-0005-0000-0000-00007A1C0000}"/>
    <cellStyle name="Comma 4 2 3 3 2 4 2" xfId="21618" xr:uid="{91B90BFF-F224-4B56-A6FD-70B40B95B150}"/>
    <cellStyle name="Comma 4 2 3 3 2 4 3" xfId="32034" xr:uid="{3FCDED5E-7E7A-4ACF-ABAF-31656484CE56}"/>
    <cellStyle name="Comma 4 2 3 3 2 5" xfId="6227" xr:uid="{00000000-0005-0000-0000-00007B1C0000}"/>
    <cellStyle name="Comma 4 2 3 3 2 5 2" xfId="17813" xr:uid="{27937CA5-DAE3-4C4B-959B-609E9BD4858C}"/>
    <cellStyle name="Comma 4 2 3 3 2 5 3" xfId="28229" xr:uid="{7F389688-F1BF-493F-8580-287457930262}"/>
    <cellStyle name="Comma 4 2 3 3 2 6" xfId="15256" xr:uid="{94460D75-10FB-4044-94DE-24B8182C09A7}"/>
    <cellStyle name="Comma 4 2 3 3 2 7" xfId="25672" xr:uid="{BA2BD779-BEA1-49CE-9C53-23DE0D453EA5}"/>
    <cellStyle name="Comma 4 2 3 3 3" xfId="2925" xr:uid="{00000000-0005-0000-0000-00007C1C0000}"/>
    <cellStyle name="Comma 4 2 3 3 3 2" xfId="2926" xr:uid="{00000000-0005-0000-0000-00007D1C0000}"/>
    <cellStyle name="Comma 4 2 3 3 3 2 2" xfId="10077" xr:uid="{00000000-0005-0000-0000-00007E1C0000}"/>
    <cellStyle name="Comma 4 2 3 3 3 2 2 2" xfId="21623" xr:uid="{29F125C2-70B1-42F6-9FBE-1A4C1E7CF10A}"/>
    <cellStyle name="Comma 4 2 3 3 3 2 2 3" xfId="32039" xr:uid="{0445CEDA-F009-46A1-BA16-935A93D01FEE}"/>
    <cellStyle name="Comma 4 2 3 3 3 2 3" xfId="15261" xr:uid="{8F03E9BE-0FDC-4F23-9AFF-4A1A05BD2D4D}"/>
    <cellStyle name="Comma 4 2 3 3 3 2 4" xfId="25677" xr:uid="{FC3E9054-E883-48EF-AB4B-B27CD2AD6509}"/>
    <cellStyle name="Comma 4 2 3 3 3 3" xfId="10076" xr:uid="{00000000-0005-0000-0000-00007F1C0000}"/>
    <cellStyle name="Comma 4 2 3 3 3 3 2" xfId="21622" xr:uid="{70FF3AAF-76B8-44D6-ACD6-ECD610719E81}"/>
    <cellStyle name="Comma 4 2 3 3 3 3 3" xfId="32038" xr:uid="{1CA7FD1F-F14D-4104-80A6-26EC1005BD64}"/>
    <cellStyle name="Comma 4 2 3 3 3 4" xfId="6229" xr:uid="{00000000-0005-0000-0000-0000801C0000}"/>
    <cellStyle name="Comma 4 2 3 3 3 4 2" xfId="17815" xr:uid="{D752A107-4AC5-47E0-81B1-2243742DF282}"/>
    <cellStyle name="Comma 4 2 3 3 3 4 3" xfId="28231" xr:uid="{F5ED3999-C374-4BD9-9233-7B3387D956F3}"/>
    <cellStyle name="Comma 4 2 3 3 3 5" xfId="15260" xr:uid="{BE1CFC24-5C19-4973-A538-F108209DD2C0}"/>
    <cellStyle name="Comma 4 2 3 3 3 6" xfId="25676" xr:uid="{635669F9-056C-46E4-BA7F-D89B5338086D}"/>
    <cellStyle name="Comma 4 2 3 3 4" xfId="2927" xr:uid="{00000000-0005-0000-0000-0000811C0000}"/>
    <cellStyle name="Comma 4 2 3 3 4 2" xfId="2928" xr:uid="{00000000-0005-0000-0000-0000821C0000}"/>
    <cellStyle name="Comma 4 2 3 3 4 2 2" xfId="10079" xr:uid="{00000000-0005-0000-0000-0000831C0000}"/>
    <cellStyle name="Comma 4 2 3 3 4 2 2 2" xfId="21625" xr:uid="{027E8483-A946-4C40-A750-361A0A6C3B28}"/>
    <cellStyle name="Comma 4 2 3 3 4 2 2 3" xfId="32041" xr:uid="{C7DEB58D-43BD-4DDD-AAFD-7343C91C873F}"/>
    <cellStyle name="Comma 4 2 3 3 4 2 3" xfId="15263" xr:uid="{784869CE-AFD6-4016-907B-BC783914DA92}"/>
    <cellStyle name="Comma 4 2 3 3 4 2 4" xfId="25679" xr:uid="{82160F67-589B-44F5-B193-3B7EC9DEE8B7}"/>
    <cellStyle name="Comma 4 2 3 3 4 3" xfId="10078" xr:uid="{00000000-0005-0000-0000-0000841C0000}"/>
    <cellStyle name="Comma 4 2 3 3 4 3 2" xfId="21624" xr:uid="{AF845F61-A421-449D-B3A8-87BEE5EDD4D9}"/>
    <cellStyle name="Comma 4 2 3 3 4 3 3" xfId="32040" xr:uid="{51B9468F-1502-4942-91A1-6B1F65F1CB9D}"/>
    <cellStyle name="Comma 4 2 3 3 4 4" xfId="6230" xr:uid="{00000000-0005-0000-0000-0000851C0000}"/>
    <cellStyle name="Comma 4 2 3 3 4 4 2" xfId="17816" xr:uid="{6F76EFC9-F38D-4667-A167-67654C4D0582}"/>
    <cellStyle name="Comma 4 2 3 3 4 4 3" xfId="28232" xr:uid="{052EE91E-C298-4524-AF91-76A539BF0A3C}"/>
    <cellStyle name="Comma 4 2 3 3 4 5" xfId="15262" xr:uid="{35F44639-EAC9-42A3-BD16-118846959EF3}"/>
    <cellStyle name="Comma 4 2 3 3 4 6" xfId="25678" xr:uid="{9FA83725-99C7-4519-9564-80B78D8D8954}"/>
    <cellStyle name="Comma 4 2 3 3 5" xfId="2929" xr:uid="{00000000-0005-0000-0000-0000861C0000}"/>
    <cellStyle name="Comma 4 2 3 3 5 2" xfId="10080" xr:uid="{00000000-0005-0000-0000-0000871C0000}"/>
    <cellStyle name="Comma 4 2 3 3 5 2 2" xfId="21626" xr:uid="{67D8906B-5976-4C69-81EF-A9501A7C1087}"/>
    <cellStyle name="Comma 4 2 3 3 5 2 3" xfId="32042" xr:uid="{9A15FBF1-042B-4081-B6BF-5AE25A852FD6}"/>
    <cellStyle name="Comma 4 2 3 3 5 3" xfId="15264" xr:uid="{B56E0307-C5B1-4FB1-B612-0247A61EBD4A}"/>
    <cellStyle name="Comma 4 2 3 3 5 4" xfId="25680" xr:uid="{BE76B6FC-FB0D-44CD-974C-22C1A4FC702B}"/>
    <cellStyle name="Comma 4 2 3 3 6" xfId="10071" xr:uid="{00000000-0005-0000-0000-0000881C0000}"/>
    <cellStyle name="Comma 4 2 3 3 6 2" xfId="21617" xr:uid="{C36DC19D-1E87-4F5B-87A6-0CDB0871920E}"/>
    <cellStyle name="Comma 4 2 3 3 6 3" xfId="32033" xr:uid="{3C98E56E-0B8A-4A6C-BE30-E5D60A97AA70}"/>
    <cellStyle name="Comma 4 2 3 3 7" xfId="6226" xr:uid="{00000000-0005-0000-0000-0000891C0000}"/>
    <cellStyle name="Comma 4 2 3 3 7 2" xfId="17812" xr:uid="{CFBC3F12-48B7-4F80-8E55-5AEF98FC136E}"/>
    <cellStyle name="Comma 4 2 3 3 7 3" xfId="28228" xr:uid="{22DBB9F8-F464-4330-8B5B-C79E79DE18D2}"/>
    <cellStyle name="Comma 4 2 3 3 8" xfId="15255" xr:uid="{A0EE739A-32E5-437C-8B4B-D726EE8EEB95}"/>
    <cellStyle name="Comma 4 2 3 3 9" xfId="25671" xr:uid="{8B6BB6BF-4F93-40F7-82BB-29D03440405F}"/>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2 2 2" xfId="21630" xr:uid="{3DBCD688-4639-412E-BB51-CF9F4D68A991}"/>
    <cellStyle name="Comma 4 2 3 4 2 2 2 2 3" xfId="32046" xr:uid="{2DC72FF3-ABC1-4CB2-B56F-39AEBA0A3222}"/>
    <cellStyle name="Comma 4 2 3 4 2 2 2 3" xfId="15268" xr:uid="{9B0FB696-CBC8-45DB-BC77-207896B940DF}"/>
    <cellStyle name="Comma 4 2 3 4 2 2 2 4" xfId="25684" xr:uid="{7DDBBBB2-40F9-49A1-B774-793ED63DB7BF}"/>
    <cellStyle name="Comma 4 2 3 4 2 2 3" xfId="10083" xr:uid="{00000000-0005-0000-0000-00008F1C0000}"/>
    <cellStyle name="Comma 4 2 3 4 2 2 3 2" xfId="21629" xr:uid="{3D9B842E-5B9A-43DB-AD90-8AC81E677350}"/>
    <cellStyle name="Comma 4 2 3 4 2 2 3 3" xfId="32045" xr:uid="{57C8EC0A-A8F5-4A11-AE9C-F3E636457134}"/>
    <cellStyle name="Comma 4 2 3 4 2 2 4" xfId="6233" xr:uid="{00000000-0005-0000-0000-0000901C0000}"/>
    <cellStyle name="Comma 4 2 3 4 2 2 4 2" xfId="17819" xr:uid="{3308FE12-C282-44AE-824F-102CAD3C7287}"/>
    <cellStyle name="Comma 4 2 3 4 2 2 4 3" xfId="28235" xr:uid="{86D96BB6-266F-4E73-813D-53463330CD6A}"/>
    <cellStyle name="Comma 4 2 3 4 2 2 5" xfId="15267" xr:uid="{AD013629-23C9-4037-9463-8426F57C2AB7}"/>
    <cellStyle name="Comma 4 2 3 4 2 2 6" xfId="25683" xr:uid="{7D941948-BE68-41BC-B281-9CBE9A122710}"/>
    <cellStyle name="Comma 4 2 3 4 2 3" xfId="2934" xr:uid="{00000000-0005-0000-0000-0000911C0000}"/>
    <cellStyle name="Comma 4 2 3 4 2 3 2" xfId="10085" xr:uid="{00000000-0005-0000-0000-0000921C0000}"/>
    <cellStyle name="Comma 4 2 3 4 2 3 2 2" xfId="21631" xr:uid="{EC5F7EAD-3574-4BC9-BE82-5FB060F99246}"/>
    <cellStyle name="Comma 4 2 3 4 2 3 2 3" xfId="32047" xr:uid="{A2DAEC1B-A251-4799-A151-C94C567B9EFB}"/>
    <cellStyle name="Comma 4 2 3 4 2 3 3" xfId="15269" xr:uid="{C38C3274-8CF8-468D-BDE3-0E418CE5551A}"/>
    <cellStyle name="Comma 4 2 3 4 2 3 4" xfId="25685" xr:uid="{84CAEB11-0736-434C-821A-21BFBFC56A8E}"/>
    <cellStyle name="Comma 4 2 3 4 2 4" xfId="10082" xr:uid="{00000000-0005-0000-0000-0000931C0000}"/>
    <cellStyle name="Comma 4 2 3 4 2 4 2" xfId="21628" xr:uid="{C315A255-C606-48DB-AE3D-15F6C64874C8}"/>
    <cellStyle name="Comma 4 2 3 4 2 4 3" xfId="32044" xr:uid="{604E9C23-7AA8-452B-A7F6-3A14943E5468}"/>
    <cellStyle name="Comma 4 2 3 4 2 5" xfId="6232" xr:uid="{00000000-0005-0000-0000-0000941C0000}"/>
    <cellStyle name="Comma 4 2 3 4 2 5 2" xfId="17818" xr:uid="{E44C1212-3A37-4AEB-961B-F5C704D48590}"/>
    <cellStyle name="Comma 4 2 3 4 2 5 3" xfId="28234" xr:uid="{D6FBF97D-B286-4CD1-AFF8-E3B1871C04A3}"/>
    <cellStyle name="Comma 4 2 3 4 2 6" xfId="15266" xr:uid="{840BE993-86B3-425C-BBBA-FCBAE289157F}"/>
    <cellStyle name="Comma 4 2 3 4 2 7" xfId="25682" xr:uid="{A542C9A3-69CF-4319-8A0E-C4F7502CB773}"/>
    <cellStyle name="Comma 4 2 3 4 3" xfId="2935" xr:uid="{00000000-0005-0000-0000-0000951C0000}"/>
    <cellStyle name="Comma 4 2 3 4 3 2" xfId="2936" xr:uid="{00000000-0005-0000-0000-0000961C0000}"/>
    <cellStyle name="Comma 4 2 3 4 3 2 2" xfId="10087" xr:uid="{00000000-0005-0000-0000-0000971C0000}"/>
    <cellStyle name="Comma 4 2 3 4 3 2 2 2" xfId="21633" xr:uid="{C660108B-34B5-488E-A17D-08F2A58FE46F}"/>
    <cellStyle name="Comma 4 2 3 4 3 2 2 3" xfId="32049" xr:uid="{0BDC3274-9A4F-44AD-93B4-F8F050D052FB}"/>
    <cellStyle name="Comma 4 2 3 4 3 2 3" xfId="15271" xr:uid="{BF5FEC4A-D05F-4E79-9C0A-B3B60DF960EC}"/>
    <cellStyle name="Comma 4 2 3 4 3 2 4" xfId="25687" xr:uid="{F031F7A3-D7F9-4F16-8AEB-A91AAA1DE684}"/>
    <cellStyle name="Comma 4 2 3 4 3 3" xfId="10086" xr:uid="{00000000-0005-0000-0000-0000981C0000}"/>
    <cellStyle name="Comma 4 2 3 4 3 3 2" xfId="21632" xr:uid="{C20E8E87-44FB-44E1-9867-4C5C20953DD8}"/>
    <cellStyle name="Comma 4 2 3 4 3 3 3" xfId="32048" xr:uid="{5DFD9C65-5D5E-48C9-A9FB-69D5C2D57D5C}"/>
    <cellStyle name="Comma 4 2 3 4 3 4" xfId="6234" xr:uid="{00000000-0005-0000-0000-0000991C0000}"/>
    <cellStyle name="Comma 4 2 3 4 3 4 2" xfId="17820" xr:uid="{FA475745-CB4B-48BD-9411-7F73EE9394E4}"/>
    <cellStyle name="Comma 4 2 3 4 3 4 3" xfId="28236" xr:uid="{9E8F5B28-FE14-41D5-8F03-628E5E81D12A}"/>
    <cellStyle name="Comma 4 2 3 4 3 5" xfId="15270" xr:uid="{0633BD80-1E7A-4A8D-94C6-02A0BE3EFF92}"/>
    <cellStyle name="Comma 4 2 3 4 3 6" xfId="25686" xr:uid="{484C4F5A-2A1B-424B-87CF-6D384825AD5A}"/>
    <cellStyle name="Comma 4 2 3 4 4" xfId="2937" xr:uid="{00000000-0005-0000-0000-00009A1C0000}"/>
    <cellStyle name="Comma 4 2 3 4 4 2" xfId="2938" xr:uid="{00000000-0005-0000-0000-00009B1C0000}"/>
    <cellStyle name="Comma 4 2 3 4 4 2 2" xfId="10089" xr:uid="{00000000-0005-0000-0000-00009C1C0000}"/>
    <cellStyle name="Comma 4 2 3 4 4 2 2 2" xfId="21635" xr:uid="{440C5B90-6C14-4B74-B75C-2B1C02AB5B97}"/>
    <cellStyle name="Comma 4 2 3 4 4 2 2 3" xfId="32051" xr:uid="{AB7A1384-3270-4F59-912F-C789F6228B64}"/>
    <cellStyle name="Comma 4 2 3 4 4 2 3" xfId="15273" xr:uid="{335B8376-BC02-4D9B-A80B-3CC530FD31B4}"/>
    <cellStyle name="Comma 4 2 3 4 4 2 4" xfId="25689" xr:uid="{B5852563-E06D-42A7-922F-B597E0902FF7}"/>
    <cellStyle name="Comma 4 2 3 4 4 3" xfId="10088" xr:uid="{00000000-0005-0000-0000-00009D1C0000}"/>
    <cellStyle name="Comma 4 2 3 4 4 3 2" xfId="21634" xr:uid="{3D056B9B-8AAD-4F66-98C5-829C1413B1CB}"/>
    <cellStyle name="Comma 4 2 3 4 4 3 3" xfId="32050" xr:uid="{FB928CD0-6F4B-4692-AB20-3D23F33D2BEB}"/>
    <cellStyle name="Comma 4 2 3 4 4 4" xfId="6235" xr:uid="{00000000-0005-0000-0000-00009E1C0000}"/>
    <cellStyle name="Comma 4 2 3 4 4 4 2" xfId="17821" xr:uid="{09FA9376-E4B7-4C0D-A1EC-86B76BD7246D}"/>
    <cellStyle name="Comma 4 2 3 4 4 4 3" xfId="28237" xr:uid="{67972F26-EB77-4928-8AEA-3C646B2616C5}"/>
    <cellStyle name="Comma 4 2 3 4 4 5" xfId="15272" xr:uid="{38025EDB-04BE-4B35-983A-2F17F5696C1E}"/>
    <cellStyle name="Comma 4 2 3 4 4 6" xfId="25688" xr:uid="{BF2755C7-69F0-4A09-B411-BD13A39587D3}"/>
    <cellStyle name="Comma 4 2 3 4 5" xfId="2939" xr:uid="{00000000-0005-0000-0000-00009F1C0000}"/>
    <cellStyle name="Comma 4 2 3 4 5 2" xfId="10090" xr:uid="{00000000-0005-0000-0000-0000A01C0000}"/>
    <cellStyle name="Comma 4 2 3 4 5 2 2" xfId="21636" xr:uid="{293E5767-4B54-48AB-B4C1-C706056903F0}"/>
    <cellStyle name="Comma 4 2 3 4 5 2 3" xfId="32052" xr:uid="{EA8E0885-D9F3-41D2-9A08-0049F2E0A9A4}"/>
    <cellStyle name="Comma 4 2 3 4 5 3" xfId="15274" xr:uid="{93B74FC2-457D-4EC2-A1F3-87C7C370495A}"/>
    <cellStyle name="Comma 4 2 3 4 5 4" xfId="25690" xr:uid="{28A177CB-C69B-444F-816F-8E3022832789}"/>
    <cellStyle name="Comma 4 2 3 4 6" xfId="10081" xr:uid="{00000000-0005-0000-0000-0000A11C0000}"/>
    <cellStyle name="Comma 4 2 3 4 6 2" xfId="21627" xr:uid="{0C20A39C-598A-4099-A721-DF142172B640}"/>
    <cellStyle name="Comma 4 2 3 4 6 3" xfId="32043" xr:uid="{04F77100-820F-40CA-AA51-CFB76446D79A}"/>
    <cellStyle name="Comma 4 2 3 4 7" xfId="6231" xr:uid="{00000000-0005-0000-0000-0000A21C0000}"/>
    <cellStyle name="Comma 4 2 3 4 7 2" xfId="17817" xr:uid="{7CC67E68-FC98-47BD-9FE0-7A00CF124C31}"/>
    <cellStyle name="Comma 4 2 3 4 7 3" xfId="28233" xr:uid="{F8BC0EAC-5140-4E7D-ABC4-14C1B075E177}"/>
    <cellStyle name="Comma 4 2 3 4 8" xfId="15265" xr:uid="{543DDBBF-A5EE-47CF-8BF2-E3E5E7814521}"/>
    <cellStyle name="Comma 4 2 3 4 9" xfId="25681" xr:uid="{A9511C54-150C-4A90-8516-71708199704B}"/>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2 2 2" xfId="21640" xr:uid="{13CD981F-9ACF-4917-9A87-81A8946B7B86}"/>
    <cellStyle name="Comma 4 2 3 5 2 2 2 2 3" xfId="32056" xr:uid="{854D0E3C-7B22-4DE6-AE11-3FEC894DCA71}"/>
    <cellStyle name="Comma 4 2 3 5 2 2 2 3" xfId="15278" xr:uid="{B9E04E6D-DEE9-49FD-8B16-45E43763EB6F}"/>
    <cellStyle name="Comma 4 2 3 5 2 2 2 4" xfId="25694" xr:uid="{C130F99B-8493-4EE8-BF6C-9A69279DA956}"/>
    <cellStyle name="Comma 4 2 3 5 2 2 3" xfId="10093" xr:uid="{00000000-0005-0000-0000-0000A81C0000}"/>
    <cellStyle name="Comma 4 2 3 5 2 2 3 2" xfId="21639" xr:uid="{2BED05E4-224C-42F0-9E08-1D74BE45D0EA}"/>
    <cellStyle name="Comma 4 2 3 5 2 2 3 3" xfId="32055" xr:uid="{9BF6BC45-C9DE-41CE-B0D2-CF50FBDEDA14}"/>
    <cellStyle name="Comma 4 2 3 5 2 2 4" xfId="6238" xr:uid="{00000000-0005-0000-0000-0000A91C0000}"/>
    <cellStyle name="Comma 4 2 3 5 2 2 4 2" xfId="17824" xr:uid="{0E72861D-1824-4C94-92E0-9E6271290158}"/>
    <cellStyle name="Comma 4 2 3 5 2 2 4 3" xfId="28240" xr:uid="{74E7FAF7-26CE-4F4B-B5BD-2D7F10F59FA1}"/>
    <cellStyle name="Comma 4 2 3 5 2 2 5" xfId="15277" xr:uid="{E21A97FD-CC4A-47D7-A0A3-3EB648EAA986}"/>
    <cellStyle name="Comma 4 2 3 5 2 2 6" xfId="25693" xr:uid="{75C29D9A-C8EE-471B-B84A-A313CAF59B3B}"/>
    <cellStyle name="Comma 4 2 3 5 2 3" xfId="2944" xr:uid="{00000000-0005-0000-0000-0000AA1C0000}"/>
    <cellStyle name="Comma 4 2 3 5 2 3 2" xfId="10095" xr:uid="{00000000-0005-0000-0000-0000AB1C0000}"/>
    <cellStyle name="Comma 4 2 3 5 2 3 2 2" xfId="21641" xr:uid="{7E7C1EE1-8451-4782-BD08-702F23B11456}"/>
    <cellStyle name="Comma 4 2 3 5 2 3 2 3" xfId="32057" xr:uid="{3E1050DB-971E-4175-8884-3191F76FBA2A}"/>
    <cellStyle name="Comma 4 2 3 5 2 3 3" xfId="15279" xr:uid="{23513700-25B2-4A9A-A3C1-DA98215B3FC2}"/>
    <cellStyle name="Comma 4 2 3 5 2 3 4" xfId="25695" xr:uid="{9E827D51-FDD6-4B6B-8B8E-872B38229ABF}"/>
    <cellStyle name="Comma 4 2 3 5 2 4" xfId="10092" xr:uid="{00000000-0005-0000-0000-0000AC1C0000}"/>
    <cellStyle name="Comma 4 2 3 5 2 4 2" xfId="21638" xr:uid="{785DFE67-C2A4-41A5-8447-3694D2830DFB}"/>
    <cellStyle name="Comma 4 2 3 5 2 4 3" xfId="32054" xr:uid="{B833837B-B63C-4195-9B60-346B5B052612}"/>
    <cellStyle name="Comma 4 2 3 5 2 5" xfId="6237" xr:uid="{00000000-0005-0000-0000-0000AD1C0000}"/>
    <cellStyle name="Comma 4 2 3 5 2 5 2" xfId="17823" xr:uid="{5EFD1D5A-733E-4C20-819F-E13FA3593490}"/>
    <cellStyle name="Comma 4 2 3 5 2 5 3" xfId="28239" xr:uid="{E6A79F0F-1329-4227-AE53-84EFDAE39C69}"/>
    <cellStyle name="Comma 4 2 3 5 2 6" xfId="15276" xr:uid="{4C462666-DB6A-4C03-8491-506FA4EE3D7D}"/>
    <cellStyle name="Comma 4 2 3 5 2 7" xfId="25692" xr:uid="{156E1523-0E6A-4070-9CC7-1DE3740334D7}"/>
    <cellStyle name="Comma 4 2 3 5 3" xfId="2945" xr:uid="{00000000-0005-0000-0000-0000AE1C0000}"/>
    <cellStyle name="Comma 4 2 3 5 3 2" xfId="2946" xr:uid="{00000000-0005-0000-0000-0000AF1C0000}"/>
    <cellStyle name="Comma 4 2 3 5 3 2 2" xfId="10097" xr:uid="{00000000-0005-0000-0000-0000B01C0000}"/>
    <cellStyle name="Comma 4 2 3 5 3 2 2 2" xfId="21643" xr:uid="{858AB5DE-0C18-47C0-B652-C2A06A9FA6FA}"/>
    <cellStyle name="Comma 4 2 3 5 3 2 2 3" xfId="32059" xr:uid="{4898910F-FABA-4A0A-8152-C953D46AB74C}"/>
    <cellStyle name="Comma 4 2 3 5 3 2 3" xfId="15281" xr:uid="{2BB6193F-5623-4039-9649-25F7B270CC13}"/>
    <cellStyle name="Comma 4 2 3 5 3 2 4" xfId="25697" xr:uid="{9A64107B-A471-482F-BD6F-3C4A4A4A067D}"/>
    <cellStyle name="Comma 4 2 3 5 3 3" xfId="10096" xr:uid="{00000000-0005-0000-0000-0000B11C0000}"/>
    <cellStyle name="Comma 4 2 3 5 3 3 2" xfId="21642" xr:uid="{F85352D7-55AB-4A93-8957-105E28E725A8}"/>
    <cellStyle name="Comma 4 2 3 5 3 3 3" xfId="32058" xr:uid="{BEEA643D-2006-43FC-B014-B3BFE75554D6}"/>
    <cellStyle name="Comma 4 2 3 5 3 4" xfId="6239" xr:uid="{00000000-0005-0000-0000-0000B21C0000}"/>
    <cellStyle name="Comma 4 2 3 5 3 4 2" xfId="17825" xr:uid="{A898A56F-C08E-4E28-A482-C53C7D25EEC1}"/>
    <cellStyle name="Comma 4 2 3 5 3 4 3" xfId="28241" xr:uid="{AAD0623C-633E-433A-AC76-B21F8E3A9D69}"/>
    <cellStyle name="Comma 4 2 3 5 3 5" xfId="15280" xr:uid="{C5A1CAD0-A20E-43EB-B7C0-44FE052B829E}"/>
    <cellStyle name="Comma 4 2 3 5 3 6" xfId="25696" xr:uid="{26DB3F92-DD9B-4AE8-B255-C1C87C9C5A75}"/>
    <cellStyle name="Comma 4 2 3 5 4" xfId="2947" xr:uid="{00000000-0005-0000-0000-0000B31C0000}"/>
    <cellStyle name="Comma 4 2 3 5 4 2" xfId="2948" xr:uid="{00000000-0005-0000-0000-0000B41C0000}"/>
    <cellStyle name="Comma 4 2 3 5 4 2 2" xfId="10099" xr:uid="{00000000-0005-0000-0000-0000B51C0000}"/>
    <cellStyle name="Comma 4 2 3 5 4 2 2 2" xfId="21645" xr:uid="{F7A840C6-6EA4-40ED-A178-A1712760E0BC}"/>
    <cellStyle name="Comma 4 2 3 5 4 2 2 3" xfId="32061" xr:uid="{617EC715-AFF0-470F-9AE7-4997B2D0BF7E}"/>
    <cellStyle name="Comma 4 2 3 5 4 2 3" xfId="15283" xr:uid="{D31F8A6B-15F8-4F9F-9517-4BEAFE6A47F4}"/>
    <cellStyle name="Comma 4 2 3 5 4 2 4" xfId="25699" xr:uid="{A4BFE5F5-160F-4C21-B2A8-946392E2C17A}"/>
    <cellStyle name="Comma 4 2 3 5 4 3" xfId="10098" xr:uid="{00000000-0005-0000-0000-0000B61C0000}"/>
    <cellStyle name="Comma 4 2 3 5 4 3 2" xfId="21644" xr:uid="{C17FFA7D-ACB0-4507-9690-1CC38406CEE7}"/>
    <cellStyle name="Comma 4 2 3 5 4 3 3" xfId="32060" xr:uid="{C6405A3A-9E5C-4094-9AC3-422D48E57199}"/>
    <cellStyle name="Comma 4 2 3 5 4 4" xfId="6240" xr:uid="{00000000-0005-0000-0000-0000B71C0000}"/>
    <cellStyle name="Comma 4 2 3 5 4 4 2" xfId="17826" xr:uid="{AD8E7F99-7A62-466B-9A23-58C16AF9B07C}"/>
    <cellStyle name="Comma 4 2 3 5 4 4 3" xfId="28242" xr:uid="{23BD152B-0676-4856-9BAE-13CA99793BB3}"/>
    <cellStyle name="Comma 4 2 3 5 4 5" xfId="15282" xr:uid="{19784330-DD2A-4AB9-A22D-4B5906496313}"/>
    <cellStyle name="Comma 4 2 3 5 4 6" xfId="25698" xr:uid="{0D8AA545-C839-47C5-B8BF-59281FCCCBC4}"/>
    <cellStyle name="Comma 4 2 3 5 5" xfId="2949" xr:uid="{00000000-0005-0000-0000-0000B81C0000}"/>
    <cellStyle name="Comma 4 2 3 5 5 2" xfId="10100" xr:uid="{00000000-0005-0000-0000-0000B91C0000}"/>
    <cellStyle name="Comma 4 2 3 5 5 2 2" xfId="21646" xr:uid="{9B6E9249-274F-49B8-8655-2BDD8B640D50}"/>
    <cellStyle name="Comma 4 2 3 5 5 2 3" xfId="32062" xr:uid="{8B690F17-B952-4619-8AF7-464C3227E884}"/>
    <cellStyle name="Comma 4 2 3 5 5 3" xfId="15284" xr:uid="{28E5705B-B844-4272-889C-4E351F83FF36}"/>
    <cellStyle name="Comma 4 2 3 5 5 4" xfId="25700" xr:uid="{8630D93E-A36A-45A5-8176-9CC415357DED}"/>
    <cellStyle name="Comma 4 2 3 5 6" xfId="10091" xr:uid="{00000000-0005-0000-0000-0000BA1C0000}"/>
    <cellStyle name="Comma 4 2 3 5 6 2" xfId="21637" xr:uid="{F52A94C5-C7A3-4C14-9B84-606C61A03721}"/>
    <cellStyle name="Comma 4 2 3 5 6 3" xfId="32053" xr:uid="{8FBC1736-2554-4FC4-B278-0C4456BAF0A3}"/>
    <cellStyle name="Comma 4 2 3 5 7" xfId="6236" xr:uid="{00000000-0005-0000-0000-0000BB1C0000}"/>
    <cellStyle name="Comma 4 2 3 5 7 2" xfId="17822" xr:uid="{C88B481F-3521-41AE-AC1D-1CBC9CD6C141}"/>
    <cellStyle name="Comma 4 2 3 5 7 3" xfId="28238" xr:uid="{CAF738C9-B035-4EC5-9C98-C509FC03F1BC}"/>
    <cellStyle name="Comma 4 2 3 5 8" xfId="15275" xr:uid="{02C62A60-443B-4DA6-9CA3-1C7EE6F964E6}"/>
    <cellStyle name="Comma 4 2 3 5 9" xfId="25691" xr:uid="{0C54F728-BC01-4B1F-BE4A-8C9530A921E3}"/>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2 2 2" xfId="21650" xr:uid="{A18A406C-C0F8-4E4C-95C2-5023D8F02101}"/>
    <cellStyle name="Comma 4 2 3 6 2 2 2 2 3" xfId="32066" xr:uid="{F1592668-E509-4FB0-ABA5-4E34A513BD43}"/>
    <cellStyle name="Comma 4 2 3 6 2 2 2 3" xfId="15288" xr:uid="{3E14C1FD-D3E1-4C4A-97B2-5B9317D09FAA}"/>
    <cellStyle name="Comma 4 2 3 6 2 2 2 4" xfId="25704" xr:uid="{1BFD3BCA-49E9-4926-AB62-94A1FA76C2F8}"/>
    <cellStyle name="Comma 4 2 3 6 2 2 3" xfId="10103" xr:uid="{00000000-0005-0000-0000-0000C11C0000}"/>
    <cellStyle name="Comma 4 2 3 6 2 2 3 2" xfId="21649" xr:uid="{0C7B1963-3415-43DF-9BEE-CF47A82B2E42}"/>
    <cellStyle name="Comma 4 2 3 6 2 2 3 3" xfId="32065" xr:uid="{E7D22BF9-B8A8-485B-8974-055BE6A442F3}"/>
    <cellStyle name="Comma 4 2 3 6 2 2 4" xfId="6243" xr:uid="{00000000-0005-0000-0000-0000C21C0000}"/>
    <cellStyle name="Comma 4 2 3 6 2 2 4 2" xfId="17829" xr:uid="{EFF390A0-697E-4226-93D5-1AB11D3D8D46}"/>
    <cellStyle name="Comma 4 2 3 6 2 2 4 3" xfId="28245" xr:uid="{B81EDA9B-EF1B-4ACD-B609-4AE2ADA0A5E4}"/>
    <cellStyle name="Comma 4 2 3 6 2 2 5" xfId="15287" xr:uid="{300C6E03-D027-4509-A2C7-6CAF49B54F3A}"/>
    <cellStyle name="Comma 4 2 3 6 2 2 6" xfId="25703" xr:uid="{8BFCA8A0-080C-461F-BD89-A6DABA1B95BD}"/>
    <cellStyle name="Comma 4 2 3 6 2 3" xfId="2954" xr:uid="{00000000-0005-0000-0000-0000C31C0000}"/>
    <cellStyle name="Comma 4 2 3 6 2 3 2" xfId="10105" xr:uid="{00000000-0005-0000-0000-0000C41C0000}"/>
    <cellStyle name="Comma 4 2 3 6 2 3 2 2" xfId="21651" xr:uid="{56D8540E-A28C-4619-978D-BD883DD94A5A}"/>
    <cellStyle name="Comma 4 2 3 6 2 3 2 3" xfId="32067" xr:uid="{B760F81A-7F21-4A15-95C2-A60D59F6D1C3}"/>
    <cellStyle name="Comma 4 2 3 6 2 3 3" xfId="15289" xr:uid="{89FB8B47-D299-4FCA-AB88-1272D0433FD3}"/>
    <cellStyle name="Comma 4 2 3 6 2 3 4" xfId="25705" xr:uid="{926EF987-78AD-479A-93B2-F082CFB39D50}"/>
    <cellStyle name="Comma 4 2 3 6 2 4" xfId="10102" xr:uid="{00000000-0005-0000-0000-0000C51C0000}"/>
    <cellStyle name="Comma 4 2 3 6 2 4 2" xfId="21648" xr:uid="{9BF38E9F-06BD-497E-91C0-E730AC8C82CB}"/>
    <cellStyle name="Comma 4 2 3 6 2 4 3" xfId="32064" xr:uid="{DF1CA3BB-AFAC-44FB-8984-667C5FEA7294}"/>
    <cellStyle name="Comma 4 2 3 6 2 5" xfId="6242" xr:uid="{00000000-0005-0000-0000-0000C61C0000}"/>
    <cellStyle name="Comma 4 2 3 6 2 5 2" xfId="17828" xr:uid="{5CC76DCD-7227-4522-9EC4-8EB7D4D93D2B}"/>
    <cellStyle name="Comma 4 2 3 6 2 5 3" xfId="28244" xr:uid="{BE924B99-D710-49A8-977B-027B741875E7}"/>
    <cellStyle name="Comma 4 2 3 6 2 6" xfId="15286" xr:uid="{1E3ADEA9-8EC4-44CD-9E70-F1092E1ED1B5}"/>
    <cellStyle name="Comma 4 2 3 6 2 7" xfId="25702" xr:uid="{776A028C-95D9-44C1-9AF6-B733700E0D0C}"/>
    <cellStyle name="Comma 4 2 3 6 3" xfId="2955" xr:uid="{00000000-0005-0000-0000-0000C71C0000}"/>
    <cellStyle name="Comma 4 2 3 6 3 2" xfId="2956" xr:uid="{00000000-0005-0000-0000-0000C81C0000}"/>
    <cellStyle name="Comma 4 2 3 6 3 2 2" xfId="10107" xr:uid="{00000000-0005-0000-0000-0000C91C0000}"/>
    <cellStyle name="Comma 4 2 3 6 3 2 2 2" xfId="21653" xr:uid="{D4248C38-94BA-4E28-8E11-4039FC0BE359}"/>
    <cellStyle name="Comma 4 2 3 6 3 2 2 3" xfId="32069" xr:uid="{55AD7B14-1807-4BF9-A7C6-DE9CDE17EC97}"/>
    <cellStyle name="Comma 4 2 3 6 3 2 3" xfId="15291" xr:uid="{88562C29-920D-4117-97E8-9D00F0A04933}"/>
    <cellStyle name="Comma 4 2 3 6 3 2 4" xfId="25707" xr:uid="{4251F56C-C8D1-4BB1-B7D3-093F367854A3}"/>
    <cellStyle name="Comma 4 2 3 6 3 3" xfId="10106" xr:uid="{00000000-0005-0000-0000-0000CA1C0000}"/>
    <cellStyle name="Comma 4 2 3 6 3 3 2" xfId="21652" xr:uid="{E01EA014-ABDC-4922-A786-FB6E4A0FCA1E}"/>
    <cellStyle name="Comma 4 2 3 6 3 3 3" xfId="32068" xr:uid="{46C1A414-A3F2-4BBD-A305-BEBA3D9B71FF}"/>
    <cellStyle name="Comma 4 2 3 6 3 4" xfId="6244" xr:uid="{00000000-0005-0000-0000-0000CB1C0000}"/>
    <cellStyle name="Comma 4 2 3 6 3 4 2" xfId="17830" xr:uid="{380756F1-FA30-4FA7-9F8C-C28DFDDCA83D}"/>
    <cellStyle name="Comma 4 2 3 6 3 4 3" xfId="28246" xr:uid="{ACBBC140-6CA5-41EB-A7D0-8D7680E0D248}"/>
    <cellStyle name="Comma 4 2 3 6 3 5" xfId="15290" xr:uid="{4D883359-0D1C-43F7-9FC8-29936B07CE65}"/>
    <cellStyle name="Comma 4 2 3 6 3 6" xfId="25706" xr:uid="{8230A3A9-A190-403D-BB54-100FBCDC2227}"/>
    <cellStyle name="Comma 4 2 3 6 4" xfId="2957" xr:uid="{00000000-0005-0000-0000-0000CC1C0000}"/>
    <cellStyle name="Comma 4 2 3 6 4 2" xfId="2958" xr:uid="{00000000-0005-0000-0000-0000CD1C0000}"/>
    <cellStyle name="Comma 4 2 3 6 4 2 2" xfId="10109" xr:uid="{00000000-0005-0000-0000-0000CE1C0000}"/>
    <cellStyle name="Comma 4 2 3 6 4 2 2 2" xfId="21655" xr:uid="{2E163779-4558-4300-8843-BE77992FB3D9}"/>
    <cellStyle name="Comma 4 2 3 6 4 2 2 3" xfId="32071" xr:uid="{2C704CEE-BCAA-4221-ADBA-14D692A14C3E}"/>
    <cellStyle name="Comma 4 2 3 6 4 2 3" xfId="15293" xr:uid="{C1ED25EB-491E-4A67-8701-B783342068BF}"/>
    <cellStyle name="Comma 4 2 3 6 4 2 4" xfId="25709" xr:uid="{1D9FA064-C8FB-482B-943A-8907ACF2E799}"/>
    <cellStyle name="Comma 4 2 3 6 4 3" xfId="10108" xr:uid="{00000000-0005-0000-0000-0000CF1C0000}"/>
    <cellStyle name="Comma 4 2 3 6 4 3 2" xfId="21654" xr:uid="{5EE90E04-8A2A-40F0-959C-6E4ED9B42C88}"/>
    <cellStyle name="Comma 4 2 3 6 4 3 3" xfId="32070" xr:uid="{739894F0-AF9F-4FA7-A768-B983F9CB67BE}"/>
    <cellStyle name="Comma 4 2 3 6 4 4" xfId="6245" xr:uid="{00000000-0005-0000-0000-0000D01C0000}"/>
    <cellStyle name="Comma 4 2 3 6 4 4 2" xfId="17831" xr:uid="{4E84B2DA-673E-47B3-8E2B-E69943D44707}"/>
    <cellStyle name="Comma 4 2 3 6 4 4 3" xfId="28247" xr:uid="{171DF7C4-0EDF-4599-A5F7-B5C679C9C6F4}"/>
    <cellStyle name="Comma 4 2 3 6 4 5" xfId="15292" xr:uid="{D9A92C6B-FE53-401B-95B5-E0E411212162}"/>
    <cellStyle name="Comma 4 2 3 6 4 6" xfId="25708" xr:uid="{8DD2CE99-7F91-432A-8F30-C748D0509B6F}"/>
    <cellStyle name="Comma 4 2 3 6 5" xfId="2959" xr:uid="{00000000-0005-0000-0000-0000D11C0000}"/>
    <cellStyle name="Comma 4 2 3 6 5 2" xfId="10110" xr:uid="{00000000-0005-0000-0000-0000D21C0000}"/>
    <cellStyle name="Comma 4 2 3 6 5 2 2" xfId="21656" xr:uid="{1095A235-FEA4-4C40-914C-19B4EFD26199}"/>
    <cellStyle name="Comma 4 2 3 6 5 2 3" xfId="32072" xr:uid="{9CDDD56D-7A67-4071-AE56-F117CA9DBC00}"/>
    <cellStyle name="Comma 4 2 3 6 5 3" xfId="15294" xr:uid="{DD1CA70F-476D-46F9-A714-C69A49D8C91A}"/>
    <cellStyle name="Comma 4 2 3 6 5 4" xfId="25710" xr:uid="{1D36C38C-5A52-4BEE-A5DC-62A82925955D}"/>
    <cellStyle name="Comma 4 2 3 6 6" xfId="10101" xr:uid="{00000000-0005-0000-0000-0000D31C0000}"/>
    <cellStyle name="Comma 4 2 3 6 6 2" xfId="21647" xr:uid="{79A6838F-0A16-4F63-9BA0-BA73FD8E8D94}"/>
    <cellStyle name="Comma 4 2 3 6 6 3" xfId="32063" xr:uid="{299503BC-DB22-463C-B615-01089EEDCA09}"/>
    <cellStyle name="Comma 4 2 3 6 7" xfId="6241" xr:uid="{00000000-0005-0000-0000-0000D41C0000}"/>
    <cellStyle name="Comma 4 2 3 6 7 2" xfId="17827" xr:uid="{DB7F1AA2-01B7-4741-8953-67F288F91236}"/>
    <cellStyle name="Comma 4 2 3 6 7 3" xfId="28243" xr:uid="{78C97AE7-11B4-48C6-9147-12E3D45CFAE8}"/>
    <cellStyle name="Comma 4 2 3 6 8" xfId="15285" xr:uid="{62619198-6CD7-4A29-8B1C-009A5E1896C1}"/>
    <cellStyle name="Comma 4 2 3 6 9" xfId="25701" xr:uid="{5E818E5C-50BC-4653-9BA8-AD9DE2919A27}"/>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2 2 2" xfId="21659" xr:uid="{BF10D71C-DCF5-4D37-B0BC-E2A34B706A40}"/>
    <cellStyle name="Comma 4 2 3 7 2 2 2 3" xfId="32075" xr:uid="{7F32F5A8-855B-4E9E-AD19-A43562CC0117}"/>
    <cellStyle name="Comma 4 2 3 7 2 2 3" xfId="15297" xr:uid="{A8BB6CC8-8F57-48D6-9E1E-6CB1D34947C0}"/>
    <cellStyle name="Comma 4 2 3 7 2 2 4" xfId="25713" xr:uid="{057AD2D6-8868-41DC-98A4-DB82D29DDB96}"/>
    <cellStyle name="Comma 4 2 3 7 2 3" xfId="10112" xr:uid="{00000000-0005-0000-0000-0000D91C0000}"/>
    <cellStyle name="Comma 4 2 3 7 2 3 2" xfId="21658" xr:uid="{FA9F5069-6326-4157-A9E3-75EE5CD7CBC5}"/>
    <cellStyle name="Comma 4 2 3 7 2 3 3" xfId="32074" xr:uid="{91DF8223-9033-466A-95BE-92FBA9E3A4A4}"/>
    <cellStyle name="Comma 4 2 3 7 2 4" xfId="6247" xr:uid="{00000000-0005-0000-0000-0000DA1C0000}"/>
    <cellStyle name="Comma 4 2 3 7 2 4 2" xfId="17833" xr:uid="{1FB15A03-DAB9-459C-9D26-869AE3884E60}"/>
    <cellStyle name="Comma 4 2 3 7 2 4 3" xfId="28249" xr:uid="{6988B0A0-D923-489C-980A-275656AD7873}"/>
    <cellStyle name="Comma 4 2 3 7 2 5" xfId="15296" xr:uid="{46EB8AEC-05FB-4AC4-847A-2A98D381FE08}"/>
    <cellStyle name="Comma 4 2 3 7 2 6" xfId="25712" xr:uid="{90BBAA76-E115-4316-84F3-DC96036142F2}"/>
    <cellStyle name="Comma 4 2 3 7 3" xfId="2963" xr:uid="{00000000-0005-0000-0000-0000DB1C0000}"/>
    <cellStyle name="Comma 4 2 3 7 3 2" xfId="2964" xr:uid="{00000000-0005-0000-0000-0000DC1C0000}"/>
    <cellStyle name="Comma 4 2 3 7 3 2 2" xfId="10115" xr:uid="{00000000-0005-0000-0000-0000DD1C0000}"/>
    <cellStyle name="Comma 4 2 3 7 3 2 2 2" xfId="21661" xr:uid="{817D3F7D-04B3-431F-A83F-646690E99296}"/>
    <cellStyle name="Comma 4 2 3 7 3 2 2 3" xfId="32077" xr:uid="{3B53A99D-0D7C-4EFB-855F-0AA42DCDF329}"/>
    <cellStyle name="Comma 4 2 3 7 3 2 3" xfId="15299" xr:uid="{41E8690C-B5A0-4973-8313-B22CE973EB26}"/>
    <cellStyle name="Comma 4 2 3 7 3 2 4" xfId="25715" xr:uid="{AE64E997-93BB-4516-9082-86CD1B979B77}"/>
    <cellStyle name="Comma 4 2 3 7 3 3" xfId="10114" xr:uid="{00000000-0005-0000-0000-0000DE1C0000}"/>
    <cellStyle name="Comma 4 2 3 7 3 3 2" xfId="21660" xr:uid="{EE54F0FF-AD9B-4434-92F8-B1DE0794F863}"/>
    <cellStyle name="Comma 4 2 3 7 3 3 3" xfId="32076" xr:uid="{F91E1760-A6FB-4940-A6A3-36FA1C51ECE3}"/>
    <cellStyle name="Comma 4 2 3 7 3 4" xfId="6248" xr:uid="{00000000-0005-0000-0000-0000DF1C0000}"/>
    <cellStyle name="Comma 4 2 3 7 3 4 2" xfId="17834" xr:uid="{F83094FD-30E2-4670-819A-56AB327D8639}"/>
    <cellStyle name="Comma 4 2 3 7 3 4 3" xfId="28250" xr:uid="{CAA7144B-D1EF-4525-AD73-116A1A4AF991}"/>
    <cellStyle name="Comma 4 2 3 7 3 5" xfId="15298" xr:uid="{5E539B34-ADAD-4319-B4D2-05DB5ADDEF1E}"/>
    <cellStyle name="Comma 4 2 3 7 3 6" xfId="25714" xr:uid="{780499B1-70EE-4165-BCE1-C2F167ABF7EB}"/>
    <cellStyle name="Comma 4 2 3 7 4" xfId="2965" xr:uid="{00000000-0005-0000-0000-0000E01C0000}"/>
    <cellStyle name="Comma 4 2 3 7 4 2" xfId="10116" xr:uid="{00000000-0005-0000-0000-0000E11C0000}"/>
    <cellStyle name="Comma 4 2 3 7 4 2 2" xfId="21662" xr:uid="{50C13B9F-347A-4A73-8B3E-9042F13BE9D5}"/>
    <cellStyle name="Comma 4 2 3 7 4 2 3" xfId="32078" xr:uid="{3AE5ECE1-4900-4AA6-BABD-36F411D51122}"/>
    <cellStyle name="Comma 4 2 3 7 4 3" xfId="15300" xr:uid="{38E727AC-B995-4C5D-BA66-955EEEDB3FC8}"/>
    <cellStyle name="Comma 4 2 3 7 4 4" xfId="25716" xr:uid="{4FA4D8BD-19AD-42A1-8BD6-23C8668BC343}"/>
    <cellStyle name="Comma 4 2 3 7 5" xfId="10111" xr:uid="{00000000-0005-0000-0000-0000E21C0000}"/>
    <cellStyle name="Comma 4 2 3 7 5 2" xfId="21657" xr:uid="{650F9D13-174A-4095-A72E-90C631F4DE95}"/>
    <cellStyle name="Comma 4 2 3 7 5 3" xfId="32073" xr:uid="{2D7ADCE0-8614-4CBE-A3BF-4B15B0185772}"/>
    <cellStyle name="Comma 4 2 3 7 6" xfId="6246" xr:uid="{00000000-0005-0000-0000-0000E31C0000}"/>
    <cellStyle name="Comma 4 2 3 7 6 2" xfId="17832" xr:uid="{52BC016A-D7B7-4925-BE48-20A74B1EFF39}"/>
    <cellStyle name="Comma 4 2 3 7 6 3" xfId="28248" xr:uid="{717A3572-77C0-4AAF-AB60-74C6A3B19658}"/>
    <cellStyle name="Comma 4 2 3 7 7" xfId="15295" xr:uid="{1FF13A94-F1EA-4EEF-BE97-2B337298036A}"/>
    <cellStyle name="Comma 4 2 3 7 8" xfId="25711" xr:uid="{E3196761-B5E2-437D-A8E4-285D32CA964D}"/>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2 2 2" xfId="21665" xr:uid="{4141869D-E7AA-42A5-8A71-C4FE6A172C45}"/>
    <cellStyle name="Comma 4 2 3 8 2 2 2 3" xfId="32081" xr:uid="{A2FFDD34-A343-4237-8602-BE7D86805148}"/>
    <cellStyle name="Comma 4 2 3 8 2 2 3" xfId="15303" xr:uid="{8E5558A7-7412-4C51-9A9F-E0ABEC33FA4B}"/>
    <cellStyle name="Comma 4 2 3 8 2 2 4" xfId="25719" xr:uid="{99425251-C238-4857-8DAD-B66D0DC9D22B}"/>
    <cellStyle name="Comma 4 2 3 8 2 3" xfId="10118" xr:uid="{00000000-0005-0000-0000-0000E81C0000}"/>
    <cellStyle name="Comma 4 2 3 8 2 3 2" xfId="21664" xr:uid="{109487A7-86E9-447B-BC4B-4399B5948DB8}"/>
    <cellStyle name="Comma 4 2 3 8 2 3 3" xfId="32080" xr:uid="{328C4435-4030-46E8-BD9D-C82DDA632C72}"/>
    <cellStyle name="Comma 4 2 3 8 2 4" xfId="6250" xr:uid="{00000000-0005-0000-0000-0000E91C0000}"/>
    <cellStyle name="Comma 4 2 3 8 2 4 2" xfId="17836" xr:uid="{99DC11F7-FF10-4DA4-A7FA-6BCBE8885A77}"/>
    <cellStyle name="Comma 4 2 3 8 2 4 3" xfId="28252" xr:uid="{C35FC132-E5BC-4910-8027-E6628A841D05}"/>
    <cellStyle name="Comma 4 2 3 8 2 5" xfId="15302" xr:uid="{CCD97EE3-20C3-403E-8368-B89F6748C647}"/>
    <cellStyle name="Comma 4 2 3 8 2 6" xfId="25718" xr:uid="{B83BB5D0-59D2-44AC-A49A-EF0D25897B75}"/>
    <cellStyle name="Comma 4 2 3 8 3" xfId="2969" xr:uid="{00000000-0005-0000-0000-0000EA1C0000}"/>
    <cellStyle name="Comma 4 2 3 8 3 2" xfId="10120" xr:uid="{00000000-0005-0000-0000-0000EB1C0000}"/>
    <cellStyle name="Comma 4 2 3 8 3 2 2" xfId="21666" xr:uid="{484F14EE-D2C8-4AE4-8F3B-997B87AB4E68}"/>
    <cellStyle name="Comma 4 2 3 8 3 2 3" xfId="32082" xr:uid="{1BEA991E-718E-4E49-B62A-4C94E6F0A74F}"/>
    <cellStyle name="Comma 4 2 3 8 3 3" xfId="15304" xr:uid="{AA175F0D-75B0-4B0F-950E-4CF05F1119E9}"/>
    <cellStyle name="Comma 4 2 3 8 3 4" xfId="25720" xr:uid="{10A37B93-66FC-4038-8D70-A9944D48E083}"/>
    <cellStyle name="Comma 4 2 3 8 4" xfId="10117" xr:uid="{00000000-0005-0000-0000-0000EC1C0000}"/>
    <cellStyle name="Comma 4 2 3 8 4 2" xfId="21663" xr:uid="{B9D1D976-31B8-4A30-97AD-73E09D28C522}"/>
    <cellStyle name="Comma 4 2 3 8 4 3" xfId="32079" xr:uid="{EC4019D7-FD2A-4DB4-A40B-8503A07D1AA8}"/>
    <cellStyle name="Comma 4 2 3 8 5" xfId="6249" xr:uid="{00000000-0005-0000-0000-0000ED1C0000}"/>
    <cellStyle name="Comma 4 2 3 8 5 2" xfId="17835" xr:uid="{D48B2B55-4493-40F3-B09B-86C6B85A71AC}"/>
    <cellStyle name="Comma 4 2 3 8 5 3" xfId="28251" xr:uid="{B1E2F2EC-D118-46A1-8D65-5149D36CD419}"/>
    <cellStyle name="Comma 4 2 3 8 6" xfId="15301" xr:uid="{BD3A5812-19AE-4984-A69E-1D6EF17F1C03}"/>
    <cellStyle name="Comma 4 2 3 8 7" xfId="25717" xr:uid="{A79C43A1-7343-4C78-85A8-26BC22CDA438}"/>
    <cellStyle name="Comma 4 2 3 9" xfId="2970" xr:uid="{00000000-0005-0000-0000-0000EE1C0000}"/>
    <cellStyle name="Comma 4 2 3 9 2" xfId="2971" xr:uid="{00000000-0005-0000-0000-0000EF1C0000}"/>
    <cellStyle name="Comma 4 2 3 9 2 2" xfId="10122" xr:uid="{00000000-0005-0000-0000-0000F01C0000}"/>
    <cellStyle name="Comma 4 2 3 9 2 2 2" xfId="21668" xr:uid="{618E622D-BE67-4DC7-8B9D-81C8BF401371}"/>
    <cellStyle name="Comma 4 2 3 9 2 2 3" xfId="32084" xr:uid="{528618AD-CCC2-44D5-9291-83E3F3776063}"/>
    <cellStyle name="Comma 4 2 3 9 2 3" xfId="15306" xr:uid="{825CD91C-6786-4F06-8503-5D5CAFC3385F}"/>
    <cellStyle name="Comma 4 2 3 9 2 4" xfId="25722" xr:uid="{13744D52-40D2-490D-8747-0F5219477642}"/>
    <cellStyle name="Comma 4 2 3 9 3" xfId="10121" xr:uid="{00000000-0005-0000-0000-0000F11C0000}"/>
    <cellStyle name="Comma 4 2 3 9 3 2" xfId="21667" xr:uid="{4786FA4A-FDA2-4191-9EB7-964AA931C743}"/>
    <cellStyle name="Comma 4 2 3 9 3 3" xfId="32083" xr:uid="{8517E31F-A899-48A0-9148-5F3102652437}"/>
    <cellStyle name="Comma 4 2 3 9 4" xfId="6251" xr:uid="{00000000-0005-0000-0000-0000F21C0000}"/>
    <cellStyle name="Comma 4 2 3 9 4 2" xfId="17837" xr:uid="{58E1CDD2-F859-4C9E-8B78-37828556999C}"/>
    <cellStyle name="Comma 4 2 3 9 4 3" xfId="28253" xr:uid="{D994C531-6ABE-4AF8-A176-F9229968A258}"/>
    <cellStyle name="Comma 4 2 3 9 5" xfId="15305" xr:uid="{FEC63B26-BAA1-47FB-8E02-581730ECA666}"/>
    <cellStyle name="Comma 4 2 3 9 6" xfId="25721" xr:uid="{A7FAC8EF-F0DB-4E34-8238-381359986269}"/>
    <cellStyle name="Comma 4 2 4" xfId="2972" xr:uid="{00000000-0005-0000-0000-0000F31C0000}"/>
    <cellStyle name="Comma 4 2 4 10" xfId="2973" xr:uid="{00000000-0005-0000-0000-0000F41C0000}"/>
    <cellStyle name="Comma 4 2 4 10 2" xfId="10124" xr:uid="{00000000-0005-0000-0000-0000F51C0000}"/>
    <cellStyle name="Comma 4 2 4 10 2 2" xfId="21670" xr:uid="{C669E067-89D9-447F-BDA5-39AAED5F9B3D}"/>
    <cellStyle name="Comma 4 2 4 10 2 3" xfId="32086" xr:uid="{A6E3BF93-5008-4223-939F-8F750A110C9A}"/>
    <cellStyle name="Comma 4 2 4 10 3" xfId="15308" xr:uid="{28571EAA-DEF3-405B-8D05-95EE16E69229}"/>
    <cellStyle name="Comma 4 2 4 10 4" xfId="25724" xr:uid="{27EA8732-3595-43E9-9429-2DBFA7F4F933}"/>
    <cellStyle name="Comma 4 2 4 11" xfId="10123" xr:uid="{00000000-0005-0000-0000-0000F61C0000}"/>
    <cellStyle name="Comma 4 2 4 11 2" xfId="21669" xr:uid="{6A7FC29A-2D9E-4702-AFDA-7C22B07B013A}"/>
    <cellStyle name="Comma 4 2 4 11 3" xfId="32085" xr:uid="{55069705-AB2F-43DC-86F7-9110DB65906D}"/>
    <cellStyle name="Comma 4 2 4 12" xfId="6252" xr:uid="{00000000-0005-0000-0000-0000F71C0000}"/>
    <cellStyle name="Comma 4 2 4 12 2" xfId="17838" xr:uid="{0BD4BE34-ADBF-467A-B675-3BB3A985EE7E}"/>
    <cellStyle name="Comma 4 2 4 12 3" xfId="28254" xr:uid="{A626B137-322D-4D06-93D9-2640EE430C34}"/>
    <cellStyle name="Comma 4 2 4 13" xfId="15307" xr:uid="{B4959359-7F8F-4D8C-AA8B-ED267E2C275D}"/>
    <cellStyle name="Comma 4 2 4 14" xfId="25723" xr:uid="{983C1240-E2D1-464B-8C75-19E4E83C9D25}"/>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2 2 2" xfId="21674" xr:uid="{3D370627-FF0A-4D46-87EA-671481A087ED}"/>
    <cellStyle name="Comma 4 2 4 2 2 2 2 2 3" xfId="32090" xr:uid="{C6F972AE-859C-47C2-8791-3073B91BD85A}"/>
    <cellStyle name="Comma 4 2 4 2 2 2 2 3" xfId="15312" xr:uid="{977806D2-161D-497D-95D4-FF94AA4429FE}"/>
    <cellStyle name="Comma 4 2 4 2 2 2 2 4" xfId="25728" xr:uid="{50558139-CCA7-4929-B4DB-21E1BEE26662}"/>
    <cellStyle name="Comma 4 2 4 2 2 2 3" xfId="10127" xr:uid="{00000000-0005-0000-0000-0000FD1C0000}"/>
    <cellStyle name="Comma 4 2 4 2 2 2 3 2" xfId="21673" xr:uid="{46432371-54EB-48C6-ACBC-8E5612E426B7}"/>
    <cellStyle name="Comma 4 2 4 2 2 2 3 3" xfId="32089" xr:uid="{C0937745-8D27-49E0-BD9B-D9861EB9AB90}"/>
    <cellStyle name="Comma 4 2 4 2 2 2 4" xfId="6255" xr:uid="{00000000-0005-0000-0000-0000FE1C0000}"/>
    <cellStyle name="Comma 4 2 4 2 2 2 4 2" xfId="17841" xr:uid="{4B9803E4-0C61-469F-B866-DE25659C2D9B}"/>
    <cellStyle name="Comma 4 2 4 2 2 2 4 3" xfId="28257" xr:uid="{A25E20D1-E882-4911-8A48-9022CEB66667}"/>
    <cellStyle name="Comma 4 2 4 2 2 2 5" xfId="15311" xr:uid="{341E2FC3-E96F-443B-9789-9AA6CD27457A}"/>
    <cellStyle name="Comma 4 2 4 2 2 2 6" xfId="25727" xr:uid="{7D942277-7E7E-48B4-96B2-8CB69F7AAD83}"/>
    <cellStyle name="Comma 4 2 4 2 2 3" xfId="2978" xr:uid="{00000000-0005-0000-0000-0000FF1C0000}"/>
    <cellStyle name="Comma 4 2 4 2 2 3 2" xfId="10129" xr:uid="{00000000-0005-0000-0000-0000001D0000}"/>
    <cellStyle name="Comma 4 2 4 2 2 3 2 2" xfId="21675" xr:uid="{4F8488C7-0CE9-428A-9CAA-53DACB5E47C0}"/>
    <cellStyle name="Comma 4 2 4 2 2 3 2 3" xfId="32091" xr:uid="{9759404E-19B0-48EC-A9D4-59DE9D8D50A3}"/>
    <cellStyle name="Comma 4 2 4 2 2 3 3" xfId="15313" xr:uid="{A96EEAE2-4505-4F6E-BA4A-8FB0E1AC4C15}"/>
    <cellStyle name="Comma 4 2 4 2 2 3 4" xfId="25729" xr:uid="{3830FB3D-F517-4824-9DCF-1A434719C2D0}"/>
    <cellStyle name="Comma 4 2 4 2 2 4" xfId="10126" xr:uid="{00000000-0005-0000-0000-0000011D0000}"/>
    <cellStyle name="Comma 4 2 4 2 2 4 2" xfId="21672" xr:uid="{8E941EDB-D165-4A1C-96CB-C7EA3ED3C2A0}"/>
    <cellStyle name="Comma 4 2 4 2 2 4 3" xfId="32088" xr:uid="{1E267548-5420-4C59-B8ED-470B7C0B6184}"/>
    <cellStyle name="Comma 4 2 4 2 2 5" xfId="6254" xr:uid="{00000000-0005-0000-0000-0000021D0000}"/>
    <cellStyle name="Comma 4 2 4 2 2 5 2" xfId="17840" xr:uid="{1A425D74-B8D5-43D7-854D-12E71490B0DB}"/>
    <cellStyle name="Comma 4 2 4 2 2 5 3" xfId="28256" xr:uid="{F007AAA9-DC3C-46AD-AA4F-75355AA77586}"/>
    <cellStyle name="Comma 4 2 4 2 2 6" xfId="15310" xr:uid="{514D749B-72C8-4C2C-838A-BB1D126F385B}"/>
    <cellStyle name="Comma 4 2 4 2 2 7" xfId="25726" xr:uid="{CC663AE7-F0C6-4BDA-B98E-6955A90EB21E}"/>
    <cellStyle name="Comma 4 2 4 2 3" xfId="2979" xr:uid="{00000000-0005-0000-0000-0000031D0000}"/>
    <cellStyle name="Comma 4 2 4 2 3 2" xfId="2980" xr:uid="{00000000-0005-0000-0000-0000041D0000}"/>
    <cellStyle name="Comma 4 2 4 2 3 2 2" xfId="10131" xr:uid="{00000000-0005-0000-0000-0000051D0000}"/>
    <cellStyle name="Comma 4 2 4 2 3 2 2 2" xfId="21677" xr:uid="{637FFC3D-A3AA-444E-814B-971CEEBE2820}"/>
    <cellStyle name="Comma 4 2 4 2 3 2 2 3" xfId="32093" xr:uid="{3A801528-C9FE-4395-953C-B9D0CD0530A0}"/>
    <cellStyle name="Comma 4 2 4 2 3 2 3" xfId="15315" xr:uid="{98E46753-256D-4201-B03E-C0CFD341BF8D}"/>
    <cellStyle name="Comma 4 2 4 2 3 2 4" xfId="25731" xr:uid="{F28E1DB7-4073-4788-BE31-C981DC8FA9ED}"/>
    <cellStyle name="Comma 4 2 4 2 3 3" xfId="10130" xr:uid="{00000000-0005-0000-0000-0000061D0000}"/>
    <cellStyle name="Comma 4 2 4 2 3 3 2" xfId="21676" xr:uid="{AA2ADF76-ECDC-4EFA-AB92-21422AA3EED5}"/>
    <cellStyle name="Comma 4 2 4 2 3 3 3" xfId="32092" xr:uid="{124C6214-EDDD-419C-A235-650276395B3C}"/>
    <cellStyle name="Comma 4 2 4 2 3 4" xfId="6256" xr:uid="{00000000-0005-0000-0000-0000071D0000}"/>
    <cellStyle name="Comma 4 2 4 2 3 4 2" xfId="17842" xr:uid="{2E5A5999-2623-4B9F-9FB2-BE5A47183871}"/>
    <cellStyle name="Comma 4 2 4 2 3 4 3" xfId="28258" xr:uid="{71EE8A1A-E0C1-4003-B28E-BFAB848E1E89}"/>
    <cellStyle name="Comma 4 2 4 2 3 5" xfId="15314" xr:uid="{AEDAAD23-E68D-4D7D-B28A-FB6AC1DFD4CA}"/>
    <cellStyle name="Comma 4 2 4 2 3 6" xfId="25730" xr:uid="{84D506C2-97AE-4AD5-B082-1270CB46C083}"/>
    <cellStyle name="Comma 4 2 4 2 4" xfId="2981" xr:uid="{00000000-0005-0000-0000-0000081D0000}"/>
    <cellStyle name="Comma 4 2 4 2 4 2" xfId="2982" xr:uid="{00000000-0005-0000-0000-0000091D0000}"/>
    <cellStyle name="Comma 4 2 4 2 4 2 2" xfId="10133" xr:uid="{00000000-0005-0000-0000-00000A1D0000}"/>
    <cellStyle name="Comma 4 2 4 2 4 2 2 2" xfId="21679" xr:uid="{B7D94B31-D6FF-4892-BA24-0F5FD894FE2F}"/>
    <cellStyle name="Comma 4 2 4 2 4 2 2 3" xfId="32095" xr:uid="{67EED6AD-72DF-411F-B0F8-DD0F93DB9C26}"/>
    <cellStyle name="Comma 4 2 4 2 4 2 3" xfId="15317" xr:uid="{9ACC5E49-C0BF-41A9-87DF-4826524B8F53}"/>
    <cellStyle name="Comma 4 2 4 2 4 2 4" xfId="25733" xr:uid="{7C936ECE-FED2-4BA0-82D3-70C137B2082C}"/>
    <cellStyle name="Comma 4 2 4 2 4 3" xfId="10132" xr:uid="{00000000-0005-0000-0000-00000B1D0000}"/>
    <cellStyle name="Comma 4 2 4 2 4 3 2" xfId="21678" xr:uid="{5B76FE7D-4B04-419A-9976-7516C12C9126}"/>
    <cellStyle name="Comma 4 2 4 2 4 3 3" xfId="32094" xr:uid="{9ABE9E26-B78E-495C-8622-89467E32527D}"/>
    <cellStyle name="Comma 4 2 4 2 4 4" xfId="6257" xr:uid="{00000000-0005-0000-0000-00000C1D0000}"/>
    <cellStyle name="Comma 4 2 4 2 4 4 2" xfId="17843" xr:uid="{92606817-73A1-4C97-A109-D3DA869B8E51}"/>
    <cellStyle name="Comma 4 2 4 2 4 4 3" xfId="28259" xr:uid="{3C501025-EE0E-492E-B538-D404A7585859}"/>
    <cellStyle name="Comma 4 2 4 2 4 5" xfId="15316" xr:uid="{929784E2-EDB7-4337-A48C-A7523B2EC7AF}"/>
    <cellStyle name="Comma 4 2 4 2 4 6" xfId="25732" xr:uid="{B33BA30F-89A1-4623-BFB9-9549125CD755}"/>
    <cellStyle name="Comma 4 2 4 2 5" xfId="2983" xr:uid="{00000000-0005-0000-0000-00000D1D0000}"/>
    <cellStyle name="Comma 4 2 4 2 5 2" xfId="10134" xr:uid="{00000000-0005-0000-0000-00000E1D0000}"/>
    <cellStyle name="Comma 4 2 4 2 5 2 2" xfId="21680" xr:uid="{E7121D93-4C9E-4117-A0DF-8F56DF6291B0}"/>
    <cellStyle name="Comma 4 2 4 2 5 2 3" xfId="32096" xr:uid="{BD9B33AD-9C1A-4665-A7C7-E0E3EA2DF580}"/>
    <cellStyle name="Comma 4 2 4 2 5 3" xfId="15318" xr:uid="{84111689-3422-44BC-8AC3-0B6207CF1A74}"/>
    <cellStyle name="Comma 4 2 4 2 5 4" xfId="25734" xr:uid="{3E1663B7-A06F-4BE7-AFAB-D41FC43420E8}"/>
    <cellStyle name="Comma 4 2 4 2 6" xfId="10125" xr:uid="{00000000-0005-0000-0000-00000F1D0000}"/>
    <cellStyle name="Comma 4 2 4 2 6 2" xfId="21671" xr:uid="{78C7181F-51E4-4DC2-ADC4-7AF586008036}"/>
    <cellStyle name="Comma 4 2 4 2 6 3" xfId="32087" xr:uid="{23FB7CEB-8597-4E25-8B52-B1C19DB9F9EE}"/>
    <cellStyle name="Comma 4 2 4 2 7" xfId="6253" xr:uid="{00000000-0005-0000-0000-0000101D0000}"/>
    <cellStyle name="Comma 4 2 4 2 7 2" xfId="17839" xr:uid="{0787777E-19D4-4A82-86C3-C71AB95C5CC9}"/>
    <cellStyle name="Comma 4 2 4 2 7 3" xfId="28255" xr:uid="{2F22D520-35D7-43D6-84C6-86D939E842E4}"/>
    <cellStyle name="Comma 4 2 4 2 8" xfId="15309" xr:uid="{24B17C6A-3322-4EF7-BD9A-224EAFC9BDB9}"/>
    <cellStyle name="Comma 4 2 4 2 9" xfId="25725" xr:uid="{AFDD2600-F8C1-4D0C-8ECF-A78EF947DC8E}"/>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2 2 2" xfId="21684" xr:uid="{B326EC5D-0CE8-4A62-8BBC-D522298CCCAF}"/>
    <cellStyle name="Comma 4 2 4 3 2 2 2 2 3" xfId="32100" xr:uid="{80C85DC3-9225-466D-A2BC-540E5DA7AA30}"/>
    <cellStyle name="Comma 4 2 4 3 2 2 2 3" xfId="15322" xr:uid="{D69EAD9E-321A-4F2E-93CC-04F60D9F2D26}"/>
    <cellStyle name="Comma 4 2 4 3 2 2 2 4" xfId="25738" xr:uid="{CA8CDE88-D09D-4F73-B656-8D08D655D7AB}"/>
    <cellStyle name="Comma 4 2 4 3 2 2 3" xfId="10137" xr:uid="{00000000-0005-0000-0000-0000161D0000}"/>
    <cellStyle name="Comma 4 2 4 3 2 2 3 2" xfId="21683" xr:uid="{8A7A17B4-92AB-48F0-9826-EBA63B8F84B1}"/>
    <cellStyle name="Comma 4 2 4 3 2 2 3 3" xfId="32099" xr:uid="{EB81B9AF-98C2-427F-8AED-43AB604A4D93}"/>
    <cellStyle name="Comma 4 2 4 3 2 2 4" xfId="6260" xr:uid="{00000000-0005-0000-0000-0000171D0000}"/>
    <cellStyle name="Comma 4 2 4 3 2 2 4 2" xfId="17846" xr:uid="{4CCB01B5-6EDA-4FF7-9B32-3C8B98AD4F16}"/>
    <cellStyle name="Comma 4 2 4 3 2 2 4 3" xfId="28262" xr:uid="{ACAD5143-C464-4B9B-B320-53D37AD6E4AE}"/>
    <cellStyle name="Comma 4 2 4 3 2 2 5" xfId="15321" xr:uid="{FCB6AFA3-8948-4A4A-824D-804915C9B1EE}"/>
    <cellStyle name="Comma 4 2 4 3 2 2 6" xfId="25737" xr:uid="{2AAF0F93-083B-4879-8CA2-2DB011F0A354}"/>
    <cellStyle name="Comma 4 2 4 3 2 3" xfId="2988" xr:uid="{00000000-0005-0000-0000-0000181D0000}"/>
    <cellStyle name="Comma 4 2 4 3 2 3 2" xfId="10139" xr:uid="{00000000-0005-0000-0000-0000191D0000}"/>
    <cellStyle name="Comma 4 2 4 3 2 3 2 2" xfId="21685" xr:uid="{7353D581-FECC-4F6D-9675-96D8B92E7C0D}"/>
    <cellStyle name="Comma 4 2 4 3 2 3 2 3" xfId="32101" xr:uid="{5DF002DC-480A-420A-995F-FF516CFFC039}"/>
    <cellStyle name="Comma 4 2 4 3 2 3 3" xfId="15323" xr:uid="{1D6DD05D-B270-445D-AFAB-9AA4DFC75595}"/>
    <cellStyle name="Comma 4 2 4 3 2 3 4" xfId="25739" xr:uid="{5005BA3A-2C09-4A2E-83D6-CF293FDA8A33}"/>
    <cellStyle name="Comma 4 2 4 3 2 4" xfId="10136" xr:uid="{00000000-0005-0000-0000-00001A1D0000}"/>
    <cellStyle name="Comma 4 2 4 3 2 4 2" xfId="21682" xr:uid="{43B98F42-DC35-46A7-AF6D-887902454DD4}"/>
    <cellStyle name="Comma 4 2 4 3 2 4 3" xfId="32098" xr:uid="{129DC32E-268C-4270-AAC2-401435305B8B}"/>
    <cellStyle name="Comma 4 2 4 3 2 5" xfId="6259" xr:uid="{00000000-0005-0000-0000-00001B1D0000}"/>
    <cellStyle name="Comma 4 2 4 3 2 5 2" xfId="17845" xr:uid="{587EE7D8-B63C-4678-BDF3-88A065BB577A}"/>
    <cellStyle name="Comma 4 2 4 3 2 5 3" xfId="28261" xr:uid="{61820682-E285-4CCA-B2BF-16407F6386C2}"/>
    <cellStyle name="Comma 4 2 4 3 2 6" xfId="15320" xr:uid="{C13685E7-57E5-4E74-A3F5-A06DD86E8874}"/>
    <cellStyle name="Comma 4 2 4 3 2 7" xfId="25736" xr:uid="{F223020E-FE82-4DC7-A582-19DC7376ABE8}"/>
    <cellStyle name="Comma 4 2 4 3 3" xfId="2989" xr:uid="{00000000-0005-0000-0000-00001C1D0000}"/>
    <cellStyle name="Comma 4 2 4 3 3 2" xfId="2990" xr:uid="{00000000-0005-0000-0000-00001D1D0000}"/>
    <cellStyle name="Comma 4 2 4 3 3 2 2" xfId="10141" xr:uid="{00000000-0005-0000-0000-00001E1D0000}"/>
    <cellStyle name="Comma 4 2 4 3 3 2 2 2" xfId="21687" xr:uid="{4F9565B3-5986-4921-8B4E-1F7F546F3A96}"/>
    <cellStyle name="Comma 4 2 4 3 3 2 2 3" xfId="32103" xr:uid="{924093AE-31DB-4272-8EA0-47469EF93C98}"/>
    <cellStyle name="Comma 4 2 4 3 3 2 3" xfId="15325" xr:uid="{9128050D-F23C-4454-A0E3-0AB5CFE71D15}"/>
    <cellStyle name="Comma 4 2 4 3 3 2 4" xfId="25741" xr:uid="{E4B531DF-B10A-4AAB-B57C-E6AF1468A72E}"/>
    <cellStyle name="Comma 4 2 4 3 3 3" xfId="10140" xr:uid="{00000000-0005-0000-0000-00001F1D0000}"/>
    <cellStyle name="Comma 4 2 4 3 3 3 2" xfId="21686" xr:uid="{55757CBA-BB96-4C6B-8084-C2C5F4E0A0B9}"/>
    <cellStyle name="Comma 4 2 4 3 3 3 3" xfId="32102" xr:uid="{296AD653-9133-4E7D-9E23-98B3B1A50407}"/>
    <cellStyle name="Comma 4 2 4 3 3 4" xfId="6261" xr:uid="{00000000-0005-0000-0000-0000201D0000}"/>
    <cellStyle name="Comma 4 2 4 3 3 4 2" xfId="17847" xr:uid="{FB4B4967-6BAC-48AE-90DA-7DB309C58102}"/>
    <cellStyle name="Comma 4 2 4 3 3 4 3" xfId="28263" xr:uid="{E06A2ACB-7C5C-47AA-A19C-670CBB4E5F33}"/>
    <cellStyle name="Comma 4 2 4 3 3 5" xfId="15324" xr:uid="{C9E02082-2058-44DE-9A23-9C8CF3656835}"/>
    <cellStyle name="Comma 4 2 4 3 3 6" xfId="25740" xr:uid="{D179BDFB-CDA1-4A7A-A131-7F74E62999E2}"/>
    <cellStyle name="Comma 4 2 4 3 4" xfId="2991" xr:uid="{00000000-0005-0000-0000-0000211D0000}"/>
    <cellStyle name="Comma 4 2 4 3 4 2" xfId="2992" xr:uid="{00000000-0005-0000-0000-0000221D0000}"/>
    <cellStyle name="Comma 4 2 4 3 4 2 2" xfId="10143" xr:uid="{00000000-0005-0000-0000-0000231D0000}"/>
    <cellStyle name="Comma 4 2 4 3 4 2 2 2" xfId="21689" xr:uid="{0275E04E-A496-43A2-8B49-92B28C6E9311}"/>
    <cellStyle name="Comma 4 2 4 3 4 2 2 3" xfId="32105" xr:uid="{E5387F38-8AFD-498A-BD81-20F725F89AD2}"/>
    <cellStyle name="Comma 4 2 4 3 4 2 3" xfId="15327" xr:uid="{8B5DE188-5E3C-4B30-A484-E62A0D9B4E4E}"/>
    <cellStyle name="Comma 4 2 4 3 4 2 4" xfId="25743" xr:uid="{57496847-F166-4711-AD5A-C8760D71E763}"/>
    <cellStyle name="Comma 4 2 4 3 4 3" xfId="10142" xr:uid="{00000000-0005-0000-0000-0000241D0000}"/>
    <cellStyle name="Comma 4 2 4 3 4 3 2" xfId="21688" xr:uid="{57485E43-8AF6-4FAA-B179-A2516318E5BD}"/>
    <cellStyle name="Comma 4 2 4 3 4 3 3" xfId="32104" xr:uid="{98EFD08D-8305-41B7-BE99-DD9AC11BE9C8}"/>
    <cellStyle name="Comma 4 2 4 3 4 4" xfId="6262" xr:uid="{00000000-0005-0000-0000-0000251D0000}"/>
    <cellStyle name="Comma 4 2 4 3 4 4 2" xfId="17848" xr:uid="{2810793A-99C9-474A-B691-FBE9084609BC}"/>
    <cellStyle name="Comma 4 2 4 3 4 4 3" xfId="28264" xr:uid="{46A6ECE2-1912-42F4-A1FB-125D421E9E4E}"/>
    <cellStyle name="Comma 4 2 4 3 4 5" xfId="15326" xr:uid="{C5ED2C9E-5AEA-4032-8D27-D37B191F82D0}"/>
    <cellStyle name="Comma 4 2 4 3 4 6" xfId="25742" xr:uid="{F47BB612-B629-40D0-917B-C451F9A57C42}"/>
    <cellStyle name="Comma 4 2 4 3 5" xfId="2993" xr:uid="{00000000-0005-0000-0000-0000261D0000}"/>
    <cellStyle name="Comma 4 2 4 3 5 2" xfId="10144" xr:uid="{00000000-0005-0000-0000-0000271D0000}"/>
    <cellStyle name="Comma 4 2 4 3 5 2 2" xfId="21690" xr:uid="{3E8C40E7-C893-41C2-A0B2-450BCFBD3796}"/>
    <cellStyle name="Comma 4 2 4 3 5 2 3" xfId="32106" xr:uid="{30AD6585-CBAE-4C03-B782-853337BFC733}"/>
    <cellStyle name="Comma 4 2 4 3 5 3" xfId="15328" xr:uid="{2CE94B86-D53E-479D-BE69-475B658DA86D}"/>
    <cellStyle name="Comma 4 2 4 3 5 4" xfId="25744" xr:uid="{E186BC1B-059F-4A96-AF96-6BF34ECE37B0}"/>
    <cellStyle name="Comma 4 2 4 3 6" xfId="10135" xr:uid="{00000000-0005-0000-0000-0000281D0000}"/>
    <cellStyle name="Comma 4 2 4 3 6 2" xfId="21681" xr:uid="{48FF5FC2-513B-40E5-A5E1-8C7D6D5A65F5}"/>
    <cellStyle name="Comma 4 2 4 3 6 3" xfId="32097" xr:uid="{E45F2275-CCB7-43C8-A3B4-4A00CFF64309}"/>
    <cellStyle name="Comma 4 2 4 3 7" xfId="6258" xr:uid="{00000000-0005-0000-0000-0000291D0000}"/>
    <cellStyle name="Comma 4 2 4 3 7 2" xfId="17844" xr:uid="{A2BC9350-03EA-4D17-9D4B-F4C7ADAF5EC7}"/>
    <cellStyle name="Comma 4 2 4 3 7 3" xfId="28260" xr:uid="{48E21160-4A0C-4603-9CF4-32D7F4D0EFDD}"/>
    <cellStyle name="Comma 4 2 4 3 8" xfId="15319" xr:uid="{E8C62FA6-F65E-40AC-907A-66A5CD6FD268}"/>
    <cellStyle name="Comma 4 2 4 3 9" xfId="25735" xr:uid="{EFFA35E9-C48B-4AB6-8660-F5AC3155B4CB}"/>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2 2 2" xfId="21694" xr:uid="{ADCDC0D3-DF3F-43F9-A978-9086FADEAF9A}"/>
    <cellStyle name="Comma 4 2 4 4 2 2 2 2 3" xfId="32110" xr:uid="{BE703927-3D1F-4889-A158-CD210EF6BDF7}"/>
    <cellStyle name="Comma 4 2 4 4 2 2 2 3" xfId="15332" xr:uid="{52B4081E-FB2E-4F7E-AD45-D574D6E50C9A}"/>
    <cellStyle name="Comma 4 2 4 4 2 2 2 4" xfId="25748" xr:uid="{EA58E7D6-B659-4A3F-8010-92F5B1B0777D}"/>
    <cellStyle name="Comma 4 2 4 4 2 2 3" xfId="10147" xr:uid="{00000000-0005-0000-0000-00002F1D0000}"/>
    <cellStyle name="Comma 4 2 4 4 2 2 3 2" xfId="21693" xr:uid="{069566A0-A6FC-41DE-8553-1E82EE4FB173}"/>
    <cellStyle name="Comma 4 2 4 4 2 2 3 3" xfId="32109" xr:uid="{2AA69B8A-0A3E-4799-80C7-04D5601DB51B}"/>
    <cellStyle name="Comma 4 2 4 4 2 2 4" xfId="6265" xr:uid="{00000000-0005-0000-0000-0000301D0000}"/>
    <cellStyle name="Comma 4 2 4 4 2 2 4 2" xfId="17851" xr:uid="{AC8A4A44-E9C4-4CD9-96DD-C7EA9C4F1A1E}"/>
    <cellStyle name="Comma 4 2 4 4 2 2 4 3" xfId="28267" xr:uid="{78564B42-821C-4BC6-9D64-92613677F910}"/>
    <cellStyle name="Comma 4 2 4 4 2 2 5" xfId="15331" xr:uid="{BA1FB1C7-7DDD-40DC-A3EA-6A3D5B834541}"/>
    <cellStyle name="Comma 4 2 4 4 2 2 6" xfId="25747" xr:uid="{21FBF1A6-5C51-429E-B814-4447DF1A1415}"/>
    <cellStyle name="Comma 4 2 4 4 2 3" xfId="2998" xr:uid="{00000000-0005-0000-0000-0000311D0000}"/>
    <cellStyle name="Comma 4 2 4 4 2 3 2" xfId="10149" xr:uid="{00000000-0005-0000-0000-0000321D0000}"/>
    <cellStyle name="Comma 4 2 4 4 2 3 2 2" xfId="21695" xr:uid="{C0B7ABB0-4F1B-4691-9358-7401F75C1492}"/>
    <cellStyle name="Comma 4 2 4 4 2 3 2 3" xfId="32111" xr:uid="{1FF27D00-EC08-4258-96E8-3AB2A60773EA}"/>
    <cellStyle name="Comma 4 2 4 4 2 3 3" xfId="15333" xr:uid="{93FD1B2C-4263-41E1-90DF-C4EEC942FCDC}"/>
    <cellStyle name="Comma 4 2 4 4 2 3 4" xfId="25749" xr:uid="{2B12C4F2-3049-492D-AEBE-2386920B3BAA}"/>
    <cellStyle name="Comma 4 2 4 4 2 4" xfId="10146" xr:uid="{00000000-0005-0000-0000-0000331D0000}"/>
    <cellStyle name="Comma 4 2 4 4 2 4 2" xfId="21692" xr:uid="{C027B6A4-AE6B-4BDD-9BA9-E09D6E10025B}"/>
    <cellStyle name="Comma 4 2 4 4 2 4 3" xfId="32108" xr:uid="{8F8DFED9-CFEB-426A-B628-A29467AE98F8}"/>
    <cellStyle name="Comma 4 2 4 4 2 5" xfId="6264" xr:uid="{00000000-0005-0000-0000-0000341D0000}"/>
    <cellStyle name="Comma 4 2 4 4 2 5 2" xfId="17850" xr:uid="{26FC6DE4-A9FE-4038-93C5-79B9AF9F0881}"/>
    <cellStyle name="Comma 4 2 4 4 2 5 3" xfId="28266" xr:uid="{7435F8C4-28D4-4347-A37B-33405FE3815F}"/>
    <cellStyle name="Comma 4 2 4 4 2 6" xfId="15330" xr:uid="{B4637D79-70FC-40AB-AA72-A14686A71FF1}"/>
    <cellStyle name="Comma 4 2 4 4 2 7" xfId="25746" xr:uid="{21ECEB3E-8A65-4B09-BF83-73A4E53FE77D}"/>
    <cellStyle name="Comma 4 2 4 4 3" xfId="2999" xr:uid="{00000000-0005-0000-0000-0000351D0000}"/>
    <cellStyle name="Comma 4 2 4 4 3 2" xfId="3000" xr:uid="{00000000-0005-0000-0000-0000361D0000}"/>
    <cellStyle name="Comma 4 2 4 4 3 2 2" xfId="10151" xr:uid="{00000000-0005-0000-0000-0000371D0000}"/>
    <cellStyle name="Comma 4 2 4 4 3 2 2 2" xfId="21697" xr:uid="{995461D1-471E-4B47-A286-31EAAA82896B}"/>
    <cellStyle name="Comma 4 2 4 4 3 2 2 3" xfId="32113" xr:uid="{D7A55AC9-60B2-47A1-904E-49AB310A5B54}"/>
    <cellStyle name="Comma 4 2 4 4 3 2 3" xfId="15335" xr:uid="{9DE02D26-5E81-497D-ABCD-56A589B14455}"/>
    <cellStyle name="Comma 4 2 4 4 3 2 4" xfId="25751" xr:uid="{BA5D5E29-428A-4B53-94DD-0955A51AAB38}"/>
    <cellStyle name="Comma 4 2 4 4 3 3" xfId="10150" xr:uid="{00000000-0005-0000-0000-0000381D0000}"/>
    <cellStyle name="Comma 4 2 4 4 3 3 2" xfId="21696" xr:uid="{E86DE366-B1B1-4E8D-BD10-91437DC482F0}"/>
    <cellStyle name="Comma 4 2 4 4 3 3 3" xfId="32112" xr:uid="{79B5799F-7AC7-45E7-BC49-01BD9C9F1C97}"/>
    <cellStyle name="Comma 4 2 4 4 3 4" xfId="6266" xr:uid="{00000000-0005-0000-0000-0000391D0000}"/>
    <cellStyle name="Comma 4 2 4 4 3 4 2" xfId="17852" xr:uid="{25C5B68F-7D45-4DED-B156-74256CC2AC39}"/>
    <cellStyle name="Comma 4 2 4 4 3 4 3" xfId="28268" xr:uid="{4A54A132-EFA0-40ED-87C6-E763C948282A}"/>
    <cellStyle name="Comma 4 2 4 4 3 5" xfId="15334" xr:uid="{283D04D3-05FA-41EB-AFD1-39918E56F728}"/>
    <cellStyle name="Comma 4 2 4 4 3 6" xfId="25750" xr:uid="{FED4F721-12F5-435D-BC1B-861D73EFFC61}"/>
    <cellStyle name="Comma 4 2 4 4 4" xfId="3001" xr:uid="{00000000-0005-0000-0000-00003A1D0000}"/>
    <cellStyle name="Comma 4 2 4 4 4 2" xfId="3002" xr:uid="{00000000-0005-0000-0000-00003B1D0000}"/>
    <cellStyle name="Comma 4 2 4 4 4 2 2" xfId="10153" xr:uid="{00000000-0005-0000-0000-00003C1D0000}"/>
    <cellStyle name="Comma 4 2 4 4 4 2 2 2" xfId="21699" xr:uid="{042A4011-D8F0-4FE1-935D-0B21E5D08C49}"/>
    <cellStyle name="Comma 4 2 4 4 4 2 2 3" xfId="32115" xr:uid="{9FB296E2-1920-439B-94DA-0697A32A995F}"/>
    <cellStyle name="Comma 4 2 4 4 4 2 3" xfId="15337" xr:uid="{C68BCEDC-D748-43A3-A51D-D58883F9F310}"/>
    <cellStyle name="Comma 4 2 4 4 4 2 4" xfId="25753" xr:uid="{13A92011-1C62-4039-8B6F-23C41BF0DF64}"/>
    <cellStyle name="Comma 4 2 4 4 4 3" xfId="10152" xr:uid="{00000000-0005-0000-0000-00003D1D0000}"/>
    <cellStyle name="Comma 4 2 4 4 4 3 2" xfId="21698" xr:uid="{9D0DB9DD-2963-4343-B706-68738E5F8EB0}"/>
    <cellStyle name="Comma 4 2 4 4 4 3 3" xfId="32114" xr:uid="{59E851E4-D994-43A1-9D27-7BE8EB8C07B7}"/>
    <cellStyle name="Comma 4 2 4 4 4 4" xfId="6267" xr:uid="{00000000-0005-0000-0000-00003E1D0000}"/>
    <cellStyle name="Comma 4 2 4 4 4 4 2" xfId="17853" xr:uid="{BF7CA77D-CA46-4276-BC13-E2D4D8EF510F}"/>
    <cellStyle name="Comma 4 2 4 4 4 4 3" xfId="28269" xr:uid="{3D7F9FE6-590A-4C76-92D7-66DC19850971}"/>
    <cellStyle name="Comma 4 2 4 4 4 5" xfId="15336" xr:uid="{7164E890-18C3-4171-8DD2-154EC9DFB63C}"/>
    <cellStyle name="Comma 4 2 4 4 4 6" xfId="25752" xr:uid="{1B8F462F-F13C-40F0-9A6F-441802822752}"/>
    <cellStyle name="Comma 4 2 4 4 5" xfId="3003" xr:uid="{00000000-0005-0000-0000-00003F1D0000}"/>
    <cellStyle name="Comma 4 2 4 4 5 2" xfId="10154" xr:uid="{00000000-0005-0000-0000-0000401D0000}"/>
    <cellStyle name="Comma 4 2 4 4 5 2 2" xfId="21700" xr:uid="{6D3728D6-9306-44CB-AB70-C49CE218F31A}"/>
    <cellStyle name="Comma 4 2 4 4 5 2 3" xfId="32116" xr:uid="{3F466E23-81FE-4535-A8B0-7C5A072351F5}"/>
    <cellStyle name="Comma 4 2 4 4 5 3" xfId="15338" xr:uid="{1F38C6A7-99B7-4C8D-AAA8-A05C299475D1}"/>
    <cellStyle name="Comma 4 2 4 4 5 4" xfId="25754" xr:uid="{ADD79737-A20C-415B-B0D9-55CA46E90193}"/>
    <cellStyle name="Comma 4 2 4 4 6" xfId="10145" xr:uid="{00000000-0005-0000-0000-0000411D0000}"/>
    <cellStyle name="Comma 4 2 4 4 6 2" xfId="21691" xr:uid="{DAA24744-FC77-4077-B8E0-72CCFB0F0AF5}"/>
    <cellStyle name="Comma 4 2 4 4 6 3" xfId="32107" xr:uid="{1EFF56B1-002D-4600-9C8E-96F8FE20A0E1}"/>
    <cellStyle name="Comma 4 2 4 4 7" xfId="6263" xr:uid="{00000000-0005-0000-0000-0000421D0000}"/>
    <cellStyle name="Comma 4 2 4 4 7 2" xfId="17849" xr:uid="{F5DE6D9B-6C60-4D86-8B6E-1ED9EE62C947}"/>
    <cellStyle name="Comma 4 2 4 4 7 3" xfId="28265" xr:uid="{485F9922-CF69-4407-88D4-3FCF24B2396B}"/>
    <cellStyle name="Comma 4 2 4 4 8" xfId="15329" xr:uid="{908D8D48-D75F-4A96-BB60-2B5DB45B29F5}"/>
    <cellStyle name="Comma 4 2 4 4 9" xfId="25745" xr:uid="{0DC9244C-F7A8-4A2A-878D-05CC163894BF}"/>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2 2 2" xfId="21704" xr:uid="{F602F4BF-0481-487D-B707-5E1F0DCB8363}"/>
    <cellStyle name="Comma 4 2 4 5 2 2 2 2 3" xfId="32120" xr:uid="{558641FC-FA6A-4EE3-8189-6F8FEA76D631}"/>
    <cellStyle name="Comma 4 2 4 5 2 2 2 3" xfId="15342" xr:uid="{3385AA48-D1BB-4A90-A7B7-969C80E10992}"/>
    <cellStyle name="Comma 4 2 4 5 2 2 2 4" xfId="25758" xr:uid="{E67F7D85-5BED-4765-95FF-0E9F88CE2F24}"/>
    <cellStyle name="Comma 4 2 4 5 2 2 3" xfId="10157" xr:uid="{00000000-0005-0000-0000-0000481D0000}"/>
    <cellStyle name="Comma 4 2 4 5 2 2 3 2" xfId="21703" xr:uid="{55E0927A-2833-4ACD-BC1B-1916F70A9404}"/>
    <cellStyle name="Comma 4 2 4 5 2 2 3 3" xfId="32119" xr:uid="{9590C11E-32FB-4D0D-B971-4B074C18758D}"/>
    <cellStyle name="Comma 4 2 4 5 2 2 4" xfId="6270" xr:uid="{00000000-0005-0000-0000-0000491D0000}"/>
    <cellStyle name="Comma 4 2 4 5 2 2 4 2" xfId="17856" xr:uid="{020D3E68-C363-4E7B-BAA7-0505DBA88BDC}"/>
    <cellStyle name="Comma 4 2 4 5 2 2 4 3" xfId="28272" xr:uid="{C88F6EA4-79EA-4619-9667-CC2DE8073FE8}"/>
    <cellStyle name="Comma 4 2 4 5 2 2 5" xfId="15341" xr:uid="{64DA2600-F8C3-4CD1-A569-E0B65C8FB7EF}"/>
    <cellStyle name="Comma 4 2 4 5 2 2 6" xfId="25757" xr:uid="{46FC27E2-F21E-4D7C-8E8B-6CE9C9F98C1D}"/>
    <cellStyle name="Comma 4 2 4 5 2 3" xfId="3008" xr:uid="{00000000-0005-0000-0000-00004A1D0000}"/>
    <cellStyle name="Comma 4 2 4 5 2 3 2" xfId="10159" xr:uid="{00000000-0005-0000-0000-00004B1D0000}"/>
    <cellStyle name="Comma 4 2 4 5 2 3 2 2" xfId="21705" xr:uid="{3C43557C-47A0-443F-B12B-78600D4BC747}"/>
    <cellStyle name="Comma 4 2 4 5 2 3 2 3" xfId="32121" xr:uid="{0796750F-9E04-4E05-98A0-F08814D19915}"/>
    <cellStyle name="Comma 4 2 4 5 2 3 3" xfId="15343" xr:uid="{A0F5ABBB-4D2E-46F4-A791-EBDCE45E8756}"/>
    <cellStyle name="Comma 4 2 4 5 2 3 4" xfId="25759" xr:uid="{5DDCCC8A-3E1F-4A82-99D1-EACEE78C7ECD}"/>
    <cellStyle name="Comma 4 2 4 5 2 4" xfId="10156" xr:uid="{00000000-0005-0000-0000-00004C1D0000}"/>
    <cellStyle name="Comma 4 2 4 5 2 4 2" xfId="21702" xr:uid="{1569408B-B86B-4D81-9B2D-8726CD8AD1F1}"/>
    <cellStyle name="Comma 4 2 4 5 2 4 3" xfId="32118" xr:uid="{E7E47725-CB81-4E42-A2B4-BBC07596E68D}"/>
    <cellStyle name="Comma 4 2 4 5 2 5" xfId="6269" xr:uid="{00000000-0005-0000-0000-00004D1D0000}"/>
    <cellStyle name="Comma 4 2 4 5 2 5 2" xfId="17855" xr:uid="{0AC286BB-2441-40A7-8B29-6CB3B1EA6CDA}"/>
    <cellStyle name="Comma 4 2 4 5 2 5 3" xfId="28271" xr:uid="{8E75E147-C001-43C5-AE32-A3331C95580A}"/>
    <cellStyle name="Comma 4 2 4 5 2 6" xfId="15340" xr:uid="{40CCB3CA-2DA4-469F-B51D-FCFC9CC79F81}"/>
    <cellStyle name="Comma 4 2 4 5 2 7" xfId="25756" xr:uid="{01600F2C-E40C-4BBD-90DA-7133F1403A23}"/>
    <cellStyle name="Comma 4 2 4 5 3" xfId="3009" xr:uid="{00000000-0005-0000-0000-00004E1D0000}"/>
    <cellStyle name="Comma 4 2 4 5 3 2" xfId="3010" xr:uid="{00000000-0005-0000-0000-00004F1D0000}"/>
    <cellStyle name="Comma 4 2 4 5 3 2 2" xfId="10161" xr:uid="{00000000-0005-0000-0000-0000501D0000}"/>
    <cellStyle name="Comma 4 2 4 5 3 2 2 2" xfId="21707" xr:uid="{71D5A4EC-EFC7-4187-AF7C-102E55C727B1}"/>
    <cellStyle name="Comma 4 2 4 5 3 2 2 3" xfId="32123" xr:uid="{DD21D2D6-C73F-4497-B75D-6502D5E462D4}"/>
    <cellStyle name="Comma 4 2 4 5 3 2 3" xfId="15345" xr:uid="{45882B16-F9F7-41F4-9F40-2A457C10D0AB}"/>
    <cellStyle name="Comma 4 2 4 5 3 2 4" xfId="25761" xr:uid="{158B55A3-574E-4B07-B2E1-5226336856D4}"/>
    <cellStyle name="Comma 4 2 4 5 3 3" xfId="10160" xr:uid="{00000000-0005-0000-0000-0000511D0000}"/>
    <cellStyle name="Comma 4 2 4 5 3 3 2" xfId="21706" xr:uid="{D3FAA3F8-4119-4C4C-AA85-DC1D09BA666A}"/>
    <cellStyle name="Comma 4 2 4 5 3 3 3" xfId="32122" xr:uid="{2589F062-3BD5-45FC-ADB9-C72EF1422ACD}"/>
    <cellStyle name="Comma 4 2 4 5 3 4" xfId="6271" xr:uid="{00000000-0005-0000-0000-0000521D0000}"/>
    <cellStyle name="Comma 4 2 4 5 3 4 2" xfId="17857" xr:uid="{A42985E3-AB3A-417E-8AAC-D231667C68D7}"/>
    <cellStyle name="Comma 4 2 4 5 3 4 3" xfId="28273" xr:uid="{314CBB4F-9B27-4AEA-B5D9-08D45242C6CE}"/>
    <cellStyle name="Comma 4 2 4 5 3 5" xfId="15344" xr:uid="{AD1878D3-BF4C-4D05-A19D-6B11D482B27A}"/>
    <cellStyle name="Comma 4 2 4 5 3 6" xfId="25760" xr:uid="{FBBA1C94-377C-4B7A-8291-343997198084}"/>
    <cellStyle name="Comma 4 2 4 5 4" xfId="3011" xr:uid="{00000000-0005-0000-0000-0000531D0000}"/>
    <cellStyle name="Comma 4 2 4 5 4 2" xfId="3012" xr:uid="{00000000-0005-0000-0000-0000541D0000}"/>
    <cellStyle name="Comma 4 2 4 5 4 2 2" xfId="10163" xr:uid="{00000000-0005-0000-0000-0000551D0000}"/>
    <cellStyle name="Comma 4 2 4 5 4 2 2 2" xfId="21709" xr:uid="{7AB9B66B-BFFA-4CD7-AD41-8DAFC0391CE4}"/>
    <cellStyle name="Comma 4 2 4 5 4 2 2 3" xfId="32125" xr:uid="{FB78CA20-7D8F-46A6-AB37-868A6E127AA9}"/>
    <cellStyle name="Comma 4 2 4 5 4 2 3" xfId="15347" xr:uid="{798FCBF3-C2CA-451A-830B-8E41C72CEB8C}"/>
    <cellStyle name="Comma 4 2 4 5 4 2 4" xfId="25763" xr:uid="{112B725E-97FB-410A-8FC6-1DBEA1BD745D}"/>
    <cellStyle name="Comma 4 2 4 5 4 3" xfId="10162" xr:uid="{00000000-0005-0000-0000-0000561D0000}"/>
    <cellStyle name="Comma 4 2 4 5 4 3 2" xfId="21708" xr:uid="{E73A5012-17BE-4878-BE55-55A516594EF1}"/>
    <cellStyle name="Comma 4 2 4 5 4 3 3" xfId="32124" xr:uid="{4F4D65D1-391F-48E1-94E3-55FA4F5EA8F6}"/>
    <cellStyle name="Comma 4 2 4 5 4 4" xfId="6272" xr:uid="{00000000-0005-0000-0000-0000571D0000}"/>
    <cellStyle name="Comma 4 2 4 5 4 4 2" xfId="17858" xr:uid="{7BB13B5E-AFC5-451B-A454-83641AFE2C29}"/>
    <cellStyle name="Comma 4 2 4 5 4 4 3" xfId="28274" xr:uid="{C53308DC-3C81-48BF-B373-B083C6E5756E}"/>
    <cellStyle name="Comma 4 2 4 5 4 5" xfId="15346" xr:uid="{D8B2FF37-1531-44EC-BE16-B1AC2BBFEE01}"/>
    <cellStyle name="Comma 4 2 4 5 4 6" xfId="25762" xr:uid="{2D725CEB-A65C-4C50-9806-7BAB240CC0F4}"/>
    <cellStyle name="Comma 4 2 4 5 5" xfId="3013" xr:uid="{00000000-0005-0000-0000-0000581D0000}"/>
    <cellStyle name="Comma 4 2 4 5 5 2" xfId="10164" xr:uid="{00000000-0005-0000-0000-0000591D0000}"/>
    <cellStyle name="Comma 4 2 4 5 5 2 2" xfId="21710" xr:uid="{C7B9EF6F-6E3C-438B-942D-4B4F9EFBF258}"/>
    <cellStyle name="Comma 4 2 4 5 5 2 3" xfId="32126" xr:uid="{068C54BB-DC05-4750-A660-A21417110AAB}"/>
    <cellStyle name="Comma 4 2 4 5 5 3" xfId="15348" xr:uid="{75A1C69A-9F29-44D8-B4A5-22D6F824C423}"/>
    <cellStyle name="Comma 4 2 4 5 5 4" xfId="25764" xr:uid="{BF9418A6-8F7B-4521-8337-AAFEE5E4C2FD}"/>
    <cellStyle name="Comma 4 2 4 5 6" xfId="10155" xr:uid="{00000000-0005-0000-0000-00005A1D0000}"/>
    <cellStyle name="Comma 4 2 4 5 6 2" xfId="21701" xr:uid="{3080AD58-9E24-4EB0-84A1-74626A7972C1}"/>
    <cellStyle name="Comma 4 2 4 5 6 3" xfId="32117" xr:uid="{523D5338-1FDF-445D-B8A4-2C739FD36B7D}"/>
    <cellStyle name="Comma 4 2 4 5 7" xfId="6268" xr:uid="{00000000-0005-0000-0000-00005B1D0000}"/>
    <cellStyle name="Comma 4 2 4 5 7 2" xfId="17854" xr:uid="{4F434179-D50C-46DC-8B75-07DD8CE038E4}"/>
    <cellStyle name="Comma 4 2 4 5 7 3" xfId="28270" xr:uid="{B0211856-F22D-48B2-A66E-6FE4707479B2}"/>
    <cellStyle name="Comma 4 2 4 5 8" xfId="15339" xr:uid="{4857D5E6-4449-40C4-8C1B-EE78D4437A68}"/>
    <cellStyle name="Comma 4 2 4 5 9" xfId="25755" xr:uid="{BB9D20CA-5E08-40DD-8060-09BF19F2B894}"/>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2 2 2" xfId="21713" xr:uid="{20AFE9D3-FF02-402C-B904-0E820068802F}"/>
    <cellStyle name="Comma 4 2 4 6 2 2 2 3" xfId="32129" xr:uid="{D2FAEAB4-ACED-43CC-A254-E5430BEECF5C}"/>
    <cellStyle name="Comma 4 2 4 6 2 2 3" xfId="15351" xr:uid="{41A61457-71CE-45EC-AB4D-C134BCD5273F}"/>
    <cellStyle name="Comma 4 2 4 6 2 2 4" xfId="25767" xr:uid="{324496E7-77C0-423B-B5BF-19C2298F8443}"/>
    <cellStyle name="Comma 4 2 4 6 2 3" xfId="10166" xr:uid="{00000000-0005-0000-0000-0000601D0000}"/>
    <cellStyle name="Comma 4 2 4 6 2 3 2" xfId="21712" xr:uid="{7C2B6990-1463-4D46-AB86-773D2F6F3735}"/>
    <cellStyle name="Comma 4 2 4 6 2 3 3" xfId="32128" xr:uid="{7FD8EF57-E934-4C4D-AF90-A5A2843E1249}"/>
    <cellStyle name="Comma 4 2 4 6 2 4" xfId="6274" xr:uid="{00000000-0005-0000-0000-0000611D0000}"/>
    <cellStyle name="Comma 4 2 4 6 2 4 2" xfId="17860" xr:uid="{6D44147D-6699-41FB-AA1C-E24A82DE8482}"/>
    <cellStyle name="Comma 4 2 4 6 2 4 3" xfId="28276" xr:uid="{08188071-4F71-49B7-8A06-8895C1BD8707}"/>
    <cellStyle name="Comma 4 2 4 6 2 5" xfId="15350" xr:uid="{94C6523C-DF76-4A7F-9692-7F3813D5E170}"/>
    <cellStyle name="Comma 4 2 4 6 2 6" xfId="25766" xr:uid="{A87E1F90-9C58-43D8-8D11-DBA7F2F3BD71}"/>
    <cellStyle name="Comma 4 2 4 6 3" xfId="3017" xr:uid="{00000000-0005-0000-0000-0000621D0000}"/>
    <cellStyle name="Comma 4 2 4 6 3 2" xfId="3018" xr:uid="{00000000-0005-0000-0000-0000631D0000}"/>
    <cellStyle name="Comma 4 2 4 6 3 2 2" xfId="10169" xr:uid="{00000000-0005-0000-0000-0000641D0000}"/>
    <cellStyle name="Comma 4 2 4 6 3 2 2 2" xfId="21715" xr:uid="{B8718A67-7839-4185-81B0-D14EAFE107B6}"/>
    <cellStyle name="Comma 4 2 4 6 3 2 2 3" xfId="32131" xr:uid="{81D0180C-B78C-4FA6-80E7-BB77702ECA19}"/>
    <cellStyle name="Comma 4 2 4 6 3 2 3" xfId="15353" xr:uid="{B9459523-AF22-4CEF-ADD9-4AA2F128419F}"/>
    <cellStyle name="Comma 4 2 4 6 3 2 4" xfId="25769" xr:uid="{83DA7780-3471-4191-B50A-CD31D5E62711}"/>
    <cellStyle name="Comma 4 2 4 6 3 3" xfId="10168" xr:uid="{00000000-0005-0000-0000-0000651D0000}"/>
    <cellStyle name="Comma 4 2 4 6 3 3 2" xfId="21714" xr:uid="{A15197A2-C31B-4EB2-8921-F432EC062193}"/>
    <cellStyle name="Comma 4 2 4 6 3 3 3" xfId="32130" xr:uid="{E94E1767-ABCB-4362-BE32-9AF6C93663ED}"/>
    <cellStyle name="Comma 4 2 4 6 3 4" xfId="6275" xr:uid="{00000000-0005-0000-0000-0000661D0000}"/>
    <cellStyle name="Comma 4 2 4 6 3 4 2" xfId="17861" xr:uid="{906AE769-1FF3-4365-8B78-10F1081CE097}"/>
    <cellStyle name="Comma 4 2 4 6 3 4 3" xfId="28277" xr:uid="{97F4D87D-3436-4484-8B91-BD4443C32083}"/>
    <cellStyle name="Comma 4 2 4 6 3 5" xfId="15352" xr:uid="{69249858-4680-4779-A087-5394F2CE62CF}"/>
    <cellStyle name="Comma 4 2 4 6 3 6" xfId="25768" xr:uid="{6B2A07AC-B879-4C10-A019-9756F6B759B7}"/>
    <cellStyle name="Comma 4 2 4 6 4" xfId="3019" xr:uid="{00000000-0005-0000-0000-0000671D0000}"/>
    <cellStyle name="Comma 4 2 4 6 4 2" xfId="10170" xr:uid="{00000000-0005-0000-0000-0000681D0000}"/>
    <cellStyle name="Comma 4 2 4 6 4 2 2" xfId="21716" xr:uid="{E280B9D4-3545-4AF4-936A-BF12A1BC2FDB}"/>
    <cellStyle name="Comma 4 2 4 6 4 2 3" xfId="32132" xr:uid="{DDA6AC97-6A25-4FC1-9F71-F95D71B502F3}"/>
    <cellStyle name="Comma 4 2 4 6 4 3" xfId="15354" xr:uid="{AEA2A28C-3A69-4272-B157-32704943861A}"/>
    <cellStyle name="Comma 4 2 4 6 4 4" xfId="25770" xr:uid="{B5613AF4-6B87-4B40-9C26-8434ADD398F1}"/>
    <cellStyle name="Comma 4 2 4 6 5" xfId="10165" xr:uid="{00000000-0005-0000-0000-0000691D0000}"/>
    <cellStyle name="Comma 4 2 4 6 5 2" xfId="21711" xr:uid="{9E30CC52-4DBE-4294-A69B-313ADB19B7BB}"/>
    <cellStyle name="Comma 4 2 4 6 5 3" xfId="32127" xr:uid="{6356859B-4EA3-4B40-9545-39943C4D5A00}"/>
    <cellStyle name="Comma 4 2 4 6 6" xfId="6273" xr:uid="{00000000-0005-0000-0000-00006A1D0000}"/>
    <cellStyle name="Comma 4 2 4 6 6 2" xfId="17859" xr:uid="{BCCBB48D-9F8F-4FE9-A0A9-830B7996D55A}"/>
    <cellStyle name="Comma 4 2 4 6 6 3" xfId="28275" xr:uid="{50C68D21-3BB2-4D19-A697-25205CA124B5}"/>
    <cellStyle name="Comma 4 2 4 6 7" xfId="15349" xr:uid="{75224507-9EB3-448A-B311-2BAF0DBD6404}"/>
    <cellStyle name="Comma 4 2 4 6 8" xfId="25765" xr:uid="{5E506897-53C4-4486-A9F8-0AF72A9D4FDB}"/>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2 2 2" xfId="21719" xr:uid="{C4D1BCBA-2EFA-4170-A653-515217751D49}"/>
    <cellStyle name="Comma 4 2 4 7 2 2 2 3" xfId="32135" xr:uid="{12B91A44-51DE-4C42-B85D-51E489209C0A}"/>
    <cellStyle name="Comma 4 2 4 7 2 2 3" xfId="15357" xr:uid="{3E836F3C-5877-416D-92C3-C9F3FA301764}"/>
    <cellStyle name="Comma 4 2 4 7 2 2 4" xfId="25773" xr:uid="{BC676011-1BC6-4E67-8264-32480EBF0939}"/>
    <cellStyle name="Comma 4 2 4 7 2 3" xfId="10172" xr:uid="{00000000-0005-0000-0000-00006F1D0000}"/>
    <cellStyle name="Comma 4 2 4 7 2 3 2" xfId="21718" xr:uid="{63BFBEFD-92D8-4103-8605-47AD365344EE}"/>
    <cellStyle name="Comma 4 2 4 7 2 3 3" xfId="32134" xr:uid="{8C786B9B-82A0-4510-A132-0FBD307D50BD}"/>
    <cellStyle name="Comma 4 2 4 7 2 4" xfId="6277" xr:uid="{00000000-0005-0000-0000-0000701D0000}"/>
    <cellStyle name="Comma 4 2 4 7 2 4 2" xfId="17863" xr:uid="{0A521328-E7C5-405A-8C85-43E7D71E4942}"/>
    <cellStyle name="Comma 4 2 4 7 2 4 3" xfId="28279" xr:uid="{44D7F5FF-CD4D-48CE-9B31-60CE56B35812}"/>
    <cellStyle name="Comma 4 2 4 7 2 5" xfId="15356" xr:uid="{5BE55784-804D-4738-BEC8-66CCA5E43BF7}"/>
    <cellStyle name="Comma 4 2 4 7 2 6" xfId="25772" xr:uid="{CFC72B3F-8C37-4539-BD21-81C0C65772FF}"/>
    <cellStyle name="Comma 4 2 4 7 3" xfId="3023" xr:uid="{00000000-0005-0000-0000-0000711D0000}"/>
    <cellStyle name="Comma 4 2 4 7 3 2" xfId="10174" xr:uid="{00000000-0005-0000-0000-0000721D0000}"/>
    <cellStyle name="Comma 4 2 4 7 3 2 2" xfId="21720" xr:uid="{BC4EBB3A-3EBA-4446-83F3-A44A2F427F33}"/>
    <cellStyle name="Comma 4 2 4 7 3 2 3" xfId="32136" xr:uid="{B091015C-3215-4309-8F7F-97F16BBED6EE}"/>
    <cellStyle name="Comma 4 2 4 7 3 3" xfId="15358" xr:uid="{E9D1C7DD-5C11-4EC8-A529-85407A12C846}"/>
    <cellStyle name="Comma 4 2 4 7 3 4" xfId="25774" xr:uid="{964607C0-7F57-4839-BA49-D644F6883F99}"/>
    <cellStyle name="Comma 4 2 4 7 4" xfId="10171" xr:uid="{00000000-0005-0000-0000-0000731D0000}"/>
    <cellStyle name="Comma 4 2 4 7 4 2" xfId="21717" xr:uid="{B56ED867-D572-4855-BF51-A345E0617DBF}"/>
    <cellStyle name="Comma 4 2 4 7 4 3" xfId="32133" xr:uid="{B80E307E-617E-46FB-B3A6-2ECC27C544CA}"/>
    <cellStyle name="Comma 4 2 4 7 5" xfId="6276" xr:uid="{00000000-0005-0000-0000-0000741D0000}"/>
    <cellStyle name="Comma 4 2 4 7 5 2" xfId="17862" xr:uid="{2369F58C-1BFD-4CAB-8ACB-A36DDBB1F822}"/>
    <cellStyle name="Comma 4 2 4 7 5 3" xfId="28278" xr:uid="{1243ABF6-1779-4A18-8C09-FB9147FB47A4}"/>
    <cellStyle name="Comma 4 2 4 7 6" xfId="15355" xr:uid="{10BED4B8-5021-4F33-B19E-8A08BD73B329}"/>
    <cellStyle name="Comma 4 2 4 7 7" xfId="25771" xr:uid="{C91BE3CC-B55F-4CE1-BA79-145D208F8960}"/>
    <cellStyle name="Comma 4 2 4 8" xfId="3024" xr:uid="{00000000-0005-0000-0000-0000751D0000}"/>
    <cellStyle name="Comma 4 2 4 8 2" xfId="3025" xr:uid="{00000000-0005-0000-0000-0000761D0000}"/>
    <cellStyle name="Comma 4 2 4 8 2 2" xfId="10176" xr:uid="{00000000-0005-0000-0000-0000771D0000}"/>
    <cellStyle name="Comma 4 2 4 8 2 2 2" xfId="21722" xr:uid="{0FD08E3A-7250-4077-8D21-1616706A692B}"/>
    <cellStyle name="Comma 4 2 4 8 2 2 3" xfId="32138" xr:uid="{5BEA2BAD-6A19-41CA-B5A7-848CA98571BC}"/>
    <cellStyle name="Comma 4 2 4 8 2 3" xfId="15360" xr:uid="{DA57AB6F-8257-4B3D-9CFE-85D7EB1A1DE3}"/>
    <cellStyle name="Comma 4 2 4 8 2 4" xfId="25776" xr:uid="{4B2DEA2F-A012-4564-B6A9-7178E41773FE}"/>
    <cellStyle name="Comma 4 2 4 8 3" xfId="10175" xr:uid="{00000000-0005-0000-0000-0000781D0000}"/>
    <cellStyle name="Comma 4 2 4 8 3 2" xfId="21721" xr:uid="{48E86A77-26BF-48EC-B97C-EB7A52774931}"/>
    <cellStyle name="Comma 4 2 4 8 3 3" xfId="32137" xr:uid="{D2566F7C-75E3-483C-979B-93084F49C338}"/>
    <cellStyle name="Comma 4 2 4 8 4" xfId="6278" xr:uid="{00000000-0005-0000-0000-0000791D0000}"/>
    <cellStyle name="Comma 4 2 4 8 4 2" xfId="17864" xr:uid="{9AE883DF-5544-4FB4-9D88-7436465949B1}"/>
    <cellStyle name="Comma 4 2 4 8 4 3" xfId="28280" xr:uid="{9981B29A-45F4-4182-B4A3-32A8A42FE8F8}"/>
    <cellStyle name="Comma 4 2 4 8 5" xfId="15359" xr:uid="{91FFE7C3-BBD1-44FF-BB0D-ADA62181B351}"/>
    <cellStyle name="Comma 4 2 4 8 6" xfId="25775" xr:uid="{6199B8A6-5EF9-4705-98D1-67D5219B0557}"/>
    <cellStyle name="Comma 4 2 4 9" xfId="3026" xr:uid="{00000000-0005-0000-0000-00007A1D0000}"/>
    <cellStyle name="Comma 4 2 4 9 2" xfId="3027" xr:uid="{00000000-0005-0000-0000-00007B1D0000}"/>
    <cellStyle name="Comma 4 2 4 9 2 2" xfId="10178" xr:uid="{00000000-0005-0000-0000-00007C1D0000}"/>
    <cellStyle name="Comma 4 2 4 9 2 2 2" xfId="21724" xr:uid="{A6B987A7-BEEC-4DB9-A6BD-9BAF850511CB}"/>
    <cellStyle name="Comma 4 2 4 9 2 2 3" xfId="32140" xr:uid="{9BDF16B8-2EE7-4C12-9E1F-E7344599343C}"/>
    <cellStyle name="Comma 4 2 4 9 2 3" xfId="15362" xr:uid="{B77452F0-176A-44CA-A7B0-962B74A3F088}"/>
    <cellStyle name="Comma 4 2 4 9 2 4" xfId="25778" xr:uid="{9BD8AA22-B9DB-4766-A9E4-A8AB3A396CA6}"/>
    <cellStyle name="Comma 4 2 4 9 3" xfId="10177" xr:uid="{00000000-0005-0000-0000-00007D1D0000}"/>
    <cellStyle name="Comma 4 2 4 9 3 2" xfId="21723" xr:uid="{1F3708E9-02E0-4CB9-9963-59406BDBFC0E}"/>
    <cellStyle name="Comma 4 2 4 9 3 3" xfId="32139" xr:uid="{CC945E14-D11E-4232-B2FC-F0FA41B93364}"/>
    <cellStyle name="Comma 4 2 4 9 4" xfId="6279" xr:uid="{00000000-0005-0000-0000-00007E1D0000}"/>
    <cellStyle name="Comma 4 2 4 9 4 2" xfId="17865" xr:uid="{28C092D2-72E6-4155-9668-F439A40FF2ED}"/>
    <cellStyle name="Comma 4 2 4 9 4 3" xfId="28281" xr:uid="{C53F89EE-93B6-4AC7-AFE6-4D4C29880D98}"/>
    <cellStyle name="Comma 4 2 4 9 5" xfId="15361" xr:uid="{F16A2711-D819-4413-B460-89EFE37CE396}"/>
    <cellStyle name="Comma 4 2 4 9 6" xfId="25777" xr:uid="{AFFE0BA7-59DE-4A55-B81E-CF152913B14C}"/>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2 2 2" xfId="21728" xr:uid="{6E7E4A70-9C20-4EE4-8539-6579DED0BF5A}"/>
    <cellStyle name="Comma 4 2 5 2 2 2 2 3" xfId="32144" xr:uid="{C9673896-8DC4-4CC4-81D6-2C38DA6C3369}"/>
    <cellStyle name="Comma 4 2 5 2 2 2 3" xfId="15366" xr:uid="{EBE6E185-40C7-4600-BD92-79875B0F0417}"/>
    <cellStyle name="Comma 4 2 5 2 2 2 4" xfId="25782" xr:uid="{32488132-55C8-4A2C-8DDC-E9A601F3A9A6}"/>
    <cellStyle name="Comma 4 2 5 2 2 3" xfId="10181" xr:uid="{00000000-0005-0000-0000-0000841D0000}"/>
    <cellStyle name="Comma 4 2 5 2 2 3 2" xfId="21727" xr:uid="{AEC1A960-20A1-496F-B0EC-0F4258592E1C}"/>
    <cellStyle name="Comma 4 2 5 2 2 3 3" xfId="32143" xr:uid="{70F5A389-56AA-4207-AE9B-7D5F12CED515}"/>
    <cellStyle name="Comma 4 2 5 2 2 4" xfId="6282" xr:uid="{00000000-0005-0000-0000-0000851D0000}"/>
    <cellStyle name="Comma 4 2 5 2 2 4 2" xfId="17868" xr:uid="{913B0A3A-9CDA-4952-A87D-093C39B72A50}"/>
    <cellStyle name="Comma 4 2 5 2 2 4 3" xfId="28284" xr:uid="{CAA66C2C-8CD3-48EA-861C-A8D5B07BD68F}"/>
    <cellStyle name="Comma 4 2 5 2 2 5" xfId="15365" xr:uid="{BBB6CFE9-8D6C-4DDE-90AC-AD2F0E90A9A4}"/>
    <cellStyle name="Comma 4 2 5 2 2 6" xfId="25781" xr:uid="{2C7F273F-3EFD-4AE6-B4A9-323AC3ED0992}"/>
    <cellStyle name="Comma 4 2 5 2 3" xfId="3032" xr:uid="{00000000-0005-0000-0000-0000861D0000}"/>
    <cellStyle name="Comma 4 2 5 2 3 2" xfId="10183" xr:uid="{00000000-0005-0000-0000-0000871D0000}"/>
    <cellStyle name="Comma 4 2 5 2 3 2 2" xfId="21729" xr:uid="{71521794-B210-42DD-B4E2-36D6FAB08D48}"/>
    <cellStyle name="Comma 4 2 5 2 3 2 3" xfId="32145" xr:uid="{D2085D31-6731-4CB6-943C-B608FD1E6FFD}"/>
    <cellStyle name="Comma 4 2 5 2 3 3" xfId="15367" xr:uid="{384061D1-7039-4598-BD26-F865A3915523}"/>
    <cellStyle name="Comma 4 2 5 2 3 4" xfId="25783" xr:uid="{075C89A9-EE1F-4B9F-9216-4757C92563C4}"/>
    <cellStyle name="Comma 4 2 5 2 4" xfId="10180" xr:uid="{00000000-0005-0000-0000-0000881D0000}"/>
    <cellStyle name="Comma 4 2 5 2 4 2" xfId="21726" xr:uid="{8E840B7E-4EB9-4AF3-B40B-D19EEF8857B4}"/>
    <cellStyle name="Comma 4 2 5 2 4 3" xfId="32142" xr:uid="{AA957BD0-3D8A-491F-B9BA-9D79F848EE79}"/>
    <cellStyle name="Comma 4 2 5 2 5" xfId="6281" xr:uid="{00000000-0005-0000-0000-0000891D0000}"/>
    <cellStyle name="Comma 4 2 5 2 5 2" xfId="17867" xr:uid="{1B8C67BC-CCA2-4D3D-A921-51E6D1D3F3A5}"/>
    <cellStyle name="Comma 4 2 5 2 5 3" xfId="28283" xr:uid="{6F90962C-3750-4374-941B-B539EA6B3E4A}"/>
    <cellStyle name="Comma 4 2 5 2 6" xfId="15364" xr:uid="{F251EE93-B9EB-4B3D-A6CA-9AFBD0D74135}"/>
    <cellStyle name="Comma 4 2 5 2 7" xfId="25780" xr:uid="{83380950-6451-4D15-8B91-3FD00CBED1F3}"/>
    <cellStyle name="Comma 4 2 5 3" xfId="3033" xr:uid="{00000000-0005-0000-0000-00008A1D0000}"/>
    <cellStyle name="Comma 4 2 5 3 2" xfId="3034" xr:uid="{00000000-0005-0000-0000-00008B1D0000}"/>
    <cellStyle name="Comma 4 2 5 3 2 2" xfId="10185" xr:uid="{00000000-0005-0000-0000-00008C1D0000}"/>
    <cellStyle name="Comma 4 2 5 3 2 2 2" xfId="21731" xr:uid="{2FE85FB2-30A4-4D49-9AC5-E562C898F5B7}"/>
    <cellStyle name="Comma 4 2 5 3 2 2 3" xfId="32147" xr:uid="{EDC39E74-BFCF-439A-887B-EADE353C3F66}"/>
    <cellStyle name="Comma 4 2 5 3 2 3" xfId="15369" xr:uid="{D1CA55E0-37F8-4291-BC42-D9BE2BEE6497}"/>
    <cellStyle name="Comma 4 2 5 3 2 4" xfId="25785" xr:uid="{0C4FB30B-E483-4173-81D0-0A48092EAD0B}"/>
    <cellStyle name="Comma 4 2 5 3 3" xfId="10184" xr:uid="{00000000-0005-0000-0000-00008D1D0000}"/>
    <cellStyle name="Comma 4 2 5 3 3 2" xfId="21730" xr:uid="{26F83700-312B-42FA-BD89-B0E88CD7E83F}"/>
    <cellStyle name="Comma 4 2 5 3 3 3" xfId="32146" xr:uid="{2CBD926C-8A86-4E4B-BD24-A4961B36F698}"/>
    <cellStyle name="Comma 4 2 5 3 4" xfId="6283" xr:uid="{00000000-0005-0000-0000-00008E1D0000}"/>
    <cellStyle name="Comma 4 2 5 3 4 2" xfId="17869" xr:uid="{EC42A872-BF96-4C05-93F7-30E6C28DCFFB}"/>
    <cellStyle name="Comma 4 2 5 3 4 3" xfId="28285" xr:uid="{C63D56FD-45A7-4378-97C8-5388B284030B}"/>
    <cellStyle name="Comma 4 2 5 3 5" xfId="15368" xr:uid="{2206121C-E385-4DF1-A56F-BA912A350B39}"/>
    <cellStyle name="Comma 4 2 5 3 6" xfId="25784" xr:uid="{3D132513-363E-46E5-8285-C530F052079C}"/>
    <cellStyle name="Comma 4 2 5 4" xfId="3035" xr:uid="{00000000-0005-0000-0000-00008F1D0000}"/>
    <cellStyle name="Comma 4 2 5 4 2" xfId="3036" xr:uid="{00000000-0005-0000-0000-0000901D0000}"/>
    <cellStyle name="Comma 4 2 5 4 2 2" xfId="10187" xr:uid="{00000000-0005-0000-0000-0000911D0000}"/>
    <cellStyle name="Comma 4 2 5 4 2 2 2" xfId="21733" xr:uid="{9585DF09-5C4C-4C7B-8198-B382CDF15873}"/>
    <cellStyle name="Comma 4 2 5 4 2 2 3" xfId="32149" xr:uid="{1FF0A82B-2905-4191-815B-16BF3D7F5C5C}"/>
    <cellStyle name="Comma 4 2 5 4 2 3" xfId="15371" xr:uid="{440821F6-5290-426B-8590-D9E370ABFA27}"/>
    <cellStyle name="Comma 4 2 5 4 2 4" xfId="25787" xr:uid="{80B4C20B-10DA-4853-9F28-9DACF3263FAE}"/>
    <cellStyle name="Comma 4 2 5 4 3" xfId="10186" xr:uid="{00000000-0005-0000-0000-0000921D0000}"/>
    <cellStyle name="Comma 4 2 5 4 3 2" xfId="21732" xr:uid="{5800B741-3BF8-4358-B386-D8801621FAB8}"/>
    <cellStyle name="Comma 4 2 5 4 3 3" xfId="32148" xr:uid="{88016F7F-CCA0-4FCD-83C4-6E769C5B6BC3}"/>
    <cellStyle name="Comma 4 2 5 4 4" xfId="6284" xr:uid="{00000000-0005-0000-0000-0000931D0000}"/>
    <cellStyle name="Comma 4 2 5 4 4 2" xfId="17870" xr:uid="{47584D88-3C98-442A-AAF9-54D62F6B1688}"/>
    <cellStyle name="Comma 4 2 5 4 4 3" xfId="28286" xr:uid="{1B7D69A6-EC1A-4FDA-B55B-028730AC322D}"/>
    <cellStyle name="Comma 4 2 5 4 5" xfId="15370" xr:uid="{F7CFAA80-9B28-47FE-802F-DA9317296AA0}"/>
    <cellStyle name="Comma 4 2 5 4 6" xfId="25786" xr:uid="{6091FE4E-DDB6-4FD3-AED9-3CDA74D773DE}"/>
    <cellStyle name="Comma 4 2 5 5" xfId="3037" xr:uid="{00000000-0005-0000-0000-0000941D0000}"/>
    <cellStyle name="Comma 4 2 5 5 2" xfId="10188" xr:uid="{00000000-0005-0000-0000-0000951D0000}"/>
    <cellStyle name="Comma 4 2 5 5 2 2" xfId="21734" xr:uid="{0A8FD7B6-62A2-4F25-A84D-F941A9BA3BB1}"/>
    <cellStyle name="Comma 4 2 5 5 2 3" xfId="32150" xr:uid="{EE1BA7B2-7194-4D93-90AD-B47BF808D205}"/>
    <cellStyle name="Comma 4 2 5 5 3" xfId="15372" xr:uid="{3A567471-7B57-4690-9B3D-6886FE58157F}"/>
    <cellStyle name="Comma 4 2 5 5 4" xfId="25788" xr:uid="{30B552D2-9AC4-4441-9A75-0686D6FB014D}"/>
    <cellStyle name="Comma 4 2 5 6" xfId="10179" xr:uid="{00000000-0005-0000-0000-0000961D0000}"/>
    <cellStyle name="Comma 4 2 5 6 2" xfId="21725" xr:uid="{695E78A5-61DD-41EF-9F9B-ABE95D61EADF}"/>
    <cellStyle name="Comma 4 2 5 6 3" xfId="32141" xr:uid="{67FE11B5-48F8-450B-B4C0-6F9551A30936}"/>
    <cellStyle name="Comma 4 2 5 7" xfId="6280" xr:uid="{00000000-0005-0000-0000-0000971D0000}"/>
    <cellStyle name="Comma 4 2 5 7 2" xfId="17866" xr:uid="{F8346CCF-075D-43AB-B002-69D854CFFC3B}"/>
    <cellStyle name="Comma 4 2 5 7 3" xfId="28282" xr:uid="{F0EAFCD7-BE99-4696-A528-0E8A584B070B}"/>
    <cellStyle name="Comma 4 2 5 8" xfId="15363" xr:uid="{AA21DD4C-521B-476C-ACA6-678E7F731E99}"/>
    <cellStyle name="Comma 4 2 5 9" xfId="25779" xr:uid="{B37DB878-B1EA-4B95-8F86-97A98D30EFDD}"/>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2 2 2" xfId="21738" xr:uid="{68776D8D-AB43-4E9F-8738-243046397DF4}"/>
    <cellStyle name="Comma 4 2 6 2 2 2 2 3" xfId="32154" xr:uid="{E0D83B02-85D8-4EAA-A2BC-5A8C379437B1}"/>
    <cellStyle name="Comma 4 2 6 2 2 2 3" xfId="15376" xr:uid="{384CF305-C119-4826-8DC0-E5278240FDB0}"/>
    <cellStyle name="Comma 4 2 6 2 2 2 4" xfId="25792" xr:uid="{D20A6B21-A481-412F-BEDA-E363D88B6355}"/>
    <cellStyle name="Comma 4 2 6 2 2 3" xfId="10191" xr:uid="{00000000-0005-0000-0000-00009D1D0000}"/>
    <cellStyle name="Comma 4 2 6 2 2 3 2" xfId="21737" xr:uid="{D2AAC491-6024-4367-BE96-B7B68E354935}"/>
    <cellStyle name="Comma 4 2 6 2 2 3 3" xfId="32153" xr:uid="{817E7822-DC18-4D04-99B2-BBDC1E483F61}"/>
    <cellStyle name="Comma 4 2 6 2 2 4" xfId="6287" xr:uid="{00000000-0005-0000-0000-00009E1D0000}"/>
    <cellStyle name="Comma 4 2 6 2 2 4 2" xfId="17873" xr:uid="{C8CEBFDF-B8AE-4BA8-BE22-908D376AC0EC}"/>
    <cellStyle name="Comma 4 2 6 2 2 4 3" xfId="28289" xr:uid="{D11B37AD-DD35-4991-BAF5-75FEA8AC8B8F}"/>
    <cellStyle name="Comma 4 2 6 2 2 5" xfId="15375" xr:uid="{AC0346A7-649F-4F1B-9E5B-F528D506BB58}"/>
    <cellStyle name="Comma 4 2 6 2 2 6" xfId="25791" xr:uid="{84216B4B-5F33-490E-8AD3-DF8790911B73}"/>
    <cellStyle name="Comma 4 2 6 2 3" xfId="3042" xr:uid="{00000000-0005-0000-0000-00009F1D0000}"/>
    <cellStyle name="Comma 4 2 6 2 3 2" xfId="10193" xr:uid="{00000000-0005-0000-0000-0000A01D0000}"/>
    <cellStyle name="Comma 4 2 6 2 3 2 2" xfId="21739" xr:uid="{5E0F0BE8-8BA3-421E-8454-5388A5C0FAB0}"/>
    <cellStyle name="Comma 4 2 6 2 3 2 3" xfId="32155" xr:uid="{66D57D8F-4302-48EF-964A-93EED3740723}"/>
    <cellStyle name="Comma 4 2 6 2 3 3" xfId="15377" xr:uid="{39290002-D499-4BD8-B14F-70169B8C928B}"/>
    <cellStyle name="Comma 4 2 6 2 3 4" xfId="25793" xr:uid="{1323E4C7-B56B-4E00-86B4-5023FD14D925}"/>
    <cellStyle name="Comma 4 2 6 2 4" xfId="10190" xr:uid="{00000000-0005-0000-0000-0000A11D0000}"/>
    <cellStyle name="Comma 4 2 6 2 4 2" xfId="21736" xr:uid="{8A4EDA7B-5162-4077-82DF-1F65C63BD419}"/>
    <cellStyle name="Comma 4 2 6 2 4 3" xfId="32152" xr:uid="{F81AD45C-FEE7-4165-BF57-1BDEA85170E6}"/>
    <cellStyle name="Comma 4 2 6 2 5" xfId="6286" xr:uid="{00000000-0005-0000-0000-0000A21D0000}"/>
    <cellStyle name="Comma 4 2 6 2 5 2" xfId="17872" xr:uid="{A7152F82-B326-4531-A8C0-5F32969864BC}"/>
    <cellStyle name="Comma 4 2 6 2 5 3" xfId="28288" xr:uid="{BE2DB8B6-A1CA-4C0B-B0AC-FA6E3B7202A3}"/>
    <cellStyle name="Comma 4 2 6 2 6" xfId="15374" xr:uid="{C673D78B-04A2-4EB1-B827-B55AD622F80D}"/>
    <cellStyle name="Comma 4 2 6 2 7" xfId="25790" xr:uid="{78B1A596-7BAC-4ACB-BD44-E1E315E96B3A}"/>
    <cellStyle name="Comma 4 2 6 3" xfId="3043" xr:uid="{00000000-0005-0000-0000-0000A31D0000}"/>
    <cellStyle name="Comma 4 2 6 3 2" xfId="3044" xr:uid="{00000000-0005-0000-0000-0000A41D0000}"/>
    <cellStyle name="Comma 4 2 6 3 2 2" xfId="10195" xr:uid="{00000000-0005-0000-0000-0000A51D0000}"/>
    <cellStyle name="Comma 4 2 6 3 2 2 2" xfId="21741" xr:uid="{AEA08791-CD5E-4EB6-B786-F746EBF3D45F}"/>
    <cellStyle name="Comma 4 2 6 3 2 2 3" xfId="32157" xr:uid="{25231E7C-37E8-4EFA-ACD0-A727DA2AC5F6}"/>
    <cellStyle name="Comma 4 2 6 3 2 3" xfId="15379" xr:uid="{2DC6273B-20BA-4D6C-ADE9-75E0276B2D1A}"/>
    <cellStyle name="Comma 4 2 6 3 2 4" xfId="25795" xr:uid="{7EF9245E-82BB-47E5-B15E-2A1FC47D078A}"/>
    <cellStyle name="Comma 4 2 6 3 3" xfId="10194" xr:uid="{00000000-0005-0000-0000-0000A61D0000}"/>
    <cellStyle name="Comma 4 2 6 3 3 2" xfId="21740" xr:uid="{DEB0380B-1630-4E16-9232-68D04F106080}"/>
    <cellStyle name="Comma 4 2 6 3 3 3" xfId="32156" xr:uid="{2FC793B2-161B-4DEF-A388-A56043FDFCAD}"/>
    <cellStyle name="Comma 4 2 6 3 4" xfId="6288" xr:uid="{00000000-0005-0000-0000-0000A71D0000}"/>
    <cellStyle name="Comma 4 2 6 3 4 2" xfId="17874" xr:uid="{0BD4B15C-99D3-4F28-AD5A-3F160F941194}"/>
    <cellStyle name="Comma 4 2 6 3 4 3" xfId="28290" xr:uid="{6BA09258-4799-48B2-9BE0-74A05C8DAA9B}"/>
    <cellStyle name="Comma 4 2 6 3 5" xfId="15378" xr:uid="{4E5FA5C9-CD5D-4D22-A97E-15D15AD25761}"/>
    <cellStyle name="Comma 4 2 6 3 6" xfId="25794" xr:uid="{4EC4CD3B-6C05-432B-A86A-6B0F3CE30DA0}"/>
    <cellStyle name="Comma 4 2 6 4" xfId="3045" xr:uid="{00000000-0005-0000-0000-0000A81D0000}"/>
    <cellStyle name="Comma 4 2 6 4 2" xfId="3046" xr:uid="{00000000-0005-0000-0000-0000A91D0000}"/>
    <cellStyle name="Comma 4 2 6 4 2 2" xfId="10197" xr:uid="{00000000-0005-0000-0000-0000AA1D0000}"/>
    <cellStyle name="Comma 4 2 6 4 2 2 2" xfId="21743" xr:uid="{AD51035F-1B6C-4827-B96A-B34BA876CA04}"/>
    <cellStyle name="Comma 4 2 6 4 2 2 3" xfId="32159" xr:uid="{1B5D3B6B-52A6-4043-A115-15CCE7614C71}"/>
    <cellStyle name="Comma 4 2 6 4 2 3" xfId="15381" xr:uid="{2663BFDC-2CC7-43B9-8E36-606EFF7AD7F0}"/>
    <cellStyle name="Comma 4 2 6 4 2 4" xfId="25797" xr:uid="{583C6D42-8C05-4BA3-95DB-45B00934CF4D}"/>
    <cellStyle name="Comma 4 2 6 4 3" xfId="10196" xr:uid="{00000000-0005-0000-0000-0000AB1D0000}"/>
    <cellStyle name="Comma 4 2 6 4 3 2" xfId="21742" xr:uid="{65524402-2387-4FE3-A70D-2034AB8E7045}"/>
    <cellStyle name="Comma 4 2 6 4 3 3" xfId="32158" xr:uid="{E04D067A-8026-4532-9A80-581126F77E4F}"/>
    <cellStyle name="Comma 4 2 6 4 4" xfId="6289" xr:uid="{00000000-0005-0000-0000-0000AC1D0000}"/>
    <cellStyle name="Comma 4 2 6 4 4 2" xfId="17875" xr:uid="{58E889C6-86D5-400D-B7C0-5B91533FBC11}"/>
    <cellStyle name="Comma 4 2 6 4 4 3" xfId="28291" xr:uid="{B84B9981-A809-4753-8DC9-28F7A5263CB6}"/>
    <cellStyle name="Comma 4 2 6 4 5" xfId="15380" xr:uid="{0F9D9AD0-0A0A-416D-9522-DDD462F7DC83}"/>
    <cellStyle name="Comma 4 2 6 4 6" xfId="25796" xr:uid="{5CBE1F51-9491-4C7E-ABF9-8F0467B504CC}"/>
    <cellStyle name="Comma 4 2 6 5" xfId="3047" xr:uid="{00000000-0005-0000-0000-0000AD1D0000}"/>
    <cellStyle name="Comma 4 2 6 5 2" xfId="10198" xr:uid="{00000000-0005-0000-0000-0000AE1D0000}"/>
    <cellStyle name="Comma 4 2 6 5 2 2" xfId="21744" xr:uid="{8FE04F00-7A8C-4ABB-BD38-1C36A174BA9A}"/>
    <cellStyle name="Comma 4 2 6 5 2 3" xfId="32160" xr:uid="{0BED7298-176E-443E-AA4D-65C93601BE9C}"/>
    <cellStyle name="Comma 4 2 6 5 3" xfId="15382" xr:uid="{F84A5814-7161-46BE-A917-C1AF4FDAB4E2}"/>
    <cellStyle name="Comma 4 2 6 5 4" xfId="25798" xr:uid="{F66FE37B-8EB7-4403-8B8B-6378D12B51F0}"/>
    <cellStyle name="Comma 4 2 6 6" xfId="10189" xr:uid="{00000000-0005-0000-0000-0000AF1D0000}"/>
    <cellStyle name="Comma 4 2 6 6 2" xfId="21735" xr:uid="{4BB14FF3-A3FE-43F3-B0DB-0E9E6C948651}"/>
    <cellStyle name="Comma 4 2 6 6 3" xfId="32151" xr:uid="{9882CC81-1F60-471B-8633-B7C81E6177AC}"/>
    <cellStyle name="Comma 4 2 6 7" xfId="6285" xr:uid="{00000000-0005-0000-0000-0000B01D0000}"/>
    <cellStyle name="Comma 4 2 6 7 2" xfId="17871" xr:uid="{01AB6E37-797C-4EEA-B4D4-21B230288523}"/>
    <cellStyle name="Comma 4 2 6 7 3" xfId="28287" xr:uid="{4227DBC4-83F5-4B57-BD2A-D99E4D0168A2}"/>
    <cellStyle name="Comma 4 2 6 8" xfId="15373" xr:uid="{28C6E793-74DA-4E24-87AA-E82067436D7F}"/>
    <cellStyle name="Comma 4 2 6 9" xfId="25789" xr:uid="{12C91442-84AD-4CB7-8676-4B41B5CE053F}"/>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2 2 2" xfId="21748" xr:uid="{E7C3D2BD-79D5-4D5F-B96C-5F67AFE836E8}"/>
    <cellStyle name="Comma 4 2 7 2 2 2 2 3" xfId="32164" xr:uid="{1283F84E-53DE-48AB-8716-5CAD2407D018}"/>
    <cellStyle name="Comma 4 2 7 2 2 2 3" xfId="15386" xr:uid="{1B57DB9B-1E99-40B5-8C90-559476ACD274}"/>
    <cellStyle name="Comma 4 2 7 2 2 2 4" xfId="25802" xr:uid="{231768B4-98E5-449E-BCA5-7568AC7BF833}"/>
    <cellStyle name="Comma 4 2 7 2 2 3" xfId="10201" xr:uid="{00000000-0005-0000-0000-0000B61D0000}"/>
    <cellStyle name="Comma 4 2 7 2 2 3 2" xfId="21747" xr:uid="{C122D8DB-D140-4517-9432-83E6BFDC91BF}"/>
    <cellStyle name="Comma 4 2 7 2 2 3 3" xfId="32163" xr:uid="{D25E1F50-3ABB-4F82-8DAB-4B12404F9D88}"/>
    <cellStyle name="Comma 4 2 7 2 2 4" xfId="6292" xr:uid="{00000000-0005-0000-0000-0000B71D0000}"/>
    <cellStyle name="Comma 4 2 7 2 2 4 2" xfId="17878" xr:uid="{8C82A590-FD47-4130-95E0-1FA72B1EE086}"/>
    <cellStyle name="Comma 4 2 7 2 2 4 3" xfId="28294" xr:uid="{D454B9DB-6F9E-47D5-A398-FCE014DC03FB}"/>
    <cellStyle name="Comma 4 2 7 2 2 5" xfId="15385" xr:uid="{AE5EA9A1-384C-40CA-B9BF-A059D6927751}"/>
    <cellStyle name="Comma 4 2 7 2 2 6" xfId="25801" xr:uid="{7F95B15A-F536-4E06-83A8-471FBA4583B4}"/>
    <cellStyle name="Comma 4 2 7 2 3" xfId="3052" xr:uid="{00000000-0005-0000-0000-0000B81D0000}"/>
    <cellStyle name="Comma 4 2 7 2 3 2" xfId="10203" xr:uid="{00000000-0005-0000-0000-0000B91D0000}"/>
    <cellStyle name="Comma 4 2 7 2 3 2 2" xfId="21749" xr:uid="{39BCA4EE-BF2D-4DF2-8406-AEF60401D0D6}"/>
    <cellStyle name="Comma 4 2 7 2 3 2 3" xfId="32165" xr:uid="{3CD75275-DBAC-4D36-A8AF-1735D75CDC91}"/>
    <cellStyle name="Comma 4 2 7 2 3 3" xfId="15387" xr:uid="{1F973A60-E3A6-446C-8288-D4D3340A9008}"/>
    <cellStyle name="Comma 4 2 7 2 3 4" xfId="25803" xr:uid="{2AA3BCEE-DC22-4C36-A739-EB1F5791B601}"/>
    <cellStyle name="Comma 4 2 7 2 4" xfId="10200" xr:uid="{00000000-0005-0000-0000-0000BA1D0000}"/>
    <cellStyle name="Comma 4 2 7 2 4 2" xfId="21746" xr:uid="{0686794F-E7D0-4FC8-AE0D-64A4F817936A}"/>
    <cellStyle name="Comma 4 2 7 2 4 3" xfId="32162" xr:uid="{ED6908F9-3D4E-41AF-9D9B-E1AA90EBCF25}"/>
    <cellStyle name="Comma 4 2 7 2 5" xfId="6291" xr:uid="{00000000-0005-0000-0000-0000BB1D0000}"/>
    <cellStyle name="Comma 4 2 7 2 5 2" xfId="17877" xr:uid="{C2ABE641-3952-47BC-A7FD-AAD27A2BA10F}"/>
    <cellStyle name="Comma 4 2 7 2 5 3" xfId="28293" xr:uid="{485BDACF-C265-4880-B0B6-DDA0BE35A7D5}"/>
    <cellStyle name="Comma 4 2 7 2 6" xfId="15384" xr:uid="{6F7A2EBE-C5DB-4F57-B62F-34DFCF3C393F}"/>
    <cellStyle name="Comma 4 2 7 2 7" xfId="25800" xr:uid="{3FB6A95D-5D9E-49B4-96AF-3FA039705204}"/>
    <cellStyle name="Comma 4 2 7 3" xfId="3053" xr:uid="{00000000-0005-0000-0000-0000BC1D0000}"/>
    <cellStyle name="Comma 4 2 7 3 2" xfId="3054" xr:uid="{00000000-0005-0000-0000-0000BD1D0000}"/>
    <cellStyle name="Comma 4 2 7 3 2 2" xfId="10205" xr:uid="{00000000-0005-0000-0000-0000BE1D0000}"/>
    <cellStyle name="Comma 4 2 7 3 2 2 2" xfId="21751" xr:uid="{9E9C070A-03D0-4A25-8F86-2E1EBEA0B5C8}"/>
    <cellStyle name="Comma 4 2 7 3 2 2 3" xfId="32167" xr:uid="{D86CCBBC-A3AA-4DEF-8C7C-3D871C7322E9}"/>
    <cellStyle name="Comma 4 2 7 3 2 3" xfId="15389" xr:uid="{6B5D2340-CC12-4851-8175-979BB82A0533}"/>
    <cellStyle name="Comma 4 2 7 3 2 4" xfId="25805" xr:uid="{8E70DE88-0C39-4A71-B4F3-B7B0EF6A3DD2}"/>
    <cellStyle name="Comma 4 2 7 3 3" xfId="10204" xr:uid="{00000000-0005-0000-0000-0000BF1D0000}"/>
    <cellStyle name="Comma 4 2 7 3 3 2" xfId="21750" xr:uid="{F8A37928-DFE0-4E58-AEAC-A971D0758CF6}"/>
    <cellStyle name="Comma 4 2 7 3 3 3" xfId="32166" xr:uid="{17A9BAFD-A06C-400C-8512-2B611C3FFF74}"/>
    <cellStyle name="Comma 4 2 7 3 4" xfId="6293" xr:uid="{00000000-0005-0000-0000-0000C01D0000}"/>
    <cellStyle name="Comma 4 2 7 3 4 2" xfId="17879" xr:uid="{3CC3B4CC-826F-4786-A216-C18ABD87E272}"/>
    <cellStyle name="Comma 4 2 7 3 4 3" xfId="28295" xr:uid="{59E5B396-289D-44F3-9E1C-4FF2261CD1BF}"/>
    <cellStyle name="Comma 4 2 7 3 5" xfId="15388" xr:uid="{61DC8E0B-DAE5-4E84-B29D-545399D7F7C4}"/>
    <cellStyle name="Comma 4 2 7 3 6" xfId="25804" xr:uid="{4DAB4170-E70A-4078-9991-707A2806170D}"/>
    <cellStyle name="Comma 4 2 7 4" xfId="3055" xr:uid="{00000000-0005-0000-0000-0000C11D0000}"/>
    <cellStyle name="Comma 4 2 7 4 2" xfId="3056" xr:uid="{00000000-0005-0000-0000-0000C21D0000}"/>
    <cellStyle name="Comma 4 2 7 4 2 2" xfId="10207" xr:uid="{00000000-0005-0000-0000-0000C31D0000}"/>
    <cellStyle name="Comma 4 2 7 4 2 2 2" xfId="21753" xr:uid="{B519101A-0A4B-462B-9903-F11741BDE52A}"/>
    <cellStyle name="Comma 4 2 7 4 2 2 3" xfId="32169" xr:uid="{1129421F-6E8A-498C-B16A-A14EFDCEDBFC}"/>
    <cellStyle name="Comma 4 2 7 4 2 3" xfId="15391" xr:uid="{CEFEDAE0-7A1F-4D78-9898-756002A4BE76}"/>
    <cellStyle name="Comma 4 2 7 4 2 4" xfId="25807" xr:uid="{D7130E03-F5F1-4175-AE96-0380572D742D}"/>
    <cellStyle name="Comma 4 2 7 4 3" xfId="10206" xr:uid="{00000000-0005-0000-0000-0000C41D0000}"/>
    <cellStyle name="Comma 4 2 7 4 3 2" xfId="21752" xr:uid="{F0287F89-194F-4FBF-8238-53AE605FDA07}"/>
    <cellStyle name="Comma 4 2 7 4 3 3" xfId="32168" xr:uid="{F4EDF6E0-46C8-4640-9979-CC860370765A}"/>
    <cellStyle name="Comma 4 2 7 4 4" xfId="6294" xr:uid="{00000000-0005-0000-0000-0000C51D0000}"/>
    <cellStyle name="Comma 4 2 7 4 4 2" xfId="17880" xr:uid="{A426CDA4-0A29-475F-914A-F3BC26EA1EB1}"/>
    <cellStyle name="Comma 4 2 7 4 4 3" xfId="28296" xr:uid="{854581BA-7F81-4984-810D-8C4908EB7FC5}"/>
    <cellStyle name="Comma 4 2 7 4 5" xfId="15390" xr:uid="{D0802B0B-D992-427B-8683-2A3E77A5212E}"/>
    <cellStyle name="Comma 4 2 7 4 6" xfId="25806" xr:uid="{372F8959-98E3-41D4-9490-9CCD242D85F7}"/>
    <cellStyle name="Comma 4 2 7 5" xfId="3057" xr:uid="{00000000-0005-0000-0000-0000C61D0000}"/>
    <cellStyle name="Comma 4 2 7 5 2" xfId="10208" xr:uid="{00000000-0005-0000-0000-0000C71D0000}"/>
    <cellStyle name="Comma 4 2 7 5 2 2" xfId="21754" xr:uid="{231904DB-097D-4380-B750-E1FDBE084A36}"/>
    <cellStyle name="Comma 4 2 7 5 2 3" xfId="32170" xr:uid="{2312C055-369E-4625-9975-88B8EF9C6EF9}"/>
    <cellStyle name="Comma 4 2 7 5 3" xfId="15392" xr:uid="{7EE81EB1-6494-42DF-9447-E1700490412C}"/>
    <cellStyle name="Comma 4 2 7 5 4" xfId="25808" xr:uid="{7F54DBAC-D140-400C-823E-7EEDC06F4940}"/>
    <cellStyle name="Comma 4 2 7 6" xfId="10199" xr:uid="{00000000-0005-0000-0000-0000C81D0000}"/>
    <cellStyle name="Comma 4 2 7 6 2" xfId="21745" xr:uid="{7B22242A-F01C-4A7E-93CF-32D901733807}"/>
    <cellStyle name="Comma 4 2 7 6 3" xfId="32161" xr:uid="{B9F55432-F099-4335-9C5D-F71069CBEEB8}"/>
    <cellStyle name="Comma 4 2 7 7" xfId="6290" xr:uid="{00000000-0005-0000-0000-0000C91D0000}"/>
    <cellStyle name="Comma 4 2 7 7 2" xfId="17876" xr:uid="{3BBA1FF5-8436-4F6C-A0E6-2259DE34C3AC}"/>
    <cellStyle name="Comma 4 2 7 7 3" xfId="28292" xr:uid="{72866BCE-D97D-4349-B473-AD0F80C78FB2}"/>
    <cellStyle name="Comma 4 2 7 8" xfId="15383" xr:uid="{3E4896E6-C813-47D9-925F-7DF21C52E0A8}"/>
    <cellStyle name="Comma 4 2 7 9" xfId="25799" xr:uid="{A6D6B7F1-1861-4018-8BE5-94208EE0A60C}"/>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2 2 2" xfId="21758" xr:uid="{B984781F-C352-42A2-8CCA-878786A0D415}"/>
    <cellStyle name="Comma 4 2 8 2 2 2 2 3" xfId="32174" xr:uid="{01777EB4-F389-437C-8B57-B3C50A3DA4CA}"/>
    <cellStyle name="Comma 4 2 8 2 2 2 3" xfId="15396" xr:uid="{3D69F435-6C77-4777-981C-F0AED010A37B}"/>
    <cellStyle name="Comma 4 2 8 2 2 2 4" xfId="25812" xr:uid="{39DB05A4-0239-4232-A159-0C38EAA64783}"/>
    <cellStyle name="Comma 4 2 8 2 2 3" xfId="10211" xr:uid="{00000000-0005-0000-0000-0000CF1D0000}"/>
    <cellStyle name="Comma 4 2 8 2 2 3 2" xfId="21757" xr:uid="{E8B56BFE-72CB-43DE-BDC9-BF0D14F42784}"/>
    <cellStyle name="Comma 4 2 8 2 2 3 3" xfId="32173" xr:uid="{26BDF156-9563-409A-B969-DEF893ABFA1E}"/>
    <cellStyle name="Comma 4 2 8 2 2 4" xfId="6297" xr:uid="{00000000-0005-0000-0000-0000D01D0000}"/>
    <cellStyle name="Comma 4 2 8 2 2 4 2" xfId="17883" xr:uid="{BA8C5AD6-5C5E-42F1-A797-48E611F69A64}"/>
    <cellStyle name="Comma 4 2 8 2 2 4 3" xfId="28299" xr:uid="{01B4ED0F-1B68-42F5-95DC-22A0BA41FABE}"/>
    <cellStyle name="Comma 4 2 8 2 2 5" xfId="15395" xr:uid="{D5B27EA9-D22B-4576-A275-89287887260A}"/>
    <cellStyle name="Comma 4 2 8 2 2 6" xfId="25811" xr:uid="{C021EB6E-389F-4EC5-B596-162F46F8BD25}"/>
    <cellStyle name="Comma 4 2 8 2 3" xfId="3062" xr:uid="{00000000-0005-0000-0000-0000D11D0000}"/>
    <cellStyle name="Comma 4 2 8 2 3 2" xfId="10213" xr:uid="{00000000-0005-0000-0000-0000D21D0000}"/>
    <cellStyle name="Comma 4 2 8 2 3 2 2" xfId="21759" xr:uid="{B3F0D053-660B-4D96-A4AF-A504AF3F0B47}"/>
    <cellStyle name="Comma 4 2 8 2 3 2 3" xfId="32175" xr:uid="{9086245A-2C2E-4166-9826-8B026BD3A577}"/>
    <cellStyle name="Comma 4 2 8 2 3 3" xfId="15397" xr:uid="{2CDEE64F-A290-4B9E-88C7-D7224E76DA0E}"/>
    <cellStyle name="Comma 4 2 8 2 3 4" xfId="25813" xr:uid="{4ED2C6AF-9A16-4622-89C8-0938A797A0A9}"/>
    <cellStyle name="Comma 4 2 8 2 4" xfId="10210" xr:uid="{00000000-0005-0000-0000-0000D31D0000}"/>
    <cellStyle name="Comma 4 2 8 2 4 2" xfId="21756" xr:uid="{65386070-F51F-4F76-9DAA-DA91EE3D29A5}"/>
    <cellStyle name="Comma 4 2 8 2 4 3" xfId="32172" xr:uid="{1077755F-F9BA-4FFD-BA18-20BBF7F866FF}"/>
    <cellStyle name="Comma 4 2 8 2 5" xfId="6296" xr:uid="{00000000-0005-0000-0000-0000D41D0000}"/>
    <cellStyle name="Comma 4 2 8 2 5 2" xfId="17882" xr:uid="{D83257D3-8874-486E-AD1D-5CD7B033AA9B}"/>
    <cellStyle name="Comma 4 2 8 2 5 3" xfId="28298" xr:uid="{453133A0-BD72-41B9-8091-58C4E0FA4B7A}"/>
    <cellStyle name="Comma 4 2 8 2 6" xfId="15394" xr:uid="{C1AB3CA5-6CFA-48A5-A254-41EAC5F25E0D}"/>
    <cellStyle name="Comma 4 2 8 2 7" xfId="25810" xr:uid="{4ECF81FC-4C73-44DF-9718-21EC64E18D81}"/>
    <cellStyle name="Comma 4 2 8 3" xfId="3063" xr:uid="{00000000-0005-0000-0000-0000D51D0000}"/>
    <cellStyle name="Comma 4 2 8 3 2" xfId="3064" xr:uid="{00000000-0005-0000-0000-0000D61D0000}"/>
    <cellStyle name="Comma 4 2 8 3 2 2" xfId="10215" xr:uid="{00000000-0005-0000-0000-0000D71D0000}"/>
    <cellStyle name="Comma 4 2 8 3 2 2 2" xfId="21761" xr:uid="{5D23CD19-FAD1-40F7-8F0E-C82F93FB18CC}"/>
    <cellStyle name="Comma 4 2 8 3 2 2 3" xfId="32177" xr:uid="{DA035D58-7E12-4743-9CD8-62627B02B928}"/>
    <cellStyle name="Comma 4 2 8 3 2 3" xfId="15399" xr:uid="{9DF74383-7BC7-49AA-A045-5A4D88C912EC}"/>
    <cellStyle name="Comma 4 2 8 3 2 4" xfId="25815" xr:uid="{C1A6F49E-D46D-46B5-9446-35E3840BA3C1}"/>
    <cellStyle name="Comma 4 2 8 3 3" xfId="10214" xr:uid="{00000000-0005-0000-0000-0000D81D0000}"/>
    <cellStyle name="Comma 4 2 8 3 3 2" xfId="21760" xr:uid="{5BFD8F28-233E-4D5F-BC53-9800B3BE96C7}"/>
    <cellStyle name="Comma 4 2 8 3 3 3" xfId="32176" xr:uid="{B673A30B-04B2-4CF8-88BD-B569A86B1DD7}"/>
    <cellStyle name="Comma 4 2 8 3 4" xfId="6298" xr:uid="{00000000-0005-0000-0000-0000D91D0000}"/>
    <cellStyle name="Comma 4 2 8 3 4 2" xfId="17884" xr:uid="{608F19B2-DD45-4C5E-AB54-78A1FA133C9A}"/>
    <cellStyle name="Comma 4 2 8 3 4 3" xfId="28300" xr:uid="{8568A0CF-E049-4CDC-98C3-07FAE6BAD733}"/>
    <cellStyle name="Comma 4 2 8 3 5" xfId="15398" xr:uid="{CE0BFC3E-A9E5-4624-B747-CA33960C6536}"/>
    <cellStyle name="Comma 4 2 8 3 6" xfId="25814" xr:uid="{9924C115-F5B0-46C4-937E-B44AD423F0D0}"/>
    <cellStyle name="Comma 4 2 8 4" xfId="3065" xr:uid="{00000000-0005-0000-0000-0000DA1D0000}"/>
    <cellStyle name="Comma 4 2 8 4 2" xfId="3066" xr:uid="{00000000-0005-0000-0000-0000DB1D0000}"/>
    <cellStyle name="Comma 4 2 8 4 2 2" xfId="10217" xr:uid="{00000000-0005-0000-0000-0000DC1D0000}"/>
    <cellStyle name="Comma 4 2 8 4 2 2 2" xfId="21763" xr:uid="{AA9B4817-E306-4058-B6DD-D57A6BE5A07B}"/>
    <cellStyle name="Comma 4 2 8 4 2 2 3" xfId="32179" xr:uid="{01E0FFEB-D6A4-4D22-B857-F31B08D46069}"/>
    <cellStyle name="Comma 4 2 8 4 2 3" xfId="15401" xr:uid="{84AB3AEB-98A9-4B4E-9033-A5F6E1D0A53C}"/>
    <cellStyle name="Comma 4 2 8 4 2 4" xfId="25817" xr:uid="{A6E7C99C-3EAB-44F9-8AC8-679557798186}"/>
    <cellStyle name="Comma 4 2 8 4 3" xfId="10216" xr:uid="{00000000-0005-0000-0000-0000DD1D0000}"/>
    <cellStyle name="Comma 4 2 8 4 3 2" xfId="21762" xr:uid="{B0BA90C1-8B5E-48B1-AED6-05397E820A49}"/>
    <cellStyle name="Comma 4 2 8 4 3 3" xfId="32178" xr:uid="{C2D329C4-C587-4AD2-900B-A61DD88142CF}"/>
    <cellStyle name="Comma 4 2 8 4 4" xfId="6299" xr:uid="{00000000-0005-0000-0000-0000DE1D0000}"/>
    <cellStyle name="Comma 4 2 8 4 4 2" xfId="17885" xr:uid="{685D4C5D-319C-41AF-B085-A9CFBAF81961}"/>
    <cellStyle name="Comma 4 2 8 4 4 3" xfId="28301" xr:uid="{4441233A-542C-460F-89E7-C3069061344E}"/>
    <cellStyle name="Comma 4 2 8 4 5" xfId="15400" xr:uid="{E7E22CD0-FD43-4CDC-9E2D-86F0BAF6A827}"/>
    <cellStyle name="Comma 4 2 8 4 6" xfId="25816" xr:uid="{F87F1415-592E-43E9-92B7-847F00BD08B3}"/>
    <cellStyle name="Comma 4 2 8 5" xfId="3067" xr:uid="{00000000-0005-0000-0000-0000DF1D0000}"/>
    <cellStyle name="Comma 4 2 8 5 2" xfId="10218" xr:uid="{00000000-0005-0000-0000-0000E01D0000}"/>
    <cellStyle name="Comma 4 2 8 5 2 2" xfId="21764" xr:uid="{147957FE-7DA5-491D-AE90-5F0A434B3937}"/>
    <cellStyle name="Comma 4 2 8 5 2 3" xfId="32180" xr:uid="{5BBCE665-39CE-44DE-9036-C22D4098BC6E}"/>
    <cellStyle name="Comma 4 2 8 5 3" xfId="15402" xr:uid="{4FDBC53B-4973-4E6B-BF6D-7CE17366CEE4}"/>
    <cellStyle name="Comma 4 2 8 5 4" xfId="25818" xr:uid="{D41BC07B-7C3E-4FEB-8C13-757E6E1FEF55}"/>
    <cellStyle name="Comma 4 2 8 6" xfId="10209" xr:uid="{00000000-0005-0000-0000-0000E11D0000}"/>
    <cellStyle name="Comma 4 2 8 6 2" xfId="21755" xr:uid="{28D26E84-76E7-4CC1-B67E-9307D06A9CCD}"/>
    <cellStyle name="Comma 4 2 8 6 3" xfId="32171" xr:uid="{A3C0CFC1-7576-4A07-87CC-DD3BAB1E84A6}"/>
    <cellStyle name="Comma 4 2 8 7" xfId="6295" xr:uid="{00000000-0005-0000-0000-0000E21D0000}"/>
    <cellStyle name="Comma 4 2 8 7 2" xfId="17881" xr:uid="{2DEEE37A-9224-4FBC-8508-79F30045BE84}"/>
    <cellStyle name="Comma 4 2 8 7 3" xfId="28297" xr:uid="{25A003FD-DD66-4139-88C0-D4270AF0372A}"/>
    <cellStyle name="Comma 4 2 8 8" xfId="15393" xr:uid="{BF2F690E-BDF7-469B-94E1-386E6A347F63}"/>
    <cellStyle name="Comma 4 2 8 9" xfId="25809" xr:uid="{6164119E-D994-4F47-A6F3-404FD8616B49}"/>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2 2 2" xfId="21767" xr:uid="{102C25BF-EDC2-41A8-A7C9-F295E835564F}"/>
    <cellStyle name="Comma 4 2 9 2 2 2 3" xfId="32183" xr:uid="{1488D8C1-2A05-4662-BABA-9E38A4740C78}"/>
    <cellStyle name="Comma 4 2 9 2 2 3" xfId="15405" xr:uid="{03896704-C63D-4FC0-B445-C77F268E48E4}"/>
    <cellStyle name="Comma 4 2 9 2 2 4" xfId="25821" xr:uid="{E2267F11-BDFF-48F4-8DAF-0AED29BBB212}"/>
    <cellStyle name="Comma 4 2 9 2 3" xfId="10220" xr:uid="{00000000-0005-0000-0000-0000E71D0000}"/>
    <cellStyle name="Comma 4 2 9 2 3 2" xfId="21766" xr:uid="{6E9D2156-38F7-4E12-B28E-ED51D85A3BE7}"/>
    <cellStyle name="Comma 4 2 9 2 3 3" xfId="32182" xr:uid="{A9A61027-F6FE-45E9-B2E3-9A78075111A6}"/>
    <cellStyle name="Comma 4 2 9 2 4" xfId="6301" xr:uid="{00000000-0005-0000-0000-0000E81D0000}"/>
    <cellStyle name="Comma 4 2 9 2 4 2" xfId="17887" xr:uid="{7F2D1F24-D5EF-44D4-8BB5-34A866FD3E3E}"/>
    <cellStyle name="Comma 4 2 9 2 4 3" xfId="28303" xr:uid="{9CFBAC38-2396-41E9-81D0-2885FACED768}"/>
    <cellStyle name="Comma 4 2 9 2 5" xfId="15404" xr:uid="{D9562F39-4FBD-4D33-A4FA-68BE9F2B0D81}"/>
    <cellStyle name="Comma 4 2 9 2 6" xfId="25820" xr:uid="{B28979EF-E92C-4821-9706-FD4A7DE133D6}"/>
    <cellStyle name="Comma 4 2 9 3" xfId="3071" xr:uid="{00000000-0005-0000-0000-0000E91D0000}"/>
    <cellStyle name="Comma 4 2 9 3 2" xfId="3072" xr:uid="{00000000-0005-0000-0000-0000EA1D0000}"/>
    <cellStyle name="Comma 4 2 9 3 2 2" xfId="10223" xr:uid="{00000000-0005-0000-0000-0000EB1D0000}"/>
    <cellStyle name="Comma 4 2 9 3 2 2 2" xfId="21769" xr:uid="{EBE6CD5C-4D29-43E4-92D5-A7D3E3248D4B}"/>
    <cellStyle name="Comma 4 2 9 3 2 2 3" xfId="32185" xr:uid="{F001DB98-82BE-4841-B874-78C54EEC80B3}"/>
    <cellStyle name="Comma 4 2 9 3 2 3" xfId="15407" xr:uid="{ECC55860-1A9F-4756-996B-6E14697EC03B}"/>
    <cellStyle name="Comma 4 2 9 3 2 4" xfId="25823" xr:uid="{3DE06DC3-B423-4727-934C-A501279C8239}"/>
    <cellStyle name="Comma 4 2 9 3 3" xfId="10222" xr:uid="{00000000-0005-0000-0000-0000EC1D0000}"/>
    <cellStyle name="Comma 4 2 9 3 3 2" xfId="21768" xr:uid="{ED0D04D8-E5FE-44AC-89F2-A2C1573C7705}"/>
    <cellStyle name="Comma 4 2 9 3 3 3" xfId="32184" xr:uid="{10D46837-3E1E-45BB-8B33-D282F97A38CE}"/>
    <cellStyle name="Comma 4 2 9 3 4" xfId="6302" xr:uid="{00000000-0005-0000-0000-0000ED1D0000}"/>
    <cellStyle name="Comma 4 2 9 3 4 2" xfId="17888" xr:uid="{72918643-0226-4DA5-BECD-2A6C955E04D0}"/>
    <cellStyle name="Comma 4 2 9 3 4 3" xfId="28304" xr:uid="{486E739D-A314-4F1B-B223-E7D049CF88AD}"/>
    <cellStyle name="Comma 4 2 9 3 5" xfId="15406" xr:uid="{C2F8A8D0-AB62-46CD-B694-A3F8CE6B8D6C}"/>
    <cellStyle name="Comma 4 2 9 3 6" xfId="25822" xr:uid="{39B19B14-11F4-4C9B-9277-2D9D38813F4A}"/>
    <cellStyle name="Comma 4 2 9 4" xfId="3073" xr:uid="{00000000-0005-0000-0000-0000EE1D0000}"/>
    <cellStyle name="Comma 4 2 9 4 2" xfId="10224" xr:uid="{00000000-0005-0000-0000-0000EF1D0000}"/>
    <cellStyle name="Comma 4 2 9 4 2 2" xfId="21770" xr:uid="{80B411DB-ED14-41C0-80EC-674FB3CE02C1}"/>
    <cellStyle name="Comma 4 2 9 4 2 3" xfId="32186" xr:uid="{49FB48BF-D111-4303-8319-EDCB87BF410D}"/>
    <cellStyle name="Comma 4 2 9 4 3" xfId="15408" xr:uid="{61859C6A-813C-4A86-8F52-E4121E76838B}"/>
    <cellStyle name="Comma 4 2 9 4 4" xfId="25824" xr:uid="{2507D9F0-D3C1-4123-AC65-0F82C67D75C9}"/>
    <cellStyle name="Comma 4 2 9 5" xfId="10219" xr:uid="{00000000-0005-0000-0000-0000F01D0000}"/>
    <cellStyle name="Comma 4 2 9 5 2" xfId="21765" xr:uid="{FA525684-0216-4DF2-8B4C-6791CA13F34A}"/>
    <cellStyle name="Comma 4 2 9 5 3" xfId="32181" xr:uid="{3D101A1E-DB39-4AE8-9AB5-1BD695689D76}"/>
    <cellStyle name="Comma 4 2 9 6" xfId="6300" xr:uid="{00000000-0005-0000-0000-0000F11D0000}"/>
    <cellStyle name="Comma 4 2 9 6 2" xfId="17886" xr:uid="{7E7A005C-BC5A-456B-8B26-7FB9819A879C}"/>
    <cellStyle name="Comma 4 2 9 6 3" xfId="28302" xr:uid="{490BB846-17DB-47E8-8B97-7EAA2F48D577}"/>
    <cellStyle name="Comma 4 2 9 7" xfId="15403" xr:uid="{CED558A1-F53D-4401-9709-2DBC468FD6D6}"/>
    <cellStyle name="Comma 4 2 9 8" xfId="25819" xr:uid="{A4CAD869-3786-4978-BC86-8B6671B4260C}"/>
    <cellStyle name="Comma 4 20" xfId="15057" xr:uid="{94A86619-5575-4E34-BCD8-1956D6C0992E}"/>
    <cellStyle name="Comma 4 21" xfId="25473" xr:uid="{CAD2A874-34D4-48E6-A0DD-1DB02148C9D2}"/>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2 2 2" xfId="21773" xr:uid="{C392E23C-D582-4409-B4A8-20D8D3D79DCB}"/>
    <cellStyle name="Comma 4 3 10 2 2 3" xfId="32189" xr:uid="{3E32F8E4-A83C-4764-BDDD-DD139104446A}"/>
    <cellStyle name="Comma 4 3 10 2 3" xfId="15411" xr:uid="{740908CD-7048-481A-B99B-4F150D9C9AFF}"/>
    <cellStyle name="Comma 4 3 10 2 4" xfId="25827" xr:uid="{5F3EC3A5-444B-4D34-A7CC-E40AE8B3C0D1}"/>
    <cellStyle name="Comma 4 3 10 3" xfId="10226" xr:uid="{00000000-0005-0000-0000-0000F61D0000}"/>
    <cellStyle name="Comma 4 3 10 3 2" xfId="21772" xr:uid="{EED4B991-A21A-4D2F-916E-08C0FABA1216}"/>
    <cellStyle name="Comma 4 3 10 3 3" xfId="32188" xr:uid="{C269753E-FC8A-4B17-B926-CF618069D669}"/>
    <cellStyle name="Comma 4 3 10 4" xfId="6304" xr:uid="{00000000-0005-0000-0000-0000F71D0000}"/>
    <cellStyle name="Comma 4 3 10 4 2" xfId="17890" xr:uid="{FF9B4C60-5573-4126-BC6E-048734B12E68}"/>
    <cellStyle name="Comma 4 3 10 4 3" xfId="28306" xr:uid="{BB838E72-52ED-4FF0-86A5-37ED91639245}"/>
    <cellStyle name="Comma 4 3 10 5" xfId="15410" xr:uid="{67B79523-09E1-4BD7-8F8F-9C0F82345420}"/>
    <cellStyle name="Comma 4 3 10 6" xfId="25826" xr:uid="{6E9F05FD-C381-4598-B0E6-09FDA813942C}"/>
    <cellStyle name="Comma 4 3 11" xfId="3077" xr:uid="{00000000-0005-0000-0000-0000F81D0000}"/>
    <cellStyle name="Comma 4 3 11 2" xfId="10228" xr:uid="{00000000-0005-0000-0000-0000F91D0000}"/>
    <cellStyle name="Comma 4 3 11 2 2" xfId="21774" xr:uid="{A973B10C-5C89-4438-871A-D924E25A21C4}"/>
    <cellStyle name="Comma 4 3 11 2 3" xfId="32190" xr:uid="{ECE26281-86F8-46F1-BFFA-E8BD6B4E7BE2}"/>
    <cellStyle name="Comma 4 3 11 3" xfId="15412" xr:uid="{068E457B-E0FE-4AE2-B0A9-79AC7E5CECE3}"/>
    <cellStyle name="Comma 4 3 11 4" xfId="25828" xr:uid="{13E34EBA-E54F-4565-83A5-0092278B56EE}"/>
    <cellStyle name="Comma 4 3 12" xfId="10225" xr:uid="{00000000-0005-0000-0000-0000FA1D0000}"/>
    <cellStyle name="Comma 4 3 12 2" xfId="21771" xr:uid="{60BCCF96-401A-40E2-A6AF-16D6DF9B7029}"/>
    <cellStyle name="Comma 4 3 12 3" xfId="32187" xr:uid="{3F8277E9-DDC0-4011-A6F8-FCD394652BB8}"/>
    <cellStyle name="Comma 4 3 13" xfId="6303" xr:uid="{00000000-0005-0000-0000-0000FB1D0000}"/>
    <cellStyle name="Comma 4 3 13 2" xfId="17889" xr:uid="{6AFB8E91-E61C-4938-9E37-0AB2FF45F6C4}"/>
    <cellStyle name="Comma 4 3 13 3" xfId="28305" xr:uid="{98CD3539-1A62-4EB2-AADD-C435279B1353}"/>
    <cellStyle name="Comma 4 3 14" xfId="15409" xr:uid="{05CF1F41-01D1-4855-9CC0-FED936E072FD}"/>
    <cellStyle name="Comma 4 3 15" xfId="25825" xr:uid="{687D71E5-531C-4DFD-8CF5-DA6EA7ACB3F1}"/>
    <cellStyle name="Comma 4 3 2" xfId="3078" xr:uid="{00000000-0005-0000-0000-0000FC1D0000}"/>
    <cellStyle name="Comma 4 3 2 10" xfId="3079" xr:uid="{00000000-0005-0000-0000-0000FD1D0000}"/>
    <cellStyle name="Comma 4 3 2 10 2" xfId="10230" xr:uid="{00000000-0005-0000-0000-0000FE1D0000}"/>
    <cellStyle name="Comma 4 3 2 10 2 2" xfId="21776" xr:uid="{FDAF75FA-A6BD-4B9D-91CA-B22D9F2C9C7A}"/>
    <cellStyle name="Comma 4 3 2 10 2 3" xfId="32192" xr:uid="{FCCA4348-F37A-45D5-ABC4-ECFFF10E1677}"/>
    <cellStyle name="Comma 4 3 2 10 3" xfId="15414" xr:uid="{129B7101-F1F6-45C1-ABD6-7D2FD97EAC9B}"/>
    <cellStyle name="Comma 4 3 2 10 4" xfId="25830" xr:uid="{D582B174-72A7-45C0-9D32-AA54A41C16D5}"/>
    <cellStyle name="Comma 4 3 2 11" xfId="10229" xr:uid="{00000000-0005-0000-0000-0000FF1D0000}"/>
    <cellStyle name="Comma 4 3 2 11 2" xfId="21775" xr:uid="{0D4982CB-B133-44E1-B965-32A59CD5AF0B}"/>
    <cellStyle name="Comma 4 3 2 11 3" xfId="32191" xr:uid="{B480B308-8195-4349-BF7C-2D77113287BB}"/>
    <cellStyle name="Comma 4 3 2 12" xfId="6305" xr:uid="{00000000-0005-0000-0000-0000001E0000}"/>
    <cellStyle name="Comma 4 3 2 12 2" xfId="17891" xr:uid="{F35F96ED-4260-46F8-873A-BA5A32E0A7AF}"/>
    <cellStyle name="Comma 4 3 2 12 3" xfId="28307" xr:uid="{A747E332-AFE3-4D34-9813-574425D340E2}"/>
    <cellStyle name="Comma 4 3 2 13" xfId="15413" xr:uid="{1CCE2F42-1A2D-4CE2-90A8-C2C9E769710B}"/>
    <cellStyle name="Comma 4 3 2 14" xfId="25829" xr:uid="{C7951CCB-D079-47C6-BB9B-46C0EF67F07B}"/>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2 2 2" xfId="21780" xr:uid="{0ADA1FD2-4DA6-43F8-BC17-19412E6FB35B}"/>
    <cellStyle name="Comma 4 3 2 2 2 2 2 2 3" xfId="32196" xr:uid="{622DBF1A-582E-498E-ADAD-D1E597608465}"/>
    <cellStyle name="Comma 4 3 2 2 2 2 2 3" xfId="15418" xr:uid="{46B7B67C-FD63-4F7C-ADC5-2177A510B7E2}"/>
    <cellStyle name="Comma 4 3 2 2 2 2 2 4" xfId="25834" xr:uid="{EFB09787-389A-4591-85DB-2C90D3833544}"/>
    <cellStyle name="Comma 4 3 2 2 2 2 3" xfId="10233" xr:uid="{00000000-0005-0000-0000-0000061E0000}"/>
    <cellStyle name="Comma 4 3 2 2 2 2 3 2" xfId="21779" xr:uid="{3E4CCD2A-5C13-4FAB-AC97-075029CC673F}"/>
    <cellStyle name="Comma 4 3 2 2 2 2 3 3" xfId="32195" xr:uid="{336DF8D2-1A75-4B41-8534-CACC3E10B462}"/>
    <cellStyle name="Comma 4 3 2 2 2 2 4" xfId="6308" xr:uid="{00000000-0005-0000-0000-0000071E0000}"/>
    <cellStyle name="Comma 4 3 2 2 2 2 4 2" xfId="17894" xr:uid="{0A86DAF8-D4CA-4725-AE3E-77EF82113D70}"/>
    <cellStyle name="Comma 4 3 2 2 2 2 4 3" xfId="28310" xr:uid="{E48CBCC6-05F8-45DD-9986-467167E33F7F}"/>
    <cellStyle name="Comma 4 3 2 2 2 2 5" xfId="15417" xr:uid="{CCBB8607-6FE1-4322-9E5A-B038D8D194FB}"/>
    <cellStyle name="Comma 4 3 2 2 2 2 6" xfId="25833" xr:uid="{0F8951DF-E6E9-4BE6-AEA7-925ED0FD9572}"/>
    <cellStyle name="Comma 4 3 2 2 2 3" xfId="3084" xr:uid="{00000000-0005-0000-0000-0000081E0000}"/>
    <cellStyle name="Comma 4 3 2 2 2 3 2" xfId="10235" xr:uid="{00000000-0005-0000-0000-0000091E0000}"/>
    <cellStyle name="Comma 4 3 2 2 2 3 2 2" xfId="21781" xr:uid="{C0A997E7-ABEC-4205-85B5-F353DCDEA3EC}"/>
    <cellStyle name="Comma 4 3 2 2 2 3 2 3" xfId="32197" xr:uid="{AA173047-FB60-4131-B0B9-4868AC084FE4}"/>
    <cellStyle name="Comma 4 3 2 2 2 3 3" xfId="15419" xr:uid="{514D35A5-1CEC-4D2A-876B-7CABAD354873}"/>
    <cellStyle name="Comma 4 3 2 2 2 3 4" xfId="25835" xr:uid="{0E00251D-9F7C-4DF1-B8B6-5DDD92F3951D}"/>
    <cellStyle name="Comma 4 3 2 2 2 4" xfId="10232" xr:uid="{00000000-0005-0000-0000-00000A1E0000}"/>
    <cellStyle name="Comma 4 3 2 2 2 4 2" xfId="21778" xr:uid="{33087AB9-9DDB-4DFF-B9EC-2C953E618177}"/>
    <cellStyle name="Comma 4 3 2 2 2 4 3" xfId="32194" xr:uid="{6E9AF32B-C933-43A7-9835-785D80245244}"/>
    <cellStyle name="Comma 4 3 2 2 2 5" xfId="6307" xr:uid="{00000000-0005-0000-0000-00000B1E0000}"/>
    <cellStyle name="Comma 4 3 2 2 2 5 2" xfId="17893" xr:uid="{A7A7FCC8-5A67-4DEA-A59D-F2D4A42559FA}"/>
    <cellStyle name="Comma 4 3 2 2 2 5 3" xfId="28309" xr:uid="{452733E1-770A-4646-9008-688A33601213}"/>
    <cellStyle name="Comma 4 3 2 2 2 6" xfId="15416" xr:uid="{D83C60E9-EE9F-44E0-99FB-BA6305D26042}"/>
    <cellStyle name="Comma 4 3 2 2 2 7" xfId="25832" xr:uid="{A921A494-6177-4EC4-8556-B7E636931D1B}"/>
    <cellStyle name="Comma 4 3 2 2 3" xfId="3085" xr:uid="{00000000-0005-0000-0000-00000C1E0000}"/>
    <cellStyle name="Comma 4 3 2 2 3 2" xfId="3086" xr:uid="{00000000-0005-0000-0000-00000D1E0000}"/>
    <cellStyle name="Comma 4 3 2 2 3 2 2" xfId="10237" xr:uid="{00000000-0005-0000-0000-00000E1E0000}"/>
    <cellStyle name="Comma 4 3 2 2 3 2 2 2" xfId="21783" xr:uid="{8CFB493D-861E-4AD2-AB00-159FED55D8C4}"/>
    <cellStyle name="Comma 4 3 2 2 3 2 2 3" xfId="32199" xr:uid="{FB420E51-AD9A-459D-B811-10DB1AAE82B3}"/>
    <cellStyle name="Comma 4 3 2 2 3 2 3" xfId="15421" xr:uid="{3C82D61A-C546-44F6-85BD-1F01E3A95E26}"/>
    <cellStyle name="Comma 4 3 2 2 3 2 4" xfId="25837" xr:uid="{5214BDFC-3640-4A86-B0B6-A73BD15E0C74}"/>
    <cellStyle name="Comma 4 3 2 2 3 3" xfId="10236" xr:uid="{00000000-0005-0000-0000-00000F1E0000}"/>
    <cellStyle name="Comma 4 3 2 2 3 3 2" xfId="21782" xr:uid="{8B455A2F-99E0-4EAE-9988-50D9872196A3}"/>
    <cellStyle name="Comma 4 3 2 2 3 3 3" xfId="32198" xr:uid="{D6C65C7B-7385-4977-806B-3EFC88F3F805}"/>
    <cellStyle name="Comma 4 3 2 2 3 4" xfId="6309" xr:uid="{00000000-0005-0000-0000-0000101E0000}"/>
    <cellStyle name="Comma 4 3 2 2 3 4 2" xfId="17895" xr:uid="{9E825B1C-1D50-4993-B69D-3BA707EF2A31}"/>
    <cellStyle name="Comma 4 3 2 2 3 4 3" xfId="28311" xr:uid="{76E21E03-DB41-4285-9961-9368398513C6}"/>
    <cellStyle name="Comma 4 3 2 2 3 5" xfId="15420" xr:uid="{934A95DA-4F73-47F4-8C55-EA2B144CA9BB}"/>
    <cellStyle name="Comma 4 3 2 2 3 6" xfId="25836" xr:uid="{413A2A4C-3D56-41B2-9F72-B98B7E763228}"/>
    <cellStyle name="Comma 4 3 2 2 4" xfId="3087" xr:uid="{00000000-0005-0000-0000-0000111E0000}"/>
    <cellStyle name="Comma 4 3 2 2 4 2" xfId="3088" xr:uid="{00000000-0005-0000-0000-0000121E0000}"/>
    <cellStyle name="Comma 4 3 2 2 4 2 2" xfId="10239" xr:uid="{00000000-0005-0000-0000-0000131E0000}"/>
    <cellStyle name="Comma 4 3 2 2 4 2 2 2" xfId="21785" xr:uid="{EEFFC981-B0E1-4069-9E0E-A81965C6E820}"/>
    <cellStyle name="Comma 4 3 2 2 4 2 2 3" xfId="32201" xr:uid="{5A72A330-927C-4F21-9657-E264D8C1AF68}"/>
    <cellStyle name="Comma 4 3 2 2 4 2 3" xfId="15423" xr:uid="{1E01A1FE-B471-410E-9C32-4ECD60C24FF0}"/>
    <cellStyle name="Comma 4 3 2 2 4 2 4" xfId="25839" xr:uid="{645F658B-95EE-4E32-A8AE-52D2A310787C}"/>
    <cellStyle name="Comma 4 3 2 2 4 3" xfId="10238" xr:uid="{00000000-0005-0000-0000-0000141E0000}"/>
    <cellStyle name="Comma 4 3 2 2 4 3 2" xfId="21784" xr:uid="{084CB0A2-9B0B-44CA-8522-1A9F4E9BB392}"/>
    <cellStyle name="Comma 4 3 2 2 4 3 3" xfId="32200" xr:uid="{E26E12CD-5ED6-4C4A-98AF-6EA07E3DE1A2}"/>
    <cellStyle name="Comma 4 3 2 2 4 4" xfId="6310" xr:uid="{00000000-0005-0000-0000-0000151E0000}"/>
    <cellStyle name="Comma 4 3 2 2 4 4 2" xfId="17896" xr:uid="{025FC01B-8A4B-4C70-8921-315728DD247F}"/>
    <cellStyle name="Comma 4 3 2 2 4 4 3" xfId="28312" xr:uid="{6B278E78-9967-4C1A-862B-3596836E3C79}"/>
    <cellStyle name="Comma 4 3 2 2 4 5" xfId="15422" xr:uid="{3EAE05B7-AC9E-498F-9212-972FC1E87E9B}"/>
    <cellStyle name="Comma 4 3 2 2 4 6" xfId="25838" xr:uid="{DCF888E6-8255-4679-A864-A6945EC57F43}"/>
    <cellStyle name="Comma 4 3 2 2 5" xfId="3089" xr:uid="{00000000-0005-0000-0000-0000161E0000}"/>
    <cellStyle name="Comma 4 3 2 2 5 2" xfId="10240" xr:uid="{00000000-0005-0000-0000-0000171E0000}"/>
    <cellStyle name="Comma 4 3 2 2 5 2 2" xfId="21786" xr:uid="{FFAFC29A-6A79-4D2A-A3CD-426797BEA798}"/>
    <cellStyle name="Comma 4 3 2 2 5 2 3" xfId="32202" xr:uid="{6D71E940-3C3D-4872-87CF-4F6B42414EA5}"/>
    <cellStyle name="Comma 4 3 2 2 5 3" xfId="15424" xr:uid="{BC0F00F0-58AB-4335-9DFC-3533143A8FE2}"/>
    <cellStyle name="Comma 4 3 2 2 5 4" xfId="25840" xr:uid="{55D88422-CB59-488A-B5B1-2B3C255FAFED}"/>
    <cellStyle name="Comma 4 3 2 2 6" xfId="10231" xr:uid="{00000000-0005-0000-0000-0000181E0000}"/>
    <cellStyle name="Comma 4 3 2 2 6 2" xfId="21777" xr:uid="{E5A6AE94-AC76-43D3-87F8-42D28F66B936}"/>
    <cellStyle name="Comma 4 3 2 2 6 3" xfId="32193" xr:uid="{60DFAC51-D77F-44FA-B1CE-BE83BB8ECD98}"/>
    <cellStyle name="Comma 4 3 2 2 7" xfId="6306" xr:uid="{00000000-0005-0000-0000-0000191E0000}"/>
    <cellStyle name="Comma 4 3 2 2 7 2" xfId="17892" xr:uid="{7565B011-F22B-4A69-ADB7-B9A2119E3928}"/>
    <cellStyle name="Comma 4 3 2 2 7 3" xfId="28308" xr:uid="{06A7EE39-3900-4E3A-BF20-48FFE3394FC7}"/>
    <cellStyle name="Comma 4 3 2 2 8" xfId="15415" xr:uid="{1406B515-136F-4AA5-A016-9502F4978637}"/>
    <cellStyle name="Comma 4 3 2 2 9" xfId="25831" xr:uid="{B124D1EF-9A44-4F3F-9FA0-106F43A494B3}"/>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2 2 2" xfId="21790" xr:uid="{9D7D2285-29B7-41A8-BDBB-40F1E17D4163}"/>
    <cellStyle name="Comma 4 3 2 3 2 2 2 2 3" xfId="32206" xr:uid="{E408261E-CA69-4B08-9292-F6B15F02FF9F}"/>
    <cellStyle name="Comma 4 3 2 3 2 2 2 3" xfId="15428" xr:uid="{6C390857-CCDB-4BC2-9D5C-244C089B85E5}"/>
    <cellStyle name="Comma 4 3 2 3 2 2 2 4" xfId="25844" xr:uid="{DC12FB6B-CFE8-4D96-B41F-D693D035A0D0}"/>
    <cellStyle name="Comma 4 3 2 3 2 2 3" xfId="10243" xr:uid="{00000000-0005-0000-0000-00001F1E0000}"/>
    <cellStyle name="Comma 4 3 2 3 2 2 3 2" xfId="21789" xr:uid="{130537D3-C905-4948-8CF9-653391B62D42}"/>
    <cellStyle name="Comma 4 3 2 3 2 2 3 3" xfId="32205" xr:uid="{47283C3C-5E99-4ACF-BF1C-652859D1B9BE}"/>
    <cellStyle name="Comma 4 3 2 3 2 2 4" xfId="6313" xr:uid="{00000000-0005-0000-0000-0000201E0000}"/>
    <cellStyle name="Comma 4 3 2 3 2 2 4 2" xfId="17899" xr:uid="{E12709CF-A92E-4E90-86B7-4DDB827C0D93}"/>
    <cellStyle name="Comma 4 3 2 3 2 2 4 3" xfId="28315" xr:uid="{99D66C55-B2A9-4BB6-A4BD-28C1FA72EDBA}"/>
    <cellStyle name="Comma 4 3 2 3 2 2 5" xfId="15427" xr:uid="{69EFF1C9-4914-4C3F-804D-F8EFFD17F53E}"/>
    <cellStyle name="Comma 4 3 2 3 2 2 6" xfId="25843" xr:uid="{BAA4263F-65BC-4597-89A4-BA2F382FD4CD}"/>
    <cellStyle name="Comma 4 3 2 3 2 3" xfId="3094" xr:uid="{00000000-0005-0000-0000-0000211E0000}"/>
    <cellStyle name="Comma 4 3 2 3 2 3 2" xfId="10245" xr:uid="{00000000-0005-0000-0000-0000221E0000}"/>
    <cellStyle name="Comma 4 3 2 3 2 3 2 2" xfId="21791" xr:uid="{D25EDC74-683C-4B24-B69B-BF99357258F2}"/>
    <cellStyle name="Comma 4 3 2 3 2 3 2 3" xfId="32207" xr:uid="{B0BE574C-5181-436F-A773-C66141E7AD2F}"/>
    <cellStyle name="Comma 4 3 2 3 2 3 3" xfId="15429" xr:uid="{EF9A03F5-75C1-4ABA-8571-B51B569D2563}"/>
    <cellStyle name="Comma 4 3 2 3 2 3 4" xfId="25845" xr:uid="{9EA96541-47C3-4B4C-B186-F2ABC3CD141C}"/>
    <cellStyle name="Comma 4 3 2 3 2 4" xfId="10242" xr:uid="{00000000-0005-0000-0000-0000231E0000}"/>
    <cellStyle name="Comma 4 3 2 3 2 4 2" xfId="21788" xr:uid="{643A6DB4-BD88-4295-8BCD-0AFBE0CAA57D}"/>
    <cellStyle name="Comma 4 3 2 3 2 4 3" xfId="32204" xr:uid="{99378D5B-D0D3-40AB-92F1-D955D8CC7E87}"/>
    <cellStyle name="Comma 4 3 2 3 2 5" xfId="6312" xr:uid="{00000000-0005-0000-0000-0000241E0000}"/>
    <cellStyle name="Comma 4 3 2 3 2 5 2" xfId="17898" xr:uid="{E8E6BB2A-BCD4-46E0-B312-39BCAB025C38}"/>
    <cellStyle name="Comma 4 3 2 3 2 5 3" xfId="28314" xr:uid="{6D7597BE-EFD6-4860-B2E1-DC81F57B1606}"/>
    <cellStyle name="Comma 4 3 2 3 2 6" xfId="15426" xr:uid="{06726CBD-E3D6-41DD-BFB8-416D24E5A47B}"/>
    <cellStyle name="Comma 4 3 2 3 2 7" xfId="25842" xr:uid="{FDD7A954-7D1A-470A-A39F-0FEDB0740E3D}"/>
    <cellStyle name="Comma 4 3 2 3 3" xfId="3095" xr:uid="{00000000-0005-0000-0000-0000251E0000}"/>
    <cellStyle name="Comma 4 3 2 3 3 2" xfId="3096" xr:uid="{00000000-0005-0000-0000-0000261E0000}"/>
    <cellStyle name="Comma 4 3 2 3 3 2 2" xfId="10247" xr:uid="{00000000-0005-0000-0000-0000271E0000}"/>
    <cellStyle name="Comma 4 3 2 3 3 2 2 2" xfId="21793" xr:uid="{C3AE4377-B808-4684-81E8-0292E282F7B1}"/>
    <cellStyle name="Comma 4 3 2 3 3 2 2 3" xfId="32209" xr:uid="{08775AD5-75AA-4F95-A060-9865EFA7F76C}"/>
    <cellStyle name="Comma 4 3 2 3 3 2 3" xfId="15431" xr:uid="{CF847BF0-765D-4522-8D5F-566133378695}"/>
    <cellStyle name="Comma 4 3 2 3 3 2 4" xfId="25847" xr:uid="{EA6E8E1F-7965-4CF1-A1CA-E4318007F48E}"/>
    <cellStyle name="Comma 4 3 2 3 3 3" xfId="10246" xr:uid="{00000000-0005-0000-0000-0000281E0000}"/>
    <cellStyle name="Comma 4 3 2 3 3 3 2" xfId="21792" xr:uid="{1148A4E9-C716-4785-8DB8-DE85D127660B}"/>
    <cellStyle name="Comma 4 3 2 3 3 3 3" xfId="32208" xr:uid="{FE35BE44-EEA3-479F-9D40-0B4F9934B997}"/>
    <cellStyle name="Comma 4 3 2 3 3 4" xfId="6314" xr:uid="{00000000-0005-0000-0000-0000291E0000}"/>
    <cellStyle name="Comma 4 3 2 3 3 4 2" xfId="17900" xr:uid="{4CF1D0F2-E4B1-49FE-A445-EA3E6D0ED5AD}"/>
    <cellStyle name="Comma 4 3 2 3 3 4 3" xfId="28316" xr:uid="{ECC1A681-9B1E-4953-AC2F-50AB046BF8CD}"/>
    <cellStyle name="Comma 4 3 2 3 3 5" xfId="15430" xr:uid="{5706E21B-CC9A-4EAE-9B92-76A3B2193203}"/>
    <cellStyle name="Comma 4 3 2 3 3 6" xfId="25846" xr:uid="{87EEC126-1DE0-4C24-85FC-B62FA446E828}"/>
    <cellStyle name="Comma 4 3 2 3 4" xfId="3097" xr:uid="{00000000-0005-0000-0000-00002A1E0000}"/>
    <cellStyle name="Comma 4 3 2 3 4 2" xfId="3098" xr:uid="{00000000-0005-0000-0000-00002B1E0000}"/>
    <cellStyle name="Comma 4 3 2 3 4 2 2" xfId="10249" xr:uid="{00000000-0005-0000-0000-00002C1E0000}"/>
    <cellStyle name="Comma 4 3 2 3 4 2 2 2" xfId="21795" xr:uid="{19367260-4C65-4CDB-AF42-6EDF1F40E457}"/>
    <cellStyle name="Comma 4 3 2 3 4 2 2 3" xfId="32211" xr:uid="{E7F4EEEB-5B5A-4CE0-BE6C-6397210A0DC2}"/>
    <cellStyle name="Comma 4 3 2 3 4 2 3" xfId="15433" xr:uid="{90ED42A6-DB95-44B2-A3E1-D7ECDB30C7FB}"/>
    <cellStyle name="Comma 4 3 2 3 4 2 4" xfId="25849" xr:uid="{DACD1260-5043-4BFE-870F-1AAC13403E9B}"/>
    <cellStyle name="Comma 4 3 2 3 4 3" xfId="10248" xr:uid="{00000000-0005-0000-0000-00002D1E0000}"/>
    <cellStyle name="Comma 4 3 2 3 4 3 2" xfId="21794" xr:uid="{3CEC6C34-9198-4AE0-8D3C-0991B94287F1}"/>
    <cellStyle name="Comma 4 3 2 3 4 3 3" xfId="32210" xr:uid="{ADB61359-5281-4630-BFF0-9411DDFF4DB1}"/>
    <cellStyle name="Comma 4 3 2 3 4 4" xfId="6315" xr:uid="{00000000-0005-0000-0000-00002E1E0000}"/>
    <cellStyle name="Comma 4 3 2 3 4 4 2" xfId="17901" xr:uid="{7AF06619-90A0-4FC3-9106-E10CEB2B501B}"/>
    <cellStyle name="Comma 4 3 2 3 4 4 3" xfId="28317" xr:uid="{6B83525E-F82A-4C95-AF41-C44A23E95D90}"/>
    <cellStyle name="Comma 4 3 2 3 4 5" xfId="15432" xr:uid="{3AEFEB30-41A6-4A73-A733-FC6D81113E75}"/>
    <cellStyle name="Comma 4 3 2 3 4 6" xfId="25848" xr:uid="{2347D7B7-630B-4A41-85B4-01561A5398C8}"/>
    <cellStyle name="Comma 4 3 2 3 5" xfId="3099" xr:uid="{00000000-0005-0000-0000-00002F1E0000}"/>
    <cellStyle name="Comma 4 3 2 3 5 2" xfId="10250" xr:uid="{00000000-0005-0000-0000-0000301E0000}"/>
    <cellStyle name="Comma 4 3 2 3 5 2 2" xfId="21796" xr:uid="{D0C13E1F-6F1F-4951-9647-CE06992CA5A8}"/>
    <cellStyle name="Comma 4 3 2 3 5 2 3" xfId="32212" xr:uid="{8CDF067B-BD65-4C91-9B76-F53EE9C6748C}"/>
    <cellStyle name="Comma 4 3 2 3 5 3" xfId="15434" xr:uid="{69BFF3E3-FF5D-40E9-BBA6-0DCC71276BEE}"/>
    <cellStyle name="Comma 4 3 2 3 5 4" xfId="25850" xr:uid="{F5521FD2-AFBF-4A49-9930-B31091C8B439}"/>
    <cellStyle name="Comma 4 3 2 3 6" xfId="10241" xr:uid="{00000000-0005-0000-0000-0000311E0000}"/>
    <cellStyle name="Comma 4 3 2 3 6 2" xfId="21787" xr:uid="{AAF560AD-002C-4803-95DE-4470D528F25F}"/>
    <cellStyle name="Comma 4 3 2 3 6 3" xfId="32203" xr:uid="{F772CEA5-F754-476F-A57C-4E2F88EEA871}"/>
    <cellStyle name="Comma 4 3 2 3 7" xfId="6311" xr:uid="{00000000-0005-0000-0000-0000321E0000}"/>
    <cellStyle name="Comma 4 3 2 3 7 2" xfId="17897" xr:uid="{84F67871-0981-48D3-82F3-AD978B06CEF1}"/>
    <cellStyle name="Comma 4 3 2 3 7 3" xfId="28313" xr:uid="{983D760E-B8CC-46ED-80D5-1D5C48D6644A}"/>
    <cellStyle name="Comma 4 3 2 3 8" xfId="15425" xr:uid="{A6BAC1E4-5385-486F-BF19-2ED76552B700}"/>
    <cellStyle name="Comma 4 3 2 3 9" xfId="25841" xr:uid="{4172DD3B-7EDE-4676-86D5-8CAAE53A4CD2}"/>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2 2 2" xfId="21800" xr:uid="{6ABDCC6A-0997-4755-9E05-6E744C96832E}"/>
    <cellStyle name="Comma 4 3 2 4 2 2 2 2 3" xfId="32216" xr:uid="{D94BFC6B-5A96-4DAE-9DC7-24F00CFCC63F}"/>
    <cellStyle name="Comma 4 3 2 4 2 2 2 3" xfId="15438" xr:uid="{9961C233-B7F9-46AC-B521-8919A020EEE9}"/>
    <cellStyle name="Comma 4 3 2 4 2 2 2 4" xfId="25854" xr:uid="{55A2260E-8794-44DB-8614-253A46CA5009}"/>
    <cellStyle name="Comma 4 3 2 4 2 2 3" xfId="10253" xr:uid="{00000000-0005-0000-0000-0000381E0000}"/>
    <cellStyle name="Comma 4 3 2 4 2 2 3 2" xfId="21799" xr:uid="{12AEDBAE-4D4E-4788-80E4-30AAD52543FC}"/>
    <cellStyle name="Comma 4 3 2 4 2 2 3 3" xfId="32215" xr:uid="{AC3315D8-C06C-463B-A848-D0922F7D1056}"/>
    <cellStyle name="Comma 4 3 2 4 2 2 4" xfId="6318" xr:uid="{00000000-0005-0000-0000-0000391E0000}"/>
    <cellStyle name="Comma 4 3 2 4 2 2 4 2" xfId="17904" xr:uid="{DFED68E9-0B09-4760-9BC8-8E30920F9B98}"/>
    <cellStyle name="Comma 4 3 2 4 2 2 4 3" xfId="28320" xr:uid="{07086367-FFFE-46E8-A66F-A28665A4FAD1}"/>
    <cellStyle name="Comma 4 3 2 4 2 2 5" xfId="15437" xr:uid="{4E806080-563D-439F-9254-AD5849CDA9B3}"/>
    <cellStyle name="Comma 4 3 2 4 2 2 6" xfId="25853" xr:uid="{B23D41FE-1D91-4329-B8DE-2543566C5E1F}"/>
    <cellStyle name="Comma 4 3 2 4 2 3" xfId="3104" xr:uid="{00000000-0005-0000-0000-00003A1E0000}"/>
    <cellStyle name="Comma 4 3 2 4 2 3 2" xfId="10255" xr:uid="{00000000-0005-0000-0000-00003B1E0000}"/>
    <cellStyle name="Comma 4 3 2 4 2 3 2 2" xfId="21801" xr:uid="{54A045FE-4017-4FA4-BD9A-D68D486279C9}"/>
    <cellStyle name="Comma 4 3 2 4 2 3 2 3" xfId="32217" xr:uid="{F974F146-5E05-4FF4-B80E-70E0A60CDD7E}"/>
    <cellStyle name="Comma 4 3 2 4 2 3 3" xfId="15439" xr:uid="{865DA444-99A0-4FCB-B5EA-E6650513B169}"/>
    <cellStyle name="Comma 4 3 2 4 2 3 4" xfId="25855" xr:uid="{8AF7BDDF-CD9F-4A63-9B96-D08287F124FB}"/>
    <cellStyle name="Comma 4 3 2 4 2 4" xfId="10252" xr:uid="{00000000-0005-0000-0000-00003C1E0000}"/>
    <cellStyle name="Comma 4 3 2 4 2 4 2" xfId="21798" xr:uid="{C099F18A-6019-4B1C-919C-80E4D8BB8B9E}"/>
    <cellStyle name="Comma 4 3 2 4 2 4 3" xfId="32214" xr:uid="{6CB08B33-B7C5-428F-B238-BBB81FC2394F}"/>
    <cellStyle name="Comma 4 3 2 4 2 5" xfId="6317" xr:uid="{00000000-0005-0000-0000-00003D1E0000}"/>
    <cellStyle name="Comma 4 3 2 4 2 5 2" xfId="17903" xr:uid="{56814608-7BF1-47F2-95B0-E406C2D4902D}"/>
    <cellStyle name="Comma 4 3 2 4 2 5 3" xfId="28319" xr:uid="{96E039A7-A87E-49EA-9A7B-3BE5216E1AE8}"/>
    <cellStyle name="Comma 4 3 2 4 2 6" xfId="15436" xr:uid="{F328BBB4-0452-4B5E-838B-3AEE4FC828B9}"/>
    <cellStyle name="Comma 4 3 2 4 2 7" xfId="25852" xr:uid="{8AFD7DF2-4C9B-431B-B18A-63EFB082EA92}"/>
    <cellStyle name="Comma 4 3 2 4 3" xfId="3105" xr:uid="{00000000-0005-0000-0000-00003E1E0000}"/>
    <cellStyle name="Comma 4 3 2 4 3 2" xfId="3106" xr:uid="{00000000-0005-0000-0000-00003F1E0000}"/>
    <cellStyle name="Comma 4 3 2 4 3 2 2" xfId="10257" xr:uid="{00000000-0005-0000-0000-0000401E0000}"/>
    <cellStyle name="Comma 4 3 2 4 3 2 2 2" xfId="21803" xr:uid="{2DA59E83-EF0C-4D13-B1AB-DB9FD2DB64D5}"/>
    <cellStyle name="Comma 4 3 2 4 3 2 2 3" xfId="32219" xr:uid="{22EEA5CF-754B-42D1-BF37-BF8DD1D1AE3B}"/>
    <cellStyle name="Comma 4 3 2 4 3 2 3" xfId="15441" xr:uid="{8F8D4FD8-BC35-4038-B1AB-EEDC4A24C511}"/>
    <cellStyle name="Comma 4 3 2 4 3 2 4" xfId="25857" xr:uid="{D0CB3365-8F4A-4118-A3CE-FBA52EB26AF0}"/>
    <cellStyle name="Comma 4 3 2 4 3 3" xfId="10256" xr:uid="{00000000-0005-0000-0000-0000411E0000}"/>
    <cellStyle name="Comma 4 3 2 4 3 3 2" xfId="21802" xr:uid="{780B4C59-BC09-4114-9136-326F73B04214}"/>
    <cellStyle name="Comma 4 3 2 4 3 3 3" xfId="32218" xr:uid="{0ACB584B-F049-4221-8C11-5DA5659656B6}"/>
    <cellStyle name="Comma 4 3 2 4 3 4" xfId="6319" xr:uid="{00000000-0005-0000-0000-0000421E0000}"/>
    <cellStyle name="Comma 4 3 2 4 3 4 2" xfId="17905" xr:uid="{43CE14DC-C0D6-41AD-B9FA-9E956D92D090}"/>
    <cellStyle name="Comma 4 3 2 4 3 4 3" xfId="28321" xr:uid="{A27B0956-09B4-4BA5-B8A4-48CDC7EF0FA5}"/>
    <cellStyle name="Comma 4 3 2 4 3 5" xfId="15440" xr:uid="{21190463-D284-4A57-AA27-A0AC7B0FAC16}"/>
    <cellStyle name="Comma 4 3 2 4 3 6" xfId="25856" xr:uid="{EFB884C3-60FD-40E7-A2C0-1A0EA4DCF089}"/>
    <cellStyle name="Comma 4 3 2 4 4" xfId="3107" xr:uid="{00000000-0005-0000-0000-0000431E0000}"/>
    <cellStyle name="Comma 4 3 2 4 4 2" xfId="3108" xr:uid="{00000000-0005-0000-0000-0000441E0000}"/>
    <cellStyle name="Comma 4 3 2 4 4 2 2" xfId="10259" xr:uid="{00000000-0005-0000-0000-0000451E0000}"/>
    <cellStyle name="Comma 4 3 2 4 4 2 2 2" xfId="21805" xr:uid="{C5487D7E-867A-4B50-939C-3F6D97AAEBFC}"/>
    <cellStyle name="Comma 4 3 2 4 4 2 2 3" xfId="32221" xr:uid="{90394E68-F0A9-426B-A0C9-3CF16A4957BB}"/>
    <cellStyle name="Comma 4 3 2 4 4 2 3" xfId="15443" xr:uid="{1AF373B2-D8CC-418A-9749-20D522B4F7B3}"/>
    <cellStyle name="Comma 4 3 2 4 4 2 4" xfId="25859" xr:uid="{86057A64-7A1B-4F93-B4E9-1F02CDEAD2E0}"/>
    <cellStyle name="Comma 4 3 2 4 4 3" xfId="10258" xr:uid="{00000000-0005-0000-0000-0000461E0000}"/>
    <cellStyle name="Comma 4 3 2 4 4 3 2" xfId="21804" xr:uid="{71498D4C-50D0-4A2D-BC4F-5193C63CFEDB}"/>
    <cellStyle name="Comma 4 3 2 4 4 3 3" xfId="32220" xr:uid="{BD12CA1A-F065-4ADA-908A-BEA6E9A3C5D2}"/>
    <cellStyle name="Comma 4 3 2 4 4 4" xfId="6320" xr:uid="{00000000-0005-0000-0000-0000471E0000}"/>
    <cellStyle name="Comma 4 3 2 4 4 4 2" xfId="17906" xr:uid="{5271C12C-DE33-4FA1-944D-F162ED3D9E34}"/>
    <cellStyle name="Comma 4 3 2 4 4 4 3" xfId="28322" xr:uid="{0DAD3330-0ADE-4E8F-9FE0-375F041E313F}"/>
    <cellStyle name="Comma 4 3 2 4 4 5" xfId="15442" xr:uid="{68C19438-691F-45EA-B8BF-D27CE9217A6A}"/>
    <cellStyle name="Comma 4 3 2 4 4 6" xfId="25858" xr:uid="{8B031C1A-561A-4282-852F-FE949E79720B}"/>
    <cellStyle name="Comma 4 3 2 4 5" xfId="3109" xr:uid="{00000000-0005-0000-0000-0000481E0000}"/>
    <cellStyle name="Comma 4 3 2 4 5 2" xfId="10260" xr:uid="{00000000-0005-0000-0000-0000491E0000}"/>
    <cellStyle name="Comma 4 3 2 4 5 2 2" xfId="21806" xr:uid="{501449AC-DEDC-4018-BC52-49E88EFC4E9F}"/>
    <cellStyle name="Comma 4 3 2 4 5 2 3" xfId="32222" xr:uid="{C7D9480E-B4F7-4BC0-B0ED-8C058057F9DC}"/>
    <cellStyle name="Comma 4 3 2 4 5 3" xfId="15444" xr:uid="{90BD5F3C-9575-410C-B98C-35968ACA3024}"/>
    <cellStyle name="Comma 4 3 2 4 5 4" xfId="25860" xr:uid="{B42D1946-CC43-4FC2-9E82-DB4D3586C2BF}"/>
    <cellStyle name="Comma 4 3 2 4 6" xfId="10251" xr:uid="{00000000-0005-0000-0000-00004A1E0000}"/>
    <cellStyle name="Comma 4 3 2 4 6 2" xfId="21797" xr:uid="{461B84A6-F584-4C44-A5DB-8D4CB2E9B302}"/>
    <cellStyle name="Comma 4 3 2 4 6 3" xfId="32213" xr:uid="{C5827124-AF46-469E-B877-6054B1136F4A}"/>
    <cellStyle name="Comma 4 3 2 4 7" xfId="6316" xr:uid="{00000000-0005-0000-0000-00004B1E0000}"/>
    <cellStyle name="Comma 4 3 2 4 7 2" xfId="17902" xr:uid="{4B120375-06BB-4A12-A1BC-FFA44F10D810}"/>
    <cellStyle name="Comma 4 3 2 4 7 3" xfId="28318" xr:uid="{0D19884B-0346-45A5-8204-EADB0BBE34F8}"/>
    <cellStyle name="Comma 4 3 2 4 8" xfId="15435" xr:uid="{3CE282E6-6E5F-4571-91B5-AF4654386D92}"/>
    <cellStyle name="Comma 4 3 2 4 9" xfId="25851" xr:uid="{1A69BAFA-8B18-4C8D-89B0-1B0AB429182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2 2 2" xfId="21810" xr:uid="{9A5F6B19-5267-468C-B325-EE5916F9FD87}"/>
    <cellStyle name="Comma 4 3 2 5 2 2 2 2 3" xfId="32226" xr:uid="{A058316D-5BA2-4A62-82C7-E66CD2B948C5}"/>
    <cellStyle name="Comma 4 3 2 5 2 2 2 3" xfId="15448" xr:uid="{69871397-609B-432B-B303-EB6163F24DAB}"/>
    <cellStyle name="Comma 4 3 2 5 2 2 2 4" xfId="25864" xr:uid="{989A3554-9AA4-4B1F-BD65-5C6181B24826}"/>
    <cellStyle name="Comma 4 3 2 5 2 2 3" xfId="10263" xr:uid="{00000000-0005-0000-0000-0000511E0000}"/>
    <cellStyle name="Comma 4 3 2 5 2 2 3 2" xfId="21809" xr:uid="{78472AE7-A412-464D-A1EA-13959AF217D6}"/>
    <cellStyle name="Comma 4 3 2 5 2 2 3 3" xfId="32225" xr:uid="{06E7C932-BB06-4E6D-ADE2-F53A3EB3362B}"/>
    <cellStyle name="Comma 4 3 2 5 2 2 4" xfId="6323" xr:uid="{00000000-0005-0000-0000-0000521E0000}"/>
    <cellStyle name="Comma 4 3 2 5 2 2 4 2" xfId="17909" xr:uid="{12D900A9-FD9C-43B3-9D73-99C6C2545716}"/>
    <cellStyle name="Comma 4 3 2 5 2 2 4 3" xfId="28325" xr:uid="{052D66D2-F3FF-4B59-A54F-C2BEBE867DC0}"/>
    <cellStyle name="Comma 4 3 2 5 2 2 5" xfId="15447" xr:uid="{0E10DFD9-7800-4AE4-BB84-4074272DB7D8}"/>
    <cellStyle name="Comma 4 3 2 5 2 2 6" xfId="25863" xr:uid="{84B83DD0-4551-49CB-A080-C3C11BABFD8A}"/>
    <cellStyle name="Comma 4 3 2 5 2 3" xfId="3114" xr:uid="{00000000-0005-0000-0000-0000531E0000}"/>
    <cellStyle name="Comma 4 3 2 5 2 3 2" xfId="10265" xr:uid="{00000000-0005-0000-0000-0000541E0000}"/>
    <cellStyle name="Comma 4 3 2 5 2 3 2 2" xfId="21811" xr:uid="{319DB2B5-62E0-403A-8DA3-63146A763E29}"/>
    <cellStyle name="Comma 4 3 2 5 2 3 2 3" xfId="32227" xr:uid="{D66376FF-6E16-41E0-BB6B-E9C2C32331F9}"/>
    <cellStyle name="Comma 4 3 2 5 2 3 3" xfId="15449" xr:uid="{2CCFFE72-D500-48C0-9A06-FC7D4697ED48}"/>
    <cellStyle name="Comma 4 3 2 5 2 3 4" xfId="25865" xr:uid="{A8F590F7-1A4B-43E8-B7D3-C5BD77D440C4}"/>
    <cellStyle name="Comma 4 3 2 5 2 4" xfId="10262" xr:uid="{00000000-0005-0000-0000-0000551E0000}"/>
    <cellStyle name="Comma 4 3 2 5 2 4 2" xfId="21808" xr:uid="{C866B993-DAA5-4FFD-ADB8-A1F7F9293B2E}"/>
    <cellStyle name="Comma 4 3 2 5 2 4 3" xfId="32224" xr:uid="{0E5A1446-D09A-483D-83AF-0B532E284737}"/>
    <cellStyle name="Comma 4 3 2 5 2 5" xfId="6322" xr:uid="{00000000-0005-0000-0000-0000561E0000}"/>
    <cellStyle name="Comma 4 3 2 5 2 5 2" xfId="17908" xr:uid="{F04C679F-6505-495F-842B-5247AF6C3B03}"/>
    <cellStyle name="Comma 4 3 2 5 2 5 3" xfId="28324" xr:uid="{4EDAB8EF-F21C-46E5-9B1A-7B625A5FB0BE}"/>
    <cellStyle name="Comma 4 3 2 5 2 6" xfId="15446" xr:uid="{61A8B24B-EB70-4448-974B-4D387E7CCDD4}"/>
    <cellStyle name="Comma 4 3 2 5 2 7" xfId="25862" xr:uid="{F872AAC5-E1AC-4F93-9F41-D71B113FAE3B}"/>
    <cellStyle name="Comma 4 3 2 5 3" xfId="3115" xr:uid="{00000000-0005-0000-0000-0000571E0000}"/>
    <cellStyle name="Comma 4 3 2 5 3 2" xfId="3116" xr:uid="{00000000-0005-0000-0000-0000581E0000}"/>
    <cellStyle name="Comma 4 3 2 5 3 2 2" xfId="10267" xr:uid="{00000000-0005-0000-0000-0000591E0000}"/>
    <cellStyle name="Comma 4 3 2 5 3 2 2 2" xfId="21813" xr:uid="{B0D34697-222A-49C5-BE86-0A62237A4373}"/>
    <cellStyle name="Comma 4 3 2 5 3 2 2 3" xfId="32229" xr:uid="{69D35888-F50B-4730-AE5B-407C00787C6F}"/>
    <cellStyle name="Comma 4 3 2 5 3 2 3" xfId="15451" xr:uid="{2F64AEB0-4511-40E4-BFDF-8980DF76720D}"/>
    <cellStyle name="Comma 4 3 2 5 3 2 4" xfId="25867" xr:uid="{85749407-96F9-4385-ACA0-2E44A8F4442B}"/>
    <cellStyle name="Comma 4 3 2 5 3 3" xfId="10266" xr:uid="{00000000-0005-0000-0000-00005A1E0000}"/>
    <cellStyle name="Comma 4 3 2 5 3 3 2" xfId="21812" xr:uid="{C74687EF-2017-418B-B415-D090EA62F806}"/>
    <cellStyle name="Comma 4 3 2 5 3 3 3" xfId="32228" xr:uid="{4E03C14A-0634-4BB6-99DA-C2B304F123FB}"/>
    <cellStyle name="Comma 4 3 2 5 3 4" xfId="6324" xr:uid="{00000000-0005-0000-0000-00005B1E0000}"/>
    <cellStyle name="Comma 4 3 2 5 3 4 2" xfId="17910" xr:uid="{C8C2E4B0-CD63-4F0A-940E-4B49751B98D1}"/>
    <cellStyle name="Comma 4 3 2 5 3 4 3" xfId="28326" xr:uid="{22DD0246-F4B4-48D4-9135-D3DB7E14E26D}"/>
    <cellStyle name="Comma 4 3 2 5 3 5" xfId="15450" xr:uid="{892E4372-6E66-4B1B-B6FE-139673D3C169}"/>
    <cellStyle name="Comma 4 3 2 5 3 6" xfId="25866" xr:uid="{DAD8A6C5-29D4-46A2-8CC4-A634E3C88AFC}"/>
    <cellStyle name="Comma 4 3 2 5 4" xfId="3117" xr:uid="{00000000-0005-0000-0000-00005C1E0000}"/>
    <cellStyle name="Comma 4 3 2 5 4 2" xfId="3118" xr:uid="{00000000-0005-0000-0000-00005D1E0000}"/>
    <cellStyle name="Comma 4 3 2 5 4 2 2" xfId="10269" xr:uid="{00000000-0005-0000-0000-00005E1E0000}"/>
    <cellStyle name="Comma 4 3 2 5 4 2 2 2" xfId="21815" xr:uid="{AD2AD1EF-6825-4AE6-B5BF-C182FF8095E9}"/>
    <cellStyle name="Comma 4 3 2 5 4 2 2 3" xfId="32231" xr:uid="{1A01B5E1-D8AA-4225-9614-F4F0A988ED2D}"/>
    <cellStyle name="Comma 4 3 2 5 4 2 3" xfId="15453" xr:uid="{7F185417-6609-4185-B71E-70CE7A80D5DA}"/>
    <cellStyle name="Comma 4 3 2 5 4 2 4" xfId="25869" xr:uid="{6B540959-2348-4F74-B42A-885278DCE01F}"/>
    <cellStyle name="Comma 4 3 2 5 4 3" xfId="10268" xr:uid="{00000000-0005-0000-0000-00005F1E0000}"/>
    <cellStyle name="Comma 4 3 2 5 4 3 2" xfId="21814" xr:uid="{42554427-B19E-41BB-BE63-821036A9C472}"/>
    <cellStyle name="Comma 4 3 2 5 4 3 3" xfId="32230" xr:uid="{458432B5-CDE1-4569-8EB1-8D6E2CA023E0}"/>
    <cellStyle name="Comma 4 3 2 5 4 4" xfId="6325" xr:uid="{00000000-0005-0000-0000-0000601E0000}"/>
    <cellStyle name="Comma 4 3 2 5 4 4 2" xfId="17911" xr:uid="{F2B457AA-0DFB-4347-8B9A-9C24F19ADA8E}"/>
    <cellStyle name="Comma 4 3 2 5 4 4 3" xfId="28327" xr:uid="{17DE1A10-DCD9-4A28-89A2-84B9CDE81DC5}"/>
    <cellStyle name="Comma 4 3 2 5 4 5" xfId="15452" xr:uid="{E7551041-DDD5-46EA-A968-13AF5109292C}"/>
    <cellStyle name="Comma 4 3 2 5 4 6" xfId="25868" xr:uid="{D5B6068B-E70F-43A6-8F6F-B652D297B5F9}"/>
    <cellStyle name="Comma 4 3 2 5 5" xfId="3119" xr:uid="{00000000-0005-0000-0000-0000611E0000}"/>
    <cellStyle name="Comma 4 3 2 5 5 2" xfId="10270" xr:uid="{00000000-0005-0000-0000-0000621E0000}"/>
    <cellStyle name="Comma 4 3 2 5 5 2 2" xfId="21816" xr:uid="{52639A1A-0B13-40E7-9645-5CD2FEE159C2}"/>
    <cellStyle name="Comma 4 3 2 5 5 2 3" xfId="32232" xr:uid="{70E35CF1-EAFB-4B7E-B635-13FBE82C5261}"/>
    <cellStyle name="Comma 4 3 2 5 5 3" xfId="15454" xr:uid="{811EAD45-E69A-4AD0-9743-632DE059B541}"/>
    <cellStyle name="Comma 4 3 2 5 5 4" xfId="25870" xr:uid="{FB6D5579-A9DA-4F83-8A03-6D1EC39324EF}"/>
    <cellStyle name="Comma 4 3 2 5 6" xfId="10261" xr:uid="{00000000-0005-0000-0000-0000631E0000}"/>
    <cellStyle name="Comma 4 3 2 5 6 2" xfId="21807" xr:uid="{F00C1514-734D-41CC-BBE1-1FE06375E4AA}"/>
    <cellStyle name="Comma 4 3 2 5 6 3" xfId="32223" xr:uid="{167BEB30-DB15-4231-9448-BF63E055B644}"/>
    <cellStyle name="Comma 4 3 2 5 7" xfId="6321" xr:uid="{00000000-0005-0000-0000-0000641E0000}"/>
    <cellStyle name="Comma 4 3 2 5 7 2" xfId="17907" xr:uid="{A4852C14-DD81-4D17-A5CA-4A3C85DC732D}"/>
    <cellStyle name="Comma 4 3 2 5 7 3" xfId="28323" xr:uid="{D68F5194-08D7-4BC2-9298-7027EAF199F3}"/>
    <cellStyle name="Comma 4 3 2 5 8" xfId="15445" xr:uid="{D6F139C7-89AC-4A13-8199-4321132130B0}"/>
    <cellStyle name="Comma 4 3 2 5 9" xfId="25861" xr:uid="{43B3C3D4-C47C-434E-9F10-9697D57D2265}"/>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2 2 2" xfId="21819" xr:uid="{4A7A03B4-8F06-46F5-AE81-997132DFBC1E}"/>
    <cellStyle name="Comma 4 3 2 6 2 2 2 3" xfId="32235" xr:uid="{7066E3B3-7AEE-46D6-A52F-0D3FD66FFC9F}"/>
    <cellStyle name="Comma 4 3 2 6 2 2 3" xfId="15457" xr:uid="{FA30BC7C-7988-4182-B958-D55B892A4EC4}"/>
    <cellStyle name="Comma 4 3 2 6 2 2 4" xfId="25873" xr:uid="{32024854-8FCA-4428-902F-49EA0FEF76BE}"/>
    <cellStyle name="Comma 4 3 2 6 2 3" xfId="10272" xr:uid="{00000000-0005-0000-0000-0000691E0000}"/>
    <cellStyle name="Comma 4 3 2 6 2 3 2" xfId="21818" xr:uid="{3E1625AA-AC6F-44DE-A702-116D37401C21}"/>
    <cellStyle name="Comma 4 3 2 6 2 3 3" xfId="32234" xr:uid="{73EE6245-3D6A-417C-ABBE-1F41E337826A}"/>
    <cellStyle name="Comma 4 3 2 6 2 4" xfId="6327" xr:uid="{00000000-0005-0000-0000-00006A1E0000}"/>
    <cellStyle name="Comma 4 3 2 6 2 4 2" xfId="17913" xr:uid="{EE559AA5-BEA5-4775-B88D-22332C536BC3}"/>
    <cellStyle name="Comma 4 3 2 6 2 4 3" xfId="28329" xr:uid="{9A592009-FE31-4591-BA27-AF4327678B8E}"/>
    <cellStyle name="Comma 4 3 2 6 2 5" xfId="15456" xr:uid="{605C1611-DE49-4710-B745-4E67CD8B0234}"/>
    <cellStyle name="Comma 4 3 2 6 2 6" xfId="25872" xr:uid="{B7C6B88D-2F25-4691-BF16-DDA73BD0C213}"/>
    <cellStyle name="Comma 4 3 2 6 3" xfId="3123" xr:uid="{00000000-0005-0000-0000-00006B1E0000}"/>
    <cellStyle name="Comma 4 3 2 6 3 2" xfId="3124" xr:uid="{00000000-0005-0000-0000-00006C1E0000}"/>
    <cellStyle name="Comma 4 3 2 6 3 2 2" xfId="10275" xr:uid="{00000000-0005-0000-0000-00006D1E0000}"/>
    <cellStyle name="Comma 4 3 2 6 3 2 2 2" xfId="21821" xr:uid="{04EC86C2-98A1-412F-BE8A-F4E34CA51AE3}"/>
    <cellStyle name="Comma 4 3 2 6 3 2 2 3" xfId="32237" xr:uid="{2F7396DA-AF7C-493A-9D3E-F6C7C9DA2DDE}"/>
    <cellStyle name="Comma 4 3 2 6 3 2 3" xfId="15459" xr:uid="{B48378F0-5708-4A43-999A-BFB7884A9046}"/>
    <cellStyle name="Comma 4 3 2 6 3 2 4" xfId="25875" xr:uid="{403B2918-83EA-4C33-A395-78D2E9B97AFE}"/>
    <cellStyle name="Comma 4 3 2 6 3 3" xfId="10274" xr:uid="{00000000-0005-0000-0000-00006E1E0000}"/>
    <cellStyle name="Comma 4 3 2 6 3 3 2" xfId="21820" xr:uid="{C45DFB98-8AED-4F8F-9A0A-B3571327417B}"/>
    <cellStyle name="Comma 4 3 2 6 3 3 3" xfId="32236" xr:uid="{552AA516-B49E-4159-8DEF-8494096B218F}"/>
    <cellStyle name="Comma 4 3 2 6 3 4" xfId="6328" xr:uid="{00000000-0005-0000-0000-00006F1E0000}"/>
    <cellStyle name="Comma 4 3 2 6 3 4 2" xfId="17914" xr:uid="{E60D0B98-920A-403B-930D-A025055D9168}"/>
    <cellStyle name="Comma 4 3 2 6 3 4 3" xfId="28330" xr:uid="{84667E94-DC5A-4149-8461-5B9DE12DB50D}"/>
    <cellStyle name="Comma 4 3 2 6 3 5" xfId="15458" xr:uid="{BA1B2C21-CA44-41CD-9823-E7CCA98524C0}"/>
    <cellStyle name="Comma 4 3 2 6 3 6" xfId="25874" xr:uid="{06A70AAD-3299-482D-BEA6-1808C06E1BD9}"/>
    <cellStyle name="Comma 4 3 2 6 4" xfId="3125" xr:uid="{00000000-0005-0000-0000-0000701E0000}"/>
    <cellStyle name="Comma 4 3 2 6 4 2" xfId="10276" xr:uid="{00000000-0005-0000-0000-0000711E0000}"/>
    <cellStyle name="Comma 4 3 2 6 4 2 2" xfId="21822" xr:uid="{71B86CEC-429B-4D36-A7E0-20E4357FFB4E}"/>
    <cellStyle name="Comma 4 3 2 6 4 2 3" xfId="32238" xr:uid="{27B77748-0EEB-430A-9657-BC0D04AFB679}"/>
    <cellStyle name="Comma 4 3 2 6 4 3" xfId="15460" xr:uid="{9AB90F58-44F3-4037-A3CC-92BF5E1B842A}"/>
    <cellStyle name="Comma 4 3 2 6 4 4" xfId="25876" xr:uid="{2921D315-7766-4361-9D77-4D3124C66F80}"/>
    <cellStyle name="Comma 4 3 2 6 5" xfId="10271" xr:uid="{00000000-0005-0000-0000-0000721E0000}"/>
    <cellStyle name="Comma 4 3 2 6 5 2" xfId="21817" xr:uid="{8DEA7FBA-3F70-4BD1-8D78-9A4DFB442758}"/>
    <cellStyle name="Comma 4 3 2 6 5 3" xfId="32233" xr:uid="{C7749D2A-586B-4BFD-A166-DD38BD72B613}"/>
    <cellStyle name="Comma 4 3 2 6 6" xfId="6326" xr:uid="{00000000-0005-0000-0000-0000731E0000}"/>
    <cellStyle name="Comma 4 3 2 6 6 2" xfId="17912" xr:uid="{551DE3B1-3F76-40D1-9D42-F34E3807617E}"/>
    <cellStyle name="Comma 4 3 2 6 6 3" xfId="28328" xr:uid="{3D1D38A9-A373-414E-809E-540DBC2111BC}"/>
    <cellStyle name="Comma 4 3 2 6 7" xfId="15455" xr:uid="{EBCA202C-3D16-4786-B8B2-21B97BCEE05E}"/>
    <cellStyle name="Comma 4 3 2 6 8" xfId="25871" xr:uid="{62BBB846-0F0E-4653-8C9E-44B95AD87125}"/>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2 2 2" xfId="21825" xr:uid="{AD562F8B-9384-4681-A201-6227AF2A269F}"/>
    <cellStyle name="Comma 4 3 2 7 2 2 2 3" xfId="32241" xr:uid="{307D8DA3-B92B-449D-8B87-6BFB5888B83E}"/>
    <cellStyle name="Comma 4 3 2 7 2 2 3" xfId="15463" xr:uid="{936673F6-B7CB-4E1E-A922-D095D6681963}"/>
    <cellStyle name="Comma 4 3 2 7 2 2 4" xfId="25879" xr:uid="{E52791D8-22AA-464E-880E-24ADFDCB1FDF}"/>
    <cellStyle name="Comma 4 3 2 7 2 3" xfId="10278" xr:uid="{00000000-0005-0000-0000-0000781E0000}"/>
    <cellStyle name="Comma 4 3 2 7 2 3 2" xfId="21824" xr:uid="{1F855F08-D329-40AC-991F-D3160BDDAD88}"/>
    <cellStyle name="Comma 4 3 2 7 2 3 3" xfId="32240" xr:uid="{08B39455-6B5E-4480-BDCC-D9BBE6B75457}"/>
    <cellStyle name="Comma 4 3 2 7 2 4" xfId="6330" xr:uid="{00000000-0005-0000-0000-0000791E0000}"/>
    <cellStyle name="Comma 4 3 2 7 2 4 2" xfId="17916" xr:uid="{57AD1293-9F58-4EC5-80D2-862EB9EDBEAD}"/>
    <cellStyle name="Comma 4 3 2 7 2 4 3" xfId="28332" xr:uid="{4833B005-F779-475E-89CB-EC8DEC294D43}"/>
    <cellStyle name="Comma 4 3 2 7 2 5" xfId="15462" xr:uid="{8E5DDBF9-07F9-464F-B7BE-51B1E09A141F}"/>
    <cellStyle name="Comma 4 3 2 7 2 6" xfId="25878" xr:uid="{44A67DF7-75A5-4FCC-B109-880A70654B34}"/>
    <cellStyle name="Comma 4 3 2 7 3" xfId="3129" xr:uid="{00000000-0005-0000-0000-00007A1E0000}"/>
    <cellStyle name="Comma 4 3 2 7 3 2" xfId="10280" xr:uid="{00000000-0005-0000-0000-00007B1E0000}"/>
    <cellStyle name="Comma 4 3 2 7 3 2 2" xfId="21826" xr:uid="{AC4E6243-3245-4929-BE47-823FB51B1165}"/>
    <cellStyle name="Comma 4 3 2 7 3 2 3" xfId="32242" xr:uid="{52FB5D35-93A5-411D-BD25-35DE3FE5A453}"/>
    <cellStyle name="Comma 4 3 2 7 3 3" xfId="15464" xr:uid="{13E1AF58-0E3D-4E90-BA51-3063FEC13624}"/>
    <cellStyle name="Comma 4 3 2 7 3 4" xfId="25880" xr:uid="{DCF70EC2-FFA3-4C5C-B206-FE27B28F260C}"/>
    <cellStyle name="Comma 4 3 2 7 4" xfId="10277" xr:uid="{00000000-0005-0000-0000-00007C1E0000}"/>
    <cellStyle name="Comma 4 3 2 7 4 2" xfId="21823" xr:uid="{9D639164-837B-434B-B723-B08F5CF61D80}"/>
    <cellStyle name="Comma 4 3 2 7 4 3" xfId="32239" xr:uid="{E48FA176-C31F-428E-9993-61C5E31FDFED}"/>
    <cellStyle name="Comma 4 3 2 7 5" xfId="6329" xr:uid="{00000000-0005-0000-0000-00007D1E0000}"/>
    <cellStyle name="Comma 4 3 2 7 5 2" xfId="17915" xr:uid="{36AB80DF-B233-4823-9C5F-841B23FA36EB}"/>
    <cellStyle name="Comma 4 3 2 7 5 3" xfId="28331" xr:uid="{1E97E7F2-6BB2-4A5E-8E31-1A17EB14230C}"/>
    <cellStyle name="Comma 4 3 2 7 6" xfId="15461" xr:uid="{C19847FC-19D0-4D12-B8CC-FE2FFC3EB384}"/>
    <cellStyle name="Comma 4 3 2 7 7" xfId="25877" xr:uid="{F4FE3E4A-E14B-4510-B244-A4BECDCAA199}"/>
    <cellStyle name="Comma 4 3 2 8" xfId="3130" xr:uid="{00000000-0005-0000-0000-00007E1E0000}"/>
    <cellStyle name="Comma 4 3 2 8 2" xfId="3131" xr:uid="{00000000-0005-0000-0000-00007F1E0000}"/>
    <cellStyle name="Comma 4 3 2 8 2 2" xfId="10282" xr:uid="{00000000-0005-0000-0000-0000801E0000}"/>
    <cellStyle name="Comma 4 3 2 8 2 2 2" xfId="21828" xr:uid="{48765C68-4952-48C6-8FBF-A8E8C709FA95}"/>
    <cellStyle name="Comma 4 3 2 8 2 2 3" xfId="32244" xr:uid="{CE46D947-C7BE-4472-8F77-9B82FA9D4A63}"/>
    <cellStyle name="Comma 4 3 2 8 2 3" xfId="15466" xr:uid="{7A15AFAA-4C9B-4A0D-A07F-2F1E835FCAA7}"/>
    <cellStyle name="Comma 4 3 2 8 2 4" xfId="25882" xr:uid="{B1C8FAAA-D932-4C4B-AD5E-18C4866A95F6}"/>
    <cellStyle name="Comma 4 3 2 8 3" xfId="10281" xr:uid="{00000000-0005-0000-0000-0000811E0000}"/>
    <cellStyle name="Comma 4 3 2 8 3 2" xfId="21827" xr:uid="{3152ACAA-E153-436C-B04F-1234FDD8F2C8}"/>
    <cellStyle name="Comma 4 3 2 8 3 3" xfId="32243" xr:uid="{F06922E2-B880-4639-BCEF-959FD44818C9}"/>
    <cellStyle name="Comma 4 3 2 8 4" xfId="6331" xr:uid="{00000000-0005-0000-0000-0000821E0000}"/>
    <cellStyle name="Comma 4 3 2 8 4 2" xfId="17917" xr:uid="{508FAF93-026F-4D3C-A71D-86751CCF912D}"/>
    <cellStyle name="Comma 4 3 2 8 4 3" xfId="28333" xr:uid="{61D6D8BB-4DE5-4678-A48F-03B0EB5C1A15}"/>
    <cellStyle name="Comma 4 3 2 8 5" xfId="15465" xr:uid="{D3E93E32-E95D-4BAB-A4EA-B723693037BF}"/>
    <cellStyle name="Comma 4 3 2 8 6" xfId="25881" xr:uid="{99303560-4499-4530-86B8-69AFB3EFE2DA}"/>
    <cellStyle name="Comma 4 3 2 9" xfId="3132" xr:uid="{00000000-0005-0000-0000-0000831E0000}"/>
    <cellStyle name="Comma 4 3 2 9 2" xfId="3133" xr:uid="{00000000-0005-0000-0000-0000841E0000}"/>
    <cellStyle name="Comma 4 3 2 9 2 2" xfId="10284" xr:uid="{00000000-0005-0000-0000-0000851E0000}"/>
    <cellStyle name="Comma 4 3 2 9 2 2 2" xfId="21830" xr:uid="{D614991E-E8AA-4D0E-A842-8B2718871D41}"/>
    <cellStyle name="Comma 4 3 2 9 2 2 3" xfId="32246" xr:uid="{2F8DB015-E91C-4C19-B9E4-51396BE0303E}"/>
    <cellStyle name="Comma 4 3 2 9 2 3" xfId="15468" xr:uid="{A6107376-232B-440B-AE6E-DA6961B0E4AD}"/>
    <cellStyle name="Comma 4 3 2 9 2 4" xfId="25884" xr:uid="{493D407B-17F0-4AF3-8521-52A6A934C5CB}"/>
    <cellStyle name="Comma 4 3 2 9 3" xfId="10283" xr:uid="{00000000-0005-0000-0000-0000861E0000}"/>
    <cellStyle name="Comma 4 3 2 9 3 2" xfId="21829" xr:uid="{F8521BC2-1737-4938-A2E7-042862FFDB9E}"/>
    <cellStyle name="Comma 4 3 2 9 3 3" xfId="32245" xr:uid="{36B2F459-8009-4F09-BD42-7969826BC55E}"/>
    <cellStyle name="Comma 4 3 2 9 4" xfId="6332" xr:uid="{00000000-0005-0000-0000-0000871E0000}"/>
    <cellStyle name="Comma 4 3 2 9 4 2" xfId="17918" xr:uid="{0D7626FC-8A13-42E6-B39D-CDFFD5C84ADB}"/>
    <cellStyle name="Comma 4 3 2 9 4 3" xfId="28334" xr:uid="{56A9D9DF-A8FE-42E4-849D-0871EF099FE3}"/>
    <cellStyle name="Comma 4 3 2 9 5" xfId="15467" xr:uid="{A6847083-2508-4E70-82DC-432F860CB593}"/>
    <cellStyle name="Comma 4 3 2 9 6" xfId="25883" xr:uid="{C317B39F-AD8B-44BF-8A89-4C761D214FE2}"/>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2 2 2" xfId="21834" xr:uid="{F8340C3B-79CE-48AA-BC11-3D3429EADC2A}"/>
    <cellStyle name="Comma 4 3 3 2 2 2 2 3" xfId="32250" xr:uid="{C0B15530-828A-4022-B87E-95E1AC25A5F7}"/>
    <cellStyle name="Comma 4 3 3 2 2 2 3" xfId="15472" xr:uid="{379E4E1A-2532-4C14-9E93-06152038A778}"/>
    <cellStyle name="Comma 4 3 3 2 2 2 4" xfId="25888" xr:uid="{198C4A51-5FBA-45B0-A497-B51752D0875E}"/>
    <cellStyle name="Comma 4 3 3 2 2 3" xfId="10287" xr:uid="{00000000-0005-0000-0000-00008D1E0000}"/>
    <cellStyle name="Comma 4 3 3 2 2 3 2" xfId="21833" xr:uid="{39117C75-76B5-46F7-B8F0-C903AF34C3B5}"/>
    <cellStyle name="Comma 4 3 3 2 2 3 3" xfId="32249" xr:uid="{64203844-208C-45B5-9C59-CA35EA0D72CB}"/>
    <cellStyle name="Comma 4 3 3 2 2 4" xfId="6335" xr:uid="{00000000-0005-0000-0000-00008E1E0000}"/>
    <cellStyle name="Comma 4 3 3 2 2 4 2" xfId="17921" xr:uid="{7F24A8D3-8E33-4489-BB46-D4C1299581FE}"/>
    <cellStyle name="Comma 4 3 3 2 2 4 3" xfId="28337" xr:uid="{E4C10C8F-8F0C-44FD-9C59-9F40C9684FBD}"/>
    <cellStyle name="Comma 4 3 3 2 2 5" xfId="15471" xr:uid="{356BE8F0-D3DF-46F1-8C5B-4466123B0CCB}"/>
    <cellStyle name="Comma 4 3 3 2 2 6" xfId="25887" xr:uid="{C191B900-F219-4D31-ABBF-E62D8F5D6AA4}"/>
    <cellStyle name="Comma 4 3 3 2 3" xfId="3138" xr:uid="{00000000-0005-0000-0000-00008F1E0000}"/>
    <cellStyle name="Comma 4 3 3 2 3 2" xfId="10289" xr:uid="{00000000-0005-0000-0000-0000901E0000}"/>
    <cellStyle name="Comma 4 3 3 2 3 2 2" xfId="21835" xr:uid="{2E7AABCB-FBDF-4415-8EA1-F4A88B5877DC}"/>
    <cellStyle name="Comma 4 3 3 2 3 2 3" xfId="32251" xr:uid="{B0E6D660-189B-4C60-8C60-B8C3D7BA926C}"/>
    <cellStyle name="Comma 4 3 3 2 3 3" xfId="15473" xr:uid="{58AADD42-F754-4FCD-B0F2-AFB7E57D780C}"/>
    <cellStyle name="Comma 4 3 3 2 3 4" xfId="25889" xr:uid="{BE87480A-46FA-4C5D-82AD-246A4A1BBFAB}"/>
    <cellStyle name="Comma 4 3 3 2 4" xfId="10286" xr:uid="{00000000-0005-0000-0000-0000911E0000}"/>
    <cellStyle name="Comma 4 3 3 2 4 2" xfId="21832" xr:uid="{04DEFB5B-263B-4A14-90D4-89B0142D579F}"/>
    <cellStyle name="Comma 4 3 3 2 4 3" xfId="32248" xr:uid="{6E05D9BF-A1FA-48A5-910B-314B192CEC48}"/>
    <cellStyle name="Comma 4 3 3 2 5" xfId="6334" xr:uid="{00000000-0005-0000-0000-0000921E0000}"/>
    <cellStyle name="Comma 4 3 3 2 5 2" xfId="17920" xr:uid="{82D9A03E-F430-4963-ACA8-49FDC95AB9F1}"/>
    <cellStyle name="Comma 4 3 3 2 5 3" xfId="28336" xr:uid="{5CC7088A-797E-410B-92A1-A4AE1A0B1A36}"/>
    <cellStyle name="Comma 4 3 3 2 6" xfId="15470" xr:uid="{D7CAB259-9EE5-48AD-BD73-6FCDA83302AB}"/>
    <cellStyle name="Comma 4 3 3 2 7" xfId="25886" xr:uid="{E007886B-87D7-4B08-84F3-EEFE3AC2ED9D}"/>
    <cellStyle name="Comma 4 3 3 3" xfId="3139" xr:uid="{00000000-0005-0000-0000-0000931E0000}"/>
    <cellStyle name="Comma 4 3 3 3 2" xfId="3140" xr:uid="{00000000-0005-0000-0000-0000941E0000}"/>
    <cellStyle name="Comma 4 3 3 3 2 2" xfId="10291" xr:uid="{00000000-0005-0000-0000-0000951E0000}"/>
    <cellStyle name="Comma 4 3 3 3 2 2 2" xfId="21837" xr:uid="{724DE9EE-66B6-413D-9B32-7D0DA3CA09E2}"/>
    <cellStyle name="Comma 4 3 3 3 2 2 3" xfId="32253" xr:uid="{1DB2D875-7E7E-43DD-8DA1-337226658391}"/>
    <cellStyle name="Comma 4 3 3 3 2 3" xfId="15475" xr:uid="{4BC24694-B0C6-4BBF-9FF8-3C0BB94D5D5C}"/>
    <cellStyle name="Comma 4 3 3 3 2 4" xfId="25891" xr:uid="{1127A633-1936-4114-9B9D-983ED2E140D9}"/>
    <cellStyle name="Comma 4 3 3 3 3" xfId="10290" xr:uid="{00000000-0005-0000-0000-0000961E0000}"/>
    <cellStyle name="Comma 4 3 3 3 3 2" xfId="21836" xr:uid="{CDC25E89-5CFA-4990-A504-7F04E0CF9216}"/>
    <cellStyle name="Comma 4 3 3 3 3 3" xfId="32252" xr:uid="{97031AAE-0804-4A78-AFE0-8A0C1A0B5219}"/>
    <cellStyle name="Comma 4 3 3 3 4" xfId="6336" xr:uid="{00000000-0005-0000-0000-0000971E0000}"/>
    <cellStyle name="Comma 4 3 3 3 4 2" xfId="17922" xr:uid="{9997B5EE-95BE-406E-9245-23CC18513739}"/>
    <cellStyle name="Comma 4 3 3 3 4 3" xfId="28338" xr:uid="{875F732C-081C-4F0E-BA13-F94AEFCE8231}"/>
    <cellStyle name="Comma 4 3 3 3 5" xfId="15474" xr:uid="{841248D4-0E89-4C6F-9860-76C86EAC0664}"/>
    <cellStyle name="Comma 4 3 3 3 6" xfId="25890" xr:uid="{70B204B9-3A7A-491D-95E4-029A35A25A0A}"/>
    <cellStyle name="Comma 4 3 3 4" xfId="3141" xr:uid="{00000000-0005-0000-0000-0000981E0000}"/>
    <cellStyle name="Comma 4 3 3 4 2" xfId="3142" xr:uid="{00000000-0005-0000-0000-0000991E0000}"/>
    <cellStyle name="Comma 4 3 3 4 2 2" xfId="10293" xr:uid="{00000000-0005-0000-0000-00009A1E0000}"/>
    <cellStyle name="Comma 4 3 3 4 2 2 2" xfId="21839" xr:uid="{0554B74C-D191-4C39-98E9-2123ECD939E6}"/>
    <cellStyle name="Comma 4 3 3 4 2 2 3" xfId="32255" xr:uid="{DAA247E1-8FBA-4C3F-AEA8-17C32281F97C}"/>
    <cellStyle name="Comma 4 3 3 4 2 3" xfId="15477" xr:uid="{170936DC-0B83-4002-A2B9-5739495F8911}"/>
    <cellStyle name="Comma 4 3 3 4 2 4" xfId="25893" xr:uid="{F73196E2-1072-4387-BF95-5652C1CD2BAC}"/>
    <cellStyle name="Comma 4 3 3 4 3" xfId="10292" xr:uid="{00000000-0005-0000-0000-00009B1E0000}"/>
    <cellStyle name="Comma 4 3 3 4 3 2" xfId="21838" xr:uid="{D32A0846-6D02-41FE-98D1-36ED992AD4A9}"/>
    <cellStyle name="Comma 4 3 3 4 3 3" xfId="32254" xr:uid="{1B35DAF5-AAD5-43B1-9044-A4DF8EC33820}"/>
    <cellStyle name="Comma 4 3 3 4 4" xfId="6337" xr:uid="{00000000-0005-0000-0000-00009C1E0000}"/>
    <cellStyle name="Comma 4 3 3 4 4 2" xfId="17923" xr:uid="{F3C84CAB-4CD7-4C73-8A8C-3D72758DAC93}"/>
    <cellStyle name="Comma 4 3 3 4 4 3" xfId="28339" xr:uid="{8330B881-2139-45E4-A745-9A1FA44AFCFC}"/>
    <cellStyle name="Comma 4 3 3 4 5" xfId="15476" xr:uid="{F1048F83-AE34-4CFE-99DC-8BBB75A640D3}"/>
    <cellStyle name="Comma 4 3 3 4 6" xfId="25892" xr:uid="{C62AD8BB-55DE-459B-9F1C-6629E9F39631}"/>
    <cellStyle name="Comma 4 3 3 5" xfId="3143" xr:uid="{00000000-0005-0000-0000-00009D1E0000}"/>
    <cellStyle name="Comma 4 3 3 5 2" xfId="10294" xr:uid="{00000000-0005-0000-0000-00009E1E0000}"/>
    <cellStyle name="Comma 4 3 3 5 2 2" xfId="21840" xr:uid="{86EBB87B-3898-4961-A622-AD39D4139C93}"/>
    <cellStyle name="Comma 4 3 3 5 2 3" xfId="32256" xr:uid="{3D82469B-4638-4649-A974-DFFD57399C51}"/>
    <cellStyle name="Comma 4 3 3 5 3" xfId="15478" xr:uid="{F5C934F5-D011-47D9-A09B-94D31319E56A}"/>
    <cellStyle name="Comma 4 3 3 5 4" xfId="25894" xr:uid="{6766943F-96F1-4A40-93D9-9A9670A21846}"/>
    <cellStyle name="Comma 4 3 3 6" xfId="10285" xr:uid="{00000000-0005-0000-0000-00009F1E0000}"/>
    <cellStyle name="Comma 4 3 3 6 2" xfId="21831" xr:uid="{D008B53C-2126-4F8B-93C6-758CD3F01AA3}"/>
    <cellStyle name="Comma 4 3 3 6 3" xfId="32247" xr:uid="{E5513AB8-F2C7-4CD7-9B9A-CFD88344780E}"/>
    <cellStyle name="Comma 4 3 3 7" xfId="6333" xr:uid="{00000000-0005-0000-0000-0000A01E0000}"/>
    <cellStyle name="Comma 4 3 3 7 2" xfId="17919" xr:uid="{06D0020A-AB29-4D7D-BD59-9539CD8B9912}"/>
    <cellStyle name="Comma 4 3 3 7 3" xfId="28335" xr:uid="{D7861ED0-9EBD-4304-AFC9-977197B04BA8}"/>
    <cellStyle name="Comma 4 3 3 8" xfId="15469" xr:uid="{E03D5C96-3A0D-47BD-8303-DFC8F3FBC156}"/>
    <cellStyle name="Comma 4 3 3 9" xfId="25885" xr:uid="{1A44D6BF-237B-4BE0-8A53-786426FBF7DE}"/>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2 2 2" xfId="21844" xr:uid="{7C14137D-F521-48D6-AAE8-8DFF64844E10}"/>
    <cellStyle name="Comma 4 3 4 2 2 2 2 3" xfId="32260" xr:uid="{0B3399BA-0058-4E0B-BFD5-2EFBE498182B}"/>
    <cellStyle name="Comma 4 3 4 2 2 2 3" xfId="15482" xr:uid="{F901C4E3-E1F7-479A-A950-D6F3B254414E}"/>
    <cellStyle name="Comma 4 3 4 2 2 2 4" xfId="25898" xr:uid="{B1A506EA-2050-429D-9707-3BA3B017366D}"/>
    <cellStyle name="Comma 4 3 4 2 2 3" xfId="10297" xr:uid="{00000000-0005-0000-0000-0000A61E0000}"/>
    <cellStyle name="Comma 4 3 4 2 2 3 2" xfId="21843" xr:uid="{4F72B790-9D55-43BC-8FB3-4A3C6493E6E2}"/>
    <cellStyle name="Comma 4 3 4 2 2 3 3" xfId="32259" xr:uid="{8C5B1571-B7F3-4BDC-B90A-6014821CDA0B}"/>
    <cellStyle name="Comma 4 3 4 2 2 4" xfId="6340" xr:uid="{00000000-0005-0000-0000-0000A71E0000}"/>
    <cellStyle name="Comma 4 3 4 2 2 4 2" xfId="17926" xr:uid="{9A8FDAD9-4980-4AA5-A463-9E7811F29385}"/>
    <cellStyle name="Comma 4 3 4 2 2 4 3" xfId="28342" xr:uid="{99FC218A-2750-448F-A333-D4536156CEF8}"/>
    <cellStyle name="Comma 4 3 4 2 2 5" xfId="15481" xr:uid="{54222959-480A-43B4-B081-440AEAC8F3D5}"/>
    <cellStyle name="Comma 4 3 4 2 2 6" xfId="25897" xr:uid="{C89ACE01-DD1A-4BDE-808E-0DC9FFC57561}"/>
    <cellStyle name="Comma 4 3 4 2 3" xfId="3148" xr:uid="{00000000-0005-0000-0000-0000A81E0000}"/>
    <cellStyle name="Comma 4 3 4 2 3 2" xfId="10299" xr:uid="{00000000-0005-0000-0000-0000A91E0000}"/>
    <cellStyle name="Comma 4 3 4 2 3 2 2" xfId="21845" xr:uid="{D9C95BB5-867A-401B-B8EE-AB8BF95BEA25}"/>
    <cellStyle name="Comma 4 3 4 2 3 2 3" xfId="32261" xr:uid="{6AF908B9-1F10-4499-BBFF-D4E1F19BE8EC}"/>
    <cellStyle name="Comma 4 3 4 2 3 3" xfId="15483" xr:uid="{7A7F6331-8F44-4AB7-AA93-4A399BA9A1AD}"/>
    <cellStyle name="Comma 4 3 4 2 3 4" xfId="25899" xr:uid="{C790B305-A639-492C-8B21-D5E918C67257}"/>
    <cellStyle name="Comma 4 3 4 2 4" xfId="10296" xr:uid="{00000000-0005-0000-0000-0000AA1E0000}"/>
    <cellStyle name="Comma 4 3 4 2 4 2" xfId="21842" xr:uid="{C5973FDA-3DE8-4CBD-A2E2-515B9445B0DA}"/>
    <cellStyle name="Comma 4 3 4 2 4 3" xfId="32258" xr:uid="{9BECE60A-FB75-4A0F-8D86-FB4D71D2593A}"/>
    <cellStyle name="Comma 4 3 4 2 5" xfId="6339" xr:uid="{00000000-0005-0000-0000-0000AB1E0000}"/>
    <cellStyle name="Comma 4 3 4 2 5 2" xfId="17925" xr:uid="{37817221-02DC-4C12-92C6-1678A7980622}"/>
    <cellStyle name="Comma 4 3 4 2 5 3" xfId="28341" xr:uid="{160A45C9-30B1-4FF8-A8A6-5851BED3D231}"/>
    <cellStyle name="Comma 4 3 4 2 6" xfId="15480" xr:uid="{89BAE45F-830D-48C2-8098-417C691F7B6A}"/>
    <cellStyle name="Comma 4 3 4 2 7" xfId="25896" xr:uid="{8483DC32-A8F5-4AB2-928A-CBD6C01DDD9E}"/>
    <cellStyle name="Comma 4 3 4 3" xfId="3149" xr:uid="{00000000-0005-0000-0000-0000AC1E0000}"/>
    <cellStyle name="Comma 4 3 4 3 2" xfId="3150" xr:uid="{00000000-0005-0000-0000-0000AD1E0000}"/>
    <cellStyle name="Comma 4 3 4 3 2 2" xfId="10301" xr:uid="{00000000-0005-0000-0000-0000AE1E0000}"/>
    <cellStyle name="Comma 4 3 4 3 2 2 2" xfId="21847" xr:uid="{FA505ECD-5B1B-40D5-9F55-279AA47308ED}"/>
    <cellStyle name="Comma 4 3 4 3 2 2 3" xfId="32263" xr:uid="{85D64478-9E0B-4C45-9D0A-522977D4CAF4}"/>
    <cellStyle name="Comma 4 3 4 3 2 3" xfId="15485" xr:uid="{41A90609-CF46-4006-9C7C-ECF4A984F0EA}"/>
    <cellStyle name="Comma 4 3 4 3 2 4" xfId="25901" xr:uid="{5FA07EAA-1EA5-4D4B-BD97-ED8AF530672F}"/>
    <cellStyle name="Comma 4 3 4 3 3" xfId="10300" xr:uid="{00000000-0005-0000-0000-0000AF1E0000}"/>
    <cellStyle name="Comma 4 3 4 3 3 2" xfId="21846" xr:uid="{17D57762-F20D-45EA-8336-5524F2247694}"/>
    <cellStyle name="Comma 4 3 4 3 3 3" xfId="32262" xr:uid="{58B48D59-3CB9-4781-AAC4-AB313FA16C55}"/>
    <cellStyle name="Comma 4 3 4 3 4" xfId="6341" xr:uid="{00000000-0005-0000-0000-0000B01E0000}"/>
    <cellStyle name="Comma 4 3 4 3 4 2" xfId="17927" xr:uid="{76C3AF6D-495B-4C97-8B95-A42B0BCBE8CF}"/>
    <cellStyle name="Comma 4 3 4 3 4 3" xfId="28343" xr:uid="{2BFB1921-04C8-46F4-887B-DCC98C577797}"/>
    <cellStyle name="Comma 4 3 4 3 5" xfId="15484" xr:uid="{01FC9E88-CECA-4396-852E-833F89874B39}"/>
    <cellStyle name="Comma 4 3 4 3 6" xfId="25900" xr:uid="{C54578E5-C0E6-4C5B-8B0A-EB3448A87706}"/>
    <cellStyle name="Comma 4 3 4 4" xfId="3151" xr:uid="{00000000-0005-0000-0000-0000B11E0000}"/>
    <cellStyle name="Comma 4 3 4 4 2" xfId="3152" xr:uid="{00000000-0005-0000-0000-0000B21E0000}"/>
    <cellStyle name="Comma 4 3 4 4 2 2" xfId="10303" xr:uid="{00000000-0005-0000-0000-0000B31E0000}"/>
    <cellStyle name="Comma 4 3 4 4 2 2 2" xfId="21849" xr:uid="{4AAE9858-9883-44C9-BF82-82FC82B66E31}"/>
    <cellStyle name="Comma 4 3 4 4 2 2 3" xfId="32265" xr:uid="{9CC44355-7C58-407C-9A90-56740B37C78C}"/>
    <cellStyle name="Comma 4 3 4 4 2 3" xfId="15487" xr:uid="{CEC15B3B-D7A1-4EB8-BE47-01DB5B47F72B}"/>
    <cellStyle name="Comma 4 3 4 4 2 4" xfId="25903" xr:uid="{FE08DC65-5CD8-444F-A470-1A07E5124FFC}"/>
    <cellStyle name="Comma 4 3 4 4 3" xfId="10302" xr:uid="{00000000-0005-0000-0000-0000B41E0000}"/>
    <cellStyle name="Comma 4 3 4 4 3 2" xfId="21848" xr:uid="{79B38544-7374-421E-B521-0FB7555D053F}"/>
    <cellStyle name="Comma 4 3 4 4 3 3" xfId="32264" xr:uid="{B981846F-2A98-4A84-AF51-F3877FF3A1F1}"/>
    <cellStyle name="Comma 4 3 4 4 4" xfId="6342" xr:uid="{00000000-0005-0000-0000-0000B51E0000}"/>
    <cellStyle name="Comma 4 3 4 4 4 2" xfId="17928" xr:uid="{B6CF64CF-7AC8-4F7C-A61C-4738B1877567}"/>
    <cellStyle name="Comma 4 3 4 4 4 3" xfId="28344" xr:uid="{46D8079F-8F95-4276-9D4E-29A180A2DDF6}"/>
    <cellStyle name="Comma 4 3 4 4 5" xfId="15486" xr:uid="{AF6A7AA4-AEA5-4C0D-8590-F0844CC4C258}"/>
    <cellStyle name="Comma 4 3 4 4 6" xfId="25902" xr:uid="{5CB1B522-F28C-43DA-8010-05D3F7FC52FB}"/>
    <cellStyle name="Comma 4 3 4 5" xfId="3153" xr:uid="{00000000-0005-0000-0000-0000B61E0000}"/>
    <cellStyle name="Comma 4 3 4 5 2" xfId="10304" xr:uid="{00000000-0005-0000-0000-0000B71E0000}"/>
    <cellStyle name="Comma 4 3 4 5 2 2" xfId="21850" xr:uid="{1939C55F-945C-4A9F-9E20-A95F4DD52BDE}"/>
    <cellStyle name="Comma 4 3 4 5 2 3" xfId="32266" xr:uid="{036D9437-B792-44B3-8F40-F3406DB589B2}"/>
    <cellStyle name="Comma 4 3 4 5 3" xfId="15488" xr:uid="{A540DF63-13CE-4143-B929-287F2C67BEED}"/>
    <cellStyle name="Comma 4 3 4 5 4" xfId="25904" xr:uid="{0D3A64CD-3560-4E45-AC2B-D2C39344680E}"/>
    <cellStyle name="Comma 4 3 4 6" xfId="10295" xr:uid="{00000000-0005-0000-0000-0000B81E0000}"/>
    <cellStyle name="Comma 4 3 4 6 2" xfId="21841" xr:uid="{B8827475-25C5-474D-B7A8-E95B65841F0B}"/>
    <cellStyle name="Comma 4 3 4 6 3" xfId="32257" xr:uid="{7FBE945C-86FF-4928-87CC-5B43F9CC3DC9}"/>
    <cellStyle name="Comma 4 3 4 7" xfId="6338" xr:uid="{00000000-0005-0000-0000-0000B91E0000}"/>
    <cellStyle name="Comma 4 3 4 7 2" xfId="17924" xr:uid="{A86AC16E-76A7-4164-90D5-7ADBFABB7F4F}"/>
    <cellStyle name="Comma 4 3 4 7 3" xfId="28340" xr:uid="{31AF1468-CD59-4456-B9A1-000313019385}"/>
    <cellStyle name="Comma 4 3 4 8" xfId="15479" xr:uid="{69E2DA47-44AE-4E14-9049-DD4214643638}"/>
    <cellStyle name="Comma 4 3 4 9" xfId="25895" xr:uid="{77AAF0E3-92A9-4C81-815E-F9B3F858FD15}"/>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2 2 2" xfId="21854" xr:uid="{14FE639C-E1AE-4D01-A2D6-7CAD3A35465D}"/>
    <cellStyle name="Comma 4 3 5 2 2 2 2 3" xfId="32270" xr:uid="{EDECADCB-55B3-4BFB-9524-7B77A437695B}"/>
    <cellStyle name="Comma 4 3 5 2 2 2 3" xfId="15492" xr:uid="{BC340F28-BB0C-4779-95EE-B0B42CDC9EC7}"/>
    <cellStyle name="Comma 4 3 5 2 2 2 4" xfId="25908" xr:uid="{0153B2F7-3B0D-4EDD-9747-DDEC3A9463E6}"/>
    <cellStyle name="Comma 4 3 5 2 2 3" xfId="10307" xr:uid="{00000000-0005-0000-0000-0000BF1E0000}"/>
    <cellStyle name="Comma 4 3 5 2 2 3 2" xfId="21853" xr:uid="{C39D6BD6-CE09-4CCA-9849-D753A2D4E608}"/>
    <cellStyle name="Comma 4 3 5 2 2 3 3" xfId="32269" xr:uid="{C7DCF11F-462A-4ABC-8C98-7E4DBF4BAADC}"/>
    <cellStyle name="Comma 4 3 5 2 2 4" xfId="6345" xr:uid="{00000000-0005-0000-0000-0000C01E0000}"/>
    <cellStyle name="Comma 4 3 5 2 2 4 2" xfId="17931" xr:uid="{05106241-219D-4897-A847-ECAE9BA9646A}"/>
    <cellStyle name="Comma 4 3 5 2 2 4 3" xfId="28347" xr:uid="{04190062-294F-4E04-A21D-424E01BC1F6F}"/>
    <cellStyle name="Comma 4 3 5 2 2 5" xfId="15491" xr:uid="{1158EB8F-37ED-42F9-99CB-C26F072FA23A}"/>
    <cellStyle name="Comma 4 3 5 2 2 6" xfId="25907" xr:uid="{F76A0BED-D323-47BC-B3C1-8A26273F4F32}"/>
    <cellStyle name="Comma 4 3 5 2 3" xfId="3158" xr:uid="{00000000-0005-0000-0000-0000C11E0000}"/>
    <cellStyle name="Comma 4 3 5 2 3 2" xfId="10309" xr:uid="{00000000-0005-0000-0000-0000C21E0000}"/>
    <cellStyle name="Comma 4 3 5 2 3 2 2" xfId="21855" xr:uid="{0E90B8A6-AC0A-403C-BAA8-967574B1DEFD}"/>
    <cellStyle name="Comma 4 3 5 2 3 2 3" xfId="32271" xr:uid="{2A21D19E-764A-425A-8329-0882B66455F3}"/>
    <cellStyle name="Comma 4 3 5 2 3 3" xfId="15493" xr:uid="{DAEABCD9-241C-4CC1-B55B-BD2907762953}"/>
    <cellStyle name="Comma 4 3 5 2 3 4" xfId="25909" xr:uid="{B55A3365-D12C-4B3B-89A7-FA27472C4643}"/>
    <cellStyle name="Comma 4 3 5 2 4" xfId="10306" xr:uid="{00000000-0005-0000-0000-0000C31E0000}"/>
    <cellStyle name="Comma 4 3 5 2 4 2" xfId="21852" xr:uid="{E2D07BC1-6B69-44E1-A61D-B59827F95E6B}"/>
    <cellStyle name="Comma 4 3 5 2 4 3" xfId="32268" xr:uid="{A09AE808-983F-459C-BC05-E94140CF9395}"/>
    <cellStyle name="Comma 4 3 5 2 5" xfId="6344" xr:uid="{00000000-0005-0000-0000-0000C41E0000}"/>
    <cellStyle name="Comma 4 3 5 2 5 2" xfId="17930" xr:uid="{C70206DD-FF41-4379-8E7B-0E8B7B5A0092}"/>
    <cellStyle name="Comma 4 3 5 2 5 3" xfId="28346" xr:uid="{8F5C827C-4917-4487-8797-D64357CAE01C}"/>
    <cellStyle name="Comma 4 3 5 2 6" xfId="15490" xr:uid="{99FF4459-2892-4B19-8403-4CE16B07E9AF}"/>
    <cellStyle name="Comma 4 3 5 2 7" xfId="25906" xr:uid="{BC5AF1A1-E277-4D51-9078-053053B256B5}"/>
    <cellStyle name="Comma 4 3 5 3" xfId="3159" xr:uid="{00000000-0005-0000-0000-0000C51E0000}"/>
    <cellStyle name="Comma 4 3 5 3 2" xfId="3160" xr:uid="{00000000-0005-0000-0000-0000C61E0000}"/>
    <cellStyle name="Comma 4 3 5 3 2 2" xfId="10311" xr:uid="{00000000-0005-0000-0000-0000C71E0000}"/>
    <cellStyle name="Comma 4 3 5 3 2 2 2" xfId="21857" xr:uid="{37DBD2CD-CC80-4D18-867A-8B9160AB85C2}"/>
    <cellStyle name="Comma 4 3 5 3 2 2 3" xfId="32273" xr:uid="{69C0A244-D1EC-4DB4-B0C7-68EEA419D5C0}"/>
    <cellStyle name="Comma 4 3 5 3 2 3" xfId="15495" xr:uid="{8763771E-D6A4-45C2-AD9E-B34E4C60816E}"/>
    <cellStyle name="Comma 4 3 5 3 2 4" xfId="25911" xr:uid="{41FF4869-B339-470A-92CA-551D17F7A384}"/>
    <cellStyle name="Comma 4 3 5 3 3" xfId="10310" xr:uid="{00000000-0005-0000-0000-0000C81E0000}"/>
    <cellStyle name="Comma 4 3 5 3 3 2" xfId="21856" xr:uid="{A854D6AC-B073-4998-B79F-634482CC0533}"/>
    <cellStyle name="Comma 4 3 5 3 3 3" xfId="32272" xr:uid="{DF1F39FC-DFEC-4200-AE08-6DC9FFA9539B}"/>
    <cellStyle name="Comma 4 3 5 3 4" xfId="6346" xr:uid="{00000000-0005-0000-0000-0000C91E0000}"/>
    <cellStyle name="Comma 4 3 5 3 4 2" xfId="17932" xr:uid="{C87C5882-5C95-4782-B1F6-58164DACD257}"/>
    <cellStyle name="Comma 4 3 5 3 4 3" xfId="28348" xr:uid="{FB865835-56F6-4630-9952-33866942A667}"/>
    <cellStyle name="Comma 4 3 5 3 5" xfId="15494" xr:uid="{1BE1F49B-D4D5-4390-9AAC-A092AB67AB95}"/>
    <cellStyle name="Comma 4 3 5 3 6" xfId="25910" xr:uid="{1AB9739D-A8CF-434E-A753-C6725BED8866}"/>
    <cellStyle name="Comma 4 3 5 4" xfId="3161" xr:uid="{00000000-0005-0000-0000-0000CA1E0000}"/>
    <cellStyle name="Comma 4 3 5 4 2" xfId="3162" xr:uid="{00000000-0005-0000-0000-0000CB1E0000}"/>
    <cellStyle name="Comma 4 3 5 4 2 2" xfId="10313" xr:uid="{00000000-0005-0000-0000-0000CC1E0000}"/>
    <cellStyle name="Comma 4 3 5 4 2 2 2" xfId="21859" xr:uid="{A08BBC32-C650-4F62-A132-99A377462F12}"/>
    <cellStyle name="Comma 4 3 5 4 2 2 3" xfId="32275" xr:uid="{B509F857-2DA6-485B-BF95-C05CE079C925}"/>
    <cellStyle name="Comma 4 3 5 4 2 3" xfId="15497" xr:uid="{C21894E0-DFE0-4504-B57D-46755BFEF184}"/>
    <cellStyle name="Comma 4 3 5 4 2 4" xfId="25913" xr:uid="{B3DC425D-0A51-4128-BD8A-15B0872AA235}"/>
    <cellStyle name="Comma 4 3 5 4 3" xfId="10312" xr:uid="{00000000-0005-0000-0000-0000CD1E0000}"/>
    <cellStyle name="Comma 4 3 5 4 3 2" xfId="21858" xr:uid="{723F294B-26A1-42F1-A06D-6A4449621D43}"/>
    <cellStyle name="Comma 4 3 5 4 3 3" xfId="32274" xr:uid="{0789BBBD-3CC5-420E-A5F3-3BBB1182D41B}"/>
    <cellStyle name="Comma 4 3 5 4 4" xfId="6347" xr:uid="{00000000-0005-0000-0000-0000CE1E0000}"/>
    <cellStyle name="Comma 4 3 5 4 4 2" xfId="17933" xr:uid="{31F70455-CEFA-4A71-8CC8-6F455EE12A37}"/>
    <cellStyle name="Comma 4 3 5 4 4 3" xfId="28349" xr:uid="{571C0BF3-7B9D-4D8D-9D95-1B31A99C5D53}"/>
    <cellStyle name="Comma 4 3 5 4 5" xfId="15496" xr:uid="{EF87D0DD-7947-49A2-A73D-4E4A203EF60A}"/>
    <cellStyle name="Comma 4 3 5 4 6" xfId="25912" xr:uid="{C18F4CD8-DB4C-4B6D-B198-A802EA55AFD3}"/>
    <cellStyle name="Comma 4 3 5 5" xfId="3163" xr:uid="{00000000-0005-0000-0000-0000CF1E0000}"/>
    <cellStyle name="Comma 4 3 5 5 2" xfId="10314" xr:uid="{00000000-0005-0000-0000-0000D01E0000}"/>
    <cellStyle name="Comma 4 3 5 5 2 2" xfId="21860" xr:uid="{45AE6DC2-83F4-469A-99C8-525912F84D90}"/>
    <cellStyle name="Comma 4 3 5 5 2 3" xfId="32276" xr:uid="{527EC51B-A4E8-44ED-8283-EF5FC25EE443}"/>
    <cellStyle name="Comma 4 3 5 5 3" xfId="15498" xr:uid="{E5BE9EBC-C90A-414D-8C56-C60268891DAA}"/>
    <cellStyle name="Comma 4 3 5 5 4" xfId="25914" xr:uid="{0C3E24B3-136A-411D-BED1-BD9BC14C26A0}"/>
    <cellStyle name="Comma 4 3 5 6" xfId="10305" xr:uid="{00000000-0005-0000-0000-0000D11E0000}"/>
    <cellStyle name="Comma 4 3 5 6 2" xfId="21851" xr:uid="{D753EAFB-0B04-432C-900F-F411A6FE6898}"/>
    <cellStyle name="Comma 4 3 5 6 3" xfId="32267" xr:uid="{DD39DD1F-54D2-4310-B787-3FED34EA98BB}"/>
    <cellStyle name="Comma 4 3 5 7" xfId="6343" xr:uid="{00000000-0005-0000-0000-0000D21E0000}"/>
    <cellStyle name="Comma 4 3 5 7 2" xfId="17929" xr:uid="{BE4ACEE1-7F6D-4B7F-AA83-5EE875530C34}"/>
    <cellStyle name="Comma 4 3 5 7 3" xfId="28345" xr:uid="{A08102DB-44E9-45AE-A170-3B31F678E7C1}"/>
    <cellStyle name="Comma 4 3 5 8" xfId="15489" xr:uid="{65C3ECE5-6C7E-4D14-8CC6-835F1E306B4A}"/>
    <cellStyle name="Comma 4 3 5 9" xfId="25905" xr:uid="{8F33E742-0F81-4059-BB47-0A4F784F7C7B}"/>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2 2 2" xfId="21864" xr:uid="{AE64B3F0-B2F3-45B2-9122-38998D9D84F6}"/>
    <cellStyle name="Comma 4 3 6 2 2 2 2 3" xfId="32280" xr:uid="{067CEA47-D3CF-4D71-AC97-CECD613C3E71}"/>
    <cellStyle name="Comma 4 3 6 2 2 2 3" xfId="15502" xr:uid="{49414533-1A50-4BA8-83E6-E59A226DEC87}"/>
    <cellStyle name="Comma 4 3 6 2 2 2 4" xfId="25918" xr:uid="{9D3F1E4A-BC00-402B-9E2D-2E20B6BEF117}"/>
    <cellStyle name="Comma 4 3 6 2 2 3" xfId="10317" xr:uid="{00000000-0005-0000-0000-0000D81E0000}"/>
    <cellStyle name="Comma 4 3 6 2 2 3 2" xfId="21863" xr:uid="{6EEC9566-8BE8-45E5-AE44-A7B91FAFC9F2}"/>
    <cellStyle name="Comma 4 3 6 2 2 3 3" xfId="32279" xr:uid="{41A66A9B-2756-45C6-8A53-229060D07C0B}"/>
    <cellStyle name="Comma 4 3 6 2 2 4" xfId="6350" xr:uid="{00000000-0005-0000-0000-0000D91E0000}"/>
    <cellStyle name="Comma 4 3 6 2 2 4 2" xfId="17936" xr:uid="{92AF0BB6-1F3E-4080-B31B-00B658CF5A09}"/>
    <cellStyle name="Comma 4 3 6 2 2 4 3" xfId="28352" xr:uid="{409D883D-5546-434F-B5DA-4917252966AC}"/>
    <cellStyle name="Comma 4 3 6 2 2 5" xfId="15501" xr:uid="{55886B38-1B9A-4849-BB8C-CB0C1A726D0E}"/>
    <cellStyle name="Comma 4 3 6 2 2 6" xfId="25917" xr:uid="{D0F606D3-5BE7-47B7-A89C-AF456343E2D3}"/>
    <cellStyle name="Comma 4 3 6 2 3" xfId="3168" xr:uid="{00000000-0005-0000-0000-0000DA1E0000}"/>
    <cellStyle name="Comma 4 3 6 2 3 2" xfId="10319" xr:uid="{00000000-0005-0000-0000-0000DB1E0000}"/>
    <cellStyle name="Comma 4 3 6 2 3 2 2" xfId="21865" xr:uid="{55D0D0DF-2BE9-4619-AAD8-42D0319E785D}"/>
    <cellStyle name="Comma 4 3 6 2 3 2 3" xfId="32281" xr:uid="{6074EA6D-8D4B-44C4-8347-7AC1577F623F}"/>
    <cellStyle name="Comma 4 3 6 2 3 3" xfId="15503" xr:uid="{85E3264D-B3B5-4DF7-AC7F-A6F85AD52CED}"/>
    <cellStyle name="Comma 4 3 6 2 3 4" xfId="25919" xr:uid="{DF0F5D38-64F2-40AD-B314-E4DEAB476BE4}"/>
    <cellStyle name="Comma 4 3 6 2 4" xfId="10316" xr:uid="{00000000-0005-0000-0000-0000DC1E0000}"/>
    <cellStyle name="Comma 4 3 6 2 4 2" xfId="21862" xr:uid="{02738B4B-62BA-40BD-858C-6A31BF21D6DC}"/>
    <cellStyle name="Comma 4 3 6 2 4 3" xfId="32278" xr:uid="{D377CAE4-40D3-4372-AEB4-8CEA00AD20B3}"/>
    <cellStyle name="Comma 4 3 6 2 5" xfId="6349" xr:uid="{00000000-0005-0000-0000-0000DD1E0000}"/>
    <cellStyle name="Comma 4 3 6 2 5 2" xfId="17935" xr:uid="{BBF93CB7-38DD-4368-8AEE-65489DECC7F1}"/>
    <cellStyle name="Comma 4 3 6 2 5 3" xfId="28351" xr:uid="{1B14A472-F7E9-4D8E-A586-599935E7126F}"/>
    <cellStyle name="Comma 4 3 6 2 6" xfId="15500" xr:uid="{B732D0A5-1FB1-4B3B-B948-4CDD06AFADDB}"/>
    <cellStyle name="Comma 4 3 6 2 7" xfId="25916" xr:uid="{7A2C0338-51A3-4767-A6C7-D4C59747092D}"/>
    <cellStyle name="Comma 4 3 6 3" xfId="3169" xr:uid="{00000000-0005-0000-0000-0000DE1E0000}"/>
    <cellStyle name="Comma 4 3 6 3 2" xfId="3170" xr:uid="{00000000-0005-0000-0000-0000DF1E0000}"/>
    <cellStyle name="Comma 4 3 6 3 2 2" xfId="10321" xr:uid="{00000000-0005-0000-0000-0000E01E0000}"/>
    <cellStyle name="Comma 4 3 6 3 2 2 2" xfId="21867" xr:uid="{771F9E71-C121-4D2F-8A08-1C476CBD8C90}"/>
    <cellStyle name="Comma 4 3 6 3 2 2 3" xfId="32283" xr:uid="{983CEA95-1F00-4F26-AE3E-4C8F99599B81}"/>
    <cellStyle name="Comma 4 3 6 3 2 3" xfId="15505" xr:uid="{EFCA49C7-78EB-49F7-9B4A-846A87810C88}"/>
    <cellStyle name="Comma 4 3 6 3 2 4" xfId="25921" xr:uid="{DBFC5A3B-5A50-4BAC-AAD0-0676E14A8C86}"/>
    <cellStyle name="Comma 4 3 6 3 3" xfId="10320" xr:uid="{00000000-0005-0000-0000-0000E11E0000}"/>
    <cellStyle name="Comma 4 3 6 3 3 2" xfId="21866" xr:uid="{01658D08-0B36-4315-8EDE-B08A9D65FF62}"/>
    <cellStyle name="Comma 4 3 6 3 3 3" xfId="32282" xr:uid="{92C34128-EABA-4581-A1ED-FFDD8ED2BCBC}"/>
    <cellStyle name="Comma 4 3 6 3 4" xfId="6351" xr:uid="{00000000-0005-0000-0000-0000E21E0000}"/>
    <cellStyle name="Comma 4 3 6 3 4 2" xfId="17937" xr:uid="{E2DF723F-5DF4-4AA4-A5D4-522411A7AB55}"/>
    <cellStyle name="Comma 4 3 6 3 4 3" xfId="28353" xr:uid="{3BFF0DC0-3E6E-45D7-9A51-666ECD4C9425}"/>
    <cellStyle name="Comma 4 3 6 3 5" xfId="15504" xr:uid="{CD9EFF02-E665-4E29-AE2B-AB374DF7C6DC}"/>
    <cellStyle name="Comma 4 3 6 3 6" xfId="25920" xr:uid="{65448BB3-8311-46C7-BBE9-D375610EFAC2}"/>
    <cellStyle name="Comma 4 3 6 4" xfId="3171" xr:uid="{00000000-0005-0000-0000-0000E31E0000}"/>
    <cellStyle name="Comma 4 3 6 4 2" xfId="3172" xr:uid="{00000000-0005-0000-0000-0000E41E0000}"/>
    <cellStyle name="Comma 4 3 6 4 2 2" xfId="10323" xr:uid="{00000000-0005-0000-0000-0000E51E0000}"/>
    <cellStyle name="Comma 4 3 6 4 2 2 2" xfId="21869" xr:uid="{6F919440-F8DD-44D7-A083-70016603EC2E}"/>
    <cellStyle name="Comma 4 3 6 4 2 2 3" xfId="32285" xr:uid="{1AB28CF9-EA5C-4579-BA90-2DEE4CF7BD4E}"/>
    <cellStyle name="Comma 4 3 6 4 2 3" xfId="15507" xr:uid="{0326156D-B7D1-40F3-8766-358343DD5F0F}"/>
    <cellStyle name="Comma 4 3 6 4 2 4" xfId="25923" xr:uid="{C3322C9D-AF4B-4C00-83A0-0B648DACA4B5}"/>
    <cellStyle name="Comma 4 3 6 4 3" xfId="10322" xr:uid="{00000000-0005-0000-0000-0000E61E0000}"/>
    <cellStyle name="Comma 4 3 6 4 3 2" xfId="21868" xr:uid="{BBDDC17E-956F-4D8E-A5C4-1FC391316624}"/>
    <cellStyle name="Comma 4 3 6 4 3 3" xfId="32284" xr:uid="{37A38F88-6A92-43BC-A586-18BB9AEEEE80}"/>
    <cellStyle name="Comma 4 3 6 4 4" xfId="6352" xr:uid="{00000000-0005-0000-0000-0000E71E0000}"/>
    <cellStyle name="Comma 4 3 6 4 4 2" xfId="17938" xr:uid="{F6DF565D-557D-4D60-9B6A-FF8E8BCD1C13}"/>
    <cellStyle name="Comma 4 3 6 4 4 3" xfId="28354" xr:uid="{3BA0A520-83E9-4FBC-A0AA-9738D457FB02}"/>
    <cellStyle name="Comma 4 3 6 4 5" xfId="15506" xr:uid="{953BA120-CB61-4CF4-A865-B572C4AAD39E}"/>
    <cellStyle name="Comma 4 3 6 4 6" xfId="25922" xr:uid="{91F2FAC7-6ADB-41DF-9B8E-0757CB17759F}"/>
    <cellStyle name="Comma 4 3 6 5" xfId="3173" xr:uid="{00000000-0005-0000-0000-0000E81E0000}"/>
    <cellStyle name="Comma 4 3 6 5 2" xfId="10324" xr:uid="{00000000-0005-0000-0000-0000E91E0000}"/>
    <cellStyle name="Comma 4 3 6 5 2 2" xfId="21870" xr:uid="{59EFED4F-472A-48E4-8A3E-2E14A30952CA}"/>
    <cellStyle name="Comma 4 3 6 5 2 3" xfId="32286" xr:uid="{6DA011C8-F038-411B-BCB7-77FA931A0CA5}"/>
    <cellStyle name="Comma 4 3 6 5 3" xfId="15508" xr:uid="{8594B928-4AD0-4B17-AD98-143DC8DB3ECE}"/>
    <cellStyle name="Comma 4 3 6 5 4" xfId="25924" xr:uid="{1FA3F391-1274-47BD-9424-B620D42DF473}"/>
    <cellStyle name="Comma 4 3 6 6" xfId="10315" xr:uid="{00000000-0005-0000-0000-0000EA1E0000}"/>
    <cellStyle name="Comma 4 3 6 6 2" xfId="21861" xr:uid="{BE585AAC-679D-4A0D-8202-8701184A9322}"/>
    <cellStyle name="Comma 4 3 6 6 3" xfId="32277" xr:uid="{F5DC3344-B27A-421F-8DE7-93D43EB7BBBA}"/>
    <cellStyle name="Comma 4 3 6 7" xfId="6348" xr:uid="{00000000-0005-0000-0000-0000EB1E0000}"/>
    <cellStyle name="Comma 4 3 6 7 2" xfId="17934" xr:uid="{27654FE4-1020-44C5-BD8C-E6AD7A5381B7}"/>
    <cellStyle name="Comma 4 3 6 7 3" xfId="28350" xr:uid="{348CD1A9-4C0D-44ED-9438-72AA8D93113A}"/>
    <cellStyle name="Comma 4 3 6 8" xfId="15499" xr:uid="{B2BF6910-8520-4EBE-B6EC-B8BC2D8888F4}"/>
    <cellStyle name="Comma 4 3 6 9" xfId="25915" xr:uid="{BB89DBA2-C376-48A5-84A5-1E9C4EE5B315}"/>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2 2 2" xfId="21873" xr:uid="{C2278537-535C-41CE-91B6-7C52C65D79FF}"/>
    <cellStyle name="Comma 4 3 7 2 2 2 3" xfId="32289" xr:uid="{0D8F5A01-F735-4D7C-B0C4-C6CA4A7E0ED9}"/>
    <cellStyle name="Comma 4 3 7 2 2 3" xfId="15511" xr:uid="{C57C8A68-9D6D-47D1-A8BD-FABAACE72A36}"/>
    <cellStyle name="Comma 4 3 7 2 2 4" xfId="25927" xr:uid="{B6193113-F197-4419-8936-94CFECCAA942}"/>
    <cellStyle name="Comma 4 3 7 2 3" xfId="10326" xr:uid="{00000000-0005-0000-0000-0000F01E0000}"/>
    <cellStyle name="Comma 4 3 7 2 3 2" xfId="21872" xr:uid="{4F70B05B-92B4-490F-B223-687DD3B5E814}"/>
    <cellStyle name="Comma 4 3 7 2 3 3" xfId="32288" xr:uid="{A6C3BDD8-25B7-45F2-9CF8-ECC9D9CDB079}"/>
    <cellStyle name="Comma 4 3 7 2 4" xfId="6354" xr:uid="{00000000-0005-0000-0000-0000F11E0000}"/>
    <cellStyle name="Comma 4 3 7 2 4 2" xfId="17940" xr:uid="{397773E3-4251-4DF6-812C-DD73FD66834E}"/>
    <cellStyle name="Comma 4 3 7 2 4 3" xfId="28356" xr:uid="{D58B8CE7-1CB2-40D9-838B-D1C09608CEC9}"/>
    <cellStyle name="Comma 4 3 7 2 5" xfId="15510" xr:uid="{09C15772-D162-4227-AA0D-91E00E6394CB}"/>
    <cellStyle name="Comma 4 3 7 2 6" xfId="25926" xr:uid="{C138D9C5-C0FD-408E-8D29-09AD24E6BBF3}"/>
    <cellStyle name="Comma 4 3 7 3" xfId="3177" xr:uid="{00000000-0005-0000-0000-0000F21E0000}"/>
    <cellStyle name="Comma 4 3 7 3 2" xfId="3178" xr:uid="{00000000-0005-0000-0000-0000F31E0000}"/>
    <cellStyle name="Comma 4 3 7 3 2 2" xfId="10329" xr:uid="{00000000-0005-0000-0000-0000F41E0000}"/>
    <cellStyle name="Comma 4 3 7 3 2 2 2" xfId="21875" xr:uid="{2185C51E-0C0A-42D6-A68E-A59636C8A858}"/>
    <cellStyle name="Comma 4 3 7 3 2 2 3" xfId="32291" xr:uid="{D86A4B63-09DF-49C9-80FA-F07FB320A15C}"/>
    <cellStyle name="Comma 4 3 7 3 2 3" xfId="15513" xr:uid="{E85EB539-359B-4D84-82E2-827C1AF999D8}"/>
    <cellStyle name="Comma 4 3 7 3 2 4" xfId="25929" xr:uid="{D602FA8A-C8F9-4D1B-9CE1-9DA9D85340F7}"/>
    <cellStyle name="Comma 4 3 7 3 3" xfId="10328" xr:uid="{00000000-0005-0000-0000-0000F51E0000}"/>
    <cellStyle name="Comma 4 3 7 3 3 2" xfId="21874" xr:uid="{1A73ED06-BF2E-4033-84AA-7D374CF4D808}"/>
    <cellStyle name="Comma 4 3 7 3 3 3" xfId="32290" xr:uid="{5676FACF-48C2-436F-BA25-FF9F0A10680D}"/>
    <cellStyle name="Comma 4 3 7 3 4" xfId="6355" xr:uid="{00000000-0005-0000-0000-0000F61E0000}"/>
    <cellStyle name="Comma 4 3 7 3 4 2" xfId="17941" xr:uid="{A1DA0359-D126-43E6-B343-1FBB097BE6C7}"/>
    <cellStyle name="Comma 4 3 7 3 4 3" xfId="28357" xr:uid="{EC4C45EA-1FB3-4698-B0B5-321986180414}"/>
    <cellStyle name="Comma 4 3 7 3 5" xfId="15512" xr:uid="{D9BD0746-1730-48F6-AB4D-4AE47870BB9A}"/>
    <cellStyle name="Comma 4 3 7 3 6" xfId="25928" xr:uid="{5732528F-4F7C-4AD6-A5E5-91C3DD5C82BC}"/>
    <cellStyle name="Comma 4 3 7 4" xfId="3179" xr:uid="{00000000-0005-0000-0000-0000F71E0000}"/>
    <cellStyle name="Comma 4 3 7 4 2" xfId="10330" xr:uid="{00000000-0005-0000-0000-0000F81E0000}"/>
    <cellStyle name="Comma 4 3 7 4 2 2" xfId="21876" xr:uid="{6C88C652-EB29-4F3F-8ED7-24B14618F5CC}"/>
    <cellStyle name="Comma 4 3 7 4 2 3" xfId="32292" xr:uid="{A7D9FDC5-64F2-4338-BBC1-0B210AC9C39B}"/>
    <cellStyle name="Comma 4 3 7 4 3" xfId="15514" xr:uid="{00EF86FA-08A4-415E-B170-83C174FF04E2}"/>
    <cellStyle name="Comma 4 3 7 4 4" xfId="25930" xr:uid="{E44E9962-9A9D-43B6-B1C3-8C5360D75C33}"/>
    <cellStyle name="Comma 4 3 7 5" xfId="10325" xr:uid="{00000000-0005-0000-0000-0000F91E0000}"/>
    <cellStyle name="Comma 4 3 7 5 2" xfId="21871" xr:uid="{407D3DB3-AF8D-4D3D-8E56-7EF8841EC023}"/>
    <cellStyle name="Comma 4 3 7 5 3" xfId="32287" xr:uid="{E25DB420-59F5-44EC-B4DC-9B6B1203A448}"/>
    <cellStyle name="Comma 4 3 7 6" xfId="6353" xr:uid="{00000000-0005-0000-0000-0000FA1E0000}"/>
    <cellStyle name="Comma 4 3 7 6 2" xfId="17939" xr:uid="{295A6E66-05AC-4A65-AF49-5E6A49927F66}"/>
    <cellStyle name="Comma 4 3 7 6 3" xfId="28355" xr:uid="{F73DD048-4D67-42F0-8B69-AE5879E426DB}"/>
    <cellStyle name="Comma 4 3 7 7" xfId="15509" xr:uid="{EDFADE1B-5C19-4095-9A46-2F60B105BC53}"/>
    <cellStyle name="Comma 4 3 7 8" xfId="25925" xr:uid="{8AA5ACC0-8A8D-470F-80FB-0D2B7F31F9F9}"/>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2 2 2" xfId="21879" xr:uid="{D8D8DD56-4A08-41FD-82C7-77F18844630B}"/>
    <cellStyle name="Comma 4 3 8 2 2 2 3" xfId="32295" xr:uid="{B34EA769-6DD1-451D-897F-FC877EC6C6FD}"/>
    <cellStyle name="Comma 4 3 8 2 2 3" xfId="15517" xr:uid="{83A09C30-DDDE-4C0C-B974-758C2E3FCE09}"/>
    <cellStyle name="Comma 4 3 8 2 2 4" xfId="25933" xr:uid="{260BD319-0F18-4250-A77D-31813CD03153}"/>
    <cellStyle name="Comma 4 3 8 2 3" xfId="10332" xr:uid="{00000000-0005-0000-0000-0000FF1E0000}"/>
    <cellStyle name="Comma 4 3 8 2 3 2" xfId="21878" xr:uid="{49AAE867-E6D8-4C55-BE4E-396603B37F04}"/>
    <cellStyle name="Comma 4 3 8 2 3 3" xfId="32294" xr:uid="{9C4313B3-A1EF-41FB-8732-11C5CF2C5396}"/>
    <cellStyle name="Comma 4 3 8 2 4" xfId="6357" xr:uid="{00000000-0005-0000-0000-0000001F0000}"/>
    <cellStyle name="Comma 4 3 8 2 4 2" xfId="17943" xr:uid="{41CF3A3B-AFB6-4BF1-8344-DC7A61E8B27D}"/>
    <cellStyle name="Comma 4 3 8 2 4 3" xfId="28359" xr:uid="{B73EA5FD-3A6B-4234-9F17-7FE0B6CC51AA}"/>
    <cellStyle name="Comma 4 3 8 2 5" xfId="15516" xr:uid="{F4E530CF-652C-4530-AEA2-6E38B2812B70}"/>
    <cellStyle name="Comma 4 3 8 2 6" xfId="25932" xr:uid="{45990EE5-8A97-445C-A3CF-1E357167C674}"/>
    <cellStyle name="Comma 4 3 8 3" xfId="3183" xr:uid="{00000000-0005-0000-0000-0000011F0000}"/>
    <cellStyle name="Comma 4 3 8 3 2" xfId="10334" xr:uid="{00000000-0005-0000-0000-0000021F0000}"/>
    <cellStyle name="Comma 4 3 8 3 2 2" xfId="21880" xr:uid="{1B65D060-2398-4136-8C28-F36EA8D301AD}"/>
    <cellStyle name="Comma 4 3 8 3 2 3" xfId="32296" xr:uid="{9B7B89F8-E5E7-4694-BA97-828453CA17DB}"/>
    <cellStyle name="Comma 4 3 8 3 3" xfId="15518" xr:uid="{AFD33782-9777-4002-98E7-B0748BDEDD1D}"/>
    <cellStyle name="Comma 4 3 8 3 4" xfId="25934" xr:uid="{49F7C943-6E1E-43E1-9E58-D49E06FE8B2B}"/>
    <cellStyle name="Comma 4 3 8 4" xfId="10331" xr:uid="{00000000-0005-0000-0000-0000031F0000}"/>
    <cellStyle name="Comma 4 3 8 4 2" xfId="21877" xr:uid="{FA526436-785F-4096-AE5A-462D3907786A}"/>
    <cellStyle name="Comma 4 3 8 4 3" xfId="32293" xr:uid="{1AA6DC03-EB1D-421F-8144-417CC9615364}"/>
    <cellStyle name="Comma 4 3 8 5" xfId="6356" xr:uid="{00000000-0005-0000-0000-0000041F0000}"/>
    <cellStyle name="Comma 4 3 8 5 2" xfId="17942" xr:uid="{CB7B9CA2-525C-4BCB-A456-7C9148B28E22}"/>
    <cellStyle name="Comma 4 3 8 5 3" xfId="28358" xr:uid="{2F0E9D58-8AD6-4396-BC61-4B33F89F86FF}"/>
    <cellStyle name="Comma 4 3 8 6" xfId="15515" xr:uid="{D89F6779-F77E-44C6-AD51-FC94B8E15491}"/>
    <cellStyle name="Comma 4 3 8 7" xfId="25931" xr:uid="{12D73B45-67CF-4F8C-99B5-11D1D03B29BB}"/>
    <cellStyle name="Comma 4 3 9" xfId="3184" xr:uid="{00000000-0005-0000-0000-0000051F0000}"/>
    <cellStyle name="Comma 4 3 9 2" xfId="3185" xr:uid="{00000000-0005-0000-0000-0000061F0000}"/>
    <cellStyle name="Comma 4 3 9 2 2" xfId="10336" xr:uid="{00000000-0005-0000-0000-0000071F0000}"/>
    <cellStyle name="Comma 4 3 9 2 2 2" xfId="21882" xr:uid="{83255FD3-F0BB-4929-82FB-E75B5743C1EF}"/>
    <cellStyle name="Comma 4 3 9 2 2 3" xfId="32298" xr:uid="{3163208C-A407-421C-B6D3-B40F058A248C}"/>
    <cellStyle name="Comma 4 3 9 2 3" xfId="15520" xr:uid="{55EC13A2-3077-426F-B155-239D19B3925C}"/>
    <cellStyle name="Comma 4 3 9 2 4" xfId="25936" xr:uid="{4E11BD2D-28C5-423C-9CA1-5C0C3251BC60}"/>
    <cellStyle name="Comma 4 3 9 3" xfId="10335" xr:uid="{00000000-0005-0000-0000-0000081F0000}"/>
    <cellStyle name="Comma 4 3 9 3 2" xfId="21881" xr:uid="{8D01214F-DF7B-4D30-867D-04CCD0B868E3}"/>
    <cellStyle name="Comma 4 3 9 3 3" xfId="32297" xr:uid="{A0ACCA35-51C1-47DD-A2E0-7DEE41FCD5F3}"/>
    <cellStyle name="Comma 4 3 9 4" xfId="6358" xr:uid="{00000000-0005-0000-0000-0000091F0000}"/>
    <cellStyle name="Comma 4 3 9 4 2" xfId="17944" xr:uid="{4170E2D2-EA3B-4638-8743-61E690039E90}"/>
    <cellStyle name="Comma 4 3 9 4 3" xfId="28360" xr:uid="{5763655A-3B9E-4894-BD0C-4255D56BC2E4}"/>
    <cellStyle name="Comma 4 3 9 5" xfId="15519" xr:uid="{EFB2EF11-BE7A-4F2F-913E-089C7A0021E7}"/>
    <cellStyle name="Comma 4 3 9 6" xfId="25935" xr:uid="{AA390427-A3D9-4312-89B9-C0FFBB2CAB23}"/>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2 2 2" xfId="21885" xr:uid="{0625AF94-900E-413F-92BE-2782435961F7}"/>
    <cellStyle name="Comma 4 4 10 2 2 3" xfId="32301" xr:uid="{9A573A08-548D-420F-B6EB-4A8FEF745655}"/>
    <cellStyle name="Comma 4 4 10 2 3" xfId="15523" xr:uid="{7DAEFF37-9AC9-4056-BBF0-9440FBB58A25}"/>
    <cellStyle name="Comma 4 4 10 2 4" xfId="25939" xr:uid="{07EE519B-E408-4B8C-87AC-BA881C330324}"/>
    <cellStyle name="Comma 4 4 10 3" xfId="10338" xr:uid="{00000000-0005-0000-0000-00000E1F0000}"/>
    <cellStyle name="Comma 4 4 10 3 2" xfId="21884" xr:uid="{D32EA397-C498-4167-8396-64B376EA5B60}"/>
    <cellStyle name="Comma 4 4 10 3 3" xfId="32300" xr:uid="{5F348CE1-2620-4B83-8072-E28F80A06F5E}"/>
    <cellStyle name="Comma 4 4 10 4" xfId="6360" xr:uid="{00000000-0005-0000-0000-00000F1F0000}"/>
    <cellStyle name="Comma 4 4 10 4 2" xfId="17946" xr:uid="{CF343B64-87DE-47F7-A733-D905C1551FAF}"/>
    <cellStyle name="Comma 4 4 10 4 3" xfId="28362" xr:uid="{67547BBB-E812-4A87-8AC6-5257E6A976C6}"/>
    <cellStyle name="Comma 4 4 10 5" xfId="15522" xr:uid="{A346F4CE-247E-49F3-A66F-F267B7ABEBBA}"/>
    <cellStyle name="Comma 4 4 10 6" xfId="25938" xr:uid="{46C07A44-9CC6-46C1-BA54-77BFE68FC4FA}"/>
    <cellStyle name="Comma 4 4 11" xfId="3189" xr:uid="{00000000-0005-0000-0000-0000101F0000}"/>
    <cellStyle name="Comma 4 4 11 2" xfId="10340" xr:uid="{00000000-0005-0000-0000-0000111F0000}"/>
    <cellStyle name="Comma 4 4 11 2 2" xfId="21886" xr:uid="{37B6186D-7B32-40A4-B647-B2A9B09AB52D}"/>
    <cellStyle name="Comma 4 4 11 2 3" xfId="32302" xr:uid="{C48DF0F8-1836-42E3-9A75-BE0C563F3856}"/>
    <cellStyle name="Comma 4 4 11 3" xfId="15524" xr:uid="{1A7276E7-16E1-4CFE-89CB-93ECA755ACB8}"/>
    <cellStyle name="Comma 4 4 11 4" xfId="25940" xr:uid="{670374BD-43A4-4935-8BCB-5535384BC785}"/>
    <cellStyle name="Comma 4 4 12" xfId="10337" xr:uid="{00000000-0005-0000-0000-0000121F0000}"/>
    <cellStyle name="Comma 4 4 12 2" xfId="21883" xr:uid="{A7AF3652-2D06-4832-988B-F7D8AD9077CC}"/>
    <cellStyle name="Comma 4 4 12 3" xfId="32299" xr:uid="{CCE4F9A6-1C3E-4802-8B17-149FDBE952A6}"/>
    <cellStyle name="Comma 4 4 13" xfId="6359" xr:uid="{00000000-0005-0000-0000-0000131F0000}"/>
    <cellStyle name="Comma 4 4 13 2" xfId="17945" xr:uid="{DE8B9133-90DD-4B74-B86B-AF8B73864C1E}"/>
    <cellStyle name="Comma 4 4 13 3" xfId="28361" xr:uid="{6EB53B73-F51B-4DC3-8D10-1D0DB15896DB}"/>
    <cellStyle name="Comma 4 4 14" xfId="15521" xr:uid="{88555ED8-E966-4E0E-A95A-84FAB668DF07}"/>
    <cellStyle name="Comma 4 4 15" xfId="25937" xr:uid="{7CECA2C0-DE10-4390-B821-89D3A97B0FC8}"/>
    <cellStyle name="Comma 4 4 2" xfId="3190" xr:uid="{00000000-0005-0000-0000-0000141F0000}"/>
    <cellStyle name="Comma 4 4 2 10" xfId="3191" xr:uid="{00000000-0005-0000-0000-0000151F0000}"/>
    <cellStyle name="Comma 4 4 2 10 2" xfId="10342" xr:uid="{00000000-0005-0000-0000-0000161F0000}"/>
    <cellStyle name="Comma 4 4 2 10 2 2" xfId="21888" xr:uid="{0ACEDEB9-4135-4F95-BB30-BDDF6C007051}"/>
    <cellStyle name="Comma 4 4 2 10 2 3" xfId="32304" xr:uid="{B1C14E0E-BDCA-4818-8B4F-6062EC9E94A3}"/>
    <cellStyle name="Comma 4 4 2 10 3" xfId="15526" xr:uid="{5D31CC25-0930-4361-97A6-AA21CFFFA30C}"/>
    <cellStyle name="Comma 4 4 2 10 4" xfId="25942" xr:uid="{F10DAAF2-06D2-4760-968C-BF13A9F94F64}"/>
    <cellStyle name="Comma 4 4 2 11" xfId="10341" xr:uid="{00000000-0005-0000-0000-0000171F0000}"/>
    <cellStyle name="Comma 4 4 2 11 2" xfId="21887" xr:uid="{43AB9D91-A78F-4F2D-B563-451E3A2B2AEB}"/>
    <cellStyle name="Comma 4 4 2 11 3" xfId="32303" xr:uid="{A54F0BD3-5C54-4CEC-AFD2-8EEF3F7D0DD4}"/>
    <cellStyle name="Comma 4 4 2 12" xfId="6361" xr:uid="{00000000-0005-0000-0000-0000181F0000}"/>
    <cellStyle name="Comma 4 4 2 12 2" xfId="17947" xr:uid="{9424A28E-99F2-4E27-B13C-241D585FE427}"/>
    <cellStyle name="Comma 4 4 2 12 3" xfId="28363" xr:uid="{3DE97778-E067-4F00-874E-CAD78C50D05C}"/>
    <cellStyle name="Comma 4 4 2 13" xfId="15525" xr:uid="{F16D1C34-8259-4AD8-8FA7-65CC0D677B7C}"/>
    <cellStyle name="Comma 4 4 2 14" xfId="25941" xr:uid="{71CEC6A1-AE66-46B4-8BEF-94D34475C7D7}"/>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2 2 2" xfId="21892" xr:uid="{7B3C923D-AE91-40A3-8E7D-BFD377350DC1}"/>
    <cellStyle name="Comma 4 4 2 2 2 2 2 2 3" xfId="32308" xr:uid="{78AE7397-5674-434B-ABF0-BECAD03D8B3A}"/>
    <cellStyle name="Comma 4 4 2 2 2 2 2 3" xfId="15530" xr:uid="{CB9F5D93-6D70-4083-9370-368EB0646289}"/>
    <cellStyle name="Comma 4 4 2 2 2 2 2 4" xfId="25946" xr:uid="{8DDA0183-695A-475F-8931-72496B570643}"/>
    <cellStyle name="Comma 4 4 2 2 2 2 3" xfId="10345" xr:uid="{00000000-0005-0000-0000-00001E1F0000}"/>
    <cellStyle name="Comma 4 4 2 2 2 2 3 2" xfId="21891" xr:uid="{EC3005E3-66DA-4C4B-90DC-32446A691082}"/>
    <cellStyle name="Comma 4 4 2 2 2 2 3 3" xfId="32307" xr:uid="{8E2C53E7-601F-4AE1-84BF-06BA8724BFC1}"/>
    <cellStyle name="Comma 4 4 2 2 2 2 4" xfId="6364" xr:uid="{00000000-0005-0000-0000-00001F1F0000}"/>
    <cellStyle name="Comma 4 4 2 2 2 2 4 2" xfId="17950" xr:uid="{5B0632C2-5C87-4EBF-BC52-6BC82A2C33F7}"/>
    <cellStyle name="Comma 4 4 2 2 2 2 4 3" xfId="28366" xr:uid="{11E55BE9-0326-4918-AE1B-6BFD75C95F6F}"/>
    <cellStyle name="Comma 4 4 2 2 2 2 5" xfId="15529" xr:uid="{5163F03F-8313-4AAC-960A-F198E5A26A52}"/>
    <cellStyle name="Comma 4 4 2 2 2 2 6" xfId="25945" xr:uid="{2FF15266-35FA-4D49-8C08-4B12461AE501}"/>
    <cellStyle name="Comma 4 4 2 2 2 3" xfId="3196" xr:uid="{00000000-0005-0000-0000-0000201F0000}"/>
    <cellStyle name="Comma 4 4 2 2 2 3 2" xfId="10347" xr:uid="{00000000-0005-0000-0000-0000211F0000}"/>
    <cellStyle name="Comma 4 4 2 2 2 3 2 2" xfId="21893" xr:uid="{AF3E54EB-7E0F-4D91-BE56-B4A8AC84E0ED}"/>
    <cellStyle name="Comma 4 4 2 2 2 3 2 3" xfId="32309" xr:uid="{10BFD417-2DF4-4692-9996-110ACA24DD9F}"/>
    <cellStyle name="Comma 4 4 2 2 2 3 3" xfId="15531" xr:uid="{BE71A9B5-FF52-4F32-89EB-E53AC826BFA5}"/>
    <cellStyle name="Comma 4 4 2 2 2 3 4" xfId="25947" xr:uid="{1A5A6374-3DBB-4800-9793-1C631E98489D}"/>
    <cellStyle name="Comma 4 4 2 2 2 4" xfId="10344" xr:uid="{00000000-0005-0000-0000-0000221F0000}"/>
    <cellStyle name="Comma 4 4 2 2 2 4 2" xfId="21890" xr:uid="{D84FEC38-B6DD-42A5-B296-927175F52C7A}"/>
    <cellStyle name="Comma 4 4 2 2 2 4 3" xfId="32306" xr:uid="{3D5F0A12-EBFE-48AD-BCC6-BE8A976A48F6}"/>
    <cellStyle name="Comma 4 4 2 2 2 5" xfId="6363" xr:uid="{00000000-0005-0000-0000-0000231F0000}"/>
    <cellStyle name="Comma 4 4 2 2 2 5 2" xfId="17949" xr:uid="{8D932324-A9B1-4F22-B158-03776332AF64}"/>
    <cellStyle name="Comma 4 4 2 2 2 5 3" xfId="28365" xr:uid="{F5DC1AE0-DCBF-4A4B-B773-BBA0179B36F4}"/>
    <cellStyle name="Comma 4 4 2 2 2 6" xfId="15528" xr:uid="{EC46EC7A-9317-43AD-A976-827B4908E8F4}"/>
    <cellStyle name="Comma 4 4 2 2 2 7" xfId="25944" xr:uid="{27ECAEB4-8230-4BB6-AA65-8E1AE6F41952}"/>
    <cellStyle name="Comma 4 4 2 2 3" xfId="3197" xr:uid="{00000000-0005-0000-0000-0000241F0000}"/>
    <cellStyle name="Comma 4 4 2 2 3 2" xfId="3198" xr:uid="{00000000-0005-0000-0000-0000251F0000}"/>
    <cellStyle name="Comma 4 4 2 2 3 2 2" xfId="10349" xr:uid="{00000000-0005-0000-0000-0000261F0000}"/>
    <cellStyle name="Comma 4 4 2 2 3 2 2 2" xfId="21895" xr:uid="{DC24BA53-E45F-4971-AD20-E1E6F2F2E72E}"/>
    <cellStyle name="Comma 4 4 2 2 3 2 2 3" xfId="32311" xr:uid="{97C4C948-5171-455B-85ED-6A00A065A566}"/>
    <cellStyle name="Comma 4 4 2 2 3 2 3" xfId="15533" xr:uid="{EA9D5A38-CACE-4EEB-B71B-E04B092FC537}"/>
    <cellStyle name="Comma 4 4 2 2 3 2 4" xfId="25949" xr:uid="{188347B0-6723-4A95-9B87-FAE60BC82CE0}"/>
    <cellStyle name="Comma 4 4 2 2 3 3" xfId="10348" xr:uid="{00000000-0005-0000-0000-0000271F0000}"/>
    <cellStyle name="Comma 4 4 2 2 3 3 2" xfId="21894" xr:uid="{59624066-8818-46D2-8CEB-E3A3402E5DA6}"/>
    <cellStyle name="Comma 4 4 2 2 3 3 3" xfId="32310" xr:uid="{4BFEEC65-EE79-4788-B8A1-97E47D5B0646}"/>
    <cellStyle name="Comma 4 4 2 2 3 4" xfId="6365" xr:uid="{00000000-0005-0000-0000-0000281F0000}"/>
    <cellStyle name="Comma 4 4 2 2 3 4 2" xfId="17951" xr:uid="{A6DAC086-9A0A-46A5-B5CA-6162CDE9B380}"/>
    <cellStyle name="Comma 4 4 2 2 3 4 3" xfId="28367" xr:uid="{38EADE6F-5C13-4A41-9D6B-3C32C0E3F7AB}"/>
    <cellStyle name="Comma 4 4 2 2 3 5" xfId="15532" xr:uid="{A44D2400-E937-4CA8-BE44-EEA608C56FE0}"/>
    <cellStyle name="Comma 4 4 2 2 3 6" xfId="25948" xr:uid="{91B3FF7E-859E-4D16-ACD6-3FAF1E30D960}"/>
    <cellStyle name="Comma 4 4 2 2 4" xfId="3199" xr:uid="{00000000-0005-0000-0000-0000291F0000}"/>
    <cellStyle name="Comma 4 4 2 2 4 2" xfId="3200" xr:uid="{00000000-0005-0000-0000-00002A1F0000}"/>
    <cellStyle name="Comma 4 4 2 2 4 2 2" xfId="10351" xr:uid="{00000000-0005-0000-0000-00002B1F0000}"/>
    <cellStyle name="Comma 4 4 2 2 4 2 2 2" xfId="21897" xr:uid="{1ED49368-9383-4867-BCBE-1050B8AF9971}"/>
    <cellStyle name="Comma 4 4 2 2 4 2 2 3" xfId="32313" xr:uid="{630E4A7A-B02B-49A9-8F47-F788D487A8E9}"/>
    <cellStyle name="Comma 4 4 2 2 4 2 3" xfId="15535" xr:uid="{EF00E46E-0394-477C-9004-4C75C9F8EC41}"/>
    <cellStyle name="Comma 4 4 2 2 4 2 4" xfId="25951" xr:uid="{A5493384-96B8-45EB-8D09-D3B43CFF7E48}"/>
    <cellStyle name="Comma 4 4 2 2 4 3" xfId="10350" xr:uid="{00000000-0005-0000-0000-00002C1F0000}"/>
    <cellStyle name="Comma 4 4 2 2 4 3 2" xfId="21896" xr:uid="{6505360B-25E2-421B-8593-B66BDB734583}"/>
    <cellStyle name="Comma 4 4 2 2 4 3 3" xfId="32312" xr:uid="{49A74A40-4FFA-4B41-8EF2-52CA0AD8C1C9}"/>
    <cellStyle name="Comma 4 4 2 2 4 4" xfId="6366" xr:uid="{00000000-0005-0000-0000-00002D1F0000}"/>
    <cellStyle name="Comma 4 4 2 2 4 4 2" xfId="17952" xr:uid="{8E80733F-4F90-497D-9B89-92C9EF3AF1C5}"/>
    <cellStyle name="Comma 4 4 2 2 4 4 3" xfId="28368" xr:uid="{A5A72087-6C00-494A-B2FC-CCD5603CB955}"/>
    <cellStyle name="Comma 4 4 2 2 4 5" xfId="15534" xr:uid="{BCAB721B-FFED-4352-84AD-BC3F40E44541}"/>
    <cellStyle name="Comma 4 4 2 2 4 6" xfId="25950" xr:uid="{5289CD6E-69FF-4549-BCDB-43429E55C8A4}"/>
    <cellStyle name="Comma 4 4 2 2 5" xfId="3201" xr:uid="{00000000-0005-0000-0000-00002E1F0000}"/>
    <cellStyle name="Comma 4 4 2 2 5 2" xfId="10352" xr:uid="{00000000-0005-0000-0000-00002F1F0000}"/>
    <cellStyle name="Comma 4 4 2 2 5 2 2" xfId="21898" xr:uid="{D0FCE5BC-ED8E-44F6-83F0-9E0F2B3BF114}"/>
    <cellStyle name="Comma 4 4 2 2 5 2 3" xfId="32314" xr:uid="{C5390358-BEAF-4998-A709-5CAD57644C90}"/>
    <cellStyle name="Comma 4 4 2 2 5 3" xfId="15536" xr:uid="{EBEF2975-0175-47C3-86BE-FDCC99C1BB1B}"/>
    <cellStyle name="Comma 4 4 2 2 5 4" xfId="25952" xr:uid="{0968B7C8-CC33-4371-A3DF-241B851E6A1E}"/>
    <cellStyle name="Comma 4 4 2 2 6" xfId="10343" xr:uid="{00000000-0005-0000-0000-0000301F0000}"/>
    <cellStyle name="Comma 4 4 2 2 6 2" xfId="21889" xr:uid="{0394D0A5-AC96-4A6E-B838-4DFCA075B542}"/>
    <cellStyle name="Comma 4 4 2 2 6 3" xfId="32305" xr:uid="{E95B8F06-5FA3-436E-B3B0-39B34EBD9462}"/>
    <cellStyle name="Comma 4 4 2 2 7" xfId="6362" xr:uid="{00000000-0005-0000-0000-0000311F0000}"/>
    <cellStyle name="Comma 4 4 2 2 7 2" xfId="17948" xr:uid="{A755C0CE-AF13-455C-9271-05C435F4011E}"/>
    <cellStyle name="Comma 4 4 2 2 7 3" xfId="28364" xr:uid="{053D2F69-D1F2-4EFE-B7F4-E563FC54F28D}"/>
    <cellStyle name="Comma 4 4 2 2 8" xfId="15527" xr:uid="{9C4B05B1-2FE4-4B2B-A33D-2ABF724021FB}"/>
    <cellStyle name="Comma 4 4 2 2 9" xfId="25943" xr:uid="{6F2F33D9-8033-40FE-9F35-A9F83C0D48E7}"/>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2 2 2" xfId="21902" xr:uid="{9E4444C3-7043-4EF5-B1DF-A80626F94E8C}"/>
    <cellStyle name="Comma 4 4 2 3 2 2 2 2 3" xfId="32318" xr:uid="{289CAA78-F9A3-4C80-904F-68C90919B7A2}"/>
    <cellStyle name="Comma 4 4 2 3 2 2 2 3" xfId="15540" xr:uid="{B9353AA2-A605-43B8-B26A-0A189A085814}"/>
    <cellStyle name="Comma 4 4 2 3 2 2 2 4" xfId="25956" xr:uid="{C4E04A29-4EDE-4913-99C5-5587FFE70B1C}"/>
    <cellStyle name="Comma 4 4 2 3 2 2 3" xfId="10355" xr:uid="{00000000-0005-0000-0000-0000371F0000}"/>
    <cellStyle name="Comma 4 4 2 3 2 2 3 2" xfId="21901" xr:uid="{D21747BF-3A2B-4681-AB03-35F07A84C76F}"/>
    <cellStyle name="Comma 4 4 2 3 2 2 3 3" xfId="32317" xr:uid="{FC120A04-4B02-465E-A04C-88ADE6CD90E5}"/>
    <cellStyle name="Comma 4 4 2 3 2 2 4" xfId="6369" xr:uid="{00000000-0005-0000-0000-0000381F0000}"/>
    <cellStyle name="Comma 4 4 2 3 2 2 4 2" xfId="17955" xr:uid="{284851FF-845A-44DC-BF43-D4B52CC8B7F9}"/>
    <cellStyle name="Comma 4 4 2 3 2 2 4 3" xfId="28371" xr:uid="{3F4CE924-5E03-46E3-991A-FFCCA821BCDC}"/>
    <cellStyle name="Comma 4 4 2 3 2 2 5" xfId="15539" xr:uid="{5E68EB3D-97D4-4253-9915-BC2CC6F998F4}"/>
    <cellStyle name="Comma 4 4 2 3 2 2 6" xfId="25955" xr:uid="{954A25DC-81D8-4196-B2F4-0B7D3A94EEAB}"/>
    <cellStyle name="Comma 4 4 2 3 2 3" xfId="3206" xr:uid="{00000000-0005-0000-0000-0000391F0000}"/>
    <cellStyle name="Comma 4 4 2 3 2 3 2" xfId="10357" xr:uid="{00000000-0005-0000-0000-00003A1F0000}"/>
    <cellStyle name="Comma 4 4 2 3 2 3 2 2" xfId="21903" xr:uid="{57B179DD-E0B0-4CF9-AAD8-F4F928FC0139}"/>
    <cellStyle name="Comma 4 4 2 3 2 3 2 3" xfId="32319" xr:uid="{A59F87FB-CEBB-4480-B1F0-C2E51791EDB9}"/>
    <cellStyle name="Comma 4 4 2 3 2 3 3" xfId="15541" xr:uid="{6650B624-7F24-4F4D-BB66-E4FF37F6140B}"/>
    <cellStyle name="Comma 4 4 2 3 2 3 4" xfId="25957" xr:uid="{FED9584F-45F1-4574-BE4A-A4BFC08DCDE1}"/>
    <cellStyle name="Comma 4 4 2 3 2 4" xfId="10354" xr:uid="{00000000-0005-0000-0000-00003B1F0000}"/>
    <cellStyle name="Comma 4 4 2 3 2 4 2" xfId="21900" xr:uid="{3C4A4B13-4A79-4FC7-9224-F7F27B80BA65}"/>
    <cellStyle name="Comma 4 4 2 3 2 4 3" xfId="32316" xr:uid="{354CA760-AE8C-409E-88B9-A46CA6C38A1A}"/>
    <cellStyle name="Comma 4 4 2 3 2 5" xfId="6368" xr:uid="{00000000-0005-0000-0000-00003C1F0000}"/>
    <cellStyle name="Comma 4 4 2 3 2 5 2" xfId="17954" xr:uid="{43B703F5-EDBE-45CF-A66C-316511F4A340}"/>
    <cellStyle name="Comma 4 4 2 3 2 5 3" xfId="28370" xr:uid="{2E5F7ADB-1A0A-4B11-BEC1-F5BE0D3C0230}"/>
    <cellStyle name="Comma 4 4 2 3 2 6" xfId="15538" xr:uid="{B966CDD5-5616-48AE-9BBC-CAD8DEA7B247}"/>
    <cellStyle name="Comma 4 4 2 3 2 7" xfId="25954" xr:uid="{C3F3F2C9-76D6-4F40-8EE4-91B0B36B8F55}"/>
    <cellStyle name="Comma 4 4 2 3 3" xfId="3207" xr:uid="{00000000-0005-0000-0000-00003D1F0000}"/>
    <cellStyle name="Comma 4 4 2 3 3 2" xfId="3208" xr:uid="{00000000-0005-0000-0000-00003E1F0000}"/>
    <cellStyle name="Comma 4 4 2 3 3 2 2" xfId="10359" xr:uid="{00000000-0005-0000-0000-00003F1F0000}"/>
    <cellStyle name="Comma 4 4 2 3 3 2 2 2" xfId="21905" xr:uid="{366090A1-CE4B-4EB5-BBB9-016772E9C7FA}"/>
    <cellStyle name="Comma 4 4 2 3 3 2 2 3" xfId="32321" xr:uid="{316BF4A3-B498-402A-9828-89F61A55059B}"/>
    <cellStyle name="Comma 4 4 2 3 3 2 3" xfId="15543" xr:uid="{933B8989-3471-4FA9-B564-159DE5826F4C}"/>
    <cellStyle name="Comma 4 4 2 3 3 2 4" xfId="25959" xr:uid="{351F3EE6-1BB0-4BD5-9999-4EAB9B656B3D}"/>
    <cellStyle name="Comma 4 4 2 3 3 3" xfId="10358" xr:uid="{00000000-0005-0000-0000-0000401F0000}"/>
    <cellStyle name="Comma 4 4 2 3 3 3 2" xfId="21904" xr:uid="{748E8008-6DD1-44E8-972A-249BAF940652}"/>
    <cellStyle name="Comma 4 4 2 3 3 3 3" xfId="32320" xr:uid="{8183815A-5C7F-4923-9924-277DF7F5B98C}"/>
    <cellStyle name="Comma 4 4 2 3 3 4" xfId="6370" xr:uid="{00000000-0005-0000-0000-0000411F0000}"/>
    <cellStyle name="Comma 4 4 2 3 3 4 2" xfId="17956" xr:uid="{1EA0AB9C-C274-404A-A6CF-9A80B6D70E58}"/>
    <cellStyle name="Comma 4 4 2 3 3 4 3" xfId="28372" xr:uid="{7ABB0DA1-7842-4853-B4A8-C4E48222FC12}"/>
    <cellStyle name="Comma 4 4 2 3 3 5" xfId="15542" xr:uid="{951F32DD-DFD4-4C6F-ACEA-A56FCF6BC6EE}"/>
    <cellStyle name="Comma 4 4 2 3 3 6" xfId="25958" xr:uid="{D86FE941-7CD1-4B61-9D1B-DF87002EFFC5}"/>
    <cellStyle name="Comma 4 4 2 3 4" xfId="3209" xr:uid="{00000000-0005-0000-0000-0000421F0000}"/>
    <cellStyle name="Comma 4 4 2 3 4 2" xfId="3210" xr:uid="{00000000-0005-0000-0000-0000431F0000}"/>
    <cellStyle name="Comma 4 4 2 3 4 2 2" xfId="10361" xr:uid="{00000000-0005-0000-0000-0000441F0000}"/>
    <cellStyle name="Comma 4 4 2 3 4 2 2 2" xfId="21907" xr:uid="{19864BA0-CA4E-4DA6-AECA-2EB4707C48C4}"/>
    <cellStyle name="Comma 4 4 2 3 4 2 2 3" xfId="32323" xr:uid="{13F94EA7-D8C6-4E38-BEAB-FAC043F064D9}"/>
    <cellStyle name="Comma 4 4 2 3 4 2 3" xfId="15545" xr:uid="{3E18E0FC-6E66-4B4D-982C-DAD0A36FCA7D}"/>
    <cellStyle name="Comma 4 4 2 3 4 2 4" xfId="25961" xr:uid="{1DBB0468-3133-4AD7-BA14-CA4FC5CA238D}"/>
    <cellStyle name="Comma 4 4 2 3 4 3" xfId="10360" xr:uid="{00000000-0005-0000-0000-0000451F0000}"/>
    <cellStyle name="Comma 4 4 2 3 4 3 2" xfId="21906" xr:uid="{92CFFC3B-69D6-4387-9FCC-92A3EAAD5B5A}"/>
    <cellStyle name="Comma 4 4 2 3 4 3 3" xfId="32322" xr:uid="{1AED4F1C-5687-444D-816B-90ECB993EFA5}"/>
    <cellStyle name="Comma 4 4 2 3 4 4" xfId="6371" xr:uid="{00000000-0005-0000-0000-0000461F0000}"/>
    <cellStyle name="Comma 4 4 2 3 4 4 2" xfId="17957" xr:uid="{67E47D88-5AC1-4340-9F52-197B45BF8BC7}"/>
    <cellStyle name="Comma 4 4 2 3 4 4 3" xfId="28373" xr:uid="{350964CA-C446-4156-88C7-6C992EC37FD0}"/>
    <cellStyle name="Comma 4 4 2 3 4 5" xfId="15544" xr:uid="{745D8612-FCB6-42C9-96A6-59F19FA52936}"/>
    <cellStyle name="Comma 4 4 2 3 4 6" xfId="25960" xr:uid="{4672555A-FBD1-4AD4-91F7-93B6462F4C11}"/>
    <cellStyle name="Comma 4 4 2 3 5" xfId="3211" xr:uid="{00000000-0005-0000-0000-0000471F0000}"/>
    <cellStyle name="Comma 4 4 2 3 5 2" xfId="10362" xr:uid="{00000000-0005-0000-0000-0000481F0000}"/>
    <cellStyle name="Comma 4 4 2 3 5 2 2" xfId="21908" xr:uid="{EA15E362-EF1B-45AE-9D7B-EAB9371F85C0}"/>
    <cellStyle name="Comma 4 4 2 3 5 2 3" xfId="32324" xr:uid="{475966E7-7D18-42C8-95C7-FA39CD133740}"/>
    <cellStyle name="Comma 4 4 2 3 5 3" xfId="15546" xr:uid="{F1D45CE9-E072-4EDA-8834-FA7A83DC8588}"/>
    <cellStyle name="Comma 4 4 2 3 5 4" xfId="25962" xr:uid="{C125A6B7-72B9-41CF-BC68-403EBEFE7013}"/>
    <cellStyle name="Comma 4 4 2 3 6" xfId="10353" xr:uid="{00000000-0005-0000-0000-0000491F0000}"/>
    <cellStyle name="Comma 4 4 2 3 6 2" xfId="21899" xr:uid="{224CDC77-6B6C-4EA3-B168-CA225931CC94}"/>
    <cellStyle name="Comma 4 4 2 3 6 3" xfId="32315" xr:uid="{D6BA23E1-B70D-4357-A117-58334F913F6C}"/>
    <cellStyle name="Comma 4 4 2 3 7" xfId="6367" xr:uid="{00000000-0005-0000-0000-00004A1F0000}"/>
    <cellStyle name="Comma 4 4 2 3 7 2" xfId="17953" xr:uid="{49765792-DBCE-424F-9862-9A9DCD5E6B24}"/>
    <cellStyle name="Comma 4 4 2 3 7 3" xfId="28369" xr:uid="{68FEC8B2-B158-4DBC-B0EC-21DFD2B7E78F}"/>
    <cellStyle name="Comma 4 4 2 3 8" xfId="15537" xr:uid="{07E2CA5B-4423-4777-AE0B-3794A3EAB163}"/>
    <cellStyle name="Comma 4 4 2 3 9" xfId="25953" xr:uid="{7AD90080-2A13-4975-BFAD-C17C8F9E910C}"/>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2 2 2" xfId="21912" xr:uid="{7607F1A8-47D2-47FA-B92C-63A6509F2A25}"/>
    <cellStyle name="Comma 4 4 2 4 2 2 2 2 3" xfId="32328" xr:uid="{0083F459-B29B-4159-BCB4-43336E1AD54F}"/>
    <cellStyle name="Comma 4 4 2 4 2 2 2 3" xfId="15550" xr:uid="{5EEBF28C-BAD4-4BE9-A3C5-C2E80A9C29AD}"/>
    <cellStyle name="Comma 4 4 2 4 2 2 2 4" xfId="25966" xr:uid="{76D19D73-62AD-4001-8696-EE1383661A50}"/>
    <cellStyle name="Comma 4 4 2 4 2 2 3" xfId="10365" xr:uid="{00000000-0005-0000-0000-0000501F0000}"/>
    <cellStyle name="Comma 4 4 2 4 2 2 3 2" xfId="21911" xr:uid="{8B2BA740-3E99-418A-948F-EA68E0455E94}"/>
    <cellStyle name="Comma 4 4 2 4 2 2 3 3" xfId="32327" xr:uid="{A4C1E8CD-2AB2-47E5-A1EF-B47D4E42FB0C}"/>
    <cellStyle name="Comma 4 4 2 4 2 2 4" xfId="6374" xr:uid="{00000000-0005-0000-0000-0000511F0000}"/>
    <cellStyle name="Comma 4 4 2 4 2 2 4 2" xfId="17960" xr:uid="{0664DD7C-3BAC-43E8-999E-4D9C587F15C6}"/>
    <cellStyle name="Comma 4 4 2 4 2 2 4 3" xfId="28376" xr:uid="{9B45B659-D2C4-4DC1-914C-5CC2017806A5}"/>
    <cellStyle name="Comma 4 4 2 4 2 2 5" xfId="15549" xr:uid="{5F3EF7A1-F458-476A-BA67-07AED20F2B4F}"/>
    <cellStyle name="Comma 4 4 2 4 2 2 6" xfId="25965" xr:uid="{9DDF1EA7-F2EA-494E-90AE-0AE4DD79E50B}"/>
    <cellStyle name="Comma 4 4 2 4 2 3" xfId="3216" xr:uid="{00000000-0005-0000-0000-0000521F0000}"/>
    <cellStyle name="Comma 4 4 2 4 2 3 2" xfId="10367" xr:uid="{00000000-0005-0000-0000-0000531F0000}"/>
    <cellStyle name="Comma 4 4 2 4 2 3 2 2" xfId="21913" xr:uid="{612F520D-691A-441F-9BC7-80CC07E8C8B0}"/>
    <cellStyle name="Comma 4 4 2 4 2 3 2 3" xfId="32329" xr:uid="{36F30E14-E2FF-48A6-A959-2105C12CA24D}"/>
    <cellStyle name="Comma 4 4 2 4 2 3 3" xfId="15551" xr:uid="{F6D6103D-716D-4613-B7BB-E100AA708FF2}"/>
    <cellStyle name="Comma 4 4 2 4 2 3 4" xfId="25967" xr:uid="{1EC9DE5F-8321-4062-96A9-E6E325A06155}"/>
    <cellStyle name="Comma 4 4 2 4 2 4" xfId="10364" xr:uid="{00000000-0005-0000-0000-0000541F0000}"/>
    <cellStyle name="Comma 4 4 2 4 2 4 2" xfId="21910" xr:uid="{8E461D31-9170-4D23-8B94-1D48CE60AF9A}"/>
    <cellStyle name="Comma 4 4 2 4 2 4 3" xfId="32326" xr:uid="{C93D01A1-D0D0-4FF2-BEA5-8CCD894950E5}"/>
    <cellStyle name="Comma 4 4 2 4 2 5" xfId="6373" xr:uid="{00000000-0005-0000-0000-0000551F0000}"/>
    <cellStyle name="Comma 4 4 2 4 2 5 2" xfId="17959" xr:uid="{DC59DCBB-A986-4140-A43B-BADB3A2A5603}"/>
    <cellStyle name="Comma 4 4 2 4 2 5 3" xfId="28375" xr:uid="{8A7CA272-864B-4D1E-BFA4-CAA05700D68C}"/>
    <cellStyle name="Comma 4 4 2 4 2 6" xfId="15548" xr:uid="{BC971E85-55E5-43CA-9578-0B4DE1F0DBB2}"/>
    <cellStyle name="Comma 4 4 2 4 2 7" xfId="25964" xr:uid="{DF98A0B3-DDF8-4D8E-AB49-8EA30F692805}"/>
    <cellStyle name="Comma 4 4 2 4 3" xfId="3217" xr:uid="{00000000-0005-0000-0000-0000561F0000}"/>
    <cellStyle name="Comma 4 4 2 4 3 2" xfId="3218" xr:uid="{00000000-0005-0000-0000-0000571F0000}"/>
    <cellStyle name="Comma 4 4 2 4 3 2 2" xfId="10369" xr:uid="{00000000-0005-0000-0000-0000581F0000}"/>
    <cellStyle name="Comma 4 4 2 4 3 2 2 2" xfId="21915" xr:uid="{B9B4C8A6-5049-4A4A-A78D-FE1A471437EE}"/>
    <cellStyle name="Comma 4 4 2 4 3 2 2 3" xfId="32331" xr:uid="{E2C72EC5-D310-4803-B526-878FA0D10485}"/>
    <cellStyle name="Comma 4 4 2 4 3 2 3" xfId="15553" xr:uid="{715F5CFB-8D7B-4ABE-B2BF-EF47007B69F3}"/>
    <cellStyle name="Comma 4 4 2 4 3 2 4" xfId="25969" xr:uid="{7C5283F6-D091-4C01-B480-0E81EB1D2E4C}"/>
    <cellStyle name="Comma 4 4 2 4 3 3" xfId="10368" xr:uid="{00000000-0005-0000-0000-0000591F0000}"/>
    <cellStyle name="Comma 4 4 2 4 3 3 2" xfId="21914" xr:uid="{5140DFA1-F482-4969-AF28-E20D2D890A33}"/>
    <cellStyle name="Comma 4 4 2 4 3 3 3" xfId="32330" xr:uid="{6AEC20FB-A8C1-4A20-87C8-03DC4265E17F}"/>
    <cellStyle name="Comma 4 4 2 4 3 4" xfId="6375" xr:uid="{00000000-0005-0000-0000-00005A1F0000}"/>
    <cellStyle name="Comma 4 4 2 4 3 4 2" xfId="17961" xr:uid="{B9AC6FE4-3305-4D40-9C7A-C800D9557695}"/>
    <cellStyle name="Comma 4 4 2 4 3 4 3" xfId="28377" xr:uid="{8E1FCE39-ACF6-48A0-A15C-DFE384AEC33A}"/>
    <cellStyle name="Comma 4 4 2 4 3 5" xfId="15552" xr:uid="{8BC1D4D1-0FE5-4724-8A68-8C90597BC5B4}"/>
    <cellStyle name="Comma 4 4 2 4 3 6" xfId="25968" xr:uid="{D100957B-0560-4460-AF87-A109CE923D44}"/>
    <cellStyle name="Comma 4 4 2 4 4" xfId="3219" xr:uid="{00000000-0005-0000-0000-00005B1F0000}"/>
    <cellStyle name="Comma 4 4 2 4 4 2" xfId="3220" xr:uid="{00000000-0005-0000-0000-00005C1F0000}"/>
    <cellStyle name="Comma 4 4 2 4 4 2 2" xfId="10371" xr:uid="{00000000-0005-0000-0000-00005D1F0000}"/>
    <cellStyle name="Comma 4 4 2 4 4 2 2 2" xfId="21917" xr:uid="{7F515833-FD2C-47F1-85B1-3631296EA838}"/>
    <cellStyle name="Comma 4 4 2 4 4 2 2 3" xfId="32333" xr:uid="{B57F3F73-B954-4BB4-8F9A-A438E5FE9124}"/>
    <cellStyle name="Comma 4 4 2 4 4 2 3" xfId="15555" xr:uid="{E51C1636-8BB2-462D-A0BF-ECB67B8C8B73}"/>
    <cellStyle name="Comma 4 4 2 4 4 2 4" xfId="25971" xr:uid="{B3E6A7CE-D62B-4EA1-AC3A-505129DEB204}"/>
    <cellStyle name="Comma 4 4 2 4 4 3" xfId="10370" xr:uid="{00000000-0005-0000-0000-00005E1F0000}"/>
    <cellStyle name="Comma 4 4 2 4 4 3 2" xfId="21916" xr:uid="{F4F5502E-E0DC-4CBE-9ACA-4D405ED320C8}"/>
    <cellStyle name="Comma 4 4 2 4 4 3 3" xfId="32332" xr:uid="{DE35C71E-EF15-49C4-B107-BAE76FB27520}"/>
    <cellStyle name="Comma 4 4 2 4 4 4" xfId="6376" xr:uid="{00000000-0005-0000-0000-00005F1F0000}"/>
    <cellStyle name="Comma 4 4 2 4 4 4 2" xfId="17962" xr:uid="{076D8F64-B24D-42A4-9E8A-3C48B5993965}"/>
    <cellStyle name="Comma 4 4 2 4 4 4 3" xfId="28378" xr:uid="{C0C44EA7-75B0-475A-9039-1FDBDD629A4F}"/>
    <cellStyle name="Comma 4 4 2 4 4 5" xfId="15554" xr:uid="{050A1A4D-F1AC-45AF-8B5F-D21936B05F29}"/>
    <cellStyle name="Comma 4 4 2 4 4 6" xfId="25970" xr:uid="{6E7693E2-B2E4-4A28-B1F1-70D6BC6FFD29}"/>
    <cellStyle name="Comma 4 4 2 4 5" xfId="3221" xr:uid="{00000000-0005-0000-0000-0000601F0000}"/>
    <cellStyle name="Comma 4 4 2 4 5 2" xfId="10372" xr:uid="{00000000-0005-0000-0000-0000611F0000}"/>
    <cellStyle name="Comma 4 4 2 4 5 2 2" xfId="21918" xr:uid="{3C63C8AF-71BC-48DE-A221-1C226E655938}"/>
    <cellStyle name="Comma 4 4 2 4 5 2 3" xfId="32334" xr:uid="{F140A750-561B-4D1A-A409-AEBE490700B5}"/>
    <cellStyle name="Comma 4 4 2 4 5 3" xfId="15556" xr:uid="{18D0A0F7-5797-4484-800E-9E786AF9AB37}"/>
    <cellStyle name="Comma 4 4 2 4 5 4" xfId="25972" xr:uid="{1AC73DAF-6866-4828-8F5D-44EF635C59A7}"/>
    <cellStyle name="Comma 4 4 2 4 6" xfId="10363" xr:uid="{00000000-0005-0000-0000-0000621F0000}"/>
    <cellStyle name="Comma 4 4 2 4 6 2" xfId="21909" xr:uid="{72E105B1-67EE-4445-AFEC-17E67F14F30B}"/>
    <cellStyle name="Comma 4 4 2 4 6 3" xfId="32325" xr:uid="{C64551EB-1EBD-4918-AC34-C28C83D0B44A}"/>
    <cellStyle name="Comma 4 4 2 4 7" xfId="6372" xr:uid="{00000000-0005-0000-0000-0000631F0000}"/>
    <cellStyle name="Comma 4 4 2 4 7 2" xfId="17958" xr:uid="{3A2BE097-464C-4AA8-A3C0-EB133F4A0C93}"/>
    <cellStyle name="Comma 4 4 2 4 7 3" xfId="28374" xr:uid="{C151C98C-0D72-4E1F-80A7-FB1EDCC79807}"/>
    <cellStyle name="Comma 4 4 2 4 8" xfId="15547" xr:uid="{CAD6FBAD-FDDB-47D2-9887-CA3B00CED38C}"/>
    <cellStyle name="Comma 4 4 2 4 9" xfId="25963" xr:uid="{C3A1653E-98DE-4816-9357-0B410E847856}"/>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2 2 2" xfId="21922" xr:uid="{AD97815B-4C03-41F7-8F49-7DC0E75D10F2}"/>
    <cellStyle name="Comma 4 4 2 5 2 2 2 2 3" xfId="32338" xr:uid="{33C870D9-645B-4D67-8BD2-B4078D69F78A}"/>
    <cellStyle name="Comma 4 4 2 5 2 2 2 3" xfId="15560" xr:uid="{BDE70E07-6300-4265-ACFD-AA4FAF4E2215}"/>
    <cellStyle name="Comma 4 4 2 5 2 2 2 4" xfId="25976" xr:uid="{D7B986F9-3466-47F5-973A-68FF44E116C5}"/>
    <cellStyle name="Comma 4 4 2 5 2 2 3" xfId="10375" xr:uid="{00000000-0005-0000-0000-0000691F0000}"/>
    <cellStyle name="Comma 4 4 2 5 2 2 3 2" xfId="21921" xr:uid="{423E2BEF-E901-41F8-882E-FD784339105B}"/>
    <cellStyle name="Comma 4 4 2 5 2 2 3 3" xfId="32337" xr:uid="{6D590C40-E1C5-4201-B62B-B95279B946A8}"/>
    <cellStyle name="Comma 4 4 2 5 2 2 4" xfId="6379" xr:uid="{00000000-0005-0000-0000-00006A1F0000}"/>
    <cellStyle name="Comma 4 4 2 5 2 2 4 2" xfId="17965" xr:uid="{89D8AF8B-72D7-47BF-8BED-AC12C0A3C791}"/>
    <cellStyle name="Comma 4 4 2 5 2 2 4 3" xfId="28381" xr:uid="{90A047A6-4CD9-4AFE-B53E-BA5B0CF8AA4D}"/>
    <cellStyle name="Comma 4 4 2 5 2 2 5" xfId="15559" xr:uid="{29183855-A5DB-4813-A4CA-4641E05099E1}"/>
    <cellStyle name="Comma 4 4 2 5 2 2 6" xfId="25975" xr:uid="{260B7ADC-DEED-4DF0-BA7A-75E98C5C1755}"/>
    <cellStyle name="Comma 4 4 2 5 2 3" xfId="3226" xr:uid="{00000000-0005-0000-0000-00006B1F0000}"/>
    <cellStyle name="Comma 4 4 2 5 2 3 2" xfId="10377" xr:uid="{00000000-0005-0000-0000-00006C1F0000}"/>
    <cellStyle name="Comma 4 4 2 5 2 3 2 2" xfId="21923" xr:uid="{3100F438-96DE-4404-8A48-43BC3ECD21D7}"/>
    <cellStyle name="Comma 4 4 2 5 2 3 2 3" xfId="32339" xr:uid="{39710760-7C0D-4E85-BACC-B2BCF1C33074}"/>
    <cellStyle name="Comma 4 4 2 5 2 3 3" xfId="15561" xr:uid="{44E35D78-7EAC-4278-B224-E720F0D6A919}"/>
    <cellStyle name="Comma 4 4 2 5 2 3 4" xfId="25977" xr:uid="{C2D96785-AF51-4F3A-B5C5-0F84F389771B}"/>
    <cellStyle name="Comma 4 4 2 5 2 4" xfId="10374" xr:uid="{00000000-0005-0000-0000-00006D1F0000}"/>
    <cellStyle name="Comma 4 4 2 5 2 4 2" xfId="21920" xr:uid="{5A44E30B-1E86-4730-9DC7-F168720B3844}"/>
    <cellStyle name="Comma 4 4 2 5 2 4 3" xfId="32336" xr:uid="{CD560987-CEF6-429F-9C6F-C2FB12E2B470}"/>
    <cellStyle name="Comma 4 4 2 5 2 5" xfId="6378" xr:uid="{00000000-0005-0000-0000-00006E1F0000}"/>
    <cellStyle name="Comma 4 4 2 5 2 5 2" xfId="17964" xr:uid="{CEAA84F3-0494-484D-A3A3-D2D5EE0BB97D}"/>
    <cellStyle name="Comma 4 4 2 5 2 5 3" xfId="28380" xr:uid="{F719CCA4-783C-44AE-8DDD-9FA8310A1914}"/>
    <cellStyle name="Comma 4 4 2 5 2 6" xfId="15558" xr:uid="{91D44AC6-DBF0-469E-BE50-549D8E570D63}"/>
    <cellStyle name="Comma 4 4 2 5 2 7" xfId="25974" xr:uid="{E9396FDF-D3C4-40A7-80F0-AC6246B77E00}"/>
    <cellStyle name="Comma 4 4 2 5 3" xfId="3227" xr:uid="{00000000-0005-0000-0000-00006F1F0000}"/>
    <cellStyle name="Comma 4 4 2 5 3 2" xfId="3228" xr:uid="{00000000-0005-0000-0000-0000701F0000}"/>
    <cellStyle name="Comma 4 4 2 5 3 2 2" xfId="10379" xr:uid="{00000000-0005-0000-0000-0000711F0000}"/>
    <cellStyle name="Comma 4 4 2 5 3 2 2 2" xfId="21925" xr:uid="{1D98526C-7BF3-4AAD-98DD-20857806EBBD}"/>
    <cellStyle name="Comma 4 4 2 5 3 2 2 3" xfId="32341" xr:uid="{001AB91E-9095-469F-88F4-7CF417B9BF1A}"/>
    <cellStyle name="Comma 4 4 2 5 3 2 3" xfId="15563" xr:uid="{F579A737-2645-48C3-8072-A307B6260179}"/>
    <cellStyle name="Comma 4 4 2 5 3 2 4" xfId="25979" xr:uid="{D5E30519-3921-46AE-910E-B65C5542A7AA}"/>
    <cellStyle name="Comma 4 4 2 5 3 3" xfId="10378" xr:uid="{00000000-0005-0000-0000-0000721F0000}"/>
    <cellStyle name="Comma 4 4 2 5 3 3 2" xfId="21924" xr:uid="{B1C01A9E-0AF0-4591-8781-BFDDE1483FB6}"/>
    <cellStyle name="Comma 4 4 2 5 3 3 3" xfId="32340" xr:uid="{B0121EF0-DF5B-409E-A596-A30657FF3FD5}"/>
    <cellStyle name="Comma 4 4 2 5 3 4" xfId="6380" xr:uid="{00000000-0005-0000-0000-0000731F0000}"/>
    <cellStyle name="Comma 4 4 2 5 3 4 2" xfId="17966" xr:uid="{5013332E-93EA-48B5-AE4C-B3FF1963CC9D}"/>
    <cellStyle name="Comma 4 4 2 5 3 4 3" xfId="28382" xr:uid="{04A7DE97-CE0E-40BB-940B-3341AE8F4188}"/>
    <cellStyle name="Comma 4 4 2 5 3 5" xfId="15562" xr:uid="{A156C688-041D-4259-8EBB-D9B1AEF95933}"/>
    <cellStyle name="Comma 4 4 2 5 3 6" xfId="25978" xr:uid="{75108154-7EE0-4382-8DE1-F472DD9FE731}"/>
    <cellStyle name="Comma 4 4 2 5 4" xfId="3229" xr:uid="{00000000-0005-0000-0000-0000741F0000}"/>
    <cellStyle name="Comma 4 4 2 5 4 2" xfId="3230" xr:uid="{00000000-0005-0000-0000-0000751F0000}"/>
    <cellStyle name="Comma 4 4 2 5 4 2 2" xfId="10381" xr:uid="{00000000-0005-0000-0000-0000761F0000}"/>
    <cellStyle name="Comma 4 4 2 5 4 2 2 2" xfId="21927" xr:uid="{448368B3-592B-4634-BD02-78C2FEB66A8C}"/>
    <cellStyle name="Comma 4 4 2 5 4 2 2 3" xfId="32343" xr:uid="{66761554-6D1E-4BB0-B91D-B0F4ABD08C4E}"/>
    <cellStyle name="Comma 4 4 2 5 4 2 3" xfId="15565" xr:uid="{D8129FB1-1D45-43A3-AE1A-DA88CB03D917}"/>
    <cellStyle name="Comma 4 4 2 5 4 2 4" xfId="25981" xr:uid="{5EFC252E-CA66-421A-BBF3-34BAA37CF42C}"/>
    <cellStyle name="Comma 4 4 2 5 4 3" xfId="10380" xr:uid="{00000000-0005-0000-0000-0000771F0000}"/>
    <cellStyle name="Comma 4 4 2 5 4 3 2" xfId="21926" xr:uid="{71E85B89-EB96-40B8-9574-1F8C0C024BEA}"/>
    <cellStyle name="Comma 4 4 2 5 4 3 3" xfId="32342" xr:uid="{4941BAD7-10F5-4E60-856F-55A38694AA82}"/>
    <cellStyle name="Comma 4 4 2 5 4 4" xfId="6381" xr:uid="{00000000-0005-0000-0000-0000781F0000}"/>
    <cellStyle name="Comma 4 4 2 5 4 4 2" xfId="17967" xr:uid="{D6B8AC86-0C55-4C13-B4E3-BB8DB444E8FB}"/>
    <cellStyle name="Comma 4 4 2 5 4 4 3" xfId="28383" xr:uid="{DC4A60E9-3105-433E-814D-3369CB222B6A}"/>
    <cellStyle name="Comma 4 4 2 5 4 5" xfId="15564" xr:uid="{7A77D453-246C-4382-BE5D-362BB6AE8FE3}"/>
    <cellStyle name="Comma 4 4 2 5 4 6" xfId="25980" xr:uid="{E5A88879-1DB6-4EBB-B456-04C3A0665BAF}"/>
    <cellStyle name="Comma 4 4 2 5 5" xfId="3231" xr:uid="{00000000-0005-0000-0000-0000791F0000}"/>
    <cellStyle name="Comma 4 4 2 5 5 2" xfId="10382" xr:uid="{00000000-0005-0000-0000-00007A1F0000}"/>
    <cellStyle name="Comma 4 4 2 5 5 2 2" xfId="21928" xr:uid="{6A6C4FBC-3315-4C24-86C6-3CD8DD7AA51B}"/>
    <cellStyle name="Comma 4 4 2 5 5 2 3" xfId="32344" xr:uid="{DFBC4267-4F44-495E-86FD-537EA1569B73}"/>
    <cellStyle name="Comma 4 4 2 5 5 3" xfId="15566" xr:uid="{6AE92DC0-752A-4CB6-94EF-52834CB8B604}"/>
    <cellStyle name="Comma 4 4 2 5 5 4" xfId="25982" xr:uid="{A8CFD8BF-4EF0-4C24-896F-C10B5B432393}"/>
    <cellStyle name="Comma 4 4 2 5 6" xfId="10373" xr:uid="{00000000-0005-0000-0000-00007B1F0000}"/>
    <cellStyle name="Comma 4 4 2 5 6 2" xfId="21919" xr:uid="{EB5F2707-B6AB-498D-ACC2-A87B105D0547}"/>
    <cellStyle name="Comma 4 4 2 5 6 3" xfId="32335" xr:uid="{16FB6542-7560-4C6A-8E48-E6A92A03CD9B}"/>
    <cellStyle name="Comma 4 4 2 5 7" xfId="6377" xr:uid="{00000000-0005-0000-0000-00007C1F0000}"/>
    <cellStyle name="Comma 4 4 2 5 7 2" xfId="17963" xr:uid="{F9D877BF-E36C-4610-B68C-FC32C61CB80D}"/>
    <cellStyle name="Comma 4 4 2 5 7 3" xfId="28379" xr:uid="{E3811A79-62DE-461A-B212-8ED62C435F8C}"/>
    <cellStyle name="Comma 4 4 2 5 8" xfId="15557" xr:uid="{FBD93088-373A-4D91-8C26-6B8F4E85647D}"/>
    <cellStyle name="Comma 4 4 2 5 9" xfId="25973" xr:uid="{8B790817-7FA4-420B-86DD-C3A2DA281738}"/>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2 2 2" xfId="21931" xr:uid="{293A25E8-0ED2-4852-A4C6-2AA808B4B2F2}"/>
    <cellStyle name="Comma 4 4 2 6 2 2 2 3" xfId="32347" xr:uid="{F8874F15-9179-42D8-ADEB-6875E0D137D2}"/>
    <cellStyle name="Comma 4 4 2 6 2 2 3" xfId="15569" xr:uid="{2F37C669-FD85-4691-B4F1-4ABC6978768B}"/>
    <cellStyle name="Comma 4 4 2 6 2 2 4" xfId="25985" xr:uid="{18ADD379-DACE-4F87-9FED-50AFD0FA2F58}"/>
    <cellStyle name="Comma 4 4 2 6 2 3" xfId="10384" xr:uid="{00000000-0005-0000-0000-0000811F0000}"/>
    <cellStyle name="Comma 4 4 2 6 2 3 2" xfId="21930" xr:uid="{CDABFB05-146D-4696-915F-49C1547325BE}"/>
    <cellStyle name="Comma 4 4 2 6 2 3 3" xfId="32346" xr:uid="{2FB2A953-F2FA-42E9-84AC-A2C789E772CA}"/>
    <cellStyle name="Comma 4 4 2 6 2 4" xfId="6383" xr:uid="{00000000-0005-0000-0000-0000821F0000}"/>
    <cellStyle name="Comma 4 4 2 6 2 4 2" xfId="17969" xr:uid="{8EEC8B0C-EFE6-452A-A62F-47BCBAC73234}"/>
    <cellStyle name="Comma 4 4 2 6 2 4 3" xfId="28385" xr:uid="{5BB4CD0D-BBB2-4DD0-AB5D-7DAB08BF9A48}"/>
    <cellStyle name="Comma 4 4 2 6 2 5" xfId="15568" xr:uid="{C0CFFECF-4DDC-4987-923F-2C0795FBC7C9}"/>
    <cellStyle name="Comma 4 4 2 6 2 6" xfId="25984" xr:uid="{D79E93B8-5C10-45F2-A345-3EBE77014DB3}"/>
    <cellStyle name="Comma 4 4 2 6 3" xfId="3235" xr:uid="{00000000-0005-0000-0000-0000831F0000}"/>
    <cellStyle name="Comma 4 4 2 6 3 2" xfId="3236" xr:uid="{00000000-0005-0000-0000-0000841F0000}"/>
    <cellStyle name="Comma 4 4 2 6 3 2 2" xfId="10387" xr:uid="{00000000-0005-0000-0000-0000851F0000}"/>
    <cellStyle name="Comma 4 4 2 6 3 2 2 2" xfId="21933" xr:uid="{599BB302-BAE9-43DD-B30C-A45A3BAE0CAC}"/>
    <cellStyle name="Comma 4 4 2 6 3 2 2 3" xfId="32349" xr:uid="{DED5A7ED-EBE3-42A5-9BDD-74B7931EB806}"/>
    <cellStyle name="Comma 4 4 2 6 3 2 3" xfId="15571" xr:uid="{E90E7B44-A082-45A7-9C8E-58F8C9FF7C13}"/>
    <cellStyle name="Comma 4 4 2 6 3 2 4" xfId="25987" xr:uid="{E432001F-E672-481B-A85F-23D3236FE38C}"/>
    <cellStyle name="Comma 4 4 2 6 3 3" xfId="10386" xr:uid="{00000000-0005-0000-0000-0000861F0000}"/>
    <cellStyle name="Comma 4 4 2 6 3 3 2" xfId="21932" xr:uid="{A1ECA916-EAF9-4B5F-8267-4905433E2C7C}"/>
    <cellStyle name="Comma 4 4 2 6 3 3 3" xfId="32348" xr:uid="{7305843A-A7BC-4B05-9757-9AF3D67992E4}"/>
    <cellStyle name="Comma 4 4 2 6 3 4" xfId="6384" xr:uid="{00000000-0005-0000-0000-0000871F0000}"/>
    <cellStyle name="Comma 4 4 2 6 3 4 2" xfId="17970" xr:uid="{9EF7F9F5-78DE-4DF6-8572-FCFABCD86A25}"/>
    <cellStyle name="Comma 4 4 2 6 3 4 3" xfId="28386" xr:uid="{3A478454-486A-4144-AA7B-11F76DA23B5F}"/>
    <cellStyle name="Comma 4 4 2 6 3 5" xfId="15570" xr:uid="{5215F2E9-8E82-49FD-851D-610524E60830}"/>
    <cellStyle name="Comma 4 4 2 6 3 6" xfId="25986" xr:uid="{80224C62-8E10-4AC0-8B05-0F47EC0F70FF}"/>
    <cellStyle name="Comma 4 4 2 6 4" xfId="3237" xr:uid="{00000000-0005-0000-0000-0000881F0000}"/>
    <cellStyle name="Comma 4 4 2 6 4 2" xfId="10388" xr:uid="{00000000-0005-0000-0000-0000891F0000}"/>
    <cellStyle name="Comma 4 4 2 6 4 2 2" xfId="21934" xr:uid="{847B65CA-FFF0-4E15-A80D-FF3988FE7CCA}"/>
    <cellStyle name="Comma 4 4 2 6 4 2 3" xfId="32350" xr:uid="{02683F6E-CA04-4BBF-9C8F-9DB41515F76D}"/>
    <cellStyle name="Comma 4 4 2 6 4 3" xfId="15572" xr:uid="{2C8D50D0-D824-43CC-B154-90165D424166}"/>
    <cellStyle name="Comma 4 4 2 6 4 4" xfId="25988" xr:uid="{7602986D-F8F8-4303-A584-45554C2117DE}"/>
    <cellStyle name="Comma 4 4 2 6 5" xfId="10383" xr:uid="{00000000-0005-0000-0000-00008A1F0000}"/>
    <cellStyle name="Comma 4 4 2 6 5 2" xfId="21929" xr:uid="{A14BC640-EFA4-4D88-BB95-96E7C9731C48}"/>
    <cellStyle name="Comma 4 4 2 6 5 3" xfId="32345" xr:uid="{8290D0F7-B28A-4CCF-AEA4-79A58FA93DA4}"/>
    <cellStyle name="Comma 4 4 2 6 6" xfId="6382" xr:uid="{00000000-0005-0000-0000-00008B1F0000}"/>
    <cellStyle name="Comma 4 4 2 6 6 2" xfId="17968" xr:uid="{F2E9CCAF-C937-4DD9-B9B2-D1306C8DEEEF}"/>
    <cellStyle name="Comma 4 4 2 6 6 3" xfId="28384" xr:uid="{006B98D4-04D1-4DB5-B87D-D0F5E7B98B49}"/>
    <cellStyle name="Comma 4 4 2 6 7" xfId="15567" xr:uid="{8FF63F05-D702-49C6-8A98-813956F4263D}"/>
    <cellStyle name="Comma 4 4 2 6 8" xfId="25983" xr:uid="{52C05599-8E20-4657-AA85-E2F8C85915A4}"/>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2 2 2" xfId="21937" xr:uid="{D7B6BBC5-F22E-4317-99C9-578EC193D52F}"/>
    <cellStyle name="Comma 4 4 2 7 2 2 2 3" xfId="32353" xr:uid="{BCFA79DF-7910-4AA6-816F-A5D4CBF9E5FD}"/>
    <cellStyle name="Comma 4 4 2 7 2 2 3" xfId="15575" xr:uid="{485D330F-CE13-4084-879F-738A0A0B0644}"/>
    <cellStyle name="Comma 4 4 2 7 2 2 4" xfId="25991" xr:uid="{61AEE47F-B2A4-4DBA-9DB2-EFCFB3541343}"/>
    <cellStyle name="Comma 4 4 2 7 2 3" xfId="10390" xr:uid="{00000000-0005-0000-0000-0000901F0000}"/>
    <cellStyle name="Comma 4 4 2 7 2 3 2" xfId="21936" xr:uid="{4B5048EB-AFA2-43AA-93DD-4F93EDB3B5EC}"/>
    <cellStyle name="Comma 4 4 2 7 2 3 3" xfId="32352" xr:uid="{72161ABE-600F-446B-93E6-6575A6682A0D}"/>
    <cellStyle name="Comma 4 4 2 7 2 4" xfId="6386" xr:uid="{00000000-0005-0000-0000-0000911F0000}"/>
    <cellStyle name="Comma 4 4 2 7 2 4 2" xfId="17972" xr:uid="{0431D0A8-0C48-49A4-A87B-B184FCAF708E}"/>
    <cellStyle name="Comma 4 4 2 7 2 4 3" xfId="28388" xr:uid="{23200625-289A-47BB-B6C5-697E9BB09FD2}"/>
    <cellStyle name="Comma 4 4 2 7 2 5" xfId="15574" xr:uid="{E200C2CD-D35E-47A8-AFB6-12339263B91C}"/>
    <cellStyle name="Comma 4 4 2 7 2 6" xfId="25990" xr:uid="{5C900A24-6641-47EB-832E-5EA22CC97E2D}"/>
    <cellStyle name="Comma 4 4 2 7 3" xfId="3241" xr:uid="{00000000-0005-0000-0000-0000921F0000}"/>
    <cellStyle name="Comma 4 4 2 7 3 2" xfId="10392" xr:uid="{00000000-0005-0000-0000-0000931F0000}"/>
    <cellStyle name="Comma 4 4 2 7 3 2 2" xfId="21938" xr:uid="{CF9A035A-658C-4E15-AB89-3E9754E5FD05}"/>
    <cellStyle name="Comma 4 4 2 7 3 2 3" xfId="32354" xr:uid="{0E53CC62-F2CA-43AE-9DF1-83B7BFAC67AC}"/>
    <cellStyle name="Comma 4 4 2 7 3 3" xfId="15576" xr:uid="{FD692FC7-6890-4D9A-A2F1-12C5E9EC9DB8}"/>
    <cellStyle name="Comma 4 4 2 7 3 4" xfId="25992" xr:uid="{F929C29E-42D9-48C3-A8E6-9AB9E04E395F}"/>
    <cellStyle name="Comma 4 4 2 7 4" xfId="10389" xr:uid="{00000000-0005-0000-0000-0000941F0000}"/>
    <cellStyle name="Comma 4 4 2 7 4 2" xfId="21935" xr:uid="{35FAF09E-0975-4396-86ED-C9845FD4452C}"/>
    <cellStyle name="Comma 4 4 2 7 4 3" xfId="32351" xr:uid="{6FA51E90-FD1A-42CD-B99C-8E258AD8F778}"/>
    <cellStyle name="Comma 4 4 2 7 5" xfId="6385" xr:uid="{00000000-0005-0000-0000-0000951F0000}"/>
    <cellStyle name="Comma 4 4 2 7 5 2" xfId="17971" xr:uid="{C5B3CCC8-15D6-4F82-842B-3CF76816F3AC}"/>
    <cellStyle name="Comma 4 4 2 7 5 3" xfId="28387" xr:uid="{51CC3D33-A649-4D8E-9820-4870DFBA5090}"/>
    <cellStyle name="Comma 4 4 2 7 6" xfId="15573" xr:uid="{CBE08653-E071-41AE-A521-AE3BD1AA0C12}"/>
    <cellStyle name="Comma 4 4 2 7 7" xfId="25989" xr:uid="{29668E0F-0AED-4482-BC8B-D12C3E19F75F}"/>
    <cellStyle name="Comma 4 4 2 8" xfId="3242" xr:uid="{00000000-0005-0000-0000-0000961F0000}"/>
    <cellStyle name="Comma 4 4 2 8 2" xfId="3243" xr:uid="{00000000-0005-0000-0000-0000971F0000}"/>
    <cellStyle name="Comma 4 4 2 8 2 2" xfId="10394" xr:uid="{00000000-0005-0000-0000-0000981F0000}"/>
    <cellStyle name="Comma 4 4 2 8 2 2 2" xfId="21940" xr:uid="{094FC476-9227-4BA0-87D5-B97EBE67BA49}"/>
    <cellStyle name="Comma 4 4 2 8 2 2 3" xfId="32356" xr:uid="{6A69765A-411F-4E59-9A20-1342F01FD48F}"/>
    <cellStyle name="Comma 4 4 2 8 2 3" xfId="15578" xr:uid="{943FE433-5186-41DF-8B42-68717E581C65}"/>
    <cellStyle name="Comma 4 4 2 8 2 4" xfId="25994" xr:uid="{5A7B41BB-B517-4A90-A23C-2430A620C6E4}"/>
    <cellStyle name="Comma 4 4 2 8 3" xfId="10393" xr:uid="{00000000-0005-0000-0000-0000991F0000}"/>
    <cellStyle name="Comma 4 4 2 8 3 2" xfId="21939" xr:uid="{FB896FE7-9ECD-448F-AEE7-5EA708B65CA9}"/>
    <cellStyle name="Comma 4 4 2 8 3 3" xfId="32355" xr:uid="{30BF9617-B8AB-4696-92B5-155E11024CB1}"/>
    <cellStyle name="Comma 4 4 2 8 4" xfId="6387" xr:uid="{00000000-0005-0000-0000-00009A1F0000}"/>
    <cellStyle name="Comma 4 4 2 8 4 2" xfId="17973" xr:uid="{17CFCAFF-0921-41A3-B104-E87E0EC4C993}"/>
    <cellStyle name="Comma 4 4 2 8 4 3" xfId="28389" xr:uid="{05CD6A3D-E7FC-411D-8E7D-33213935F0C0}"/>
    <cellStyle name="Comma 4 4 2 8 5" xfId="15577" xr:uid="{AA1CE6D3-3D0B-432F-89FC-001F451A188F}"/>
    <cellStyle name="Comma 4 4 2 8 6" xfId="25993" xr:uid="{C10D9117-1140-4E8E-AEBC-FE305F48E047}"/>
    <cellStyle name="Comma 4 4 2 9" xfId="3244" xr:uid="{00000000-0005-0000-0000-00009B1F0000}"/>
    <cellStyle name="Comma 4 4 2 9 2" xfId="3245" xr:uid="{00000000-0005-0000-0000-00009C1F0000}"/>
    <cellStyle name="Comma 4 4 2 9 2 2" xfId="10396" xr:uid="{00000000-0005-0000-0000-00009D1F0000}"/>
    <cellStyle name="Comma 4 4 2 9 2 2 2" xfId="21942" xr:uid="{6EA795F5-DCB4-410C-BEAE-C7F652DF5D70}"/>
    <cellStyle name="Comma 4 4 2 9 2 2 3" xfId="32358" xr:uid="{8634B960-ECF5-4F8B-809F-10508130AE67}"/>
    <cellStyle name="Comma 4 4 2 9 2 3" xfId="15580" xr:uid="{F9C1EF8C-34F9-413B-B16E-C281E91A1BC4}"/>
    <cellStyle name="Comma 4 4 2 9 2 4" xfId="25996" xr:uid="{77C753B8-EB6B-47EE-9711-0674F9539885}"/>
    <cellStyle name="Comma 4 4 2 9 3" xfId="10395" xr:uid="{00000000-0005-0000-0000-00009E1F0000}"/>
    <cellStyle name="Comma 4 4 2 9 3 2" xfId="21941" xr:uid="{5A113AE8-ECE7-4B8B-92FA-3322FA64805D}"/>
    <cellStyle name="Comma 4 4 2 9 3 3" xfId="32357" xr:uid="{6845609A-8870-41E0-90C2-5209356371B1}"/>
    <cellStyle name="Comma 4 4 2 9 4" xfId="6388" xr:uid="{00000000-0005-0000-0000-00009F1F0000}"/>
    <cellStyle name="Comma 4 4 2 9 4 2" xfId="17974" xr:uid="{86493FA3-27C5-46A1-BBD0-F962948B12E9}"/>
    <cellStyle name="Comma 4 4 2 9 4 3" xfId="28390" xr:uid="{EFFC428C-5EBC-4B3B-9D1F-B78B09E6BAEB}"/>
    <cellStyle name="Comma 4 4 2 9 5" xfId="15579" xr:uid="{63A80F04-2808-4C23-9F8A-6011E8CEEFDF}"/>
    <cellStyle name="Comma 4 4 2 9 6" xfId="25995" xr:uid="{26266B7D-E05B-405B-BAF5-DCEB226D6012}"/>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2 2 2" xfId="21946" xr:uid="{89680C1B-08FA-4E85-A350-CA11BA5EC5A0}"/>
    <cellStyle name="Comma 4 4 3 2 2 2 2 3" xfId="32362" xr:uid="{6D7877E3-B1BE-4E63-BDEA-295F6866FCBD}"/>
    <cellStyle name="Comma 4 4 3 2 2 2 3" xfId="15584" xr:uid="{E09EF659-3981-42FC-BF63-011C43C70C33}"/>
    <cellStyle name="Comma 4 4 3 2 2 2 4" xfId="26000" xr:uid="{714C0B37-FFCE-478B-9F4C-F2CA52C5E3F9}"/>
    <cellStyle name="Comma 4 4 3 2 2 3" xfId="10399" xr:uid="{00000000-0005-0000-0000-0000A51F0000}"/>
    <cellStyle name="Comma 4 4 3 2 2 3 2" xfId="21945" xr:uid="{7002E600-7001-4C08-BC63-0D799F3461F2}"/>
    <cellStyle name="Comma 4 4 3 2 2 3 3" xfId="32361" xr:uid="{6E111A48-1A41-4FF6-A56A-CFA1D6BB5620}"/>
    <cellStyle name="Comma 4 4 3 2 2 4" xfId="6391" xr:uid="{00000000-0005-0000-0000-0000A61F0000}"/>
    <cellStyle name="Comma 4 4 3 2 2 4 2" xfId="17977" xr:uid="{F1BE904B-6165-4AE1-8D8E-FE47A3BFD52B}"/>
    <cellStyle name="Comma 4 4 3 2 2 4 3" xfId="28393" xr:uid="{AF81ACD3-5AA5-408C-96A3-79FD1FCE713C}"/>
    <cellStyle name="Comma 4 4 3 2 2 5" xfId="15583" xr:uid="{54443B03-4DDB-4570-9E62-A22ECA7CDC3B}"/>
    <cellStyle name="Comma 4 4 3 2 2 6" xfId="25999" xr:uid="{F1856BA3-6B90-42B3-9D5F-E63A5F7D138F}"/>
    <cellStyle name="Comma 4 4 3 2 3" xfId="3250" xr:uid="{00000000-0005-0000-0000-0000A71F0000}"/>
    <cellStyle name="Comma 4 4 3 2 3 2" xfId="10401" xr:uid="{00000000-0005-0000-0000-0000A81F0000}"/>
    <cellStyle name="Comma 4 4 3 2 3 2 2" xfId="21947" xr:uid="{E404D9BA-9E11-4FD0-AC5C-0A479A4693DD}"/>
    <cellStyle name="Comma 4 4 3 2 3 2 3" xfId="32363" xr:uid="{0EFEC72C-D7D8-4BCE-BE5E-F4D1A84E1774}"/>
    <cellStyle name="Comma 4 4 3 2 3 3" xfId="15585" xr:uid="{7A4F3E81-BAF0-433B-A351-8FC246FF382C}"/>
    <cellStyle name="Comma 4 4 3 2 3 4" xfId="26001" xr:uid="{F4985E92-C0D1-4907-8329-B7BC5ADC94A8}"/>
    <cellStyle name="Comma 4 4 3 2 4" xfId="10398" xr:uid="{00000000-0005-0000-0000-0000A91F0000}"/>
    <cellStyle name="Comma 4 4 3 2 4 2" xfId="21944" xr:uid="{BE6E9CC7-B767-4148-AF81-ABBA42164A0D}"/>
    <cellStyle name="Comma 4 4 3 2 4 3" xfId="32360" xr:uid="{07AEB744-54F6-49B7-87A3-5000C8E78002}"/>
    <cellStyle name="Comma 4 4 3 2 5" xfId="6390" xr:uid="{00000000-0005-0000-0000-0000AA1F0000}"/>
    <cellStyle name="Comma 4 4 3 2 5 2" xfId="17976" xr:uid="{EFB75B32-E85A-4819-BDBB-08F8D0EC6C26}"/>
    <cellStyle name="Comma 4 4 3 2 5 3" xfId="28392" xr:uid="{1AC028C1-9DEE-4EED-B067-ADC5CE881E73}"/>
    <cellStyle name="Comma 4 4 3 2 6" xfId="15582" xr:uid="{ED505A0C-110F-4614-899D-273F5FFBA8D3}"/>
    <cellStyle name="Comma 4 4 3 2 7" xfId="25998" xr:uid="{47036261-DE84-426C-9D65-D2F0CCC2B0A7}"/>
    <cellStyle name="Comma 4 4 3 3" xfId="3251" xr:uid="{00000000-0005-0000-0000-0000AB1F0000}"/>
    <cellStyle name="Comma 4 4 3 3 2" xfId="3252" xr:uid="{00000000-0005-0000-0000-0000AC1F0000}"/>
    <cellStyle name="Comma 4 4 3 3 2 2" xfId="10403" xr:uid="{00000000-0005-0000-0000-0000AD1F0000}"/>
    <cellStyle name="Comma 4 4 3 3 2 2 2" xfId="21949" xr:uid="{C74F9E87-157A-481B-A243-11D811797E4B}"/>
    <cellStyle name="Comma 4 4 3 3 2 2 3" xfId="32365" xr:uid="{BF022FD1-0FF8-4311-AD47-932EA5EA5208}"/>
    <cellStyle name="Comma 4 4 3 3 2 3" xfId="15587" xr:uid="{998A935A-16A7-4184-8F24-36795DF356C0}"/>
    <cellStyle name="Comma 4 4 3 3 2 4" xfId="26003" xr:uid="{09588DE5-EFF9-435F-B03E-BCE0D0CDD0B1}"/>
    <cellStyle name="Comma 4 4 3 3 3" xfId="10402" xr:uid="{00000000-0005-0000-0000-0000AE1F0000}"/>
    <cellStyle name="Comma 4 4 3 3 3 2" xfId="21948" xr:uid="{1C5F571D-CEF7-453B-90B8-84ED1389088D}"/>
    <cellStyle name="Comma 4 4 3 3 3 3" xfId="32364" xr:uid="{F073D559-5564-4B46-828D-0675240921C2}"/>
    <cellStyle name="Comma 4 4 3 3 4" xfId="6392" xr:uid="{00000000-0005-0000-0000-0000AF1F0000}"/>
    <cellStyle name="Comma 4 4 3 3 4 2" xfId="17978" xr:uid="{D0E4AC45-5E74-4023-A00A-01D5CF105903}"/>
    <cellStyle name="Comma 4 4 3 3 4 3" xfId="28394" xr:uid="{DD82EC30-089E-4F9F-8AB5-791E3727DC84}"/>
    <cellStyle name="Comma 4 4 3 3 5" xfId="15586" xr:uid="{AB7E1A28-714B-4B28-94BE-3A5FFC9FCDF7}"/>
    <cellStyle name="Comma 4 4 3 3 6" xfId="26002" xr:uid="{CDEC47B4-B9E1-4599-8877-C48456AA1665}"/>
    <cellStyle name="Comma 4 4 3 4" xfId="3253" xr:uid="{00000000-0005-0000-0000-0000B01F0000}"/>
    <cellStyle name="Comma 4 4 3 4 2" xfId="3254" xr:uid="{00000000-0005-0000-0000-0000B11F0000}"/>
    <cellStyle name="Comma 4 4 3 4 2 2" xfId="10405" xr:uid="{00000000-0005-0000-0000-0000B21F0000}"/>
    <cellStyle name="Comma 4 4 3 4 2 2 2" xfId="21951" xr:uid="{84F82288-E080-4466-A2B4-8DD1DDB6DE0C}"/>
    <cellStyle name="Comma 4 4 3 4 2 2 3" xfId="32367" xr:uid="{BBCA32B6-A1BD-4071-848E-61AA5EDF282F}"/>
    <cellStyle name="Comma 4 4 3 4 2 3" xfId="15589" xr:uid="{4FDBEA15-7E51-4D12-8782-5949A6894E0E}"/>
    <cellStyle name="Comma 4 4 3 4 2 4" xfId="26005" xr:uid="{3FF97FBC-B765-4D7B-BF29-5154ADE79692}"/>
    <cellStyle name="Comma 4 4 3 4 3" xfId="10404" xr:uid="{00000000-0005-0000-0000-0000B31F0000}"/>
    <cellStyle name="Comma 4 4 3 4 3 2" xfId="21950" xr:uid="{C733A0D6-2CCF-4F70-B104-8C9BA68C5110}"/>
    <cellStyle name="Comma 4 4 3 4 3 3" xfId="32366" xr:uid="{049B4778-D5A6-49C1-823F-8A9E5FC8190E}"/>
    <cellStyle name="Comma 4 4 3 4 4" xfId="6393" xr:uid="{00000000-0005-0000-0000-0000B41F0000}"/>
    <cellStyle name="Comma 4 4 3 4 4 2" xfId="17979" xr:uid="{D27D7767-99B2-461A-9166-3B54480E7D83}"/>
    <cellStyle name="Comma 4 4 3 4 4 3" xfId="28395" xr:uid="{2ADE29DB-AD8B-4ABC-A261-FE2737A3B435}"/>
    <cellStyle name="Comma 4 4 3 4 5" xfId="15588" xr:uid="{D538A8C0-10F8-4877-A3F5-0BFE32622029}"/>
    <cellStyle name="Comma 4 4 3 4 6" xfId="26004" xr:uid="{EA35C366-FEEB-457E-A496-AA64C71509E9}"/>
    <cellStyle name="Comma 4 4 3 5" xfId="3255" xr:uid="{00000000-0005-0000-0000-0000B51F0000}"/>
    <cellStyle name="Comma 4 4 3 5 2" xfId="10406" xr:uid="{00000000-0005-0000-0000-0000B61F0000}"/>
    <cellStyle name="Comma 4 4 3 5 2 2" xfId="21952" xr:uid="{6513CBF6-13F7-40CE-96AD-5314229EB63D}"/>
    <cellStyle name="Comma 4 4 3 5 2 3" xfId="32368" xr:uid="{787B7BFD-4F6C-41AC-A963-BD1D2FFD5A0C}"/>
    <cellStyle name="Comma 4 4 3 5 3" xfId="15590" xr:uid="{38128CB4-7D5F-4270-9E3B-74F70DC38791}"/>
    <cellStyle name="Comma 4 4 3 5 4" xfId="26006" xr:uid="{FF415AA0-E198-4765-BB7F-FD6B1A15F32E}"/>
    <cellStyle name="Comma 4 4 3 6" xfId="10397" xr:uid="{00000000-0005-0000-0000-0000B71F0000}"/>
    <cellStyle name="Comma 4 4 3 6 2" xfId="21943" xr:uid="{861CCF3D-649E-4FB5-B7B1-1BC5D6BB81B2}"/>
    <cellStyle name="Comma 4 4 3 6 3" xfId="32359" xr:uid="{92413D70-FB81-467E-9537-5536BF6FB50A}"/>
    <cellStyle name="Comma 4 4 3 7" xfId="6389" xr:uid="{00000000-0005-0000-0000-0000B81F0000}"/>
    <cellStyle name="Comma 4 4 3 7 2" xfId="17975" xr:uid="{8369B898-7BAD-414F-AE17-0F85DD7DAD28}"/>
    <cellStyle name="Comma 4 4 3 7 3" xfId="28391" xr:uid="{CD40F7BA-9B11-4F8B-B8AE-01C525B6A964}"/>
    <cellStyle name="Comma 4 4 3 8" xfId="15581" xr:uid="{5D66C5FB-DB5D-4586-90CE-1F0612F7F5E9}"/>
    <cellStyle name="Comma 4 4 3 9" xfId="25997" xr:uid="{CFC32EF1-01E7-466F-BDF2-6367FD595E91}"/>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2 2 2" xfId="21956" xr:uid="{8D84DA57-7706-4956-AD0C-130D43ECC0C7}"/>
    <cellStyle name="Comma 4 4 4 2 2 2 2 3" xfId="32372" xr:uid="{268162C6-47AC-4173-A7B3-1F803D25EE5B}"/>
    <cellStyle name="Comma 4 4 4 2 2 2 3" xfId="15594" xr:uid="{2558C10B-D38F-4095-AB7C-9FC15BEEA70B}"/>
    <cellStyle name="Comma 4 4 4 2 2 2 4" xfId="26010" xr:uid="{0476FBBD-30A5-475E-B4D2-AB03D5250605}"/>
    <cellStyle name="Comma 4 4 4 2 2 3" xfId="10409" xr:uid="{00000000-0005-0000-0000-0000BE1F0000}"/>
    <cellStyle name="Comma 4 4 4 2 2 3 2" xfId="21955" xr:uid="{EFF9841C-01E3-4154-99DE-EED5273168A9}"/>
    <cellStyle name="Comma 4 4 4 2 2 3 3" xfId="32371" xr:uid="{D3CA7EC3-526F-4517-8E1B-201833652EFF}"/>
    <cellStyle name="Comma 4 4 4 2 2 4" xfId="6396" xr:uid="{00000000-0005-0000-0000-0000BF1F0000}"/>
    <cellStyle name="Comma 4 4 4 2 2 4 2" xfId="17982" xr:uid="{62F26434-2ECC-4E41-BC21-57B1959023F2}"/>
    <cellStyle name="Comma 4 4 4 2 2 4 3" xfId="28398" xr:uid="{DC018D7A-8116-42CF-8EE0-9DC3A37F23D0}"/>
    <cellStyle name="Comma 4 4 4 2 2 5" xfId="15593" xr:uid="{8C27ECAE-D25F-4889-83FC-9E0FB31B6F3D}"/>
    <cellStyle name="Comma 4 4 4 2 2 6" xfId="26009" xr:uid="{AC0B0576-CB91-4749-A329-2794E5E5CA12}"/>
    <cellStyle name="Comma 4 4 4 2 3" xfId="3260" xr:uid="{00000000-0005-0000-0000-0000C01F0000}"/>
    <cellStyle name="Comma 4 4 4 2 3 2" xfId="10411" xr:uid="{00000000-0005-0000-0000-0000C11F0000}"/>
    <cellStyle name="Comma 4 4 4 2 3 2 2" xfId="21957" xr:uid="{CCB76138-112E-4A1D-A2E9-6BD277D9F1EC}"/>
    <cellStyle name="Comma 4 4 4 2 3 2 3" xfId="32373" xr:uid="{A3B6C4AB-E490-4D51-94A9-5967250B8DC0}"/>
    <cellStyle name="Comma 4 4 4 2 3 3" xfId="15595" xr:uid="{77946DF0-168A-452E-B12F-9BF6F950C490}"/>
    <cellStyle name="Comma 4 4 4 2 3 4" xfId="26011" xr:uid="{9F332DB8-794C-47DD-B66B-AB4A89232D77}"/>
    <cellStyle name="Comma 4 4 4 2 4" xfId="10408" xr:uid="{00000000-0005-0000-0000-0000C21F0000}"/>
    <cellStyle name="Comma 4 4 4 2 4 2" xfId="21954" xr:uid="{CC03AF5A-0E8A-46A2-B2A3-3A5FE7272902}"/>
    <cellStyle name="Comma 4 4 4 2 4 3" xfId="32370" xr:uid="{4493603B-9132-456B-BA81-496E07FEFEDE}"/>
    <cellStyle name="Comma 4 4 4 2 5" xfId="6395" xr:uid="{00000000-0005-0000-0000-0000C31F0000}"/>
    <cellStyle name="Comma 4 4 4 2 5 2" xfId="17981" xr:uid="{25B6E58F-63C7-47CF-84FB-DB1201C97264}"/>
    <cellStyle name="Comma 4 4 4 2 5 3" xfId="28397" xr:uid="{A0CAADBB-BBBE-4497-A2EB-53D6E6712AB1}"/>
    <cellStyle name="Comma 4 4 4 2 6" xfId="15592" xr:uid="{0B8C1964-746C-4DE2-B8BF-E72B002D824B}"/>
    <cellStyle name="Comma 4 4 4 2 7" xfId="26008" xr:uid="{3D907CEE-12EA-41A8-8CB4-132171B5BF9B}"/>
    <cellStyle name="Comma 4 4 4 3" xfId="3261" xr:uid="{00000000-0005-0000-0000-0000C41F0000}"/>
    <cellStyle name="Comma 4 4 4 3 2" xfId="3262" xr:uid="{00000000-0005-0000-0000-0000C51F0000}"/>
    <cellStyle name="Comma 4 4 4 3 2 2" xfId="10413" xr:uid="{00000000-0005-0000-0000-0000C61F0000}"/>
    <cellStyle name="Comma 4 4 4 3 2 2 2" xfId="21959" xr:uid="{1D24C43C-A7A7-4338-9F7E-4BD48B2D6ACE}"/>
    <cellStyle name="Comma 4 4 4 3 2 2 3" xfId="32375" xr:uid="{92B8E55D-3A8A-4787-8A17-D9D4077BD628}"/>
    <cellStyle name="Comma 4 4 4 3 2 3" xfId="15597" xr:uid="{CCD44CCE-9998-44AB-B1C5-920EF539FEAA}"/>
    <cellStyle name="Comma 4 4 4 3 2 4" xfId="26013" xr:uid="{D95977BF-5416-4E6A-BAE6-D65141DB5359}"/>
    <cellStyle name="Comma 4 4 4 3 3" xfId="10412" xr:uid="{00000000-0005-0000-0000-0000C71F0000}"/>
    <cellStyle name="Comma 4 4 4 3 3 2" xfId="21958" xr:uid="{833CD248-80C8-4506-A252-8B4466522114}"/>
    <cellStyle name="Comma 4 4 4 3 3 3" xfId="32374" xr:uid="{9B94C094-04FC-4CA8-A0B2-3D862930A5D0}"/>
    <cellStyle name="Comma 4 4 4 3 4" xfId="6397" xr:uid="{00000000-0005-0000-0000-0000C81F0000}"/>
    <cellStyle name="Comma 4 4 4 3 4 2" xfId="17983" xr:uid="{95BFF9E7-9804-48AE-AE2A-8CDEDC7FFCFB}"/>
    <cellStyle name="Comma 4 4 4 3 4 3" xfId="28399" xr:uid="{8D08A5CB-4940-4FF6-BAD0-8C06589CA75A}"/>
    <cellStyle name="Comma 4 4 4 3 5" xfId="15596" xr:uid="{5FE3FAEC-FDC0-406D-A5E3-52FC0B0B846E}"/>
    <cellStyle name="Comma 4 4 4 3 6" xfId="26012" xr:uid="{B696AAF2-CF67-46F7-B80F-48D9149D8BDA}"/>
    <cellStyle name="Comma 4 4 4 4" xfId="3263" xr:uid="{00000000-0005-0000-0000-0000C91F0000}"/>
    <cellStyle name="Comma 4 4 4 4 2" xfId="3264" xr:uid="{00000000-0005-0000-0000-0000CA1F0000}"/>
    <cellStyle name="Comma 4 4 4 4 2 2" xfId="10415" xr:uid="{00000000-0005-0000-0000-0000CB1F0000}"/>
    <cellStyle name="Comma 4 4 4 4 2 2 2" xfId="21961" xr:uid="{B17CBB83-142B-4AAF-BDD2-4EC35499B81E}"/>
    <cellStyle name="Comma 4 4 4 4 2 2 3" xfId="32377" xr:uid="{23327704-6EDB-4876-8291-D984626AF3D0}"/>
    <cellStyle name="Comma 4 4 4 4 2 3" xfId="15599" xr:uid="{F52C5117-6CAA-4DDE-9A5D-46D768C8E2EB}"/>
    <cellStyle name="Comma 4 4 4 4 2 4" xfId="26015" xr:uid="{B04A48D8-C4B2-4304-97CD-B8C094A446AD}"/>
    <cellStyle name="Comma 4 4 4 4 3" xfId="10414" xr:uid="{00000000-0005-0000-0000-0000CC1F0000}"/>
    <cellStyle name="Comma 4 4 4 4 3 2" xfId="21960" xr:uid="{C8C01D54-B0D4-465C-A1DF-E00FC01CF25C}"/>
    <cellStyle name="Comma 4 4 4 4 3 3" xfId="32376" xr:uid="{38D0F94C-A76D-4DEF-8E16-FD2B7E2FBC2C}"/>
    <cellStyle name="Comma 4 4 4 4 4" xfId="6398" xr:uid="{00000000-0005-0000-0000-0000CD1F0000}"/>
    <cellStyle name="Comma 4 4 4 4 4 2" xfId="17984" xr:uid="{ED7487AB-DF65-4F44-ABF9-5046940AF4A3}"/>
    <cellStyle name="Comma 4 4 4 4 4 3" xfId="28400" xr:uid="{E3DDB219-6B69-4878-A9D0-AAE5682DC594}"/>
    <cellStyle name="Comma 4 4 4 4 5" xfId="15598" xr:uid="{32454DB4-942A-495B-8D3F-A795E6785EED}"/>
    <cellStyle name="Comma 4 4 4 4 6" xfId="26014" xr:uid="{B21F272A-1724-4CA1-8ACE-7EC5E576A0B4}"/>
    <cellStyle name="Comma 4 4 4 5" xfId="3265" xr:uid="{00000000-0005-0000-0000-0000CE1F0000}"/>
    <cellStyle name="Comma 4 4 4 5 2" xfId="10416" xr:uid="{00000000-0005-0000-0000-0000CF1F0000}"/>
    <cellStyle name="Comma 4 4 4 5 2 2" xfId="21962" xr:uid="{64862248-9214-48DE-AD2F-3D8AA105F3E6}"/>
    <cellStyle name="Comma 4 4 4 5 2 3" xfId="32378" xr:uid="{E5795C74-555F-4319-9170-7B2401F2DBAE}"/>
    <cellStyle name="Comma 4 4 4 5 3" xfId="15600" xr:uid="{38A03015-23D6-4BB6-8238-F46587878EC1}"/>
    <cellStyle name="Comma 4 4 4 5 4" xfId="26016" xr:uid="{5306CE50-0004-48D9-88D9-234137B1E39C}"/>
    <cellStyle name="Comma 4 4 4 6" xfId="10407" xr:uid="{00000000-0005-0000-0000-0000D01F0000}"/>
    <cellStyle name="Comma 4 4 4 6 2" xfId="21953" xr:uid="{2C95757B-5900-46DE-A06F-7F983579FDAA}"/>
    <cellStyle name="Comma 4 4 4 6 3" xfId="32369" xr:uid="{836E6889-8D6F-4EB7-AB98-AD157416B889}"/>
    <cellStyle name="Comma 4 4 4 7" xfId="6394" xr:uid="{00000000-0005-0000-0000-0000D11F0000}"/>
    <cellStyle name="Comma 4 4 4 7 2" xfId="17980" xr:uid="{62CC3844-2670-48A6-8244-6082E18BFCB6}"/>
    <cellStyle name="Comma 4 4 4 7 3" xfId="28396" xr:uid="{2B535B5C-3F02-4A96-9454-80CD98D5DD19}"/>
    <cellStyle name="Comma 4 4 4 8" xfId="15591" xr:uid="{20DE89F8-6705-43A0-8201-84550ED90159}"/>
    <cellStyle name="Comma 4 4 4 9" xfId="26007" xr:uid="{8689D9B3-EE24-49A4-9A41-1C1C84CA4A31}"/>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2 2 2" xfId="21966" xr:uid="{F662655B-6EBB-4F84-8621-23BB0709CCC8}"/>
    <cellStyle name="Comma 4 4 5 2 2 2 2 3" xfId="32382" xr:uid="{31FFF0F4-C00B-4136-8B75-7E6C88BA743E}"/>
    <cellStyle name="Comma 4 4 5 2 2 2 3" xfId="15604" xr:uid="{41CA56B1-8536-4AAC-80E1-0926311C954B}"/>
    <cellStyle name="Comma 4 4 5 2 2 2 4" xfId="26020" xr:uid="{1FA36C6D-CB33-41BC-AA15-92776224EA58}"/>
    <cellStyle name="Comma 4 4 5 2 2 3" xfId="10419" xr:uid="{00000000-0005-0000-0000-0000D71F0000}"/>
    <cellStyle name="Comma 4 4 5 2 2 3 2" xfId="21965" xr:uid="{6054B891-79AC-4F0B-8442-31D9521D5333}"/>
    <cellStyle name="Comma 4 4 5 2 2 3 3" xfId="32381" xr:uid="{7AEABD3A-9281-4E6E-9961-654C86EC7147}"/>
    <cellStyle name="Comma 4 4 5 2 2 4" xfId="6401" xr:uid="{00000000-0005-0000-0000-0000D81F0000}"/>
    <cellStyle name="Comma 4 4 5 2 2 4 2" xfId="17987" xr:uid="{35A4A56C-E438-4B32-AACF-91BA96127975}"/>
    <cellStyle name="Comma 4 4 5 2 2 4 3" xfId="28403" xr:uid="{4E18D2D5-3D60-43F5-B13E-E714C682103B}"/>
    <cellStyle name="Comma 4 4 5 2 2 5" xfId="15603" xr:uid="{52E75D24-BC59-4B65-89F3-19A2D83F8DDB}"/>
    <cellStyle name="Comma 4 4 5 2 2 6" xfId="26019" xr:uid="{198E6B09-898A-446E-8DDE-392D19AFED6E}"/>
    <cellStyle name="Comma 4 4 5 2 3" xfId="3270" xr:uid="{00000000-0005-0000-0000-0000D91F0000}"/>
    <cellStyle name="Comma 4 4 5 2 3 2" xfId="10421" xr:uid="{00000000-0005-0000-0000-0000DA1F0000}"/>
    <cellStyle name="Comma 4 4 5 2 3 2 2" xfId="21967" xr:uid="{35332F61-F65F-4DB5-8E2B-DF612AA25ED5}"/>
    <cellStyle name="Comma 4 4 5 2 3 2 3" xfId="32383" xr:uid="{06D117A6-62B5-4EB0-8725-9C49ACAA41AB}"/>
    <cellStyle name="Comma 4 4 5 2 3 3" xfId="15605" xr:uid="{25ADB7D9-2CFA-4636-99A6-141962BF6745}"/>
    <cellStyle name="Comma 4 4 5 2 3 4" xfId="26021" xr:uid="{4C855FB7-C995-4557-8078-EB055EBC81A1}"/>
    <cellStyle name="Comma 4 4 5 2 4" xfId="10418" xr:uid="{00000000-0005-0000-0000-0000DB1F0000}"/>
    <cellStyle name="Comma 4 4 5 2 4 2" xfId="21964" xr:uid="{25D315C2-D8B5-43B0-9637-5C1554807188}"/>
    <cellStyle name="Comma 4 4 5 2 4 3" xfId="32380" xr:uid="{5E06AFF8-A9E1-4716-A626-CD3A308F1FA4}"/>
    <cellStyle name="Comma 4 4 5 2 5" xfId="6400" xr:uid="{00000000-0005-0000-0000-0000DC1F0000}"/>
    <cellStyle name="Comma 4 4 5 2 5 2" xfId="17986" xr:uid="{EB49EEA3-89F6-4591-9DD5-7371C9EDD575}"/>
    <cellStyle name="Comma 4 4 5 2 5 3" xfId="28402" xr:uid="{7AC3FC3E-F970-43FF-B4B9-FADEB193F052}"/>
    <cellStyle name="Comma 4 4 5 2 6" xfId="15602" xr:uid="{DD96547F-3729-4D49-9974-D01FF30B34AE}"/>
    <cellStyle name="Comma 4 4 5 2 7" xfId="26018" xr:uid="{DB9CADAD-FD6E-4FA4-BCA5-CF61902D1FCA}"/>
    <cellStyle name="Comma 4 4 5 3" xfId="3271" xr:uid="{00000000-0005-0000-0000-0000DD1F0000}"/>
    <cellStyle name="Comma 4 4 5 3 2" xfId="3272" xr:uid="{00000000-0005-0000-0000-0000DE1F0000}"/>
    <cellStyle name="Comma 4 4 5 3 2 2" xfId="10423" xr:uid="{00000000-0005-0000-0000-0000DF1F0000}"/>
    <cellStyle name="Comma 4 4 5 3 2 2 2" xfId="21969" xr:uid="{485CB921-9F66-4B01-BF72-29568D9AF643}"/>
    <cellStyle name="Comma 4 4 5 3 2 2 3" xfId="32385" xr:uid="{C924039B-7295-47FF-9BF5-C7DB720AA1AA}"/>
    <cellStyle name="Comma 4 4 5 3 2 3" xfId="15607" xr:uid="{80E66B9E-8932-41D1-B347-460063451375}"/>
    <cellStyle name="Comma 4 4 5 3 2 4" xfId="26023" xr:uid="{22D6DA7C-0769-45A9-96D9-13A3CCDAB447}"/>
    <cellStyle name="Comma 4 4 5 3 3" xfId="10422" xr:uid="{00000000-0005-0000-0000-0000E01F0000}"/>
    <cellStyle name="Comma 4 4 5 3 3 2" xfId="21968" xr:uid="{1CD1BE4D-5B6C-4D65-9A64-F0207C6904E5}"/>
    <cellStyle name="Comma 4 4 5 3 3 3" xfId="32384" xr:uid="{9A8CA684-BA66-4F45-B5D7-BB78DF334783}"/>
    <cellStyle name="Comma 4 4 5 3 4" xfId="6402" xr:uid="{00000000-0005-0000-0000-0000E11F0000}"/>
    <cellStyle name="Comma 4 4 5 3 4 2" xfId="17988" xr:uid="{241EAD30-5AB1-44E3-B994-B571DA414088}"/>
    <cellStyle name="Comma 4 4 5 3 4 3" xfId="28404" xr:uid="{6C537969-B4B5-4175-8A91-43237775EAD3}"/>
    <cellStyle name="Comma 4 4 5 3 5" xfId="15606" xr:uid="{3BB11087-2788-4679-BD78-3FB1D30F7DCB}"/>
    <cellStyle name="Comma 4 4 5 3 6" xfId="26022" xr:uid="{636C09D6-01E0-4643-9BB6-431B4CD9E09A}"/>
    <cellStyle name="Comma 4 4 5 4" xfId="3273" xr:uid="{00000000-0005-0000-0000-0000E21F0000}"/>
    <cellStyle name="Comma 4 4 5 4 2" xfId="3274" xr:uid="{00000000-0005-0000-0000-0000E31F0000}"/>
    <cellStyle name="Comma 4 4 5 4 2 2" xfId="10425" xr:uid="{00000000-0005-0000-0000-0000E41F0000}"/>
    <cellStyle name="Comma 4 4 5 4 2 2 2" xfId="21971" xr:uid="{122488DC-32F5-4D22-894F-63C829C316FB}"/>
    <cellStyle name="Comma 4 4 5 4 2 2 3" xfId="32387" xr:uid="{962E9100-5B0C-44AC-A2C2-31095ECABC9E}"/>
    <cellStyle name="Comma 4 4 5 4 2 3" xfId="15609" xr:uid="{D72E4F19-E521-4279-8084-1DC27E799633}"/>
    <cellStyle name="Comma 4 4 5 4 2 4" xfId="26025" xr:uid="{7966EB4A-8B0A-492B-8F43-25EC5904B7B8}"/>
    <cellStyle name="Comma 4 4 5 4 3" xfId="10424" xr:uid="{00000000-0005-0000-0000-0000E51F0000}"/>
    <cellStyle name="Comma 4 4 5 4 3 2" xfId="21970" xr:uid="{DE5B07B8-F814-4220-8F30-774261C97946}"/>
    <cellStyle name="Comma 4 4 5 4 3 3" xfId="32386" xr:uid="{723B5B18-F276-4633-9322-E5D730F52ADE}"/>
    <cellStyle name="Comma 4 4 5 4 4" xfId="6403" xr:uid="{00000000-0005-0000-0000-0000E61F0000}"/>
    <cellStyle name="Comma 4 4 5 4 4 2" xfId="17989" xr:uid="{20464B44-B3EF-471D-A3E0-F298A9107317}"/>
    <cellStyle name="Comma 4 4 5 4 4 3" xfId="28405" xr:uid="{FBBD5BFF-E399-425C-A759-141AB223F6DE}"/>
    <cellStyle name="Comma 4 4 5 4 5" xfId="15608" xr:uid="{1C9843B0-DF81-4FD5-AF64-43CAAEC31C3C}"/>
    <cellStyle name="Comma 4 4 5 4 6" xfId="26024" xr:uid="{03B600CA-C99D-4559-8C44-9C69D5EF7E1C}"/>
    <cellStyle name="Comma 4 4 5 5" xfId="3275" xr:uid="{00000000-0005-0000-0000-0000E71F0000}"/>
    <cellStyle name="Comma 4 4 5 5 2" xfId="10426" xr:uid="{00000000-0005-0000-0000-0000E81F0000}"/>
    <cellStyle name="Comma 4 4 5 5 2 2" xfId="21972" xr:uid="{21DE06B7-6E3A-4052-872B-952D1FE66D6C}"/>
    <cellStyle name="Comma 4 4 5 5 2 3" xfId="32388" xr:uid="{5AC5BC22-3929-4376-810B-1925C59F5B1D}"/>
    <cellStyle name="Comma 4 4 5 5 3" xfId="15610" xr:uid="{2622D4AC-45AD-4680-AE63-C5DD273EE7E5}"/>
    <cellStyle name="Comma 4 4 5 5 4" xfId="26026" xr:uid="{628F2E3E-9A6C-47FC-8011-B26260C2C392}"/>
    <cellStyle name="Comma 4 4 5 6" xfId="10417" xr:uid="{00000000-0005-0000-0000-0000E91F0000}"/>
    <cellStyle name="Comma 4 4 5 6 2" xfId="21963" xr:uid="{3500EDEF-AF5C-42FF-A2F4-4F450B511108}"/>
    <cellStyle name="Comma 4 4 5 6 3" xfId="32379" xr:uid="{61F6E6FD-B67B-4940-9D44-32F8D8E0606E}"/>
    <cellStyle name="Comma 4 4 5 7" xfId="6399" xr:uid="{00000000-0005-0000-0000-0000EA1F0000}"/>
    <cellStyle name="Comma 4 4 5 7 2" xfId="17985" xr:uid="{CCAB6AB2-88F3-47BD-B214-E34EC30264D3}"/>
    <cellStyle name="Comma 4 4 5 7 3" xfId="28401" xr:uid="{E1128A13-28E2-4F0E-BE1F-A264A23A4033}"/>
    <cellStyle name="Comma 4 4 5 8" xfId="15601" xr:uid="{CE1C1DF2-336B-4E53-8F86-9E93EF91007F}"/>
    <cellStyle name="Comma 4 4 5 9" xfId="26017" xr:uid="{36978F92-D651-4E04-ADEB-BDA38742FA3C}"/>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2 2 2" xfId="21976" xr:uid="{FDA1C2FF-92DC-49DF-B999-CEE408DD7779}"/>
    <cellStyle name="Comma 4 4 6 2 2 2 2 3" xfId="32392" xr:uid="{84A33AB2-B43F-47F6-834F-D8D47EA03804}"/>
    <cellStyle name="Comma 4 4 6 2 2 2 3" xfId="15614" xr:uid="{184E41BE-7624-42F5-975F-804797BD072B}"/>
    <cellStyle name="Comma 4 4 6 2 2 2 4" xfId="26030" xr:uid="{45BBE2D4-147F-41D7-995A-F64ADC0351B6}"/>
    <cellStyle name="Comma 4 4 6 2 2 3" xfId="10429" xr:uid="{00000000-0005-0000-0000-0000F01F0000}"/>
    <cellStyle name="Comma 4 4 6 2 2 3 2" xfId="21975" xr:uid="{CAB6FD9F-0F4B-4FDE-9C32-F2655DCF95E8}"/>
    <cellStyle name="Comma 4 4 6 2 2 3 3" xfId="32391" xr:uid="{8B127BCE-17A9-48E5-BBB4-2D4B1365C506}"/>
    <cellStyle name="Comma 4 4 6 2 2 4" xfId="6406" xr:uid="{00000000-0005-0000-0000-0000F11F0000}"/>
    <cellStyle name="Comma 4 4 6 2 2 4 2" xfId="17992" xr:uid="{F3C839B8-5630-42FF-870E-D8B54806C61C}"/>
    <cellStyle name="Comma 4 4 6 2 2 4 3" xfId="28408" xr:uid="{8CBBD5C7-374A-4B43-84D4-53D9CD52D749}"/>
    <cellStyle name="Comma 4 4 6 2 2 5" xfId="15613" xr:uid="{8BF6B7CA-F9E5-4BE3-A546-ED9FE0D394A4}"/>
    <cellStyle name="Comma 4 4 6 2 2 6" xfId="26029" xr:uid="{E440794C-D35A-43E7-8829-D896DCD52C6E}"/>
    <cellStyle name="Comma 4 4 6 2 3" xfId="3280" xr:uid="{00000000-0005-0000-0000-0000F21F0000}"/>
    <cellStyle name="Comma 4 4 6 2 3 2" xfId="10431" xr:uid="{00000000-0005-0000-0000-0000F31F0000}"/>
    <cellStyle name="Comma 4 4 6 2 3 2 2" xfId="21977" xr:uid="{7D7370DF-4DE4-4964-99D2-2484A50884E3}"/>
    <cellStyle name="Comma 4 4 6 2 3 2 3" xfId="32393" xr:uid="{62C6D54D-D4C1-4C10-A3D3-3FE5ACFFDCA7}"/>
    <cellStyle name="Comma 4 4 6 2 3 3" xfId="15615" xr:uid="{DD90DDC4-DA63-43AA-B9B3-615573384700}"/>
    <cellStyle name="Comma 4 4 6 2 3 4" xfId="26031" xr:uid="{DF720C63-DBC3-4572-BD85-A7F797C08FE3}"/>
    <cellStyle name="Comma 4 4 6 2 4" xfId="10428" xr:uid="{00000000-0005-0000-0000-0000F41F0000}"/>
    <cellStyle name="Comma 4 4 6 2 4 2" xfId="21974" xr:uid="{62B1EF2E-BDE5-4772-AEA5-7D591F65A25D}"/>
    <cellStyle name="Comma 4 4 6 2 4 3" xfId="32390" xr:uid="{028FDDDD-E3EA-4514-8176-18A9104A6AC9}"/>
    <cellStyle name="Comma 4 4 6 2 5" xfId="6405" xr:uid="{00000000-0005-0000-0000-0000F51F0000}"/>
    <cellStyle name="Comma 4 4 6 2 5 2" xfId="17991" xr:uid="{2BA47D5C-D0B1-4652-B541-624E97770872}"/>
    <cellStyle name="Comma 4 4 6 2 5 3" xfId="28407" xr:uid="{9E5FDE1F-3B45-4585-AED3-64464A927148}"/>
    <cellStyle name="Comma 4 4 6 2 6" xfId="15612" xr:uid="{33E3F4D4-98D3-4EA0-9E30-D22498436F7A}"/>
    <cellStyle name="Comma 4 4 6 2 7" xfId="26028" xr:uid="{11AC1BF3-80C5-4661-B8C2-19038CB463B7}"/>
    <cellStyle name="Comma 4 4 6 3" xfId="3281" xr:uid="{00000000-0005-0000-0000-0000F61F0000}"/>
    <cellStyle name="Comma 4 4 6 3 2" xfId="3282" xr:uid="{00000000-0005-0000-0000-0000F71F0000}"/>
    <cellStyle name="Comma 4 4 6 3 2 2" xfId="10433" xr:uid="{00000000-0005-0000-0000-0000F81F0000}"/>
    <cellStyle name="Comma 4 4 6 3 2 2 2" xfId="21979" xr:uid="{B6FC72CD-B06B-4FCC-82DE-AD0D6090E51A}"/>
    <cellStyle name="Comma 4 4 6 3 2 2 3" xfId="32395" xr:uid="{83333D39-DC04-4FDF-BC03-40EDF2EB9748}"/>
    <cellStyle name="Comma 4 4 6 3 2 3" xfId="15617" xr:uid="{D07B40B5-8078-4E5E-A642-2B2039DF2BB3}"/>
    <cellStyle name="Comma 4 4 6 3 2 4" xfId="26033" xr:uid="{608F575D-CF91-4603-A2F1-D99DA025F938}"/>
    <cellStyle name="Comma 4 4 6 3 3" xfId="10432" xr:uid="{00000000-0005-0000-0000-0000F91F0000}"/>
    <cellStyle name="Comma 4 4 6 3 3 2" xfId="21978" xr:uid="{7D5342E0-3333-4741-A76F-D1C5A30922AB}"/>
    <cellStyle name="Comma 4 4 6 3 3 3" xfId="32394" xr:uid="{D67E999D-3295-4B5B-9BD2-F0E351F18D25}"/>
    <cellStyle name="Comma 4 4 6 3 4" xfId="6407" xr:uid="{00000000-0005-0000-0000-0000FA1F0000}"/>
    <cellStyle name="Comma 4 4 6 3 4 2" xfId="17993" xr:uid="{FC0615EE-9BE0-4329-8F7A-C6331DEEF07F}"/>
    <cellStyle name="Comma 4 4 6 3 4 3" xfId="28409" xr:uid="{F0AB392D-4B9E-4CB4-8754-613081BB7D16}"/>
    <cellStyle name="Comma 4 4 6 3 5" xfId="15616" xr:uid="{F47A00E9-671C-4BB7-969A-8386C2920FAE}"/>
    <cellStyle name="Comma 4 4 6 3 6" xfId="26032" xr:uid="{CE7052E6-DF86-43C3-9AE3-96B3FAC7EB02}"/>
    <cellStyle name="Comma 4 4 6 4" xfId="3283" xr:uid="{00000000-0005-0000-0000-0000FB1F0000}"/>
    <cellStyle name="Comma 4 4 6 4 2" xfId="3284" xr:uid="{00000000-0005-0000-0000-0000FC1F0000}"/>
    <cellStyle name="Comma 4 4 6 4 2 2" xfId="10435" xr:uid="{00000000-0005-0000-0000-0000FD1F0000}"/>
    <cellStyle name="Comma 4 4 6 4 2 2 2" xfId="21981" xr:uid="{D43C16A8-CC79-41B6-ABEB-5156DE1C373D}"/>
    <cellStyle name="Comma 4 4 6 4 2 2 3" xfId="32397" xr:uid="{9E33233C-924C-42EF-A42C-DAD7F870208F}"/>
    <cellStyle name="Comma 4 4 6 4 2 3" xfId="15619" xr:uid="{2DBA0033-C208-43EC-9660-81D975EC0C84}"/>
    <cellStyle name="Comma 4 4 6 4 2 4" xfId="26035" xr:uid="{A0820D7B-53BD-4B3D-9FE6-21A6D853D2DB}"/>
    <cellStyle name="Comma 4 4 6 4 3" xfId="10434" xr:uid="{00000000-0005-0000-0000-0000FE1F0000}"/>
    <cellStyle name="Comma 4 4 6 4 3 2" xfId="21980" xr:uid="{EC756805-E410-43C0-A156-8D7222272F36}"/>
    <cellStyle name="Comma 4 4 6 4 3 3" xfId="32396" xr:uid="{742B17E9-85C0-4BE9-9D13-C73AFF6314FD}"/>
    <cellStyle name="Comma 4 4 6 4 4" xfId="6408" xr:uid="{00000000-0005-0000-0000-0000FF1F0000}"/>
    <cellStyle name="Comma 4 4 6 4 4 2" xfId="17994" xr:uid="{E5A73A52-DB42-49DC-AC86-EC9659D49B4C}"/>
    <cellStyle name="Comma 4 4 6 4 4 3" xfId="28410" xr:uid="{657E31F3-8E3D-4364-97C3-02FB38E73810}"/>
    <cellStyle name="Comma 4 4 6 4 5" xfId="15618" xr:uid="{18C73B16-603A-4E8A-B2A9-9FCD97067256}"/>
    <cellStyle name="Comma 4 4 6 4 6" xfId="26034" xr:uid="{29E46534-A8F8-4747-9042-D89F07F787C3}"/>
    <cellStyle name="Comma 4 4 6 5" xfId="3285" xr:uid="{00000000-0005-0000-0000-000000200000}"/>
    <cellStyle name="Comma 4 4 6 5 2" xfId="10436" xr:uid="{00000000-0005-0000-0000-000001200000}"/>
    <cellStyle name="Comma 4 4 6 5 2 2" xfId="21982" xr:uid="{EA9192BA-1D69-46D0-8F1F-0D759DB39CA7}"/>
    <cellStyle name="Comma 4 4 6 5 2 3" xfId="32398" xr:uid="{4F494790-D3F5-481D-A194-85D20BB0510B}"/>
    <cellStyle name="Comma 4 4 6 5 3" xfId="15620" xr:uid="{08E21FFC-1319-4432-ACD3-86BC0FB4D647}"/>
    <cellStyle name="Comma 4 4 6 5 4" xfId="26036" xr:uid="{0A5417CC-21D2-4088-ACDB-7C4E7EBD1634}"/>
    <cellStyle name="Comma 4 4 6 6" xfId="10427" xr:uid="{00000000-0005-0000-0000-000002200000}"/>
    <cellStyle name="Comma 4 4 6 6 2" xfId="21973" xr:uid="{07498566-1D1D-4C7A-A9F5-9FA1F84F8601}"/>
    <cellStyle name="Comma 4 4 6 6 3" xfId="32389" xr:uid="{61432E14-776F-43F2-8B10-357717903B4B}"/>
    <cellStyle name="Comma 4 4 6 7" xfId="6404" xr:uid="{00000000-0005-0000-0000-000003200000}"/>
    <cellStyle name="Comma 4 4 6 7 2" xfId="17990" xr:uid="{4BFF208C-9F00-4857-AB3D-DE14922C5B6C}"/>
    <cellStyle name="Comma 4 4 6 7 3" xfId="28406" xr:uid="{F85C6D84-EB7D-447E-8AF2-97FBE6427A67}"/>
    <cellStyle name="Comma 4 4 6 8" xfId="15611" xr:uid="{187F34F0-71CA-451D-B26C-DC47E17FF64E}"/>
    <cellStyle name="Comma 4 4 6 9" xfId="26027" xr:uid="{004C5BF9-2E34-4339-B143-6078860EBC4A}"/>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2 2 2" xfId="21985" xr:uid="{C9D59EFE-3822-45CD-9852-D5EF6E113BC8}"/>
    <cellStyle name="Comma 4 4 7 2 2 2 3" xfId="32401" xr:uid="{CB92A086-07A2-4C30-AE82-AC4F89FE0F6A}"/>
    <cellStyle name="Comma 4 4 7 2 2 3" xfId="15623" xr:uid="{0DC5D1F4-E85B-4527-8EC8-2C6503500325}"/>
    <cellStyle name="Comma 4 4 7 2 2 4" xfId="26039" xr:uid="{A29884B3-D26C-433D-A2FD-AF470E7EB6AB}"/>
    <cellStyle name="Comma 4 4 7 2 3" xfId="10438" xr:uid="{00000000-0005-0000-0000-000008200000}"/>
    <cellStyle name="Comma 4 4 7 2 3 2" xfId="21984" xr:uid="{B9BC498F-A16D-49EB-AB75-2AA2C1AB1D8E}"/>
    <cellStyle name="Comma 4 4 7 2 3 3" xfId="32400" xr:uid="{B0FD8948-BBEF-42CF-9CC4-9FE2E1F33503}"/>
    <cellStyle name="Comma 4 4 7 2 4" xfId="6410" xr:uid="{00000000-0005-0000-0000-000009200000}"/>
    <cellStyle name="Comma 4 4 7 2 4 2" xfId="17996" xr:uid="{998F291A-F879-440E-A028-C6B078617E1F}"/>
    <cellStyle name="Comma 4 4 7 2 4 3" xfId="28412" xr:uid="{BD631857-FDDF-4098-AF99-981CA0C53B44}"/>
    <cellStyle name="Comma 4 4 7 2 5" xfId="15622" xr:uid="{5F85E19C-02B4-41B6-941D-71C45A285EB0}"/>
    <cellStyle name="Comma 4 4 7 2 6" xfId="26038" xr:uid="{81CFCFBE-CAEE-4D72-A224-61C016A0AE66}"/>
    <cellStyle name="Comma 4 4 7 3" xfId="3289" xr:uid="{00000000-0005-0000-0000-00000A200000}"/>
    <cellStyle name="Comma 4 4 7 3 2" xfId="3290" xr:uid="{00000000-0005-0000-0000-00000B200000}"/>
    <cellStyle name="Comma 4 4 7 3 2 2" xfId="10441" xr:uid="{00000000-0005-0000-0000-00000C200000}"/>
    <cellStyle name="Comma 4 4 7 3 2 2 2" xfId="21987" xr:uid="{0E16CA9C-82AA-47CF-96EE-056F8B7BC9D4}"/>
    <cellStyle name="Comma 4 4 7 3 2 2 3" xfId="32403" xr:uid="{7BA3D3E0-3BA8-484C-BF65-FA204DE76CCA}"/>
    <cellStyle name="Comma 4 4 7 3 2 3" xfId="15625" xr:uid="{A357CB7F-32AE-464A-B0A7-0E94797A71F6}"/>
    <cellStyle name="Comma 4 4 7 3 2 4" xfId="26041" xr:uid="{031AD2A5-F8B6-4569-A958-42866047CE40}"/>
    <cellStyle name="Comma 4 4 7 3 3" xfId="10440" xr:uid="{00000000-0005-0000-0000-00000D200000}"/>
    <cellStyle name="Comma 4 4 7 3 3 2" xfId="21986" xr:uid="{FEFA80B4-5BBF-435D-B8A1-F6C351ABE237}"/>
    <cellStyle name="Comma 4 4 7 3 3 3" xfId="32402" xr:uid="{9D24B79A-7C8D-4F90-8945-A456E3CDFA80}"/>
    <cellStyle name="Comma 4 4 7 3 4" xfId="6411" xr:uid="{00000000-0005-0000-0000-00000E200000}"/>
    <cellStyle name="Comma 4 4 7 3 4 2" xfId="17997" xr:uid="{5FD82EF5-4B24-4AE9-A7E8-36D4126D9BFF}"/>
    <cellStyle name="Comma 4 4 7 3 4 3" xfId="28413" xr:uid="{9B7E4922-3FA8-4817-ADD8-1BFB117B7EE3}"/>
    <cellStyle name="Comma 4 4 7 3 5" xfId="15624" xr:uid="{E2DB439B-D0D5-4B7F-85FF-24985E4BA273}"/>
    <cellStyle name="Comma 4 4 7 3 6" xfId="26040" xr:uid="{58406F63-010E-4E4F-949B-3BB4C4685CDC}"/>
    <cellStyle name="Comma 4 4 7 4" xfId="3291" xr:uid="{00000000-0005-0000-0000-00000F200000}"/>
    <cellStyle name="Comma 4 4 7 4 2" xfId="10442" xr:uid="{00000000-0005-0000-0000-000010200000}"/>
    <cellStyle name="Comma 4 4 7 4 2 2" xfId="21988" xr:uid="{15AF1210-97D4-41A0-9864-C21FFEB6D1DE}"/>
    <cellStyle name="Comma 4 4 7 4 2 3" xfId="32404" xr:uid="{92DD5E1E-8CDD-4F25-8F34-18E702CEB312}"/>
    <cellStyle name="Comma 4 4 7 4 3" xfId="15626" xr:uid="{23277017-ED03-47D2-8CD9-413758D34844}"/>
    <cellStyle name="Comma 4 4 7 4 4" xfId="26042" xr:uid="{11FB5F83-E42B-4FDB-A925-67A812E3D31C}"/>
    <cellStyle name="Comma 4 4 7 5" xfId="10437" xr:uid="{00000000-0005-0000-0000-000011200000}"/>
    <cellStyle name="Comma 4 4 7 5 2" xfId="21983" xr:uid="{1A1D626A-8508-4A11-8D26-BFD37FA2F1F9}"/>
    <cellStyle name="Comma 4 4 7 5 3" xfId="32399" xr:uid="{DC558526-24E1-427A-A44E-EBE40742CA21}"/>
    <cellStyle name="Comma 4 4 7 6" xfId="6409" xr:uid="{00000000-0005-0000-0000-000012200000}"/>
    <cellStyle name="Comma 4 4 7 6 2" xfId="17995" xr:uid="{FBB20EA5-8A91-4D8B-8D6F-E980E9121668}"/>
    <cellStyle name="Comma 4 4 7 6 3" xfId="28411" xr:uid="{9D8DD7B9-2010-41A9-B5F8-4A14798359E1}"/>
    <cellStyle name="Comma 4 4 7 7" xfId="15621" xr:uid="{433610B7-549B-478F-80EE-A053F4FB2D67}"/>
    <cellStyle name="Comma 4 4 7 8" xfId="26037" xr:uid="{4893CA75-D1A8-4301-AD67-B3DCDE15E8DC}"/>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2 2 2" xfId="21991" xr:uid="{B03958BC-9D80-4C6C-BB74-7FBFC0281D51}"/>
    <cellStyle name="Comma 4 4 8 2 2 2 3" xfId="32407" xr:uid="{4B0CF544-239E-49F1-9ABE-466468039442}"/>
    <cellStyle name="Comma 4 4 8 2 2 3" xfId="15629" xr:uid="{C6311A8B-BA64-4102-9781-56A533127849}"/>
    <cellStyle name="Comma 4 4 8 2 2 4" xfId="26045" xr:uid="{7173B551-4956-4805-8133-9212D819F694}"/>
    <cellStyle name="Comma 4 4 8 2 3" xfId="10444" xr:uid="{00000000-0005-0000-0000-000017200000}"/>
    <cellStyle name="Comma 4 4 8 2 3 2" xfId="21990" xr:uid="{AEDCFEB4-5360-4733-9483-56BC880D25EF}"/>
    <cellStyle name="Comma 4 4 8 2 3 3" xfId="32406" xr:uid="{BF82A6CA-83BA-4EA8-852C-EC22F984908C}"/>
    <cellStyle name="Comma 4 4 8 2 4" xfId="6413" xr:uid="{00000000-0005-0000-0000-000018200000}"/>
    <cellStyle name="Comma 4 4 8 2 4 2" xfId="17999" xr:uid="{6042BBC0-97FB-4589-A139-920333CDC576}"/>
    <cellStyle name="Comma 4 4 8 2 4 3" xfId="28415" xr:uid="{F5AC4DB9-EE8E-4A87-96E2-33067177A8FF}"/>
    <cellStyle name="Comma 4 4 8 2 5" xfId="15628" xr:uid="{598E4A0D-4099-4820-8CD1-A0363DCB5D64}"/>
    <cellStyle name="Comma 4 4 8 2 6" xfId="26044" xr:uid="{2E7FC4B6-9000-48E3-A139-CA8B6C9E39E5}"/>
    <cellStyle name="Comma 4 4 8 3" xfId="3295" xr:uid="{00000000-0005-0000-0000-000019200000}"/>
    <cellStyle name="Comma 4 4 8 3 2" xfId="10446" xr:uid="{00000000-0005-0000-0000-00001A200000}"/>
    <cellStyle name="Comma 4 4 8 3 2 2" xfId="21992" xr:uid="{AE50C350-8DA7-45B9-879B-FFAD4961339F}"/>
    <cellStyle name="Comma 4 4 8 3 2 3" xfId="32408" xr:uid="{D3A592F3-8587-4C17-B34A-86E282BFA43F}"/>
    <cellStyle name="Comma 4 4 8 3 3" xfId="15630" xr:uid="{0DA58DE8-BF45-45A6-9AB7-AF6B68F16EA3}"/>
    <cellStyle name="Comma 4 4 8 3 4" xfId="26046" xr:uid="{BA374A40-95F2-4D50-BA43-55118DA6AB42}"/>
    <cellStyle name="Comma 4 4 8 4" xfId="10443" xr:uid="{00000000-0005-0000-0000-00001B200000}"/>
    <cellStyle name="Comma 4 4 8 4 2" xfId="21989" xr:uid="{A9F9E434-AB31-4A75-9CC0-19B36DC6D541}"/>
    <cellStyle name="Comma 4 4 8 4 3" xfId="32405" xr:uid="{E16177EA-CBC8-42B6-A1E1-102A6657CC75}"/>
    <cellStyle name="Comma 4 4 8 5" xfId="6412" xr:uid="{00000000-0005-0000-0000-00001C200000}"/>
    <cellStyle name="Comma 4 4 8 5 2" xfId="17998" xr:uid="{C1C98FEC-5D4E-41A9-AC9C-AE2392D5788C}"/>
    <cellStyle name="Comma 4 4 8 5 3" xfId="28414" xr:uid="{7520D852-6DBD-432D-97E4-70A5F7D056B1}"/>
    <cellStyle name="Comma 4 4 8 6" xfId="15627" xr:uid="{7E54B7D4-26BB-45FF-9543-57DEB145B422}"/>
    <cellStyle name="Comma 4 4 8 7" xfId="26043" xr:uid="{C36373EC-D8C2-45F9-8690-6FF73372C51A}"/>
    <cellStyle name="Comma 4 4 9" xfId="3296" xr:uid="{00000000-0005-0000-0000-00001D200000}"/>
    <cellStyle name="Comma 4 4 9 2" xfId="3297" xr:uid="{00000000-0005-0000-0000-00001E200000}"/>
    <cellStyle name="Comma 4 4 9 2 2" xfId="10448" xr:uid="{00000000-0005-0000-0000-00001F200000}"/>
    <cellStyle name="Comma 4 4 9 2 2 2" xfId="21994" xr:uid="{DFE3CE5E-3D15-4070-BAD7-8584F5F7325F}"/>
    <cellStyle name="Comma 4 4 9 2 2 3" xfId="32410" xr:uid="{70D3F885-6295-4BFB-A33B-00D449787968}"/>
    <cellStyle name="Comma 4 4 9 2 3" xfId="15632" xr:uid="{5284C553-DAE5-400B-A0AB-51096A20105F}"/>
    <cellStyle name="Comma 4 4 9 2 4" xfId="26048" xr:uid="{F24ED847-9CD4-4BE4-A8C9-995C6BAB03A4}"/>
    <cellStyle name="Comma 4 4 9 3" xfId="10447" xr:uid="{00000000-0005-0000-0000-000020200000}"/>
    <cellStyle name="Comma 4 4 9 3 2" xfId="21993" xr:uid="{749130C5-A87B-4EE3-9554-AAC91E6F0AB3}"/>
    <cellStyle name="Comma 4 4 9 3 3" xfId="32409" xr:uid="{5A05F5BB-B473-4685-B7B1-61C0D16721CB}"/>
    <cellStyle name="Comma 4 4 9 4" xfId="6414" xr:uid="{00000000-0005-0000-0000-000021200000}"/>
    <cellStyle name="Comma 4 4 9 4 2" xfId="18000" xr:uid="{D70479C2-DA51-4B41-8F09-C40E222C82CB}"/>
    <cellStyle name="Comma 4 4 9 4 3" xfId="28416" xr:uid="{A9D0ABBC-3E06-4EBE-83E7-FD11D252E9CA}"/>
    <cellStyle name="Comma 4 4 9 5" xfId="15631" xr:uid="{F9DBC38D-8B8F-47D8-9A2B-5C32EC490ED5}"/>
    <cellStyle name="Comma 4 4 9 6" xfId="26047" xr:uid="{A91A4C66-0D33-4CE7-9AF6-0FF8C8D26D89}"/>
    <cellStyle name="Comma 4 5" xfId="3298" xr:uid="{00000000-0005-0000-0000-000022200000}"/>
    <cellStyle name="Comma 4 5 10" xfId="3299" xr:uid="{00000000-0005-0000-0000-000023200000}"/>
    <cellStyle name="Comma 4 5 10 2" xfId="10450" xr:uid="{00000000-0005-0000-0000-000024200000}"/>
    <cellStyle name="Comma 4 5 10 2 2" xfId="21996" xr:uid="{357FEAC4-8CB6-4DC1-9EEE-FFA5EA47E8C1}"/>
    <cellStyle name="Comma 4 5 10 2 3" xfId="32412" xr:uid="{ABBACC59-D577-42D0-9974-33BCBB9F1BDF}"/>
    <cellStyle name="Comma 4 5 10 3" xfId="15634" xr:uid="{29D6F517-FDC1-45FC-92B4-7178D729AB9F}"/>
    <cellStyle name="Comma 4 5 10 4" xfId="26050" xr:uid="{D222C22A-17F8-47E3-9709-9D6D2DF9CE3B}"/>
    <cellStyle name="Comma 4 5 11" xfId="10449" xr:uid="{00000000-0005-0000-0000-000025200000}"/>
    <cellStyle name="Comma 4 5 11 2" xfId="21995" xr:uid="{24C4748D-F43D-41DB-8946-34B5FA0120E0}"/>
    <cellStyle name="Comma 4 5 11 3" xfId="32411" xr:uid="{8B53698B-6D9F-4C1F-A3B1-8C4702E7BE32}"/>
    <cellStyle name="Comma 4 5 12" xfId="6415" xr:uid="{00000000-0005-0000-0000-000026200000}"/>
    <cellStyle name="Comma 4 5 12 2" xfId="18001" xr:uid="{A531B758-9F1D-4BF0-8EA6-3C95C062630E}"/>
    <cellStyle name="Comma 4 5 12 3" xfId="28417" xr:uid="{348E3846-A1E6-4C01-8AD1-66E797D1D111}"/>
    <cellStyle name="Comma 4 5 13" xfId="15633" xr:uid="{5B5D5F1E-CD6D-48EA-A0AD-D719ED9D68F4}"/>
    <cellStyle name="Comma 4 5 14" xfId="26049" xr:uid="{675872A7-923C-484C-930A-94BC46FD9913}"/>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2 2 2" xfId="22000" xr:uid="{9CA45C64-9BD4-41C4-BEB5-10257479BEA9}"/>
    <cellStyle name="Comma 4 5 2 2 2 2 2 3" xfId="32416" xr:uid="{8FC16489-DE11-4C13-9D6E-357D3B280AE6}"/>
    <cellStyle name="Comma 4 5 2 2 2 2 3" xfId="15638" xr:uid="{9AC0F9B0-8C31-4257-AF71-8A485CC62B39}"/>
    <cellStyle name="Comma 4 5 2 2 2 2 4" xfId="26054" xr:uid="{CBF9143C-E43E-46A8-9F27-9767B6250670}"/>
    <cellStyle name="Comma 4 5 2 2 2 3" xfId="10453" xr:uid="{00000000-0005-0000-0000-00002C200000}"/>
    <cellStyle name="Comma 4 5 2 2 2 3 2" xfId="21999" xr:uid="{DAD4F8DF-2470-4116-9F4C-48CFE91B84F2}"/>
    <cellStyle name="Comma 4 5 2 2 2 3 3" xfId="32415" xr:uid="{BDCBB349-1A96-4CF3-8EA0-70EFBDDE7FBB}"/>
    <cellStyle name="Comma 4 5 2 2 2 4" xfId="6418" xr:uid="{00000000-0005-0000-0000-00002D200000}"/>
    <cellStyle name="Comma 4 5 2 2 2 4 2" xfId="18004" xr:uid="{5B5B2604-A4BE-4B9A-B16C-E7685CCA4CA4}"/>
    <cellStyle name="Comma 4 5 2 2 2 4 3" xfId="28420" xr:uid="{EFE76AAE-6DF2-43FA-A939-CD0C801FDC41}"/>
    <cellStyle name="Comma 4 5 2 2 2 5" xfId="15637" xr:uid="{D5487B2E-E32D-45CA-9B7E-4267533E7092}"/>
    <cellStyle name="Comma 4 5 2 2 2 6" xfId="26053" xr:uid="{7E460009-5B7B-4855-8FDE-AD5C311F3598}"/>
    <cellStyle name="Comma 4 5 2 2 3" xfId="3304" xr:uid="{00000000-0005-0000-0000-00002E200000}"/>
    <cellStyle name="Comma 4 5 2 2 3 2" xfId="10455" xr:uid="{00000000-0005-0000-0000-00002F200000}"/>
    <cellStyle name="Comma 4 5 2 2 3 2 2" xfId="22001" xr:uid="{B4A604CB-65AE-426E-AD42-234163E3D14D}"/>
    <cellStyle name="Comma 4 5 2 2 3 2 3" xfId="32417" xr:uid="{0DA482D8-2DBF-4775-91E5-1CC2E6D90B57}"/>
    <cellStyle name="Comma 4 5 2 2 3 3" xfId="15639" xr:uid="{228B36C6-A29F-472E-9945-2884188FDEBA}"/>
    <cellStyle name="Comma 4 5 2 2 3 4" xfId="26055" xr:uid="{7738DB9A-F224-4675-8F2A-BAD20F9D2AB4}"/>
    <cellStyle name="Comma 4 5 2 2 4" xfId="10452" xr:uid="{00000000-0005-0000-0000-000030200000}"/>
    <cellStyle name="Comma 4 5 2 2 4 2" xfId="21998" xr:uid="{91D4427F-A5F1-4E27-A0D3-3D451A390554}"/>
    <cellStyle name="Comma 4 5 2 2 4 3" xfId="32414" xr:uid="{C17655AB-434F-4F9F-A1A5-D5F38A6A31D0}"/>
    <cellStyle name="Comma 4 5 2 2 5" xfId="6417" xr:uid="{00000000-0005-0000-0000-000031200000}"/>
    <cellStyle name="Comma 4 5 2 2 5 2" xfId="18003" xr:uid="{E036FCA8-487C-4CF4-82C7-2320875177EE}"/>
    <cellStyle name="Comma 4 5 2 2 5 3" xfId="28419" xr:uid="{C5D543D3-01D2-40E7-A1DE-FD61AB8C47F9}"/>
    <cellStyle name="Comma 4 5 2 2 6" xfId="15636" xr:uid="{B0253A90-F2E0-4552-A669-29928D94F039}"/>
    <cellStyle name="Comma 4 5 2 2 7" xfId="26052" xr:uid="{2B3506D8-84B4-494E-9679-98225DD85A49}"/>
    <cellStyle name="Comma 4 5 2 3" xfId="3305" xr:uid="{00000000-0005-0000-0000-000032200000}"/>
    <cellStyle name="Comma 4 5 2 3 2" xfId="3306" xr:uid="{00000000-0005-0000-0000-000033200000}"/>
    <cellStyle name="Comma 4 5 2 3 2 2" xfId="10457" xr:uid="{00000000-0005-0000-0000-000034200000}"/>
    <cellStyle name="Comma 4 5 2 3 2 2 2" xfId="22003" xr:uid="{9E66849D-2740-45A9-81CD-5B53496E3C8C}"/>
    <cellStyle name="Comma 4 5 2 3 2 2 3" xfId="32419" xr:uid="{9307C874-1482-488E-89C8-F05445F7F17D}"/>
    <cellStyle name="Comma 4 5 2 3 2 3" xfId="15641" xr:uid="{C1454BA2-AED8-4C60-9C8C-A2B24E895629}"/>
    <cellStyle name="Comma 4 5 2 3 2 4" xfId="26057" xr:uid="{E358FA4F-E21B-49BC-BFD4-0D3BC1AB33A3}"/>
    <cellStyle name="Comma 4 5 2 3 3" xfId="10456" xr:uid="{00000000-0005-0000-0000-000035200000}"/>
    <cellStyle name="Comma 4 5 2 3 3 2" xfId="22002" xr:uid="{F9395AF1-F2C3-4226-97DC-44C081129554}"/>
    <cellStyle name="Comma 4 5 2 3 3 3" xfId="32418" xr:uid="{64092568-004C-4255-8637-442AFE6B036F}"/>
    <cellStyle name="Comma 4 5 2 3 4" xfId="6419" xr:uid="{00000000-0005-0000-0000-000036200000}"/>
    <cellStyle name="Comma 4 5 2 3 4 2" xfId="18005" xr:uid="{025278DB-C8CC-4CF5-BBE7-93D9F64B6D50}"/>
    <cellStyle name="Comma 4 5 2 3 4 3" xfId="28421" xr:uid="{8DED4816-01D2-44C6-A5D9-10A920725585}"/>
    <cellStyle name="Comma 4 5 2 3 5" xfId="15640" xr:uid="{65BA2C95-EB1E-4C1E-8BA3-5D80F01BF346}"/>
    <cellStyle name="Comma 4 5 2 3 6" xfId="26056" xr:uid="{FDAD9F60-C037-42A1-826C-6D9698637476}"/>
    <cellStyle name="Comma 4 5 2 4" xfId="3307" xr:uid="{00000000-0005-0000-0000-000037200000}"/>
    <cellStyle name="Comma 4 5 2 4 2" xfId="3308" xr:uid="{00000000-0005-0000-0000-000038200000}"/>
    <cellStyle name="Comma 4 5 2 4 2 2" xfId="10459" xr:uid="{00000000-0005-0000-0000-000039200000}"/>
    <cellStyle name="Comma 4 5 2 4 2 2 2" xfId="22005" xr:uid="{3FDE74DC-4DA3-4A40-B635-2853921A69FF}"/>
    <cellStyle name="Comma 4 5 2 4 2 2 3" xfId="32421" xr:uid="{DC7BFC2D-50FB-4948-A3F1-BF2ED670FC20}"/>
    <cellStyle name="Comma 4 5 2 4 2 3" xfId="15643" xr:uid="{3C396DA9-459A-4194-A4EE-D884329FA253}"/>
    <cellStyle name="Comma 4 5 2 4 2 4" xfId="26059" xr:uid="{BC60A726-AEA8-45F0-89E8-FEB2FAD46509}"/>
    <cellStyle name="Comma 4 5 2 4 3" xfId="10458" xr:uid="{00000000-0005-0000-0000-00003A200000}"/>
    <cellStyle name="Comma 4 5 2 4 3 2" xfId="22004" xr:uid="{1A063700-8D9B-4338-96D0-E78B4852BF47}"/>
    <cellStyle name="Comma 4 5 2 4 3 3" xfId="32420" xr:uid="{3A5D492D-1403-483A-A36E-E81C5BD35D49}"/>
    <cellStyle name="Comma 4 5 2 4 4" xfId="6420" xr:uid="{00000000-0005-0000-0000-00003B200000}"/>
    <cellStyle name="Comma 4 5 2 4 4 2" xfId="18006" xr:uid="{0FA005EA-9B01-4953-8AEE-5C900BCA75A3}"/>
    <cellStyle name="Comma 4 5 2 4 4 3" xfId="28422" xr:uid="{504C0DC3-6D42-47DB-8297-3F5471DFE088}"/>
    <cellStyle name="Comma 4 5 2 4 5" xfId="15642" xr:uid="{E7C0108A-1164-4EE7-B445-DA048C76EEC0}"/>
    <cellStyle name="Comma 4 5 2 4 6" xfId="26058" xr:uid="{46469BE8-7B65-4B92-B554-418038977981}"/>
    <cellStyle name="Comma 4 5 2 5" xfId="3309" xr:uid="{00000000-0005-0000-0000-00003C200000}"/>
    <cellStyle name="Comma 4 5 2 5 2" xfId="10460" xr:uid="{00000000-0005-0000-0000-00003D200000}"/>
    <cellStyle name="Comma 4 5 2 5 2 2" xfId="22006" xr:uid="{E5B981AC-0371-47BF-8152-C065DB033C34}"/>
    <cellStyle name="Comma 4 5 2 5 2 3" xfId="32422" xr:uid="{44C53A31-C754-43AD-8589-E60169C49ED7}"/>
    <cellStyle name="Comma 4 5 2 5 3" xfId="15644" xr:uid="{B8B68DE5-7A45-4E9A-AFBC-3E5930714B2F}"/>
    <cellStyle name="Comma 4 5 2 5 4" xfId="26060" xr:uid="{BA628D65-2C01-4C68-BABC-312F2101E565}"/>
    <cellStyle name="Comma 4 5 2 6" xfId="10451" xr:uid="{00000000-0005-0000-0000-00003E200000}"/>
    <cellStyle name="Comma 4 5 2 6 2" xfId="21997" xr:uid="{E13FC5ED-B823-4403-9E89-BF0C36E1E9C6}"/>
    <cellStyle name="Comma 4 5 2 6 3" xfId="32413" xr:uid="{D7D82712-725F-494E-BF1D-DD8C792A04C6}"/>
    <cellStyle name="Comma 4 5 2 7" xfId="6416" xr:uid="{00000000-0005-0000-0000-00003F200000}"/>
    <cellStyle name="Comma 4 5 2 7 2" xfId="18002" xr:uid="{D115EFA4-38A4-4661-B512-0BEB5CE21D9A}"/>
    <cellStyle name="Comma 4 5 2 7 3" xfId="28418" xr:uid="{65AF6460-2E4C-4A90-9245-AC284B5413FD}"/>
    <cellStyle name="Comma 4 5 2 8" xfId="15635" xr:uid="{ABB20CC9-4701-40C0-A59B-6DEA0BC53EC9}"/>
    <cellStyle name="Comma 4 5 2 9" xfId="26051" xr:uid="{885E8B7B-59D0-48A5-B79E-8D0299953439}"/>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2 2 2" xfId="22010" xr:uid="{325BE4B3-EA4E-4991-A92C-5CB991B54F4C}"/>
    <cellStyle name="Comma 4 5 3 2 2 2 2 3" xfId="32426" xr:uid="{2FAAE519-5744-42D3-9AD8-AA827079D944}"/>
    <cellStyle name="Comma 4 5 3 2 2 2 3" xfId="15648" xr:uid="{23137C65-2D58-44C3-8E52-B59B59AD536D}"/>
    <cellStyle name="Comma 4 5 3 2 2 2 4" xfId="26064" xr:uid="{A78B13D0-320D-4524-83C3-2A738C15D9B8}"/>
    <cellStyle name="Comma 4 5 3 2 2 3" xfId="10463" xr:uid="{00000000-0005-0000-0000-000045200000}"/>
    <cellStyle name="Comma 4 5 3 2 2 3 2" xfId="22009" xr:uid="{97883C20-DF35-4A3E-8063-6BE933B3042F}"/>
    <cellStyle name="Comma 4 5 3 2 2 3 3" xfId="32425" xr:uid="{30869E3C-B8DB-45F7-8999-C8D13B8B174A}"/>
    <cellStyle name="Comma 4 5 3 2 2 4" xfId="6423" xr:uid="{00000000-0005-0000-0000-000046200000}"/>
    <cellStyle name="Comma 4 5 3 2 2 4 2" xfId="18009" xr:uid="{C25ED76E-D6F7-48ED-9B42-D1B5E07593FA}"/>
    <cellStyle name="Comma 4 5 3 2 2 4 3" xfId="28425" xr:uid="{DABFB34F-0596-47BA-9E23-E3B8B37E4DB8}"/>
    <cellStyle name="Comma 4 5 3 2 2 5" xfId="15647" xr:uid="{639D8F4D-3EFF-46CF-8940-FD9897BB52A7}"/>
    <cellStyle name="Comma 4 5 3 2 2 6" xfId="26063" xr:uid="{9F1DCA96-C26E-461C-A7D9-6DAE05479C41}"/>
    <cellStyle name="Comma 4 5 3 2 3" xfId="3314" xr:uid="{00000000-0005-0000-0000-000047200000}"/>
    <cellStyle name="Comma 4 5 3 2 3 2" xfId="10465" xr:uid="{00000000-0005-0000-0000-000048200000}"/>
    <cellStyle name="Comma 4 5 3 2 3 2 2" xfId="22011" xr:uid="{DA74DFBA-B083-4188-BB5D-10DF9B8A69E1}"/>
    <cellStyle name="Comma 4 5 3 2 3 2 3" xfId="32427" xr:uid="{CF4CA36D-7F8B-46AF-9826-CA278ECB0B0A}"/>
    <cellStyle name="Comma 4 5 3 2 3 3" xfId="15649" xr:uid="{44FC14DE-661C-46D9-A7CB-C2069E86D8CD}"/>
    <cellStyle name="Comma 4 5 3 2 3 4" xfId="26065" xr:uid="{F800E451-51B6-46BF-AEC0-B71435C036E9}"/>
    <cellStyle name="Comma 4 5 3 2 4" xfId="10462" xr:uid="{00000000-0005-0000-0000-000049200000}"/>
    <cellStyle name="Comma 4 5 3 2 4 2" xfId="22008" xr:uid="{CB8C848E-663D-4513-B1C4-0EE0CA7B6F0B}"/>
    <cellStyle name="Comma 4 5 3 2 4 3" xfId="32424" xr:uid="{7D434AB5-0047-43E8-A1E0-86E07A73C7CF}"/>
    <cellStyle name="Comma 4 5 3 2 5" xfId="6422" xr:uid="{00000000-0005-0000-0000-00004A200000}"/>
    <cellStyle name="Comma 4 5 3 2 5 2" xfId="18008" xr:uid="{1755AC12-0313-470C-A8CA-4EC293855442}"/>
    <cellStyle name="Comma 4 5 3 2 5 3" xfId="28424" xr:uid="{8714FC84-270C-45AF-B7E4-E031D4C12720}"/>
    <cellStyle name="Comma 4 5 3 2 6" xfId="15646" xr:uid="{6A8D704A-79C4-4C8E-B71A-32115C0DEE43}"/>
    <cellStyle name="Comma 4 5 3 2 7" xfId="26062" xr:uid="{4B2CF346-08DD-40B3-892E-98302589C0E4}"/>
    <cellStyle name="Comma 4 5 3 3" xfId="3315" xr:uid="{00000000-0005-0000-0000-00004B200000}"/>
    <cellStyle name="Comma 4 5 3 3 2" xfId="3316" xr:uid="{00000000-0005-0000-0000-00004C200000}"/>
    <cellStyle name="Comma 4 5 3 3 2 2" xfId="10467" xr:uid="{00000000-0005-0000-0000-00004D200000}"/>
    <cellStyle name="Comma 4 5 3 3 2 2 2" xfId="22013" xr:uid="{10B1C075-BD89-4F2D-A1B8-349C22AECFAC}"/>
    <cellStyle name="Comma 4 5 3 3 2 2 3" xfId="32429" xr:uid="{452E4764-4ABD-4761-87B2-73D77B24D132}"/>
    <cellStyle name="Comma 4 5 3 3 2 3" xfId="15651" xr:uid="{E5953714-CCDA-4179-80D5-A2C844EF88CE}"/>
    <cellStyle name="Comma 4 5 3 3 2 4" xfId="26067" xr:uid="{51C3382F-7563-45A0-853C-5A1CF63A7ED4}"/>
    <cellStyle name="Comma 4 5 3 3 3" xfId="10466" xr:uid="{00000000-0005-0000-0000-00004E200000}"/>
    <cellStyle name="Comma 4 5 3 3 3 2" xfId="22012" xr:uid="{87921236-2423-4C9A-B4D3-F33ED381B2AF}"/>
    <cellStyle name="Comma 4 5 3 3 3 3" xfId="32428" xr:uid="{FD0D099B-E45D-402D-A01A-B711D738037A}"/>
    <cellStyle name="Comma 4 5 3 3 4" xfId="6424" xr:uid="{00000000-0005-0000-0000-00004F200000}"/>
    <cellStyle name="Comma 4 5 3 3 4 2" xfId="18010" xr:uid="{FE2C1ADF-B01C-4761-9C91-41C67A52A8C4}"/>
    <cellStyle name="Comma 4 5 3 3 4 3" xfId="28426" xr:uid="{A7E3102B-6DDC-4240-BC38-62432C99C29F}"/>
    <cellStyle name="Comma 4 5 3 3 5" xfId="15650" xr:uid="{299230C2-E520-45EC-9765-4D2439AF70AA}"/>
    <cellStyle name="Comma 4 5 3 3 6" xfId="26066" xr:uid="{D1745F2C-E44F-4787-B4EC-B577E432DAE1}"/>
    <cellStyle name="Comma 4 5 3 4" xfId="3317" xr:uid="{00000000-0005-0000-0000-000050200000}"/>
    <cellStyle name="Comma 4 5 3 4 2" xfId="3318" xr:uid="{00000000-0005-0000-0000-000051200000}"/>
    <cellStyle name="Comma 4 5 3 4 2 2" xfId="10469" xr:uid="{00000000-0005-0000-0000-000052200000}"/>
    <cellStyle name="Comma 4 5 3 4 2 2 2" xfId="22015" xr:uid="{19F49698-F913-498F-BE7F-C98AA91F1A5E}"/>
    <cellStyle name="Comma 4 5 3 4 2 2 3" xfId="32431" xr:uid="{6D9CBBB0-849A-4742-9F39-1CAB3EA8D97E}"/>
    <cellStyle name="Comma 4 5 3 4 2 3" xfId="15653" xr:uid="{2002BE73-3344-4520-9B3D-ABB1556AA4A7}"/>
    <cellStyle name="Comma 4 5 3 4 2 4" xfId="26069" xr:uid="{89EF85E1-1A25-486B-A48E-E7890F0E97F9}"/>
    <cellStyle name="Comma 4 5 3 4 3" xfId="10468" xr:uid="{00000000-0005-0000-0000-000053200000}"/>
    <cellStyle name="Comma 4 5 3 4 3 2" xfId="22014" xr:uid="{89D63C25-69D6-41D7-89E3-5A4EA37311DA}"/>
    <cellStyle name="Comma 4 5 3 4 3 3" xfId="32430" xr:uid="{D6569CBC-6429-461F-9C27-EDFCD44C48DD}"/>
    <cellStyle name="Comma 4 5 3 4 4" xfId="6425" xr:uid="{00000000-0005-0000-0000-000054200000}"/>
    <cellStyle name="Comma 4 5 3 4 4 2" xfId="18011" xr:uid="{C0DE3931-58EA-4398-B413-8B1BEF3C9455}"/>
    <cellStyle name="Comma 4 5 3 4 4 3" xfId="28427" xr:uid="{0D47DDE6-5D10-433F-8903-754829C0F963}"/>
    <cellStyle name="Comma 4 5 3 4 5" xfId="15652" xr:uid="{14D8962A-22BE-4048-BBAC-53C6BF1FD129}"/>
    <cellStyle name="Comma 4 5 3 4 6" xfId="26068" xr:uid="{812637A5-4FE6-456A-B000-7ADD719EB463}"/>
    <cellStyle name="Comma 4 5 3 5" xfId="3319" xr:uid="{00000000-0005-0000-0000-000055200000}"/>
    <cellStyle name="Comma 4 5 3 5 2" xfId="10470" xr:uid="{00000000-0005-0000-0000-000056200000}"/>
    <cellStyle name="Comma 4 5 3 5 2 2" xfId="22016" xr:uid="{D18303BD-8F08-4E96-A0C5-16AC541F80EF}"/>
    <cellStyle name="Comma 4 5 3 5 2 3" xfId="32432" xr:uid="{70C7B173-9CED-469B-AC63-E511F96245DE}"/>
    <cellStyle name="Comma 4 5 3 5 3" xfId="15654" xr:uid="{8C1FFF57-42C9-4D21-9028-614D139ED494}"/>
    <cellStyle name="Comma 4 5 3 5 4" xfId="26070" xr:uid="{B3AFADED-C3DD-4721-B0EC-7EB1F7FDF1D8}"/>
    <cellStyle name="Comma 4 5 3 6" xfId="10461" xr:uid="{00000000-0005-0000-0000-000057200000}"/>
    <cellStyle name="Comma 4 5 3 6 2" xfId="22007" xr:uid="{8BE89BED-F340-45BB-8AA2-CCA3A7650DCE}"/>
    <cellStyle name="Comma 4 5 3 6 3" xfId="32423" xr:uid="{DA9B7A4A-CB28-45A9-AD25-BAEBF6CBD140}"/>
    <cellStyle name="Comma 4 5 3 7" xfId="6421" xr:uid="{00000000-0005-0000-0000-000058200000}"/>
    <cellStyle name="Comma 4 5 3 7 2" xfId="18007" xr:uid="{4C8A0DC6-7DCC-4230-BEA2-CCAE2597893C}"/>
    <cellStyle name="Comma 4 5 3 7 3" xfId="28423" xr:uid="{AA5A9D18-C6F6-418F-B32A-706AF794A166}"/>
    <cellStyle name="Comma 4 5 3 8" xfId="15645" xr:uid="{82031BDB-D043-4F71-BCF3-F6207C668874}"/>
    <cellStyle name="Comma 4 5 3 9" xfId="26061" xr:uid="{53091310-DF17-40A8-BF88-7AE510C98E2C}"/>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2 2 2" xfId="22020" xr:uid="{8F692525-9070-4B6F-A334-14F5C10B5E1B}"/>
    <cellStyle name="Comma 4 5 4 2 2 2 2 3" xfId="32436" xr:uid="{E80F58A6-DDA1-4CB0-B86D-7C416D9B9A42}"/>
    <cellStyle name="Comma 4 5 4 2 2 2 3" xfId="15658" xr:uid="{F33E5CA6-1D27-4055-922B-66F16C077BC3}"/>
    <cellStyle name="Comma 4 5 4 2 2 2 4" xfId="26074" xr:uid="{35C899DC-274B-4BDA-8102-2A59CB92B84D}"/>
    <cellStyle name="Comma 4 5 4 2 2 3" xfId="10473" xr:uid="{00000000-0005-0000-0000-00005E200000}"/>
    <cellStyle name="Comma 4 5 4 2 2 3 2" xfId="22019" xr:uid="{042DB1E1-9AC9-4812-AD7C-05B917BA875C}"/>
    <cellStyle name="Comma 4 5 4 2 2 3 3" xfId="32435" xr:uid="{FBF630F6-2B41-45F9-BB88-4958E406FE82}"/>
    <cellStyle name="Comma 4 5 4 2 2 4" xfId="6428" xr:uid="{00000000-0005-0000-0000-00005F200000}"/>
    <cellStyle name="Comma 4 5 4 2 2 4 2" xfId="18014" xr:uid="{57080617-51B6-42EA-A89C-380804DEE873}"/>
    <cellStyle name="Comma 4 5 4 2 2 4 3" xfId="28430" xr:uid="{4BC54152-720F-4FE2-939C-713EB0A9D2D5}"/>
    <cellStyle name="Comma 4 5 4 2 2 5" xfId="15657" xr:uid="{E644F1BF-17B7-439C-BF0C-1F7D4B4FF543}"/>
    <cellStyle name="Comma 4 5 4 2 2 6" xfId="26073" xr:uid="{B3B4E982-CF5A-49B9-8E3A-C23D35F60069}"/>
    <cellStyle name="Comma 4 5 4 2 3" xfId="3324" xr:uid="{00000000-0005-0000-0000-000060200000}"/>
    <cellStyle name="Comma 4 5 4 2 3 2" xfId="10475" xr:uid="{00000000-0005-0000-0000-000061200000}"/>
    <cellStyle name="Comma 4 5 4 2 3 2 2" xfId="22021" xr:uid="{8D4AD6AE-A451-47E0-800A-A140064290E7}"/>
    <cellStyle name="Comma 4 5 4 2 3 2 3" xfId="32437" xr:uid="{4D82016B-2972-408D-B2A5-5EFC035D3DB3}"/>
    <cellStyle name="Comma 4 5 4 2 3 3" xfId="15659" xr:uid="{5DF092B9-38F9-4CD8-8616-965A6CE81158}"/>
    <cellStyle name="Comma 4 5 4 2 3 4" xfId="26075" xr:uid="{77F611A2-156B-408A-887B-CEB4BBCC9A60}"/>
    <cellStyle name="Comma 4 5 4 2 4" xfId="10472" xr:uid="{00000000-0005-0000-0000-000062200000}"/>
    <cellStyle name="Comma 4 5 4 2 4 2" xfId="22018" xr:uid="{66963B06-3B37-48F4-9967-77CDCE086918}"/>
    <cellStyle name="Comma 4 5 4 2 4 3" xfId="32434" xr:uid="{63AAEB1F-36D5-482E-9969-0DDA7A42506E}"/>
    <cellStyle name="Comma 4 5 4 2 5" xfId="6427" xr:uid="{00000000-0005-0000-0000-000063200000}"/>
    <cellStyle name="Comma 4 5 4 2 5 2" xfId="18013" xr:uid="{0854B8BC-05DD-49DA-B10C-D7C2D61A2656}"/>
    <cellStyle name="Comma 4 5 4 2 5 3" xfId="28429" xr:uid="{C2BBB69D-7DD0-4001-948D-0F137449A00E}"/>
    <cellStyle name="Comma 4 5 4 2 6" xfId="15656" xr:uid="{01BF8DB9-8F5E-4F7B-A427-26B9582BBB08}"/>
    <cellStyle name="Comma 4 5 4 2 7" xfId="26072" xr:uid="{BB10B676-FAED-44D9-970C-5969D30D3EBF}"/>
    <cellStyle name="Comma 4 5 4 3" xfId="3325" xr:uid="{00000000-0005-0000-0000-000064200000}"/>
    <cellStyle name="Comma 4 5 4 3 2" xfId="3326" xr:uid="{00000000-0005-0000-0000-000065200000}"/>
    <cellStyle name="Comma 4 5 4 3 2 2" xfId="10477" xr:uid="{00000000-0005-0000-0000-000066200000}"/>
    <cellStyle name="Comma 4 5 4 3 2 2 2" xfId="22023" xr:uid="{7DDB6A74-B7DE-4E61-A4EC-21CAB6E850C1}"/>
    <cellStyle name="Comma 4 5 4 3 2 2 3" xfId="32439" xr:uid="{926B125E-346F-4706-ACE3-D04711808710}"/>
    <cellStyle name="Comma 4 5 4 3 2 3" xfId="15661" xr:uid="{614E96BA-4C12-4FA6-A2FD-DA49EA4AFF38}"/>
    <cellStyle name="Comma 4 5 4 3 2 4" xfId="26077" xr:uid="{6360FF7F-3460-439F-A092-06D29AF4EFDA}"/>
    <cellStyle name="Comma 4 5 4 3 3" xfId="10476" xr:uid="{00000000-0005-0000-0000-000067200000}"/>
    <cellStyle name="Comma 4 5 4 3 3 2" xfId="22022" xr:uid="{F829B5F1-DA12-49A0-89F8-B5E6BB935220}"/>
    <cellStyle name="Comma 4 5 4 3 3 3" xfId="32438" xr:uid="{88490AC5-E131-41B5-BBC6-3E88E2F64434}"/>
    <cellStyle name="Comma 4 5 4 3 4" xfId="6429" xr:uid="{00000000-0005-0000-0000-000068200000}"/>
    <cellStyle name="Comma 4 5 4 3 4 2" xfId="18015" xr:uid="{9905E54E-766B-4402-9639-2B14210BFCDF}"/>
    <cellStyle name="Comma 4 5 4 3 4 3" xfId="28431" xr:uid="{5ABE49DE-27B2-4614-AC1E-5A1BA645DB24}"/>
    <cellStyle name="Comma 4 5 4 3 5" xfId="15660" xr:uid="{7BCF91B7-35E7-4906-91CF-6EF082429828}"/>
    <cellStyle name="Comma 4 5 4 3 6" xfId="26076" xr:uid="{B6BA10DD-6913-4539-8857-4190F6043FA5}"/>
    <cellStyle name="Comma 4 5 4 4" xfId="3327" xr:uid="{00000000-0005-0000-0000-000069200000}"/>
    <cellStyle name="Comma 4 5 4 4 2" xfId="3328" xr:uid="{00000000-0005-0000-0000-00006A200000}"/>
    <cellStyle name="Comma 4 5 4 4 2 2" xfId="10479" xr:uid="{00000000-0005-0000-0000-00006B200000}"/>
    <cellStyle name="Comma 4 5 4 4 2 2 2" xfId="22025" xr:uid="{2B03CBB1-A0DE-499C-9C8A-EB614E0A05F6}"/>
    <cellStyle name="Comma 4 5 4 4 2 2 3" xfId="32441" xr:uid="{C12BFCF5-8FD1-4742-BF81-4D2C5DC5F656}"/>
    <cellStyle name="Comma 4 5 4 4 2 3" xfId="15663" xr:uid="{06483CF1-78B1-4D26-9EC1-A7EF3519D378}"/>
    <cellStyle name="Comma 4 5 4 4 2 4" xfId="26079" xr:uid="{B0F69080-AF55-474F-954F-53A7C69BB87C}"/>
    <cellStyle name="Comma 4 5 4 4 3" xfId="10478" xr:uid="{00000000-0005-0000-0000-00006C200000}"/>
    <cellStyle name="Comma 4 5 4 4 3 2" xfId="22024" xr:uid="{7A00FFE8-0E68-4ED7-ABEA-40523DE0038C}"/>
    <cellStyle name="Comma 4 5 4 4 3 3" xfId="32440" xr:uid="{7B84C258-72E2-4913-959E-7C5DC6D45410}"/>
    <cellStyle name="Comma 4 5 4 4 4" xfId="6430" xr:uid="{00000000-0005-0000-0000-00006D200000}"/>
    <cellStyle name="Comma 4 5 4 4 4 2" xfId="18016" xr:uid="{663E5F93-3B29-4DB4-88E1-17F998876F4D}"/>
    <cellStyle name="Comma 4 5 4 4 4 3" xfId="28432" xr:uid="{AC2C3EC4-B903-45CB-B478-4BCFB69D1673}"/>
    <cellStyle name="Comma 4 5 4 4 5" xfId="15662" xr:uid="{FE0EC15F-C3B1-4EB1-8E38-3F84A5575250}"/>
    <cellStyle name="Comma 4 5 4 4 6" xfId="26078" xr:uid="{F1DFE116-1F3C-4C75-B751-6EDEE69DAAD4}"/>
    <cellStyle name="Comma 4 5 4 5" xfId="3329" xr:uid="{00000000-0005-0000-0000-00006E200000}"/>
    <cellStyle name="Comma 4 5 4 5 2" xfId="10480" xr:uid="{00000000-0005-0000-0000-00006F200000}"/>
    <cellStyle name="Comma 4 5 4 5 2 2" xfId="22026" xr:uid="{FC19A64B-1866-4955-B227-AE432C215AF6}"/>
    <cellStyle name="Comma 4 5 4 5 2 3" xfId="32442" xr:uid="{05FB0F80-62B4-4764-915F-10CE3334BAFB}"/>
    <cellStyle name="Comma 4 5 4 5 3" xfId="15664" xr:uid="{C7F94CDA-C308-4474-A882-9DAE3813793F}"/>
    <cellStyle name="Comma 4 5 4 5 4" xfId="26080" xr:uid="{C9D60FD8-AF02-4464-8ADB-E2BDD7BA894E}"/>
    <cellStyle name="Comma 4 5 4 6" xfId="10471" xr:uid="{00000000-0005-0000-0000-000070200000}"/>
    <cellStyle name="Comma 4 5 4 6 2" xfId="22017" xr:uid="{1C0661B8-7205-41CE-8728-24CC1216F4DF}"/>
    <cellStyle name="Comma 4 5 4 6 3" xfId="32433" xr:uid="{F536521D-F975-453E-8451-6F3ABE895A39}"/>
    <cellStyle name="Comma 4 5 4 7" xfId="6426" xr:uid="{00000000-0005-0000-0000-000071200000}"/>
    <cellStyle name="Comma 4 5 4 7 2" xfId="18012" xr:uid="{A963246A-7ED1-4C1E-9D70-571C230DFD7B}"/>
    <cellStyle name="Comma 4 5 4 7 3" xfId="28428" xr:uid="{35DC4771-5D2B-4660-83D7-AB2402B82142}"/>
    <cellStyle name="Comma 4 5 4 8" xfId="15655" xr:uid="{89801D02-082E-4C25-9249-ECD56463F88D}"/>
    <cellStyle name="Comma 4 5 4 9" xfId="26071" xr:uid="{2DE027F7-D65D-4013-A6C2-C4DFAB3C7297}"/>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2 2 2" xfId="22030" xr:uid="{440AE621-1E45-4BBE-8183-D2080790ED45}"/>
    <cellStyle name="Comma 4 5 5 2 2 2 2 3" xfId="32446" xr:uid="{6BCD7BB5-4B2A-48DB-AFD7-03B25ABD6F0E}"/>
    <cellStyle name="Comma 4 5 5 2 2 2 3" xfId="15668" xr:uid="{70168AB0-6932-4FAB-B09B-90D4100E755D}"/>
    <cellStyle name="Comma 4 5 5 2 2 2 4" xfId="26084" xr:uid="{21D71EF1-F01C-4A71-BC52-0853265EFF38}"/>
    <cellStyle name="Comma 4 5 5 2 2 3" xfId="10483" xr:uid="{00000000-0005-0000-0000-000077200000}"/>
    <cellStyle name="Comma 4 5 5 2 2 3 2" xfId="22029" xr:uid="{BBDBF054-4A42-4496-97C3-EBEA23393C03}"/>
    <cellStyle name="Comma 4 5 5 2 2 3 3" xfId="32445" xr:uid="{783BDFAC-2F2E-4586-B026-C289AE8C7B31}"/>
    <cellStyle name="Comma 4 5 5 2 2 4" xfId="6433" xr:uid="{00000000-0005-0000-0000-000078200000}"/>
    <cellStyle name="Comma 4 5 5 2 2 4 2" xfId="18019" xr:uid="{8FDB2B28-F2F9-401B-89F7-90A5C81353A1}"/>
    <cellStyle name="Comma 4 5 5 2 2 4 3" xfId="28435" xr:uid="{E5AF410B-F28E-4BEA-910C-88785E74AA3D}"/>
    <cellStyle name="Comma 4 5 5 2 2 5" xfId="15667" xr:uid="{217BE178-81B7-4935-BB81-9493DF7C25FE}"/>
    <cellStyle name="Comma 4 5 5 2 2 6" xfId="26083" xr:uid="{598968C7-A32D-4A56-88E1-20E81FE8E9BD}"/>
    <cellStyle name="Comma 4 5 5 2 3" xfId="3334" xr:uid="{00000000-0005-0000-0000-000079200000}"/>
    <cellStyle name="Comma 4 5 5 2 3 2" xfId="10485" xr:uid="{00000000-0005-0000-0000-00007A200000}"/>
    <cellStyle name="Comma 4 5 5 2 3 2 2" xfId="22031" xr:uid="{20E8AE24-2487-47E6-9B75-E67F196D3DC9}"/>
    <cellStyle name="Comma 4 5 5 2 3 2 3" xfId="32447" xr:uid="{5F294D12-1792-457C-A6E4-310F40F758E0}"/>
    <cellStyle name="Comma 4 5 5 2 3 3" xfId="15669" xr:uid="{459CD8C1-80D7-4112-B01B-FD2A8BC63907}"/>
    <cellStyle name="Comma 4 5 5 2 3 4" xfId="26085" xr:uid="{2AE3676D-8052-41E7-851A-D1232884D5F0}"/>
    <cellStyle name="Comma 4 5 5 2 4" xfId="10482" xr:uid="{00000000-0005-0000-0000-00007B200000}"/>
    <cellStyle name="Comma 4 5 5 2 4 2" xfId="22028" xr:uid="{C36DB3ED-9B4A-4286-AF61-C809A86668C5}"/>
    <cellStyle name="Comma 4 5 5 2 4 3" xfId="32444" xr:uid="{95E4BF33-B622-4F77-AEFB-E171B901B366}"/>
    <cellStyle name="Comma 4 5 5 2 5" xfId="6432" xr:uid="{00000000-0005-0000-0000-00007C200000}"/>
    <cellStyle name="Comma 4 5 5 2 5 2" xfId="18018" xr:uid="{FC52504D-8696-4AA7-A46F-7C0B4EFFEB7F}"/>
    <cellStyle name="Comma 4 5 5 2 5 3" xfId="28434" xr:uid="{C737DC71-8F2E-4BB0-856A-2D226578033E}"/>
    <cellStyle name="Comma 4 5 5 2 6" xfId="15666" xr:uid="{7FE1900E-1E1E-46C8-A469-E27633EC6E0E}"/>
    <cellStyle name="Comma 4 5 5 2 7" xfId="26082" xr:uid="{5C57AA9D-539F-4F6D-945E-A5230CD14D0D}"/>
    <cellStyle name="Comma 4 5 5 3" xfId="3335" xr:uid="{00000000-0005-0000-0000-00007D200000}"/>
    <cellStyle name="Comma 4 5 5 3 2" xfId="3336" xr:uid="{00000000-0005-0000-0000-00007E200000}"/>
    <cellStyle name="Comma 4 5 5 3 2 2" xfId="10487" xr:uid="{00000000-0005-0000-0000-00007F200000}"/>
    <cellStyle name="Comma 4 5 5 3 2 2 2" xfId="22033" xr:uid="{49F06C9B-E167-4045-BD26-439335021F14}"/>
    <cellStyle name="Comma 4 5 5 3 2 2 3" xfId="32449" xr:uid="{0FF846B7-0C35-42F3-BF7D-8F93BCFD5097}"/>
    <cellStyle name="Comma 4 5 5 3 2 3" xfId="15671" xr:uid="{6EF8C814-4AB8-46EA-B906-A0B254BB7A1C}"/>
    <cellStyle name="Comma 4 5 5 3 2 4" xfId="26087" xr:uid="{B7555287-CF39-4EC4-BF81-1EA5543C8DEE}"/>
    <cellStyle name="Comma 4 5 5 3 3" xfId="10486" xr:uid="{00000000-0005-0000-0000-000080200000}"/>
    <cellStyle name="Comma 4 5 5 3 3 2" xfId="22032" xr:uid="{688E367E-B4CB-4E5A-8156-9175568E27F0}"/>
    <cellStyle name="Comma 4 5 5 3 3 3" xfId="32448" xr:uid="{FCD116A8-EA8E-43C6-8840-E20EA6AE8CF7}"/>
    <cellStyle name="Comma 4 5 5 3 4" xfId="6434" xr:uid="{00000000-0005-0000-0000-000081200000}"/>
    <cellStyle name="Comma 4 5 5 3 4 2" xfId="18020" xr:uid="{A77280DD-3B03-4763-9384-FE5844E725AC}"/>
    <cellStyle name="Comma 4 5 5 3 4 3" xfId="28436" xr:uid="{A8358A40-3DA5-4AAA-B9E9-3422119762AC}"/>
    <cellStyle name="Comma 4 5 5 3 5" xfId="15670" xr:uid="{D9069CAA-DD83-4905-BA5E-69825CE8A09B}"/>
    <cellStyle name="Comma 4 5 5 3 6" xfId="26086" xr:uid="{0B49D448-090F-4582-A433-1D4550D540BC}"/>
    <cellStyle name="Comma 4 5 5 4" xfId="3337" xr:uid="{00000000-0005-0000-0000-000082200000}"/>
    <cellStyle name="Comma 4 5 5 4 2" xfId="3338" xr:uid="{00000000-0005-0000-0000-000083200000}"/>
    <cellStyle name="Comma 4 5 5 4 2 2" xfId="10489" xr:uid="{00000000-0005-0000-0000-000084200000}"/>
    <cellStyle name="Comma 4 5 5 4 2 2 2" xfId="22035" xr:uid="{94BB5A4B-F77B-4E79-AE05-F3E5E5DB4CF0}"/>
    <cellStyle name="Comma 4 5 5 4 2 2 3" xfId="32451" xr:uid="{5C34B474-8DE5-4DDA-B3AF-E0AAB84573D2}"/>
    <cellStyle name="Comma 4 5 5 4 2 3" xfId="15673" xr:uid="{4E95A10B-EB82-45C5-862A-D827F97EB153}"/>
    <cellStyle name="Comma 4 5 5 4 2 4" xfId="26089" xr:uid="{B3CD88B1-83F0-479B-A2B4-E3CB7C732AFB}"/>
    <cellStyle name="Comma 4 5 5 4 3" xfId="10488" xr:uid="{00000000-0005-0000-0000-000085200000}"/>
    <cellStyle name="Comma 4 5 5 4 3 2" xfId="22034" xr:uid="{BFB7CE32-DB03-4E57-9579-DE5A0FAEC729}"/>
    <cellStyle name="Comma 4 5 5 4 3 3" xfId="32450" xr:uid="{E06A6124-D5E1-4160-80B1-9779850A1216}"/>
    <cellStyle name="Comma 4 5 5 4 4" xfId="6435" xr:uid="{00000000-0005-0000-0000-000086200000}"/>
    <cellStyle name="Comma 4 5 5 4 4 2" xfId="18021" xr:uid="{C13B510D-AADF-41AA-871C-0353694F18E6}"/>
    <cellStyle name="Comma 4 5 5 4 4 3" xfId="28437" xr:uid="{780EEFD4-97A5-4CF4-BBEC-1655BEA55A98}"/>
    <cellStyle name="Comma 4 5 5 4 5" xfId="15672" xr:uid="{7DBD943C-3465-4896-9CBD-F9CAFD25B6A2}"/>
    <cellStyle name="Comma 4 5 5 4 6" xfId="26088" xr:uid="{2C37D855-EDD5-487A-AC06-32E3506DD043}"/>
    <cellStyle name="Comma 4 5 5 5" xfId="3339" xr:uid="{00000000-0005-0000-0000-000087200000}"/>
    <cellStyle name="Comma 4 5 5 5 2" xfId="10490" xr:uid="{00000000-0005-0000-0000-000088200000}"/>
    <cellStyle name="Comma 4 5 5 5 2 2" xfId="22036" xr:uid="{ECB99699-09B5-4284-A4C4-76ED6ABD7913}"/>
    <cellStyle name="Comma 4 5 5 5 2 3" xfId="32452" xr:uid="{7E26540F-7EC2-4F4B-B1D2-832287AF798B}"/>
    <cellStyle name="Comma 4 5 5 5 3" xfId="15674" xr:uid="{55384103-2006-42C8-B95A-4D8FE0611EC5}"/>
    <cellStyle name="Comma 4 5 5 5 4" xfId="26090" xr:uid="{D699E945-33D2-4DA0-82A7-E817F2589F5A}"/>
    <cellStyle name="Comma 4 5 5 6" xfId="10481" xr:uid="{00000000-0005-0000-0000-000089200000}"/>
    <cellStyle name="Comma 4 5 5 6 2" xfId="22027" xr:uid="{CB076F1C-F1C6-4A8A-8BDE-D3CFCB1E2B1A}"/>
    <cellStyle name="Comma 4 5 5 6 3" xfId="32443" xr:uid="{C05A592F-9DF0-41F7-9E2E-DA8485461D1A}"/>
    <cellStyle name="Comma 4 5 5 7" xfId="6431" xr:uid="{00000000-0005-0000-0000-00008A200000}"/>
    <cellStyle name="Comma 4 5 5 7 2" xfId="18017" xr:uid="{DE5459EE-645F-495A-9C3E-7E541B016F0A}"/>
    <cellStyle name="Comma 4 5 5 7 3" xfId="28433" xr:uid="{879AF63F-0C0F-486A-9AC1-27D3AEC7CEF1}"/>
    <cellStyle name="Comma 4 5 5 8" xfId="15665" xr:uid="{C1863CD9-26AE-4F37-8177-86E89DD60930}"/>
    <cellStyle name="Comma 4 5 5 9" xfId="26081" xr:uid="{04950AB1-99A2-4E9E-B95D-4488A05116F8}"/>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2 2 2" xfId="22039" xr:uid="{66215EDF-AFFF-45EE-99AF-6336F747D41C}"/>
    <cellStyle name="Comma 4 5 6 2 2 2 3" xfId="32455" xr:uid="{7ED0B5E4-75C2-4641-9D9A-503A8E164C87}"/>
    <cellStyle name="Comma 4 5 6 2 2 3" xfId="15677" xr:uid="{92D8314E-43E7-4EAA-AC80-571BA50D6823}"/>
    <cellStyle name="Comma 4 5 6 2 2 4" xfId="26093" xr:uid="{6FE66592-7AF8-459C-8D91-FF989ECD8A21}"/>
    <cellStyle name="Comma 4 5 6 2 3" xfId="10492" xr:uid="{00000000-0005-0000-0000-00008F200000}"/>
    <cellStyle name="Comma 4 5 6 2 3 2" xfId="22038" xr:uid="{9C62F41F-B5A9-41DB-B4B3-4B4C0699DC68}"/>
    <cellStyle name="Comma 4 5 6 2 3 3" xfId="32454" xr:uid="{03CC8879-99C3-48AD-ACC8-FF1AFC1EC2BC}"/>
    <cellStyle name="Comma 4 5 6 2 4" xfId="6437" xr:uid="{00000000-0005-0000-0000-000090200000}"/>
    <cellStyle name="Comma 4 5 6 2 4 2" xfId="18023" xr:uid="{49176B02-16AC-4C40-AA62-93C76EF1B2FF}"/>
    <cellStyle name="Comma 4 5 6 2 4 3" xfId="28439" xr:uid="{4074E5E1-71D0-42D7-B0E1-FDA73608D62C}"/>
    <cellStyle name="Comma 4 5 6 2 5" xfId="15676" xr:uid="{796B92C1-AF53-4303-891E-05C1F4BC0291}"/>
    <cellStyle name="Comma 4 5 6 2 6" xfId="26092" xr:uid="{C37B5491-9407-4F96-82E8-49FA18CE3813}"/>
    <cellStyle name="Comma 4 5 6 3" xfId="3343" xr:uid="{00000000-0005-0000-0000-000091200000}"/>
    <cellStyle name="Comma 4 5 6 3 2" xfId="3344" xr:uid="{00000000-0005-0000-0000-000092200000}"/>
    <cellStyle name="Comma 4 5 6 3 2 2" xfId="10495" xr:uid="{00000000-0005-0000-0000-000093200000}"/>
    <cellStyle name="Comma 4 5 6 3 2 2 2" xfId="22041" xr:uid="{C5178B29-A17D-4593-95FC-F9305142E21A}"/>
    <cellStyle name="Comma 4 5 6 3 2 2 3" xfId="32457" xr:uid="{55342F7C-CE94-4F0C-85B4-92C593FB09FB}"/>
    <cellStyle name="Comma 4 5 6 3 2 3" xfId="15679" xr:uid="{E756CAEB-70DE-490F-BAE5-F7320C8ACF38}"/>
    <cellStyle name="Comma 4 5 6 3 2 4" xfId="26095" xr:uid="{B1F305B0-B5F5-41A2-9F67-FD815739F1F0}"/>
    <cellStyle name="Comma 4 5 6 3 3" xfId="10494" xr:uid="{00000000-0005-0000-0000-000094200000}"/>
    <cellStyle name="Comma 4 5 6 3 3 2" xfId="22040" xr:uid="{14EFCE6A-EC51-4827-AACE-3CD27DF1EFAD}"/>
    <cellStyle name="Comma 4 5 6 3 3 3" xfId="32456" xr:uid="{74302F06-811F-4EAD-BA06-3BE23FB53EF2}"/>
    <cellStyle name="Comma 4 5 6 3 4" xfId="6438" xr:uid="{00000000-0005-0000-0000-000095200000}"/>
    <cellStyle name="Comma 4 5 6 3 4 2" xfId="18024" xr:uid="{3544F17B-8BA0-4078-A0A7-2603B65C2F45}"/>
    <cellStyle name="Comma 4 5 6 3 4 3" xfId="28440" xr:uid="{0A2EF5FF-1BDF-4A49-B34B-39D49E002678}"/>
    <cellStyle name="Comma 4 5 6 3 5" xfId="15678" xr:uid="{219D60E8-E2EE-4C40-8E03-A820F73634BE}"/>
    <cellStyle name="Comma 4 5 6 3 6" xfId="26094" xr:uid="{04047CD7-EAF7-40B7-96E5-FCF2F30891D2}"/>
    <cellStyle name="Comma 4 5 6 4" xfId="3345" xr:uid="{00000000-0005-0000-0000-000096200000}"/>
    <cellStyle name="Comma 4 5 6 4 2" xfId="10496" xr:uid="{00000000-0005-0000-0000-000097200000}"/>
    <cellStyle name="Comma 4 5 6 4 2 2" xfId="22042" xr:uid="{1DD10F51-6296-4FAB-94E4-2BD532D3224E}"/>
    <cellStyle name="Comma 4 5 6 4 2 3" xfId="32458" xr:uid="{ED7F5ED8-0B9E-40E5-872D-323FB6C5E458}"/>
    <cellStyle name="Comma 4 5 6 4 3" xfId="15680" xr:uid="{DEC765BE-42D5-4452-A43C-8A3921BDA592}"/>
    <cellStyle name="Comma 4 5 6 4 4" xfId="26096" xr:uid="{970C8DC6-01B0-47E1-BAE2-FC3369DA29B1}"/>
    <cellStyle name="Comma 4 5 6 5" xfId="10491" xr:uid="{00000000-0005-0000-0000-000098200000}"/>
    <cellStyle name="Comma 4 5 6 5 2" xfId="22037" xr:uid="{ACB956D5-D69E-4FE7-954C-21EB2E569C0B}"/>
    <cellStyle name="Comma 4 5 6 5 3" xfId="32453" xr:uid="{F4401ABB-B713-4580-B6A8-D32C157EED3D}"/>
    <cellStyle name="Comma 4 5 6 6" xfId="6436" xr:uid="{00000000-0005-0000-0000-000099200000}"/>
    <cellStyle name="Comma 4 5 6 6 2" xfId="18022" xr:uid="{D23516EA-774F-4815-A553-1689D69D7C3F}"/>
    <cellStyle name="Comma 4 5 6 6 3" xfId="28438" xr:uid="{38507D78-09B6-41ED-85B9-69AC6AB6D504}"/>
    <cellStyle name="Comma 4 5 6 7" xfId="15675" xr:uid="{FDA3EC81-BB3B-4A8F-A522-4E5C018A0CB9}"/>
    <cellStyle name="Comma 4 5 6 8" xfId="26091" xr:uid="{84B86973-0A29-4576-8C7B-8804884084BF}"/>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2 2 2" xfId="22045" xr:uid="{07630866-F13C-4C5D-B83F-0EE4A565C3CA}"/>
    <cellStyle name="Comma 4 5 7 2 2 2 3" xfId="32461" xr:uid="{B85D3E7C-0D3F-4512-96B5-3659B7B1D5AD}"/>
    <cellStyle name="Comma 4 5 7 2 2 3" xfId="15683" xr:uid="{A33CAE3B-A0FD-445E-8A45-C2F20523907E}"/>
    <cellStyle name="Comma 4 5 7 2 2 4" xfId="26099" xr:uid="{F12293EC-4DA9-4456-A18F-85E1D4FA2E48}"/>
    <cellStyle name="Comma 4 5 7 2 3" xfId="10498" xr:uid="{00000000-0005-0000-0000-00009E200000}"/>
    <cellStyle name="Comma 4 5 7 2 3 2" xfId="22044" xr:uid="{980BD3A8-1589-4024-AE9F-A65B78D6D7FC}"/>
    <cellStyle name="Comma 4 5 7 2 3 3" xfId="32460" xr:uid="{545B3412-742B-4629-B4C2-B978B8701A7E}"/>
    <cellStyle name="Comma 4 5 7 2 4" xfId="6440" xr:uid="{00000000-0005-0000-0000-00009F200000}"/>
    <cellStyle name="Comma 4 5 7 2 4 2" xfId="18026" xr:uid="{ADE4351F-205A-4D96-88D9-70E6F8C41315}"/>
    <cellStyle name="Comma 4 5 7 2 4 3" xfId="28442" xr:uid="{E4380E49-6B8A-4906-A488-C90434A3D354}"/>
    <cellStyle name="Comma 4 5 7 2 5" xfId="15682" xr:uid="{63A5746E-854E-4E95-8AC2-809DCF88E781}"/>
    <cellStyle name="Comma 4 5 7 2 6" xfId="26098" xr:uid="{505FEFEF-0ABB-41E1-B570-E5DC9F7B755D}"/>
    <cellStyle name="Comma 4 5 7 3" xfId="3349" xr:uid="{00000000-0005-0000-0000-0000A0200000}"/>
    <cellStyle name="Comma 4 5 7 3 2" xfId="10500" xr:uid="{00000000-0005-0000-0000-0000A1200000}"/>
    <cellStyle name="Comma 4 5 7 3 2 2" xfId="22046" xr:uid="{35636E5B-8A76-4679-A209-BE6F7936DAB6}"/>
    <cellStyle name="Comma 4 5 7 3 2 3" xfId="32462" xr:uid="{06245950-096A-42C5-B69F-F0ABD801457D}"/>
    <cellStyle name="Comma 4 5 7 3 3" xfId="15684" xr:uid="{AEC1510A-401A-4291-BC30-9027540B4606}"/>
    <cellStyle name="Comma 4 5 7 3 4" xfId="26100" xr:uid="{BE4BECB7-B3A9-447D-80D4-A788CBF70BFE}"/>
    <cellStyle name="Comma 4 5 7 4" xfId="10497" xr:uid="{00000000-0005-0000-0000-0000A2200000}"/>
    <cellStyle name="Comma 4 5 7 4 2" xfId="22043" xr:uid="{6F8CFF94-0F3B-4ABB-B8BA-2689B505B583}"/>
    <cellStyle name="Comma 4 5 7 4 3" xfId="32459" xr:uid="{D4DF31BA-DD92-4098-A87B-5EDE0F5D5DFD}"/>
    <cellStyle name="Comma 4 5 7 5" xfId="6439" xr:uid="{00000000-0005-0000-0000-0000A3200000}"/>
    <cellStyle name="Comma 4 5 7 5 2" xfId="18025" xr:uid="{BB97E0D6-3D94-4E73-A654-3D9E4FC0C8A3}"/>
    <cellStyle name="Comma 4 5 7 5 3" xfId="28441" xr:uid="{91DD1313-0248-48B3-BC57-4B810F48E9AE}"/>
    <cellStyle name="Comma 4 5 7 6" xfId="15681" xr:uid="{8F554CE1-9FF5-4A5C-8C70-6CFD35A43C6E}"/>
    <cellStyle name="Comma 4 5 7 7" xfId="26097" xr:uid="{725510EF-2A9B-4CBE-B846-084273654C51}"/>
    <cellStyle name="Comma 4 5 8" xfId="3350" xr:uid="{00000000-0005-0000-0000-0000A4200000}"/>
    <cellStyle name="Comma 4 5 8 2" xfId="3351" xr:uid="{00000000-0005-0000-0000-0000A5200000}"/>
    <cellStyle name="Comma 4 5 8 2 2" xfId="10502" xr:uid="{00000000-0005-0000-0000-0000A6200000}"/>
    <cellStyle name="Comma 4 5 8 2 2 2" xfId="22048" xr:uid="{18FF25E8-61BC-48E4-8B1A-8348D3BD2A9C}"/>
    <cellStyle name="Comma 4 5 8 2 2 3" xfId="32464" xr:uid="{BDEC837F-857C-4536-B005-968849407F9D}"/>
    <cellStyle name="Comma 4 5 8 2 3" xfId="15686" xr:uid="{50915496-FC6F-4F7A-965F-C54A0D4A3FBF}"/>
    <cellStyle name="Comma 4 5 8 2 4" xfId="26102" xr:uid="{58AF8A16-35DB-422D-B14C-7E1CBE5171CD}"/>
    <cellStyle name="Comma 4 5 8 3" xfId="10501" xr:uid="{00000000-0005-0000-0000-0000A7200000}"/>
    <cellStyle name="Comma 4 5 8 3 2" xfId="22047" xr:uid="{2CEB092A-3B62-4C1D-AD59-DC57BA859C28}"/>
    <cellStyle name="Comma 4 5 8 3 3" xfId="32463" xr:uid="{44542609-4A4B-4EC8-A801-241AF7FBD36A}"/>
    <cellStyle name="Comma 4 5 8 4" xfId="6441" xr:uid="{00000000-0005-0000-0000-0000A8200000}"/>
    <cellStyle name="Comma 4 5 8 4 2" xfId="18027" xr:uid="{B5BD8F67-212E-4218-83CD-2559E526A99E}"/>
    <cellStyle name="Comma 4 5 8 4 3" xfId="28443" xr:uid="{F99385FF-8CF4-48BF-8FAF-4C2857CD4DAB}"/>
    <cellStyle name="Comma 4 5 8 5" xfId="15685" xr:uid="{FC962FD6-AE9F-46D3-A57C-99914889C3EF}"/>
    <cellStyle name="Comma 4 5 8 6" xfId="26101" xr:uid="{B7879112-5A43-44A4-8486-B2FF2F116DB1}"/>
    <cellStyle name="Comma 4 5 9" xfId="3352" xr:uid="{00000000-0005-0000-0000-0000A9200000}"/>
    <cellStyle name="Comma 4 5 9 2" xfId="3353" xr:uid="{00000000-0005-0000-0000-0000AA200000}"/>
    <cellStyle name="Comma 4 5 9 2 2" xfId="10504" xr:uid="{00000000-0005-0000-0000-0000AB200000}"/>
    <cellStyle name="Comma 4 5 9 2 2 2" xfId="22050" xr:uid="{2733D658-4C4F-449D-978A-DA50328DE5A1}"/>
    <cellStyle name="Comma 4 5 9 2 2 3" xfId="32466" xr:uid="{A2D306E3-36F9-4BCC-933E-ED395B6BB095}"/>
    <cellStyle name="Comma 4 5 9 2 3" xfId="15688" xr:uid="{D38C1B9F-441F-444F-81E1-B399F977A2B4}"/>
    <cellStyle name="Comma 4 5 9 2 4" xfId="26104" xr:uid="{B2AD2460-D47D-428C-AB23-1016A3197D21}"/>
    <cellStyle name="Comma 4 5 9 3" xfId="10503" xr:uid="{00000000-0005-0000-0000-0000AC200000}"/>
    <cellStyle name="Comma 4 5 9 3 2" xfId="22049" xr:uid="{C66DF7A9-9798-463B-BB66-F4E7BA21E4C8}"/>
    <cellStyle name="Comma 4 5 9 3 3" xfId="32465" xr:uid="{6B890D42-3590-4D77-84F2-B845D7CF653A}"/>
    <cellStyle name="Comma 4 5 9 4" xfId="6442" xr:uid="{00000000-0005-0000-0000-0000AD200000}"/>
    <cellStyle name="Comma 4 5 9 4 2" xfId="18028" xr:uid="{4A5B7ADE-AF2C-4B3D-BD32-8BE789F1BDE6}"/>
    <cellStyle name="Comma 4 5 9 4 3" xfId="28444" xr:uid="{128A0298-18DB-4B05-B3F5-44F8067B3561}"/>
    <cellStyle name="Comma 4 5 9 5" xfId="15687" xr:uid="{9F3D4752-D87A-460D-A299-F2182F71D606}"/>
    <cellStyle name="Comma 4 5 9 6" xfId="26103" xr:uid="{85E60283-44AF-44EF-8159-E855C05062CB}"/>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2 2 2" xfId="22054" xr:uid="{64B85EF9-9F32-402B-A206-4941D2EE76C9}"/>
    <cellStyle name="Comma 4 6 2 2 2 2 3" xfId="32470" xr:uid="{82B02C1B-4427-4DDB-B5C4-F146764DAC90}"/>
    <cellStyle name="Comma 4 6 2 2 2 3" xfId="15692" xr:uid="{5A8ECF3B-E5BF-4B26-81FE-557C01799EFB}"/>
    <cellStyle name="Comma 4 6 2 2 2 4" xfId="26108" xr:uid="{D96CB5F3-C6E4-4159-99D0-9C637E42E3F2}"/>
    <cellStyle name="Comma 4 6 2 2 3" xfId="10507" xr:uid="{00000000-0005-0000-0000-0000B3200000}"/>
    <cellStyle name="Comma 4 6 2 2 3 2" xfId="22053" xr:uid="{5624502D-9487-4C49-A4D3-18A456114659}"/>
    <cellStyle name="Comma 4 6 2 2 3 3" xfId="32469" xr:uid="{1BBB0375-1BB4-4CD6-8726-F608C822EE9C}"/>
    <cellStyle name="Comma 4 6 2 2 4" xfId="6445" xr:uid="{00000000-0005-0000-0000-0000B4200000}"/>
    <cellStyle name="Comma 4 6 2 2 4 2" xfId="18031" xr:uid="{28036CA2-26DB-4897-A813-1AD7037BC7D6}"/>
    <cellStyle name="Comma 4 6 2 2 4 3" xfId="28447" xr:uid="{67D7375A-FBA2-4C1C-AFD2-8254E2112859}"/>
    <cellStyle name="Comma 4 6 2 2 5" xfId="15691" xr:uid="{CD515D2D-7B25-4F15-91C6-DDFCDC5CFE78}"/>
    <cellStyle name="Comma 4 6 2 2 6" xfId="26107" xr:uid="{9F45A1EE-B941-4CD4-B5E2-A9FB65B8EA83}"/>
    <cellStyle name="Comma 4 6 2 3" xfId="3358" xr:uid="{00000000-0005-0000-0000-0000B5200000}"/>
    <cellStyle name="Comma 4 6 2 3 2" xfId="10509" xr:uid="{00000000-0005-0000-0000-0000B6200000}"/>
    <cellStyle name="Comma 4 6 2 3 2 2" xfId="22055" xr:uid="{472383C2-5205-4264-A0D8-B9CC631DD7BE}"/>
    <cellStyle name="Comma 4 6 2 3 2 3" xfId="32471" xr:uid="{12A13B55-796A-41BF-950E-66142D30C277}"/>
    <cellStyle name="Comma 4 6 2 3 3" xfId="15693" xr:uid="{D353256E-8CEF-4ED7-A29F-39EF34EAF9D8}"/>
    <cellStyle name="Comma 4 6 2 3 4" xfId="26109" xr:uid="{C55D707B-260F-4C4E-B505-58058FA6EC4D}"/>
    <cellStyle name="Comma 4 6 2 4" xfId="10506" xr:uid="{00000000-0005-0000-0000-0000B7200000}"/>
    <cellStyle name="Comma 4 6 2 4 2" xfId="22052" xr:uid="{E15C3DFD-8A93-4813-BDBA-0A764C37FC36}"/>
    <cellStyle name="Comma 4 6 2 4 3" xfId="32468" xr:uid="{68B3AE08-D3E0-411C-AE44-1F790CA12747}"/>
    <cellStyle name="Comma 4 6 2 5" xfId="6444" xr:uid="{00000000-0005-0000-0000-0000B8200000}"/>
    <cellStyle name="Comma 4 6 2 5 2" xfId="18030" xr:uid="{8528755E-814A-433B-A1EC-991DD6B2B807}"/>
    <cellStyle name="Comma 4 6 2 5 3" xfId="28446" xr:uid="{154636C2-5B64-47A8-AED7-F167BB1776D1}"/>
    <cellStyle name="Comma 4 6 2 6" xfId="15690" xr:uid="{8A09DB20-27D3-4469-AFDA-AEE99D2CA008}"/>
    <cellStyle name="Comma 4 6 2 7" xfId="26106" xr:uid="{3951EBC7-482B-4F11-B341-5867511AB169}"/>
    <cellStyle name="Comma 4 6 3" xfId="3359" xr:uid="{00000000-0005-0000-0000-0000B9200000}"/>
    <cellStyle name="Comma 4 6 3 2" xfId="3360" xr:uid="{00000000-0005-0000-0000-0000BA200000}"/>
    <cellStyle name="Comma 4 6 3 2 2" xfId="10511" xr:uid="{00000000-0005-0000-0000-0000BB200000}"/>
    <cellStyle name="Comma 4 6 3 2 2 2" xfId="22057" xr:uid="{BE152FD3-3F29-4874-BBF3-C2958F875B54}"/>
    <cellStyle name="Comma 4 6 3 2 2 3" xfId="32473" xr:uid="{41EDB1B1-1A05-43A8-9F42-4D3ACB28E6CB}"/>
    <cellStyle name="Comma 4 6 3 2 3" xfId="15695" xr:uid="{FDB481A9-38AD-4613-9E64-291FAB2E2D14}"/>
    <cellStyle name="Comma 4 6 3 2 4" xfId="26111" xr:uid="{97A8345F-DA97-443A-A96A-BCA31892E32B}"/>
    <cellStyle name="Comma 4 6 3 3" xfId="10510" xr:uid="{00000000-0005-0000-0000-0000BC200000}"/>
    <cellStyle name="Comma 4 6 3 3 2" xfId="22056" xr:uid="{CC640001-10EF-43BF-AD26-B274E2D3DAE6}"/>
    <cellStyle name="Comma 4 6 3 3 3" xfId="32472" xr:uid="{6C68B7F2-5979-4D32-83EA-4F724736728A}"/>
    <cellStyle name="Comma 4 6 3 4" xfId="6446" xr:uid="{00000000-0005-0000-0000-0000BD200000}"/>
    <cellStyle name="Comma 4 6 3 4 2" xfId="18032" xr:uid="{117FE623-522A-48B0-BD15-8A389691B2A3}"/>
    <cellStyle name="Comma 4 6 3 4 3" xfId="28448" xr:uid="{99C44148-EC3C-4CB6-8D53-878B44DE087F}"/>
    <cellStyle name="Comma 4 6 3 5" xfId="15694" xr:uid="{78A7EF40-3750-480A-8434-BD85C02B9021}"/>
    <cellStyle name="Comma 4 6 3 6" xfId="26110" xr:uid="{0C94EBBA-4590-4749-9510-9C892F63C3E1}"/>
    <cellStyle name="Comma 4 6 4" xfId="3361" xr:uid="{00000000-0005-0000-0000-0000BE200000}"/>
    <cellStyle name="Comma 4 6 4 2" xfId="3362" xr:uid="{00000000-0005-0000-0000-0000BF200000}"/>
    <cellStyle name="Comma 4 6 4 2 2" xfId="10513" xr:uid="{00000000-0005-0000-0000-0000C0200000}"/>
    <cellStyle name="Comma 4 6 4 2 2 2" xfId="22059" xr:uid="{E30C1061-E974-4850-A06B-C6CC1F42893A}"/>
    <cellStyle name="Comma 4 6 4 2 2 3" xfId="32475" xr:uid="{F95E2D0F-2C6D-4B03-B97E-39550232CA73}"/>
    <cellStyle name="Comma 4 6 4 2 3" xfId="15697" xr:uid="{FEA23596-B844-4457-8F23-1B4B23D509F6}"/>
    <cellStyle name="Comma 4 6 4 2 4" xfId="26113" xr:uid="{C85FEC2C-F5C0-4593-AF20-11BAE5104E4E}"/>
    <cellStyle name="Comma 4 6 4 3" xfId="10512" xr:uid="{00000000-0005-0000-0000-0000C1200000}"/>
    <cellStyle name="Comma 4 6 4 3 2" xfId="22058" xr:uid="{9BEE13EB-3BA4-4B86-905B-582BBA6DF8BD}"/>
    <cellStyle name="Comma 4 6 4 3 3" xfId="32474" xr:uid="{01713124-4A09-4568-94EE-E18F87F1ED09}"/>
    <cellStyle name="Comma 4 6 4 4" xfId="6447" xr:uid="{00000000-0005-0000-0000-0000C2200000}"/>
    <cellStyle name="Comma 4 6 4 4 2" xfId="18033" xr:uid="{696B860D-02DA-4A64-9151-EF57109EB3D8}"/>
    <cellStyle name="Comma 4 6 4 4 3" xfId="28449" xr:uid="{96CD256C-ECCA-40B3-8827-60A4DAE56D94}"/>
    <cellStyle name="Comma 4 6 4 5" xfId="15696" xr:uid="{DABC56BB-B468-4955-80C8-2D7E6727A896}"/>
    <cellStyle name="Comma 4 6 4 6" xfId="26112" xr:uid="{1E9DAA91-59D6-4D95-A26E-B03A638E83C1}"/>
    <cellStyle name="Comma 4 6 5" xfId="3363" xr:uid="{00000000-0005-0000-0000-0000C3200000}"/>
    <cellStyle name="Comma 4 6 5 2" xfId="10514" xr:uid="{00000000-0005-0000-0000-0000C4200000}"/>
    <cellStyle name="Comma 4 6 5 2 2" xfId="22060" xr:uid="{6A333F75-1DA8-4672-BDC3-38C8DC51EF9F}"/>
    <cellStyle name="Comma 4 6 5 2 3" xfId="32476" xr:uid="{B808E26D-EA54-4EA6-8602-CBCAB0D202E2}"/>
    <cellStyle name="Comma 4 6 5 3" xfId="15698" xr:uid="{EA5A497C-D94C-4BF9-9D0C-52C2C6B99F6F}"/>
    <cellStyle name="Comma 4 6 5 4" xfId="26114" xr:uid="{30D7D53A-72E2-4762-840F-D9D89365193C}"/>
    <cellStyle name="Comma 4 6 6" xfId="10505" xr:uid="{00000000-0005-0000-0000-0000C5200000}"/>
    <cellStyle name="Comma 4 6 6 2" xfId="22051" xr:uid="{A1B007AD-0695-4377-B274-9BD7C512E947}"/>
    <cellStyle name="Comma 4 6 6 3" xfId="32467" xr:uid="{2308FD94-91ED-40FD-9D19-8A2E2D440870}"/>
    <cellStyle name="Comma 4 6 7" xfId="6443" xr:uid="{00000000-0005-0000-0000-0000C6200000}"/>
    <cellStyle name="Comma 4 6 7 2" xfId="18029" xr:uid="{41E7D852-77C2-40A8-B32A-4E681F4295F3}"/>
    <cellStyle name="Comma 4 6 7 3" xfId="28445" xr:uid="{AED7C355-7D5A-4450-AC9C-C60FA30FB7D0}"/>
    <cellStyle name="Comma 4 6 8" xfId="15689" xr:uid="{B5993939-11BC-424D-9F59-A248115B5A45}"/>
    <cellStyle name="Comma 4 6 9" xfId="26105" xr:uid="{EB7F9896-2112-473D-94FF-9E662599F811}"/>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2 2 2" xfId="22064" xr:uid="{622B713A-4CBF-4026-B37F-D1C0D0339FAC}"/>
    <cellStyle name="Comma 4 7 2 2 2 2 3" xfId="32480" xr:uid="{CE6014AE-BED0-4E80-BFA2-4312C0422208}"/>
    <cellStyle name="Comma 4 7 2 2 2 3" xfId="15702" xr:uid="{598D121A-1584-486F-B92A-13BDC44027C0}"/>
    <cellStyle name="Comma 4 7 2 2 2 4" xfId="26118" xr:uid="{264AE799-A465-45F5-BCCD-112F43582933}"/>
    <cellStyle name="Comma 4 7 2 2 3" xfId="10517" xr:uid="{00000000-0005-0000-0000-0000CC200000}"/>
    <cellStyle name="Comma 4 7 2 2 3 2" xfId="22063" xr:uid="{999F588D-6AD3-417B-8069-EFAB4E9F3E9C}"/>
    <cellStyle name="Comma 4 7 2 2 3 3" xfId="32479" xr:uid="{8187F098-6F39-41A0-B740-A712775BBBC4}"/>
    <cellStyle name="Comma 4 7 2 2 4" xfId="6450" xr:uid="{00000000-0005-0000-0000-0000CD200000}"/>
    <cellStyle name="Comma 4 7 2 2 4 2" xfId="18036" xr:uid="{78BF0112-A2EC-4DA9-B340-9A4165D8B58E}"/>
    <cellStyle name="Comma 4 7 2 2 4 3" xfId="28452" xr:uid="{D0FFCD04-9BA2-4977-B37F-082E5B1425EF}"/>
    <cellStyle name="Comma 4 7 2 2 5" xfId="15701" xr:uid="{6E1B0D64-D0B8-4ABA-A288-75F356326C32}"/>
    <cellStyle name="Comma 4 7 2 2 6" xfId="26117" xr:uid="{F5908CE8-3E4D-4063-8AD9-35AE6B00848D}"/>
    <cellStyle name="Comma 4 7 2 3" xfId="3368" xr:uid="{00000000-0005-0000-0000-0000CE200000}"/>
    <cellStyle name="Comma 4 7 2 3 2" xfId="10519" xr:uid="{00000000-0005-0000-0000-0000CF200000}"/>
    <cellStyle name="Comma 4 7 2 3 2 2" xfId="22065" xr:uid="{682805E2-9AAE-4930-80D4-D8A29581DF60}"/>
    <cellStyle name="Comma 4 7 2 3 2 3" xfId="32481" xr:uid="{15B13B6C-2FB7-4664-9729-869538C8F59C}"/>
    <cellStyle name="Comma 4 7 2 3 3" xfId="15703" xr:uid="{673FF8DA-484C-448C-9B17-9AE6CEB9FF14}"/>
    <cellStyle name="Comma 4 7 2 3 4" xfId="26119" xr:uid="{51C0349E-9895-4EF3-BE4F-472F7B418D0E}"/>
    <cellStyle name="Comma 4 7 2 4" xfId="10516" xr:uid="{00000000-0005-0000-0000-0000D0200000}"/>
    <cellStyle name="Comma 4 7 2 4 2" xfId="22062" xr:uid="{BECF203E-2B78-4767-860C-9BACB2908A0E}"/>
    <cellStyle name="Comma 4 7 2 4 3" xfId="32478" xr:uid="{80738C81-CB3A-4643-8D9A-DE5B42523D13}"/>
    <cellStyle name="Comma 4 7 2 5" xfId="6449" xr:uid="{00000000-0005-0000-0000-0000D1200000}"/>
    <cellStyle name="Comma 4 7 2 5 2" xfId="18035" xr:uid="{943C5DCE-205B-4F50-9ACF-A8A7BEF17D2F}"/>
    <cellStyle name="Comma 4 7 2 5 3" xfId="28451" xr:uid="{E79C8C24-E963-4FA8-A5B3-56A84D5418CA}"/>
    <cellStyle name="Comma 4 7 2 6" xfId="15700" xr:uid="{15614F30-EDA1-40BE-893E-2BAE71BAB77E}"/>
    <cellStyle name="Comma 4 7 2 7" xfId="26116" xr:uid="{97676422-0A07-4072-9959-6EBB5165ADF8}"/>
    <cellStyle name="Comma 4 7 3" xfId="3369" xr:uid="{00000000-0005-0000-0000-0000D2200000}"/>
    <cellStyle name="Comma 4 7 3 2" xfId="3370" xr:uid="{00000000-0005-0000-0000-0000D3200000}"/>
    <cellStyle name="Comma 4 7 3 2 2" xfId="10521" xr:uid="{00000000-0005-0000-0000-0000D4200000}"/>
    <cellStyle name="Comma 4 7 3 2 2 2" xfId="22067" xr:uid="{1AE1485C-BFD4-4C7A-9E72-014C485E0C56}"/>
    <cellStyle name="Comma 4 7 3 2 2 3" xfId="32483" xr:uid="{38066B12-7D76-4AEB-B62C-9F9967D30701}"/>
    <cellStyle name="Comma 4 7 3 2 3" xfId="15705" xr:uid="{89152EF8-7907-4C3E-BF94-D533B94F0D72}"/>
    <cellStyle name="Comma 4 7 3 2 4" xfId="26121" xr:uid="{B73FA8C7-2B63-4075-B9D3-963B36552220}"/>
    <cellStyle name="Comma 4 7 3 3" xfId="10520" xr:uid="{00000000-0005-0000-0000-0000D5200000}"/>
    <cellStyle name="Comma 4 7 3 3 2" xfId="22066" xr:uid="{FD1333F3-BC63-4F55-A42C-FB0A6203ACCB}"/>
    <cellStyle name="Comma 4 7 3 3 3" xfId="32482" xr:uid="{37B92621-BA03-4604-999F-70C76737910A}"/>
    <cellStyle name="Comma 4 7 3 4" xfId="6451" xr:uid="{00000000-0005-0000-0000-0000D6200000}"/>
    <cellStyle name="Comma 4 7 3 4 2" xfId="18037" xr:uid="{9FFF18C4-5504-48A9-94C7-9B73AC9FCA10}"/>
    <cellStyle name="Comma 4 7 3 4 3" xfId="28453" xr:uid="{09EA493D-9F77-4D89-BA37-5822C1CFA776}"/>
    <cellStyle name="Comma 4 7 3 5" xfId="15704" xr:uid="{BCB867A7-06BE-4194-9B4F-107047BBC442}"/>
    <cellStyle name="Comma 4 7 3 6" xfId="26120" xr:uid="{9903DDED-46D1-48D1-A7B6-5F21BF8E6C59}"/>
    <cellStyle name="Comma 4 7 4" xfId="3371" xr:uid="{00000000-0005-0000-0000-0000D7200000}"/>
    <cellStyle name="Comma 4 7 4 2" xfId="3372" xr:uid="{00000000-0005-0000-0000-0000D8200000}"/>
    <cellStyle name="Comma 4 7 4 2 2" xfId="10523" xr:uid="{00000000-0005-0000-0000-0000D9200000}"/>
    <cellStyle name="Comma 4 7 4 2 2 2" xfId="22069" xr:uid="{3E17E5D9-1DF6-4A00-B2F0-F201B707277E}"/>
    <cellStyle name="Comma 4 7 4 2 2 3" xfId="32485" xr:uid="{AD0BB906-483C-4C1B-8DBD-BED5C132C19E}"/>
    <cellStyle name="Comma 4 7 4 2 3" xfId="15707" xr:uid="{1A171C3C-10A8-4542-A2A3-71B3F12D7E23}"/>
    <cellStyle name="Comma 4 7 4 2 4" xfId="26123" xr:uid="{1BFBEBE6-73BE-409B-977C-DDAA4A3E6737}"/>
    <cellStyle name="Comma 4 7 4 3" xfId="10522" xr:uid="{00000000-0005-0000-0000-0000DA200000}"/>
    <cellStyle name="Comma 4 7 4 3 2" xfId="22068" xr:uid="{22D791C4-7906-4527-A5E5-07F07CF94B0F}"/>
    <cellStyle name="Comma 4 7 4 3 3" xfId="32484" xr:uid="{90977F06-3E85-4B26-A8EE-73AC2260B2EF}"/>
    <cellStyle name="Comma 4 7 4 4" xfId="6452" xr:uid="{00000000-0005-0000-0000-0000DB200000}"/>
    <cellStyle name="Comma 4 7 4 4 2" xfId="18038" xr:uid="{850AD2C3-74E7-430E-984D-A0167FFA2539}"/>
    <cellStyle name="Comma 4 7 4 4 3" xfId="28454" xr:uid="{C3B832D3-A2B0-408B-B2E4-5E30A6989795}"/>
    <cellStyle name="Comma 4 7 4 5" xfId="15706" xr:uid="{F0C990D1-426C-4687-BD9A-9675C727BF49}"/>
    <cellStyle name="Comma 4 7 4 6" xfId="26122" xr:uid="{18D3E84F-4352-4BA8-B5B2-A9B15497ACB5}"/>
    <cellStyle name="Comma 4 7 5" xfId="3373" xr:uid="{00000000-0005-0000-0000-0000DC200000}"/>
    <cellStyle name="Comma 4 7 5 2" xfId="10524" xr:uid="{00000000-0005-0000-0000-0000DD200000}"/>
    <cellStyle name="Comma 4 7 5 2 2" xfId="22070" xr:uid="{2E7A0E40-3006-4C8A-87C0-8EAC13EB48E6}"/>
    <cellStyle name="Comma 4 7 5 2 3" xfId="32486" xr:uid="{D2C6CD07-C2D3-4908-B14D-AEB5DF9535F3}"/>
    <cellStyle name="Comma 4 7 5 3" xfId="15708" xr:uid="{640C1692-FF1A-4032-9F92-B6C88B26C6D0}"/>
    <cellStyle name="Comma 4 7 5 4" xfId="26124" xr:uid="{C9D1BF7F-29A8-4C41-B0F8-3A19B931EAB8}"/>
    <cellStyle name="Comma 4 7 6" xfId="10515" xr:uid="{00000000-0005-0000-0000-0000DE200000}"/>
    <cellStyle name="Comma 4 7 6 2" xfId="22061" xr:uid="{6F0998B5-982C-4BAB-8019-23B3755E008B}"/>
    <cellStyle name="Comma 4 7 6 3" xfId="32477" xr:uid="{8072B4CF-2F8B-4A34-9A5F-6D28D1DE2CAB}"/>
    <cellStyle name="Comma 4 7 7" xfId="6448" xr:uid="{00000000-0005-0000-0000-0000DF200000}"/>
    <cellStyle name="Comma 4 7 7 2" xfId="18034" xr:uid="{E3C03C7C-6F6E-49C6-8C3D-B6C0F05EABEB}"/>
    <cellStyle name="Comma 4 7 7 3" xfId="28450" xr:uid="{6223845E-B6C0-4350-B8F0-2EF6CDD33FDE}"/>
    <cellStyle name="Comma 4 7 8" xfId="15699" xr:uid="{D7D80267-E969-4ACA-9D4E-B3F163A2B602}"/>
    <cellStyle name="Comma 4 7 9" xfId="26115" xr:uid="{BF90EF21-0156-4D22-ABF9-01567865F962}"/>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2 2 2" xfId="22074" xr:uid="{CB461F04-E4F6-49D1-882E-C6C57529C15D}"/>
    <cellStyle name="Comma 4 8 2 2 2 2 3" xfId="32490" xr:uid="{E86B5D26-182C-47FE-A054-A8E5EC851C30}"/>
    <cellStyle name="Comma 4 8 2 2 2 3" xfId="15712" xr:uid="{2DFE90B6-8E30-4619-902A-6B25F80C18B3}"/>
    <cellStyle name="Comma 4 8 2 2 2 4" xfId="26128" xr:uid="{A0714E69-B674-4275-91D2-886A102817E4}"/>
    <cellStyle name="Comma 4 8 2 2 3" xfId="10527" xr:uid="{00000000-0005-0000-0000-0000E5200000}"/>
    <cellStyle name="Comma 4 8 2 2 3 2" xfId="22073" xr:uid="{CEDA4BC3-AAF2-4BD7-B0EF-69133355AE25}"/>
    <cellStyle name="Comma 4 8 2 2 3 3" xfId="32489" xr:uid="{C0A4C1C2-8CC8-4F84-9548-BA9A72320960}"/>
    <cellStyle name="Comma 4 8 2 2 4" xfId="6455" xr:uid="{00000000-0005-0000-0000-0000E6200000}"/>
    <cellStyle name="Comma 4 8 2 2 4 2" xfId="18041" xr:uid="{0B1E639B-856A-4C29-9C6B-4E6709EE5D74}"/>
    <cellStyle name="Comma 4 8 2 2 4 3" xfId="28457" xr:uid="{915DA567-A669-40B1-A46A-01201270CAD5}"/>
    <cellStyle name="Comma 4 8 2 2 5" xfId="15711" xr:uid="{3133755F-A640-45A4-B38A-AF2E5DD9ACD7}"/>
    <cellStyle name="Comma 4 8 2 2 6" xfId="26127" xr:uid="{F429158C-E44D-4D7A-B1E2-8272C81B8959}"/>
    <cellStyle name="Comma 4 8 2 3" xfId="3378" xr:uid="{00000000-0005-0000-0000-0000E7200000}"/>
    <cellStyle name="Comma 4 8 2 3 2" xfId="10529" xr:uid="{00000000-0005-0000-0000-0000E8200000}"/>
    <cellStyle name="Comma 4 8 2 3 2 2" xfId="22075" xr:uid="{1F80FB30-D223-4F42-BDD9-043306E5796F}"/>
    <cellStyle name="Comma 4 8 2 3 2 3" xfId="32491" xr:uid="{B0B98512-E608-4847-BC98-1712D78CC683}"/>
    <cellStyle name="Comma 4 8 2 3 3" xfId="15713" xr:uid="{A7F251B6-C23B-482B-AB11-D6BBB5802DD7}"/>
    <cellStyle name="Comma 4 8 2 3 4" xfId="26129" xr:uid="{C2D6CBC2-DB0C-480A-9BBF-7A01D1395F65}"/>
    <cellStyle name="Comma 4 8 2 4" xfId="10526" xr:uid="{00000000-0005-0000-0000-0000E9200000}"/>
    <cellStyle name="Comma 4 8 2 4 2" xfId="22072" xr:uid="{C4E707F5-9AD9-4163-BF5B-94043A306340}"/>
    <cellStyle name="Comma 4 8 2 4 3" xfId="32488" xr:uid="{9EF946C0-F03D-4F37-8AC1-46078D507206}"/>
    <cellStyle name="Comma 4 8 2 5" xfId="6454" xr:uid="{00000000-0005-0000-0000-0000EA200000}"/>
    <cellStyle name="Comma 4 8 2 5 2" xfId="18040" xr:uid="{9802B52C-7488-45AF-ADD2-CFAB550FB59F}"/>
    <cellStyle name="Comma 4 8 2 5 3" xfId="28456" xr:uid="{C5B5708D-8DE9-48D5-B1DA-AE3F1C908716}"/>
    <cellStyle name="Comma 4 8 2 6" xfId="15710" xr:uid="{6C977851-F09B-4F0E-9611-197538CC873E}"/>
    <cellStyle name="Comma 4 8 2 7" xfId="26126" xr:uid="{115E87D2-FC06-4117-84CF-381B9B0449FC}"/>
    <cellStyle name="Comma 4 8 3" xfId="3379" xr:uid="{00000000-0005-0000-0000-0000EB200000}"/>
    <cellStyle name="Comma 4 8 3 2" xfId="3380" xr:uid="{00000000-0005-0000-0000-0000EC200000}"/>
    <cellStyle name="Comma 4 8 3 2 2" xfId="10531" xr:uid="{00000000-0005-0000-0000-0000ED200000}"/>
    <cellStyle name="Comma 4 8 3 2 2 2" xfId="22077" xr:uid="{DE0D079F-BFC0-438F-86B3-75CD8D20EAE2}"/>
    <cellStyle name="Comma 4 8 3 2 2 3" xfId="32493" xr:uid="{AAD9CE21-874F-41D9-8585-ADFF030225A9}"/>
    <cellStyle name="Comma 4 8 3 2 3" xfId="15715" xr:uid="{0F368E7C-CD24-442B-8E2F-55DE909F2903}"/>
    <cellStyle name="Comma 4 8 3 2 4" xfId="26131" xr:uid="{5C333516-ED3E-436A-A762-07BF9B5FDF01}"/>
    <cellStyle name="Comma 4 8 3 3" xfId="10530" xr:uid="{00000000-0005-0000-0000-0000EE200000}"/>
    <cellStyle name="Comma 4 8 3 3 2" xfId="22076" xr:uid="{C67B893E-FF2E-480D-AF06-937924107E62}"/>
    <cellStyle name="Comma 4 8 3 3 3" xfId="32492" xr:uid="{26854EB8-1BBC-4FCB-B869-5D094EC3AFFB}"/>
    <cellStyle name="Comma 4 8 3 4" xfId="6456" xr:uid="{00000000-0005-0000-0000-0000EF200000}"/>
    <cellStyle name="Comma 4 8 3 4 2" xfId="18042" xr:uid="{C1DD17DA-7198-414E-BA39-D36AC08969C9}"/>
    <cellStyle name="Comma 4 8 3 4 3" xfId="28458" xr:uid="{E722F613-B119-4CC3-9C45-2479935081A8}"/>
    <cellStyle name="Comma 4 8 3 5" xfId="15714" xr:uid="{CBB98D8B-79F5-4C8B-863F-79E3D8A46F69}"/>
    <cellStyle name="Comma 4 8 3 6" xfId="26130" xr:uid="{4C7CD28E-4692-40C7-9F4F-76DBEFA37B1E}"/>
    <cellStyle name="Comma 4 8 4" xfId="3381" xr:uid="{00000000-0005-0000-0000-0000F0200000}"/>
    <cellStyle name="Comma 4 8 4 2" xfId="3382" xr:uid="{00000000-0005-0000-0000-0000F1200000}"/>
    <cellStyle name="Comma 4 8 4 2 2" xfId="10533" xr:uid="{00000000-0005-0000-0000-0000F2200000}"/>
    <cellStyle name="Comma 4 8 4 2 2 2" xfId="22079" xr:uid="{6E41E487-BDAF-44A5-B22B-B8873EC46390}"/>
    <cellStyle name="Comma 4 8 4 2 2 3" xfId="32495" xr:uid="{A50D8DD8-DC3B-46BB-A881-4F7195081C45}"/>
    <cellStyle name="Comma 4 8 4 2 3" xfId="15717" xr:uid="{7A610FB3-00EB-42CA-912D-84B97B628E29}"/>
    <cellStyle name="Comma 4 8 4 2 4" xfId="26133" xr:uid="{2CCDD38C-5B2F-49A7-8F13-7FFD038FA2B7}"/>
    <cellStyle name="Comma 4 8 4 3" xfId="10532" xr:uid="{00000000-0005-0000-0000-0000F3200000}"/>
    <cellStyle name="Comma 4 8 4 3 2" xfId="22078" xr:uid="{13E4A900-E67B-4860-B100-6F53C98FF8F3}"/>
    <cellStyle name="Comma 4 8 4 3 3" xfId="32494" xr:uid="{56A2075C-CECA-4143-BA39-C560016EC916}"/>
    <cellStyle name="Comma 4 8 4 4" xfId="6457" xr:uid="{00000000-0005-0000-0000-0000F4200000}"/>
    <cellStyle name="Comma 4 8 4 4 2" xfId="18043" xr:uid="{89F19461-501F-44D1-A7C9-405F1458BC97}"/>
    <cellStyle name="Comma 4 8 4 4 3" xfId="28459" xr:uid="{51E963A3-5DCE-463F-AF95-823F52D301A1}"/>
    <cellStyle name="Comma 4 8 4 5" xfId="15716" xr:uid="{5E523145-FEBA-4C8D-A9FA-FED3CA9BAF15}"/>
    <cellStyle name="Comma 4 8 4 6" xfId="26132" xr:uid="{FFCC560A-27D7-4FCC-BE73-B46A54FD5E1E}"/>
    <cellStyle name="Comma 4 8 5" xfId="3383" xr:uid="{00000000-0005-0000-0000-0000F5200000}"/>
    <cellStyle name="Comma 4 8 5 2" xfId="10534" xr:uid="{00000000-0005-0000-0000-0000F6200000}"/>
    <cellStyle name="Comma 4 8 5 2 2" xfId="22080" xr:uid="{997D6B6B-0757-478B-AD3E-DA46FAC0F405}"/>
    <cellStyle name="Comma 4 8 5 2 3" xfId="32496" xr:uid="{A5CD6F53-9B59-40D4-978F-3B0FE42D230F}"/>
    <cellStyle name="Comma 4 8 5 3" xfId="15718" xr:uid="{1EC52D05-5135-4E88-B07C-B8914F2F4ED6}"/>
    <cellStyle name="Comma 4 8 5 4" xfId="26134" xr:uid="{9883E745-8053-4C60-BED6-6D486859B42A}"/>
    <cellStyle name="Comma 4 8 6" xfId="10525" xr:uid="{00000000-0005-0000-0000-0000F7200000}"/>
    <cellStyle name="Comma 4 8 6 2" xfId="22071" xr:uid="{9AC4348F-09B8-434A-85A3-E535FDCB0495}"/>
    <cellStyle name="Comma 4 8 6 3" xfId="32487" xr:uid="{05BAFD52-9537-4DB6-AD18-04371754230C}"/>
    <cellStyle name="Comma 4 8 7" xfId="6453" xr:uid="{00000000-0005-0000-0000-0000F8200000}"/>
    <cellStyle name="Comma 4 8 7 2" xfId="18039" xr:uid="{73296CA1-BD51-46B1-B9FF-C0D76A01BE58}"/>
    <cellStyle name="Comma 4 8 7 3" xfId="28455" xr:uid="{9E40F413-C1D6-4253-B1CA-95C8E7C19E21}"/>
    <cellStyle name="Comma 4 8 8" xfId="15709" xr:uid="{48DD9AFB-0036-46FE-B5A9-E9F510C32017}"/>
    <cellStyle name="Comma 4 8 9" xfId="26125" xr:uid="{F73A2ED9-C543-4810-9AAD-79E76F6AC84E}"/>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2 2 2" xfId="22084" xr:uid="{9ECC7B20-378C-4B70-9565-AEDA6F3BB54A}"/>
    <cellStyle name="Comma 4 9 2 2 2 2 3" xfId="32500" xr:uid="{D8E32990-E741-4FED-8D64-3EE1332E0CC3}"/>
    <cellStyle name="Comma 4 9 2 2 2 3" xfId="15722" xr:uid="{41C94949-6697-4B16-8C36-D1544526A092}"/>
    <cellStyle name="Comma 4 9 2 2 2 4" xfId="26138" xr:uid="{9B9D0CF0-F69E-4DA0-8B47-11D01C1DFF23}"/>
    <cellStyle name="Comma 4 9 2 2 3" xfId="10537" xr:uid="{00000000-0005-0000-0000-0000FE200000}"/>
    <cellStyle name="Comma 4 9 2 2 3 2" xfId="22083" xr:uid="{C216DB00-1FE1-44F7-B76D-A35DD34529B8}"/>
    <cellStyle name="Comma 4 9 2 2 3 3" xfId="32499" xr:uid="{BBBA34D4-946E-4B20-A85C-4288B8F8B879}"/>
    <cellStyle name="Comma 4 9 2 2 4" xfId="6460" xr:uid="{00000000-0005-0000-0000-0000FF200000}"/>
    <cellStyle name="Comma 4 9 2 2 4 2" xfId="18046" xr:uid="{6E330721-6F4A-4C90-85B4-F183FE92EF31}"/>
    <cellStyle name="Comma 4 9 2 2 4 3" xfId="28462" xr:uid="{B7E0B2C7-3063-4684-A76E-FEDA5AF9700F}"/>
    <cellStyle name="Comma 4 9 2 2 5" xfId="15721" xr:uid="{B269DCF2-F678-4D22-9567-A174EEC32099}"/>
    <cellStyle name="Comma 4 9 2 2 6" xfId="26137" xr:uid="{4368C2B8-3C61-478C-BA6D-C3EA99DD2842}"/>
    <cellStyle name="Comma 4 9 2 3" xfId="3388" xr:uid="{00000000-0005-0000-0000-000000210000}"/>
    <cellStyle name="Comma 4 9 2 3 2" xfId="10539" xr:uid="{00000000-0005-0000-0000-000001210000}"/>
    <cellStyle name="Comma 4 9 2 3 2 2" xfId="22085" xr:uid="{B03D5EBF-EFD3-4525-BD82-136960514A01}"/>
    <cellStyle name="Comma 4 9 2 3 2 3" xfId="32501" xr:uid="{77D4747F-322F-4AD7-B522-79D562C6B749}"/>
    <cellStyle name="Comma 4 9 2 3 3" xfId="15723" xr:uid="{4D10E5AA-2931-4EEE-B8CB-556FD1570CFF}"/>
    <cellStyle name="Comma 4 9 2 3 4" xfId="26139" xr:uid="{BE00443D-C7E7-4F40-93F6-0DADF8BCF6C8}"/>
    <cellStyle name="Comma 4 9 2 4" xfId="10536" xr:uid="{00000000-0005-0000-0000-000002210000}"/>
    <cellStyle name="Comma 4 9 2 4 2" xfId="22082" xr:uid="{AF36B14A-0C25-4799-BD07-ED3B8338235C}"/>
    <cellStyle name="Comma 4 9 2 4 3" xfId="32498" xr:uid="{1E139864-ED7C-41BB-BEE5-D61D617FE273}"/>
    <cellStyle name="Comma 4 9 2 5" xfId="6459" xr:uid="{00000000-0005-0000-0000-000003210000}"/>
    <cellStyle name="Comma 4 9 2 5 2" xfId="18045" xr:uid="{0B34267F-F699-4180-875D-1AFA16B993B6}"/>
    <cellStyle name="Comma 4 9 2 5 3" xfId="28461" xr:uid="{300EA8A3-AD04-44A7-A3FF-B38E28ADB677}"/>
    <cellStyle name="Comma 4 9 2 6" xfId="15720" xr:uid="{239ED870-0ACD-4E7B-BB77-05DC14492720}"/>
    <cellStyle name="Comma 4 9 2 7" xfId="26136" xr:uid="{34AE1D9D-227F-48B0-9F51-5153ECE3EEB8}"/>
    <cellStyle name="Comma 4 9 3" xfId="3389" xr:uid="{00000000-0005-0000-0000-000004210000}"/>
    <cellStyle name="Comma 4 9 3 2" xfId="3390" xr:uid="{00000000-0005-0000-0000-000005210000}"/>
    <cellStyle name="Comma 4 9 3 2 2" xfId="10541" xr:uid="{00000000-0005-0000-0000-000006210000}"/>
    <cellStyle name="Comma 4 9 3 2 2 2" xfId="22087" xr:uid="{49B8EBCC-BF0C-4A8E-B94A-74E01A719430}"/>
    <cellStyle name="Comma 4 9 3 2 2 3" xfId="32503" xr:uid="{731A37C3-154D-4321-B83E-4FC9D8B03088}"/>
    <cellStyle name="Comma 4 9 3 2 3" xfId="15725" xr:uid="{AC811F3D-F195-4FFE-8922-09BEB70803A8}"/>
    <cellStyle name="Comma 4 9 3 2 4" xfId="26141" xr:uid="{B82AA7B9-EEB1-4DE5-9CF5-E32348CA2DDE}"/>
    <cellStyle name="Comma 4 9 3 3" xfId="10540" xr:uid="{00000000-0005-0000-0000-000007210000}"/>
    <cellStyle name="Comma 4 9 3 3 2" xfId="22086" xr:uid="{AC780C34-FD96-4DD9-923B-242AA3535A58}"/>
    <cellStyle name="Comma 4 9 3 3 3" xfId="32502" xr:uid="{9E0160C8-9787-40D9-AC8A-09A19549C8D9}"/>
    <cellStyle name="Comma 4 9 3 4" xfId="6461" xr:uid="{00000000-0005-0000-0000-000008210000}"/>
    <cellStyle name="Comma 4 9 3 4 2" xfId="18047" xr:uid="{BB02A744-3B55-4E67-9449-3B6CFDE6DFE2}"/>
    <cellStyle name="Comma 4 9 3 4 3" xfId="28463" xr:uid="{0B3BFB24-B998-404B-BCF4-FB4397D6C0F0}"/>
    <cellStyle name="Comma 4 9 3 5" xfId="15724" xr:uid="{98551C87-9561-4EB5-8815-3D9C8115AAF9}"/>
    <cellStyle name="Comma 4 9 3 6" xfId="26140" xr:uid="{832C7199-84B2-48A8-B045-3D6ACCC82715}"/>
    <cellStyle name="Comma 4 9 4" xfId="3391" xr:uid="{00000000-0005-0000-0000-000009210000}"/>
    <cellStyle name="Comma 4 9 4 2" xfId="3392" xr:uid="{00000000-0005-0000-0000-00000A210000}"/>
    <cellStyle name="Comma 4 9 4 2 2" xfId="10543" xr:uid="{00000000-0005-0000-0000-00000B210000}"/>
    <cellStyle name="Comma 4 9 4 2 2 2" xfId="22089" xr:uid="{55049061-D4A6-4D79-A752-FA6B12882750}"/>
    <cellStyle name="Comma 4 9 4 2 2 3" xfId="32505" xr:uid="{61D52970-CEE7-4338-956B-3A33209654D3}"/>
    <cellStyle name="Comma 4 9 4 2 3" xfId="15727" xr:uid="{3EA31995-889C-43DB-BE7B-90CA662B9323}"/>
    <cellStyle name="Comma 4 9 4 2 4" xfId="26143" xr:uid="{C3066D8A-2D29-45DC-B1C5-E38C406D3331}"/>
    <cellStyle name="Comma 4 9 4 3" xfId="10542" xr:uid="{00000000-0005-0000-0000-00000C210000}"/>
    <cellStyle name="Comma 4 9 4 3 2" xfId="22088" xr:uid="{D6C33B74-0E16-46AE-B29A-B8CD4BC62DB0}"/>
    <cellStyle name="Comma 4 9 4 3 3" xfId="32504" xr:uid="{3EF5E614-3BFB-4404-AA45-6FDDE98631B6}"/>
    <cellStyle name="Comma 4 9 4 4" xfId="6462" xr:uid="{00000000-0005-0000-0000-00000D210000}"/>
    <cellStyle name="Comma 4 9 4 4 2" xfId="18048" xr:uid="{C63D80D4-E66E-41B0-8F33-E677EA1D8B3D}"/>
    <cellStyle name="Comma 4 9 4 4 3" xfId="28464" xr:uid="{0E5C0B16-912F-48E2-87C3-C4B483D1EE46}"/>
    <cellStyle name="Comma 4 9 4 5" xfId="15726" xr:uid="{FD242BDC-92BE-451A-B51C-4FD2BA5F2E4B}"/>
    <cellStyle name="Comma 4 9 4 6" xfId="26142" xr:uid="{0EEC679F-6C65-4BDE-B6C5-DBE721A83865}"/>
    <cellStyle name="Comma 4 9 5" xfId="3393" xr:uid="{00000000-0005-0000-0000-00000E210000}"/>
    <cellStyle name="Comma 4 9 5 2" xfId="10544" xr:uid="{00000000-0005-0000-0000-00000F210000}"/>
    <cellStyle name="Comma 4 9 5 2 2" xfId="22090" xr:uid="{268020EA-9420-439D-B2A0-4F4611F7BFD1}"/>
    <cellStyle name="Comma 4 9 5 2 3" xfId="32506" xr:uid="{65DC0D27-7BBD-479B-9281-D946F9D86C9E}"/>
    <cellStyle name="Comma 4 9 5 3" xfId="15728" xr:uid="{86E6BACE-7461-451C-9860-2F1DECE55052}"/>
    <cellStyle name="Comma 4 9 5 4" xfId="26144" xr:uid="{D38AB28D-821F-4916-A60C-EAF5B472E88B}"/>
    <cellStyle name="Comma 4 9 6" xfId="10535" xr:uid="{00000000-0005-0000-0000-000010210000}"/>
    <cellStyle name="Comma 4 9 6 2" xfId="22081" xr:uid="{F5423B74-403C-4E77-B5C9-CE59C62BEA95}"/>
    <cellStyle name="Comma 4 9 6 3" xfId="32497" xr:uid="{245706E6-2B74-4049-A0F1-C30EDF373205}"/>
    <cellStyle name="Comma 4 9 7" xfId="6458" xr:uid="{00000000-0005-0000-0000-000011210000}"/>
    <cellStyle name="Comma 4 9 7 2" xfId="18044" xr:uid="{766DFC17-C673-4F00-ABAD-F30F83B92619}"/>
    <cellStyle name="Comma 4 9 7 3" xfId="28460" xr:uid="{8005DC65-3802-4D5C-BFAC-39E1ABAA14B6}"/>
    <cellStyle name="Comma 4 9 8" xfId="15719" xr:uid="{9C1E0465-BF69-4B1F-95CD-DBA213FA1853}"/>
    <cellStyle name="Comma 4 9 9" xfId="26135" xr:uid="{52D029E1-EA1A-4F51-8DA7-94F37D8ECF6E}"/>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2 2 2" xfId="22094" xr:uid="{BAC40C30-7529-4904-9188-AEA01263CD56}"/>
    <cellStyle name="Comma 5 10 2 2 2 3" xfId="32510" xr:uid="{40E743FC-DE49-41BF-88DB-B7BB5C957DA1}"/>
    <cellStyle name="Comma 5 10 2 2 3" xfId="15732" xr:uid="{78153A3B-080D-438A-B3D8-C4215E0FAE6C}"/>
    <cellStyle name="Comma 5 10 2 2 4" xfId="26148" xr:uid="{AEC2F1D3-0E3D-43AF-9DF7-756AA13E8185}"/>
    <cellStyle name="Comma 5 10 2 3" xfId="10547" xr:uid="{00000000-0005-0000-0000-000017210000}"/>
    <cellStyle name="Comma 5 10 2 3 2" xfId="22093" xr:uid="{5B69AEF8-C742-461B-B9D2-80947669447A}"/>
    <cellStyle name="Comma 5 10 2 3 3" xfId="32509" xr:uid="{BB5B27EB-20E4-4722-9040-C965DC614B3C}"/>
    <cellStyle name="Comma 5 10 2 4" xfId="6465" xr:uid="{00000000-0005-0000-0000-000018210000}"/>
    <cellStyle name="Comma 5 10 2 4 2" xfId="18051" xr:uid="{B7B39007-AF8F-4F88-B0FF-3C089613D1A7}"/>
    <cellStyle name="Comma 5 10 2 4 3" xfId="28467" xr:uid="{CBE61CFF-1E95-46C8-973C-748685F76E87}"/>
    <cellStyle name="Comma 5 10 2 5" xfId="15731" xr:uid="{67FFB9E0-DFEA-406E-A4E2-EB7DD969AD4E}"/>
    <cellStyle name="Comma 5 10 2 6" xfId="26147" xr:uid="{94414664-F11C-4AFE-8E7D-143B29450384}"/>
    <cellStyle name="Comma 5 10 3" xfId="3398" xr:uid="{00000000-0005-0000-0000-000019210000}"/>
    <cellStyle name="Comma 5 10 3 2" xfId="3399" xr:uid="{00000000-0005-0000-0000-00001A210000}"/>
    <cellStyle name="Comma 5 10 3 2 2" xfId="10550" xr:uid="{00000000-0005-0000-0000-00001B210000}"/>
    <cellStyle name="Comma 5 10 3 2 2 2" xfId="22096" xr:uid="{FED2114D-0458-48BB-895C-CCEF79BA965F}"/>
    <cellStyle name="Comma 5 10 3 2 2 3" xfId="32512" xr:uid="{894A0B77-2EDE-4F62-B494-45150B8A9ACF}"/>
    <cellStyle name="Comma 5 10 3 2 3" xfId="15734" xr:uid="{FFA95248-60FE-49EA-9230-06D8125BEAD4}"/>
    <cellStyle name="Comma 5 10 3 2 4" xfId="26150" xr:uid="{4BA3C202-4003-42A3-A02A-D8BA69F7EA2F}"/>
    <cellStyle name="Comma 5 10 3 3" xfId="10549" xr:uid="{00000000-0005-0000-0000-00001C210000}"/>
    <cellStyle name="Comma 5 10 3 3 2" xfId="22095" xr:uid="{985B9A58-EB70-4F64-A66C-46BE05B61775}"/>
    <cellStyle name="Comma 5 10 3 3 3" xfId="32511" xr:uid="{BC04ABDD-4FF8-474B-A66B-E45E32D2F110}"/>
    <cellStyle name="Comma 5 10 3 4" xfId="6466" xr:uid="{00000000-0005-0000-0000-00001D210000}"/>
    <cellStyle name="Comma 5 10 3 4 2" xfId="18052" xr:uid="{427E5590-25E2-4838-9FD0-6C2227A59549}"/>
    <cellStyle name="Comma 5 10 3 4 3" xfId="28468" xr:uid="{EB2786E4-9654-48A8-8F35-0C5787DE5F2D}"/>
    <cellStyle name="Comma 5 10 3 5" xfId="15733" xr:uid="{E507C397-1341-4D78-B0FC-8C4238CE6C76}"/>
    <cellStyle name="Comma 5 10 3 6" xfId="26149" xr:uid="{8048C02E-89EA-4702-B15B-374C289944B3}"/>
    <cellStyle name="Comma 5 10 4" xfId="3400" xr:uid="{00000000-0005-0000-0000-00001E210000}"/>
    <cellStyle name="Comma 5 10 4 2" xfId="10551" xr:uid="{00000000-0005-0000-0000-00001F210000}"/>
    <cellStyle name="Comma 5 10 4 2 2" xfId="22097" xr:uid="{83539022-39E5-40F1-BE11-9173BC4EBD80}"/>
    <cellStyle name="Comma 5 10 4 2 3" xfId="32513" xr:uid="{FF4E8081-E94A-4595-BDA5-6A450DA9EEC4}"/>
    <cellStyle name="Comma 5 10 4 3" xfId="15735" xr:uid="{7EA360CF-9A5B-41C3-85C4-9ED92C096371}"/>
    <cellStyle name="Comma 5 10 4 4" xfId="26151" xr:uid="{38809979-A360-47F1-9670-2416709FA65D}"/>
    <cellStyle name="Comma 5 10 5" xfId="10546" xr:uid="{00000000-0005-0000-0000-000020210000}"/>
    <cellStyle name="Comma 5 10 5 2" xfId="22092" xr:uid="{D0CEBB66-EB69-45AD-94C8-03528D862F37}"/>
    <cellStyle name="Comma 5 10 5 3" xfId="32508" xr:uid="{7CEA985B-85B9-4EE0-A206-6C4C56E58690}"/>
    <cellStyle name="Comma 5 10 6" xfId="6464" xr:uid="{00000000-0005-0000-0000-000021210000}"/>
    <cellStyle name="Comma 5 10 6 2" xfId="18050" xr:uid="{77D13D4A-C298-4B76-A874-788594EA42A7}"/>
    <cellStyle name="Comma 5 10 6 3" xfId="28466" xr:uid="{1D8FC4CB-53B3-405D-91FB-1A5367759269}"/>
    <cellStyle name="Comma 5 10 7" xfId="15730" xr:uid="{7B16BA95-9DD0-40CA-B51F-4DBF89B7D0F0}"/>
    <cellStyle name="Comma 5 10 8" xfId="26146" xr:uid="{ADFAC899-DC35-4905-B2A2-AEC51C147F16}"/>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2 2 2" xfId="22100" xr:uid="{80A85355-FD85-4DF0-A0E0-7D655F9116F5}"/>
    <cellStyle name="Comma 5 11 2 2 2 3" xfId="32516" xr:uid="{53D06ACF-D032-49B3-8754-CD5AF3427993}"/>
    <cellStyle name="Comma 5 11 2 2 3" xfId="15738" xr:uid="{B10CE76A-E043-4838-B7C4-132048B0D3E0}"/>
    <cellStyle name="Comma 5 11 2 2 4" xfId="26154" xr:uid="{DE6598AF-7F06-4DE0-9EB1-4E9B89BB8A13}"/>
    <cellStyle name="Comma 5 11 2 3" xfId="10553" xr:uid="{00000000-0005-0000-0000-000026210000}"/>
    <cellStyle name="Comma 5 11 2 3 2" xfId="22099" xr:uid="{B067CE55-AB62-4874-8CA0-2BA11C7E4348}"/>
    <cellStyle name="Comma 5 11 2 3 3" xfId="32515" xr:uid="{49908C6C-665D-4B2A-9965-9E7D167E6C7A}"/>
    <cellStyle name="Comma 5 11 2 4" xfId="6468" xr:uid="{00000000-0005-0000-0000-000027210000}"/>
    <cellStyle name="Comma 5 11 2 4 2" xfId="18054" xr:uid="{A70DE047-47C1-49A3-9620-258B67B543B6}"/>
    <cellStyle name="Comma 5 11 2 4 3" xfId="28470" xr:uid="{1808ED54-17E7-45EF-9ED0-BFE8FAA7125F}"/>
    <cellStyle name="Comma 5 11 2 5" xfId="15737" xr:uid="{CB3CF242-9780-479A-82B7-E5335259AEC3}"/>
    <cellStyle name="Comma 5 11 2 6" xfId="26153" xr:uid="{FE2249BE-6D4C-4DD7-8C68-F556637F299C}"/>
    <cellStyle name="Comma 5 11 3" xfId="3404" xr:uid="{00000000-0005-0000-0000-000028210000}"/>
    <cellStyle name="Comma 5 11 3 2" xfId="10555" xr:uid="{00000000-0005-0000-0000-000029210000}"/>
    <cellStyle name="Comma 5 11 3 2 2" xfId="22101" xr:uid="{956DCAFF-5AF9-42B3-A882-9ED2ECE9AD2F}"/>
    <cellStyle name="Comma 5 11 3 2 3" xfId="32517" xr:uid="{996E6136-856D-422D-AA01-84A256AFAD55}"/>
    <cellStyle name="Comma 5 11 3 3" xfId="15739" xr:uid="{8E57BEFD-7D42-47AD-8ADE-06E1CD3896CA}"/>
    <cellStyle name="Comma 5 11 3 4" xfId="26155" xr:uid="{97BA4FD0-B155-40D1-80F2-5C5D8CF49373}"/>
    <cellStyle name="Comma 5 11 4" xfId="10552" xr:uid="{00000000-0005-0000-0000-00002A210000}"/>
    <cellStyle name="Comma 5 11 4 2" xfId="22098" xr:uid="{21A715E6-6DC0-4496-85F6-4CC71D23395F}"/>
    <cellStyle name="Comma 5 11 4 3" xfId="32514" xr:uid="{7029E822-D7B7-46C1-9FFE-1C57114F9B85}"/>
    <cellStyle name="Comma 5 11 5" xfId="6467" xr:uid="{00000000-0005-0000-0000-00002B210000}"/>
    <cellStyle name="Comma 5 11 5 2" xfId="18053" xr:uid="{68A7CDC1-BB62-4AAD-B17A-6A70C4780F43}"/>
    <cellStyle name="Comma 5 11 5 3" xfId="28469" xr:uid="{9818B1F8-5C88-4818-90B3-F28589FA1509}"/>
    <cellStyle name="Comma 5 11 6" xfId="15736" xr:uid="{9E4A0E4F-D16A-46F9-B9C8-7466B87CE262}"/>
    <cellStyle name="Comma 5 11 7" xfId="26152" xr:uid="{1693A35F-D778-4506-AD89-5388A231933C}"/>
    <cellStyle name="Comma 5 12" xfId="3405" xr:uid="{00000000-0005-0000-0000-00002C210000}"/>
    <cellStyle name="Comma 5 12 2" xfId="3406" xr:uid="{00000000-0005-0000-0000-00002D210000}"/>
    <cellStyle name="Comma 5 12 2 2" xfId="10557" xr:uid="{00000000-0005-0000-0000-00002E210000}"/>
    <cellStyle name="Comma 5 12 2 2 2" xfId="22103" xr:uid="{392E85EA-8241-48E8-AFD8-1018F1C2A841}"/>
    <cellStyle name="Comma 5 12 2 2 3" xfId="32519" xr:uid="{CD4FB3D2-2187-47B2-8FB1-F40BBCF07AE7}"/>
    <cellStyle name="Comma 5 12 2 3" xfId="15741" xr:uid="{33CE4AA8-9767-4CDA-BB0B-292987531010}"/>
    <cellStyle name="Comma 5 12 2 4" xfId="26157" xr:uid="{A0D09838-4AD8-4AFB-A812-D1B0A3A5AE4F}"/>
    <cellStyle name="Comma 5 12 3" xfId="10556" xr:uid="{00000000-0005-0000-0000-00002F210000}"/>
    <cellStyle name="Comma 5 12 3 2" xfId="22102" xr:uid="{91DE18B3-F7CC-4FF2-A5A1-4F22B55C288B}"/>
    <cellStyle name="Comma 5 12 3 3" xfId="32518" xr:uid="{05AE226F-821E-4B7D-BE10-284308BFCFFD}"/>
    <cellStyle name="Comma 5 12 4" xfId="6469" xr:uid="{00000000-0005-0000-0000-000030210000}"/>
    <cellStyle name="Comma 5 12 4 2" xfId="18055" xr:uid="{5219D48E-E1C6-4DEF-A132-05C65FFBAAD2}"/>
    <cellStyle name="Comma 5 12 4 3" xfId="28471" xr:uid="{3DDF421E-8ABB-4787-878B-FA1CDC158B3A}"/>
    <cellStyle name="Comma 5 12 5" xfId="15740" xr:uid="{DBA14BBC-FBC5-46F7-A5D9-5D2DB02B891D}"/>
    <cellStyle name="Comma 5 12 6" xfId="26156" xr:uid="{B2F732AE-C9EE-457E-81BF-B3AE6900D4FD}"/>
    <cellStyle name="Comma 5 13" xfId="3407" xr:uid="{00000000-0005-0000-0000-000031210000}"/>
    <cellStyle name="Comma 5 13 2" xfId="3408" xr:uid="{00000000-0005-0000-0000-000032210000}"/>
    <cellStyle name="Comma 5 13 2 2" xfId="10559" xr:uid="{00000000-0005-0000-0000-000033210000}"/>
    <cellStyle name="Comma 5 13 2 2 2" xfId="22105" xr:uid="{D058C564-C3AF-4E7A-A399-7C2DA54476EC}"/>
    <cellStyle name="Comma 5 13 2 2 3" xfId="32521" xr:uid="{CD54E78C-7DD7-432A-92F6-BB8706C7E243}"/>
    <cellStyle name="Comma 5 13 2 3" xfId="15743" xr:uid="{C7BF98A2-6D8B-494E-84DE-20D80E15B9EF}"/>
    <cellStyle name="Comma 5 13 2 4" xfId="26159" xr:uid="{B77B22DB-8114-449A-93DC-B6CB362BD098}"/>
    <cellStyle name="Comma 5 13 3" xfId="10558" xr:uid="{00000000-0005-0000-0000-000034210000}"/>
    <cellStyle name="Comma 5 13 3 2" xfId="22104" xr:uid="{1B9EFDA0-43F2-4BA0-A7A0-30BE8A081A33}"/>
    <cellStyle name="Comma 5 13 3 3" xfId="32520" xr:uid="{58B4ED23-21AE-4950-B75F-316B4B38776B}"/>
    <cellStyle name="Comma 5 13 4" xfId="6470" xr:uid="{00000000-0005-0000-0000-000035210000}"/>
    <cellStyle name="Comma 5 13 4 2" xfId="18056" xr:uid="{E5349EDB-0DFF-4C27-81B2-3BF635483E6A}"/>
    <cellStyle name="Comma 5 13 4 3" xfId="28472" xr:uid="{84C0761C-025E-402E-B36C-12BF70557759}"/>
    <cellStyle name="Comma 5 13 5" xfId="15742" xr:uid="{014991C4-4F0D-48C4-B096-01AF34F3F9AF}"/>
    <cellStyle name="Comma 5 13 6" xfId="26158" xr:uid="{27DD48F2-FB1C-4DC7-96B5-49DA278803C1}"/>
    <cellStyle name="Comma 5 14" xfId="3409" xr:uid="{00000000-0005-0000-0000-000036210000}"/>
    <cellStyle name="Comma 5 14 2" xfId="10560" xr:uid="{00000000-0005-0000-0000-000037210000}"/>
    <cellStyle name="Comma 5 14 2 2" xfId="22106" xr:uid="{EE626C8C-0B7F-408A-BA23-72CD1B937032}"/>
    <cellStyle name="Comma 5 14 2 3" xfId="32522" xr:uid="{D129635B-44CD-4BCB-BF2D-05CAB3FAE7AF}"/>
    <cellStyle name="Comma 5 14 3" xfId="15744" xr:uid="{24C72763-9F20-4903-BEA6-5C6B85D6354E}"/>
    <cellStyle name="Comma 5 14 4" xfId="26160" xr:uid="{1DFD76CC-299C-46B4-8A1A-AA677316EB88}"/>
    <cellStyle name="Comma 5 15" xfId="10545" xr:uid="{00000000-0005-0000-0000-000038210000}"/>
    <cellStyle name="Comma 5 15 2" xfId="22091" xr:uid="{13241254-36F6-41A6-B677-58EF1FC88CEF}"/>
    <cellStyle name="Comma 5 15 3" xfId="32507" xr:uid="{02669B84-7879-43D2-BC4F-24D61894EB9C}"/>
    <cellStyle name="Comma 5 16" xfId="6463" xr:uid="{00000000-0005-0000-0000-000039210000}"/>
    <cellStyle name="Comma 5 16 2" xfId="18049" xr:uid="{C340F8CF-B7E7-4A41-83F0-3593771578A6}"/>
    <cellStyle name="Comma 5 16 3" xfId="28465" xr:uid="{A70FA985-E71B-4E90-8256-3A85086E6A20}"/>
    <cellStyle name="Comma 5 17" xfId="12344" xr:uid="{00000000-0005-0000-0000-00003A210000}"/>
    <cellStyle name="Comma 5 17 2" xfId="22750" xr:uid="{9C6341CC-5241-47FE-9272-6DEE8E198006}"/>
    <cellStyle name="Comma 5 17 3" xfId="33166" xr:uid="{D27102BC-B5BE-415E-B1DA-AFC758D7E78F}"/>
    <cellStyle name="Comma 5 18" xfId="12359" xr:uid="{00000000-0005-0000-0000-00003B210000}"/>
    <cellStyle name="Comma 5 18 2" xfId="22765" xr:uid="{9634C9E2-5AE0-4F7B-85FC-FEEC0A672B66}"/>
    <cellStyle name="Comma 5 18 3" xfId="33181" xr:uid="{A43605EC-501B-4794-AE70-AB46F747732E}"/>
    <cellStyle name="Comma 5 19" xfId="15729" xr:uid="{A41C051F-5E2F-4E61-934E-2E701494870B}"/>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2 2 2" xfId="22109" xr:uid="{B6F7B56F-4C8A-407A-B95F-77433CC6894C}"/>
    <cellStyle name="Comma 5 2 10 2 2 3" xfId="32525" xr:uid="{5A9F81B5-C0DC-4421-BF1A-877955F9B62C}"/>
    <cellStyle name="Comma 5 2 10 2 3" xfId="15747" xr:uid="{7185A4B1-53B0-48CB-A5C2-0968F9A7762C}"/>
    <cellStyle name="Comma 5 2 10 2 4" xfId="26163" xr:uid="{D6B55BE8-A246-44DF-BE70-A834EB3B46EC}"/>
    <cellStyle name="Comma 5 2 10 3" xfId="10562" xr:uid="{00000000-0005-0000-0000-000040210000}"/>
    <cellStyle name="Comma 5 2 10 3 2" xfId="22108" xr:uid="{F98641E0-73FD-4B3D-B036-76113E5FC597}"/>
    <cellStyle name="Comma 5 2 10 3 3" xfId="32524" xr:uid="{B2281C7C-68A9-4B84-8B24-3152B17278F4}"/>
    <cellStyle name="Comma 5 2 10 4" xfId="6472" xr:uid="{00000000-0005-0000-0000-000041210000}"/>
    <cellStyle name="Comma 5 2 10 4 2" xfId="18058" xr:uid="{F002ED78-8FBB-4B4E-A99F-8AFC5304F312}"/>
    <cellStyle name="Comma 5 2 10 4 3" xfId="28474" xr:uid="{78EA9597-A5C7-4A77-A2F7-68249703175A}"/>
    <cellStyle name="Comma 5 2 10 5" xfId="15746" xr:uid="{AF444E1D-A978-4F44-8835-F84F342FA747}"/>
    <cellStyle name="Comma 5 2 10 6" xfId="26162" xr:uid="{C3294C59-2DDE-43E7-9E5D-554DFD6BB63D}"/>
    <cellStyle name="Comma 5 2 11" xfId="3413" xr:uid="{00000000-0005-0000-0000-000042210000}"/>
    <cellStyle name="Comma 5 2 11 2" xfId="10564" xr:uid="{00000000-0005-0000-0000-000043210000}"/>
    <cellStyle name="Comma 5 2 11 2 2" xfId="22110" xr:uid="{671A3DC7-611F-40C1-9C43-4D2AFF5F7605}"/>
    <cellStyle name="Comma 5 2 11 2 3" xfId="32526" xr:uid="{5C8CE441-EA4D-4A19-95BB-F4BCF2AFBA1C}"/>
    <cellStyle name="Comma 5 2 11 3" xfId="15748" xr:uid="{A35B4614-9F32-43A5-B079-B6661E753F7C}"/>
    <cellStyle name="Comma 5 2 11 4" xfId="26164" xr:uid="{3F87F72F-FA52-4A61-97E8-C00B9C16517A}"/>
    <cellStyle name="Comma 5 2 12" xfId="10561" xr:uid="{00000000-0005-0000-0000-000044210000}"/>
    <cellStyle name="Comma 5 2 12 2" xfId="22107" xr:uid="{5CBBF94E-162B-469F-AA09-9E5210914E05}"/>
    <cellStyle name="Comma 5 2 12 3" xfId="32523" xr:uid="{D8F4DC44-5875-47FA-9DB3-A7C51B6540DE}"/>
    <cellStyle name="Comma 5 2 13" xfId="6471" xr:uid="{00000000-0005-0000-0000-000045210000}"/>
    <cellStyle name="Comma 5 2 13 2" xfId="18057" xr:uid="{72556A7A-E19C-435B-809F-A38E335ED3DE}"/>
    <cellStyle name="Comma 5 2 13 3" xfId="28473" xr:uid="{5DD731EB-AD61-4FA4-98A5-DED5813DFDAB}"/>
    <cellStyle name="Comma 5 2 14" xfId="15745" xr:uid="{C41F804B-896F-4563-B5ED-2B0FAAF6F010}"/>
    <cellStyle name="Comma 5 2 15" xfId="26161" xr:uid="{5AABBC74-57EB-4D05-B04D-081609F0FBCB}"/>
    <cellStyle name="Comma 5 2 2" xfId="3414" xr:uid="{00000000-0005-0000-0000-000046210000}"/>
    <cellStyle name="Comma 5 2 2 10" xfId="3415" xr:uid="{00000000-0005-0000-0000-000047210000}"/>
    <cellStyle name="Comma 5 2 2 10 2" xfId="10566" xr:uid="{00000000-0005-0000-0000-000048210000}"/>
    <cellStyle name="Comma 5 2 2 10 2 2" xfId="22112" xr:uid="{90382FAF-7EC1-46CE-9898-B9CD9A38E0B5}"/>
    <cellStyle name="Comma 5 2 2 10 2 3" xfId="32528" xr:uid="{7F92E780-F9F0-433C-BD89-D05AFB3C13DB}"/>
    <cellStyle name="Comma 5 2 2 10 3" xfId="15750" xr:uid="{C70FE140-8226-48F6-926F-1E1DCBFBCFAE}"/>
    <cellStyle name="Comma 5 2 2 10 4" xfId="26166" xr:uid="{680B0C83-2A65-4FC2-87BD-5FAAA30510F2}"/>
    <cellStyle name="Comma 5 2 2 11" xfId="10565" xr:uid="{00000000-0005-0000-0000-000049210000}"/>
    <cellStyle name="Comma 5 2 2 11 2" xfId="22111" xr:uid="{2E539BA0-AE5E-4275-8E0D-91736B6F2550}"/>
    <cellStyle name="Comma 5 2 2 11 3" xfId="32527" xr:uid="{8BE94828-DD0E-46CF-BC2D-8E4E5426E911}"/>
    <cellStyle name="Comma 5 2 2 12" xfId="6473" xr:uid="{00000000-0005-0000-0000-00004A210000}"/>
    <cellStyle name="Comma 5 2 2 12 2" xfId="18059" xr:uid="{7E3C0A58-3563-420F-B9B6-F2A5C5314F2B}"/>
    <cellStyle name="Comma 5 2 2 12 3" xfId="28475" xr:uid="{8EDCA02B-353E-47B1-AE6F-7F7DBCDC3578}"/>
    <cellStyle name="Comma 5 2 2 13" xfId="15749" xr:uid="{8BF7345B-C1ED-4878-ADD7-598D5209C1D3}"/>
    <cellStyle name="Comma 5 2 2 14" xfId="26165" xr:uid="{E1C88584-05AB-437F-9089-22DE384E15DA}"/>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2 2 2" xfId="22116" xr:uid="{A4368D6A-21AF-4DCA-AAF1-FF599DC546C5}"/>
    <cellStyle name="Comma 5 2 2 2 2 2 2 2 3" xfId="32532" xr:uid="{1D3120C3-CCC3-4C06-AAD9-7EC59064F6E1}"/>
    <cellStyle name="Comma 5 2 2 2 2 2 2 3" xfId="15754" xr:uid="{638C8D42-7DB8-4DAD-A952-B2CA418D9DD3}"/>
    <cellStyle name="Comma 5 2 2 2 2 2 2 4" xfId="26170" xr:uid="{CF4B9F09-EF25-42F3-8101-E4F84B0FF2AC}"/>
    <cellStyle name="Comma 5 2 2 2 2 2 3" xfId="10569" xr:uid="{00000000-0005-0000-0000-000050210000}"/>
    <cellStyle name="Comma 5 2 2 2 2 2 3 2" xfId="22115" xr:uid="{45CCF464-C1F4-445C-8A8B-69593D4F63D8}"/>
    <cellStyle name="Comma 5 2 2 2 2 2 3 3" xfId="32531" xr:uid="{A123D490-1093-4554-ADD5-DE2491BB011D}"/>
    <cellStyle name="Comma 5 2 2 2 2 2 4" xfId="6476" xr:uid="{00000000-0005-0000-0000-000051210000}"/>
    <cellStyle name="Comma 5 2 2 2 2 2 4 2" xfId="18062" xr:uid="{E638F9CE-6E42-4673-9EDC-E9628D55F0D1}"/>
    <cellStyle name="Comma 5 2 2 2 2 2 4 3" xfId="28478" xr:uid="{32878F1D-B24D-422A-B6D9-E895DF325F6A}"/>
    <cellStyle name="Comma 5 2 2 2 2 2 5" xfId="15753" xr:uid="{D6C42F77-011F-4C82-B400-5D4CF458CD89}"/>
    <cellStyle name="Comma 5 2 2 2 2 2 6" xfId="26169" xr:uid="{8B674A42-B869-4A13-BC07-B9C1A8981DA5}"/>
    <cellStyle name="Comma 5 2 2 2 2 3" xfId="3420" xr:uid="{00000000-0005-0000-0000-000052210000}"/>
    <cellStyle name="Comma 5 2 2 2 2 3 2" xfId="10571" xr:uid="{00000000-0005-0000-0000-000053210000}"/>
    <cellStyle name="Comma 5 2 2 2 2 3 2 2" xfId="22117" xr:uid="{C692B727-5B82-4731-A2F4-C2E2C3F3C655}"/>
    <cellStyle name="Comma 5 2 2 2 2 3 2 3" xfId="32533" xr:uid="{24ACE93D-0DD8-49D4-85BF-623E7D5947E6}"/>
    <cellStyle name="Comma 5 2 2 2 2 3 3" xfId="15755" xr:uid="{32D754E8-C54D-4BCB-B334-3936E8702313}"/>
    <cellStyle name="Comma 5 2 2 2 2 3 4" xfId="26171" xr:uid="{A8FC002C-546D-4E3F-B33A-8797FD94F124}"/>
    <cellStyle name="Comma 5 2 2 2 2 4" xfId="10568" xr:uid="{00000000-0005-0000-0000-000054210000}"/>
    <cellStyle name="Comma 5 2 2 2 2 4 2" xfId="22114" xr:uid="{A2D8F41D-518F-4458-A80E-90FF0751694A}"/>
    <cellStyle name="Comma 5 2 2 2 2 4 3" xfId="32530" xr:uid="{6FBCC83A-BD5C-44E5-8AC1-BA217D7B2907}"/>
    <cellStyle name="Comma 5 2 2 2 2 5" xfId="6475" xr:uid="{00000000-0005-0000-0000-000055210000}"/>
    <cellStyle name="Comma 5 2 2 2 2 5 2" xfId="18061" xr:uid="{47EA97C1-826F-4AD2-B16F-DB7AC48253FE}"/>
    <cellStyle name="Comma 5 2 2 2 2 5 3" xfId="28477" xr:uid="{FE2D24C9-40E8-4EA1-A349-42172A90FB24}"/>
    <cellStyle name="Comma 5 2 2 2 2 6" xfId="15752" xr:uid="{61D8CF0F-ABB7-4E5F-9F91-9C0F4D50F90F}"/>
    <cellStyle name="Comma 5 2 2 2 2 7" xfId="26168" xr:uid="{9C888CE9-2497-4950-906A-6CE1872081B5}"/>
    <cellStyle name="Comma 5 2 2 2 3" xfId="3421" xr:uid="{00000000-0005-0000-0000-000056210000}"/>
    <cellStyle name="Comma 5 2 2 2 3 2" xfId="3422" xr:uid="{00000000-0005-0000-0000-000057210000}"/>
    <cellStyle name="Comma 5 2 2 2 3 2 2" xfId="10573" xr:uid="{00000000-0005-0000-0000-000058210000}"/>
    <cellStyle name="Comma 5 2 2 2 3 2 2 2" xfId="22119" xr:uid="{30042334-1E9C-4809-A70F-0578A06A577C}"/>
    <cellStyle name="Comma 5 2 2 2 3 2 2 3" xfId="32535" xr:uid="{FF080901-A19E-4A69-9891-C63FD4184BAE}"/>
    <cellStyle name="Comma 5 2 2 2 3 2 3" xfId="15757" xr:uid="{886A602D-48FA-423B-A56A-79F95B5FDDF4}"/>
    <cellStyle name="Comma 5 2 2 2 3 2 4" xfId="26173" xr:uid="{19BD9950-12D8-4164-92C6-65FEFF8E4367}"/>
    <cellStyle name="Comma 5 2 2 2 3 3" xfId="10572" xr:uid="{00000000-0005-0000-0000-000059210000}"/>
    <cellStyle name="Comma 5 2 2 2 3 3 2" xfId="22118" xr:uid="{89E923FE-EDA4-4D76-A2CF-35A07C3469C8}"/>
    <cellStyle name="Comma 5 2 2 2 3 3 3" xfId="32534" xr:uid="{B552D9FA-50A1-4D52-8F31-86AE9E056970}"/>
    <cellStyle name="Comma 5 2 2 2 3 4" xfId="6477" xr:uid="{00000000-0005-0000-0000-00005A210000}"/>
    <cellStyle name="Comma 5 2 2 2 3 4 2" xfId="18063" xr:uid="{500EA631-A649-4469-9035-8514CBC46DE4}"/>
    <cellStyle name="Comma 5 2 2 2 3 4 3" xfId="28479" xr:uid="{05DE6CCE-BE59-45E2-8CBC-7B67CE4572B5}"/>
    <cellStyle name="Comma 5 2 2 2 3 5" xfId="15756" xr:uid="{EDF58A23-2275-4CAF-B574-1C187B21C21F}"/>
    <cellStyle name="Comma 5 2 2 2 3 6" xfId="26172" xr:uid="{C7D06578-012B-4E34-BE2C-C0D9001F8124}"/>
    <cellStyle name="Comma 5 2 2 2 4" xfId="3423" xr:uid="{00000000-0005-0000-0000-00005B210000}"/>
    <cellStyle name="Comma 5 2 2 2 4 2" xfId="3424" xr:uid="{00000000-0005-0000-0000-00005C210000}"/>
    <cellStyle name="Comma 5 2 2 2 4 2 2" xfId="10575" xr:uid="{00000000-0005-0000-0000-00005D210000}"/>
    <cellStyle name="Comma 5 2 2 2 4 2 2 2" xfId="22121" xr:uid="{656D994F-09BC-413E-BBC2-1BF1873E027C}"/>
    <cellStyle name="Comma 5 2 2 2 4 2 2 3" xfId="32537" xr:uid="{F23DD12F-06C8-40F5-9739-0C241711C4CA}"/>
    <cellStyle name="Comma 5 2 2 2 4 2 3" xfId="15759" xr:uid="{59B0C110-AF87-42D6-832D-6AD4F853E441}"/>
    <cellStyle name="Comma 5 2 2 2 4 2 4" xfId="26175" xr:uid="{6968AF21-E3D2-4EC9-A65D-4C5FFF1EB60B}"/>
    <cellStyle name="Comma 5 2 2 2 4 3" xfId="10574" xr:uid="{00000000-0005-0000-0000-00005E210000}"/>
    <cellStyle name="Comma 5 2 2 2 4 3 2" xfId="22120" xr:uid="{E1199181-467F-407D-8451-CBBFABBA5FC1}"/>
    <cellStyle name="Comma 5 2 2 2 4 3 3" xfId="32536" xr:uid="{4E33A07E-932F-4C19-96DC-C5239C3FBF13}"/>
    <cellStyle name="Comma 5 2 2 2 4 4" xfId="6478" xr:uid="{00000000-0005-0000-0000-00005F210000}"/>
    <cellStyle name="Comma 5 2 2 2 4 4 2" xfId="18064" xr:uid="{2A82A22C-F1D3-4546-9FA7-DF273DB71543}"/>
    <cellStyle name="Comma 5 2 2 2 4 4 3" xfId="28480" xr:uid="{787111A7-BB71-4FEF-A5C3-137983221988}"/>
    <cellStyle name="Comma 5 2 2 2 4 5" xfId="15758" xr:uid="{54FAB904-3B08-4598-A1EF-CC903739B7E7}"/>
    <cellStyle name="Comma 5 2 2 2 4 6" xfId="26174" xr:uid="{0B2D2AC6-E857-4AF4-8512-8323A10BC249}"/>
    <cellStyle name="Comma 5 2 2 2 5" xfId="3425" xr:uid="{00000000-0005-0000-0000-000060210000}"/>
    <cellStyle name="Comma 5 2 2 2 5 2" xfId="10576" xr:uid="{00000000-0005-0000-0000-000061210000}"/>
    <cellStyle name="Comma 5 2 2 2 5 2 2" xfId="22122" xr:uid="{CC780BD1-7192-4E08-904E-0C3753904896}"/>
    <cellStyle name="Comma 5 2 2 2 5 2 3" xfId="32538" xr:uid="{1F21A604-57B8-4700-9BFE-75516B4FB6EB}"/>
    <cellStyle name="Comma 5 2 2 2 5 3" xfId="15760" xr:uid="{024E05F0-4313-44AF-8AED-26667C4F7969}"/>
    <cellStyle name="Comma 5 2 2 2 5 4" xfId="26176" xr:uid="{17AA4251-02F3-46D6-AEAC-EEC71C9AE205}"/>
    <cellStyle name="Comma 5 2 2 2 6" xfId="10567" xr:uid="{00000000-0005-0000-0000-000062210000}"/>
    <cellStyle name="Comma 5 2 2 2 6 2" xfId="22113" xr:uid="{F6CACB8C-AF81-48E1-AB5F-264364821DCB}"/>
    <cellStyle name="Comma 5 2 2 2 6 3" xfId="32529" xr:uid="{86423850-FCD8-49CA-888C-3F6844DB969C}"/>
    <cellStyle name="Comma 5 2 2 2 7" xfId="6474" xr:uid="{00000000-0005-0000-0000-000063210000}"/>
    <cellStyle name="Comma 5 2 2 2 7 2" xfId="18060" xr:uid="{4851E10E-5752-47E5-9FBD-8F3590AB2EDE}"/>
    <cellStyle name="Comma 5 2 2 2 7 3" xfId="28476" xr:uid="{B1BCCE31-9A2C-4C01-B026-25DE913EB7CE}"/>
    <cellStyle name="Comma 5 2 2 2 8" xfId="15751" xr:uid="{C4E7CE6E-CDD3-4FF9-8BBF-0FC0C0B44EE3}"/>
    <cellStyle name="Comma 5 2 2 2 9" xfId="26167" xr:uid="{68493632-9AED-4EA3-B762-64905942B03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2 2 2" xfId="22126" xr:uid="{281023C2-8CEF-4F1D-B49E-71487072AC1A}"/>
    <cellStyle name="Comma 5 2 2 3 2 2 2 2 3" xfId="32542" xr:uid="{8899305C-672A-4030-B2D8-B988C3EB5E39}"/>
    <cellStyle name="Comma 5 2 2 3 2 2 2 3" xfId="15764" xr:uid="{6368F9A6-6630-42DF-9C23-969B5FDFE7F6}"/>
    <cellStyle name="Comma 5 2 2 3 2 2 2 4" xfId="26180" xr:uid="{EEE04004-B8FC-419F-B466-806749967849}"/>
    <cellStyle name="Comma 5 2 2 3 2 2 3" xfId="10579" xr:uid="{00000000-0005-0000-0000-000069210000}"/>
    <cellStyle name="Comma 5 2 2 3 2 2 3 2" xfId="22125" xr:uid="{4C519E30-2DF2-403D-B4AD-328AAAEB5C97}"/>
    <cellStyle name="Comma 5 2 2 3 2 2 3 3" xfId="32541" xr:uid="{C42BF3FC-CB58-4C8A-8819-83584AA16A37}"/>
    <cellStyle name="Comma 5 2 2 3 2 2 4" xfId="6481" xr:uid="{00000000-0005-0000-0000-00006A210000}"/>
    <cellStyle name="Comma 5 2 2 3 2 2 4 2" xfId="18067" xr:uid="{55236A62-7335-4F30-A938-3F83444622D6}"/>
    <cellStyle name="Comma 5 2 2 3 2 2 4 3" xfId="28483" xr:uid="{AD657033-702B-428D-A1B2-222F87A3C22C}"/>
    <cellStyle name="Comma 5 2 2 3 2 2 5" xfId="15763" xr:uid="{F37DCA6C-DECB-49C8-B8C4-32C04B96EFBC}"/>
    <cellStyle name="Comma 5 2 2 3 2 2 6" xfId="26179" xr:uid="{64377DBC-20E9-4EFA-ACF6-892926E39F52}"/>
    <cellStyle name="Comma 5 2 2 3 2 3" xfId="3430" xr:uid="{00000000-0005-0000-0000-00006B210000}"/>
    <cellStyle name="Comma 5 2 2 3 2 3 2" xfId="10581" xr:uid="{00000000-0005-0000-0000-00006C210000}"/>
    <cellStyle name="Comma 5 2 2 3 2 3 2 2" xfId="22127" xr:uid="{41BBCC66-C87F-40FD-9B63-EBA496D6BA06}"/>
    <cellStyle name="Comma 5 2 2 3 2 3 2 3" xfId="32543" xr:uid="{AE6F9A21-2804-4B50-9BA6-87663D3B1A72}"/>
    <cellStyle name="Comma 5 2 2 3 2 3 3" xfId="15765" xr:uid="{798FFEBE-BE63-40F4-9E50-6D4D78DF681E}"/>
    <cellStyle name="Comma 5 2 2 3 2 3 4" xfId="26181" xr:uid="{7B914A61-EFAA-4A7C-AFCB-7F0BBC28050C}"/>
    <cellStyle name="Comma 5 2 2 3 2 4" xfId="10578" xr:uid="{00000000-0005-0000-0000-00006D210000}"/>
    <cellStyle name="Comma 5 2 2 3 2 4 2" xfId="22124" xr:uid="{5AD8CF37-0E58-4CB6-BE74-F89D375668F3}"/>
    <cellStyle name="Comma 5 2 2 3 2 4 3" xfId="32540" xr:uid="{9F00D947-EA3A-48F8-879A-ED069B0948EF}"/>
    <cellStyle name="Comma 5 2 2 3 2 5" xfId="6480" xr:uid="{00000000-0005-0000-0000-00006E210000}"/>
    <cellStyle name="Comma 5 2 2 3 2 5 2" xfId="18066" xr:uid="{E9103FFC-7C9A-4C2C-993E-5CD9A468353F}"/>
    <cellStyle name="Comma 5 2 2 3 2 5 3" xfId="28482" xr:uid="{DFD43907-2EF2-4C26-A3E1-DA52672980DE}"/>
    <cellStyle name="Comma 5 2 2 3 2 6" xfId="15762" xr:uid="{844D7B2C-6BC5-4E2F-986E-B072810BD08F}"/>
    <cellStyle name="Comma 5 2 2 3 2 7" xfId="26178" xr:uid="{BD8C529F-7894-4F69-921A-A826FBAF7E05}"/>
    <cellStyle name="Comma 5 2 2 3 3" xfId="3431" xr:uid="{00000000-0005-0000-0000-00006F210000}"/>
    <cellStyle name="Comma 5 2 2 3 3 2" xfId="3432" xr:uid="{00000000-0005-0000-0000-000070210000}"/>
    <cellStyle name="Comma 5 2 2 3 3 2 2" xfId="10583" xr:uid="{00000000-0005-0000-0000-000071210000}"/>
    <cellStyle name="Comma 5 2 2 3 3 2 2 2" xfId="22129" xr:uid="{8BFB1D69-3E06-4B38-ADD5-5CA10DD86E51}"/>
    <cellStyle name="Comma 5 2 2 3 3 2 2 3" xfId="32545" xr:uid="{85F04583-11DE-4665-A7F7-229C2A7047AD}"/>
    <cellStyle name="Comma 5 2 2 3 3 2 3" xfId="15767" xr:uid="{9F125061-DE1B-48F0-8B93-CE29E2314193}"/>
    <cellStyle name="Comma 5 2 2 3 3 2 4" xfId="26183" xr:uid="{D9FFE59F-87E9-4351-B938-43D8CB9D4D97}"/>
    <cellStyle name="Comma 5 2 2 3 3 3" xfId="10582" xr:uid="{00000000-0005-0000-0000-000072210000}"/>
    <cellStyle name="Comma 5 2 2 3 3 3 2" xfId="22128" xr:uid="{70692BF9-3970-41C3-996D-3358DF1CD714}"/>
    <cellStyle name="Comma 5 2 2 3 3 3 3" xfId="32544" xr:uid="{3BD827E7-E08F-4A83-AA9D-58E2AEC9FD84}"/>
    <cellStyle name="Comma 5 2 2 3 3 4" xfId="6482" xr:uid="{00000000-0005-0000-0000-000073210000}"/>
    <cellStyle name="Comma 5 2 2 3 3 4 2" xfId="18068" xr:uid="{5235D06D-FB00-4271-BDB2-D59F8BC4F9C4}"/>
    <cellStyle name="Comma 5 2 2 3 3 4 3" xfId="28484" xr:uid="{0C80FD70-9475-42A6-9628-4FE622CFA665}"/>
    <cellStyle name="Comma 5 2 2 3 3 5" xfId="15766" xr:uid="{2C368F08-C022-486E-972D-DF74881B13CD}"/>
    <cellStyle name="Comma 5 2 2 3 3 6" xfId="26182" xr:uid="{1F9C7D5E-2A68-4ADB-AE0C-86FDB2D61178}"/>
    <cellStyle name="Comma 5 2 2 3 4" xfId="3433" xr:uid="{00000000-0005-0000-0000-000074210000}"/>
    <cellStyle name="Comma 5 2 2 3 4 2" xfId="3434" xr:uid="{00000000-0005-0000-0000-000075210000}"/>
    <cellStyle name="Comma 5 2 2 3 4 2 2" xfId="10585" xr:uid="{00000000-0005-0000-0000-000076210000}"/>
    <cellStyle name="Comma 5 2 2 3 4 2 2 2" xfId="22131" xr:uid="{8FCF88FB-299B-43E5-9C9E-614316B96CFD}"/>
    <cellStyle name="Comma 5 2 2 3 4 2 2 3" xfId="32547" xr:uid="{5CBF24FA-A86A-44B5-B283-E9E854A0819D}"/>
    <cellStyle name="Comma 5 2 2 3 4 2 3" xfId="15769" xr:uid="{DD8FB075-D656-44F6-ACF2-6D01C68CF699}"/>
    <cellStyle name="Comma 5 2 2 3 4 2 4" xfId="26185" xr:uid="{8ED286A8-D34B-4C03-B5E1-B2374E1AE44B}"/>
    <cellStyle name="Comma 5 2 2 3 4 3" xfId="10584" xr:uid="{00000000-0005-0000-0000-000077210000}"/>
    <cellStyle name="Comma 5 2 2 3 4 3 2" xfId="22130" xr:uid="{A348301A-0504-4211-B8CF-3D23EF67BA0F}"/>
    <cellStyle name="Comma 5 2 2 3 4 3 3" xfId="32546" xr:uid="{A3809F9A-24F4-4146-9022-92F47D242A29}"/>
    <cellStyle name="Comma 5 2 2 3 4 4" xfId="6483" xr:uid="{00000000-0005-0000-0000-000078210000}"/>
    <cellStyle name="Comma 5 2 2 3 4 4 2" xfId="18069" xr:uid="{638B555B-C8C5-43C1-93FC-5605BB283416}"/>
    <cellStyle name="Comma 5 2 2 3 4 4 3" xfId="28485" xr:uid="{EA1D30BC-BAC9-4B7E-928E-46C1B7109D59}"/>
    <cellStyle name="Comma 5 2 2 3 4 5" xfId="15768" xr:uid="{F1ECA296-042A-41AB-96F3-3CB7C23D4E00}"/>
    <cellStyle name="Comma 5 2 2 3 4 6" xfId="26184" xr:uid="{E25EA3F3-9E67-4994-B95D-61377BA61158}"/>
    <cellStyle name="Comma 5 2 2 3 5" xfId="3435" xr:uid="{00000000-0005-0000-0000-000079210000}"/>
    <cellStyle name="Comma 5 2 2 3 5 2" xfId="10586" xr:uid="{00000000-0005-0000-0000-00007A210000}"/>
    <cellStyle name="Comma 5 2 2 3 5 2 2" xfId="22132" xr:uid="{C59230D3-3CD5-41C4-9B76-D2019B678E49}"/>
    <cellStyle name="Comma 5 2 2 3 5 2 3" xfId="32548" xr:uid="{600CD92B-5CF0-4BF1-8E1E-F37874D2713E}"/>
    <cellStyle name="Comma 5 2 2 3 5 3" xfId="15770" xr:uid="{91646FAF-3067-4643-A935-41CCE8FF3F7E}"/>
    <cellStyle name="Comma 5 2 2 3 5 4" xfId="26186" xr:uid="{7C6B8BE5-7859-465A-8318-D9102224DF37}"/>
    <cellStyle name="Comma 5 2 2 3 6" xfId="10577" xr:uid="{00000000-0005-0000-0000-00007B210000}"/>
    <cellStyle name="Comma 5 2 2 3 6 2" xfId="22123" xr:uid="{DBBD179A-7601-4235-BDC5-1F9EA7E0CD59}"/>
    <cellStyle name="Comma 5 2 2 3 6 3" xfId="32539" xr:uid="{1B8BA757-328B-46DB-9E90-FB6FB4810A38}"/>
    <cellStyle name="Comma 5 2 2 3 7" xfId="6479" xr:uid="{00000000-0005-0000-0000-00007C210000}"/>
    <cellStyle name="Comma 5 2 2 3 7 2" xfId="18065" xr:uid="{22391C3E-320C-47DE-A1E7-3D2C02DAD58D}"/>
    <cellStyle name="Comma 5 2 2 3 7 3" xfId="28481" xr:uid="{EF237C55-BC2B-4A40-88AD-CBEC341168EB}"/>
    <cellStyle name="Comma 5 2 2 3 8" xfId="15761" xr:uid="{511C3841-375A-4826-8C9C-3856C5DF7CD8}"/>
    <cellStyle name="Comma 5 2 2 3 9" xfId="26177" xr:uid="{E1DA3C4E-AA5C-47D6-9E1A-624DD917ACFC}"/>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2 2 2" xfId="22136" xr:uid="{3014EBE5-8A0E-400E-89FA-827978427E4E}"/>
    <cellStyle name="Comma 5 2 2 4 2 2 2 2 3" xfId="32552" xr:uid="{7217E824-D4A0-4E00-BA82-25737895DFF4}"/>
    <cellStyle name="Comma 5 2 2 4 2 2 2 3" xfId="15774" xr:uid="{E5F6F70B-D0E7-48FC-B59B-9C404450004A}"/>
    <cellStyle name="Comma 5 2 2 4 2 2 2 4" xfId="26190" xr:uid="{F131661B-FCBF-4961-A2B4-C30AE5504F46}"/>
    <cellStyle name="Comma 5 2 2 4 2 2 3" xfId="10589" xr:uid="{00000000-0005-0000-0000-000082210000}"/>
    <cellStyle name="Comma 5 2 2 4 2 2 3 2" xfId="22135" xr:uid="{D918059B-A10F-4A51-B3BD-A84E522D1F1D}"/>
    <cellStyle name="Comma 5 2 2 4 2 2 3 3" xfId="32551" xr:uid="{2EC9374A-D104-4C9F-837E-D40454167239}"/>
    <cellStyle name="Comma 5 2 2 4 2 2 4" xfId="6486" xr:uid="{00000000-0005-0000-0000-000083210000}"/>
    <cellStyle name="Comma 5 2 2 4 2 2 4 2" xfId="18072" xr:uid="{F2CEA8DC-3558-493C-8874-6FD2F91C916D}"/>
    <cellStyle name="Comma 5 2 2 4 2 2 4 3" xfId="28488" xr:uid="{0D6D36FE-3412-43FF-8C3E-46F93B6B8AAF}"/>
    <cellStyle name="Comma 5 2 2 4 2 2 5" xfId="15773" xr:uid="{18E05889-F8CA-4974-9DD4-1B73DFDDC3EE}"/>
    <cellStyle name="Comma 5 2 2 4 2 2 6" xfId="26189" xr:uid="{098F1DA8-13A1-4985-98F6-F5E7C4144AFC}"/>
    <cellStyle name="Comma 5 2 2 4 2 3" xfId="3440" xr:uid="{00000000-0005-0000-0000-000084210000}"/>
    <cellStyle name="Comma 5 2 2 4 2 3 2" xfId="10591" xr:uid="{00000000-0005-0000-0000-000085210000}"/>
    <cellStyle name="Comma 5 2 2 4 2 3 2 2" xfId="22137" xr:uid="{5E72D68E-49BE-42A8-ACE7-AD3069B6018E}"/>
    <cellStyle name="Comma 5 2 2 4 2 3 2 3" xfId="32553" xr:uid="{A2516C4C-042C-4CCE-A3DB-E5593E413928}"/>
    <cellStyle name="Comma 5 2 2 4 2 3 3" xfId="15775" xr:uid="{B3CC69E5-881E-4443-95D2-44D4FBA60013}"/>
    <cellStyle name="Comma 5 2 2 4 2 3 4" xfId="26191" xr:uid="{F530D54D-9106-4587-9802-A08A421FE61E}"/>
    <cellStyle name="Comma 5 2 2 4 2 4" xfId="10588" xr:uid="{00000000-0005-0000-0000-000086210000}"/>
    <cellStyle name="Comma 5 2 2 4 2 4 2" xfId="22134" xr:uid="{CA644AC8-E453-4921-806D-397CD4395313}"/>
    <cellStyle name="Comma 5 2 2 4 2 4 3" xfId="32550" xr:uid="{6E17EB44-9D97-4746-96A5-C672CAEEE785}"/>
    <cellStyle name="Comma 5 2 2 4 2 5" xfId="6485" xr:uid="{00000000-0005-0000-0000-000087210000}"/>
    <cellStyle name="Comma 5 2 2 4 2 5 2" xfId="18071" xr:uid="{5AE57A16-750C-4FC7-9EC3-5C7D36F890C4}"/>
    <cellStyle name="Comma 5 2 2 4 2 5 3" xfId="28487" xr:uid="{84B1C473-08FE-40C0-9DE6-54B8040C0947}"/>
    <cellStyle name="Comma 5 2 2 4 2 6" xfId="15772" xr:uid="{03193F00-3E2D-48CB-9939-2E2CFBBD9B73}"/>
    <cellStyle name="Comma 5 2 2 4 2 7" xfId="26188" xr:uid="{49284C05-F719-4603-925E-85FD3CD78C18}"/>
    <cellStyle name="Comma 5 2 2 4 3" xfId="3441" xr:uid="{00000000-0005-0000-0000-000088210000}"/>
    <cellStyle name="Comma 5 2 2 4 3 2" xfId="3442" xr:uid="{00000000-0005-0000-0000-000089210000}"/>
    <cellStyle name="Comma 5 2 2 4 3 2 2" xfId="10593" xr:uid="{00000000-0005-0000-0000-00008A210000}"/>
    <cellStyle name="Comma 5 2 2 4 3 2 2 2" xfId="22139" xr:uid="{CB73E2C4-477F-4A01-9C68-0D652B7F3F69}"/>
    <cellStyle name="Comma 5 2 2 4 3 2 2 3" xfId="32555" xr:uid="{7E8DFC95-E72D-4AAF-8CBC-27B1C0B26653}"/>
    <cellStyle name="Comma 5 2 2 4 3 2 3" xfId="15777" xr:uid="{3ADBF8FE-F04F-44EC-BBE2-EAD6DB2063E3}"/>
    <cellStyle name="Comma 5 2 2 4 3 2 4" xfId="26193" xr:uid="{01F40FDE-D6A2-4DD5-B638-0123A36E5C6B}"/>
    <cellStyle name="Comma 5 2 2 4 3 3" xfId="10592" xr:uid="{00000000-0005-0000-0000-00008B210000}"/>
    <cellStyle name="Comma 5 2 2 4 3 3 2" xfId="22138" xr:uid="{447252F4-5DE2-4B0E-9226-F1DDE9D4966E}"/>
    <cellStyle name="Comma 5 2 2 4 3 3 3" xfId="32554" xr:uid="{E6B2954F-92AE-4A7E-8B94-019B014E6700}"/>
    <cellStyle name="Comma 5 2 2 4 3 4" xfId="6487" xr:uid="{00000000-0005-0000-0000-00008C210000}"/>
    <cellStyle name="Comma 5 2 2 4 3 4 2" xfId="18073" xr:uid="{DA24348D-148A-4AE3-A33E-29F50DBE6B27}"/>
    <cellStyle name="Comma 5 2 2 4 3 4 3" xfId="28489" xr:uid="{3F72002A-8374-4F74-91BD-D0608AC091B3}"/>
    <cellStyle name="Comma 5 2 2 4 3 5" xfId="15776" xr:uid="{0D960452-81A7-468B-9349-2C1821F168F8}"/>
    <cellStyle name="Comma 5 2 2 4 3 6" xfId="26192" xr:uid="{21A6DFB3-98A3-455A-B149-7E74C901AACF}"/>
    <cellStyle name="Comma 5 2 2 4 4" xfId="3443" xr:uid="{00000000-0005-0000-0000-00008D210000}"/>
    <cellStyle name="Comma 5 2 2 4 4 2" xfId="3444" xr:uid="{00000000-0005-0000-0000-00008E210000}"/>
    <cellStyle name="Comma 5 2 2 4 4 2 2" xfId="10595" xr:uid="{00000000-0005-0000-0000-00008F210000}"/>
    <cellStyle name="Comma 5 2 2 4 4 2 2 2" xfId="22141" xr:uid="{ED7A2986-284F-4BF3-A557-407B3EB1402D}"/>
    <cellStyle name="Comma 5 2 2 4 4 2 2 3" xfId="32557" xr:uid="{668C2E34-883A-4BC5-B6EF-817639645704}"/>
    <cellStyle name="Comma 5 2 2 4 4 2 3" xfId="15779" xr:uid="{8C8BCD7D-26EB-4BF3-A994-152D5312A7F9}"/>
    <cellStyle name="Comma 5 2 2 4 4 2 4" xfId="26195" xr:uid="{895710D8-9EFF-4B5E-B7A8-9C1CA5FBC91D}"/>
    <cellStyle name="Comma 5 2 2 4 4 3" xfId="10594" xr:uid="{00000000-0005-0000-0000-000090210000}"/>
    <cellStyle name="Comma 5 2 2 4 4 3 2" xfId="22140" xr:uid="{79292604-61B0-44B0-9B98-9DE4674E3CDB}"/>
    <cellStyle name="Comma 5 2 2 4 4 3 3" xfId="32556" xr:uid="{3973A735-32A5-405E-A88D-F4179B892BF4}"/>
    <cellStyle name="Comma 5 2 2 4 4 4" xfId="6488" xr:uid="{00000000-0005-0000-0000-000091210000}"/>
    <cellStyle name="Comma 5 2 2 4 4 4 2" xfId="18074" xr:uid="{0EB76B63-DD72-4D34-B8DC-47CE5F773F90}"/>
    <cellStyle name="Comma 5 2 2 4 4 4 3" xfId="28490" xr:uid="{66B3E144-94D2-4088-BAC0-5BF035AF9281}"/>
    <cellStyle name="Comma 5 2 2 4 4 5" xfId="15778" xr:uid="{D2218E54-D56D-4347-854E-2360C0FCF861}"/>
    <cellStyle name="Comma 5 2 2 4 4 6" xfId="26194" xr:uid="{F686C2BF-6BFA-4863-A3E3-BDAFF4C8FD9A}"/>
    <cellStyle name="Comma 5 2 2 4 5" xfId="3445" xr:uid="{00000000-0005-0000-0000-000092210000}"/>
    <cellStyle name="Comma 5 2 2 4 5 2" xfId="10596" xr:uid="{00000000-0005-0000-0000-000093210000}"/>
    <cellStyle name="Comma 5 2 2 4 5 2 2" xfId="22142" xr:uid="{7BB0CEC3-1574-49C3-8915-760345420BA3}"/>
    <cellStyle name="Comma 5 2 2 4 5 2 3" xfId="32558" xr:uid="{174C6E2A-13E9-497D-B398-D46EA9C5B6C4}"/>
    <cellStyle name="Comma 5 2 2 4 5 3" xfId="15780" xr:uid="{F8316B0C-A30B-4CBC-80FC-177F4B3F5115}"/>
    <cellStyle name="Comma 5 2 2 4 5 4" xfId="26196" xr:uid="{A8BB9FAC-42EF-4C22-9418-711ADD509F7F}"/>
    <cellStyle name="Comma 5 2 2 4 6" xfId="10587" xr:uid="{00000000-0005-0000-0000-000094210000}"/>
    <cellStyle name="Comma 5 2 2 4 6 2" xfId="22133" xr:uid="{321B1D67-8128-4425-9DCB-F60114239A45}"/>
    <cellStyle name="Comma 5 2 2 4 6 3" xfId="32549" xr:uid="{0FED56B6-6810-4805-9AFE-7DF434A5834D}"/>
    <cellStyle name="Comma 5 2 2 4 7" xfId="6484" xr:uid="{00000000-0005-0000-0000-000095210000}"/>
    <cellStyle name="Comma 5 2 2 4 7 2" xfId="18070" xr:uid="{2A4BEDA6-4FAF-44D5-BA31-7FE1B92AC791}"/>
    <cellStyle name="Comma 5 2 2 4 7 3" xfId="28486" xr:uid="{04272286-7BCE-4027-9315-4D9472FF90BA}"/>
    <cellStyle name="Comma 5 2 2 4 8" xfId="15771" xr:uid="{24D6AF27-8C84-4761-9B03-17765D518410}"/>
    <cellStyle name="Comma 5 2 2 4 9" xfId="26187" xr:uid="{0F8A2379-A17C-46C8-8C97-F5B3AE898CDD}"/>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2 2 2" xfId="22146" xr:uid="{EFB5DC07-4A81-405C-A233-CBC4C19005FC}"/>
    <cellStyle name="Comma 5 2 2 5 2 2 2 2 3" xfId="32562" xr:uid="{623FE14C-B812-4169-84F6-4D74DD423C42}"/>
    <cellStyle name="Comma 5 2 2 5 2 2 2 3" xfId="15784" xr:uid="{7E768EB1-2CF0-4E2D-8332-2C30E7C2EFCC}"/>
    <cellStyle name="Comma 5 2 2 5 2 2 2 4" xfId="26200" xr:uid="{08264299-0CFF-4896-839E-A04DC0EC3CD4}"/>
    <cellStyle name="Comma 5 2 2 5 2 2 3" xfId="10599" xr:uid="{00000000-0005-0000-0000-00009B210000}"/>
    <cellStyle name="Comma 5 2 2 5 2 2 3 2" xfId="22145" xr:uid="{12D096A8-E019-48C1-94CE-44F6E95B4CF2}"/>
    <cellStyle name="Comma 5 2 2 5 2 2 3 3" xfId="32561" xr:uid="{192E8602-0721-490B-B0DE-6FB6BF808CC3}"/>
    <cellStyle name="Comma 5 2 2 5 2 2 4" xfId="6491" xr:uid="{00000000-0005-0000-0000-00009C210000}"/>
    <cellStyle name="Comma 5 2 2 5 2 2 4 2" xfId="18077" xr:uid="{D874D556-1847-4AD5-BEB0-9CD9328DE167}"/>
    <cellStyle name="Comma 5 2 2 5 2 2 4 3" xfId="28493" xr:uid="{48CB1236-E1F8-4C7B-BECC-04EF12170E56}"/>
    <cellStyle name="Comma 5 2 2 5 2 2 5" xfId="15783" xr:uid="{326EFEBC-01BE-492D-9117-7CA053F39312}"/>
    <cellStyle name="Comma 5 2 2 5 2 2 6" xfId="26199" xr:uid="{59920844-082C-48A5-8D80-57F4CDD68F82}"/>
    <cellStyle name="Comma 5 2 2 5 2 3" xfId="3450" xr:uid="{00000000-0005-0000-0000-00009D210000}"/>
    <cellStyle name="Comma 5 2 2 5 2 3 2" xfId="10601" xr:uid="{00000000-0005-0000-0000-00009E210000}"/>
    <cellStyle name="Comma 5 2 2 5 2 3 2 2" xfId="22147" xr:uid="{C501E099-F61A-4FCB-A6E1-160384AFE9A7}"/>
    <cellStyle name="Comma 5 2 2 5 2 3 2 3" xfId="32563" xr:uid="{74E51ABD-0D46-47B5-BE7E-887CCEBBF149}"/>
    <cellStyle name="Comma 5 2 2 5 2 3 3" xfId="15785" xr:uid="{7C5FFE56-E67D-4B26-9F32-0F035002895C}"/>
    <cellStyle name="Comma 5 2 2 5 2 3 4" xfId="26201" xr:uid="{DEB4695F-5E89-4EBD-8399-51B59B7012DC}"/>
    <cellStyle name="Comma 5 2 2 5 2 4" xfId="10598" xr:uid="{00000000-0005-0000-0000-00009F210000}"/>
    <cellStyle name="Comma 5 2 2 5 2 4 2" xfId="22144" xr:uid="{049BE464-984D-4FFB-BD1E-4F0ECF562AA0}"/>
    <cellStyle name="Comma 5 2 2 5 2 4 3" xfId="32560" xr:uid="{D29DC965-738A-49A0-8076-DD106C7A6E51}"/>
    <cellStyle name="Comma 5 2 2 5 2 5" xfId="6490" xr:uid="{00000000-0005-0000-0000-0000A0210000}"/>
    <cellStyle name="Comma 5 2 2 5 2 5 2" xfId="18076" xr:uid="{16DCF5B7-EAFD-402C-99C3-02C5EDF5B26A}"/>
    <cellStyle name="Comma 5 2 2 5 2 5 3" xfId="28492" xr:uid="{900C95D1-DA3D-4841-BA31-0B87BE4E4690}"/>
    <cellStyle name="Comma 5 2 2 5 2 6" xfId="15782" xr:uid="{BBD122F1-F8F5-4F52-8773-43CCE2D1F13B}"/>
    <cellStyle name="Comma 5 2 2 5 2 7" xfId="26198" xr:uid="{52112021-7C6B-4D8E-81F9-F4A21CDE56E2}"/>
    <cellStyle name="Comma 5 2 2 5 3" xfId="3451" xr:uid="{00000000-0005-0000-0000-0000A1210000}"/>
    <cellStyle name="Comma 5 2 2 5 3 2" xfId="3452" xr:uid="{00000000-0005-0000-0000-0000A2210000}"/>
    <cellStyle name="Comma 5 2 2 5 3 2 2" xfId="10603" xr:uid="{00000000-0005-0000-0000-0000A3210000}"/>
    <cellStyle name="Comma 5 2 2 5 3 2 2 2" xfId="22149" xr:uid="{2250B394-0DC5-4944-B678-E0ACF5C67E81}"/>
    <cellStyle name="Comma 5 2 2 5 3 2 2 3" xfId="32565" xr:uid="{84E010DC-00AB-4007-9235-C769BCFF3FFE}"/>
    <cellStyle name="Comma 5 2 2 5 3 2 3" xfId="15787" xr:uid="{0FD43DA3-5D2D-4EE1-A583-C10ACA2B9A68}"/>
    <cellStyle name="Comma 5 2 2 5 3 2 4" xfId="26203" xr:uid="{ACCFCE02-7B9C-4393-8F37-AA0745FD7D68}"/>
    <cellStyle name="Comma 5 2 2 5 3 3" xfId="10602" xr:uid="{00000000-0005-0000-0000-0000A4210000}"/>
    <cellStyle name="Comma 5 2 2 5 3 3 2" xfId="22148" xr:uid="{8F045DF2-EA73-422F-9C03-748B0FCA1F04}"/>
    <cellStyle name="Comma 5 2 2 5 3 3 3" xfId="32564" xr:uid="{1BAF9C07-FD4E-4D63-874D-CFAE0757ECA3}"/>
    <cellStyle name="Comma 5 2 2 5 3 4" xfId="6492" xr:uid="{00000000-0005-0000-0000-0000A5210000}"/>
    <cellStyle name="Comma 5 2 2 5 3 4 2" xfId="18078" xr:uid="{C8A543C8-B0F4-431A-A8BF-0C5FB92D7524}"/>
    <cellStyle name="Comma 5 2 2 5 3 4 3" xfId="28494" xr:uid="{0E667986-D82F-4BDC-AC2F-EB7A1A89491A}"/>
    <cellStyle name="Comma 5 2 2 5 3 5" xfId="15786" xr:uid="{75AC6D58-BC04-4DBB-8DFC-7C38EE54A6AC}"/>
    <cellStyle name="Comma 5 2 2 5 3 6" xfId="26202" xr:uid="{ED770193-B3DD-4C68-960A-BB0733C5D7D5}"/>
    <cellStyle name="Comma 5 2 2 5 4" xfId="3453" xr:uid="{00000000-0005-0000-0000-0000A6210000}"/>
    <cellStyle name="Comma 5 2 2 5 4 2" xfId="3454" xr:uid="{00000000-0005-0000-0000-0000A7210000}"/>
    <cellStyle name="Comma 5 2 2 5 4 2 2" xfId="10605" xr:uid="{00000000-0005-0000-0000-0000A8210000}"/>
    <cellStyle name="Comma 5 2 2 5 4 2 2 2" xfId="22151" xr:uid="{72A3A465-9799-4399-BB95-6C518710BC04}"/>
    <cellStyle name="Comma 5 2 2 5 4 2 2 3" xfId="32567" xr:uid="{391E2E6F-4C4E-4DDF-8F2F-81B6D351EB34}"/>
    <cellStyle name="Comma 5 2 2 5 4 2 3" xfId="15789" xr:uid="{A5A9E08B-63EE-4D3F-A7AF-FE66E881EF57}"/>
    <cellStyle name="Comma 5 2 2 5 4 2 4" xfId="26205" xr:uid="{27F2EB37-29C0-4165-B4DA-0CCCA817C8EA}"/>
    <cellStyle name="Comma 5 2 2 5 4 3" xfId="10604" xr:uid="{00000000-0005-0000-0000-0000A9210000}"/>
    <cellStyle name="Comma 5 2 2 5 4 3 2" xfId="22150" xr:uid="{201C5D09-8789-48E2-B8CD-CC22D7B7CCF5}"/>
    <cellStyle name="Comma 5 2 2 5 4 3 3" xfId="32566" xr:uid="{626BFE59-A641-4B3D-BF4D-CC90731C3DA0}"/>
    <cellStyle name="Comma 5 2 2 5 4 4" xfId="6493" xr:uid="{00000000-0005-0000-0000-0000AA210000}"/>
    <cellStyle name="Comma 5 2 2 5 4 4 2" xfId="18079" xr:uid="{9B964187-8FD3-4E49-B7DE-F4CF545A0691}"/>
    <cellStyle name="Comma 5 2 2 5 4 4 3" xfId="28495" xr:uid="{5C1EE269-F74F-46EF-B0A4-EA218AC49379}"/>
    <cellStyle name="Comma 5 2 2 5 4 5" xfId="15788" xr:uid="{DD0381C8-9BF7-4978-8D16-C4BEB29143D7}"/>
    <cellStyle name="Comma 5 2 2 5 4 6" xfId="26204" xr:uid="{6A0CDFCC-18DB-4DB2-A07A-9F3B923A99D2}"/>
    <cellStyle name="Comma 5 2 2 5 5" xfId="3455" xr:uid="{00000000-0005-0000-0000-0000AB210000}"/>
    <cellStyle name="Comma 5 2 2 5 5 2" xfId="10606" xr:uid="{00000000-0005-0000-0000-0000AC210000}"/>
    <cellStyle name="Comma 5 2 2 5 5 2 2" xfId="22152" xr:uid="{0B3CAF15-1F2F-4AD5-AC98-3CA1D86D1807}"/>
    <cellStyle name="Comma 5 2 2 5 5 2 3" xfId="32568" xr:uid="{425B94A6-DDBC-46E4-AA1D-5B057473DAC8}"/>
    <cellStyle name="Comma 5 2 2 5 5 3" xfId="15790" xr:uid="{B08BB472-AB39-4F60-878F-BC6877EB8561}"/>
    <cellStyle name="Comma 5 2 2 5 5 4" xfId="26206" xr:uid="{7BC0B9B8-4291-46D6-B422-FB15AB36AF65}"/>
    <cellStyle name="Comma 5 2 2 5 6" xfId="10597" xr:uid="{00000000-0005-0000-0000-0000AD210000}"/>
    <cellStyle name="Comma 5 2 2 5 6 2" xfId="22143" xr:uid="{0D1F5631-CBB6-4E49-B2A0-73F373A2C710}"/>
    <cellStyle name="Comma 5 2 2 5 6 3" xfId="32559" xr:uid="{2EB1E9EF-8860-479A-B636-BE4DC9F5D670}"/>
    <cellStyle name="Comma 5 2 2 5 7" xfId="6489" xr:uid="{00000000-0005-0000-0000-0000AE210000}"/>
    <cellStyle name="Comma 5 2 2 5 7 2" xfId="18075" xr:uid="{EDEF6223-9821-4691-9EED-84053E635EA7}"/>
    <cellStyle name="Comma 5 2 2 5 7 3" xfId="28491" xr:uid="{C1F2D750-58CD-4ACE-94BD-DD61384AC72D}"/>
    <cellStyle name="Comma 5 2 2 5 8" xfId="15781" xr:uid="{0BBB7DDE-1B39-48F2-A325-59E326271E8C}"/>
    <cellStyle name="Comma 5 2 2 5 9" xfId="26197" xr:uid="{EE58A22E-7B85-4D92-8A8C-F3778A7105A7}"/>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2 2 2" xfId="22155" xr:uid="{A924BE86-14CA-47F9-AD1C-EECF634AD4D9}"/>
    <cellStyle name="Comma 5 2 2 6 2 2 2 3" xfId="32571" xr:uid="{4DBC71D9-BC2B-478E-83EE-95E1C8C558CD}"/>
    <cellStyle name="Comma 5 2 2 6 2 2 3" xfId="15793" xr:uid="{63E36997-9812-4E1C-8C03-1FD2F39FBFAD}"/>
    <cellStyle name="Comma 5 2 2 6 2 2 4" xfId="26209" xr:uid="{7041CE2C-2E9A-478E-B6B8-A8E0B8D102F8}"/>
    <cellStyle name="Comma 5 2 2 6 2 3" xfId="10608" xr:uid="{00000000-0005-0000-0000-0000B3210000}"/>
    <cellStyle name="Comma 5 2 2 6 2 3 2" xfId="22154" xr:uid="{F45F5337-8098-4D6F-B1AD-7F1F266EE0F3}"/>
    <cellStyle name="Comma 5 2 2 6 2 3 3" xfId="32570" xr:uid="{7C0A5C0A-7B34-4478-9A0F-624D101A7488}"/>
    <cellStyle name="Comma 5 2 2 6 2 4" xfId="6495" xr:uid="{00000000-0005-0000-0000-0000B4210000}"/>
    <cellStyle name="Comma 5 2 2 6 2 4 2" xfId="18081" xr:uid="{BCE132B6-BF1A-4361-B83E-AC4128F497DC}"/>
    <cellStyle name="Comma 5 2 2 6 2 4 3" xfId="28497" xr:uid="{AB3A105A-2AA8-40CC-8B39-FACE3A2D7C30}"/>
    <cellStyle name="Comma 5 2 2 6 2 5" xfId="15792" xr:uid="{5D1C419B-6B1C-4FE3-92FF-C21B831667D6}"/>
    <cellStyle name="Comma 5 2 2 6 2 6" xfId="26208" xr:uid="{24B50162-660E-4438-A6FD-98E70134F79D}"/>
    <cellStyle name="Comma 5 2 2 6 3" xfId="3459" xr:uid="{00000000-0005-0000-0000-0000B5210000}"/>
    <cellStyle name="Comma 5 2 2 6 3 2" xfId="3460" xr:uid="{00000000-0005-0000-0000-0000B6210000}"/>
    <cellStyle name="Comma 5 2 2 6 3 2 2" xfId="10611" xr:uid="{00000000-0005-0000-0000-0000B7210000}"/>
    <cellStyle name="Comma 5 2 2 6 3 2 2 2" xfId="22157" xr:uid="{C628D4EE-4F5A-45D9-AD62-AC7C9645FC4C}"/>
    <cellStyle name="Comma 5 2 2 6 3 2 2 3" xfId="32573" xr:uid="{033D9353-F927-49A7-A22A-ADA282975298}"/>
    <cellStyle name="Comma 5 2 2 6 3 2 3" xfId="15795" xr:uid="{447DE982-63CF-4AC3-9DD8-A3A60CD978AB}"/>
    <cellStyle name="Comma 5 2 2 6 3 2 4" xfId="26211" xr:uid="{7ACBF7FF-40D7-4D4B-BF51-628A06CB39F4}"/>
    <cellStyle name="Comma 5 2 2 6 3 3" xfId="10610" xr:uid="{00000000-0005-0000-0000-0000B8210000}"/>
    <cellStyle name="Comma 5 2 2 6 3 3 2" xfId="22156" xr:uid="{EBC6371A-97CE-4064-8DA9-9D265310F989}"/>
    <cellStyle name="Comma 5 2 2 6 3 3 3" xfId="32572" xr:uid="{FC962B03-1701-4E87-BAF6-08672C8E1085}"/>
    <cellStyle name="Comma 5 2 2 6 3 4" xfId="6496" xr:uid="{00000000-0005-0000-0000-0000B9210000}"/>
    <cellStyle name="Comma 5 2 2 6 3 4 2" xfId="18082" xr:uid="{3F08B2DB-27CD-460D-AB4F-C051C652D658}"/>
    <cellStyle name="Comma 5 2 2 6 3 4 3" xfId="28498" xr:uid="{6B4E3A20-EF97-415C-865D-B54C82DF7D4C}"/>
    <cellStyle name="Comma 5 2 2 6 3 5" xfId="15794" xr:uid="{FFA89E11-3D7A-4085-88A5-8EC346A77982}"/>
    <cellStyle name="Comma 5 2 2 6 3 6" xfId="26210" xr:uid="{8A97F51F-F7D3-406F-AC97-4F1F2A4D59DC}"/>
    <cellStyle name="Comma 5 2 2 6 4" xfId="3461" xr:uid="{00000000-0005-0000-0000-0000BA210000}"/>
    <cellStyle name="Comma 5 2 2 6 4 2" xfId="10612" xr:uid="{00000000-0005-0000-0000-0000BB210000}"/>
    <cellStyle name="Comma 5 2 2 6 4 2 2" xfId="22158" xr:uid="{C6652BFF-83DD-4A97-BF91-EEC23B73709D}"/>
    <cellStyle name="Comma 5 2 2 6 4 2 3" xfId="32574" xr:uid="{151EE9AF-6244-4AAF-A857-C933D637BA28}"/>
    <cellStyle name="Comma 5 2 2 6 4 3" xfId="15796" xr:uid="{542F4BBB-EC36-4A94-841F-E598009DFD39}"/>
    <cellStyle name="Comma 5 2 2 6 4 4" xfId="26212" xr:uid="{1EC75ADF-564D-4398-AF8D-C73E1F77A7F6}"/>
    <cellStyle name="Comma 5 2 2 6 5" xfId="10607" xr:uid="{00000000-0005-0000-0000-0000BC210000}"/>
    <cellStyle name="Comma 5 2 2 6 5 2" xfId="22153" xr:uid="{4868FA5C-5E5F-4AC5-B4E4-91C023429822}"/>
    <cellStyle name="Comma 5 2 2 6 5 3" xfId="32569" xr:uid="{0DB3A0F3-BE52-4DD8-9904-5C05F66FA282}"/>
    <cellStyle name="Comma 5 2 2 6 6" xfId="6494" xr:uid="{00000000-0005-0000-0000-0000BD210000}"/>
    <cellStyle name="Comma 5 2 2 6 6 2" xfId="18080" xr:uid="{53834139-1BDB-47B0-96C1-A95C014F5899}"/>
    <cellStyle name="Comma 5 2 2 6 6 3" xfId="28496" xr:uid="{2B316990-58AA-467E-9820-E3259D2C98A3}"/>
    <cellStyle name="Comma 5 2 2 6 7" xfId="15791" xr:uid="{4776AF51-299B-422E-98C9-99FF6FE375F6}"/>
    <cellStyle name="Comma 5 2 2 6 8" xfId="26207" xr:uid="{D9E9C720-1FBB-4C62-B8FF-CCB2966CA80E}"/>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2 2 2" xfId="22161" xr:uid="{E4344B71-EFBF-47C1-925C-AEEAA7228759}"/>
    <cellStyle name="Comma 5 2 2 7 2 2 2 3" xfId="32577" xr:uid="{DC03CA3D-C6BB-4983-86D6-0795B51DCC8A}"/>
    <cellStyle name="Comma 5 2 2 7 2 2 3" xfId="15799" xr:uid="{DBC6997C-7017-4E24-9E6F-8C5022E48B6D}"/>
    <cellStyle name="Comma 5 2 2 7 2 2 4" xfId="26215" xr:uid="{10E8D99C-2F98-41AE-B0FD-CCE6A53A8C53}"/>
    <cellStyle name="Comma 5 2 2 7 2 3" xfId="10614" xr:uid="{00000000-0005-0000-0000-0000C2210000}"/>
    <cellStyle name="Comma 5 2 2 7 2 3 2" xfId="22160" xr:uid="{5D65598A-F34F-48CC-BBE9-240CF6DCE103}"/>
    <cellStyle name="Comma 5 2 2 7 2 3 3" xfId="32576" xr:uid="{7958CC26-B998-4EDF-891F-3E17F97CA684}"/>
    <cellStyle name="Comma 5 2 2 7 2 4" xfId="6498" xr:uid="{00000000-0005-0000-0000-0000C3210000}"/>
    <cellStyle name="Comma 5 2 2 7 2 4 2" xfId="18084" xr:uid="{0205AA34-152F-44AB-B4C4-C1C1A7DB210D}"/>
    <cellStyle name="Comma 5 2 2 7 2 4 3" xfId="28500" xr:uid="{3072A8E6-285F-475A-B4E9-A8D0C260F2C0}"/>
    <cellStyle name="Comma 5 2 2 7 2 5" xfId="15798" xr:uid="{E0FA183A-B41A-4DC8-A15D-3A50C2955020}"/>
    <cellStyle name="Comma 5 2 2 7 2 6" xfId="26214" xr:uid="{49D9CCC9-9185-4186-80FD-B4566024A935}"/>
    <cellStyle name="Comma 5 2 2 7 3" xfId="3465" xr:uid="{00000000-0005-0000-0000-0000C4210000}"/>
    <cellStyle name="Comma 5 2 2 7 3 2" xfId="10616" xr:uid="{00000000-0005-0000-0000-0000C5210000}"/>
    <cellStyle name="Comma 5 2 2 7 3 2 2" xfId="22162" xr:uid="{B8BDC306-AAFA-4153-996C-0CDF69ABEEDC}"/>
    <cellStyle name="Comma 5 2 2 7 3 2 3" xfId="32578" xr:uid="{26716C8A-D1E3-49D6-AA62-4801CB775221}"/>
    <cellStyle name="Comma 5 2 2 7 3 3" xfId="15800" xr:uid="{38C5721F-86F7-45BA-AA27-E61685B3B627}"/>
    <cellStyle name="Comma 5 2 2 7 3 4" xfId="26216" xr:uid="{2647AAF3-2B7E-4B38-9326-9C78BD716D05}"/>
    <cellStyle name="Comma 5 2 2 7 4" xfId="10613" xr:uid="{00000000-0005-0000-0000-0000C6210000}"/>
    <cellStyle name="Comma 5 2 2 7 4 2" xfId="22159" xr:uid="{09688C73-6F1A-4163-A4A8-6F5D6226E330}"/>
    <cellStyle name="Comma 5 2 2 7 4 3" xfId="32575" xr:uid="{FC981B3F-8517-453B-BBB6-76D70AF8BDD3}"/>
    <cellStyle name="Comma 5 2 2 7 5" xfId="6497" xr:uid="{00000000-0005-0000-0000-0000C7210000}"/>
    <cellStyle name="Comma 5 2 2 7 5 2" xfId="18083" xr:uid="{6862E51A-1B78-4A4D-BD96-555631642386}"/>
    <cellStyle name="Comma 5 2 2 7 5 3" xfId="28499" xr:uid="{4A9D985C-DCE8-4AD6-A6CF-8C932719EE4A}"/>
    <cellStyle name="Comma 5 2 2 7 6" xfId="15797" xr:uid="{FA9363F3-E1D0-4639-B78E-E7560FD6FC9B}"/>
    <cellStyle name="Comma 5 2 2 7 7" xfId="26213" xr:uid="{ACE080B2-2E47-476F-896F-4899B9438FD3}"/>
    <cellStyle name="Comma 5 2 2 8" xfId="3466" xr:uid="{00000000-0005-0000-0000-0000C8210000}"/>
    <cellStyle name="Comma 5 2 2 8 2" xfId="3467" xr:uid="{00000000-0005-0000-0000-0000C9210000}"/>
    <cellStyle name="Comma 5 2 2 8 2 2" xfId="10618" xr:uid="{00000000-0005-0000-0000-0000CA210000}"/>
    <cellStyle name="Comma 5 2 2 8 2 2 2" xfId="22164" xr:uid="{21F23860-2998-4998-A758-35D60221A0CE}"/>
    <cellStyle name="Comma 5 2 2 8 2 2 3" xfId="32580" xr:uid="{9D0D0EF9-7FF2-4E83-81A5-0D5B163E1C29}"/>
    <cellStyle name="Comma 5 2 2 8 2 3" xfId="15802" xr:uid="{E241E8EE-4BCA-4638-8B7A-FBC3F1694384}"/>
    <cellStyle name="Comma 5 2 2 8 2 4" xfId="26218" xr:uid="{BEC2BE9C-4777-4875-A1FE-B843AD54A850}"/>
    <cellStyle name="Comma 5 2 2 8 3" xfId="10617" xr:uid="{00000000-0005-0000-0000-0000CB210000}"/>
    <cellStyle name="Comma 5 2 2 8 3 2" xfId="22163" xr:uid="{CA22698E-243F-433E-BC3B-1099A49EA9B5}"/>
    <cellStyle name="Comma 5 2 2 8 3 3" xfId="32579" xr:uid="{63A016E9-9508-4A11-AE71-23D8221EB4C6}"/>
    <cellStyle name="Comma 5 2 2 8 4" xfId="6499" xr:uid="{00000000-0005-0000-0000-0000CC210000}"/>
    <cellStyle name="Comma 5 2 2 8 4 2" xfId="18085" xr:uid="{7C2E0E56-2B74-47A9-9A78-8A2CEF9F34B7}"/>
    <cellStyle name="Comma 5 2 2 8 4 3" xfId="28501" xr:uid="{439E396E-F194-4B47-AAC8-E3A5D7092B29}"/>
    <cellStyle name="Comma 5 2 2 8 5" xfId="15801" xr:uid="{700279D3-FABE-4EDF-BB6A-5345D63CE1F1}"/>
    <cellStyle name="Comma 5 2 2 8 6" xfId="26217" xr:uid="{B91B4D2A-9CA4-487A-A0D8-0829AC014F9A}"/>
    <cellStyle name="Comma 5 2 2 9" xfId="3468" xr:uid="{00000000-0005-0000-0000-0000CD210000}"/>
    <cellStyle name="Comma 5 2 2 9 2" xfId="3469" xr:uid="{00000000-0005-0000-0000-0000CE210000}"/>
    <cellStyle name="Comma 5 2 2 9 2 2" xfId="10620" xr:uid="{00000000-0005-0000-0000-0000CF210000}"/>
    <cellStyle name="Comma 5 2 2 9 2 2 2" xfId="22166" xr:uid="{F2D22E23-4BC1-4930-8C65-E25370F89F0B}"/>
    <cellStyle name="Comma 5 2 2 9 2 2 3" xfId="32582" xr:uid="{46B9F966-5093-4571-8D07-4E88281C2F4F}"/>
    <cellStyle name="Comma 5 2 2 9 2 3" xfId="15804" xr:uid="{143891DD-6310-4C84-94F8-F9185CF594C6}"/>
    <cellStyle name="Comma 5 2 2 9 2 4" xfId="26220" xr:uid="{B670D029-1836-4D91-BDFB-434C41CBA823}"/>
    <cellStyle name="Comma 5 2 2 9 3" xfId="10619" xr:uid="{00000000-0005-0000-0000-0000D0210000}"/>
    <cellStyle name="Comma 5 2 2 9 3 2" xfId="22165" xr:uid="{0890EC31-AEA7-4A86-B4F4-65977BADD0FB}"/>
    <cellStyle name="Comma 5 2 2 9 3 3" xfId="32581" xr:uid="{325264AE-CA57-45D2-8153-F44A60FE50A3}"/>
    <cellStyle name="Comma 5 2 2 9 4" xfId="6500" xr:uid="{00000000-0005-0000-0000-0000D1210000}"/>
    <cellStyle name="Comma 5 2 2 9 4 2" xfId="18086" xr:uid="{E86AD147-58E9-4D09-B65A-2BAFBB69D95D}"/>
    <cellStyle name="Comma 5 2 2 9 4 3" xfId="28502" xr:uid="{0B5385CB-C1AF-46E8-B0BD-03EB011221F1}"/>
    <cellStyle name="Comma 5 2 2 9 5" xfId="15803" xr:uid="{81D81B5C-96FC-43F0-8BEC-ED655683ECEC}"/>
    <cellStyle name="Comma 5 2 2 9 6" xfId="26219" xr:uid="{016C379F-A552-4558-B319-A19222E508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2 2 2" xfId="22170" xr:uid="{5A609A5E-C55D-4EA2-B89E-776BFF740BB3}"/>
    <cellStyle name="Comma 5 2 3 2 2 2 2 3" xfId="32586" xr:uid="{AE5BA0AE-EC4C-4BE2-8CE6-6C50F61BD0F2}"/>
    <cellStyle name="Comma 5 2 3 2 2 2 3" xfId="15808" xr:uid="{154D8E23-8149-45CA-ACA6-1F83603956F2}"/>
    <cellStyle name="Comma 5 2 3 2 2 2 4" xfId="26224" xr:uid="{A09C5D18-3B4F-42FE-ABCB-FF28F743FFA6}"/>
    <cellStyle name="Comma 5 2 3 2 2 3" xfId="10623" xr:uid="{00000000-0005-0000-0000-0000D7210000}"/>
    <cellStyle name="Comma 5 2 3 2 2 3 2" xfId="22169" xr:uid="{3BD98E5F-CF32-4C5F-B182-78B8A85E8BAB}"/>
    <cellStyle name="Comma 5 2 3 2 2 3 3" xfId="32585" xr:uid="{C84E7E77-2A33-469C-98BF-F64B24F7BEA0}"/>
    <cellStyle name="Comma 5 2 3 2 2 4" xfId="6503" xr:uid="{00000000-0005-0000-0000-0000D8210000}"/>
    <cellStyle name="Comma 5 2 3 2 2 4 2" xfId="18089" xr:uid="{2844365E-71CB-4C69-BFCD-C08135F0A173}"/>
    <cellStyle name="Comma 5 2 3 2 2 4 3" xfId="28505" xr:uid="{0778E97F-B499-44FC-ABBB-78C0C4FAC760}"/>
    <cellStyle name="Comma 5 2 3 2 2 5" xfId="15807" xr:uid="{E93424E8-C65E-4B5F-B682-17E53C175086}"/>
    <cellStyle name="Comma 5 2 3 2 2 6" xfId="26223" xr:uid="{FE4E1EF8-06D5-46AB-9354-9DF9C15073E1}"/>
    <cellStyle name="Comma 5 2 3 2 3" xfId="3474" xr:uid="{00000000-0005-0000-0000-0000D9210000}"/>
    <cellStyle name="Comma 5 2 3 2 3 2" xfId="10625" xr:uid="{00000000-0005-0000-0000-0000DA210000}"/>
    <cellStyle name="Comma 5 2 3 2 3 2 2" xfId="22171" xr:uid="{FF5EB62F-018A-40A3-8EDD-337D8FBA1773}"/>
    <cellStyle name="Comma 5 2 3 2 3 2 3" xfId="32587" xr:uid="{8DFC4AAD-6CBE-4B2C-AA75-DF0D335FD59B}"/>
    <cellStyle name="Comma 5 2 3 2 3 3" xfId="15809" xr:uid="{EEC15E64-CE52-49AD-83FD-D68E836807E8}"/>
    <cellStyle name="Comma 5 2 3 2 3 4" xfId="26225" xr:uid="{C87F7312-A3C0-452F-B819-CF7C8D3BAFBF}"/>
    <cellStyle name="Comma 5 2 3 2 4" xfId="10622" xr:uid="{00000000-0005-0000-0000-0000DB210000}"/>
    <cellStyle name="Comma 5 2 3 2 4 2" xfId="22168" xr:uid="{89194AB8-9A8E-4EB9-866E-58CA6ADC468A}"/>
    <cellStyle name="Comma 5 2 3 2 4 3" xfId="32584" xr:uid="{9890E906-CA4A-4923-B1C8-716F38F79404}"/>
    <cellStyle name="Comma 5 2 3 2 5" xfId="6502" xr:uid="{00000000-0005-0000-0000-0000DC210000}"/>
    <cellStyle name="Comma 5 2 3 2 5 2" xfId="18088" xr:uid="{6E5ACC8A-0F4C-4FFA-AD0F-71429AE235BF}"/>
    <cellStyle name="Comma 5 2 3 2 5 3" xfId="28504" xr:uid="{481B89FE-9861-40F8-BFD2-864B2CB125C7}"/>
    <cellStyle name="Comma 5 2 3 2 6" xfId="15806" xr:uid="{0FDFCBA8-C7B2-4762-87B1-388B96DDA225}"/>
    <cellStyle name="Comma 5 2 3 2 7" xfId="26222" xr:uid="{71BAC8E0-A30E-4F39-9B69-A8BFC5590D65}"/>
    <cellStyle name="Comma 5 2 3 3" xfId="3475" xr:uid="{00000000-0005-0000-0000-0000DD210000}"/>
    <cellStyle name="Comma 5 2 3 3 2" xfId="3476" xr:uid="{00000000-0005-0000-0000-0000DE210000}"/>
    <cellStyle name="Comma 5 2 3 3 2 2" xfId="10627" xr:uid="{00000000-0005-0000-0000-0000DF210000}"/>
    <cellStyle name="Comma 5 2 3 3 2 2 2" xfId="22173" xr:uid="{A8B41610-8BE7-4D7E-9320-E93CE54A2EBC}"/>
    <cellStyle name="Comma 5 2 3 3 2 2 3" xfId="32589" xr:uid="{F42E895F-EECE-4654-96E5-0E173182A3E7}"/>
    <cellStyle name="Comma 5 2 3 3 2 3" xfId="15811" xr:uid="{106E1A1D-ECFC-4D2F-AD26-B924C7519515}"/>
    <cellStyle name="Comma 5 2 3 3 2 4" xfId="26227" xr:uid="{09F71AC5-F6CC-4D7E-802B-A04FB0F02701}"/>
    <cellStyle name="Comma 5 2 3 3 3" xfId="10626" xr:uid="{00000000-0005-0000-0000-0000E0210000}"/>
    <cellStyle name="Comma 5 2 3 3 3 2" xfId="22172" xr:uid="{5B731507-9BAD-4284-BC1B-89FD8CD27B74}"/>
    <cellStyle name="Comma 5 2 3 3 3 3" xfId="32588" xr:uid="{4316A35F-4CD5-4B57-B433-21B56E9BD375}"/>
    <cellStyle name="Comma 5 2 3 3 4" xfId="6504" xr:uid="{00000000-0005-0000-0000-0000E1210000}"/>
    <cellStyle name="Comma 5 2 3 3 4 2" xfId="18090" xr:uid="{3D707798-2B27-44DA-94B7-913A01E02EA9}"/>
    <cellStyle name="Comma 5 2 3 3 4 3" xfId="28506" xr:uid="{0B2CDA98-F33E-4016-92B5-6EB452D080B8}"/>
    <cellStyle name="Comma 5 2 3 3 5" xfId="15810" xr:uid="{F9223913-4043-446E-BFE0-1DFAFE1DF9E9}"/>
    <cellStyle name="Comma 5 2 3 3 6" xfId="26226" xr:uid="{96FCDB6F-07C9-4891-98F0-EE2396668861}"/>
    <cellStyle name="Comma 5 2 3 4" xfId="3477" xr:uid="{00000000-0005-0000-0000-0000E2210000}"/>
    <cellStyle name="Comma 5 2 3 4 2" xfId="3478" xr:uid="{00000000-0005-0000-0000-0000E3210000}"/>
    <cellStyle name="Comma 5 2 3 4 2 2" xfId="10629" xr:uid="{00000000-0005-0000-0000-0000E4210000}"/>
    <cellStyle name="Comma 5 2 3 4 2 2 2" xfId="22175" xr:uid="{BDCAE63F-23EB-4850-A96A-AEA53D3921CF}"/>
    <cellStyle name="Comma 5 2 3 4 2 2 3" xfId="32591" xr:uid="{6B20C1F8-97A0-4B58-997F-645AD1F6902E}"/>
    <cellStyle name="Comma 5 2 3 4 2 3" xfId="15813" xr:uid="{3A0758BD-F1E4-4BCF-84CD-D7FBF6152F89}"/>
    <cellStyle name="Comma 5 2 3 4 2 4" xfId="26229" xr:uid="{B3F15A83-DAE4-46DD-9701-B28785740189}"/>
    <cellStyle name="Comma 5 2 3 4 3" xfId="10628" xr:uid="{00000000-0005-0000-0000-0000E5210000}"/>
    <cellStyle name="Comma 5 2 3 4 3 2" xfId="22174" xr:uid="{634BDF40-E2AA-45A5-8845-51817BDF911A}"/>
    <cellStyle name="Comma 5 2 3 4 3 3" xfId="32590" xr:uid="{BD8F0490-954C-4835-8F77-9F443888A652}"/>
    <cellStyle name="Comma 5 2 3 4 4" xfId="6505" xr:uid="{00000000-0005-0000-0000-0000E6210000}"/>
    <cellStyle name="Comma 5 2 3 4 4 2" xfId="18091" xr:uid="{56D5C4A3-51D2-4AF0-9644-8D9470DF8F5D}"/>
    <cellStyle name="Comma 5 2 3 4 4 3" xfId="28507" xr:uid="{20FA9DDD-59E8-42F2-B597-DBEA2955A50F}"/>
    <cellStyle name="Comma 5 2 3 4 5" xfId="15812" xr:uid="{BE05FE0D-447D-40AD-82C6-804D8AC093C4}"/>
    <cellStyle name="Comma 5 2 3 4 6" xfId="26228" xr:uid="{B2B7F1A9-7803-464A-80C8-E46FE8DAA32E}"/>
    <cellStyle name="Comma 5 2 3 5" xfId="3479" xr:uid="{00000000-0005-0000-0000-0000E7210000}"/>
    <cellStyle name="Comma 5 2 3 5 2" xfId="10630" xr:uid="{00000000-0005-0000-0000-0000E8210000}"/>
    <cellStyle name="Comma 5 2 3 5 2 2" xfId="22176" xr:uid="{871EEAAC-FDA2-429B-A87C-DBDF661E8F9A}"/>
    <cellStyle name="Comma 5 2 3 5 2 3" xfId="32592" xr:uid="{EA71A889-803C-4821-AE3B-6BF7A1ED7A69}"/>
    <cellStyle name="Comma 5 2 3 5 3" xfId="15814" xr:uid="{CA437A01-93A6-4475-8C3C-B63D69331EF9}"/>
    <cellStyle name="Comma 5 2 3 5 4" xfId="26230" xr:uid="{E23F15CE-513B-4832-8E75-52498E11B201}"/>
    <cellStyle name="Comma 5 2 3 6" xfId="10621" xr:uid="{00000000-0005-0000-0000-0000E9210000}"/>
    <cellStyle name="Comma 5 2 3 6 2" xfId="22167" xr:uid="{0071EB00-30DC-4081-97C3-0F523C368B4B}"/>
    <cellStyle name="Comma 5 2 3 6 3" xfId="32583" xr:uid="{571C9847-E5CF-47EB-8704-551139AE176C}"/>
    <cellStyle name="Comma 5 2 3 7" xfId="6501" xr:uid="{00000000-0005-0000-0000-0000EA210000}"/>
    <cellStyle name="Comma 5 2 3 7 2" xfId="18087" xr:uid="{ED1739BD-399D-4B14-99FD-BD0E3481FFE6}"/>
    <cellStyle name="Comma 5 2 3 7 3" xfId="28503" xr:uid="{AC55214F-6E3D-42E4-8A5A-AFC14307E25E}"/>
    <cellStyle name="Comma 5 2 3 8" xfId="15805" xr:uid="{730D9260-423F-4A17-8975-12823F64DBE4}"/>
    <cellStyle name="Comma 5 2 3 9" xfId="26221" xr:uid="{563F4FD6-047C-406D-8B46-739BBA9082BB}"/>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2 2 2" xfId="22180" xr:uid="{E1461699-9865-4283-9CEA-0431B263A992}"/>
    <cellStyle name="Comma 5 2 4 2 2 2 2 3" xfId="32596" xr:uid="{6BB32519-83D4-49C8-8492-EB9952D3D526}"/>
    <cellStyle name="Comma 5 2 4 2 2 2 3" xfId="15818" xr:uid="{CD33A6EA-A1BD-433C-82D4-F826084C460A}"/>
    <cellStyle name="Comma 5 2 4 2 2 2 4" xfId="26234" xr:uid="{6B8E7C0F-C279-4BA9-8DE5-8B63583E4C9B}"/>
    <cellStyle name="Comma 5 2 4 2 2 3" xfId="10633" xr:uid="{00000000-0005-0000-0000-0000F0210000}"/>
    <cellStyle name="Comma 5 2 4 2 2 3 2" xfId="22179" xr:uid="{10623613-7DD6-4C52-973F-6A6A01B5E945}"/>
    <cellStyle name="Comma 5 2 4 2 2 3 3" xfId="32595" xr:uid="{9205208E-AF91-4DC0-A880-D1C500C40B31}"/>
    <cellStyle name="Comma 5 2 4 2 2 4" xfId="6508" xr:uid="{00000000-0005-0000-0000-0000F1210000}"/>
    <cellStyle name="Comma 5 2 4 2 2 4 2" xfId="18094" xr:uid="{C2A3410C-751B-464A-956D-B62E57CCFD6B}"/>
    <cellStyle name="Comma 5 2 4 2 2 4 3" xfId="28510" xr:uid="{916E6BFE-4DDC-43AC-A6DB-14EF7E03F4AC}"/>
    <cellStyle name="Comma 5 2 4 2 2 5" xfId="15817" xr:uid="{2F2378D5-FBBA-4EC2-84F8-EC08B720D57E}"/>
    <cellStyle name="Comma 5 2 4 2 2 6" xfId="26233" xr:uid="{DF366802-3CBA-4CB2-A4BC-112B23C8B115}"/>
    <cellStyle name="Comma 5 2 4 2 3" xfId="3484" xr:uid="{00000000-0005-0000-0000-0000F2210000}"/>
    <cellStyle name="Comma 5 2 4 2 3 2" xfId="10635" xr:uid="{00000000-0005-0000-0000-0000F3210000}"/>
    <cellStyle name="Comma 5 2 4 2 3 2 2" xfId="22181" xr:uid="{3F261CD5-C576-4482-BD8C-8A170E823493}"/>
    <cellStyle name="Comma 5 2 4 2 3 2 3" xfId="32597" xr:uid="{1CC5F63B-D428-4239-8C55-3AD5D6B54F75}"/>
    <cellStyle name="Comma 5 2 4 2 3 3" xfId="15819" xr:uid="{C5F5F65A-18FE-4982-8D30-C51F2C844378}"/>
    <cellStyle name="Comma 5 2 4 2 3 4" xfId="26235" xr:uid="{1C21FE51-2743-49AC-BB4D-8F2F9C70CF5C}"/>
    <cellStyle name="Comma 5 2 4 2 4" xfId="10632" xr:uid="{00000000-0005-0000-0000-0000F4210000}"/>
    <cellStyle name="Comma 5 2 4 2 4 2" xfId="22178" xr:uid="{CE7FA54A-9A7F-48F0-BF18-40A8C3D99AC3}"/>
    <cellStyle name="Comma 5 2 4 2 4 3" xfId="32594" xr:uid="{666E3AB1-8267-4EFB-A030-7296F014A3C2}"/>
    <cellStyle name="Comma 5 2 4 2 5" xfId="6507" xr:uid="{00000000-0005-0000-0000-0000F5210000}"/>
    <cellStyle name="Comma 5 2 4 2 5 2" xfId="18093" xr:uid="{B0B44908-BDC1-4028-98D7-7EA7D630F0D4}"/>
    <cellStyle name="Comma 5 2 4 2 5 3" xfId="28509" xr:uid="{0911733B-DA11-4CD9-9ADF-599595BEEFC5}"/>
    <cellStyle name="Comma 5 2 4 2 6" xfId="15816" xr:uid="{E5351DE2-3C93-48E3-8767-51C54D679861}"/>
    <cellStyle name="Comma 5 2 4 2 7" xfId="26232" xr:uid="{2587F566-14A1-406C-A413-872A2C161522}"/>
    <cellStyle name="Comma 5 2 4 3" xfId="3485" xr:uid="{00000000-0005-0000-0000-0000F6210000}"/>
    <cellStyle name="Comma 5 2 4 3 2" xfId="3486" xr:uid="{00000000-0005-0000-0000-0000F7210000}"/>
    <cellStyle name="Comma 5 2 4 3 2 2" xfId="10637" xr:uid="{00000000-0005-0000-0000-0000F8210000}"/>
    <cellStyle name="Comma 5 2 4 3 2 2 2" xfId="22183" xr:uid="{9135C5EC-B482-45AD-929F-904745BAEE0A}"/>
    <cellStyle name="Comma 5 2 4 3 2 2 3" xfId="32599" xr:uid="{8B3B7DC9-D838-41B3-8E16-88E85B9BD1EB}"/>
    <cellStyle name="Comma 5 2 4 3 2 3" xfId="15821" xr:uid="{AE83527E-DB48-414C-AB46-B7AD91DB8365}"/>
    <cellStyle name="Comma 5 2 4 3 2 4" xfId="26237" xr:uid="{B7DFE921-4031-4DAB-AA74-EBDD139B9227}"/>
    <cellStyle name="Comma 5 2 4 3 3" xfId="10636" xr:uid="{00000000-0005-0000-0000-0000F9210000}"/>
    <cellStyle name="Comma 5 2 4 3 3 2" xfId="22182" xr:uid="{E227B797-7B54-4FD2-894A-0005B1A62EAF}"/>
    <cellStyle name="Comma 5 2 4 3 3 3" xfId="32598" xr:uid="{0BAF1A07-334A-499E-B721-85056FEC251E}"/>
    <cellStyle name="Comma 5 2 4 3 4" xfId="6509" xr:uid="{00000000-0005-0000-0000-0000FA210000}"/>
    <cellStyle name="Comma 5 2 4 3 4 2" xfId="18095" xr:uid="{5A0BA0D3-E55A-4641-9F0C-98F7C490A6B4}"/>
    <cellStyle name="Comma 5 2 4 3 4 3" xfId="28511" xr:uid="{C093B4CB-F758-49F4-9790-8E21DF9081E0}"/>
    <cellStyle name="Comma 5 2 4 3 5" xfId="15820" xr:uid="{84ED9954-7919-4463-A16C-C25D7DE20AA4}"/>
    <cellStyle name="Comma 5 2 4 3 6" xfId="26236" xr:uid="{66AD263C-7A9B-4FE1-8612-540CC8CA9251}"/>
    <cellStyle name="Comma 5 2 4 4" xfId="3487" xr:uid="{00000000-0005-0000-0000-0000FB210000}"/>
    <cellStyle name="Comma 5 2 4 4 2" xfId="3488" xr:uid="{00000000-0005-0000-0000-0000FC210000}"/>
    <cellStyle name="Comma 5 2 4 4 2 2" xfId="10639" xr:uid="{00000000-0005-0000-0000-0000FD210000}"/>
    <cellStyle name="Comma 5 2 4 4 2 2 2" xfId="22185" xr:uid="{0BA06B56-EB39-4F39-B461-7BFE92CBCE1B}"/>
    <cellStyle name="Comma 5 2 4 4 2 2 3" xfId="32601" xr:uid="{98814805-B0E0-4D03-82B3-4A4F0D43DAD7}"/>
    <cellStyle name="Comma 5 2 4 4 2 3" xfId="15823" xr:uid="{931E60B1-D361-4BF8-91D1-F2F49A483842}"/>
    <cellStyle name="Comma 5 2 4 4 2 4" xfId="26239" xr:uid="{5C957983-19A2-462D-8805-7ECEA6B64D5D}"/>
    <cellStyle name="Comma 5 2 4 4 3" xfId="10638" xr:uid="{00000000-0005-0000-0000-0000FE210000}"/>
    <cellStyle name="Comma 5 2 4 4 3 2" xfId="22184" xr:uid="{B2B88A3C-2F31-4C17-AB76-C52A22CC02F6}"/>
    <cellStyle name="Comma 5 2 4 4 3 3" xfId="32600" xr:uid="{99224734-AF05-462C-9BA8-1802E7224DEA}"/>
    <cellStyle name="Comma 5 2 4 4 4" xfId="6510" xr:uid="{00000000-0005-0000-0000-0000FF210000}"/>
    <cellStyle name="Comma 5 2 4 4 4 2" xfId="18096" xr:uid="{A32166F7-18D4-483A-A938-67A87BBB181B}"/>
    <cellStyle name="Comma 5 2 4 4 4 3" xfId="28512" xr:uid="{6A6A4B0B-FE10-4BBF-B0D9-1985FA7F4FF7}"/>
    <cellStyle name="Comma 5 2 4 4 5" xfId="15822" xr:uid="{8C47FB08-4CFE-4E39-A1FB-0F3DDBF7910B}"/>
    <cellStyle name="Comma 5 2 4 4 6" xfId="26238" xr:uid="{F89FE474-1F07-4898-903F-9FA9824CF5D2}"/>
    <cellStyle name="Comma 5 2 4 5" xfId="3489" xr:uid="{00000000-0005-0000-0000-000000220000}"/>
    <cellStyle name="Comma 5 2 4 5 2" xfId="10640" xr:uid="{00000000-0005-0000-0000-000001220000}"/>
    <cellStyle name="Comma 5 2 4 5 2 2" xfId="22186" xr:uid="{A6082815-E239-431D-84CB-1755AB841139}"/>
    <cellStyle name="Comma 5 2 4 5 2 3" xfId="32602" xr:uid="{B18D6164-A69A-4D6C-A467-3535290DB30D}"/>
    <cellStyle name="Comma 5 2 4 5 3" xfId="15824" xr:uid="{4723C547-15D4-47FA-9F28-5F10C3E69698}"/>
    <cellStyle name="Comma 5 2 4 5 4" xfId="26240" xr:uid="{C6A749D9-B8BD-4133-B1CF-6971703D2F2D}"/>
    <cellStyle name="Comma 5 2 4 6" xfId="10631" xr:uid="{00000000-0005-0000-0000-000002220000}"/>
    <cellStyle name="Comma 5 2 4 6 2" xfId="22177" xr:uid="{A4B24D7B-38F2-481A-A407-1E3D4394374A}"/>
    <cellStyle name="Comma 5 2 4 6 3" xfId="32593" xr:uid="{7891E08F-8462-485B-9848-36828B1281B3}"/>
    <cellStyle name="Comma 5 2 4 7" xfId="6506" xr:uid="{00000000-0005-0000-0000-000003220000}"/>
    <cellStyle name="Comma 5 2 4 7 2" xfId="18092" xr:uid="{81A654C7-C893-43F0-8B1C-AE48E380185E}"/>
    <cellStyle name="Comma 5 2 4 7 3" xfId="28508" xr:uid="{633DE02D-F024-4789-8A74-D007540E6675}"/>
    <cellStyle name="Comma 5 2 4 8" xfId="15815" xr:uid="{46460A56-D4FF-4C8F-B748-3133033C5463}"/>
    <cellStyle name="Comma 5 2 4 9" xfId="26231" xr:uid="{CFDE02F9-8C34-4584-86CF-322E2EBCAF42}"/>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2 2 2" xfId="22190" xr:uid="{272F7E95-514B-4BEC-B792-595DA0D7CC55}"/>
    <cellStyle name="Comma 5 2 5 2 2 2 2 3" xfId="32606" xr:uid="{A32169BD-4BC5-47B7-AB8A-5EF2282E5541}"/>
    <cellStyle name="Comma 5 2 5 2 2 2 3" xfId="15828" xr:uid="{72439B93-9842-42F9-99C6-554361474EB2}"/>
    <cellStyle name="Comma 5 2 5 2 2 2 4" xfId="26244" xr:uid="{65D86C41-2922-4228-9D3F-7B0AB6C6A7E0}"/>
    <cellStyle name="Comma 5 2 5 2 2 3" xfId="10643" xr:uid="{00000000-0005-0000-0000-000009220000}"/>
    <cellStyle name="Comma 5 2 5 2 2 3 2" xfId="22189" xr:uid="{1E85D83B-D761-49E5-BD13-BF3D7AC9B7B9}"/>
    <cellStyle name="Comma 5 2 5 2 2 3 3" xfId="32605" xr:uid="{A7D962E6-85F7-4141-94B6-27C46E84BD41}"/>
    <cellStyle name="Comma 5 2 5 2 2 4" xfId="6513" xr:uid="{00000000-0005-0000-0000-00000A220000}"/>
    <cellStyle name="Comma 5 2 5 2 2 4 2" xfId="18099" xr:uid="{B9FCC400-E204-4320-A7FC-176C085248E1}"/>
    <cellStyle name="Comma 5 2 5 2 2 4 3" xfId="28515" xr:uid="{C5A8D40D-4448-498D-938C-837DE73F5516}"/>
    <cellStyle name="Comma 5 2 5 2 2 5" xfId="15827" xr:uid="{6267F8E0-CDF5-464D-91FD-A9CF89561588}"/>
    <cellStyle name="Comma 5 2 5 2 2 6" xfId="26243" xr:uid="{F581ECA1-522E-49F1-AF77-3CCBCF6D39BF}"/>
    <cellStyle name="Comma 5 2 5 2 3" xfId="3494" xr:uid="{00000000-0005-0000-0000-00000B220000}"/>
    <cellStyle name="Comma 5 2 5 2 3 2" xfId="10645" xr:uid="{00000000-0005-0000-0000-00000C220000}"/>
    <cellStyle name="Comma 5 2 5 2 3 2 2" xfId="22191" xr:uid="{6B2AC5C8-E644-429D-97FA-7D99882F0364}"/>
    <cellStyle name="Comma 5 2 5 2 3 2 3" xfId="32607" xr:uid="{DD73377B-BEA5-4576-AD6B-99ED691703FC}"/>
    <cellStyle name="Comma 5 2 5 2 3 3" xfId="15829" xr:uid="{13C4D865-2556-4A14-99D3-DE002F19607C}"/>
    <cellStyle name="Comma 5 2 5 2 3 4" xfId="26245" xr:uid="{AE0D345F-8694-4D83-8171-868858C85E54}"/>
    <cellStyle name="Comma 5 2 5 2 4" xfId="10642" xr:uid="{00000000-0005-0000-0000-00000D220000}"/>
    <cellStyle name="Comma 5 2 5 2 4 2" xfId="22188" xr:uid="{EA99DBC0-0C2C-4094-8863-106143B9EB3B}"/>
    <cellStyle name="Comma 5 2 5 2 4 3" xfId="32604" xr:uid="{986BC03D-B245-477D-87C3-CC5F8D92C799}"/>
    <cellStyle name="Comma 5 2 5 2 5" xfId="6512" xr:uid="{00000000-0005-0000-0000-00000E220000}"/>
    <cellStyle name="Comma 5 2 5 2 5 2" xfId="18098" xr:uid="{A5C234F5-FADB-4C47-94E0-6490C6352877}"/>
    <cellStyle name="Comma 5 2 5 2 5 3" xfId="28514" xr:uid="{121F49FE-F1DC-4EA8-9E08-757C6EABEA93}"/>
    <cellStyle name="Comma 5 2 5 2 6" xfId="15826" xr:uid="{A9714B47-E954-4A9F-AC5B-5D6527BDB5DC}"/>
    <cellStyle name="Comma 5 2 5 2 7" xfId="26242" xr:uid="{D8F5C133-9876-48CA-9542-D8347C3F5E3E}"/>
    <cellStyle name="Comma 5 2 5 3" xfId="3495" xr:uid="{00000000-0005-0000-0000-00000F220000}"/>
    <cellStyle name="Comma 5 2 5 3 2" xfId="3496" xr:uid="{00000000-0005-0000-0000-000010220000}"/>
    <cellStyle name="Comma 5 2 5 3 2 2" xfId="10647" xr:uid="{00000000-0005-0000-0000-000011220000}"/>
    <cellStyle name="Comma 5 2 5 3 2 2 2" xfId="22193" xr:uid="{2A9B36DA-03B6-4793-9F2B-02BEF06288DB}"/>
    <cellStyle name="Comma 5 2 5 3 2 2 3" xfId="32609" xr:uid="{A77E5338-0BE6-4569-942F-1A2022997A6D}"/>
    <cellStyle name="Comma 5 2 5 3 2 3" xfId="15831" xr:uid="{CBD1E5BD-CC76-41A0-9D87-113DFFA7CF9C}"/>
    <cellStyle name="Comma 5 2 5 3 2 4" xfId="26247" xr:uid="{3F6596E8-741B-4107-893B-6E73A3708EBF}"/>
    <cellStyle name="Comma 5 2 5 3 3" xfId="10646" xr:uid="{00000000-0005-0000-0000-000012220000}"/>
    <cellStyle name="Comma 5 2 5 3 3 2" xfId="22192" xr:uid="{2DDD59CE-2A3C-4E49-AE48-28AF4A5C44E2}"/>
    <cellStyle name="Comma 5 2 5 3 3 3" xfId="32608" xr:uid="{7A0A739B-6741-4CF1-B78F-7CEF0C49F332}"/>
    <cellStyle name="Comma 5 2 5 3 4" xfId="6514" xr:uid="{00000000-0005-0000-0000-000013220000}"/>
    <cellStyle name="Comma 5 2 5 3 4 2" xfId="18100" xr:uid="{F40F5D5B-B824-4D5D-A52D-1F23BBF2D69A}"/>
    <cellStyle name="Comma 5 2 5 3 4 3" xfId="28516" xr:uid="{75148729-C155-49AE-8D95-992272F21F73}"/>
    <cellStyle name="Comma 5 2 5 3 5" xfId="15830" xr:uid="{8F4B8C5B-8FB0-4149-B97B-52A6B7D60195}"/>
    <cellStyle name="Comma 5 2 5 3 6" xfId="26246" xr:uid="{AF09BB9D-ED5C-4A89-872C-C94B9CA9DB9F}"/>
    <cellStyle name="Comma 5 2 5 4" xfId="3497" xr:uid="{00000000-0005-0000-0000-000014220000}"/>
    <cellStyle name="Comma 5 2 5 4 2" xfId="3498" xr:uid="{00000000-0005-0000-0000-000015220000}"/>
    <cellStyle name="Comma 5 2 5 4 2 2" xfId="10649" xr:uid="{00000000-0005-0000-0000-000016220000}"/>
    <cellStyle name="Comma 5 2 5 4 2 2 2" xfId="22195" xr:uid="{B93C14FC-9FB9-4FA8-887E-BF79130D7D63}"/>
    <cellStyle name="Comma 5 2 5 4 2 2 3" xfId="32611" xr:uid="{4202F83A-9C56-411F-B79E-ED8D4125671E}"/>
    <cellStyle name="Comma 5 2 5 4 2 3" xfId="15833" xr:uid="{1DC93FB7-544B-4D75-B29D-8C694B458831}"/>
    <cellStyle name="Comma 5 2 5 4 2 4" xfId="26249" xr:uid="{4F3844B4-ACEB-47EA-A8B1-1702CDFD9F8B}"/>
    <cellStyle name="Comma 5 2 5 4 3" xfId="10648" xr:uid="{00000000-0005-0000-0000-000017220000}"/>
    <cellStyle name="Comma 5 2 5 4 3 2" xfId="22194" xr:uid="{000F468C-B4C9-4B13-B704-F3621F9E8C83}"/>
    <cellStyle name="Comma 5 2 5 4 3 3" xfId="32610" xr:uid="{B40C5E1B-F101-4F57-9608-A4FE2FD3F06E}"/>
    <cellStyle name="Comma 5 2 5 4 4" xfId="6515" xr:uid="{00000000-0005-0000-0000-000018220000}"/>
    <cellStyle name="Comma 5 2 5 4 4 2" xfId="18101" xr:uid="{0A00D425-3C40-4041-AF37-F7AF3990AA15}"/>
    <cellStyle name="Comma 5 2 5 4 4 3" xfId="28517" xr:uid="{C85267D3-E7FA-4678-990A-C49E9379CD44}"/>
    <cellStyle name="Comma 5 2 5 4 5" xfId="15832" xr:uid="{D6C056EA-9742-4E71-AC25-A83A89065BD5}"/>
    <cellStyle name="Comma 5 2 5 4 6" xfId="26248" xr:uid="{1DAD8536-E08A-4CA0-B0DA-F3B5F93397B3}"/>
    <cellStyle name="Comma 5 2 5 5" xfId="3499" xr:uid="{00000000-0005-0000-0000-000019220000}"/>
    <cellStyle name="Comma 5 2 5 5 2" xfId="10650" xr:uid="{00000000-0005-0000-0000-00001A220000}"/>
    <cellStyle name="Comma 5 2 5 5 2 2" xfId="22196" xr:uid="{8FB5C0E1-24D1-48D7-9C87-C6035FC80033}"/>
    <cellStyle name="Comma 5 2 5 5 2 3" xfId="32612" xr:uid="{CFCEC136-9FB4-4057-97C1-243BABFF13D4}"/>
    <cellStyle name="Comma 5 2 5 5 3" xfId="15834" xr:uid="{FFC4B299-1F07-469C-80CA-BB2B6676D738}"/>
    <cellStyle name="Comma 5 2 5 5 4" xfId="26250" xr:uid="{641CD893-540E-429F-8BE0-3D98629735B8}"/>
    <cellStyle name="Comma 5 2 5 6" xfId="10641" xr:uid="{00000000-0005-0000-0000-00001B220000}"/>
    <cellStyle name="Comma 5 2 5 6 2" xfId="22187" xr:uid="{0A6D82AE-8375-4DCA-91FD-CF56BFFA8C39}"/>
    <cellStyle name="Comma 5 2 5 6 3" xfId="32603" xr:uid="{C4BAA840-2855-4053-B37B-277EFAB5E12E}"/>
    <cellStyle name="Comma 5 2 5 7" xfId="6511" xr:uid="{00000000-0005-0000-0000-00001C220000}"/>
    <cellStyle name="Comma 5 2 5 7 2" xfId="18097" xr:uid="{C0E6F28B-4467-4DA6-8D9F-1DB01B75FD07}"/>
    <cellStyle name="Comma 5 2 5 7 3" xfId="28513" xr:uid="{858B6431-6773-40B6-B418-412398340E98}"/>
    <cellStyle name="Comma 5 2 5 8" xfId="15825" xr:uid="{2EB2F0DF-6CC3-40D5-B796-7ED41BB6B332}"/>
    <cellStyle name="Comma 5 2 5 9" xfId="26241" xr:uid="{6D246414-ADC1-4F9F-9794-A55846D15EA7}"/>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2 2 2" xfId="22200" xr:uid="{4A55EDB8-EF79-403D-8772-06BF41B356DD}"/>
    <cellStyle name="Comma 5 2 6 2 2 2 2 3" xfId="32616" xr:uid="{FAA97CE1-F7B2-4491-B8FF-9E2835B54EBF}"/>
    <cellStyle name="Comma 5 2 6 2 2 2 3" xfId="15838" xr:uid="{5D1CB441-1C99-4F3D-9DD6-7E69803DB4E0}"/>
    <cellStyle name="Comma 5 2 6 2 2 2 4" xfId="26254" xr:uid="{BF8ADCE6-DE46-4220-891A-AE3CB5E09D45}"/>
    <cellStyle name="Comma 5 2 6 2 2 3" xfId="10653" xr:uid="{00000000-0005-0000-0000-000022220000}"/>
    <cellStyle name="Comma 5 2 6 2 2 3 2" xfId="22199" xr:uid="{0AEDBA3A-F94E-4CC4-BEDE-2A72E423AE90}"/>
    <cellStyle name="Comma 5 2 6 2 2 3 3" xfId="32615" xr:uid="{BE3800CB-9831-4AD9-854D-FDE8E90A1729}"/>
    <cellStyle name="Comma 5 2 6 2 2 4" xfId="6518" xr:uid="{00000000-0005-0000-0000-000023220000}"/>
    <cellStyle name="Comma 5 2 6 2 2 4 2" xfId="18104" xr:uid="{C9D240C6-DFE0-4B9A-B8FC-F905B257F03E}"/>
    <cellStyle name="Comma 5 2 6 2 2 4 3" xfId="28520" xr:uid="{0E018DBD-9593-4071-ADD9-7486DC8EB061}"/>
    <cellStyle name="Comma 5 2 6 2 2 5" xfId="15837" xr:uid="{1481B255-720F-44D6-8EFA-130B2D5749B1}"/>
    <cellStyle name="Comma 5 2 6 2 2 6" xfId="26253" xr:uid="{461CBC99-8D74-4B93-BE29-E910896A1678}"/>
    <cellStyle name="Comma 5 2 6 2 3" xfId="3504" xr:uid="{00000000-0005-0000-0000-000024220000}"/>
    <cellStyle name="Comma 5 2 6 2 3 2" xfId="10655" xr:uid="{00000000-0005-0000-0000-000025220000}"/>
    <cellStyle name="Comma 5 2 6 2 3 2 2" xfId="22201" xr:uid="{0B6D9124-34AA-4DD4-A16E-4B7E52FE02C9}"/>
    <cellStyle name="Comma 5 2 6 2 3 2 3" xfId="32617" xr:uid="{869117A5-E102-47A2-93D6-4CDEFDA5DCB9}"/>
    <cellStyle name="Comma 5 2 6 2 3 3" xfId="15839" xr:uid="{6EB8B8CF-5692-484D-9C2F-E551D20E6E30}"/>
    <cellStyle name="Comma 5 2 6 2 3 4" xfId="26255" xr:uid="{5971FC6F-D18F-4476-92D6-9180E38FC697}"/>
    <cellStyle name="Comma 5 2 6 2 4" xfId="10652" xr:uid="{00000000-0005-0000-0000-000026220000}"/>
    <cellStyle name="Comma 5 2 6 2 4 2" xfId="22198" xr:uid="{6266E32C-F5DB-49D0-BB9E-EE0570D09797}"/>
    <cellStyle name="Comma 5 2 6 2 4 3" xfId="32614" xr:uid="{460FD472-4731-41CF-945A-DD3FBAB5DCC1}"/>
    <cellStyle name="Comma 5 2 6 2 5" xfId="6517" xr:uid="{00000000-0005-0000-0000-000027220000}"/>
    <cellStyle name="Comma 5 2 6 2 5 2" xfId="18103" xr:uid="{EB711ED5-BF41-4553-9F86-8BD7F402D371}"/>
    <cellStyle name="Comma 5 2 6 2 5 3" xfId="28519" xr:uid="{FAD485AA-DEFC-44E5-A984-297317A8CC70}"/>
    <cellStyle name="Comma 5 2 6 2 6" xfId="15836" xr:uid="{3B559591-2B1C-4208-8D05-F4406C150AB3}"/>
    <cellStyle name="Comma 5 2 6 2 7" xfId="26252" xr:uid="{9BA49A4E-66BC-4C53-BB7E-EAEC2D235601}"/>
    <cellStyle name="Comma 5 2 6 3" xfId="3505" xr:uid="{00000000-0005-0000-0000-000028220000}"/>
    <cellStyle name="Comma 5 2 6 3 2" xfId="3506" xr:uid="{00000000-0005-0000-0000-000029220000}"/>
    <cellStyle name="Comma 5 2 6 3 2 2" xfId="10657" xr:uid="{00000000-0005-0000-0000-00002A220000}"/>
    <cellStyle name="Comma 5 2 6 3 2 2 2" xfId="22203" xr:uid="{7FC88BC2-488C-40D2-A7AF-76CB9E322DFC}"/>
    <cellStyle name="Comma 5 2 6 3 2 2 3" xfId="32619" xr:uid="{1AEFAD1A-BF3A-43BF-8CD8-F655677331CA}"/>
    <cellStyle name="Comma 5 2 6 3 2 3" xfId="15841" xr:uid="{A9A5D890-3804-47F4-8930-50441DA0B8C1}"/>
    <cellStyle name="Comma 5 2 6 3 2 4" xfId="26257" xr:uid="{1D10EDBB-051F-4553-A45E-0CD7EA543542}"/>
    <cellStyle name="Comma 5 2 6 3 3" xfId="10656" xr:uid="{00000000-0005-0000-0000-00002B220000}"/>
    <cellStyle name="Comma 5 2 6 3 3 2" xfId="22202" xr:uid="{6E29E076-B524-4C0F-A81D-F4D8388461E4}"/>
    <cellStyle name="Comma 5 2 6 3 3 3" xfId="32618" xr:uid="{AD286274-0123-42B6-9F87-A5F09F47B0F2}"/>
    <cellStyle name="Comma 5 2 6 3 4" xfId="6519" xr:uid="{00000000-0005-0000-0000-00002C220000}"/>
    <cellStyle name="Comma 5 2 6 3 4 2" xfId="18105" xr:uid="{A1B6EEBB-38F4-4F81-89B8-CEE89EC5DFF4}"/>
    <cellStyle name="Comma 5 2 6 3 4 3" xfId="28521" xr:uid="{32E7F7F1-D160-43C3-B971-49C17487D15B}"/>
    <cellStyle name="Comma 5 2 6 3 5" xfId="15840" xr:uid="{F548DF70-089B-4E6B-BD2A-5798AEA41FA2}"/>
    <cellStyle name="Comma 5 2 6 3 6" xfId="26256" xr:uid="{D87E293E-8A0D-4DD3-A27E-E9B7099559EF}"/>
    <cellStyle name="Comma 5 2 6 4" xfId="3507" xr:uid="{00000000-0005-0000-0000-00002D220000}"/>
    <cellStyle name="Comma 5 2 6 4 2" xfId="3508" xr:uid="{00000000-0005-0000-0000-00002E220000}"/>
    <cellStyle name="Comma 5 2 6 4 2 2" xfId="10659" xr:uid="{00000000-0005-0000-0000-00002F220000}"/>
    <cellStyle name="Comma 5 2 6 4 2 2 2" xfId="22205" xr:uid="{BF81A6F0-D275-4C50-A5BD-43CCD07EE033}"/>
    <cellStyle name="Comma 5 2 6 4 2 2 3" xfId="32621" xr:uid="{1C834102-5F84-4980-8B8A-6D3931F035C2}"/>
    <cellStyle name="Comma 5 2 6 4 2 3" xfId="15843" xr:uid="{5C0483DC-9B28-451A-8DA7-258519086C1E}"/>
    <cellStyle name="Comma 5 2 6 4 2 4" xfId="26259" xr:uid="{71D772CC-37F2-494D-8F22-52A14CF7A06B}"/>
    <cellStyle name="Comma 5 2 6 4 3" xfId="10658" xr:uid="{00000000-0005-0000-0000-000030220000}"/>
    <cellStyle name="Comma 5 2 6 4 3 2" xfId="22204" xr:uid="{CF3AFDF6-8278-4136-97E8-0CE62B16D6F1}"/>
    <cellStyle name="Comma 5 2 6 4 3 3" xfId="32620" xr:uid="{5726AAA5-5B66-42F2-807C-F6D4C6FE7F6A}"/>
    <cellStyle name="Comma 5 2 6 4 4" xfId="6520" xr:uid="{00000000-0005-0000-0000-000031220000}"/>
    <cellStyle name="Comma 5 2 6 4 4 2" xfId="18106" xr:uid="{265CCFA5-97DA-4DDB-8DDD-B464006608C8}"/>
    <cellStyle name="Comma 5 2 6 4 4 3" xfId="28522" xr:uid="{59DC4F27-9402-472B-A1BA-FC76FA7E9286}"/>
    <cellStyle name="Comma 5 2 6 4 5" xfId="15842" xr:uid="{D4027791-EC90-4718-812B-04E726AF8AA7}"/>
    <cellStyle name="Comma 5 2 6 4 6" xfId="26258" xr:uid="{A6104276-C994-4208-941B-E72AFD95978D}"/>
    <cellStyle name="Comma 5 2 6 5" xfId="3509" xr:uid="{00000000-0005-0000-0000-000032220000}"/>
    <cellStyle name="Comma 5 2 6 5 2" xfId="10660" xr:uid="{00000000-0005-0000-0000-000033220000}"/>
    <cellStyle name="Comma 5 2 6 5 2 2" xfId="22206" xr:uid="{1AE0B97F-F70C-4245-8F93-02983CED6BF4}"/>
    <cellStyle name="Comma 5 2 6 5 2 3" xfId="32622" xr:uid="{68E23611-F011-4E7D-AFCE-48C6C81DBE9D}"/>
    <cellStyle name="Comma 5 2 6 5 3" xfId="15844" xr:uid="{E7E32C72-92EA-4AF3-ACDA-F4B75274971D}"/>
    <cellStyle name="Comma 5 2 6 5 4" xfId="26260" xr:uid="{80C35041-2923-4A4A-8BB8-1AA42666CDA4}"/>
    <cellStyle name="Comma 5 2 6 6" xfId="10651" xr:uid="{00000000-0005-0000-0000-000034220000}"/>
    <cellStyle name="Comma 5 2 6 6 2" xfId="22197" xr:uid="{15669F7B-1C75-400E-A1E6-751A232B990A}"/>
    <cellStyle name="Comma 5 2 6 6 3" xfId="32613" xr:uid="{424B50C6-73A1-4930-9C60-4B6CC2D0F105}"/>
    <cellStyle name="Comma 5 2 6 7" xfId="6516" xr:uid="{00000000-0005-0000-0000-000035220000}"/>
    <cellStyle name="Comma 5 2 6 7 2" xfId="18102" xr:uid="{EB0CD7B8-8A84-4A59-845F-1DFED0E58258}"/>
    <cellStyle name="Comma 5 2 6 7 3" xfId="28518" xr:uid="{4F9F3F73-3C61-4E98-9E9C-833B743996EF}"/>
    <cellStyle name="Comma 5 2 6 8" xfId="15835" xr:uid="{E7E69E7C-E2B1-491D-A802-2E0E531225E7}"/>
    <cellStyle name="Comma 5 2 6 9" xfId="26251" xr:uid="{A1D1D65C-F29B-420A-B8DE-CCE03662BF37}"/>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2 2 2" xfId="22209" xr:uid="{4292D3F7-B2D8-40D2-BB70-3199BD9C9E62}"/>
    <cellStyle name="Comma 5 2 7 2 2 2 3" xfId="32625" xr:uid="{E95B6433-8000-4BD3-AF7D-EBF96C3DD649}"/>
    <cellStyle name="Comma 5 2 7 2 2 3" xfId="15847" xr:uid="{9DD24643-69E8-4F83-8E4A-A1A04B3A046A}"/>
    <cellStyle name="Comma 5 2 7 2 2 4" xfId="26263" xr:uid="{782AE4F1-41D5-4093-BE93-3DCD47B0678E}"/>
    <cellStyle name="Comma 5 2 7 2 3" xfId="10662" xr:uid="{00000000-0005-0000-0000-00003A220000}"/>
    <cellStyle name="Comma 5 2 7 2 3 2" xfId="22208" xr:uid="{66C8746F-6058-4422-9772-DC2209CA342B}"/>
    <cellStyle name="Comma 5 2 7 2 3 3" xfId="32624" xr:uid="{3920A65C-BB4F-43A4-A033-9270A68475BA}"/>
    <cellStyle name="Comma 5 2 7 2 4" xfId="6522" xr:uid="{00000000-0005-0000-0000-00003B220000}"/>
    <cellStyle name="Comma 5 2 7 2 4 2" xfId="18108" xr:uid="{1501B818-5EB6-4B47-BBA6-89FA3506DFF9}"/>
    <cellStyle name="Comma 5 2 7 2 4 3" xfId="28524" xr:uid="{FB3FAAE0-6A32-42FD-A5C4-2B4C175B4144}"/>
    <cellStyle name="Comma 5 2 7 2 5" xfId="15846" xr:uid="{9454425B-AEE1-440F-81A2-96100C23FB4A}"/>
    <cellStyle name="Comma 5 2 7 2 6" xfId="26262" xr:uid="{C1B5B1C1-EE47-48BE-9974-E2D27A1F8926}"/>
    <cellStyle name="Comma 5 2 7 3" xfId="3513" xr:uid="{00000000-0005-0000-0000-00003C220000}"/>
    <cellStyle name="Comma 5 2 7 3 2" xfId="3514" xr:uid="{00000000-0005-0000-0000-00003D220000}"/>
    <cellStyle name="Comma 5 2 7 3 2 2" xfId="10665" xr:uid="{00000000-0005-0000-0000-00003E220000}"/>
    <cellStyle name="Comma 5 2 7 3 2 2 2" xfId="22211" xr:uid="{151D5604-C701-4DB1-A915-0DA4D626CD2B}"/>
    <cellStyle name="Comma 5 2 7 3 2 2 3" xfId="32627" xr:uid="{F4E868D0-8172-4E37-B83E-1651A2FCF101}"/>
    <cellStyle name="Comma 5 2 7 3 2 3" xfId="15849" xr:uid="{282DA6DD-FC89-4468-99BB-2BAF9B908101}"/>
    <cellStyle name="Comma 5 2 7 3 2 4" xfId="26265" xr:uid="{7B002623-E1D4-4252-B0BA-DED4DA657BAF}"/>
    <cellStyle name="Comma 5 2 7 3 3" xfId="10664" xr:uid="{00000000-0005-0000-0000-00003F220000}"/>
    <cellStyle name="Comma 5 2 7 3 3 2" xfId="22210" xr:uid="{1E5A31E2-0CBF-4270-955D-9E20F44EE09E}"/>
    <cellStyle name="Comma 5 2 7 3 3 3" xfId="32626" xr:uid="{8BD5C763-A495-47EE-BB12-F4B8B20008D3}"/>
    <cellStyle name="Comma 5 2 7 3 4" xfId="6523" xr:uid="{00000000-0005-0000-0000-000040220000}"/>
    <cellStyle name="Comma 5 2 7 3 4 2" xfId="18109" xr:uid="{090630ED-5F69-4F4A-BA31-7A504288D767}"/>
    <cellStyle name="Comma 5 2 7 3 4 3" xfId="28525" xr:uid="{08E7BF4D-3089-451D-A141-653D2950C539}"/>
    <cellStyle name="Comma 5 2 7 3 5" xfId="15848" xr:uid="{5FFE9F1F-C029-4DB8-80F6-14138F563C34}"/>
    <cellStyle name="Comma 5 2 7 3 6" xfId="26264" xr:uid="{6ABB8E8D-5D86-4D51-8F8E-9037943B8328}"/>
    <cellStyle name="Comma 5 2 7 4" xfId="3515" xr:uid="{00000000-0005-0000-0000-000041220000}"/>
    <cellStyle name="Comma 5 2 7 4 2" xfId="10666" xr:uid="{00000000-0005-0000-0000-000042220000}"/>
    <cellStyle name="Comma 5 2 7 4 2 2" xfId="22212" xr:uid="{8243E46A-CF07-4598-B5E7-2E0AE4D1D90C}"/>
    <cellStyle name="Comma 5 2 7 4 2 3" xfId="32628" xr:uid="{031337C4-82E1-42C1-A495-B2DBA4445CFD}"/>
    <cellStyle name="Comma 5 2 7 4 3" xfId="15850" xr:uid="{A649B761-A4C0-4F51-82C9-62EFA49D3BAF}"/>
    <cellStyle name="Comma 5 2 7 4 4" xfId="26266" xr:uid="{AE6B6467-2B4E-4F80-B8D3-94E041C97120}"/>
    <cellStyle name="Comma 5 2 7 5" xfId="10661" xr:uid="{00000000-0005-0000-0000-000043220000}"/>
    <cellStyle name="Comma 5 2 7 5 2" xfId="22207" xr:uid="{591E1B51-E259-4434-AC6E-4357C7C42F1F}"/>
    <cellStyle name="Comma 5 2 7 5 3" xfId="32623" xr:uid="{FEA294C3-43C4-4A3F-8A61-8D89A516E378}"/>
    <cellStyle name="Comma 5 2 7 6" xfId="6521" xr:uid="{00000000-0005-0000-0000-000044220000}"/>
    <cellStyle name="Comma 5 2 7 6 2" xfId="18107" xr:uid="{C0474340-D59C-44BD-8A79-3A7214DABAC0}"/>
    <cellStyle name="Comma 5 2 7 6 3" xfId="28523" xr:uid="{D3F0FF02-ABC8-4256-AD57-B062C09D9CBA}"/>
    <cellStyle name="Comma 5 2 7 7" xfId="15845" xr:uid="{0C0B0D84-F0DB-4621-940B-D2C46F45F12C}"/>
    <cellStyle name="Comma 5 2 7 8" xfId="26261" xr:uid="{DB378539-5290-445F-A2F3-5E033CF43EC3}"/>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2 2 2" xfId="22215" xr:uid="{1F69CFEE-EBCF-4C5B-82AB-C5AF5FD0366F}"/>
    <cellStyle name="Comma 5 2 8 2 2 2 3" xfId="32631" xr:uid="{1B7E5019-5B14-4EC0-A70D-E919FE199E5A}"/>
    <cellStyle name="Comma 5 2 8 2 2 3" xfId="15853" xr:uid="{73E8E387-C184-4534-A935-96328FCF9CF9}"/>
    <cellStyle name="Comma 5 2 8 2 2 4" xfId="26269" xr:uid="{53DD0358-C967-4591-AF9D-D77784494C58}"/>
    <cellStyle name="Comma 5 2 8 2 3" xfId="10668" xr:uid="{00000000-0005-0000-0000-000049220000}"/>
    <cellStyle name="Comma 5 2 8 2 3 2" xfId="22214" xr:uid="{28BBF781-4422-49D6-BE0B-98C9A6A09A16}"/>
    <cellStyle name="Comma 5 2 8 2 3 3" xfId="32630" xr:uid="{F6DD387E-A1FC-4C81-B77B-D5265CEC0166}"/>
    <cellStyle name="Comma 5 2 8 2 4" xfId="6525" xr:uid="{00000000-0005-0000-0000-00004A220000}"/>
    <cellStyle name="Comma 5 2 8 2 4 2" xfId="18111" xr:uid="{8C072E4C-3E7F-46BD-AFF7-76F6F54B3444}"/>
    <cellStyle name="Comma 5 2 8 2 4 3" xfId="28527" xr:uid="{C182C16B-E8E0-4F46-AC1E-46E5919FEA08}"/>
    <cellStyle name="Comma 5 2 8 2 5" xfId="15852" xr:uid="{482C6596-2A9F-413C-A873-D0051618F560}"/>
    <cellStyle name="Comma 5 2 8 2 6" xfId="26268" xr:uid="{966F4EA2-7347-42A5-8969-BEEA430414E7}"/>
    <cellStyle name="Comma 5 2 8 3" xfId="3519" xr:uid="{00000000-0005-0000-0000-00004B220000}"/>
    <cellStyle name="Comma 5 2 8 3 2" xfId="10670" xr:uid="{00000000-0005-0000-0000-00004C220000}"/>
    <cellStyle name="Comma 5 2 8 3 2 2" xfId="22216" xr:uid="{35882CB4-5D6C-4E06-9E9D-178E84F6A522}"/>
    <cellStyle name="Comma 5 2 8 3 2 3" xfId="32632" xr:uid="{616E733D-4A02-4D64-8EB1-468B6FD847E0}"/>
    <cellStyle name="Comma 5 2 8 3 3" xfId="15854" xr:uid="{73880895-9BBC-4AF8-A625-7795CDF208BE}"/>
    <cellStyle name="Comma 5 2 8 3 4" xfId="26270" xr:uid="{CF0E8671-7672-4D91-BD21-BB902193C811}"/>
    <cellStyle name="Comma 5 2 8 4" xfId="10667" xr:uid="{00000000-0005-0000-0000-00004D220000}"/>
    <cellStyle name="Comma 5 2 8 4 2" xfId="22213" xr:uid="{90A0AA32-CA1E-4D0B-BE54-014E6AD2FD90}"/>
    <cellStyle name="Comma 5 2 8 4 3" xfId="32629" xr:uid="{19128F83-897A-4179-9F50-8A232E674A80}"/>
    <cellStyle name="Comma 5 2 8 5" xfId="6524" xr:uid="{00000000-0005-0000-0000-00004E220000}"/>
    <cellStyle name="Comma 5 2 8 5 2" xfId="18110" xr:uid="{789A6C50-D061-4575-91C2-128024F677B3}"/>
    <cellStyle name="Comma 5 2 8 5 3" xfId="28526" xr:uid="{DFDB4FF4-60E9-49F4-AAA0-8E25E84B6021}"/>
    <cellStyle name="Comma 5 2 8 6" xfId="15851" xr:uid="{77E271B7-7294-4F0E-88A8-B24E55D27BB0}"/>
    <cellStyle name="Comma 5 2 8 7" xfId="26267" xr:uid="{3C5D13DF-F797-492E-817B-0246868BC6C9}"/>
    <cellStyle name="Comma 5 2 9" xfId="3520" xr:uid="{00000000-0005-0000-0000-00004F220000}"/>
    <cellStyle name="Comma 5 2 9 2" xfId="3521" xr:uid="{00000000-0005-0000-0000-000050220000}"/>
    <cellStyle name="Comma 5 2 9 2 2" xfId="10672" xr:uid="{00000000-0005-0000-0000-000051220000}"/>
    <cellStyle name="Comma 5 2 9 2 2 2" xfId="22218" xr:uid="{6E468DF6-B9F8-4987-9A85-3BB594557728}"/>
    <cellStyle name="Comma 5 2 9 2 2 3" xfId="32634" xr:uid="{067AA41D-E9A6-4718-BC99-6DB63093C37A}"/>
    <cellStyle name="Comma 5 2 9 2 3" xfId="15856" xr:uid="{3CC9F52A-D70B-4973-A1B9-4EEF4ABEEDDF}"/>
    <cellStyle name="Comma 5 2 9 2 4" xfId="26272" xr:uid="{B6C9A1F0-968A-4468-8815-15EFCB9DF287}"/>
    <cellStyle name="Comma 5 2 9 3" xfId="10671" xr:uid="{00000000-0005-0000-0000-000052220000}"/>
    <cellStyle name="Comma 5 2 9 3 2" xfId="22217" xr:uid="{B1054B79-2FE3-41E5-ACC8-55B726B0B0A1}"/>
    <cellStyle name="Comma 5 2 9 3 3" xfId="32633" xr:uid="{1C64404E-C2C8-453C-A328-D4E8FB6EEAFC}"/>
    <cellStyle name="Comma 5 2 9 4" xfId="6526" xr:uid="{00000000-0005-0000-0000-000053220000}"/>
    <cellStyle name="Comma 5 2 9 4 2" xfId="18112" xr:uid="{D18A4A6E-7FDC-4455-B25F-21621119519F}"/>
    <cellStyle name="Comma 5 2 9 4 3" xfId="28528" xr:uid="{32949106-C6A5-4DF9-AE85-842B940B4193}"/>
    <cellStyle name="Comma 5 2 9 5" xfId="15855" xr:uid="{DC829E99-D0D8-4E60-9E3A-E510CB281FAF}"/>
    <cellStyle name="Comma 5 2 9 6" xfId="26271" xr:uid="{E36228E7-350D-4CE8-A5A4-9FFD691EB22A}"/>
    <cellStyle name="Comma 5 20" xfId="26145" xr:uid="{13F72961-67F4-45F0-A3D6-DC3B21750A0C}"/>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2 2 2" xfId="22221" xr:uid="{5490ECA7-584E-42D4-A53C-6CD8AE366E3F}"/>
    <cellStyle name="Comma 5 3 10 2 2 3" xfId="32637" xr:uid="{6D6C3766-01DF-4D3E-9BAA-AA1CE53AA535}"/>
    <cellStyle name="Comma 5 3 10 2 3" xfId="15859" xr:uid="{6DB30131-18D2-421F-BB5A-1CAB115B3354}"/>
    <cellStyle name="Comma 5 3 10 2 4" xfId="26275" xr:uid="{27938674-9887-404C-92C3-09A9D982DD30}"/>
    <cellStyle name="Comma 5 3 10 3" xfId="10674" xr:uid="{00000000-0005-0000-0000-000058220000}"/>
    <cellStyle name="Comma 5 3 10 3 2" xfId="22220" xr:uid="{31CA3491-E9D3-4554-8CD7-8F5DBF49823D}"/>
    <cellStyle name="Comma 5 3 10 3 3" xfId="32636" xr:uid="{AC2E380D-2F2C-42B2-B585-BC4B1B21C64B}"/>
    <cellStyle name="Comma 5 3 10 4" xfId="6528" xr:uid="{00000000-0005-0000-0000-000059220000}"/>
    <cellStyle name="Comma 5 3 10 4 2" xfId="18114" xr:uid="{22A416BE-A1BE-4EBA-A02A-6584685F37B4}"/>
    <cellStyle name="Comma 5 3 10 4 3" xfId="28530" xr:uid="{F2DFC792-10F4-4DB7-872C-23E094C4FB05}"/>
    <cellStyle name="Comma 5 3 10 5" xfId="15858" xr:uid="{61BCB875-4EE4-45E5-8114-4434467D614E}"/>
    <cellStyle name="Comma 5 3 10 6" xfId="26274" xr:uid="{2E8A3814-9E8F-478A-8B07-76115E2030FB}"/>
    <cellStyle name="Comma 5 3 11" xfId="3525" xr:uid="{00000000-0005-0000-0000-00005A220000}"/>
    <cellStyle name="Comma 5 3 11 2" xfId="10676" xr:uid="{00000000-0005-0000-0000-00005B220000}"/>
    <cellStyle name="Comma 5 3 11 2 2" xfId="22222" xr:uid="{A1851A1B-FA59-40F5-88C5-A2BEA938C675}"/>
    <cellStyle name="Comma 5 3 11 2 3" xfId="32638" xr:uid="{80269F5B-5B55-470B-8C20-0CBC6BD729DF}"/>
    <cellStyle name="Comma 5 3 11 3" xfId="15860" xr:uid="{1EF4B26A-C007-4ABE-9ECD-1EFF71367414}"/>
    <cellStyle name="Comma 5 3 11 4" xfId="26276" xr:uid="{40846644-DA8F-4A31-A0AD-4D752D6664A0}"/>
    <cellStyle name="Comma 5 3 12" xfId="10673" xr:uid="{00000000-0005-0000-0000-00005C220000}"/>
    <cellStyle name="Comma 5 3 12 2" xfId="22219" xr:uid="{B2EDC924-B31A-4A7E-8815-3CB5A0CFFCB2}"/>
    <cellStyle name="Comma 5 3 12 3" xfId="32635" xr:uid="{20DCA08D-694E-424A-83A6-C1AE541ECD77}"/>
    <cellStyle name="Comma 5 3 13" xfId="6527" xr:uid="{00000000-0005-0000-0000-00005D220000}"/>
    <cellStyle name="Comma 5 3 13 2" xfId="18113" xr:uid="{48326203-ED27-4C0B-9F25-8084589E9257}"/>
    <cellStyle name="Comma 5 3 13 3" xfId="28529" xr:uid="{67A662C4-0AF3-498F-A5EE-A0444D7BF8E7}"/>
    <cellStyle name="Comma 5 3 14" xfId="15857" xr:uid="{CAECCBC3-5464-41D9-A6BA-256EDADA7B08}"/>
    <cellStyle name="Comma 5 3 15" xfId="26273" xr:uid="{DB8978E1-F195-442F-BFC7-4FAEB6877323}"/>
    <cellStyle name="Comma 5 3 2" xfId="3526" xr:uid="{00000000-0005-0000-0000-00005E220000}"/>
    <cellStyle name="Comma 5 3 2 10" xfId="3527" xr:uid="{00000000-0005-0000-0000-00005F220000}"/>
    <cellStyle name="Comma 5 3 2 10 2" xfId="10678" xr:uid="{00000000-0005-0000-0000-000060220000}"/>
    <cellStyle name="Comma 5 3 2 10 2 2" xfId="22224" xr:uid="{FF6CE7B8-095E-48D5-A938-42C79B9F63A5}"/>
    <cellStyle name="Comma 5 3 2 10 2 3" xfId="32640" xr:uid="{38555522-056D-4F54-B386-C36BE436B62D}"/>
    <cellStyle name="Comma 5 3 2 10 3" xfId="15862" xr:uid="{DB82A722-B1E9-40F7-97D1-2B287E63D7A3}"/>
    <cellStyle name="Comma 5 3 2 10 4" xfId="26278" xr:uid="{983BC473-EA12-422B-8A5C-7CFE1CD11AF3}"/>
    <cellStyle name="Comma 5 3 2 11" xfId="10677" xr:uid="{00000000-0005-0000-0000-000061220000}"/>
    <cellStyle name="Comma 5 3 2 11 2" xfId="22223" xr:uid="{A524A7FF-F2B1-4F5C-8158-79EF68C7F569}"/>
    <cellStyle name="Comma 5 3 2 11 3" xfId="32639" xr:uid="{38C90B8B-4429-4209-BFCF-525D3A2AD561}"/>
    <cellStyle name="Comma 5 3 2 12" xfId="6529" xr:uid="{00000000-0005-0000-0000-000062220000}"/>
    <cellStyle name="Comma 5 3 2 12 2" xfId="18115" xr:uid="{287C728E-7248-4E0D-94A2-E88CAC1F8E0C}"/>
    <cellStyle name="Comma 5 3 2 12 3" xfId="28531" xr:uid="{E621C759-3115-4ABF-A33E-DA79935DA147}"/>
    <cellStyle name="Comma 5 3 2 13" xfId="15861" xr:uid="{DAE838DA-4653-4EC7-9FD1-BB0198B0E5E0}"/>
    <cellStyle name="Comma 5 3 2 14" xfId="26277" xr:uid="{CFB89FD6-C713-41F0-BD9C-D59F269DDC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2 2 2" xfId="22228" xr:uid="{A3F88CE9-155B-4D7B-8DC2-FE81A0244029}"/>
    <cellStyle name="Comma 5 3 2 2 2 2 2 2 3" xfId="32644" xr:uid="{9A7CFFC3-E922-40C2-8788-765168C07639}"/>
    <cellStyle name="Comma 5 3 2 2 2 2 2 3" xfId="15866" xr:uid="{F633CF9F-83D6-4744-AB22-47CA2EA19F9E}"/>
    <cellStyle name="Comma 5 3 2 2 2 2 2 4" xfId="26282" xr:uid="{3B80A1BA-C320-4942-AA16-71477C951305}"/>
    <cellStyle name="Comma 5 3 2 2 2 2 3" xfId="10681" xr:uid="{00000000-0005-0000-0000-000068220000}"/>
    <cellStyle name="Comma 5 3 2 2 2 2 3 2" xfId="22227" xr:uid="{59AA747F-9C37-459F-8C63-412B207371E3}"/>
    <cellStyle name="Comma 5 3 2 2 2 2 3 3" xfId="32643" xr:uid="{2B35ED56-C71D-468D-89E6-7E079A682F2D}"/>
    <cellStyle name="Comma 5 3 2 2 2 2 4" xfId="6532" xr:uid="{00000000-0005-0000-0000-000069220000}"/>
    <cellStyle name="Comma 5 3 2 2 2 2 4 2" xfId="18118" xr:uid="{5E9CAABD-C3E3-47FC-9884-54AEFED71161}"/>
    <cellStyle name="Comma 5 3 2 2 2 2 4 3" xfId="28534" xr:uid="{6613CB48-965D-40A1-B5A8-FD7E79A40935}"/>
    <cellStyle name="Comma 5 3 2 2 2 2 5" xfId="15865" xr:uid="{A0355222-B00E-440F-90C9-05B440D69C66}"/>
    <cellStyle name="Comma 5 3 2 2 2 2 6" xfId="26281" xr:uid="{3D77B420-D7E9-455C-9475-17B1E8C07625}"/>
    <cellStyle name="Comma 5 3 2 2 2 3" xfId="3532" xr:uid="{00000000-0005-0000-0000-00006A220000}"/>
    <cellStyle name="Comma 5 3 2 2 2 3 2" xfId="10683" xr:uid="{00000000-0005-0000-0000-00006B220000}"/>
    <cellStyle name="Comma 5 3 2 2 2 3 2 2" xfId="22229" xr:uid="{AB12DD36-86B2-40B0-BA42-86D3F247924E}"/>
    <cellStyle name="Comma 5 3 2 2 2 3 2 3" xfId="32645" xr:uid="{7CF1C995-4668-4F02-B534-7E9A8C4F62F6}"/>
    <cellStyle name="Comma 5 3 2 2 2 3 3" xfId="15867" xr:uid="{39FE625F-C98C-4BA0-81C4-ADF2BE753F7A}"/>
    <cellStyle name="Comma 5 3 2 2 2 3 4" xfId="26283" xr:uid="{5CD538FF-61F2-483D-BBAC-DDF8630F9EE1}"/>
    <cellStyle name="Comma 5 3 2 2 2 4" xfId="10680" xr:uid="{00000000-0005-0000-0000-00006C220000}"/>
    <cellStyle name="Comma 5 3 2 2 2 4 2" xfId="22226" xr:uid="{7B37D47B-077F-419B-A36D-927BC336573B}"/>
    <cellStyle name="Comma 5 3 2 2 2 4 3" xfId="32642" xr:uid="{3519271A-6687-414D-87D5-4D54CCD602F7}"/>
    <cellStyle name="Comma 5 3 2 2 2 5" xfId="6531" xr:uid="{00000000-0005-0000-0000-00006D220000}"/>
    <cellStyle name="Comma 5 3 2 2 2 5 2" xfId="18117" xr:uid="{BA6E824A-DC6B-44A4-BE22-0D79BB30FC0E}"/>
    <cellStyle name="Comma 5 3 2 2 2 5 3" xfId="28533" xr:uid="{C69AB31E-C7EB-4D27-A6F3-9F458A48999D}"/>
    <cellStyle name="Comma 5 3 2 2 2 6" xfId="15864" xr:uid="{AFEEC1EA-C69A-465A-82C6-6AF525925BE6}"/>
    <cellStyle name="Comma 5 3 2 2 2 7" xfId="26280" xr:uid="{4976EECF-8698-4BB5-B856-142200073499}"/>
    <cellStyle name="Comma 5 3 2 2 3" xfId="3533" xr:uid="{00000000-0005-0000-0000-00006E220000}"/>
    <cellStyle name="Comma 5 3 2 2 3 2" xfId="3534" xr:uid="{00000000-0005-0000-0000-00006F220000}"/>
    <cellStyle name="Comma 5 3 2 2 3 2 2" xfId="10685" xr:uid="{00000000-0005-0000-0000-000070220000}"/>
    <cellStyle name="Comma 5 3 2 2 3 2 2 2" xfId="22231" xr:uid="{9E23BA21-9AC3-49CD-9DAB-D358870164A3}"/>
    <cellStyle name="Comma 5 3 2 2 3 2 2 3" xfId="32647" xr:uid="{16B3E2DB-FA7E-446E-BD33-D89ABF34EE5A}"/>
    <cellStyle name="Comma 5 3 2 2 3 2 3" xfId="15869" xr:uid="{C2840DF7-913C-4BBF-9909-E78366D1B287}"/>
    <cellStyle name="Comma 5 3 2 2 3 2 4" xfId="26285" xr:uid="{5E92BB2E-2DE6-4BE7-9C82-E2B9173A1D82}"/>
    <cellStyle name="Comma 5 3 2 2 3 3" xfId="10684" xr:uid="{00000000-0005-0000-0000-000071220000}"/>
    <cellStyle name="Comma 5 3 2 2 3 3 2" xfId="22230" xr:uid="{3F2C46C7-3000-4635-A5C3-DEC660932446}"/>
    <cellStyle name="Comma 5 3 2 2 3 3 3" xfId="32646" xr:uid="{F476E033-50FC-4EBB-AD46-8AB771D198BA}"/>
    <cellStyle name="Comma 5 3 2 2 3 4" xfId="6533" xr:uid="{00000000-0005-0000-0000-000072220000}"/>
    <cellStyle name="Comma 5 3 2 2 3 4 2" xfId="18119" xr:uid="{C6F5D0F7-7636-4C8A-B5C8-0D18DF9DD58C}"/>
    <cellStyle name="Comma 5 3 2 2 3 4 3" xfId="28535" xr:uid="{AEB52D7C-0902-40AA-8F47-B24BA11BC9E2}"/>
    <cellStyle name="Comma 5 3 2 2 3 5" xfId="15868" xr:uid="{6F7CCA9F-C08C-40EF-B8A0-4AF05AFECAE2}"/>
    <cellStyle name="Comma 5 3 2 2 3 6" xfId="26284" xr:uid="{DA67CA37-284B-490F-BED6-ED520C407AE5}"/>
    <cellStyle name="Comma 5 3 2 2 4" xfId="3535" xr:uid="{00000000-0005-0000-0000-000073220000}"/>
    <cellStyle name="Comma 5 3 2 2 4 2" xfId="3536" xr:uid="{00000000-0005-0000-0000-000074220000}"/>
    <cellStyle name="Comma 5 3 2 2 4 2 2" xfId="10687" xr:uid="{00000000-0005-0000-0000-000075220000}"/>
    <cellStyle name="Comma 5 3 2 2 4 2 2 2" xfId="22233" xr:uid="{7C8888AF-1ABB-4017-90FC-D31CC9CBCE7F}"/>
    <cellStyle name="Comma 5 3 2 2 4 2 2 3" xfId="32649" xr:uid="{F72730A7-3A82-46B9-B4C0-F871072DA6C3}"/>
    <cellStyle name="Comma 5 3 2 2 4 2 3" xfId="15871" xr:uid="{ECD236D7-DA2A-47E8-9528-5AD4D843ACC9}"/>
    <cellStyle name="Comma 5 3 2 2 4 2 4" xfId="26287" xr:uid="{8FD57050-E822-4CE0-A537-CB2667B5676C}"/>
    <cellStyle name="Comma 5 3 2 2 4 3" xfId="10686" xr:uid="{00000000-0005-0000-0000-000076220000}"/>
    <cellStyle name="Comma 5 3 2 2 4 3 2" xfId="22232" xr:uid="{5F3DB026-C473-4C49-8C1C-26DD35320517}"/>
    <cellStyle name="Comma 5 3 2 2 4 3 3" xfId="32648" xr:uid="{A7636A9F-6F33-4518-B9E8-25B87B28EE40}"/>
    <cellStyle name="Comma 5 3 2 2 4 4" xfId="6534" xr:uid="{00000000-0005-0000-0000-000077220000}"/>
    <cellStyle name="Comma 5 3 2 2 4 4 2" xfId="18120" xr:uid="{EEF83CA0-A44F-43CA-90D1-EA6416FFD75E}"/>
    <cellStyle name="Comma 5 3 2 2 4 4 3" xfId="28536" xr:uid="{572E5626-3FE5-497F-BFA0-55BC537C6F05}"/>
    <cellStyle name="Comma 5 3 2 2 4 5" xfId="15870" xr:uid="{4BEB971D-DEE0-4674-BF03-1803CBF50080}"/>
    <cellStyle name="Comma 5 3 2 2 4 6" xfId="26286" xr:uid="{ABBBB174-177F-4FC7-9E57-307B7AAB4E88}"/>
    <cellStyle name="Comma 5 3 2 2 5" xfId="3537" xr:uid="{00000000-0005-0000-0000-000078220000}"/>
    <cellStyle name="Comma 5 3 2 2 5 2" xfId="10688" xr:uid="{00000000-0005-0000-0000-000079220000}"/>
    <cellStyle name="Comma 5 3 2 2 5 2 2" xfId="22234" xr:uid="{B4573B1B-ED37-4765-8658-108C14847FCE}"/>
    <cellStyle name="Comma 5 3 2 2 5 2 3" xfId="32650" xr:uid="{BC9AF406-E4E7-4CBC-AFDE-00EF97BBDAAE}"/>
    <cellStyle name="Comma 5 3 2 2 5 3" xfId="15872" xr:uid="{94FB1B6D-F58C-44B5-BF1F-7821E07551C1}"/>
    <cellStyle name="Comma 5 3 2 2 5 4" xfId="26288" xr:uid="{F32148AE-E729-4001-81F2-90FA177BA368}"/>
    <cellStyle name="Comma 5 3 2 2 6" xfId="10679" xr:uid="{00000000-0005-0000-0000-00007A220000}"/>
    <cellStyle name="Comma 5 3 2 2 6 2" xfId="22225" xr:uid="{3719A221-58FF-43DE-848C-373B591179D2}"/>
    <cellStyle name="Comma 5 3 2 2 6 3" xfId="32641" xr:uid="{702D043F-2C5E-4CAA-B969-57122E6FC62A}"/>
    <cellStyle name="Comma 5 3 2 2 7" xfId="6530" xr:uid="{00000000-0005-0000-0000-00007B220000}"/>
    <cellStyle name="Comma 5 3 2 2 7 2" xfId="18116" xr:uid="{A3EC3C2C-4FA4-4BA5-BBCA-C6591CA391A4}"/>
    <cellStyle name="Comma 5 3 2 2 7 3" xfId="28532" xr:uid="{A7362B52-1208-4008-8B93-5ACCF55EF90B}"/>
    <cellStyle name="Comma 5 3 2 2 8" xfId="15863" xr:uid="{14281237-EF3E-4F37-8035-766DC02EA5B0}"/>
    <cellStyle name="Comma 5 3 2 2 9" xfId="26279" xr:uid="{171910FA-7864-4683-953F-6DF15760E121}"/>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2 2 2" xfId="22238" xr:uid="{9D72F70E-9CCB-4A74-9521-617096ADB2C3}"/>
    <cellStyle name="Comma 5 3 2 3 2 2 2 2 3" xfId="32654" xr:uid="{4964752E-81E5-408F-AC39-54461496B4B5}"/>
    <cellStyle name="Comma 5 3 2 3 2 2 2 3" xfId="15876" xr:uid="{919E8C01-9C01-4AB0-A69B-CF9A723CDB78}"/>
    <cellStyle name="Comma 5 3 2 3 2 2 2 4" xfId="26292" xr:uid="{AC6EC7FE-580E-4C9E-B32C-654D7188B4DC}"/>
    <cellStyle name="Comma 5 3 2 3 2 2 3" xfId="10691" xr:uid="{00000000-0005-0000-0000-000081220000}"/>
    <cellStyle name="Comma 5 3 2 3 2 2 3 2" xfId="22237" xr:uid="{BDC7E0BD-F682-4064-9E9E-F83628AECE1C}"/>
    <cellStyle name="Comma 5 3 2 3 2 2 3 3" xfId="32653" xr:uid="{7C80EA4B-965C-4AEF-9626-569D8BFF52F0}"/>
    <cellStyle name="Comma 5 3 2 3 2 2 4" xfId="6537" xr:uid="{00000000-0005-0000-0000-000082220000}"/>
    <cellStyle name="Comma 5 3 2 3 2 2 4 2" xfId="18123" xr:uid="{80E8DA4A-3486-4E05-832B-4C968BB78A46}"/>
    <cellStyle name="Comma 5 3 2 3 2 2 4 3" xfId="28539" xr:uid="{730B37F4-1B5C-46CB-B06E-9F8EE7AB24D0}"/>
    <cellStyle name="Comma 5 3 2 3 2 2 5" xfId="15875" xr:uid="{2F15A213-9AD1-49F2-A48F-B76356AD5BD1}"/>
    <cellStyle name="Comma 5 3 2 3 2 2 6" xfId="26291" xr:uid="{CE05907D-21FF-4A4D-A9FF-C217551D0047}"/>
    <cellStyle name="Comma 5 3 2 3 2 3" xfId="3542" xr:uid="{00000000-0005-0000-0000-000083220000}"/>
    <cellStyle name="Comma 5 3 2 3 2 3 2" xfId="10693" xr:uid="{00000000-0005-0000-0000-000084220000}"/>
    <cellStyle name="Comma 5 3 2 3 2 3 2 2" xfId="22239" xr:uid="{02C7EAAD-879C-4EF7-96E7-376D19C134E6}"/>
    <cellStyle name="Comma 5 3 2 3 2 3 2 3" xfId="32655" xr:uid="{5BFFC161-C37D-48B7-80BF-4FD2D337C62E}"/>
    <cellStyle name="Comma 5 3 2 3 2 3 3" xfId="15877" xr:uid="{6966D65F-0337-4778-BB19-AC757F6E2696}"/>
    <cellStyle name="Comma 5 3 2 3 2 3 4" xfId="26293" xr:uid="{C6EB694C-CB6A-49B5-815C-F142A9BFFA31}"/>
    <cellStyle name="Comma 5 3 2 3 2 4" xfId="10690" xr:uid="{00000000-0005-0000-0000-000085220000}"/>
    <cellStyle name="Comma 5 3 2 3 2 4 2" xfId="22236" xr:uid="{2CA32233-BA52-4959-AF34-622DE91B4A57}"/>
    <cellStyle name="Comma 5 3 2 3 2 4 3" xfId="32652" xr:uid="{B1F18084-334B-40E8-8486-89573056A5E4}"/>
    <cellStyle name="Comma 5 3 2 3 2 5" xfId="6536" xr:uid="{00000000-0005-0000-0000-000086220000}"/>
    <cellStyle name="Comma 5 3 2 3 2 5 2" xfId="18122" xr:uid="{06BFDC6E-61B1-4E40-86EE-31713131F8B2}"/>
    <cellStyle name="Comma 5 3 2 3 2 5 3" xfId="28538" xr:uid="{C8006725-9FE4-4B54-A525-F29D2722EDF0}"/>
    <cellStyle name="Comma 5 3 2 3 2 6" xfId="15874" xr:uid="{B9C6A402-DE73-4BF7-899A-196CFF706654}"/>
    <cellStyle name="Comma 5 3 2 3 2 7" xfId="26290" xr:uid="{A5409ED5-ED6F-42F5-9F49-01B4733B2588}"/>
    <cellStyle name="Comma 5 3 2 3 3" xfId="3543" xr:uid="{00000000-0005-0000-0000-000087220000}"/>
    <cellStyle name="Comma 5 3 2 3 3 2" xfId="3544" xr:uid="{00000000-0005-0000-0000-000088220000}"/>
    <cellStyle name="Comma 5 3 2 3 3 2 2" xfId="10695" xr:uid="{00000000-0005-0000-0000-000089220000}"/>
    <cellStyle name="Comma 5 3 2 3 3 2 2 2" xfId="22241" xr:uid="{F53946B9-1C6A-403E-A726-53965080BEBA}"/>
    <cellStyle name="Comma 5 3 2 3 3 2 2 3" xfId="32657" xr:uid="{99EC16BF-87EF-44FF-A8B9-2A31B010B64F}"/>
    <cellStyle name="Comma 5 3 2 3 3 2 3" xfId="15879" xr:uid="{0908B4E6-38D0-4359-BDEC-8C87C29FF6D8}"/>
    <cellStyle name="Comma 5 3 2 3 3 2 4" xfId="26295" xr:uid="{D3F335C4-CE44-4B9A-8186-0011221B716C}"/>
    <cellStyle name="Comma 5 3 2 3 3 3" xfId="10694" xr:uid="{00000000-0005-0000-0000-00008A220000}"/>
    <cellStyle name="Comma 5 3 2 3 3 3 2" xfId="22240" xr:uid="{23EF480F-1BF6-4E08-9676-8040092127CD}"/>
    <cellStyle name="Comma 5 3 2 3 3 3 3" xfId="32656" xr:uid="{E6D34B98-FE30-419B-92F0-4C0FE04C0BE5}"/>
    <cellStyle name="Comma 5 3 2 3 3 4" xfId="6538" xr:uid="{00000000-0005-0000-0000-00008B220000}"/>
    <cellStyle name="Comma 5 3 2 3 3 4 2" xfId="18124" xr:uid="{E0247661-092F-47BF-B009-6106DDA57858}"/>
    <cellStyle name="Comma 5 3 2 3 3 4 3" xfId="28540" xr:uid="{7CFB3CA4-C0A7-4AEA-AAC1-1FB90B2DFEEF}"/>
    <cellStyle name="Comma 5 3 2 3 3 5" xfId="15878" xr:uid="{FEA8AD8B-2F87-4095-98EC-BAE80720E442}"/>
    <cellStyle name="Comma 5 3 2 3 3 6" xfId="26294" xr:uid="{8C5B5EB2-7FA3-4A9F-9FAE-05BF248FCC1A}"/>
    <cellStyle name="Comma 5 3 2 3 4" xfId="3545" xr:uid="{00000000-0005-0000-0000-00008C220000}"/>
    <cellStyle name="Comma 5 3 2 3 4 2" xfId="3546" xr:uid="{00000000-0005-0000-0000-00008D220000}"/>
    <cellStyle name="Comma 5 3 2 3 4 2 2" xfId="10697" xr:uid="{00000000-0005-0000-0000-00008E220000}"/>
    <cellStyle name="Comma 5 3 2 3 4 2 2 2" xfId="22243" xr:uid="{F619483B-8640-4FF1-94F0-3189972BF1C4}"/>
    <cellStyle name="Comma 5 3 2 3 4 2 2 3" xfId="32659" xr:uid="{7267C278-ADB7-4FC3-9998-93D1E7AC3EB4}"/>
    <cellStyle name="Comma 5 3 2 3 4 2 3" xfId="15881" xr:uid="{D47146D5-7BFE-46A6-BD63-D4021D97BFC6}"/>
    <cellStyle name="Comma 5 3 2 3 4 2 4" xfId="26297" xr:uid="{5231B48F-E61D-4208-8539-F05EE1174D11}"/>
    <cellStyle name="Comma 5 3 2 3 4 3" xfId="10696" xr:uid="{00000000-0005-0000-0000-00008F220000}"/>
    <cellStyle name="Comma 5 3 2 3 4 3 2" xfId="22242" xr:uid="{ED00D660-EF59-4C8C-BFA7-174E3D3CFC49}"/>
    <cellStyle name="Comma 5 3 2 3 4 3 3" xfId="32658" xr:uid="{9F2707EC-0945-4A57-9C85-CB221E8509A2}"/>
    <cellStyle name="Comma 5 3 2 3 4 4" xfId="6539" xr:uid="{00000000-0005-0000-0000-000090220000}"/>
    <cellStyle name="Comma 5 3 2 3 4 4 2" xfId="18125" xr:uid="{AE4A36B3-DF9C-4F26-9E05-3FA32E5D4B76}"/>
    <cellStyle name="Comma 5 3 2 3 4 4 3" xfId="28541" xr:uid="{5F4D639E-6497-45A4-964C-AF9623119266}"/>
    <cellStyle name="Comma 5 3 2 3 4 5" xfId="15880" xr:uid="{77AD0D97-ED68-48F2-9494-896AFFF9C454}"/>
    <cellStyle name="Comma 5 3 2 3 4 6" xfId="26296" xr:uid="{FAFB375C-ECA4-4978-8E32-CB5725AD56FD}"/>
    <cellStyle name="Comma 5 3 2 3 5" xfId="3547" xr:uid="{00000000-0005-0000-0000-000091220000}"/>
    <cellStyle name="Comma 5 3 2 3 5 2" xfId="10698" xr:uid="{00000000-0005-0000-0000-000092220000}"/>
    <cellStyle name="Comma 5 3 2 3 5 2 2" xfId="22244" xr:uid="{8093CAC4-C374-42D8-8FC4-075F2BBA2B71}"/>
    <cellStyle name="Comma 5 3 2 3 5 2 3" xfId="32660" xr:uid="{05104CF3-CEBF-4665-8657-669A2A8FC8E9}"/>
    <cellStyle name="Comma 5 3 2 3 5 3" xfId="15882" xr:uid="{C53686D1-DEB7-49CC-99FD-97AC8C8EBCB3}"/>
    <cellStyle name="Comma 5 3 2 3 5 4" xfId="26298" xr:uid="{AE78633F-B4EC-4B78-9CB3-E6DDCDBE4B41}"/>
    <cellStyle name="Comma 5 3 2 3 6" xfId="10689" xr:uid="{00000000-0005-0000-0000-000093220000}"/>
    <cellStyle name="Comma 5 3 2 3 6 2" xfId="22235" xr:uid="{45E149B8-F502-410E-B45A-5DB6CD9EAC0D}"/>
    <cellStyle name="Comma 5 3 2 3 6 3" xfId="32651" xr:uid="{CEEA124A-D315-4312-A1F2-F3FA34F03E81}"/>
    <cellStyle name="Comma 5 3 2 3 7" xfId="6535" xr:uid="{00000000-0005-0000-0000-000094220000}"/>
    <cellStyle name="Comma 5 3 2 3 7 2" xfId="18121" xr:uid="{713FB113-C27D-40A9-9F14-663B67E990DA}"/>
    <cellStyle name="Comma 5 3 2 3 7 3" xfId="28537" xr:uid="{70966288-51E8-492B-B538-B4B00265CA52}"/>
    <cellStyle name="Comma 5 3 2 3 8" xfId="15873" xr:uid="{646793A2-DDCF-498D-93D2-678E14397937}"/>
    <cellStyle name="Comma 5 3 2 3 9" xfId="26289" xr:uid="{D143D042-3305-4739-8ED6-AF697B0BB69B}"/>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2 2 2" xfId="22248" xr:uid="{518A8977-6AD6-49A7-AF39-F7616C5A0157}"/>
    <cellStyle name="Comma 5 3 2 4 2 2 2 2 3" xfId="32664" xr:uid="{7D10EDEA-6D9D-4AE2-9451-3E38FC4EC92F}"/>
    <cellStyle name="Comma 5 3 2 4 2 2 2 3" xfId="15886" xr:uid="{11AE5C1A-587B-41F1-9A77-203155BAB725}"/>
    <cellStyle name="Comma 5 3 2 4 2 2 2 4" xfId="26302" xr:uid="{57959CB1-9674-4C5F-8686-53FD146511F8}"/>
    <cellStyle name="Comma 5 3 2 4 2 2 3" xfId="10701" xr:uid="{00000000-0005-0000-0000-00009A220000}"/>
    <cellStyle name="Comma 5 3 2 4 2 2 3 2" xfId="22247" xr:uid="{E148A138-F478-4197-96DF-36AE4CA18933}"/>
    <cellStyle name="Comma 5 3 2 4 2 2 3 3" xfId="32663" xr:uid="{1D414FC4-9DCB-41B7-9759-5919B103807A}"/>
    <cellStyle name="Comma 5 3 2 4 2 2 4" xfId="6542" xr:uid="{00000000-0005-0000-0000-00009B220000}"/>
    <cellStyle name="Comma 5 3 2 4 2 2 4 2" xfId="18128" xr:uid="{B33786F9-0C32-485B-AC55-0E91D16ACDED}"/>
    <cellStyle name="Comma 5 3 2 4 2 2 4 3" xfId="28544" xr:uid="{57925DA9-6C87-4D6C-9242-B3109822F796}"/>
    <cellStyle name="Comma 5 3 2 4 2 2 5" xfId="15885" xr:uid="{C1C3C674-E234-46D5-8DEF-BAA1164D2AD9}"/>
    <cellStyle name="Comma 5 3 2 4 2 2 6" xfId="26301" xr:uid="{E640B86B-1093-4B79-9F03-D0DA4F30F2A8}"/>
    <cellStyle name="Comma 5 3 2 4 2 3" xfId="3552" xr:uid="{00000000-0005-0000-0000-00009C220000}"/>
    <cellStyle name="Comma 5 3 2 4 2 3 2" xfId="10703" xr:uid="{00000000-0005-0000-0000-00009D220000}"/>
    <cellStyle name="Comma 5 3 2 4 2 3 2 2" xfId="22249" xr:uid="{FA8F6917-5090-489F-B72C-E0CC0DC2450B}"/>
    <cellStyle name="Comma 5 3 2 4 2 3 2 3" xfId="32665" xr:uid="{68891B3D-9BDE-4FB4-989C-37143E4E4613}"/>
    <cellStyle name="Comma 5 3 2 4 2 3 3" xfId="15887" xr:uid="{71D94924-0292-40CB-9E98-990C55BC6205}"/>
    <cellStyle name="Comma 5 3 2 4 2 3 4" xfId="26303" xr:uid="{F30AB1FD-9718-4F70-B413-DF23584B4A83}"/>
    <cellStyle name="Comma 5 3 2 4 2 4" xfId="10700" xr:uid="{00000000-0005-0000-0000-00009E220000}"/>
    <cellStyle name="Comma 5 3 2 4 2 4 2" xfId="22246" xr:uid="{D170F31B-F3A9-48CA-B3DA-104365C9E018}"/>
    <cellStyle name="Comma 5 3 2 4 2 4 3" xfId="32662" xr:uid="{01A77C39-E6C0-4CD2-B614-8F0945F50EDD}"/>
    <cellStyle name="Comma 5 3 2 4 2 5" xfId="6541" xr:uid="{00000000-0005-0000-0000-00009F220000}"/>
    <cellStyle name="Comma 5 3 2 4 2 5 2" xfId="18127" xr:uid="{9F9D12CC-3FBF-469C-ADFF-4C2ED237C0E6}"/>
    <cellStyle name="Comma 5 3 2 4 2 5 3" xfId="28543" xr:uid="{017D5106-72DE-4D3C-8E20-9A43460930D7}"/>
    <cellStyle name="Comma 5 3 2 4 2 6" xfId="15884" xr:uid="{6FD4A758-8E5B-40E4-A54B-720D0220742D}"/>
    <cellStyle name="Comma 5 3 2 4 2 7" xfId="26300" xr:uid="{D1C2DEAF-E894-4A5D-B5DA-AF0602A7C29D}"/>
    <cellStyle name="Comma 5 3 2 4 3" xfId="3553" xr:uid="{00000000-0005-0000-0000-0000A0220000}"/>
    <cellStyle name="Comma 5 3 2 4 3 2" xfId="3554" xr:uid="{00000000-0005-0000-0000-0000A1220000}"/>
    <cellStyle name="Comma 5 3 2 4 3 2 2" xfId="10705" xr:uid="{00000000-0005-0000-0000-0000A2220000}"/>
    <cellStyle name="Comma 5 3 2 4 3 2 2 2" xfId="22251" xr:uid="{493FDB7B-228A-4928-911A-477AECF1C14D}"/>
    <cellStyle name="Comma 5 3 2 4 3 2 2 3" xfId="32667" xr:uid="{85632452-417D-40D2-90A4-8464FB6AFDB4}"/>
    <cellStyle name="Comma 5 3 2 4 3 2 3" xfId="15889" xr:uid="{D0DFE389-2EC1-46CF-A814-B8F05CC2E04B}"/>
    <cellStyle name="Comma 5 3 2 4 3 2 4" xfId="26305" xr:uid="{12A78712-8B9F-4043-93CD-17117751BCA2}"/>
    <cellStyle name="Comma 5 3 2 4 3 3" xfId="10704" xr:uid="{00000000-0005-0000-0000-0000A3220000}"/>
    <cellStyle name="Comma 5 3 2 4 3 3 2" xfId="22250" xr:uid="{950217D1-DE57-4765-A3BB-CF5905BDA81A}"/>
    <cellStyle name="Comma 5 3 2 4 3 3 3" xfId="32666" xr:uid="{849DC857-2AB3-413F-8CC8-453CA0F78B61}"/>
    <cellStyle name="Comma 5 3 2 4 3 4" xfId="6543" xr:uid="{00000000-0005-0000-0000-0000A4220000}"/>
    <cellStyle name="Comma 5 3 2 4 3 4 2" xfId="18129" xr:uid="{AC736DC3-B768-4942-AA79-B7DD039903B1}"/>
    <cellStyle name="Comma 5 3 2 4 3 4 3" xfId="28545" xr:uid="{D24705FE-C25D-4039-95A3-23E3BC1002F1}"/>
    <cellStyle name="Comma 5 3 2 4 3 5" xfId="15888" xr:uid="{299EFD22-83D7-4D5E-9F2A-2078F9F25995}"/>
    <cellStyle name="Comma 5 3 2 4 3 6" xfId="26304" xr:uid="{EC8C5714-EED9-4632-A766-53CB201E6E70}"/>
    <cellStyle name="Comma 5 3 2 4 4" xfId="3555" xr:uid="{00000000-0005-0000-0000-0000A5220000}"/>
    <cellStyle name="Comma 5 3 2 4 4 2" xfId="3556" xr:uid="{00000000-0005-0000-0000-0000A6220000}"/>
    <cellStyle name="Comma 5 3 2 4 4 2 2" xfId="10707" xr:uid="{00000000-0005-0000-0000-0000A7220000}"/>
    <cellStyle name="Comma 5 3 2 4 4 2 2 2" xfId="22253" xr:uid="{E6DB6E7C-AAE7-4295-9ABB-E8376FF917B6}"/>
    <cellStyle name="Comma 5 3 2 4 4 2 2 3" xfId="32669" xr:uid="{AE6E5818-B084-43CE-9E5F-CC87E145E267}"/>
    <cellStyle name="Comma 5 3 2 4 4 2 3" xfId="15891" xr:uid="{E226D94E-DC8D-4D47-B495-EB5A024FBBD7}"/>
    <cellStyle name="Comma 5 3 2 4 4 2 4" xfId="26307" xr:uid="{7E1FA6A4-68CC-4BDD-8886-2B9EDFB7531F}"/>
    <cellStyle name="Comma 5 3 2 4 4 3" xfId="10706" xr:uid="{00000000-0005-0000-0000-0000A8220000}"/>
    <cellStyle name="Comma 5 3 2 4 4 3 2" xfId="22252" xr:uid="{A92266D4-91DB-478F-ACD2-7DB07AD47F80}"/>
    <cellStyle name="Comma 5 3 2 4 4 3 3" xfId="32668" xr:uid="{C722468E-41D3-4783-929C-AD0D864B906A}"/>
    <cellStyle name="Comma 5 3 2 4 4 4" xfId="6544" xr:uid="{00000000-0005-0000-0000-0000A9220000}"/>
    <cellStyle name="Comma 5 3 2 4 4 4 2" xfId="18130" xr:uid="{99DBD22B-F742-43B7-86B9-8E8FB6FA616D}"/>
    <cellStyle name="Comma 5 3 2 4 4 4 3" xfId="28546" xr:uid="{1A8536CB-CF10-4949-AF1F-B1ACBB6476E1}"/>
    <cellStyle name="Comma 5 3 2 4 4 5" xfId="15890" xr:uid="{BD12D43C-8CD4-4281-802F-2C3CCE0D4921}"/>
    <cellStyle name="Comma 5 3 2 4 4 6" xfId="26306" xr:uid="{CBCB4068-35C0-45F3-B1DD-AA902A2FA932}"/>
    <cellStyle name="Comma 5 3 2 4 5" xfId="3557" xr:uid="{00000000-0005-0000-0000-0000AA220000}"/>
    <cellStyle name="Comma 5 3 2 4 5 2" xfId="10708" xr:uid="{00000000-0005-0000-0000-0000AB220000}"/>
    <cellStyle name="Comma 5 3 2 4 5 2 2" xfId="22254" xr:uid="{1B830381-854E-4821-9C31-127552046621}"/>
    <cellStyle name="Comma 5 3 2 4 5 2 3" xfId="32670" xr:uid="{E3EEDFF4-BE30-4651-9C4A-B0F53AAE71CB}"/>
    <cellStyle name="Comma 5 3 2 4 5 3" xfId="15892" xr:uid="{94094F02-5816-42C5-A9EB-D2E7D01721CB}"/>
    <cellStyle name="Comma 5 3 2 4 5 4" xfId="26308" xr:uid="{B67B6BF7-7B54-4B0B-898E-0BD972A91162}"/>
    <cellStyle name="Comma 5 3 2 4 6" xfId="10699" xr:uid="{00000000-0005-0000-0000-0000AC220000}"/>
    <cellStyle name="Comma 5 3 2 4 6 2" xfId="22245" xr:uid="{6EE49AD3-D3F8-4FEB-A742-7EBDB3D14B0F}"/>
    <cellStyle name="Comma 5 3 2 4 6 3" xfId="32661" xr:uid="{18D68475-6C42-4D92-A85B-C9D4447BCAC6}"/>
    <cellStyle name="Comma 5 3 2 4 7" xfId="6540" xr:uid="{00000000-0005-0000-0000-0000AD220000}"/>
    <cellStyle name="Comma 5 3 2 4 7 2" xfId="18126" xr:uid="{089CA2F3-31E1-4050-935A-2826D9830E4E}"/>
    <cellStyle name="Comma 5 3 2 4 7 3" xfId="28542" xr:uid="{5DA7469D-43AD-419C-94C9-D0BA25805584}"/>
    <cellStyle name="Comma 5 3 2 4 8" xfId="15883" xr:uid="{71B068AB-7DDA-4604-BFEA-C3C51122AF0E}"/>
    <cellStyle name="Comma 5 3 2 4 9" xfId="26299" xr:uid="{515D9EC4-D17F-44C2-B524-598407A7AAD3}"/>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2 2 2" xfId="22258" xr:uid="{BA43D927-BB49-4B38-9625-B9E90F99B7B6}"/>
    <cellStyle name="Comma 5 3 2 5 2 2 2 2 3" xfId="32674" xr:uid="{60B96B31-2E1D-4D4C-89F7-4F4FDE8224E1}"/>
    <cellStyle name="Comma 5 3 2 5 2 2 2 3" xfId="15896" xr:uid="{306582F7-F966-484B-95A8-8FCCF8FA3732}"/>
    <cellStyle name="Comma 5 3 2 5 2 2 2 4" xfId="26312" xr:uid="{0C29CE12-FBA4-44C5-BE19-3973E6FC07B0}"/>
    <cellStyle name="Comma 5 3 2 5 2 2 3" xfId="10711" xr:uid="{00000000-0005-0000-0000-0000B3220000}"/>
    <cellStyle name="Comma 5 3 2 5 2 2 3 2" xfId="22257" xr:uid="{19B3FE1B-918A-47F3-8B11-CBDAADFF4E7A}"/>
    <cellStyle name="Comma 5 3 2 5 2 2 3 3" xfId="32673" xr:uid="{8B806885-9D84-4371-B44B-3443A901CE15}"/>
    <cellStyle name="Comma 5 3 2 5 2 2 4" xfId="6547" xr:uid="{00000000-0005-0000-0000-0000B4220000}"/>
    <cellStyle name="Comma 5 3 2 5 2 2 4 2" xfId="18133" xr:uid="{BC7D4480-A64A-48B9-8A1C-BDF779D04D2A}"/>
    <cellStyle name="Comma 5 3 2 5 2 2 4 3" xfId="28549" xr:uid="{AFB2ACFD-CE20-477E-8C3D-76F3F1B99549}"/>
    <cellStyle name="Comma 5 3 2 5 2 2 5" xfId="15895" xr:uid="{EF4E8B26-0242-4B09-BECE-B7C228E0719D}"/>
    <cellStyle name="Comma 5 3 2 5 2 2 6" xfId="26311" xr:uid="{EB576ACF-48C6-46F2-BB1A-2F9F791E932C}"/>
    <cellStyle name="Comma 5 3 2 5 2 3" xfId="3562" xr:uid="{00000000-0005-0000-0000-0000B5220000}"/>
    <cellStyle name="Comma 5 3 2 5 2 3 2" xfId="10713" xr:uid="{00000000-0005-0000-0000-0000B6220000}"/>
    <cellStyle name="Comma 5 3 2 5 2 3 2 2" xfId="22259" xr:uid="{4D395F56-B43B-4DDE-B6C7-1C6725F96958}"/>
    <cellStyle name="Comma 5 3 2 5 2 3 2 3" xfId="32675" xr:uid="{41A993D9-40F6-4DF7-8E8A-8F7EDE0B5379}"/>
    <cellStyle name="Comma 5 3 2 5 2 3 3" xfId="15897" xr:uid="{2A98BBEC-D9A2-4392-ACB2-7C48F671A5BE}"/>
    <cellStyle name="Comma 5 3 2 5 2 3 4" xfId="26313" xr:uid="{143E859A-709F-43D3-9847-FABAA7E9E76E}"/>
    <cellStyle name="Comma 5 3 2 5 2 4" xfId="10710" xr:uid="{00000000-0005-0000-0000-0000B7220000}"/>
    <cellStyle name="Comma 5 3 2 5 2 4 2" xfId="22256" xr:uid="{99EA2A00-A55E-49CE-9D28-01B1DE993E65}"/>
    <cellStyle name="Comma 5 3 2 5 2 4 3" xfId="32672" xr:uid="{FA8B2D46-26D2-4627-9031-A73950B99CBA}"/>
    <cellStyle name="Comma 5 3 2 5 2 5" xfId="6546" xr:uid="{00000000-0005-0000-0000-0000B8220000}"/>
    <cellStyle name="Comma 5 3 2 5 2 5 2" xfId="18132" xr:uid="{74FC4A4E-B781-411D-B793-7CC06D73A0F1}"/>
    <cellStyle name="Comma 5 3 2 5 2 5 3" xfId="28548" xr:uid="{F609AE72-CF3C-43A5-9003-C51212EEEE24}"/>
    <cellStyle name="Comma 5 3 2 5 2 6" xfId="15894" xr:uid="{35E07C53-2F7A-415D-8DA6-92F43B47F599}"/>
    <cellStyle name="Comma 5 3 2 5 2 7" xfId="26310" xr:uid="{B212CAF7-288A-4897-8B99-3293C19F6420}"/>
    <cellStyle name="Comma 5 3 2 5 3" xfId="3563" xr:uid="{00000000-0005-0000-0000-0000B9220000}"/>
    <cellStyle name="Comma 5 3 2 5 3 2" xfId="3564" xr:uid="{00000000-0005-0000-0000-0000BA220000}"/>
    <cellStyle name="Comma 5 3 2 5 3 2 2" xfId="10715" xr:uid="{00000000-0005-0000-0000-0000BB220000}"/>
    <cellStyle name="Comma 5 3 2 5 3 2 2 2" xfId="22261" xr:uid="{7F120B90-23B8-44C6-BCC3-7B5E0F8E2B36}"/>
    <cellStyle name="Comma 5 3 2 5 3 2 2 3" xfId="32677" xr:uid="{834A9122-5884-40A5-8680-DDEFEA40E1AF}"/>
    <cellStyle name="Comma 5 3 2 5 3 2 3" xfId="15899" xr:uid="{8D25684C-F400-4E9D-A923-32F21E9D4E9B}"/>
    <cellStyle name="Comma 5 3 2 5 3 2 4" xfId="26315" xr:uid="{D300D327-ADE6-421D-9EA3-C9F73A848469}"/>
    <cellStyle name="Comma 5 3 2 5 3 3" xfId="10714" xr:uid="{00000000-0005-0000-0000-0000BC220000}"/>
    <cellStyle name="Comma 5 3 2 5 3 3 2" xfId="22260" xr:uid="{01C469BA-F004-44F5-9BDA-1D8E517F9D6A}"/>
    <cellStyle name="Comma 5 3 2 5 3 3 3" xfId="32676" xr:uid="{D1FB64B1-94B4-4B61-B8A4-DD0659EA3C9D}"/>
    <cellStyle name="Comma 5 3 2 5 3 4" xfId="6548" xr:uid="{00000000-0005-0000-0000-0000BD220000}"/>
    <cellStyle name="Comma 5 3 2 5 3 4 2" xfId="18134" xr:uid="{AFDB3E30-AC68-478C-8483-DA04D88E5582}"/>
    <cellStyle name="Comma 5 3 2 5 3 4 3" xfId="28550" xr:uid="{75E09F85-E41F-47EB-9FF4-235703B0C49D}"/>
    <cellStyle name="Comma 5 3 2 5 3 5" xfId="15898" xr:uid="{4CC271B2-8979-4C7B-93F2-21B7F5213258}"/>
    <cellStyle name="Comma 5 3 2 5 3 6" xfId="26314" xr:uid="{2B9412B6-8820-44A4-A7AA-A60B8A7A8AF2}"/>
    <cellStyle name="Comma 5 3 2 5 4" xfId="3565" xr:uid="{00000000-0005-0000-0000-0000BE220000}"/>
    <cellStyle name="Comma 5 3 2 5 4 2" xfId="3566" xr:uid="{00000000-0005-0000-0000-0000BF220000}"/>
    <cellStyle name="Comma 5 3 2 5 4 2 2" xfId="10717" xr:uid="{00000000-0005-0000-0000-0000C0220000}"/>
    <cellStyle name="Comma 5 3 2 5 4 2 2 2" xfId="22263" xr:uid="{C8EE6DF6-BB83-4B5D-B2B8-73624B008729}"/>
    <cellStyle name="Comma 5 3 2 5 4 2 2 3" xfId="32679" xr:uid="{7D5FD106-8947-44F2-B83B-19AAF725B98A}"/>
    <cellStyle name="Comma 5 3 2 5 4 2 3" xfId="15901" xr:uid="{98964A67-D0E8-4504-9C9F-DC33A4A9549F}"/>
    <cellStyle name="Comma 5 3 2 5 4 2 4" xfId="26317" xr:uid="{DB129C3C-9964-4D79-B0F8-E70B28122BA7}"/>
    <cellStyle name="Comma 5 3 2 5 4 3" xfId="10716" xr:uid="{00000000-0005-0000-0000-0000C1220000}"/>
    <cellStyle name="Comma 5 3 2 5 4 3 2" xfId="22262" xr:uid="{E7FF8B1C-A3D5-4B94-9AAF-BCB2AC9B8976}"/>
    <cellStyle name="Comma 5 3 2 5 4 3 3" xfId="32678" xr:uid="{961EBB5F-5EA9-468A-B947-0EFE350CB1C5}"/>
    <cellStyle name="Comma 5 3 2 5 4 4" xfId="6549" xr:uid="{00000000-0005-0000-0000-0000C2220000}"/>
    <cellStyle name="Comma 5 3 2 5 4 4 2" xfId="18135" xr:uid="{618DAC22-8E82-423C-9BA8-95ECE6F058AB}"/>
    <cellStyle name="Comma 5 3 2 5 4 4 3" xfId="28551" xr:uid="{D646C466-DB78-4720-860F-B3C1E25C14B6}"/>
    <cellStyle name="Comma 5 3 2 5 4 5" xfId="15900" xr:uid="{DCD303D3-3786-4E75-9347-1E118D788724}"/>
    <cellStyle name="Comma 5 3 2 5 4 6" xfId="26316" xr:uid="{9A9999EE-BA10-47E6-AE07-FAB40A9FB22A}"/>
    <cellStyle name="Comma 5 3 2 5 5" xfId="3567" xr:uid="{00000000-0005-0000-0000-0000C3220000}"/>
    <cellStyle name="Comma 5 3 2 5 5 2" xfId="10718" xr:uid="{00000000-0005-0000-0000-0000C4220000}"/>
    <cellStyle name="Comma 5 3 2 5 5 2 2" xfId="22264" xr:uid="{902EAF5E-05BA-418D-AD6D-B032A91AABDF}"/>
    <cellStyle name="Comma 5 3 2 5 5 2 3" xfId="32680" xr:uid="{2472542D-3F36-47B6-9F1E-181CB7DC7230}"/>
    <cellStyle name="Comma 5 3 2 5 5 3" xfId="15902" xr:uid="{E4196C00-DCCB-4123-A15C-BB2159846D81}"/>
    <cellStyle name="Comma 5 3 2 5 5 4" xfId="26318" xr:uid="{F3B520D4-FDC2-4BED-B474-B7D3C68FE7E6}"/>
    <cellStyle name="Comma 5 3 2 5 6" xfId="10709" xr:uid="{00000000-0005-0000-0000-0000C5220000}"/>
    <cellStyle name="Comma 5 3 2 5 6 2" xfId="22255" xr:uid="{FC657532-FF35-4C22-BA2D-91057E5481D8}"/>
    <cellStyle name="Comma 5 3 2 5 6 3" xfId="32671" xr:uid="{238ED367-0C8E-4998-9CC1-40BF66AE0D6B}"/>
    <cellStyle name="Comma 5 3 2 5 7" xfId="6545" xr:uid="{00000000-0005-0000-0000-0000C6220000}"/>
    <cellStyle name="Comma 5 3 2 5 7 2" xfId="18131" xr:uid="{8F0808E1-FC8E-4008-B946-CF787AA9A3FD}"/>
    <cellStyle name="Comma 5 3 2 5 7 3" xfId="28547" xr:uid="{2F5F0E18-F489-4A86-A547-19CBAE86C28B}"/>
    <cellStyle name="Comma 5 3 2 5 8" xfId="15893" xr:uid="{E7030855-637C-470D-BE07-BBD674D6766C}"/>
    <cellStyle name="Comma 5 3 2 5 9" xfId="26309" xr:uid="{8983B98F-57FE-4A04-9AAE-3FDE152D511C}"/>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2 2 2" xfId="22267" xr:uid="{D384B0A3-97BC-4A1C-A406-16D8DFD4BCE6}"/>
    <cellStyle name="Comma 5 3 2 6 2 2 2 3" xfId="32683" xr:uid="{68B23049-7A25-4BE4-8811-CDEA52B3BE30}"/>
    <cellStyle name="Comma 5 3 2 6 2 2 3" xfId="15905" xr:uid="{61FDB9CD-8E36-4D42-BC67-56DFDE4E0CBF}"/>
    <cellStyle name="Comma 5 3 2 6 2 2 4" xfId="26321" xr:uid="{067B66B5-BC49-4762-8AFC-A1D90175001D}"/>
    <cellStyle name="Comma 5 3 2 6 2 3" xfId="10720" xr:uid="{00000000-0005-0000-0000-0000CB220000}"/>
    <cellStyle name="Comma 5 3 2 6 2 3 2" xfId="22266" xr:uid="{6447046E-2F05-44CA-9279-3676311BCD17}"/>
    <cellStyle name="Comma 5 3 2 6 2 3 3" xfId="32682" xr:uid="{D4FBCB09-29B8-442C-B540-088D954AE79B}"/>
    <cellStyle name="Comma 5 3 2 6 2 4" xfId="6551" xr:uid="{00000000-0005-0000-0000-0000CC220000}"/>
    <cellStyle name="Comma 5 3 2 6 2 4 2" xfId="18137" xr:uid="{B23F1D5E-BED6-444E-BF2D-1E7697BEBCB7}"/>
    <cellStyle name="Comma 5 3 2 6 2 4 3" xfId="28553" xr:uid="{23C077FD-E7A0-4D58-8E04-D821C9B8A17C}"/>
    <cellStyle name="Comma 5 3 2 6 2 5" xfId="15904" xr:uid="{E999C29C-B025-403B-B05F-C7231F809F4D}"/>
    <cellStyle name="Comma 5 3 2 6 2 6" xfId="26320" xr:uid="{AFA7E768-2904-4A33-A723-E8F06538A866}"/>
    <cellStyle name="Comma 5 3 2 6 3" xfId="3571" xr:uid="{00000000-0005-0000-0000-0000CD220000}"/>
    <cellStyle name="Comma 5 3 2 6 3 2" xfId="3572" xr:uid="{00000000-0005-0000-0000-0000CE220000}"/>
    <cellStyle name="Comma 5 3 2 6 3 2 2" xfId="10723" xr:uid="{00000000-0005-0000-0000-0000CF220000}"/>
    <cellStyle name="Comma 5 3 2 6 3 2 2 2" xfId="22269" xr:uid="{9B4A0196-D200-4D1D-A700-A9F2869C6C2F}"/>
    <cellStyle name="Comma 5 3 2 6 3 2 2 3" xfId="32685" xr:uid="{58816A9E-F1EE-4FCC-8FD5-A97CD55AA223}"/>
    <cellStyle name="Comma 5 3 2 6 3 2 3" xfId="15907" xr:uid="{145D1F8C-96DE-4F33-B1C9-CB809F8C8A0B}"/>
    <cellStyle name="Comma 5 3 2 6 3 2 4" xfId="26323" xr:uid="{4DE5C3F2-7BFC-4846-B517-6E8A0AFD9328}"/>
    <cellStyle name="Comma 5 3 2 6 3 3" xfId="10722" xr:uid="{00000000-0005-0000-0000-0000D0220000}"/>
    <cellStyle name="Comma 5 3 2 6 3 3 2" xfId="22268" xr:uid="{0CC84730-15AD-40F6-9145-4092364DD205}"/>
    <cellStyle name="Comma 5 3 2 6 3 3 3" xfId="32684" xr:uid="{D1D13872-9423-496E-A0AD-88F74AE78C5C}"/>
    <cellStyle name="Comma 5 3 2 6 3 4" xfId="6552" xr:uid="{00000000-0005-0000-0000-0000D1220000}"/>
    <cellStyle name="Comma 5 3 2 6 3 4 2" xfId="18138" xr:uid="{9619AAE4-419C-4225-9019-AF2FC7619F5A}"/>
    <cellStyle name="Comma 5 3 2 6 3 4 3" xfId="28554" xr:uid="{B4B41E5D-9525-4F55-A0A0-947827592D20}"/>
    <cellStyle name="Comma 5 3 2 6 3 5" xfId="15906" xr:uid="{8D069F34-C681-4643-B176-4C2CD9EB63AD}"/>
    <cellStyle name="Comma 5 3 2 6 3 6" xfId="26322" xr:uid="{D8472AF7-1B6C-49A2-BC80-F900E021C15F}"/>
    <cellStyle name="Comma 5 3 2 6 4" xfId="3573" xr:uid="{00000000-0005-0000-0000-0000D2220000}"/>
    <cellStyle name="Comma 5 3 2 6 4 2" xfId="10724" xr:uid="{00000000-0005-0000-0000-0000D3220000}"/>
    <cellStyle name="Comma 5 3 2 6 4 2 2" xfId="22270" xr:uid="{098B584C-4CA0-461B-B42D-C5661A4266EB}"/>
    <cellStyle name="Comma 5 3 2 6 4 2 3" xfId="32686" xr:uid="{69812A44-0DBD-4661-B602-35EC8BA3217A}"/>
    <cellStyle name="Comma 5 3 2 6 4 3" xfId="15908" xr:uid="{88F5DF50-A50D-48A6-A230-915056D4F3E9}"/>
    <cellStyle name="Comma 5 3 2 6 4 4" xfId="26324" xr:uid="{BF41F030-A13A-4892-9945-139B5CCF57FB}"/>
    <cellStyle name="Comma 5 3 2 6 5" xfId="10719" xr:uid="{00000000-0005-0000-0000-0000D4220000}"/>
    <cellStyle name="Comma 5 3 2 6 5 2" xfId="22265" xr:uid="{AD995834-0F88-423E-97A9-1014F560FAF0}"/>
    <cellStyle name="Comma 5 3 2 6 5 3" xfId="32681" xr:uid="{3342B9D6-769C-46A0-87E0-6FBBB145B62B}"/>
    <cellStyle name="Comma 5 3 2 6 6" xfId="6550" xr:uid="{00000000-0005-0000-0000-0000D5220000}"/>
    <cellStyle name="Comma 5 3 2 6 6 2" xfId="18136" xr:uid="{39D95BDD-95F0-43FA-B8BC-46D60EF0FFA1}"/>
    <cellStyle name="Comma 5 3 2 6 6 3" xfId="28552" xr:uid="{1DBC5A5C-1782-4C56-8B6D-B0F3F83F147C}"/>
    <cellStyle name="Comma 5 3 2 6 7" xfId="15903" xr:uid="{3A7DDD1C-8D7C-4316-88F0-578DEE86354E}"/>
    <cellStyle name="Comma 5 3 2 6 8" xfId="26319" xr:uid="{F51BBA27-2EC3-48DF-BA05-544CFEA80F9A}"/>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2 2 2" xfId="22273" xr:uid="{68DE5C7D-53CD-4483-B919-8AAFF5CB3FDD}"/>
    <cellStyle name="Comma 5 3 2 7 2 2 2 3" xfId="32689" xr:uid="{D5DA3613-74FD-4384-B9E5-38E76FBC13CC}"/>
    <cellStyle name="Comma 5 3 2 7 2 2 3" xfId="15911" xr:uid="{F7CFF9E4-B893-47F8-A971-5831088AD7D0}"/>
    <cellStyle name="Comma 5 3 2 7 2 2 4" xfId="26327" xr:uid="{623BA826-6D89-46E3-B209-88218F3D1425}"/>
    <cellStyle name="Comma 5 3 2 7 2 3" xfId="10726" xr:uid="{00000000-0005-0000-0000-0000DA220000}"/>
    <cellStyle name="Comma 5 3 2 7 2 3 2" xfId="22272" xr:uid="{78F6A9A3-92F3-4ACD-B02E-2E34A1B29832}"/>
    <cellStyle name="Comma 5 3 2 7 2 3 3" xfId="32688" xr:uid="{10FD16A3-ECBA-4441-A306-22B615397E35}"/>
    <cellStyle name="Comma 5 3 2 7 2 4" xfId="6554" xr:uid="{00000000-0005-0000-0000-0000DB220000}"/>
    <cellStyle name="Comma 5 3 2 7 2 4 2" xfId="18140" xr:uid="{ECCE6C41-951E-4F92-B93F-11683E2DFFE4}"/>
    <cellStyle name="Comma 5 3 2 7 2 4 3" xfId="28556" xr:uid="{94A387BF-2CDF-4045-A864-50D7E8F5986F}"/>
    <cellStyle name="Comma 5 3 2 7 2 5" xfId="15910" xr:uid="{64A84F2E-660E-48D5-9377-B322EECAC573}"/>
    <cellStyle name="Comma 5 3 2 7 2 6" xfId="26326" xr:uid="{0539F56F-A76D-4F88-AD10-49F54839EDDB}"/>
    <cellStyle name="Comma 5 3 2 7 3" xfId="3577" xr:uid="{00000000-0005-0000-0000-0000DC220000}"/>
    <cellStyle name="Comma 5 3 2 7 3 2" xfId="10728" xr:uid="{00000000-0005-0000-0000-0000DD220000}"/>
    <cellStyle name="Comma 5 3 2 7 3 2 2" xfId="22274" xr:uid="{599D7D31-0F9B-4F99-947D-7B3EF2ED8A45}"/>
    <cellStyle name="Comma 5 3 2 7 3 2 3" xfId="32690" xr:uid="{9CFF9657-4D5C-4FCD-93D8-61628D4D1334}"/>
    <cellStyle name="Comma 5 3 2 7 3 3" xfId="15912" xr:uid="{76AF2639-127A-4995-9131-0104A974575C}"/>
    <cellStyle name="Comma 5 3 2 7 3 4" xfId="26328" xr:uid="{6D0E8D9C-04A3-4015-A267-8A6E9CAA3875}"/>
    <cellStyle name="Comma 5 3 2 7 4" xfId="10725" xr:uid="{00000000-0005-0000-0000-0000DE220000}"/>
    <cellStyle name="Comma 5 3 2 7 4 2" xfId="22271" xr:uid="{48DD7FCE-6086-4FB5-925F-80B8D9FD5F31}"/>
    <cellStyle name="Comma 5 3 2 7 4 3" xfId="32687" xr:uid="{D5F57FE9-6567-421D-ADAD-3CC41DD28E62}"/>
    <cellStyle name="Comma 5 3 2 7 5" xfId="6553" xr:uid="{00000000-0005-0000-0000-0000DF220000}"/>
    <cellStyle name="Comma 5 3 2 7 5 2" xfId="18139" xr:uid="{68301DB9-AFF7-4677-87B9-D566CEE626EF}"/>
    <cellStyle name="Comma 5 3 2 7 5 3" xfId="28555" xr:uid="{4B86D643-D941-4D2A-8E37-0CF2E619FB5F}"/>
    <cellStyle name="Comma 5 3 2 7 6" xfId="15909" xr:uid="{DAA02849-AA2A-49F7-BA01-A6A541AEC2A7}"/>
    <cellStyle name="Comma 5 3 2 7 7" xfId="26325" xr:uid="{0E656156-7E17-4076-BE0D-996B4F07DB05}"/>
    <cellStyle name="Comma 5 3 2 8" xfId="3578" xr:uid="{00000000-0005-0000-0000-0000E0220000}"/>
    <cellStyle name="Comma 5 3 2 8 2" xfId="3579" xr:uid="{00000000-0005-0000-0000-0000E1220000}"/>
    <cellStyle name="Comma 5 3 2 8 2 2" xfId="10730" xr:uid="{00000000-0005-0000-0000-0000E2220000}"/>
    <cellStyle name="Comma 5 3 2 8 2 2 2" xfId="22276" xr:uid="{4A18C3EA-0503-4462-9A93-F3B020C43E71}"/>
    <cellStyle name="Comma 5 3 2 8 2 2 3" xfId="32692" xr:uid="{11D7D2DE-E288-44DE-979F-9897D97B87F9}"/>
    <cellStyle name="Comma 5 3 2 8 2 3" xfId="15914" xr:uid="{A707C269-B550-41D4-948A-8D718491C0B9}"/>
    <cellStyle name="Comma 5 3 2 8 2 4" xfId="26330" xr:uid="{D8C49EDD-5A2C-4824-8F70-3986A8B0E46B}"/>
    <cellStyle name="Comma 5 3 2 8 3" xfId="10729" xr:uid="{00000000-0005-0000-0000-0000E3220000}"/>
    <cellStyle name="Comma 5 3 2 8 3 2" xfId="22275" xr:uid="{97352011-CC66-4D29-82E1-B70C3C87B092}"/>
    <cellStyle name="Comma 5 3 2 8 3 3" xfId="32691" xr:uid="{0A8A41B2-EC8C-45F4-A8CF-11EE8C42AA05}"/>
    <cellStyle name="Comma 5 3 2 8 4" xfId="6555" xr:uid="{00000000-0005-0000-0000-0000E4220000}"/>
    <cellStyle name="Comma 5 3 2 8 4 2" xfId="18141" xr:uid="{3C185D7D-B900-4B22-A3F8-D5DAFE28607E}"/>
    <cellStyle name="Comma 5 3 2 8 4 3" xfId="28557" xr:uid="{14B42866-8B6A-49DB-937B-F12C8F27053C}"/>
    <cellStyle name="Comma 5 3 2 8 5" xfId="15913" xr:uid="{2831A246-8490-4C5B-943E-40E9790AFC7D}"/>
    <cellStyle name="Comma 5 3 2 8 6" xfId="26329" xr:uid="{AF455EFC-07A0-4D3B-B3EE-35A37F829056}"/>
    <cellStyle name="Comma 5 3 2 9" xfId="3580" xr:uid="{00000000-0005-0000-0000-0000E5220000}"/>
    <cellStyle name="Comma 5 3 2 9 2" xfId="3581" xr:uid="{00000000-0005-0000-0000-0000E6220000}"/>
    <cellStyle name="Comma 5 3 2 9 2 2" xfId="10732" xr:uid="{00000000-0005-0000-0000-0000E7220000}"/>
    <cellStyle name="Comma 5 3 2 9 2 2 2" xfId="22278" xr:uid="{F4E14AD0-C6A3-4E62-BD00-C789D968DA24}"/>
    <cellStyle name="Comma 5 3 2 9 2 2 3" xfId="32694" xr:uid="{B740F22E-E2E9-4C3C-9EDF-96C4379A6F92}"/>
    <cellStyle name="Comma 5 3 2 9 2 3" xfId="15916" xr:uid="{B35C7F8D-1B77-4BFD-99D7-089B9A2B41CD}"/>
    <cellStyle name="Comma 5 3 2 9 2 4" xfId="26332" xr:uid="{17C92C3F-4996-446C-AA4D-DF7A01C82BA9}"/>
    <cellStyle name="Comma 5 3 2 9 3" xfId="10731" xr:uid="{00000000-0005-0000-0000-0000E8220000}"/>
    <cellStyle name="Comma 5 3 2 9 3 2" xfId="22277" xr:uid="{82A867C4-731B-422C-8D97-97F5469F5ABA}"/>
    <cellStyle name="Comma 5 3 2 9 3 3" xfId="32693" xr:uid="{6E570982-42EE-49B7-A8C0-EA2901687043}"/>
    <cellStyle name="Comma 5 3 2 9 4" xfId="6556" xr:uid="{00000000-0005-0000-0000-0000E9220000}"/>
    <cellStyle name="Comma 5 3 2 9 4 2" xfId="18142" xr:uid="{EB5E4040-0851-494B-9A3B-9A712763E622}"/>
    <cellStyle name="Comma 5 3 2 9 4 3" xfId="28558" xr:uid="{0E1D1CA2-A6FD-45E1-BEB2-502A7A599E6E}"/>
    <cellStyle name="Comma 5 3 2 9 5" xfId="15915" xr:uid="{13C4BE8F-45F4-4A34-9A97-D6198B7DD4EF}"/>
    <cellStyle name="Comma 5 3 2 9 6" xfId="26331" xr:uid="{A9758021-8574-422C-9442-6559CCBB8532}"/>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2 2 2" xfId="22282" xr:uid="{93C16465-AB50-4530-B149-4B60E4DE39B1}"/>
    <cellStyle name="Comma 5 3 3 2 2 2 2 3" xfId="32698" xr:uid="{A5A221DC-4A50-4CF2-AF30-044460559A78}"/>
    <cellStyle name="Comma 5 3 3 2 2 2 3" xfId="15920" xr:uid="{09C1B615-50B3-484E-B47E-016F1ABD4E33}"/>
    <cellStyle name="Comma 5 3 3 2 2 2 4" xfId="26336" xr:uid="{9F6ECC7A-B008-4733-BE72-52EE4006DF19}"/>
    <cellStyle name="Comma 5 3 3 2 2 3" xfId="10735" xr:uid="{00000000-0005-0000-0000-0000EF220000}"/>
    <cellStyle name="Comma 5 3 3 2 2 3 2" xfId="22281" xr:uid="{A4804999-2C5D-4EB5-A0C0-93943590FA0D}"/>
    <cellStyle name="Comma 5 3 3 2 2 3 3" xfId="32697" xr:uid="{593A25AF-A32F-48AC-8917-3EE22005FD82}"/>
    <cellStyle name="Comma 5 3 3 2 2 4" xfId="6559" xr:uid="{00000000-0005-0000-0000-0000F0220000}"/>
    <cellStyle name="Comma 5 3 3 2 2 4 2" xfId="18145" xr:uid="{80F19A23-74F7-408E-BA99-4B823E9D6001}"/>
    <cellStyle name="Comma 5 3 3 2 2 4 3" xfId="28561" xr:uid="{ED999A92-DDF0-41E5-AA98-D5C0D234B799}"/>
    <cellStyle name="Comma 5 3 3 2 2 5" xfId="15919" xr:uid="{B875FC39-BF65-44B2-85A1-FD1FEE751DB7}"/>
    <cellStyle name="Comma 5 3 3 2 2 6" xfId="26335" xr:uid="{A4BBBEBE-D91B-4211-A8D1-DE87890FAD77}"/>
    <cellStyle name="Comma 5 3 3 2 3" xfId="3586" xr:uid="{00000000-0005-0000-0000-0000F1220000}"/>
    <cellStyle name="Comma 5 3 3 2 3 2" xfId="10737" xr:uid="{00000000-0005-0000-0000-0000F2220000}"/>
    <cellStyle name="Comma 5 3 3 2 3 2 2" xfId="22283" xr:uid="{9B6F130F-943C-4EE6-AA0B-9D3644184CD8}"/>
    <cellStyle name="Comma 5 3 3 2 3 2 3" xfId="32699" xr:uid="{62E8E474-9778-4761-9920-F7B10A2307CA}"/>
    <cellStyle name="Comma 5 3 3 2 3 3" xfId="15921" xr:uid="{1B0C67F8-BE54-426F-B280-05F464CD954E}"/>
    <cellStyle name="Comma 5 3 3 2 3 4" xfId="26337" xr:uid="{97999F28-4BFA-4C1F-A2C2-7A30BA0CC87F}"/>
    <cellStyle name="Comma 5 3 3 2 4" xfId="10734" xr:uid="{00000000-0005-0000-0000-0000F3220000}"/>
    <cellStyle name="Comma 5 3 3 2 4 2" xfId="22280" xr:uid="{FF016C76-94CF-4986-937B-741301F99D20}"/>
    <cellStyle name="Comma 5 3 3 2 4 3" xfId="32696" xr:uid="{F4E7AB77-4C04-4269-AF16-AFA11B4A8924}"/>
    <cellStyle name="Comma 5 3 3 2 5" xfId="6558" xr:uid="{00000000-0005-0000-0000-0000F4220000}"/>
    <cellStyle name="Comma 5 3 3 2 5 2" xfId="18144" xr:uid="{BBE6E20D-7CCE-48BA-A49A-9D90129FE7C9}"/>
    <cellStyle name="Comma 5 3 3 2 5 3" xfId="28560" xr:uid="{52A32890-47E3-42EF-A3D4-909400D4E2F2}"/>
    <cellStyle name="Comma 5 3 3 2 6" xfId="15918" xr:uid="{1FAFC1BD-F98D-4CF0-AC16-49347FC69B00}"/>
    <cellStyle name="Comma 5 3 3 2 7" xfId="26334" xr:uid="{D7FE0028-77D1-45BD-89D6-42A8620F26CC}"/>
    <cellStyle name="Comma 5 3 3 3" xfId="3587" xr:uid="{00000000-0005-0000-0000-0000F5220000}"/>
    <cellStyle name="Comma 5 3 3 3 2" xfId="3588" xr:uid="{00000000-0005-0000-0000-0000F6220000}"/>
    <cellStyle name="Comma 5 3 3 3 2 2" xfId="10739" xr:uid="{00000000-0005-0000-0000-0000F7220000}"/>
    <cellStyle name="Comma 5 3 3 3 2 2 2" xfId="22285" xr:uid="{62D7C1D8-ABE5-439C-9CBB-8ADE3E05DBC9}"/>
    <cellStyle name="Comma 5 3 3 3 2 2 3" xfId="32701" xr:uid="{58773CEA-64A5-469C-BF43-F30DC3A0752F}"/>
    <cellStyle name="Comma 5 3 3 3 2 3" xfId="15923" xr:uid="{7494E0A0-AA07-4454-B28F-BCD59F99AB66}"/>
    <cellStyle name="Comma 5 3 3 3 2 4" xfId="26339" xr:uid="{2DA3B41D-2E2E-4DBE-96DE-1483CB14F919}"/>
    <cellStyle name="Comma 5 3 3 3 3" xfId="10738" xr:uid="{00000000-0005-0000-0000-0000F8220000}"/>
    <cellStyle name="Comma 5 3 3 3 3 2" xfId="22284" xr:uid="{68CD7D29-6DDC-4480-A511-BE46828EF180}"/>
    <cellStyle name="Comma 5 3 3 3 3 3" xfId="32700" xr:uid="{D461A89B-FC16-4F0B-8DEC-C5B455582435}"/>
    <cellStyle name="Comma 5 3 3 3 4" xfId="6560" xr:uid="{00000000-0005-0000-0000-0000F9220000}"/>
    <cellStyle name="Comma 5 3 3 3 4 2" xfId="18146" xr:uid="{435A3600-D6B7-46E6-8472-8DF9F0179097}"/>
    <cellStyle name="Comma 5 3 3 3 4 3" xfId="28562" xr:uid="{57A40837-B130-4DE9-BA21-BA4659E0E6E4}"/>
    <cellStyle name="Comma 5 3 3 3 5" xfId="15922" xr:uid="{256370D7-0915-457B-86F7-A56E6BB60BEB}"/>
    <cellStyle name="Comma 5 3 3 3 6" xfId="26338" xr:uid="{35839A98-AF16-43BE-83AA-72D49F3321C6}"/>
    <cellStyle name="Comma 5 3 3 4" xfId="3589" xr:uid="{00000000-0005-0000-0000-0000FA220000}"/>
    <cellStyle name="Comma 5 3 3 4 2" xfId="3590" xr:uid="{00000000-0005-0000-0000-0000FB220000}"/>
    <cellStyle name="Comma 5 3 3 4 2 2" xfId="10741" xr:uid="{00000000-0005-0000-0000-0000FC220000}"/>
    <cellStyle name="Comma 5 3 3 4 2 2 2" xfId="22287" xr:uid="{3F26C252-0DDA-4263-AB39-6FE6C9007F01}"/>
    <cellStyle name="Comma 5 3 3 4 2 2 3" xfId="32703" xr:uid="{D5D4CF03-8B06-4264-9BF3-A1AB7101EA47}"/>
    <cellStyle name="Comma 5 3 3 4 2 3" xfId="15925" xr:uid="{24A60491-68BE-4689-BF5D-BC510A06A504}"/>
    <cellStyle name="Comma 5 3 3 4 2 4" xfId="26341" xr:uid="{F6E48EAF-B162-4455-9A4F-661F8664598A}"/>
    <cellStyle name="Comma 5 3 3 4 3" xfId="10740" xr:uid="{00000000-0005-0000-0000-0000FD220000}"/>
    <cellStyle name="Comma 5 3 3 4 3 2" xfId="22286" xr:uid="{1F3448E7-46C6-4A4D-B8B2-622EA9D5E018}"/>
    <cellStyle name="Comma 5 3 3 4 3 3" xfId="32702" xr:uid="{A06B9603-18C8-4961-B990-FBB8651C9317}"/>
    <cellStyle name="Comma 5 3 3 4 4" xfId="6561" xr:uid="{00000000-0005-0000-0000-0000FE220000}"/>
    <cellStyle name="Comma 5 3 3 4 4 2" xfId="18147" xr:uid="{7115B040-89FC-4E30-8A99-E595C1832BCB}"/>
    <cellStyle name="Comma 5 3 3 4 4 3" xfId="28563" xr:uid="{ABDF7801-61CB-444E-A405-F7CF8B630746}"/>
    <cellStyle name="Comma 5 3 3 4 5" xfId="15924" xr:uid="{6678D1F2-60E2-41ED-BDCF-501A37A2496D}"/>
    <cellStyle name="Comma 5 3 3 4 6" xfId="26340" xr:uid="{98D2E676-7DF2-4611-BD05-5FB642168682}"/>
    <cellStyle name="Comma 5 3 3 5" xfId="3591" xr:uid="{00000000-0005-0000-0000-0000FF220000}"/>
    <cellStyle name="Comma 5 3 3 5 2" xfId="10742" xr:uid="{00000000-0005-0000-0000-000000230000}"/>
    <cellStyle name="Comma 5 3 3 5 2 2" xfId="22288" xr:uid="{6F47C86E-94C7-45E0-B63C-79A7358EACA7}"/>
    <cellStyle name="Comma 5 3 3 5 2 3" xfId="32704" xr:uid="{1C7896EC-D471-4974-AB79-C3BF1AE1CCE9}"/>
    <cellStyle name="Comma 5 3 3 5 3" xfId="15926" xr:uid="{2D14B1CC-73CD-492D-8905-A7F0FC81B3F9}"/>
    <cellStyle name="Comma 5 3 3 5 4" xfId="26342" xr:uid="{849005DD-5147-4BFD-B077-F08D6C55E1D7}"/>
    <cellStyle name="Comma 5 3 3 6" xfId="10733" xr:uid="{00000000-0005-0000-0000-000001230000}"/>
    <cellStyle name="Comma 5 3 3 6 2" xfId="22279" xr:uid="{FA246D44-80B0-44F0-AE57-63C700E520E7}"/>
    <cellStyle name="Comma 5 3 3 6 3" xfId="32695" xr:uid="{C82967AE-4B77-4B9C-B75D-4E4A45CA1D63}"/>
    <cellStyle name="Comma 5 3 3 7" xfId="6557" xr:uid="{00000000-0005-0000-0000-000002230000}"/>
    <cellStyle name="Comma 5 3 3 7 2" xfId="18143" xr:uid="{37B6100B-96C2-4C10-852C-DBFCE97E0A69}"/>
    <cellStyle name="Comma 5 3 3 7 3" xfId="28559" xr:uid="{670E7C55-FFCA-4ED2-B778-8161EB350837}"/>
    <cellStyle name="Comma 5 3 3 8" xfId="15917" xr:uid="{2BE8977F-343A-422C-80E7-A77A78ED54E8}"/>
    <cellStyle name="Comma 5 3 3 9" xfId="26333" xr:uid="{4E5151A8-C5AC-4DB2-A877-C9A5E36429A5}"/>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2 2 2" xfId="22292" xr:uid="{0A65A257-21D4-4684-9944-0AA12DA92DBF}"/>
    <cellStyle name="Comma 5 3 4 2 2 2 2 3" xfId="32708" xr:uid="{BF35BE6A-659C-4633-98EC-5C1BDEDF2306}"/>
    <cellStyle name="Comma 5 3 4 2 2 2 3" xfId="15930" xr:uid="{6725C49B-B58C-410A-9363-D3D7ED91159B}"/>
    <cellStyle name="Comma 5 3 4 2 2 2 4" xfId="26346" xr:uid="{83D9C206-DB17-4AAC-A954-2AAD3734FC42}"/>
    <cellStyle name="Comma 5 3 4 2 2 3" xfId="10745" xr:uid="{00000000-0005-0000-0000-000008230000}"/>
    <cellStyle name="Comma 5 3 4 2 2 3 2" xfId="22291" xr:uid="{72F534B7-7CD7-4D4E-B551-86A0F58DEBD4}"/>
    <cellStyle name="Comma 5 3 4 2 2 3 3" xfId="32707" xr:uid="{FA39B0BD-9E42-407E-8AC0-FBBC5DF86A86}"/>
    <cellStyle name="Comma 5 3 4 2 2 4" xfId="6564" xr:uid="{00000000-0005-0000-0000-000009230000}"/>
    <cellStyle name="Comma 5 3 4 2 2 4 2" xfId="18150" xr:uid="{78FCC46C-C2F8-46CC-B824-1D92316DC3E6}"/>
    <cellStyle name="Comma 5 3 4 2 2 4 3" xfId="28566" xr:uid="{FE7B828A-3988-4578-8BDB-4CEDA3BF3797}"/>
    <cellStyle name="Comma 5 3 4 2 2 5" xfId="15929" xr:uid="{63ABCA7B-222F-4F6E-9F45-FAE977CD5124}"/>
    <cellStyle name="Comma 5 3 4 2 2 6" xfId="26345" xr:uid="{4B075834-B830-40F8-B341-ABADA197FF93}"/>
    <cellStyle name="Comma 5 3 4 2 3" xfId="3596" xr:uid="{00000000-0005-0000-0000-00000A230000}"/>
    <cellStyle name="Comma 5 3 4 2 3 2" xfId="10747" xr:uid="{00000000-0005-0000-0000-00000B230000}"/>
    <cellStyle name="Comma 5 3 4 2 3 2 2" xfId="22293" xr:uid="{1F38C611-7123-4B2D-BD74-656C65F2A866}"/>
    <cellStyle name="Comma 5 3 4 2 3 2 3" xfId="32709" xr:uid="{C5AB5FBD-CF58-4F16-9096-CA2A3EDCA7E4}"/>
    <cellStyle name="Comma 5 3 4 2 3 3" xfId="15931" xr:uid="{FB85C257-1D27-463F-9D80-4073F95D8E59}"/>
    <cellStyle name="Comma 5 3 4 2 3 4" xfId="26347" xr:uid="{725CB2EA-5BC8-403B-8161-3290E2BACB0D}"/>
    <cellStyle name="Comma 5 3 4 2 4" xfId="10744" xr:uid="{00000000-0005-0000-0000-00000C230000}"/>
    <cellStyle name="Comma 5 3 4 2 4 2" xfId="22290" xr:uid="{798A5887-2DFA-4F33-BB0C-51DB43B636CA}"/>
    <cellStyle name="Comma 5 3 4 2 4 3" xfId="32706" xr:uid="{27F3831A-58E8-45E0-93E2-0EED78233E0F}"/>
    <cellStyle name="Comma 5 3 4 2 5" xfId="6563" xr:uid="{00000000-0005-0000-0000-00000D230000}"/>
    <cellStyle name="Comma 5 3 4 2 5 2" xfId="18149" xr:uid="{6E1384BC-E970-41B0-80B7-CBF9512B44A8}"/>
    <cellStyle name="Comma 5 3 4 2 5 3" xfId="28565" xr:uid="{2B5FC20C-ADCC-477F-8DE6-8E91E440591A}"/>
    <cellStyle name="Comma 5 3 4 2 6" xfId="15928" xr:uid="{29812D16-3F85-4E2A-A33D-EF3FE44DCBB5}"/>
    <cellStyle name="Comma 5 3 4 2 7" xfId="26344" xr:uid="{3EE3FD9A-8EE3-49F9-87F7-CE4D62778984}"/>
    <cellStyle name="Comma 5 3 4 3" xfId="3597" xr:uid="{00000000-0005-0000-0000-00000E230000}"/>
    <cellStyle name="Comma 5 3 4 3 2" xfId="3598" xr:uid="{00000000-0005-0000-0000-00000F230000}"/>
    <cellStyle name="Comma 5 3 4 3 2 2" xfId="10749" xr:uid="{00000000-0005-0000-0000-000010230000}"/>
    <cellStyle name="Comma 5 3 4 3 2 2 2" xfId="22295" xr:uid="{AFE6A012-50EC-46CB-86AD-421D7B4934B0}"/>
    <cellStyle name="Comma 5 3 4 3 2 2 3" xfId="32711" xr:uid="{A6DBDF95-2982-4A01-A323-66D2B448179F}"/>
    <cellStyle name="Comma 5 3 4 3 2 3" xfId="15933" xr:uid="{9FB72B74-46D4-4887-B9C0-65DA76FB85AF}"/>
    <cellStyle name="Comma 5 3 4 3 2 4" xfId="26349" xr:uid="{357B5AE2-88DF-4080-BAC7-6EE3BC3BE4C3}"/>
    <cellStyle name="Comma 5 3 4 3 3" xfId="10748" xr:uid="{00000000-0005-0000-0000-000011230000}"/>
    <cellStyle name="Comma 5 3 4 3 3 2" xfId="22294" xr:uid="{2666D58B-B1DA-46B8-93DC-6F8E1363DDF4}"/>
    <cellStyle name="Comma 5 3 4 3 3 3" xfId="32710" xr:uid="{8F71FCEA-B81B-454D-A85A-CAF4B81A744F}"/>
    <cellStyle name="Comma 5 3 4 3 4" xfId="6565" xr:uid="{00000000-0005-0000-0000-000012230000}"/>
    <cellStyle name="Comma 5 3 4 3 4 2" xfId="18151" xr:uid="{A888ABAD-AD80-41D2-90D7-FE1116C18042}"/>
    <cellStyle name="Comma 5 3 4 3 4 3" xfId="28567" xr:uid="{E72B509E-F628-44E8-BC81-645E67B7FD10}"/>
    <cellStyle name="Comma 5 3 4 3 5" xfId="15932" xr:uid="{B4D35408-94E8-43AF-A62F-9CC610F3F50D}"/>
    <cellStyle name="Comma 5 3 4 3 6" xfId="26348" xr:uid="{2E502D7F-2054-43D6-8035-FEE71A758C27}"/>
    <cellStyle name="Comma 5 3 4 4" xfId="3599" xr:uid="{00000000-0005-0000-0000-000013230000}"/>
    <cellStyle name="Comma 5 3 4 4 2" xfId="3600" xr:uid="{00000000-0005-0000-0000-000014230000}"/>
    <cellStyle name="Comma 5 3 4 4 2 2" xfId="10751" xr:uid="{00000000-0005-0000-0000-000015230000}"/>
    <cellStyle name="Comma 5 3 4 4 2 2 2" xfId="22297" xr:uid="{AE16977F-483D-4796-A988-11451A6AE024}"/>
    <cellStyle name="Comma 5 3 4 4 2 2 3" xfId="32713" xr:uid="{61FDD81A-E6FE-422F-B9E5-A7004E967006}"/>
    <cellStyle name="Comma 5 3 4 4 2 3" xfId="15935" xr:uid="{D68D76BD-EEF4-4B37-8288-E6E57E834260}"/>
    <cellStyle name="Comma 5 3 4 4 2 4" xfId="26351" xr:uid="{35ED8E69-3D3B-4844-B165-2B84952921E7}"/>
    <cellStyle name="Comma 5 3 4 4 3" xfId="10750" xr:uid="{00000000-0005-0000-0000-000016230000}"/>
    <cellStyle name="Comma 5 3 4 4 3 2" xfId="22296" xr:uid="{2EBB8CE0-6EE0-4940-818D-2170E52D2D50}"/>
    <cellStyle name="Comma 5 3 4 4 3 3" xfId="32712" xr:uid="{F455003A-E658-4CBF-AACD-19E5825F785B}"/>
    <cellStyle name="Comma 5 3 4 4 4" xfId="6566" xr:uid="{00000000-0005-0000-0000-000017230000}"/>
    <cellStyle name="Comma 5 3 4 4 4 2" xfId="18152" xr:uid="{6EE9B3B4-935A-4122-B807-1B21CCD93BE2}"/>
    <cellStyle name="Comma 5 3 4 4 4 3" xfId="28568" xr:uid="{584C6FEB-3535-4FA8-A8F7-BB7ECA7C9A03}"/>
    <cellStyle name="Comma 5 3 4 4 5" xfId="15934" xr:uid="{69751451-083A-4724-AB51-BDD7EF2949F0}"/>
    <cellStyle name="Comma 5 3 4 4 6" xfId="26350" xr:uid="{9748AD4A-E752-4E0F-8C80-9AFAB3422531}"/>
    <cellStyle name="Comma 5 3 4 5" xfId="3601" xr:uid="{00000000-0005-0000-0000-000018230000}"/>
    <cellStyle name="Comma 5 3 4 5 2" xfId="10752" xr:uid="{00000000-0005-0000-0000-000019230000}"/>
    <cellStyle name="Comma 5 3 4 5 2 2" xfId="22298" xr:uid="{68C6BEC5-F566-4D9F-9819-607AD1391A51}"/>
    <cellStyle name="Comma 5 3 4 5 2 3" xfId="32714" xr:uid="{87746778-EC64-4C67-A031-36018A9C0542}"/>
    <cellStyle name="Comma 5 3 4 5 3" xfId="15936" xr:uid="{45011E77-7C2E-41A5-8FBF-EC39754FD1FA}"/>
    <cellStyle name="Comma 5 3 4 5 4" xfId="26352" xr:uid="{7C9733AC-6F03-4238-981E-7A66B1DDFA9A}"/>
    <cellStyle name="Comma 5 3 4 6" xfId="10743" xr:uid="{00000000-0005-0000-0000-00001A230000}"/>
    <cellStyle name="Comma 5 3 4 6 2" xfId="22289" xr:uid="{27BFE7FB-7059-487F-8D61-0001A69ED6D2}"/>
    <cellStyle name="Comma 5 3 4 6 3" xfId="32705" xr:uid="{3A7B0285-A614-4F24-AF33-FCF3945AC07F}"/>
    <cellStyle name="Comma 5 3 4 7" xfId="6562" xr:uid="{00000000-0005-0000-0000-00001B230000}"/>
    <cellStyle name="Comma 5 3 4 7 2" xfId="18148" xr:uid="{9168BAF2-464F-49E8-B9CA-0FAC293A4E9D}"/>
    <cellStyle name="Comma 5 3 4 7 3" xfId="28564" xr:uid="{0C5C0EBE-2FDD-4DEC-8C19-D2BAFF5178B6}"/>
    <cellStyle name="Comma 5 3 4 8" xfId="15927" xr:uid="{4226A83C-677B-44B5-ABFD-A0C306105CB2}"/>
    <cellStyle name="Comma 5 3 4 9" xfId="26343" xr:uid="{764EA049-E7ED-458B-8C4F-A8ECD292FAF7}"/>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2 2 2" xfId="22302" xr:uid="{2BB1BD16-A187-4947-94D1-737EE5B01C15}"/>
    <cellStyle name="Comma 5 3 5 2 2 2 2 3" xfId="32718" xr:uid="{410C2046-C88D-48F1-B24C-A495682B8C8B}"/>
    <cellStyle name="Comma 5 3 5 2 2 2 3" xfId="15940" xr:uid="{BB636D34-503E-4836-9BE8-8835F2D84F05}"/>
    <cellStyle name="Comma 5 3 5 2 2 2 4" xfId="26356" xr:uid="{1578A371-A1AF-4C13-81EB-496AEEF696FB}"/>
    <cellStyle name="Comma 5 3 5 2 2 3" xfId="10755" xr:uid="{00000000-0005-0000-0000-000021230000}"/>
    <cellStyle name="Comma 5 3 5 2 2 3 2" xfId="22301" xr:uid="{85AA373B-2E02-491C-A23B-77FCAE0BE6DC}"/>
    <cellStyle name="Comma 5 3 5 2 2 3 3" xfId="32717" xr:uid="{AF1C11AE-72B0-4EE4-BEC6-608F08E649FA}"/>
    <cellStyle name="Comma 5 3 5 2 2 4" xfId="6569" xr:uid="{00000000-0005-0000-0000-000022230000}"/>
    <cellStyle name="Comma 5 3 5 2 2 4 2" xfId="18155" xr:uid="{3499DEF5-BB32-4BFD-99B4-AE902BA04A5E}"/>
    <cellStyle name="Comma 5 3 5 2 2 4 3" xfId="28571" xr:uid="{9B2BAF0D-F250-444F-9CA8-A70F43F03D94}"/>
    <cellStyle name="Comma 5 3 5 2 2 5" xfId="15939" xr:uid="{1A1930AD-6DD9-4375-B17A-F8CC2A5C082D}"/>
    <cellStyle name="Comma 5 3 5 2 2 6" xfId="26355" xr:uid="{E6114CE7-B68A-4CE0-84F8-835003359AF4}"/>
    <cellStyle name="Comma 5 3 5 2 3" xfId="3606" xr:uid="{00000000-0005-0000-0000-000023230000}"/>
    <cellStyle name="Comma 5 3 5 2 3 2" xfId="10757" xr:uid="{00000000-0005-0000-0000-000024230000}"/>
    <cellStyle name="Comma 5 3 5 2 3 2 2" xfId="22303" xr:uid="{888963A0-031F-4B83-8A64-DDE84A3E5A73}"/>
    <cellStyle name="Comma 5 3 5 2 3 2 3" xfId="32719" xr:uid="{C2B700FE-0BC1-408C-84A9-D92C0AA99998}"/>
    <cellStyle name="Comma 5 3 5 2 3 3" xfId="15941" xr:uid="{B6E465D9-146A-41DE-9B00-EACF78B49025}"/>
    <cellStyle name="Comma 5 3 5 2 3 4" xfId="26357" xr:uid="{88ED6F61-9261-4E9A-A0C3-437A74EC64CF}"/>
    <cellStyle name="Comma 5 3 5 2 4" xfId="10754" xr:uid="{00000000-0005-0000-0000-000025230000}"/>
    <cellStyle name="Comma 5 3 5 2 4 2" xfId="22300" xr:uid="{0ABA2F1A-71E3-41BE-9029-D44AEB716262}"/>
    <cellStyle name="Comma 5 3 5 2 4 3" xfId="32716" xr:uid="{31F44893-353A-4631-B472-73C9DE5B4F9D}"/>
    <cellStyle name="Comma 5 3 5 2 5" xfId="6568" xr:uid="{00000000-0005-0000-0000-000026230000}"/>
    <cellStyle name="Comma 5 3 5 2 5 2" xfId="18154" xr:uid="{66AB859E-0D94-4699-95A7-B780F646EED3}"/>
    <cellStyle name="Comma 5 3 5 2 5 3" xfId="28570" xr:uid="{138AF827-FAB4-4687-8AD0-1C6DAB004039}"/>
    <cellStyle name="Comma 5 3 5 2 6" xfId="15938" xr:uid="{88347924-1B1D-4029-9E3D-7FC1C6AC3C30}"/>
    <cellStyle name="Comma 5 3 5 2 7" xfId="26354" xr:uid="{22BDD8CA-69E9-4E47-97E7-5505693E55B6}"/>
    <cellStyle name="Comma 5 3 5 3" xfId="3607" xr:uid="{00000000-0005-0000-0000-000027230000}"/>
    <cellStyle name="Comma 5 3 5 3 2" xfId="3608" xr:uid="{00000000-0005-0000-0000-000028230000}"/>
    <cellStyle name="Comma 5 3 5 3 2 2" xfId="10759" xr:uid="{00000000-0005-0000-0000-000029230000}"/>
    <cellStyle name="Comma 5 3 5 3 2 2 2" xfId="22305" xr:uid="{EDCAD4F6-8254-465B-BE42-9B67081F8BF0}"/>
    <cellStyle name="Comma 5 3 5 3 2 2 3" xfId="32721" xr:uid="{0ECCCBBF-1495-40E1-9E09-F65849FFBA84}"/>
    <cellStyle name="Comma 5 3 5 3 2 3" xfId="15943" xr:uid="{10C895E4-1CE4-4296-B7AA-51431B4FBD11}"/>
    <cellStyle name="Comma 5 3 5 3 2 4" xfId="26359" xr:uid="{D7389AFD-C1C8-4294-B356-CC6AFA97CDA1}"/>
    <cellStyle name="Comma 5 3 5 3 3" xfId="10758" xr:uid="{00000000-0005-0000-0000-00002A230000}"/>
    <cellStyle name="Comma 5 3 5 3 3 2" xfId="22304" xr:uid="{BBC9E450-11EB-4A75-A93E-A61E009DC10F}"/>
    <cellStyle name="Comma 5 3 5 3 3 3" xfId="32720" xr:uid="{585757B0-48F5-443A-94B5-44B64F597574}"/>
    <cellStyle name="Comma 5 3 5 3 4" xfId="6570" xr:uid="{00000000-0005-0000-0000-00002B230000}"/>
    <cellStyle name="Comma 5 3 5 3 4 2" xfId="18156" xr:uid="{E2195ECD-2AA2-4DA5-8357-DEACC4388E44}"/>
    <cellStyle name="Comma 5 3 5 3 4 3" xfId="28572" xr:uid="{CDF0F392-3A69-4999-8EB2-D6455006D57A}"/>
    <cellStyle name="Comma 5 3 5 3 5" xfId="15942" xr:uid="{27F6529D-117B-4C43-8FA8-ECE4D78EEFD6}"/>
    <cellStyle name="Comma 5 3 5 3 6" xfId="26358" xr:uid="{AC0EF7E3-4AC2-45FE-AD6B-5D3D2F520F14}"/>
    <cellStyle name="Comma 5 3 5 4" xfId="3609" xr:uid="{00000000-0005-0000-0000-00002C230000}"/>
    <cellStyle name="Comma 5 3 5 4 2" xfId="3610" xr:uid="{00000000-0005-0000-0000-00002D230000}"/>
    <cellStyle name="Comma 5 3 5 4 2 2" xfId="10761" xr:uid="{00000000-0005-0000-0000-00002E230000}"/>
    <cellStyle name="Comma 5 3 5 4 2 2 2" xfId="22307" xr:uid="{31BDB1B7-9E1F-4EF4-88E8-337AA14CA238}"/>
    <cellStyle name="Comma 5 3 5 4 2 2 3" xfId="32723" xr:uid="{ED3698AA-FB16-409F-B9B8-65E3C41ACD12}"/>
    <cellStyle name="Comma 5 3 5 4 2 3" xfId="15945" xr:uid="{54893B53-BB4E-4111-A0B4-20D6A2583B46}"/>
    <cellStyle name="Comma 5 3 5 4 2 4" xfId="26361" xr:uid="{DAC9375C-0E64-40F1-A209-CB437CE45CC6}"/>
    <cellStyle name="Comma 5 3 5 4 3" xfId="10760" xr:uid="{00000000-0005-0000-0000-00002F230000}"/>
    <cellStyle name="Comma 5 3 5 4 3 2" xfId="22306" xr:uid="{A81810F5-9E2F-4FA0-A11A-28EA166F1D0C}"/>
    <cellStyle name="Comma 5 3 5 4 3 3" xfId="32722" xr:uid="{20E5529C-64B3-4E20-B7FF-D426610BD4EF}"/>
    <cellStyle name="Comma 5 3 5 4 4" xfId="6571" xr:uid="{00000000-0005-0000-0000-000030230000}"/>
    <cellStyle name="Comma 5 3 5 4 4 2" xfId="18157" xr:uid="{1D367ABA-E5AE-4692-B78D-6486781F9FA1}"/>
    <cellStyle name="Comma 5 3 5 4 4 3" xfId="28573" xr:uid="{7D032F02-9E19-4E48-B746-CE16E34AC3CF}"/>
    <cellStyle name="Comma 5 3 5 4 5" xfId="15944" xr:uid="{8AADA891-C82E-445D-B191-3CF5179A6E20}"/>
    <cellStyle name="Comma 5 3 5 4 6" xfId="26360" xr:uid="{C9E7C0CA-5D9F-4280-A10D-40EE21E69F55}"/>
    <cellStyle name="Comma 5 3 5 5" xfId="3611" xr:uid="{00000000-0005-0000-0000-000031230000}"/>
    <cellStyle name="Comma 5 3 5 5 2" xfId="10762" xr:uid="{00000000-0005-0000-0000-000032230000}"/>
    <cellStyle name="Comma 5 3 5 5 2 2" xfId="22308" xr:uid="{402D080C-0314-4541-B874-3709F4F7CCA8}"/>
    <cellStyle name="Comma 5 3 5 5 2 3" xfId="32724" xr:uid="{3C2812D7-1BB1-4D8A-BCE4-7E42E532C617}"/>
    <cellStyle name="Comma 5 3 5 5 3" xfId="15946" xr:uid="{18FB26EB-733A-41BC-A5B6-558453EDD023}"/>
    <cellStyle name="Comma 5 3 5 5 4" xfId="26362" xr:uid="{CA9472BD-6C5E-4192-B44D-5CE54D04E9C5}"/>
    <cellStyle name="Comma 5 3 5 6" xfId="10753" xr:uid="{00000000-0005-0000-0000-000033230000}"/>
    <cellStyle name="Comma 5 3 5 6 2" xfId="22299" xr:uid="{31056C0B-334D-46C1-9326-27CC3F3D1BC7}"/>
    <cellStyle name="Comma 5 3 5 6 3" xfId="32715" xr:uid="{B424AD69-642F-4654-97DA-37B2C8EE5E97}"/>
    <cellStyle name="Comma 5 3 5 7" xfId="6567" xr:uid="{00000000-0005-0000-0000-000034230000}"/>
    <cellStyle name="Comma 5 3 5 7 2" xfId="18153" xr:uid="{464F7B82-08FC-48FE-A203-62541A001529}"/>
    <cellStyle name="Comma 5 3 5 7 3" xfId="28569" xr:uid="{9E1762F1-60B4-4E41-B77E-48A9DC57F9C8}"/>
    <cellStyle name="Comma 5 3 5 8" xfId="15937" xr:uid="{1563A95F-7B5A-4A48-BC65-A17C86B1AA28}"/>
    <cellStyle name="Comma 5 3 5 9" xfId="26353" xr:uid="{E157CBC4-9039-4423-B4CD-52DBE2B371E9}"/>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2 2 2" xfId="22312" xr:uid="{66713ADF-6F1F-4832-AC4C-A8E59C90F7E9}"/>
    <cellStyle name="Comma 5 3 6 2 2 2 2 3" xfId="32728" xr:uid="{76ABB05A-A4A6-472F-A679-A11D3BA20017}"/>
    <cellStyle name="Comma 5 3 6 2 2 2 3" xfId="15950" xr:uid="{3712C2F0-0FC2-4A28-8557-F83BBBFF7B72}"/>
    <cellStyle name="Comma 5 3 6 2 2 2 4" xfId="26366" xr:uid="{3572AA98-8D96-4235-AE5C-019E30D1E955}"/>
    <cellStyle name="Comma 5 3 6 2 2 3" xfId="10765" xr:uid="{00000000-0005-0000-0000-00003A230000}"/>
    <cellStyle name="Comma 5 3 6 2 2 3 2" xfId="22311" xr:uid="{7201A3D9-61A1-4597-9FB9-1BA0FC6031A1}"/>
    <cellStyle name="Comma 5 3 6 2 2 3 3" xfId="32727" xr:uid="{C0211E2A-2C5A-470D-BB01-B415FC6ACEB2}"/>
    <cellStyle name="Comma 5 3 6 2 2 4" xfId="6574" xr:uid="{00000000-0005-0000-0000-00003B230000}"/>
    <cellStyle name="Comma 5 3 6 2 2 4 2" xfId="18160" xr:uid="{58DFA1B4-FC7E-4331-9C1B-699FC1AC0056}"/>
    <cellStyle name="Comma 5 3 6 2 2 4 3" xfId="28576" xr:uid="{E70BBE02-04FE-4221-AF14-12C55B065788}"/>
    <cellStyle name="Comma 5 3 6 2 2 5" xfId="15949" xr:uid="{3C6CEFD5-C00A-4B53-B577-766AD51A20DE}"/>
    <cellStyle name="Comma 5 3 6 2 2 6" xfId="26365" xr:uid="{107B58BC-6443-40FA-9BAC-C4A3A1CD3DA2}"/>
    <cellStyle name="Comma 5 3 6 2 3" xfId="3616" xr:uid="{00000000-0005-0000-0000-00003C230000}"/>
    <cellStyle name="Comma 5 3 6 2 3 2" xfId="10767" xr:uid="{00000000-0005-0000-0000-00003D230000}"/>
    <cellStyle name="Comma 5 3 6 2 3 2 2" xfId="22313" xr:uid="{1BB8790F-8CE9-4D3E-A793-6E3DFCE74948}"/>
    <cellStyle name="Comma 5 3 6 2 3 2 3" xfId="32729" xr:uid="{DEBBF6BF-CB70-4603-92AF-AA416509F4F4}"/>
    <cellStyle name="Comma 5 3 6 2 3 3" xfId="15951" xr:uid="{8FB01FC4-16A9-42C7-8438-6F48EBAE5432}"/>
    <cellStyle name="Comma 5 3 6 2 3 4" xfId="26367" xr:uid="{02CF246C-5943-41AE-BE7D-D34F4B3C5DC3}"/>
    <cellStyle name="Comma 5 3 6 2 4" xfId="10764" xr:uid="{00000000-0005-0000-0000-00003E230000}"/>
    <cellStyle name="Comma 5 3 6 2 4 2" xfId="22310" xr:uid="{A0E6922F-8A57-496B-A931-542845FDAF05}"/>
    <cellStyle name="Comma 5 3 6 2 4 3" xfId="32726" xr:uid="{8C7BBB59-23D9-4D9D-BEB5-7BF6E9DB49CD}"/>
    <cellStyle name="Comma 5 3 6 2 5" xfId="6573" xr:uid="{00000000-0005-0000-0000-00003F230000}"/>
    <cellStyle name="Comma 5 3 6 2 5 2" xfId="18159" xr:uid="{B4B47872-6264-4EA1-A8EC-6133FC88BAD9}"/>
    <cellStyle name="Comma 5 3 6 2 5 3" xfId="28575" xr:uid="{E34C54CA-7E70-4CB5-80C1-90AD73242733}"/>
    <cellStyle name="Comma 5 3 6 2 6" xfId="15948" xr:uid="{309F11B7-9765-4809-8991-4E2277615101}"/>
    <cellStyle name="Comma 5 3 6 2 7" xfId="26364" xr:uid="{CE5709EE-F2CA-40FC-BA8D-D89D3690FCBE}"/>
    <cellStyle name="Comma 5 3 6 3" xfId="3617" xr:uid="{00000000-0005-0000-0000-000040230000}"/>
    <cellStyle name="Comma 5 3 6 3 2" xfId="3618" xr:uid="{00000000-0005-0000-0000-000041230000}"/>
    <cellStyle name="Comma 5 3 6 3 2 2" xfId="10769" xr:uid="{00000000-0005-0000-0000-000042230000}"/>
    <cellStyle name="Comma 5 3 6 3 2 2 2" xfId="22315" xr:uid="{5CDCBD5E-684B-4D1D-9D38-BE68F2994E18}"/>
    <cellStyle name="Comma 5 3 6 3 2 2 3" xfId="32731" xr:uid="{2CED2BC6-713C-44B3-B8D4-DBC125968E99}"/>
    <cellStyle name="Comma 5 3 6 3 2 3" xfId="15953" xr:uid="{4B8D4FFA-26A7-4DDA-9657-E20A0B05AC1C}"/>
    <cellStyle name="Comma 5 3 6 3 2 4" xfId="26369" xr:uid="{F879CAA3-64D9-45AE-B271-93C06A01D5DA}"/>
    <cellStyle name="Comma 5 3 6 3 3" xfId="10768" xr:uid="{00000000-0005-0000-0000-000043230000}"/>
    <cellStyle name="Comma 5 3 6 3 3 2" xfId="22314" xr:uid="{8EA003DA-CE30-4B74-A15A-C1D04D7B56BB}"/>
    <cellStyle name="Comma 5 3 6 3 3 3" xfId="32730" xr:uid="{3DC316FB-DC66-4FF2-8422-9EB61784273F}"/>
    <cellStyle name="Comma 5 3 6 3 4" xfId="6575" xr:uid="{00000000-0005-0000-0000-000044230000}"/>
    <cellStyle name="Comma 5 3 6 3 4 2" xfId="18161" xr:uid="{38433D0B-D4C1-4B75-BA51-E572895483BA}"/>
    <cellStyle name="Comma 5 3 6 3 4 3" xfId="28577" xr:uid="{369EAD0C-2870-42E7-99B0-CD7C790D483D}"/>
    <cellStyle name="Comma 5 3 6 3 5" xfId="15952" xr:uid="{19C54E35-0496-4223-A438-DA9935103362}"/>
    <cellStyle name="Comma 5 3 6 3 6" xfId="26368" xr:uid="{48C64072-31D7-46E0-BA5D-26EDC7F1C850}"/>
    <cellStyle name="Comma 5 3 6 4" xfId="3619" xr:uid="{00000000-0005-0000-0000-000045230000}"/>
    <cellStyle name="Comma 5 3 6 4 2" xfId="3620" xr:uid="{00000000-0005-0000-0000-000046230000}"/>
    <cellStyle name="Comma 5 3 6 4 2 2" xfId="10771" xr:uid="{00000000-0005-0000-0000-000047230000}"/>
    <cellStyle name="Comma 5 3 6 4 2 2 2" xfId="22317" xr:uid="{D6ADD614-E9A2-40C6-92BB-1F827367DBA2}"/>
    <cellStyle name="Comma 5 3 6 4 2 2 3" xfId="32733" xr:uid="{7FC0B6C9-67C0-46AE-8833-7B43CA9D5B77}"/>
    <cellStyle name="Comma 5 3 6 4 2 3" xfId="15955" xr:uid="{5145760D-3A2B-4E37-8005-BB284B08DDAF}"/>
    <cellStyle name="Comma 5 3 6 4 2 4" xfId="26371" xr:uid="{9F966DE3-58DF-4497-A733-4D64DFAEC89A}"/>
    <cellStyle name="Comma 5 3 6 4 3" xfId="10770" xr:uid="{00000000-0005-0000-0000-000048230000}"/>
    <cellStyle name="Comma 5 3 6 4 3 2" xfId="22316" xr:uid="{1DC34038-AC09-4ACA-A212-88E812FCAED4}"/>
    <cellStyle name="Comma 5 3 6 4 3 3" xfId="32732" xr:uid="{F663641D-FA06-4B8A-AFC7-15A3931C9D50}"/>
    <cellStyle name="Comma 5 3 6 4 4" xfId="6576" xr:uid="{00000000-0005-0000-0000-000049230000}"/>
    <cellStyle name="Comma 5 3 6 4 4 2" xfId="18162" xr:uid="{5D629EAE-ED08-4DFE-A647-C2BDB0A3E0B2}"/>
    <cellStyle name="Comma 5 3 6 4 4 3" xfId="28578" xr:uid="{0767CF32-D61E-41D4-B7A1-A3B4E446E078}"/>
    <cellStyle name="Comma 5 3 6 4 5" xfId="15954" xr:uid="{C4B15082-3F5B-46C3-8529-B02654FD2DD8}"/>
    <cellStyle name="Comma 5 3 6 4 6" xfId="26370" xr:uid="{368B3B1B-C8AD-49C9-955D-2F4B4BBAE1EC}"/>
    <cellStyle name="Comma 5 3 6 5" xfId="3621" xr:uid="{00000000-0005-0000-0000-00004A230000}"/>
    <cellStyle name="Comma 5 3 6 5 2" xfId="10772" xr:uid="{00000000-0005-0000-0000-00004B230000}"/>
    <cellStyle name="Comma 5 3 6 5 2 2" xfId="22318" xr:uid="{C4446EC4-19DC-4931-9F5B-D0DC075FE596}"/>
    <cellStyle name="Comma 5 3 6 5 2 3" xfId="32734" xr:uid="{DA28F5A2-2FA2-48DB-8C97-AC1BB0499929}"/>
    <cellStyle name="Comma 5 3 6 5 3" xfId="15956" xr:uid="{BAC09EC5-D25F-499F-92A0-63307F698AB7}"/>
    <cellStyle name="Comma 5 3 6 5 4" xfId="26372" xr:uid="{FB30CA46-1B1E-4CED-84E0-289ADD77BFA8}"/>
    <cellStyle name="Comma 5 3 6 6" xfId="10763" xr:uid="{00000000-0005-0000-0000-00004C230000}"/>
    <cellStyle name="Comma 5 3 6 6 2" xfId="22309" xr:uid="{D3966DCA-DB56-450D-8F96-6E832C31C380}"/>
    <cellStyle name="Comma 5 3 6 6 3" xfId="32725" xr:uid="{CD751208-7700-488E-91BA-212F5ED7C2A3}"/>
    <cellStyle name="Comma 5 3 6 7" xfId="6572" xr:uid="{00000000-0005-0000-0000-00004D230000}"/>
    <cellStyle name="Comma 5 3 6 7 2" xfId="18158" xr:uid="{DDB6DAFD-BE79-4358-83DB-59A468EF4D6F}"/>
    <cellStyle name="Comma 5 3 6 7 3" xfId="28574" xr:uid="{0654F6BC-C439-4DBF-868B-D02365EF2180}"/>
    <cellStyle name="Comma 5 3 6 8" xfId="15947" xr:uid="{63AC1DD4-8A5C-4CD8-8F65-D4C56661BF5B}"/>
    <cellStyle name="Comma 5 3 6 9" xfId="26363" xr:uid="{01EDF44C-DD19-4AEC-9176-C8C77FB10D3C}"/>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2 2 2" xfId="22321" xr:uid="{75A975CB-0E7C-467D-9A4F-ABDC87471732}"/>
    <cellStyle name="Comma 5 3 7 2 2 2 3" xfId="32737" xr:uid="{554EF3D0-0355-4BD2-9D90-99E30066C5B1}"/>
    <cellStyle name="Comma 5 3 7 2 2 3" xfId="15959" xr:uid="{1C7016A7-7143-4516-9C45-2AF8FAA2C2E7}"/>
    <cellStyle name="Comma 5 3 7 2 2 4" xfId="26375" xr:uid="{FF9F1016-DC92-4CF4-A2DD-CF05369313A0}"/>
    <cellStyle name="Comma 5 3 7 2 3" xfId="10774" xr:uid="{00000000-0005-0000-0000-000052230000}"/>
    <cellStyle name="Comma 5 3 7 2 3 2" xfId="22320" xr:uid="{C00A0AF9-A269-4845-8754-EBA58245412A}"/>
    <cellStyle name="Comma 5 3 7 2 3 3" xfId="32736" xr:uid="{BE1E393C-7ABA-46DD-B208-E1906B66CCC7}"/>
    <cellStyle name="Comma 5 3 7 2 4" xfId="6578" xr:uid="{00000000-0005-0000-0000-000053230000}"/>
    <cellStyle name="Comma 5 3 7 2 4 2" xfId="18164" xr:uid="{16AE4BE8-BA7D-4B8A-AA30-686969E34DE7}"/>
    <cellStyle name="Comma 5 3 7 2 4 3" xfId="28580" xr:uid="{91727E0E-2C49-46AF-9363-29F95BA4F4CA}"/>
    <cellStyle name="Comma 5 3 7 2 5" xfId="15958" xr:uid="{B9FA096E-E89B-4E6B-8C51-D676D9A776AA}"/>
    <cellStyle name="Comma 5 3 7 2 6" xfId="26374" xr:uid="{D5F6330A-B0BF-4E74-AC41-D578E56D4099}"/>
    <cellStyle name="Comma 5 3 7 3" xfId="3625" xr:uid="{00000000-0005-0000-0000-000054230000}"/>
    <cellStyle name="Comma 5 3 7 3 2" xfId="3626" xr:uid="{00000000-0005-0000-0000-000055230000}"/>
    <cellStyle name="Comma 5 3 7 3 2 2" xfId="10777" xr:uid="{00000000-0005-0000-0000-000056230000}"/>
    <cellStyle name="Comma 5 3 7 3 2 2 2" xfId="22323" xr:uid="{F8BDB898-8CDA-4DE0-986D-2C1977487B3B}"/>
    <cellStyle name="Comma 5 3 7 3 2 2 3" xfId="32739" xr:uid="{DF3945DE-2CAA-4496-BF85-E7BBA454BDE6}"/>
    <cellStyle name="Comma 5 3 7 3 2 3" xfId="15961" xr:uid="{DBDC1BB7-A656-4F8E-92A8-5ABA53D46E76}"/>
    <cellStyle name="Comma 5 3 7 3 2 4" xfId="26377" xr:uid="{388759D4-D22C-4740-B44D-E63A38143A41}"/>
    <cellStyle name="Comma 5 3 7 3 3" xfId="10776" xr:uid="{00000000-0005-0000-0000-000057230000}"/>
    <cellStyle name="Comma 5 3 7 3 3 2" xfId="22322" xr:uid="{7F09930E-0417-4CEC-9DBE-D7D9CA73E0DF}"/>
    <cellStyle name="Comma 5 3 7 3 3 3" xfId="32738" xr:uid="{4313FA40-1844-449C-BFCC-8DBC6534496D}"/>
    <cellStyle name="Comma 5 3 7 3 4" xfId="6579" xr:uid="{00000000-0005-0000-0000-000058230000}"/>
    <cellStyle name="Comma 5 3 7 3 4 2" xfId="18165" xr:uid="{2C649F06-934D-4D50-ACE1-1F26BFB01EF3}"/>
    <cellStyle name="Comma 5 3 7 3 4 3" xfId="28581" xr:uid="{8D9F7C06-8FAB-4CB4-BAC3-8F394B45D0BF}"/>
    <cellStyle name="Comma 5 3 7 3 5" xfId="15960" xr:uid="{E475690B-893A-4FC6-B888-2621214A47D9}"/>
    <cellStyle name="Comma 5 3 7 3 6" xfId="26376" xr:uid="{27C86749-3A45-4FE3-BA74-52E7B62D1A17}"/>
    <cellStyle name="Comma 5 3 7 4" xfId="3627" xr:uid="{00000000-0005-0000-0000-000059230000}"/>
    <cellStyle name="Comma 5 3 7 4 2" xfId="10778" xr:uid="{00000000-0005-0000-0000-00005A230000}"/>
    <cellStyle name="Comma 5 3 7 4 2 2" xfId="22324" xr:uid="{617F8DB7-6E00-482C-9EC0-57C2FA80D9F5}"/>
    <cellStyle name="Comma 5 3 7 4 2 3" xfId="32740" xr:uid="{0EBB960E-6A65-497F-90D1-9C76A64C683A}"/>
    <cellStyle name="Comma 5 3 7 4 3" xfId="15962" xr:uid="{DB003F2F-E408-4D19-AAC3-39933047FB12}"/>
    <cellStyle name="Comma 5 3 7 4 4" xfId="26378" xr:uid="{D0B447AD-5862-48FB-8120-2C12B0BCAE69}"/>
    <cellStyle name="Comma 5 3 7 5" xfId="10773" xr:uid="{00000000-0005-0000-0000-00005B230000}"/>
    <cellStyle name="Comma 5 3 7 5 2" xfId="22319" xr:uid="{1207954A-825C-4F91-AAF5-C51F2EE39219}"/>
    <cellStyle name="Comma 5 3 7 5 3" xfId="32735" xr:uid="{8ED4B718-7BDC-4D62-BF31-1B3BEDF1B49D}"/>
    <cellStyle name="Comma 5 3 7 6" xfId="6577" xr:uid="{00000000-0005-0000-0000-00005C230000}"/>
    <cellStyle name="Comma 5 3 7 6 2" xfId="18163" xr:uid="{8D807207-E05F-4EF8-A2AF-982FD606BC3E}"/>
    <cellStyle name="Comma 5 3 7 6 3" xfId="28579" xr:uid="{5F508C3D-BBFE-45F4-9865-4D8A896C6BBC}"/>
    <cellStyle name="Comma 5 3 7 7" xfId="15957" xr:uid="{3EDA46BE-BBDC-4234-B5AA-D95C7FAB7B5C}"/>
    <cellStyle name="Comma 5 3 7 8" xfId="26373" xr:uid="{2BDFC64B-BDBB-4023-9751-5A5B47A42B5F}"/>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2 2 2" xfId="22327" xr:uid="{C140BC66-D0D0-49BB-AD8A-BD53EEE6C210}"/>
    <cellStyle name="Comma 5 3 8 2 2 2 3" xfId="32743" xr:uid="{DD27099B-037E-4279-B688-EBE2388D6E25}"/>
    <cellStyle name="Comma 5 3 8 2 2 3" xfId="15965" xr:uid="{215C52F9-7531-47EB-8057-DFA246A7ECFD}"/>
    <cellStyle name="Comma 5 3 8 2 2 4" xfId="26381" xr:uid="{76CA5846-22BD-43F5-A685-719909C8CA4E}"/>
    <cellStyle name="Comma 5 3 8 2 3" xfId="10780" xr:uid="{00000000-0005-0000-0000-000061230000}"/>
    <cellStyle name="Comma 5 3 8 2 3 2" xfId="22326" xr:uid="{FE84C326-7BEF-46B9-A522-87B4595E58C9}"/>
    <cellStyle name="Comma 5 3 8 2 3 3" xfId="32742" xr:uid="{664FD66D-2447-4203-9F97-222EC5BDA51E}"/>
    <cellStyle name="Comma 5 3 8 2 4" xfId="6581" xr:uid="{00000000-0005-0000-0000-000062230000}"/>
    <cellStyle name="Comma 5 3 8 2 4 2" xfId="18167" xr:uid="{EA98A03A-6E27-4B40-AAF0-183288D6AA3B}"/>
    <cellStyle name="Comma 5 3 8 2 4 3" xfId="28583" xr:uid="{C7A5AE73-89DD-470D-AFBA-AAB4C2D5BF58}"/>
    <cellStyle name="Comma 5 3 8 2 5" xfId="15964" xr:uid="{212EC58F-B1D5-40AE-8853-F241876954A3}"/>
    <cellStyle name="Comma 5 3 8 2 6" xfId="26380" xr:uid="{8EA478E6-427B-432B-8F0A-9F3C372A390D}"/>
    <cellStyle name="Comma 5 3 8 3" xfId="3631" xr:uid="{00000000-0005-0000-0000-000063230000}"/>
    <cellStyle name="Comma 5 3 8 3 2" xfId="10782" xr:uid="{00000000-0005-0000-0000-000064230000}"/>
    <cellStyle name="Comma 5 3 8 3 2 2" xfId="22328" xr:uid="{1583F8AF-CACB-45CD-8BC8-0755D54450F1}"/>
    <cellStyle name="Comma 5 3 8 3 2 3" xfId="32744" xr:uid="{54DFEEDE-6B01-450B-A24D-05CBD9009568}"/>
    <cellStyle name="Comma 5 3 8 3 3" xfId="15966" xr:uid="{363B27D9-EFAF-48C1-AA3B-5782676F29AD}"/>
    <cellStyle name="Comma 5 3 8 3 4" xfId="26382" xr:uid="{F4D17B7A-A142-4A3A-B914-894A13465CE1}"/>
    <cellStyle name="Comma 5 3 8 4" xfId="10779" xr:uid="{00000000-0005-0000-0000-000065230000}"/>
    <cellStyle name="Comma 5 3 8 4 2" xfId="22325" xr:uid="{5EFF270A-4CBE-4A7C-A99C-F1A73E1DB990}"/>
    <cellStyle name="Comma 5 3 8 4 3" xfId="32741" xr:uid="{183660D4-7115-488F-B6BC-D2427A0D7C92}"/>
    <cellStyle name="Comma 5 3 8 5" xfId="6580" xr:uid="{00000000-0005-0000-0000-000066230000}"/>
    <cellStyle name="Comma 5 3 8 5 2" xfId="18166" xr:uid="{6C45F0F5-B453-4C78-9FE2-E4E38A31F343}"/>
    <cellStyle name="Comma 5 3 8 5 3" xfId="28582" xr:uid="{3F07B8F5-540A-474D-AF07-1DE4C276B690}"/>
    <cellStyle name="Comma 5 3 8 6" xfId="15963" xr:uid="{D2DEC932-82BA-4959-BC3E-FEC38F70679A}"/>
    <cellStyle name="Comma 5 3 8 7" xfId="26379" xr:uid="{9C932F66-8ACB-4949-9B64-0C11A28E938B}"/>
    <cellStyle name="Comma 5 3 9" xfId="3632" xr:uid="{00000000-0005-0000-0000-000067230000}"/>
    <cellStyle name="Comma 5 3 9 2" xfId="3633" xr:uid="{00000000-0005-0000-0000-000068230000}"/>
    <cellStyle name="Comma 5 3 9 2 2" xfId="10784" xr:uid="{00000000-0005-0000-0000-000069230000}"/>
    <cellStyle name="Comma 5 3 9 2 2 2" xfId="22330" xr:uid="{4D174DFE-8421-42F4-9BA0-7A71D0D5600E}"/>
    <cellStyle name="Comma 5 3 9 2 2 3" xfId="32746" xr:uid="{81A96542-56E0-4CDA-A6B9-D0DB28EA3F4B}"/>
    <cellStyle name="Comma 5 3 9 2 3" xfId="15968" xr:uid="{CC48946F-B137-4153-AFDF-79F6CFED9F7F}"/>
    <cellStyle name="Comma 5 3 9 2 4" xfId="26384" xr:uid="{1CD5FB86-4908-45F2-A6BD-136C60228D13}"/>
    <cellStyle name="Comma 5 3 9 3" xfId="10783" xr:uid="{00000000-0005-0000-0000-00006A230000}"/>
    <cellStyle name="Comma 5 3 9 3 2" xfId="22329" xr:uid="{8A18477E-513C-4BAF-94A1-FBEF9C8C03FF}"/>
    <cellStyle name="Comma 5 3 9 3 3" xfId="32745" xr:uid="{BDDA60E8-809D-4FB8-845F-465563F082BB}"/>
    <cellStyle name="Comma 5 3 9 4" xfId="6582" xr:uid="{00000000-0005-0000-0000-00006B230000}"/>
    <cellStyle name="Comma 5 3 9 4 2" xfId="18168" xr:uid="{C89EA033-9ADB-4086-9E23-7FAE5E6ECA2C}"/>
    <cellStyle name="Comma 5 3 9 4 3" xfId="28584" xr:uid="{9B5FC2A5-74E0-4281-9A89-8DB66B91EB6C}"/>
    <cellStyle name="Comma 5 3 9 5" xfId="15967" xr:uid="{B74BE955-4F12-4074-8381-043BD708CD69}"/>
    <cellStyle name="Comma 5 3 9 6" xfId="26383" xr:uid="{0BAF00A9-BF8C-4450-966F-06C7B6269144}"/>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2 2 2" xfId="22333" xr:uid="{CF6B548E-EC5C-494A-B051-6AECF5488687}"/>
    <cellStyle name="Comma 5 4 10 2 2 3" xfId="32749" xr:uid="{5FA5BBEB-E8A9-4F43-9C01-3FB7A8826440}"/>
    <cellStyle name="Comma 5 4 10 2 3" xfId="15971" xr:uid="{EF92EB4E-DA14-4213-B560-AFA5F49FDE7A}"/>
    <cellStyle name="Comma 5 4 10 2 4" xfId="26387" xr:uid="{AAA875CF-EA0D-4E9A-AF3A-67E44CB3C2C1}"/>
    <cellStyle name="Comma 5 4 10 3" xfId="10786" xr:uid="{00000000-0005-0000-0000-000070230000}"/>
    <cellStyle name="Comma 5 4 10 3 2" xfId="22332" xr:uid="{51EAD34A-A659-453E-842B-D72E37534D49}"/>
    <cellStyle name="Comma 5 4 10 3 3" xfId="32748" xr:uid="{F0C13DF1-E4CF-4FEF-AB45-F8D84B5B8EA4}"/>
    <cellStyle name="Comma 5 4 10 4" xfId="6584" xr:uid="{00000000-0005-0000-0000-000071230000}"/>
    <cellStyle name="Comma 5 4 10 4 2" xfId="18170" xr:uid="{105FB18B-39A0-4376-93E5-34A9A58CAF10}"/>
    <cellStyle name="Comma 5 4 10 4 3" xfId="28586" xr:uid="{CF227760-D3F8-4BCF-BA37-205569DD8830}"/>
    <cellStyle name="Comma 5 4 10 5" xfId="15970" xr:uid="{E42E617A-843E-482A-8535-43BDC37CBD05}"/>
    <cellStyle name="Comma 5 4 10 6" xfId="26386" xr:uid="{2A348FFF-4E46-4732-A6FD-7C21D7CE0FE5}"/>
    <cellStyle name="Comma 5 4 11" xfId="3637" xr:uid="{00000000-0005-0000-0000-000072230000}"/>
    <cellStyle name="Comma 5 4 11 2" xfId="10788" xr:uid="{00000000-0005-0000-0000-000073230000}"/>
    <cellStyle name="Comma 5 4 11 2 2" xfId="22334" xr:uid="{BFE9EC4E-86A4-43E3-9095-C47B8FC22557}"/>
    <cellStyle name="Comma 5 4 11 2 3" xfId="32750" xr:uid="{2BE6F137-F8A3-4304-AC8D-F1C1E14F757D}"/>
    <cellStyle name="Comma 5 4 11 3" xfId="15972" xr:uid="{0396534B-DB81-4817-971B-F4B3CF43D97C}"/>
    <cellStyle name="Comma 5 4 11 4" xfId="26388" xr:uid="{27EE3F1B-EE59-45D8-BFEE-D4A251CC21B4}"/>
    <cellStyle name="Comma 5 4 12" xfId="10785" xr:uid="{00000000-0005-0000-0000-000074230000}"/>
    <cellStyle name="Comma 5 4 12 2" xfId="22331" xr:uid="{C4EE0E3B-A8A1-445F-907B-A3CDAE44DE03}"/>
    <cellStyle name="Comma 5 4 12 3" xfId="32747" xr:uid="{39C96E31-4399-47F3-868F-C55D1A47575A}"/>
    <cellStyle name="Comma 5 4 13" xfId="6583" xr:uid="{00000000-0005-0000-0000-000075230000}"/>
    <cellStyle name="Comma 5 4 13 2" xfId="18169" xr:uid="{E02C77AB-CCEB-49C1-9D8A-7C9A0E42A890}"/>
    <cellStyle name="Comma 5 4 13 3" xfId="28585" xr:uid="{468D4368-832D-4EBB-B7EE-E76CCA41001C}"/>
    <cellStyle name="Comma 5 4 14" xfId="15969" xr:uid="{1588BE2C-D7FC-4BD8-ADA0-CCBB4633F3BF}"/>
    <cellStyle name="Comma 5 4 15" xfId="26385" xr:uid="{87356986-4093-4CE3-9340-CB07F9C04FE2}"/>
    <cellStyle name="Comma 5 4 2" xfId="3638" xr:uid="{00000000-0005-0000-0000-000076230000}"/>
    <cellStyle name="Comma 5 4 2 10" xfId="3639" xr:uid="{00000000-0005-0000-0000-000077230000}"/>
    <cellStyle name="Comma 5 4 2 10 2" xfId="10790" xr:uid="{00000000-0005-0000-0000-000078230000}"/>
    <cellStyle name="Comma 5 4 2 10 2 2" xfId="22336" xr:uid="{383F02F3-0227-4AF8-8915-7E1916EB521D}"/>
    <cellStyle name="Comma 5 4 2 10 2 3" xfId="32752" xr:uid="{06B4F340-0B67-4CB0-90C5-4BC9DF09CCF5}"/>
    <cellStyle name="Comma 5 4 2 10 3" xfId="15974" xr:uid="{3D555066-FA47-43CE-ABBE-4D58166A5FCE}"/>
    <cellStyle name="Comma 5 4 2 10 4" xfId="26390" xr:uid="{B3C088B8-E553-47DD-A079-1B726F6FBDEF}"/>
    <cellStyle name="Comma 5 4 2 11" xfId="10789" xr:uid="{00000000-0005-0000-0000-000079230000}"/>
    <cellStyle name="Comma 5 4 2 11 2" xfId="22335" xr:uid="{CAD8AFEA-E13E-4A7E-9192-A3CD6586EC93}"/>
    <cellStyle name="Comma 5 4 2 11 3" xfId="32751" xr:uid="{72F5E037-1011-4603-AF6A-DB6F70021B17}"/>
    <cellStyle name="Comma 5 4 2 12" xfId="6585" xr:uid="{00000000-0005-0000-0000-00007A230000}"/>
    <cellStyle name="Comma 5 4 2 12 2" xfId="18171" xr:uid="{9E228B1A-9779-472C-8773-FBD77A7B6ADF}"/>
    <cellStyle name="Comma 5 4 2 12 3" xfId="28587" xr:uid="{B60BAF18-C16F-46CA-89A3-4C0D8764720F}"/>
    <cellStyle name="Comma 5 4 2 13" xfId="15973" xr:uid="{8B15420D-812E-4911-812A-C482A8024E2B}"/>
    <cellStyle name="Comma 5 4 2 14" xfId="26389" xr:uid="{F1F1F59F-65AC-4010-98F1-C76E889412CF}"/>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2 2 2" xfId="22340" xr:uid="{33C65635-66AB-4F70-BBDA-65A9438B0E3A}"/>
    <cellStyle name="Comma 5 4 2 2 2 2 2 2 3" xfId="32756" xr:uid="{5E7A8530-82E7-49CC-A3F0-0B3351835C96}"/>
    <cellStyle name="Comma 5 4 2 2 2 2 2 3" xfId="15978" xr:uid="{B8E7B64D-2122-4528-A16B-2165C3E5389B}"/>
    <cellStyle name="Comma 5 4 2 2 2 2 2 4" xfId="26394" xr:uid="{6D69CA98-116B-4FD9-A8D4-A0540036A537}"/>
    <cellStyle name="Comma 5 4 2 2 2 2 3" xfId="10793" xr:uid="{00000000-0005-0000-0000-000080230000}"/>
    <cellStyle name="Comma 5 4 2 2 2 2 3 2" xfId="22339" xr:uid="{9273652A-C497-47CE-BADD-32F2A5E1D806}"/>
    <cellStyle name="Comma 5 4 2 2 2 2 3 3" xfId="32755" xr:uid="{DC4A4B9F-C4AC-4E94-ADF5-EB2F81707AFA}"/>
    <cellStyle name="Comma 5 4 2 2 2 2 4" xfId="6588" xr:uid="{00000000-0005-0000-0000-000081230000}"/>
    <cellStyle name="Comma 5 4 2 2 2 2 4 2" xfId="18174" xr:uid="{2231458F-6DA5-464B-AEE6-926D76F33D14}"/>
    <cellStyle name="Comma 5 4 2 2 2 2 4 3" xfId="28590" xr:uid="{CE01D243-B466-4226-9D39-A1DA42E2D0C4}"/>
    <cellStyle name="Comma 5 4 2 2 2 2 5" xfId="15977" xr:uid="{7B4B8AC0-3ECF-4534-A8D6-9566E2A894F0}"/>
    <cellStyle name="Comma 5 4 2 2 2 2 6" xfId="26393" xr:uid="{C367812B-1C6F-4724-80D2-FE6CF31E13F6}"/>
    <cellStyle name="Comma 5 4 2 2 2 3" xfId="3644" xr:uid="{00000000-0005-0000-0000-000082230000}"/>
    <cellStyle name="Comma 5 4 2 2 2 3 2" xfId="10795" xr:uid="{00000000-0005-0000-0000-000083230000}"/>
    <cellStyle name="Comma 5 4 2 2 2 3 2 2" xfId="22341" xr:uid="{180B9714-4CDB-446A-BDFF-10C7D5B85864}"/>
    <cellStyle name="Comma 5 4 2 2 2 3 2 3" xfId="32757" xr:uid="{92931630-99F8-4FBC-A786-C58D88324BBB}"/>
    <cellStyle name="Comma 5 4 2 2 2 3 3" xfId="15979" xr:uid="{CA65C05B-74A0-422D-A9DF-189E04604A1A}"/>
    <cellStyle name="Comma 5 4 2 2 2 3 4" xfId="26395" xr:uid="{C77DF4A2-4F6C-4808-A9B0-A1431CC5BC09}"/>
    <cellStyle name="Comma 5 4 2 2 2 4" xfId="10792" xr:uid="{00000000-0005-0000-0000-000084230000}"/>
    <cellStyle name="Comma 5 4 2 2 2 4 2" xfId="22338" xr:uid="{720AE31A-A7B5-49E2-8F32-4C9192FE5D70}"/>
    <cellStyle name="Comma 5 4 2 2 2 4 3" xfId="32754" xr:uid="{0453209B-4D98-4989-B68F-B3F7026021E6}"/>
    <cellStyle name="Comma 5 4 2 2 2 5" xfId="6587" xr:uid="{00000000-0005-0000-0000-000085230000}"/>
    <cellStyle name="Comma 5 4 2 2 2 5 2" xfId="18173" xr:uid="{8B60AA73-909F-4B83-890E-0EC743C589AB}"/>
    <cellStyle name="Comma 5 4 2 2 2 5 3" xfId="28589" xr:uid="{2AA7103B-008D-46A3-9C21-64D588337C3E}"/>
    <cellStyle name="Comma 5 4 2 2 2 6" xfId="15976" xr:uid="{985518C6-24CB-452E-8018-A616D5C6F2DF}"/>
    <cellStyle name="Comma 5 4 2 2 2 7" xfId="26392" xr:uid="{B548895C-5266-45DE-86CD-2BF9954C4A04}"/>
    <cellStyle name="Comma 5 4 2 2 3" xfId="3645" xr:uid="{00000000-0005-0000-0000-000086230000}"/>
    <cellStyle name="Comma 5 4 2 2 3 2" xfId="3646" xr:uid="{00000000-0005-0000-0000-000087230000}"/>
    <cellStyle name="Comma 5 4 2 2 3 2 2" xfId="10797" xr:uid="{00000000-0005-0000-0000-000088230000}"/>
    <cellStyle name="Comma 5 4 2 2 3 2 2 2" xfId="22343" xr:uid="{2750E273-FCA0-4565-B7AA-C18255F5B3EE}"/>
    <cellStyle name="Comma 5 4 2 2 3 2 2 3" xfId="32759" xr:uid="{4B5D6A84-2189-4540-A2B6-A0E080807655}"/>
    <cellStyle name="Comma 5 4 2 2 3 2 3" xfId="15981" xr:uid="{34C587F5-B7EA-4878-A585-8B9162FF311A}"/>
    <cellStyle name="Comma 5 4 2 2 3 2 4" xfId="26397" xr:uid="{FE822902-646A-43AE-A31E-ED129B50CAFD}"/>
    <cellStyle name="Comma 5 4 2 2 3 3" xfId="10796" xr:uid="{00000000-0005-0000-0000-000089230000}"/>
    <cellStyle name="Comma 5 4 2 2 3 3 2" xfId="22342" xr:uid="{6905D83F-C5B1-459C-93C3-A4B09D5D468A}"/>
    <cellStyle name="Comma 5 4 2 2 3 3 3" xfId="32758" xr:uid="{3B8CE5C6-AC50-419F-90CD-0236B5148B37}"/>
    <cellStyle name="Comma 5 4 2 2 3 4" xfId="6589" xr:uid="{00000000-0005-0000-0000-00008A230000}"/>
    <cellStyle name="Comma 5 4 2 2 3 4 2" xfId="18175" xr:uid="{A089B338-B1FD-495B-8E64-016A4DDB5B4B}"/>
    <cellStyle name="Comma 5 4 2 2 3 4 3" xfId="28591" xr:uid="{A794DE6E-08F8-42A4-BED8-39AAD2C42A51}"/>
    <cellStyle name="Comma 5 4 2 2 3 5" xfId="15980" xr:uid="{23F7486D-2986-42DA-BAE8-8F98D3ADC198}"/>
    <cellStyle name="Comma 5 4 2 2 3 6" xfId="26396" xr:uid="{4DD3F7DA-D15B-4E24-B7DE-A95924C633F8}"/>
    <cellStyle name="Comma 5 4 2 2 4" xfId="3647" xr:uid="{00000000-0005-0000-0000-00008B230000}"/>
    <cellStyle name="Comma 5 4 2 2 4 2" xfId="3648" xr:uid="{00000000-0005-0000-0000-00008C230000}"/>
    <cellStyle name="Comma 5 4 2 2 4 2 2" xfId="10799" xr:uid="{00000000-0005-0000-0000-00008D230000}"/>
    <cellStyle name="Comma 5 4 2 2 4 2 2 2" xfId="22345" xr:uid="{319D80CC-E681-4DC2-BF8C-8BC74DEF7100}"/>
    <cellStyle name="Comma 5 4 2 2 4 2 2 3" xfId="32761" xr:uid="{9CB801AC-BE61-4649-B1F8-9A21AD448E12}"/>
    <cellStyle name="Comma 5 4 2 2 4 2 3" xfId="15983" xr:uid="{EF1CA167-496B-4EEA-9CF3-CF775094B094}"/>
    <cellStyle name="Comma 5 4 2 2 4 2 4" xfId="26399" xr:uid="{6CBAB157-F10B-4A98-8233-D153BB49887F}"/>
    <cellStyle name="Comma 5 4 2 2 4 3" xfId="10798" xr:uid="{00000000-0005-0000-0000-00008E230000}"/>
    <cellStyle name="Comma 5 4 2 2 4 3 2" xfId="22344" xr:uid="{DD3F0FEF-4C61-4FE0-9411-EF4A1FF362BA}"/>
    <cellStyle name="Comma 5 4 2 2 4 3 3" xfId="32760" xr:uid="{2AB4AAAA-0B5F-47CE-8829-36AF3EB3B7DC}"/>
    <cellStyle name="Comma 5 4 2 2 4 4" xfId="6590" xr:uid="{00000000-0005-0000-0000-00008F230000}"/>
    <cellStyle name="Comma 5 4 2 2 4 4 2" xfId="18176" xr:uid="{9190D070-D8B8-4692-9673-D121C022625F}"/>
    <cellStyle name="Comma 5 4 2 2 4 4 3" xfId="28592" xr:uid="{77E270F3-7844-48D0-BE50-D86AB122D86D}"/>
    <cellStyle name="Comma 5 4 2 2 4 5" xfId="15982" xr:uid="{1D0C0AD1-8681-4F61-968A-E01BECD813A4}"/>
    <cellStyle name="Comma 5 4 2 2 4 6" xfId="26398" xr:uid="{874F27D6-4D59-4616-B8A1-EE6FFDD9F530}"/>
    <cellStyle name="Comma 5 4 2 2 5" xfId="3649" xr:uid="{00000000-0005-0000-0000-000090230000}"/>
    <cellStyle name="Comma 5 4 2 2 5 2" xfId="10800" xr:uid="{00000000-0005-0000-0000-000091230000}"/>
    <cellStyle name="Comma 5 4 2 2 5 2 2" xfId="22346" xr:uid="{92B60F16-D22F-4532-9998-512C3E955BC4}"/>
    <cellStyle name="Comma 5 4 2 2 5 2 3" xfId="32762" xr:uid="{16D13604-1A83-41D6-97D8-8492BCC37B57}"/>
    <cellStyle name="Comma 5 4 2 2 5 3" xfId="15984" xr:uid="{ECCAE786-DF2F-4794-AD17-694CBBDFCFA3}"/>
    <cellStyle name="Comma 5 4 2 2 5 4" xfId="26400" xr:uid="{9F42FAF9-09CA-4101-AF90-47CD4AAB6706}"/>
    <cellStyle name="Comma 5 4 2 2 6" xfId="10791" xr:uid="{00000000-0005-0000-0000-000092230000}"/>
    <cellStyle name="Comma 5 4 2 2 6 2" xfId="22337" xr:uid="{7367201B-5A7C-4EC8-9EBF-CFCBA313293D}"/>
    <cellStyle name="Comma 5 4 2 2 6 3" xfId="32753" xr:uid="{22199C63-1243-474A-BE17-02AB36E9C3E8}"/>
    <cellStyle name="Comma 5 4 2 2 7" xfId="6586" xr:uid="{00000000-0005-0000-0000-000093230000}"/>
    <cellStyle name="Comma 5 4 2 2 7 2" xfId="18172" xr:uid="{4D9CD0B5-8390-4A61-BDF9-A9FC9A8195EF}"/>
    <cellStyle name="Comma 5 4 2 2 7 3" xfId="28588" xr:uid="{59449D35-D334-4E90-B369-FC0ECE2E0E65}"/>
    <cellStyle name="Comma 5 4 2 2 8" xfId="15975" xr:uid="{85AEA8E8-5AEF-41E4-8336-FAE3DB56241A}"/>
    <cellStyle name="Comma 5 4 2 2 9" xfId="26391" xr:uid="{F9D42F88-BB96-4755-8192-42E87A2248F7}"/>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2 2 2" xfId="22350" xr:uid="{C855AEBF-91AD-4E1E-A89A-6C12C88FC0FE}"/>
    <cellStyle name="Comma 5 4 2 3 2 2 2 2 3" xfId="32766" xr:uid="{FC4E5FD0-0DC0-4F39-9627-AA35A3C6BC21}"/>
    <cellStyle name="Comma 5 4 2 3 2 2 2 3" xfId="15988" xr:uid="{5CFA1D91-4A2B-4DC5-8983-BD9397C8AB82}"/>
    <cellStyle name="Comma 5 4 2 3 2 2 2 4" xfId="26404" xr:uid="{2ED7FACC-4B09-4FE7-AAAC-4FCA7E969911}"/>
    <cellStyle name="Comma 5 4 2 3 2 2 3" xfId="10803" xr:uid="{00000000-0005-0000-0000-000099230000}"/>
    <cellStyle name="Comma 5 4 2 3 2 2 3 2" xfId="22349" xr:uid="{218B1BD0-3FEF-4410-9240-BC5B3F568D53}"/>
    <cellStyle name="Comma 5 4 2 3 2 2 3 3" xfId="32765" xr:uid="{C693CE2C-31DA-4FFD-9566-22316AFDEDAF}"/>
    <cellStyle name="Comma 5 4 2 3 2 2 4" xfId="6593" xr:uid="{00000000-0005-0000-0000-00009A230000}"/>
    <cellStyle name="Comma 5 4 2 3 2 2 4 2" xfId="18179" xr:uid="{24DB0A0D-C238-4E50-BB5A-9CE7787961D5}"/>
    <cellStyle name="Comma 5 4 2 3 2 2 4 3" xfId="28595" xr:uid="{01B35433-E1E1-4B17-A0C4-76EDFB0EB6DC}"/>
    <cellStyle name="Comma 5 4 2 3 2 2 5" xfId="15987" xr:uid="{1C239EE2-DA2A-41E5-8E5B-521D0992489E}"/>
    <cellStyle name="Comma 5 4 2 3 2 2 6" xfId="26403" xr:uid="{58D1550B-A2B0-426E-A33E-CABA3F8672FA}"/>
    <cellStyle name="Comma 5 4 2 3 2 3" xfId="3654" xr:uid="{00000000-0005-0000-0000-00009B230000}"/>
    <cellStyle name="Comma 5 4 2 3 2 3 2" xfId="10805" xr:uid="{00000000-0005-0000-0000-00009C230000}"/>
    <cellStyle name="Comma 5 4 2 3 2 3 2 2" xfId="22351" xr:uid="{F3B10F86-2B5A-4B2A-8C6E-57165DC39632}"/>
    <cellStyle name="Comma 5 4 2 3 2 3 2 3" xfId="32767" xr:uid="{92B9728E-F2F0-4D98-9E2A-BBFADE34A112}"/>
    <cellStyle name="Comma 5 4 2 3 2 3 3" xfId="15989" xr:uid="{8E4794B5-D3B0-4DE5-A4E5-C98582BE2EA0}"/>
    <cellStyle name="Comma 5 4 2 3 2 3 4" xfId="26405" xr:uid="{CCAFFF4C-AE21-4601-9870-F4F9930C516A}"/>
    <cellStyle name="Comma 5 4 2 3 2 4" xfId="10802" xr:uid="{00000000-0005-0000-0000-00009D230000}"/>
    <cellStyle name="Comma 5 4 2 3 2 4 2" xfId="22348" xr:uid="{F2DE05E5-9690-4085-A87C-B4B3893C9B27}"/>
    <cellStyle name="Comma 5 4 2 3 2 4 3" xfId="32764" xr:uid="{4D94C475-81B0-414E-9DB4-62A80E0534BF}"/>
    <cellStyle name="Comma 5 4 2 3 2 5" xfId="6592" xr:uid="{00000000-0005-0000-0000-00009E230000}"/>
    <cellStyle name="Comma 5 4 2 3 2 5 2" xfId="18178" xr:uid="{A050AD0B-C217-4EF1-BC9A-A01885E93087}"/>
    <cellStyle name="Comma 5 4 2 3 2 5 3" xfId="28594" xr:uid="{BCB9CF33-39AA-4C95-AB25-98458AA8A741}"/>
    <cellStyle name="Comma 5 4 2 3 2 6" xfId="15986" xr:uid="{AF5A3581-FEC0-47C5-92CD-1C7AE47D678A}"/>
    <cellStyle name="Comma 5 4 2 3 2 7" xfId="26402" xr:uid="{6DFBAF25-BCD3-436C-82CF-7B9476C0079F}"/>
    <cellStyle name="Comma 5 4 2 3 3" xfId="3655" xr:uid="{00000000-0005-0000-0000-00009F230000}"/>
    <cellStyle name="Comma 5 4 2 3 3 2" xfId="3656" xr:uid="{00000000-0005-0000-0000-0000A0230000}"/>
    <cellStyle name="Comma 5 4 2 3 3 2 2" xfId="10807" xr:uid="{00000000-0005-0000-0000-0000A1230000}"/>
    <cellStyle name="Comma 5 4 2 3 3 2 2 2" xfId="22353" xr:uid="{0349E74D-4C1F-4B86-AD35-43309419B09D}"/>
    <cellStyle name="Comma 5 4 2 3 3 2 2 3" xfId="32769" xr:uid="{D4E86DEA-93DD-4741-9648-49595B575F47}"/>
    <cellStyle name="Comma 5 4 2 3 3 2 3" xfId="15991" xr:uid="{7CAF5D46-9975-402E-9C86-FCC64C71B1B0}"/>
    <cellStyle name="Comma 5 4 2 3 3 2 4" xfId="26407" xr:uid="{00139ADF-D9EE-41EB-81DA-AC39C38B9B0E}"/>
    <cellStyle name="Comma 5 4 2 3 3 3" xfId="10806" xr:uid="{00000000-0005-0000-0000-0000A2230000}"/>
    <cellStyle name="Comma 5 4 2 3 3 3 2" xfId="22352" xr:uid="{8A39C23B-66D2-4365-AE3C-97DF8FFDBAFE}"/>
    <cellStyle name="Comma 5 4 2 3 3 3 3" xfId="32768" xr:uid="{08A2B79F-3845-4712-B552-8B54CC801FB7}"/>
    <cellStyle name="Comma 5 4 2 3 3 4" xfId="6594" xr:uid="{00000000-0005-0000-0000-0000A3230000}"/>
    <cellStyle name="Comma 5 4 2 3 3 4 2" xfId="18180" xr:uid="{D3A9E91C-E4B0-4AFE-AC3F-CBCE83777E71}"/>
    <cellStyle name="Comma 5 4 2 3 3 4 3" xfId="28596" xr:uid="{01E32569-8057-44B7-A6FA-E0145458CF06}"/>
    <cellStyle name="Comma 5 4 2 3 3 5" xfId="15990" xr:uid="{45692758-5CA8-48E9-962D-31BF79A7CF40}"/>
    <cellStyle name="Comma 5 4 2 3 3 6" xfId="26406" xr:uid="{C9445A5A-4EA6-49B1-B1D0-F17144B174CD}"/>
    <cellStyle name="Comma 5 4 2 3 4" xfId="3657" xr:uid="{00000000-0005-0000-0000-0000A4230000}"/>
    <cellStyle name="Comma 5 4 2 3 4 2" xfId="3658" xr:uid="{00000000-0005-0000-0000-0000A5230000}"/>
    <cellStyle name="Comma 5 4 2 3 4 2 2" xfId="10809" xr:uid="{00000000-0005-0000-0000-0000A6230000}"/>
    <cellStyle name="Comma 5 4 2 3 4 2 2 2" xfId="22355" xr:uid="{086526E9-78C6-4C80-9176-9FA0933082E3}"/>
    <cellStyle name="Comma 5 4 2 3 4 2 2 3" xfId="32771" xr:uid="{FD3695B7-02C9-4103-8ED4-153705E7FD97}"/>
    <cellStyle name="Comma 5 4 2 3 4 2 3" xfId="15993" xr:uid="{295D4C77-3FA0-446E-ACB0-49CF0A8831CA}"/>
    <cellStyle name="Comma 5 4 2 3 4 2 4" xfId="26409" xr:uid="{B71042F6-C41E-4D7F-87CE-6684C4AF33A0}"/>
    <cellStyle name="Comma 5 4 2 3 4 3" xfId="10808" xr:uid="{00000000-0005-0000-0000-0000A7230000}"/>
    <cellStyle name="Comma 5 4 2 3 4 3 2" xfId="22354" xr:uid="{BDDB738A-00A8-4505-8F3C-8BDA6562CAB9}"/>
    <cellStyle name="Comma 5 4 2 3 4 3 3" xfId="32770" xr:uid="{486C37CE-6571-408F-8A59-848FF625DF99}"/>
    <cellStyle name="Comma 5 4 2 3 4 4" xfId="6595" xr:uid="{00000000-0005-0000-0000-0000A8230000}"/>
    <cellStyle name="Comma 5 4 2 3 4 4 2" xfId="18181" xr:uid="{90D717A2-2A11-4FD7-A635-818730068350}"/>
    <cellStyle name="Comma 5 4 2 3 4 4 3" xfId="28597" xr:uid="{95060423-3134-4FA3-914F-A7852E4EDB75}"/>
    <cellStyle name="Comma 5 4 2 3 4 5" xfId="15992" xr:uid="{9BDE6B8B-8730-46F3-A842-36BF43CD3EBF}"/>
    <cellStyle name="Comma 5 4 2 3 4 6" xfId="26408" xr:uid="{98AD74A5-F9DE-4E42-870B-690CFE257FD4}"/>
    <cellStyle name="Comma 5 4 2 3 5" xfId="3659" xr:uid="{00000000-0005-0000-0000-0000A9230000}"/>
    <cellStyle name="Comma 5 4 2 3 5 2" xfId="10810" xr:uid="{00000000-0005-0000-0000-0000AA230000}"/>
    <cellStyle name="Comma 5 4 2 3 5 2 2" xfId="22356" xr:uid="{046B2D68-A7FD-4D45-882B-7AFB7B6D49CC}"/>
    <cellStyle name="Comma 5 4 2 3 5 2 3" xfId="32772" xr:uid="{9B45C4F3-C503-4CAA-9F95-0053956FDC46}"/>
    <cellStyle name="Comma 5 4 2 3 5 3" xfId="15994" xr:uid="{5B2256E3-C6CD-41DF-A421-80136BFAA8FB}"/>
    <cellStyle name="Comma 5 4 2 3 5 4" xfId="26410" xr:uid="{3F8E04AD-C8A3-4C31-8612-CEA05771F30A}"/>
    <cellStyle name="Comma 5 4 2 3 6" xfId="10801" xr:uid="{00000000-0005-0000-0000-0000AB230000}"/>
    <cellStyle name="Comma 5 4 2 3 6 2" xfId="22347" xr:uid="{0CA432F2-0190-49E3-B9D0-30D5CACAE2D4}"/>
    <cellStyle name="Comma 5 4 2 3 6 3" xfId="32763" xr:uid="{CC4C2178-52CD-4D35-9EEB-72F648FF7E9D}"/>
    <cellStyle name="Comma 5 4 2 3 7" xfId="6591" xr:uid="{00000000-0005-0000-0000-0000AC230000}"/>
    <cellStyle name="Comma 5 4 2 3 7 2" xfId="18177" xr:uid="{A16B3ACF-57E8-45BF-994D-70DAD3A3B2A5}"/>
    <cellStyle name="Comma 5 4 2 3 7 3" xfId="28593" xr:uid="{F156FF6A-4BC2-43BC-84ED-A52E34935296}"/>
    <cellStyle name="Comma 5 4 2 3 8" xfId="15985" xr:uid="{7246B673-086E-4986-AD4C-CE4659F10114}"/>
    <cellStyle name="Comma 5 4 2 3 9" xfId="26401" xr:uid="{F0DC638D-01B2-4C13-BBF1-0DAD2DC680B7}"/>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2 2 2" xfId="22360" xr:uid="{F7F65B55-37E2-497B-8BD1-909AAFB0DC73}"/>
    <cellStyle name="Comma 5 4 2 4 2 2 2 2 3" xfId="32776" xr:uid="{AC134E1C-061B-489A-B017-2A4B73EAF22E}"/>
    <cellStyle name="Comma 5 4 2 4 2 2 2 3" xfId="15998" xr:uid="{8E916E1D-E7DA-4877-9BDE-D34B8A4D1526}"/>
    <cellStyle name="Comma 5 4 2 4 2 2 2 4" xfId="26414" xr:uid="{60FB0A78-D57D-4A7B-91D8-6D32B8AA7DFE}"/>
    <cellStyle name="Comma 5 4 2 4 2 2 3" xfId="10813" xr:uid="{00000000-0005-0000-0000-0000B2230000}"/>
    <cellStyle name="Comma 5 4 2 4 2 2 3 2" xfId="22359" xr:uid="{91969536-1F5C-4D6D-9D5D-47D2D8CAC4F6}"/>
    <cellStyle name="Comma 5 4 2 4 2 2 3 3" xfId="32775" xr:uid="{4DABDB4B-3B16-4D3B-818C-1BF431521A53}"/>
    <cellStyle name="Comma 5 4 2 4 2 2 4" xfId="6598" xr:uid="{00000000-0005-0000-0000-0000B3230000}"/>
    <cellStyle name="Comma 5 4 2 4 2 2 4 2" xfId="18184" xr:uid="{53398706-ADB9-4001-AA87-DE2E6F63B465}"/>
    <cellStyle name="Comma 5 4 2 4 2 2 4 3" xfId="28600" xr:uid="{B2A21C27-5E18-4E18-95C7-ACC39854F7E7}"/>
    <cellStyle name="Comma 5 4 2 4 2 2 5" xfId="15997" xr:uid="{5532BA30-519A-4D85-AFE0-A2B4F6F5C83E}"/>
    <cellStyle name="Comma 5 4 2 4 2 2 6" xfId="26413" xr:uid="{CF121012-E10E-44E4-A706-E65D6D35154C}"/>
    <cellStyle name="Comma 5 4 2 4 2 3" xfId="3664" xr:uid="{00000000-0005-0000-0000-0000B4230000}"/>
    <cellStyle name="Comma 5 4 2 4 2 3 2" xfId="10815" xr:uid="{00000000-0005-0000-0000-0000B5230000}"/>
    <cellStyle name="Comma 5 4 2 4 2 3 2 2" xfId="22361" xr:uid="{539F4C1C-A5B5-4637-A1F7-6E8D877DC79D}"/>
    <cellStyle name="Comma 5 4 2 4 2 3 2 3" xfId="32777" xr:uid="{ECF3840F-5BD7-471A-B09D-20DFB50563AC}"/>
    <cellStyle name="Comma 5 4 2 4 2 3 3" xfId="15999" xr:uid="{37AEACC3-8256-4101-9040-E484397AB48F}"/>
    <cellStyle name="Comma 5 4 2 4 2 3 4" xfId="26415" xr:uid="{C02A26D0-AD22-413A-9369-81550FAD5A6B}"/>
    <cellStyle name="Comma 5 4 2 4 2 4" xfId="10812" xr:uid="{00000000-0005-0000-0000-0000B6230000}"/>
    <cellStyle name="Comma 5 4 2 4 2 4 2" xfId="22358" xr:uid="{D41531D9-5E6F-424F-8353-1EBCCC7C7466}"/>
    <cellStyle name="Comma 5 4 2 4 2 4 3" xfId="32774" xr:uid="{D986AE8E-1AF7-4397-9A60-3772AEAE5FCE}"/>
    <cellStyle name="Comma 5 4 2 4 2 5" xfId="6597" xr:uid="{00000000-0005-0000-0000-0000B7230000}"/>
    <cellStyle name="Comma 5 4 2 4 2 5 2" xfId="18183" xr:uid="{636A0463-B512-4368-B019-DD815A7C6920}"/>
    <cellStyle name="Comma 5 4 2 4 2 5 3" xfId="28599" xr:uid="{FEF54CD1-DDDF-4524-A96C-4A5B2ACB5851}"/>
    <cellStyle name="Comma 5 4 2 4 2 6" xfId="15996" xr:uid="{6B7C817F-6E52-4362-BE1C-56874E3C654E}"/>
    <cellStyle name="Comma 5 4 2 4 2 7" xfId="26412" xr:uid="{0602070B-EAF4-478B-BA19-AE202453DFB8}"/>
    <cellStyle name="Comma 5 4 2 4 3" xfId="3665" xr:uid="{00000000-0005-0000-0000-0000B8230000}"/>
    <cellStyle name="Comma 5 4 2 4 3 2" xfId="3666" xr:uid="{00000000-0005-0000-0000-0000B9230000}"/>
    <cellStyle name="Comma 5 4 2 4 3 2 2" xfId="10817" xr:uid="{00000000-0005-0000-0000-0000BA230000}"/>
    <cellStyle name="Comma 5 4 2 4 3 2 2 2" xfId="22363" xr:uid="{FC6322C1-C505-45B5-AB91-D8AF684D2325}"/>
    <cellStyle name="Comma 5 4 2 4 3 2 2 3" xfId="32779" xr:uid="{0FE441C1-3583-4E6B-B8ED-66A320A0CD91}"/>
    <cellStyle name="Comma 5 4 2 4 3 2 3" xfId="16001" xr:uid="{0D4D91F8-0662-49B6-B852-41D00B177DCB}"/>
    <cellStyle name="Comma 5 4 2 4 3 2 4" xfId="26417" xr:uid="{0D435789-8A24-4BB6-8BB9-EB8486A87809}"/>
    <cellStyle name="Comma 5 4 2 4 3 3" xfId="10816" xr:uid="{00000000-0005-0000-0000-0000BB230000}"/>
    <cellStyle name="Comma 5 4 2 4 3 3 2" xfId="22362" xr:uid="{657DFB6C-6EEC-417B-8A60-E5692679244E}"/>
    <cellStyle name="Comma 5 4 2 4 3 3 3" xfId="32778" xr:uid="{B9C4EAE6-C664-43A5-8F2E-F4F7DAAE63E0}"/>
    <cellStyle name="Comma 5 4 2 4 3 4" xfId="6599" xr:uid="{00000000-0005-0000-0000-0000BC230000}"/>
    <cellStyle name="Comma 5 4 2 4 3 4 2" xfId="18185" xr:uid="{A8647CD0-41AA-45EE-84B8-9C41EDBE605F}"/>
    <cellStyle name="Comma 5 4 2 4 3 4 3" xfId="28601" xr:uid="{2E6EE385-70F1-4417-B058-8F9D012F7BDF}"/>
    <cellStyle name="Comma 5 4 2 4 3 5" xfId="16000" xr:uid="{50D3774F-75FB-4CF5-B9A4-46E76AE6B051}"/>
    <cellStyle name="Comma 5 4 2 4 3 6" xfId="26416" xr:uid="{5790E335-204B-4F87-83E0-82594899CABC}"/>
    <cellStyle name="Comma 5 4 2 4 4" xfId="3667" xr:uid="{00000000-0005-0000-0000-0000BD230000}"/>
    <cellStyle name="Comma 5 4 2 4 4 2" xfId="3668" xr:uid="{00000000-0005-0000-0000-0000BE230000}"/>
    <cellStyle name="Comma 5 4 2 4 4 2 2" xfId="10819" xr:uid="{00000000-0005-0000-0000-0000BF230000}"/>
    <cellStyle name="Comma 5 4 2 4 4 2 2 2" xfId="22365" xr:uid="{16B58773-ABF1-40DC-A847-EAB1BDF5A6BF}"/>
    <cellStyle name="Comma 5 4 2 4 4 2 2 3" xfId="32781" xr:uid="{446AF3C7-8810-46AB-841F-870C3691C47D}"/>
    <cellStyle name="Comma 5 4 2 4 4 2 3" xfId="16003" xr:uid="{AB8B5A74-8B75-4737-92B3-4E01B1029BDF}"/>
    <cellStyle name="Comma 5 4 2 4 4 2 4" xfId="26419" xr:uid="{32D7E3AE-5C89-4F82-BE56-75F56E059FFE}"/>
    <cellStyle name="Comma 5 4 2 4 4 3" xfId="10818" xr:uid="{00000000-0005-0000-0000-0000C0230000}"/>
    <cellStyle name="Comma 5 4 2 4 4 3 2" xfId="22364" xr:uid="{50409551-58A5-4ED1-804B-E96489DCF136}"/>
    <cellStyle name="Comma 5 4 2 4 4 3 3" xfId="32780" xr:uid="{A9638E2F-BF7C-4B40-96AC-2299F29ADC2D}"/>
    <cellStyle name="Comma 5 4 2 4 4 4" xfId="6600" xr:uid="{00000000-0005-0000-0000-0000C1230000}"/>
    <cellStyle name="Comma 5 4 2 4 4 4 2" xfId="18186" xr:uid="{FF501001-0D8A-4918-B455-CF70AEBB641E}"/>
    <cellStyle name="Comma 5 4 2 4 4 4 3" xfId="28602" xr:uid="{98BC6C9F-4880-41AE-836B-83912E9F76C0}"/>
    <cellStyle name="Comma 5 4 2 4 4 5" xfId="16002" xr:uid="{BE08E59B-2B0A-43E1-A61B-68EA38DFDC7C}"/>
    <cellStyle name="Comma 5 4 2 4 4 6" xfId="26418" xr:uid="{35B67A15-181A-4006-90DC-0850B866EC00}"/>
    <cellStyle name="Comma 5 4 2 4 5" xfId="3669" xr:uid="{00000000-0005-0000-0000-0000C2230000}"/>
    <cellStyle name="Comma 5 4 2 4 5 2" xfId="10820" xr:uid="{00000000-0005-0000-0000-0000C3230000}"/>
    <cellStyle name="Comma 5 4 2 4 5 2 2" xfId="22366" xr:uid="{3270AF1B-D0EC-413B-B18D-ADCD8B5A3B50}"/>
    <cellStyle name="Comma 5 4 2 4 5 2 3" xfId="32782" xr:uid="{53CC1C85-9929-4C83-A675-E2301C099436}"/>
    <cellStyle name="Comma 5 4 2 4 5 3" xfId="16004" xr:uid="{19A1EAA2-B1E2-4933-9E76-3CB88322E257}"/>
    <cellStyle name="Comma 5 4 2 4 5 4" xfId="26420" xr:uid="{C88207EE-CA0B-4859-8D3B-9B0EAEA9B896}"/>
    <cellStyle name="Comma 5 4 2 4 6" xfId="10811" xr:uid="{00000000-0005-0000-0000-0000C4230000}"/>
    <cellStyle name="Comma 5 4 2 4 6 2" xfId="22357" xr:uid="{B4FBF974-2BE1-44CB-86A8-DFE040E231F1}"/>
    <cellStyle name="Comma 5 4 2 4 6 3" xfId="32773" xr:uid="{51B234EC-2C7F-4E73-9884-615FDB000F1A}"/>
    <cellStyle name="Comma 5 4 2 4 7" xfId="6596" xr:uid="{00000000-0005-0000-0000-0000C5230000}"/>
    <cellStyle name="Comma 5 4 2 4 7 2" xfId="18182" xr:uid="{EA40900D-0704-4C1F-BE60-48ACC6A694DF}"/>
    <cellStyle name="Comma 5 4 2 4 7 3" xfId="28598" xr:uid="{7E390D25-5B25-4F10-9B16-18376BC77BEB}"/>
    <cellStyle name="Comma 5 4 2 4 8" xfId="15995" xr:uid="{EEF03923-491B-4553-96F2-1E4FB0CF202B}"/>
    <cellStyle name="Comma 5 4 2 4 9" xfId="26411" xr:uid="{5C7C76AC-A048-492F-9C03-3DE8B4651AA9}"/>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2 2 2" xfId="22370" xr:uid="{863E2CB2-2926-4D3A-94FC-DDA9283C65D0}"/>
    <cellStyle name="Comma 5 4 2 5 2 2 2 2 3" xfId="32786" xr:uid="{938EECDA-7A0D-47D7-9723-E57E713DD65D}"/>
    <cellStyle name="Comma 5 4 2 5 2 2 2 3" xfId="16008" xr:uid="{EE2CC390-42D7-4FA5-8586-0639C5E3DE67}"/>
    <cellStyle name="Comma 5 4 2 5 2 2 2 4" xfId="26424" xr:uid="{CBCC845F-9CD0-4E00-8BC9-66D48A05D6D8}"/>
    <cellStyle name="Comma 5 4 2 5 2 2 3" xfId="10823" xr:uid="{00000000-0005-0000-0000-0000CB230000}"/>
    <cellStyle name="Comma 5 4 2 5 2 2 3 2" xfId="22369" xr:uid="{CC16B5C8-40F4-4C00-96CA-E48807B1766C}"/>
    <cellStyle name="Comma 5 4 2 5 2 2 3 3" xfId="32785" xr:uid="{C108C7D7-92F6-488C-9DC2-2B7572CF7305}"/>
    <cellStyle name="Comma 5 4 2 5 2 2 4" xfId="6603" xr:uid="{00000000-0005-0000-0000-0000CC230000}"/>
    <cellStyle name="Comma 5 4 2 5 2 2 4 2" xfId="18189" xr:uid="{7920E486-59B2-4C17-B231-F489D8B8FF23}"/>
    <cellStyle name="Comma 5 4 2 5 2 2 4 3" xfId="28605" xr:uid="{147BC6DF-9FD1-4572-BC82-7EDCF7C29BFD}"/>
    <cellStyle name="Comma 5 4 2 5 2 2 5" xfId="16007" xr:uid="{BFAB9172-8726-48A2-A334-885C469E8BE5}"/>
    <cellStyle name="Comma 5 4 2 5 2 2 6" xfId="26423" xr:uid="{771BB651-3218-40BF-8241-B5DEC6FDD5C2}"/>
    <cellStyle name="Comma 5 4 2 5 2 3" xfId="3674" xr:uid="{00000000-0005-0000-0000-0000CD230000}"/>
    <cellStyle name="Comma 5 4 2 5 2 3 2" xfId="10825" xr:uid="{00000000-0005-0000-0000-0000CE230000}"/>
    <cellStyle name="Comma 5 4 2 5 2 3 2 2" xfId="22371" xr:uid="{AB534D1E-7B2E-4BD1-8CED-866473657006}"/>
    <cellStyle name="Comma 5 4 2 5 2 3 2 3" xfId="32787" xr:uid="{27FBF3C4-15CF-4570-B188-205B8ABA6B4D}"/>
    <cellStyle name="Comma 5 4 2 5 2 3 3" xfId="16009" xr:uid="{4D3A270A-1F7B-4460-9C84-508B4C352267}"/>
    <cellStyle name="Comma 5 4 2 5 2 3 4" xfId="26425" xr:uid="{C373F2FB-B0DA-42C0-8351-7EB15D405636}"/>
    <cellStyle name="Comma 5 4 2 5 2 4" xfId="10822" xr:uid="{00000000-0005-0000-0000-0000CF230000}"/>
    <cellStyle name="Comma 5 4 2 5 2 4 2" xfId="22368" xr:uid="{8D9BB6E3-F8B5-4D3E-A546-1C1506B8F3AB}"/>
    <cellStyle name="Comma 5 4 2 5 2 4 3" xfId="32784" xr:uid="{FCBFEE75-9CF7-45F1-B8DE-36E234994D3E}"/>
    <cellStyle name="Comma 5 4 2 5 2 5" xfId="6602" xr:uid="{00000000-0005-0000-0000-0000D0230000}"/>
    <cellStyle name="Comma 5 4 2 5 2 5 2" xfId="18188" xr:uid="{7A5EC6B6-DE5A-4E65-94C5-FADE66D3B2E5}"/>
    <cellStyle name="Comma 5 4 2 5 2 5 3" xfId="28604" xr:uid="{2E12F4AF-8AD5-433C-9574-C78A2A125C23}"/>
    <cellStyle name="Comma 5 4 2 5 2 6" xfId="16006" xr:uid="{CDCFC28B-C760-4B55-88E8-54F531506396}"/>
    <cellStyle name="Comma 5 4 2 5 2 7" xfId="26422" xr:uid="{1385F198-E89A-437E-8EE4-AFCAC332985E}"/>
    <cellStyle name="Comma 5 4 2 5 3" xfId="3675" xr:uid="{00000000-0005-0000-0000-0000D1230000}"/>
    <cellStyle name="Comma 5 4 2 5 3 2" xfId="3676" xr:uid="{00000000-0005-0000-0000-0000D2230000}"/>
    <cellStyle name="Comma 5 4 2 5 3 2 2" xfId="10827" xr:uid="{00000000-0005-0000-0000-0000D3230000}"/>
    <cellStyle name="Comma 5 4 2 5 3 2 2 2" xfId="22373" xr:uid="{24420FBF-8038-4E40-96B7-C0BDA9872222}"/>
    <cellStyle name="Comma 5 4 2 5 3 2 2 3" xfId="32789" xr:uid="{940B7308-EFCE-4C93-A8AA-D55DF3096642}"/>
    <cellStyle name="Comma 5 4 2 5 3 2 3" xfId="16011" xr:uid="{35D2338F-9AB1-429B-8C10-BA0E461C6437}"/>
    <cellStyle name="Comma 5 4 2 5 3 2 4" xfId="26427" xr:uid="{BCCD7CF4-2DF6-4530-BCA5-342E17A85737}"/>
    <cellStyle name="Comma 5 4 2 5 3 3" xfId="10826" xr:uid="{00000000-0005-0000-0000-0000D4230000}"/>
    <cellStyle name="Comma 5 4 2 5 3 3 2" xfId="22372" xr:uid="{B4DC80B6-8FC4-4DC1-A963-CE81105303C5}"/>
    <cellStyle name="Comma 5 4 2 5 3 3 3" xfId="32788" xr:uid="{847480D7-84F1-48D9-80A4-A0F30608B808}"/>
    <cellStyle name="Comma 5 4 2 5 3 4" xfId="6604" xr:uid="{00000000-0005-0000-0000-0000D5230000}"/>
    <cellStyle name="Comma 5 4 2 5 3 4 2" xfId="18190" xr:uid="{3DAE750C-5D24-4C5D-95CA-90F6D4E012BC}"/>
    <cellStyle name="Comma 5 4 2 5 3 4 3" xfId="28606" xr:uid="{FB061157-3ED3-4FA8-BEEA-FCC199CA0FCA}"/>
    <cellStyle name="Comma 5 4 2 5 3 5" xfId="16010" xr:uid="{3FE95272-EF09-473F-8C61-AAFFDD53D713}"/>
    <cellStyle name="Comma 5 4 2 5 3 6" xfId="26426" xr:uid="{F10D2228-46C1-4282-AA47-A1449631146A}"/>
    <cellStyle name="Comma 5 4 2 5 4" xfId="3677" xr:uid="{00000000-0005-0000-0000-0000D6230000}"/>
    <cellStyle name="Comma 5 4 2 5 4 2" xfId="3678" xr:uid="{00000000-0005-0000-0000-0000D7230000}"/>
    <cellStyle name="Comma 5 4 2 5 4 2 2" xfId="10829" xr:uid="{00000000-0005-0000-0000-0000D8230000}"/>
    <cellStyle name="Comma 5 4 2 5 4 2 2 2" xfId="22375" xr:uid="{8AA02346-731B-4CE5-9418-A228833C7071}"/>
    <cellStyle name="Comma 5 4 2 5 4 2 2 3" xfId="32791" xr:uid="{6A25C77F-C578-4014-8C13-B9BCFD9D546A}"/>
    <cellStyle name="Comma 5 4 2 5 4 2 3" xfId="16013" xr:uid="{94F413F2-F40A-463F-935F-873A4BD6D466}"/>
    <cellStyle name="Comma 5 4 2 5 4 2 4" xfId="26429" xr:uid="{4D06702C-A8E4-4F9B-AFBC-342C2332C048}"/>
    <cellStyle name="Comma 5 4 2 5 4 3" xfId="10828" xr:uid="{00000000-0005-0000-0000-0000D9230000}"/>
    <cellStyle name="Comma 5 4 2 5 4 3 2" xfId="22374" xr:uid="{63731F46-B04C-4706-ACD9-BF4239CEC7EC}"/>
    <cellStyle name="Comma 5 4 2 5 4 3 3" xfId="32790" xr:uid="{D1A310C6-B0B7-49F3-9EEB-CDD6EC919FA4}"/>
    <cellStyle name="Comma 5 4 2 5 4 4" xfId="6605" xr:uid="{00000000-0005-0000-0000-0000DA230000}"/>
    <cellStyle name="Comma 5 4 2 5 4 4 2" xfId="18191" xr:uid="{7DBB5C8C-7859-4B5B-920D-0E30FFA9BEB4}"/>
    <cellStyle name="Comma 5 4 2 5 4 4 3" xfId="28607" xr:uid="{7EDE45F5-5793-48DB-B9B4-91A80418969E}"/>
    <cellStyle name="Comma 5 4 2 5 4 5" xfId="16012" xr:uid="{29B48DD6-E548-479B-913F-812D2EA81EB6}"/>
    <cellStyle name="Comma 5 4 2 5 4 6" xfId="26428" xr:uid="{98EBC399-2979-484F-AB3E-B9FA5318EAE1}"/>
    <cellStyle name="Comma 5 4 2 5 5" xfId="3679" xr:uid="{00000000-0005-0000-0000-0000DB230000}"/>
    <cellStyle name="Comma 5 4 2 5 5 2" xfId="10830" xr:uid="{00000000-0005-0000-0000-0000DC230000}"/>
    <cellStyle name="Comma 5 4 2 5 5 2 2" xfId="22376" xr:uid="{8DCCC0D4-CB4C-4D81-BE6F-57BF12CDCD1C}"/>
    <cellStyle name="Comma 5 4 2 5 5 2 3" xfId="32792" xr:uid="{0940DF13-269B-4F3F-A082-EC002A452A22}"/>
    <cellStyle name="Comma 5 4 2 5 5 3" xfId="16014" xr:uid="{BF82B83C-FA14-4B58-9055-F010A76A8C09}"/>
    <cellStyle name="Comma 5 4 2 5 5 4" xfId="26430" xr:uid="{FFB4E256-2AB0-449D-8075-30A7B21116D4}"/>
    <cellStyle name="Comma 5 4 2 5 6" xfId="10821" xr:uid="{00000000-0005-0000-0000-0000DD230000}"/>
    <cellStyle name="Comma 5 4 2 5 6 2" xfId="22367" xr:uid="{8F7BA45D-08E5-4D5F-8D37-6F100B353177}"/>
    <cellStyle name="Comma 5 4 2 5 6 3" xfId="32783" xr:uid="{3A7A6073-EDA0-4B1B-9119-D384694398D0}"/>
    <cellStyle name="Comma 5 4 2 5 7" xfId="6601" xr:uid="{00000000-0005-0000-0000-0000DE230000}"/>
    <cellStyle name="Comma 5 4 2 5 7 2" xfId="18187" xr:uid="{E936F54F-5E78-488A-BA01-332E5DD6018A}"/>
    <cellStyle name="Comma 5 4 2 5 7 3" xfId="28603" xr:uid="{4F9FA33F-076A-441C-9A01-D7EEC9DC034C}"/>
    <cellStyle name="Comma 5 4 2 5 8" xfId="16005" xr:uid="{4F9B472A-AD50-4795-91C5-0CC28C465183}"/>
    <cellStyle name="Comma 5 4 2 5 9" xfId="26421" xr:uid="{50F6A851-D452-4A43-8E73-8F3523E8B057}"/>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2 2 2" xfId="22379" xr:uid="{8B4C9D5F-1CA8-4FC2-AC02-D70E6902FB7B}"/>
    <cellStyle name="Comma 5 4 2 6 2 2 2 3" xfId="32795" xr:uid="{FB3768EC-7E03-41B7-8D0D-AC47C73C91B2}"/>
    <cellStyle name="Comma 5 4 2 6 2 2 3" xfId="16017" xr:uid="{3571A5A0-9B0D-4829-9313-1401F52DE722}"/>
    <cellStyle name="Comma 5 4 2 6 2 2 4" xfId="26433" xr:uid="{B96E1B84-C1C9-4D66-A710-36FF842E0D64}"/>
    <cellStyle name="Comma 5 4 2 6 2 3" xfId="10832" xr:uid="{00000000-0005-0000-0000-0000E3230000}"/>
    <cellStyle name="Comma 5 4 2 6 2 3 2" xfId="22378" xr:uid="{A49B8F97-5213-4D8C-A10E-DF90BF9D6215}"/>
    <cellStyle name="Comma 5 4 2 6 2 3 3" xfId="32794" xr:uid="{73FA191E-797F-4F57-A7F9-EC9A29ABAB57}"/>
    <cellStyle name="Comma 5 4 2 6 2 4" xfId="6607" xr:uid="{00000000-0005-0000-0000-0000E4230000}"/>
    <cellStyle name="Comma 5 4 2 6 2 4 2" xfId="18193" xr:uid="{453C6575-D9E7-4AF1-A22B-602CC46647A5}"/>
    <cellStyle name="Comma 5 4 2 6 2 4 3" xfId="28609" xr:uid="{F96C6CF0-C9C7-4C14-8CBB-73EDA03513D7}"/>
    <cellStyle name="Comma 5 4 2 6 2 5" xfId="16016" xr:uid="{1C35C5A9-5D09-4423-BA7B-62A14E1983CF}"/>
    <cellStyle name="Comma 5 4 2 6 2 6" xfId="26432" xr:uid="{71C2F620-9000-4C1F-96F8-1968DF5CB6B3}"/>
    <cellStyle name="Comma 5 4 2 6 3" xfId="3683" xr:uid="{00000000-0005-0000-0000-0000E5230000}"/>
    <cellStyle name="Comma 5 4 2 6 3 2" xfId="3684" xr:uid="{00000000-0005-0000-0000-0000E6230000}"/>
    <cellStyle name="Comma 5 4 2 6 3 2 2" xfId="10835" xr:uid="{00000000-0005-0000-0000-0000E7230000}"/>
    <cellStyle name="Comma 5 4 2 6 3 2 2 2" xfId="22381" xr:uid="{51237114-E375-4999-8A64-8AA58E7B3C3B}"/>
    <cellStyle name="Comma 5 4 2 6 3 2 2 3" xfId="32797" xr:uid="{1A104334-5B87-4344-887E-421BD8C29B7E}"/>
    <cellStyle name="Comma 5 4 2 6 3 2 3" xfId="16019" xr:uid="{294D8D07-2F1C-4C1F-BE06-9D7471A05693}"/>
    <cellStyle name="Comma 5 4 2 6 3 2 4" xfId="26435" xr:uid="{A8CC07F1-D103-42C8-84F8-3B6D9E9CF9EF}"/>
    <cellStyle name="Comma 5 4 2 6 3 3" xfId="10834" xr:uid="{00000000-0005-0000-0000-0000E8230000}"/>
    <cellStyle name="Comma 5 4 2 6 3 3 2" xfId="22380" xr:uid="{74F1A54B-61B0-414C-B8FB-4A56FB9B0159}"/>
    <cellStyle name="Comma 5 4 2 6 3 3 3" xfId="32796" xr:uid="{B9087B1D-0DA3-4FA1-835F-D80E689017F9}"/>
    <cellStyle name="Comma 5 4 2 6 3 4" xfId="6608" xr:uid="{00000000-0005-0000-0000-0000E9230000}"/>
    <cellStyle name="Comma 5 4 2 6 3 4 2" xfId="18194" xr:uid="{DFA9721D-B6C4-4D4C-8442-E52FC205D8C5}"/>
    <cellStyle name="Comma 5 4 2 6 3 4 3" xfId="28610" xr:uid="{020536F3-13EC-4955-A857-56407E34EBA7}"/>
    <cellStyle name="Comma 5 4 2 6 3 5" xfId="16018" xr:uid="{92D9B984-5164-4FD0-A85A-359C5878FAF8}"/>
    <cellStyle name="Comma 5 4 2 6 3 6" xfId="26434" xr:uid="{9433DDC0-B515-48AE-9F76-AA2EFF8C5115}"/>
    <cellStyle name="Comma 5 4 2 6 4" xfId="3685" xr:uid="{00000000-0005-0000-0000-0000EA230000}"/>
    <cellStyle name="Comma 5 4 2 6 4 2" xfId="10836" xr:uid="{00000000-0005-0000-0000-0000EB230000}"/>
    <cellStyle name="Comma 5 4 2 6 4 2 2" xfId="22382" xr:uid="{5374D46B-DF4B-4743-AF8D-4821BDA94821}"/>
    <cellStyle name="Comma 5 4 2 6 4 2 3" xfId="32798" xr:uid="{FFDA5298-29D3-4D92-86F1-E7871067F7F2}"/>
    <cellStyle name="Comma 5 4 2 6 4 3" xfId="16020" xr:uid="{7B3395AE-B337-43A4-A3DD-7708FC0918E2}"/>
    <cellStyle name="Comma 5 4 2 6 4 4" xfId="26436" xr:uid="{B159F795-F09B-4CD6-A69F-F8233BE165EB}"/>
    <cellStyle name="Comma 5 4 2 6 5" xfId="10831" xr:uid="{00000000-0005-0000-0000-0000EC230000}"/>
    <cellStyle name="Comma 5 4 2 6 5 2" xfId="22377" xr:uid="{4616B051-2040-41A7-B375-5F4E97FA38A1}"/>
    <cellStyle name="Comma 5 4 2 6 5 3" xfId="32793" xr:uid="{F212FF76-6CD2-4EDE-85B5-2D1B807A85D7}"/>
    <cellStyle name="Comma 5 4 2 6 6" xfId="6606" xr:uid="{00000000-0005-0000-0000-0000ED230000}"/>
    <cellStyle name="Comma 5 4 2 6 6 2" xfId="18192" xr:uid="{CD08E891-FAD3-4CF9-A8B5-732C53E67D42}"/>
    <cellStyle name="Comma 5 4 2 6 6 3" xfId="28608" xr:uid="{7FDBC3B6-FE70-498A-A7CA-13EC0DEFFC98}"/>
    <cellStyle name="Comma 5 4 2 6 7" xfId="16015" xr:uid="{8D1A5C8B-389F-4FC3-A399-5DDE717EB159}"/>
    <cellStyle name="Comma 5 4 2 6 8" xfId="26431" xr:uid="{8D283CEE-B9B1-4797-8186-D4A254932F9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2 2 2" xfId="22385" xr:uid="{0C60298C-D6F6-42BE-AB0F-2970783A850F}"/>
    <cellStyle name="Comma 5 4 2 7 2 2 2 3" xfId="32801" xr:uid="{79AF4FDF-FE49-4377-9C1E-8CEE170B58E1}"/>
    <cellStyle name="Comma 5 4 2 7 2 2 3" xfId="16023" xr:uid="{47372847-3001-43A5-9B87-E4D299689410}"/>
    <cellStyle name="Comma 5 4 2 7 2 2 4" xfId="26439" xr:uid="{32BFF474-DF30-4081-A960-7D929DACCDF8}"/>
    <cellStyle name="Comma 5 4 2 7 2 3" xfId="10838" xr:uid="{00000000-0005-0000-0000-0000F2230000}"/>
    <cellStyle name="Comma 5 4 2 7 2 3 2" xfId="22384" xr:uid="{33F5F8DB-1FC3-44F7-B68F-DE4C16DD6699}"/>
    <cellStyle name="Comma 5 4 2 7 2 3 3" xfId="32800" xr:uid="{3F232128-8C22-457D-86E2-1E316404CBCD}"/>
    <cellStyle name="Comma 5 4 2 7 2 4" xfId="6610" xr:uid="{00000000-0005-0000-0000-0000F3230000}"/>
    <cellStyle name="Comma 5 4 2 7 2 4 2" xfId="18196" xr:uid="{2BA7B107-4929-41C1-B6C5-7F187304059D}"/>
    <cellStyle name="Comma 5 4 2 7 2 4 3" xfId="28612" xr:uid="{60FCC644-0358-4E1B-BBF1-502D13800F35}"/>
    <cellStyle name="Comma 5 4 2 7 2 5" xfId="16022" xr:uid="{00E9A66A-C778-4287-BF21-742CA52B8651}"/>
    <cellStyle name="Comma 5 4 2 7 2 6" xfId="26438" xr:uid="{57FD8E19-9F6B-4180-B679-00B5B0FF8CAA}"/>
    <cellStyle name="Comma 5 4 2 7 3" xfId="3689" xr:uid="{00000000-0005-0000-0000-0000F4230000}"/>
    <cellStyle name="Comma 5 4 2 7 3 2" xfId="10840" xr:uid="{00000000-0005-0000-0000-0000F5230000}"/>
    <cellStyle name="Comma 5 4 2 7 3 2 2" xfId="22386" xr:uid="{BA2BC088-AF00-44A3-9860-C2A8EDF41568}"/>
    <cellStyle name="Comma 5 4 2 7 3 2 3" xfId="32802" xr:uid="{F2AFE09F-6A11-4E1C-9AB0-71342010599A}"/>
    <cellStyle name="Comma 5 4 2 7 3 3" xfId="16024" xr:uid="{589A9267-506A-4257-9F6C-260ED13382BC}"/>
    <cellStyle name="Comma 5 4 2 7 3 4" xfId="26440" xr:uid="{FAF3A6A9-78A4-42D1-AB42-BF7EE6243528}"/>
    <cellStyle name="Comma 5 4 2 7 4" xfId="10837" xr:uid="{00000000-0005-0000-0000-0000F6230000}"/>
    <cellStyle name="Comma 5 4 2 7 4 2" xfId="22383" xr:uid="{32F7358F-D8C2-4E9D-B746-88D34094EFCB}"/>
    <cellStyle name="Comma 5 4 2 7 4 3" xfId="32799" xr:uid="{7840C259-0875-4842-AEA8-BFDD95C33D89}"/>
    <cellStyle name="Comma 5 4 2 7 5" xfId="6609" xr:uid="{00000000-0005-0000-0000-0000F7230000}"/>
    <cellStyle name="Comma 5 4 2 7 5 2" xfId="18195" xr:uid="{146B39D4-7020-431A-9437-0722A9B86219}"/>
    <cellStyle name="Comma 5 4 2 7 5 3" xfId="28611" xr:uid="{BE274C95-DF78-4034-B7F3-29B82DA64AAF}"/>
    <cellStyle name="Comma 5 4 2 7 6" xfId="16021" xr:uid="{F6B247F5-FF50-47CD-A07C-EAED080D41A1}"/>
    <cellStyle name="Comma 5 4 2 7 7" xfId="26437" xr:uid="{B4716045-BA9A-4F85-9080-47BE7276B8F5}"/>
    <cellStyle name="Comma 5 4 2 8" xfId="3690" xr:uid="{00000000-0005-0000-0000-0000F8230000}"/>
    <cellStyle name="Comma 5 4 2 8 2" xfId="3691" xr:uid="{00000000-0005-0000-0000-0000F9230000}"/>
    <cellStyle name="Comma 5 4 2 8 2 2" xfId="10842" xr:uid="{00000000-0005-0000-0000-0000FA230000}"/>
    <cellStyle name="Comma 5 4 2 8 2 2 2" xfId="22388" xr:uid="{2C1CFB7B-352D-49AD-80A5-8F67AF14249B}"/>
    <cellStyle name="Comma 5 4 2 8 2 2 3" xfId="32804" xr:uid="{F7747526-234E-4AB6-B6ED-8E205E90D016}"/>
    <cellStyle name="Comma 5 4 2 8 2 3" xfId="16026" xr:uid="{248E1F26-D132-4B47-85B7-46CFB8DE8F0F}"/>
    <cellStyle name="Comma 5 4 2 8 2 4" xfId="26442" xr:uid="{A49F0CC2-F0F0-4C64-A476-909FED6D50EB}"/>
    <cellStyle name="Comma 5 4 2 8 3" xfId="10841" xr:uid="{00000000-0005-0000-0000-0000FB230000}"/>
    <cellStyle name="Comma 5 4 2 8 3 2" xfId="22387" xr:uid="{99C47F3A-3E7E-41FB-ADED-CEAA0CD0F9F7}"/>
    <cellStyle name="Comma 5 4 2 8 3 3" xfId="32803" xr:uid="{7BADE64E-589D-4A55-8E3B-81B120991A6A}"/>
    <cellStyle name="Comma 5 4 2 8 4" xfId="6611" xr:uid="{00000000-0005-0000-0000-0000FC230000}"/>
    <cellStyle name="Comma 5 4 2 8 4 2" xfId="18197" xr:uid="{20821AE2-F7E3-4DF0-8517-81A479EA239D}"/>
    <cellStyle name="Comma 5 4 2 8 4 3" xfId="28613" xr:uid="{B37BCCB4-ED7C-4349-BC98-E081A7CA4B87}"/>
    <cellStyle name="Comma 5 4 2 8 5" xfId="16025" xr:uid="{82A83C40-1090-4383-8F48-02E8B6FC42D4}"/>
    <cellStyle name="Comma 5 4 2 8 6" xfId="26441" xr:uid="{4BBF636E-F072-4B4C-A715-74BEA7A60E86}"/>
    <cellStyle name="Comma 5 4 2 9" xfId="3692" xr:uid="{00000000-0005-0000-0000-0000FD230000}"/>
    <cellStyle name="Comma 5 4 2 9 2" xfId="3693" xr:uid="{00000000-0005-0000-0000-0000FE230000}"/>
    <cellStyle name="Comma 5 4 2 9 2 2" xfId="10844" xr:uid="{00000000-0005-0000-0000-0000FF230000}"/>
    <cellStyle name="Comma 5 4 2 9 2 2 2" xfId="22390" xr:uid="{67C1479F-2B01-45DC-9B3E-FBA901C5475F}"/>
    <cellStyle name="Comma 5 4 2 9 2 2 3" xfId="32806" xr:uid="{FA7E3BEB-5AD9-4DFB-B8D6-6C5DEFC78254}"/>
    <cellStyle name="Comma 5 4 2 9 2 3" xfId="16028" xr:uid="{842339A5-3334-4A56-AFFF-007CCA984D60}"/>
    <cellStyle name="Comma 5 4 2 9 2 4" xfId="26444" xr:uid="{B1AEB6AC-02CD-4033-817B-C8AC6354303D}"/>
    <cellStyle name="Comma 5 4 2 9 3" xfId="10843" xr:uid="{00000000-0005-0000-0000-000000240000}"/>
    <cellStyle name="Comma 5 4 2 9 3 2" xfId="22389" xr:uid="{9F0782EF-0B92-427C-9CBB-97298A3A0829}"/>
    <cellStyle name="Comma 5 4 2 9 3 3" xfId="32805" xr:uid="{AC63A024-428F-496C-8C1B-E7BC8D8223B0}"/>
    <cellStyle name="Comma 5 4 2 9 4" xfId="6612" xr:uid="{00000000-0005-0000-0000-000001240000}"/>
    <cellStyle name="Comma 5 4 2 9 4 2" xfId="18198" xr:uid="{FDA24999-3785-4045-9624-24E9042E9647}"/>
    <cellStyle name="Comma 5 4 2 9 4 3" xfId="28614" xr:uid="{2FF8D5E6-30F4-4D20-A387-71AAD8C89CFB}"/>
    <cellStyle name="Comma 5 4 2 9 5" xfId="16027" xr:uid="{1E7D2DC3-83FD-473C-AF16-1C220628A239}"/>
    <cellStyle name="Comma 5 4 2 9 6" xfId="26443" xr:uid="{E9B5B1A3-C3BA-4D45-8E19-8A88A8CDE095}"/>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2 2 2" xfId="22394" xr:uid="{6D02E8B6-D7C9-4965-92C3-4CF4D0648A94}"/>
    <cellStyle name="Comma 5 4 3 2 2 2 2 3" xfId="32810" xr:uid="{5B3C6233-8B52-4D77-A1F8-DA9F9EF7AC8D}"/>
    <cellStyle name="Comma 5 4 3 2 2 2 3" xfId="16032" xr:uid="{F8720770-3796-4E5E-A7F1-F1308D711023}"/>
    <cellStyle name="Comma 5 4 3 2 2 2 4" xfId="26448" xr:uid="{8E55E931-A490-4F5E-82A9-08139191282F}"/>
    <cellStyle name="Comma 5 4 3 2 2 3" xfId="10847" xr:uid="{00000000-0005-0000-0000-000007240000}"/>
    <cellStyle name="Comma 5 4 3 2 2 3 2" xfId="22393" xr:uid="{7293E150-FB2E-43A1-AEE6-46D86563A601}"/>
    <cellStyle name="Comma 5 4 3 2 2 3 3" xfId="32809" xr:uid="{E995E228-5323-4272-8F9E-11969964B9BE}"/>
    <cellStyle name="Comma 5 4 3 2 2 4" xfId="6615" xr:uid="{00000000-0005-0000-0000-000008240000}"/>
    <cellStyle name="Comma 5 4 3 2 2 4 2" xfId="18201" xr:uid="{F4BAF4E2-85BD-4D39-9F11-8D3BFB84FB9F}"/>
    <cellStyle name="Comma 5 4 3 2 2 4 3" xfId="28617" xr:uid="{F0122C47-4F8B-40EF-BCEA-A03A192A93AF}"/>
    <cellStyle name="Comma 5 4 3 2 2 5" xfId="16031" xr:uid="{8E6AF5BB-DE99-44FA-8714-A0AAE21A3B2F}"/>
    <cellStyle name="Comma 5 4 3 2 2 6" xfId="26447" xr:uid="{9FA8E771-6712-4161-B262-06C3AB609C26}"/>
    <cellStyle name="Comma 5 4 3 2 3" xfId="3698" xr:uid="{00000000-0005-0000-0000-000009240000}"/>
    <cellStyle name="Comma 5 4 3 2 3 2" xfId="10849" xr:uid="{00000000-0005-0000-0000-00000A240000}"/>
    <cellStyle name="Comma 5 4 3 2 3 2 2" xfId="22395" xr:uid="{DC780FD5-396C-4D1A-BD9B-9E5D7D3F24D8}"/>
    <cellStyle name="Comma 5 4 3 2 3 2 3" xfId="32811" xr:uid="{C59A50FE-DB36-4A48-A6F0-0C6021486909}"/>
    <cellStyle name="Comma 5 4 3 2 3 3" xfId="16033" xr:uid="{979AD326-8148-4C6F-9D74-0EB66E51CB44}"/>
    <cellStyle name="Comma 5 4 3 2 3 4" xfId="26449" xr:uid="{0E4A5397-7ACE-4A65-A203-7708702D9E31}"/>
    <cellStyle name="Comma 5 4 3 2 4" xfId="10846" xr:uid="{00000000-0005-0000-0000-00000B240000}"/>
    <cellStyle name="Comma 5 4 3 2 4 2" xfId="22392" xr:uid="{BEB0AD86-A83E-40A6-8DC5-5675767B79BE}"/>
    <cellStyle name="Comma 5 4 3 2 4 3" xfId="32808" xr:uid="{BA9AA916-03CA-4384-B892-1A38B7865E45}"/>
    <cellStyle name="Comma 5 4 3 2 5" xfId="6614" xr:uid="{00000000-0005-0000-0000-00000C240000}"/>
    <cellStyle name="Comma 5 4 3 2 5 2" xfId="18200" xr:uid="{D0A11B4B-9CB9-4751-8190-0D992003E902}"/>
    <cellStyle name="Comma 5 4 3 2 5 3" xfId="28616" xr:uid="{0956B144-0240-45AF-A639-EA933C40FFE5}"/>
    <cellStyle name="Comma 5 4 3 2 6" xfId="16030" xr:uid="{DF0267EA-DB5E-4F19-BD7B-A4CFDBF5840E}"/>
    <cellStyle name="Comma 5 4 3 2 7" xfId="26446" xr:uid="{B8458DE8-431F-46ED-BDED-BA04BE335157}"/>
    <cellStyle name="Comma 5 4 3 3" xfId="3699" xr:uid="{00000000-0005-0000-0000-00000D240000}"/>
    <cellStyle name="Comma 5 4 3 3 2" xfId="3700" xr:uid="{00000000-0005-0000-0000-00000E240000}"/>
    <cellStyle name="Comma 5 4 3 3 2 2" xfId="10851" xr:uid="{00000000-0005-0000-0000-00000F240000}"/>
    <cellStyle name="Comma 5 4 3 3 2 2 2" xfId="22397" xr:uid="{8D19A611-4D7A-43A6-BFC9-5C1C86BF1E03}"/>
    <cellStyle name="Comma 5 4 3 3 2 2 3" xfId="32813" xr:uid="{ECDDFF2E-8133-4BE2-A8F8-D1E4B0CBFF9D}"/>
    <cellStyle name="Comma 5 4 3 3 2 3" xfId="16035" xr:uid="{2BD6E537-4BB4-413E-827C-E5BF5F43E154}"/>
    <cellStyle name="Comma 5 4 3 3 2 4" xfId="26451" xr:uid="{EFD056DC-614D-4EF1-8978-8942B2E5C3FC}"/>
    <cellStyle name="Comma 5 4 3 3 3" xfId="10850" xr:uid="{00000000-0005-0000-0000-000010240000}"/>
    <cellStyle name="Comma 5 4 3 3 3 2" xfId="22396" xr:uid="{812CBA40-DD36-401B-B60C-000470FBC3F0}"/>
    <cellStyle name="Comma 5 4 3 3 3 3" xfId="32812" xr:uid="{268E07B1-16D0-41B7-9963-28B14AD7A349}"/>
    <cellStyle name="Comma 5 4 3 3 4" xfId="6616" xr:uid="{00000000-0005-0000-0000-000011240000}"/>
    <cellStyle name="Comma 5 4 3 3 4 2" xfId="18202" xr:uid="{DEEAD331-9675-4839-8A02-5542201E3F54}"/>
    <cellStyle name="Comma 5 4 3 3 4 3" xfId="28618" xr:uid="{F07B2A8F-FEBC-4DA5-8A8A-D035C6582080}"/>
    <cellStyle name="Comma 5 4 3 3 5" xfId="16034" xr:uid="{796675BA-7CE2-4E5D-8BB0-775D0790111A}"/>
    <cellStyle name="Comma 5 4 3 3 6" xfId="26450" xr:uid="{7BB46F20-8444-48DA-BAE7-31255473D3FE}"/>
    <cellStyle name="Comma 5 4 3 4" xfId="3701" xr:uid="{00000000-0005-0000-0000-000012240000}"/>
    <cellStyle name="Comma 5 4 3 4 2" xfId="3702" xr:uid="{00000000-0005-0000-0000-000013240000}"/>
    <cellStyle name="Comma 5 4 3 4 2 2" xfId="10853" xr:uid="{00000000-0005-0000-0000-000014240000}"/>
    <cellStyle name="Comma 5 4 3 4 2 2 2" xfId="22399" xr:uid="{E6AFDD3A-9D20-4B8F-82C5-9CC86502BB9F}"/>
    <cellStyle name="Comma 5 4 3 4 2 2 3" xfId="32815" xr:uid="{556531A3-1971-4E67-84EB-FCA010BE5852}"/>
    <cellStyle name="Comma 5 4 3 4 2 3" xfId="16037" xr:uid="{D49DDCA7-A951-4EE0-B951-C85526EBC0C0}"/>
    <cellStyle name="Comma 5 4 3 4 2 4" xfId="26453" xr:uid="{E9B2948E-CC84-4FD4-B1B7-3B6DD4443B93}"/>
    <cellStyle name="Comma 5 4 3 4 3" xfId="10852" xr:uid="{00000000-0005-0000-0000-000015240000}"/>
    <cellStyle name="Comma 5 4 3 4 3 2" xfId="22398" xr:uid="{9B3DF541-C10F-4863-B5A5-A6BE3ABD00A7}"/>
    <cellStyle name="Comma 5 4 3 4 3 3" xfId="32814" xr:uid="{C9EF27A5-8363-4D70-B5CC-D0D5CDE00C69}"/>
    <cellStyle name="Comma 5 4 3 4 4" xfId="6617" xr:uid="{00000000-0005-0000-0000-000016240000}"/>
    <cellStyle name="Comma 5 4 3 4 4 2" xfId="18203" xr:uid="{CB3BDB2A-00EC-4527-9A9B-419F449DEC25}"/>
    <cellStyle name="Comma 5 4 3 4 4 3" xfId="28619" xr:uid="{4F5A4F44-3258-4653-BA8E-2F64C7A78E88}"/>
    <cellStyle name="Comma 5 4 3 4 5" xfId="16036" xr:uid="{70384949-A0E5-4523-8C72-0F3E9C25DCB9}"/>
    <cellStyle name="Comma 5 4 3 4 6" xfId="26452" xr:uid="{6A792F64-2A54-4C2D-801B-73B678F247CE}"/>
    <cellStyle name="Comma 5 4 3 5" xfId="3703" xr:uid="{00000000-0005-0000-0000-000017240000}"/>
    <cellStyle name="Comma 5 4 3 5 2" xfId="10854" xr:uid="{00000000-0005-0000-0000-000018240000}"/>
    <cellStyle name="Comma 5 4 3 5 2 2" xfId="22400" xr:uid="{ACE14940-13DA-4F81-B42B-A6D1FEC1CA72}"/>
    <cellStyle name="Comma 5 4 3 5 2 3" xfId="32816" xr:uid="{1E0DF803-DEA7-4623-8444-835ADC1FC2C2}"/>
    <cellStyle name="Comma 5 4 3 5 3" xfId="16038" xr:uid="{874BCF51-40D9-4E17-A665-D680022255BD}"/>
    <cellStyle name="Comma 5 4 3 5 4" xfId="26454" xr:uid="{6D2777C4-97EE-4962-998B-6A235F36C985}"/>
    <cellStyle name="Comma 5 4 3 6" xfId="10845" xr:uid="{00000000-0005-0000-0000-000019240000}"/>
    <cellStyle name="Comma 5 4 3 6 2" xfId="22391" xr:uid="{7B3D554C-75C1-475A-AEE6-802364BCE06A}"/>
    <cellStyle name="Comma 5 4 3 6 3" xfId="32807" xr:uid="{A7EF5C17-9A4F-43F7-9C4D-110AF41CA037}"/>
    <cellStyle name="Comma 5 4 3 7" xfId="6613" xr:uid="{00000000-0005-0000-0000-00001A240000}"/>
    <cellStyle name="Comma 5 4 3 7 2" xfId="18199" xr:uid="{03C2BA62-CAB8-46A5-B33D-2E6DB8650216}"/>
    <cellStyle name="Comma 5 4 3 7 3" xfId="28615" xr:uid="{86568F0B-ACCB-4805-AC31-3AD3F8286EE5}"/>
    <cellStyle name="Comma 5 4 3 8" xfId="16029" xr:uid="{191DE233-B2D3-49F3-B8E3-265AD97C5BAE}"/>
    <cellStyle name="Comma 5 4 3 9" xfId="26445" xr:uid="{BAFA0FC3-0BF8-44A6-B3FE-FFEE90971C84}"/>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2 2 2" xfId="22404" xr:uid="{239CEDD4-6150-4EFB-8EB2-F9249192253D}"/>
    <cellStyle name="Comma 5 4 4 2 2 2 2 3" xfId="32820" xr:uid="{4212FDB9-C7F7-42DB-84CE-1A8BCED21A24}"/>
    <cellStyle name="Comma 5 4 4 2 2 2 3" xfId="16042" xr:uid="{0332BE1D-04C1-46EE-9AAF-D3CF8DD0D6C1}"/>
    <cellStyle name="Comma 5 4 4 2 2 2 4" xfId="26458" xr:uid="{A4EB5F65-907A-4A41-A22E-4C9F53189619}"/>
    <cellStyle name="Comma 5 4 4 2 2 3" xfId="10857" xr:uid="{00000000-0005-0000-0000-000020240000}"/>
    <cellStyle name="Comma 5 4 4 2 2 3 2" xfId="22403" xr:uid="{3697EFF7-CCC7-42F9-B05A-D34CA60C2F0D}"/>
    <cellStyle name="Comma 5 4 4 2 2 3 3" xfId="32819" xr:uid="{1849AB07-E920-493C-928C-CBC08EA14104}"/>
    <cellStyle name="Comma 5 4 4 2 2 4" xfId="6620" xr:uid="{00000000-0005-0000-0000-000021240000}"/>
    <cellStyle name="Comma 5 4 4 2 2 4 2" xfId="18206" xr:uid="{DD5023A7-879B-46DF-98BE-8E3877ADAEF5}"/>
    <cellStyle name="Comma 5 4 4 2 2 4 3" xfId="28622" xr:uid="{0C162F40-A7F7-4CD9-A1C9-BDA11A448D6D}"/>
    <cellStyle name="Comma 5 4 4 2 2 5" xfId="16041" xr:uid="{987427D9-321A-423C-A346-17B32D570503}"/>
    <cellStyle name="Comma 5 4 4 2 2 6" xfId="26457" xr:uid="{6F8D41B8-986F-48E1-A718-D3677E4CBD86}"/>
    <cellStyle name="Comma 5 4 4 2 3" xfId="3708" xr:uid="{00000000-0005-0000-0000-000022240000}"/>
    <cellStyle name="Comma 5 4 4 2 3 2" xfId="10859" xr:uid="{00000000-0005-0000-0000-000023240000}"/>
    <cellStyle name="Comma 5 4 4 2 3 2 2" xfId="22405" xr:uid="{53003CD6-61DA-4648-AF7D-6BCCC5A4C18B}"/>
    <cellStyle name="Comma 5 4 4 2 3 2 3" xfId="32821" xr:uid="{946C9B7F-81CE-4A16-9130-B23E0FD318B5}"/>
    <cellStyle name="Comma 5 4 4 2 3 3" xfId="16043" xr:uid="{869D420C-AE2B-4CDE-8156-5A638F551092}"/>
    <cellStyle name="Comma 5 4 4 2 3 4" xfId="26459" xr:uid="{905F34DF-7587-4EAC-AC06-2561082722B8}"/>
    <cellStyle name="Comma 5 4 4 2 4" xfId="10856" xr:uid="{00000000-0005-0000-0000-000024240000}"/>
    <cellStyle name="Comma 5 4 4 2 4 2" xfId="22402" xr:uid="{212FBE4D-52EC-44C5-9A84-B7958264691A}"/>
    <cellStyle name="Comma 5 4 4 2 4 3" xfId="32818" xr:uid="{41183528-8BB8-444C-902E-4BB7252431A1}"/>
    <cellStyle name="Comma 5 4 4 2 5" xfId="6619" xr:uid="{00000000-0005-0000-0000-000025240000}"/>
    <cellStyle name="Comma 5 4 4 2 5 2" xfId="18205" xr:uid="{DA5CC865-1EDB-43B8-98B3-D39F848B9DB1}"/>
    <cellStyle name="Comma 5 4 4 2 5 3" xfId="28621" xr:uid="{C9CA41D6-F163-489B-8C95-9100D747AFF4}"/>
    <cellStyle name="Comma 5 4 4 2 6" xfId="16040" xr:uid="{68E837D2-07FC-4703-8812-48092C78B03D}"/>
    <cellStyle name="Comma 5 4 4 2 7" xfId="26456" xr:uid="{E802D83C-BD14-4420-B270-687F58586D46}"/>
    <cellStyle name="Comma 5 4 4 3" xfId="3709" xr:uid="{00000000-0005-0000-0000-000026240000}"/>
    <cellStyle name="Comma 5 4 4 3 2" xfId="3710" xr:uid="{00000000-0005-0000-0000-000027240000}"/>
    <cellStyle name="Comma 5 4 4 3 2 2" xfId="10861" xr:uid="{00000000-0005-0000-0000-000028240000}"/>
    <cellStyle name="Comma 5 4 4 3 2 2 2" xfId="22407" xr:uid="{90132B30-1551-47E6-B20A-67C686C73522}"/>
    <cellStyle name="Comma 5 4 4 3 2 2 3" xfId="32823" xr:uid="{BCA8F6C5-A1A1-43F5-B7E7-057D1ED4456A}"/>
    <cellStyle name="Comma 5 4 4 3 2 3" xfId="16045" xr:uid="{9C5FD268-8BF2-491B-BA84-C5B62C169A8E}"/>
    <cellStyle name="Comma 5 4 4 3 2 4" xfId="26461" xr:uid="{499670F6-7C88-4CCF-BBAD-F16EAF1DB711}"/>
    <cellStyle name="Comma 5 4 4 3 3" xfId="10860" xr:uid="{00000000-0005-0000-0000-000029240000}"/>
    <cellStyle name="Comma 5 4 4 3 3 2" xfId="22406" xr:uid="{D4AF6B04-0D78-4F2C-A99C-032ECA3132E5}"/>
    <cellStyle name="Comma 5 4 4 3 3 3" xfId="32822" xr:uid="{AF1F1F05-BA34-4310-9B7A-953216A21CF3}"/>
    <cellStyle name="Comma 5 4 4 3 4" xfId="6621" xr:uid="{00000000-0005-0000-0000-00002A240000}"/>
    <cellStyle name="Comma 5 4 4 3 4 2" xfId="18207" xr:uid="{964629F9-1C98-4C36-9217-BE2A1623EDC3}"/>
    <cellStyle name="Comma 5 4 4 3 4 3" xfId="28623" xr:uid="{6F43AEE6-0799-4852-BEDA-CBAC75F656B1}"/>
    <cellStyle name="Comma 5 4 4 3 5" xfId="16044" xr:uid="{37132E93-760B-44EC-B69E-8CBC7611B289}"/>
    <cellStyle name="Comma 5 4 4 3 6" xfId="26460" xr:uid="{3E5AEE83-4D44-41EA-B438-B36DE14E59CC}"/>
    <cellStyle name="Comma 5 4 4 4" xfId="3711" xr:uid="{00000000-0005-0000-0000-00002B240000}"/>
    <cellStyle name="Comma 5 4 4 4 2" xfId="3712" xr:uid="{00000000-0005-0000-0000-00002C240000}"/>
    <cellStyle name="Comma 5 4 4 4 2 2" xfId="10863" xr:uid="{00000000-0005-0000-0000-00002D240000}"/>
    <cellStyle name="Comma 5 4 4 4 2 2 2" xfId="22409" xr:uid="{01BA96E9-6F22-43DC-A335-F21E580867AF}"/>
    <cellStyle name="Comma 5 4 4 4 2 2 3" xfId="32825" xr:uid="{3CD65167-7073-45DE-B8EC-0919D54CF7CB}"/>
    <cellStyle name="Comma 5 4 4 4 2 3" xfId="16047" xr:uid="{3A67D466-D57B-40C1-A0CD-29C09ECA4989}"/>
    <cellStyle name="Comma 5 4 4 4 2 4" xfId="26463" xr:uid="{207CE303-4F88-4F06-A176-B278E19FA7CC}"/>
    <cellStyle name="Comma 5 4 4 4 3" xfId="10862" xr:uid="{00000000-0005-0000-0000-00002E240000}"/>
    <cellStyle name="Comma 5 4 4 4 3 2" xfId="22408" xr:uid="{A3C300D3-14E0-47CA-A922-D84B65364451}"/>
    <cellStyle name="Comma 5 4 4 4 3 3" xfId="32824" xr:uid="{AA56C922-C5A6-4E32-B4A0-BC2B728BF5D8}"/>
    <cellStyle name="Comma 5 4 4 4 4" xfId="6622" xr:uid="{00000000-0005-0000-0000-00002F240000}"/>
    <cellStyle name="Comma 5 4 4 4 4 2" xfId="18208" xr:uid="{B30EE616-7CFC-4A34-9247-0AEFC2B479D3}"/>
    <cellStyle name="Comma 5 4 4 4 4 3" xfId="28624" xr:uid="{50E30A99-E2C7-4303-93B7-F564731E092D}"/>
    <cellStyle name="Comma 5 4 4 4 5" xfId="16046" xr:uid="{459F9E87-39CF-4A54-8A64-541CB3ACF54F}"/>
    <cellStyle name="Comma 5 4 4 4 6" xfId="26462" xr:uid="{D23203B2-C7B9-4579-A29E-42331850772C}"/>
    <cellStyle name="Comma 5 4 4 5" xfId="3713" xr:uid="{00000000-0005-0000-0000-000030240000}"/>
    <cellStyle name="Comma 5 4 4 5 2" xfId="10864" xr:uid="{00000000-0005-0000-0000-000031240000}"/>
    <cellStyle name="Comma 5 4 4 5 2 2" xfId="22410" xr:uid="{757B812D-232D-4958-AF3D-E688D3956978}"/>
    <cellStyle name="Comma 5 4 4 5 2 3" xfId="32826" xr:uid="{161E30A5-3BED-4598-9145-0DE972D63AC3}"/>
    <cellStyle name="Comma 5 4 4 5 3" xfId="16048" xr:uid="{5FB01712-A7A8-49F1-BF61-806B17041AC3}"/>
    <cellStyle name="Comma 5 4 4 5 4" xfId="26464" xr:uid="{D0CA8066-DDCC-4280-B639-9B65CA431C77}"/>
    <cellStyle name="Comma 5 4 4 6" xfId="10855" xr:uid="{00000000-0005-0000-0000-000032240000}"/>
    <cellStyle name="Comma 5 4 4 6 2" xfId="22401" xr:uid="{C7193D71-EFEB-488D-8942-80242DC93307}"/>
    <cellStyle name="Comma 5 4 4 6 3" xfId="32817" xr:uid="{D2C55CD6-7BEB-47C9-8197-AA26933F26B6}"/>
    <cellStyle name="Comma 5 4 4 7" xfId="6618" xr:uid="{00000000-0005-0000-0000-000033240000}"/>
    <cellStyle name="Comma 5 4 4 7 2" xfId="18204" xr:uid="{85125E04-346A-4F69-8C44-7218A937CE46}"/>
    <cellStyle name="Comma 5 4 4 7 3" xfId="28620" xr:uid="{25C1637B-BF24-4586-B2CD-7E3BB712CFDA}"/>
    <cellStyle name="Comma 5 4 4 8" xfId="16039" xr:uid="{2D48FF6A-62F5-4A6B-8CA9-60A8F50E7A13}"/>
    <cellStyle name="Comma 5 4 4 9" xfId="26455" xr:uid="{E803A2B2-2A9F-481C-9650-36550662D3CE}"/>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2 2 2" xfId="22414" xr:uid="{A4FDF890-FDEB-447A-94FA-B5417C508158}"/>
    <cellStyle name="Comma 5 4 5 2 2 2 2 3" xfId="32830" xr:uid="{62C2973B-C2BD-45E0-92E2-C34E7386ACB7}"/>
    <cellStyle name="Comma 5 4 5 2 2 2 3" xfId="16052" xr:uid="{F9A2870D-5D16-415D-A876-DBCAB847F00D}"/>
    <cellStyle name="Comma 5 4 5 2 2 2 4" xfId="26468" xr:uid="{6FA364D3-75F5-408F-9493-B3EC08A6526A}"/>
    <cellStyle name="Comma 5 4 5 2 2 3" xfId="10867" xr:uid="{00000000-0005-0000-0000-000039240000}"/>
    <cellStyle name="Comma 5 4 5 2 2 3 2" xfId="22413" xr:uid="{B2B7E18D-443B-4A9B-B4B7-E808F41CF0A0}"/>
    <cellStyle name="Comma 5 4 5 2 2 3 3" xfId="32829" xr:uid="{00E20244-53B0-461B-9B8E-E9260EA5E469}"/>
    <cellStyle name="Comma 5 4 5 2 2 4" xfId="6625" xr:uid="{00000000-0005-0000-0000-00003A240000}"/>
    <cellStyle name="Comma 5 4 5 2 2 4 2" xfId="18211" xr:uid="{4E8EABFE-B2C2-4296-A496-404E734C4F80}"/>
    <cellStyle name="Comma 5 4 5 2 2 4 3" xfId="28627" xr:uid="{C5BFC54B-FD83-44C9-A4BF-5EA5C89A1E16}"/>
    <cellStyle name="Comma 5 4 5 2 2 5" xfId="16051" xr:uid="{A70765B3-5B67-45A8-A6B3-A5C706A8F521}"/>
    <cellStyle name="Comma 5 4 5 2 2 6" xfId="26467" xr:uid="{C43C4277-7BCA-4774-864E-B67B4E5AF673}"/>
    <cellStyle name="Comma 5 4 5 2 3" xfId="3718" xr:uid="{00000000-0005-0000-0000-00003B240000}"/>
    <cellStyle name="Comma 5 4 5 2 3 2" xfId="10869" xr:uid="{00000000-0005-0000-0000-00003C240000}"/>
    <cellStyle name="Comma 5 4 5 2 3 2 2" xfId="22415" xr:uid="{91198460-4EF1-4791-8CA0-C080AB00F573}"/>
    <cellStyle name="Comma 5 4 5 2 3 2 3" xfId="32831" xr:uid="{7F309ED1-94BC-4C8C-A9C6-2C68CA4B2221}"/>
    <cellStyle name="Comma 5 4 5 2 3 3" xfId="16053" xr:uid="{83CCFE86-BF95-45D1-A483-171CDB82A303}"/>
    <cellStyle name="Comma 5 4 5 2 3 4" xfId="26469" xr:uid="{2FA7B5FB-9C9A-42A5-81F7-06111D8D415E}"/>
    <cellStyle name="Comma 5 4 5 2 4" xfId="10866" xr:uid="{00000000-0005-0000-0000-00003D240000}"/>
    <cellStyle name="Comma 5 4 5 2 4 2" xfId="22412" xr:uid="{D14AE317-5547-4EEE-AC9E-A32D33027895}"/>
    <cellStyle name="Comma 5 4 5 2 4 3" xfId="32828" xr:uid="{0850DEFC-45F0-4F50-A753-D1C6D3043BA4}"/>
    <cellStyle name="Comma 5 4 5 2 5" xfId="6624" xr:uid="{00000000-0005-0000-0000-00003E240000}"/>
    <cellStyle name="Comma 5 4 5 2 5 2" xfId="18210" xr:uid="{3E7D28F0-C361-4C4A-A32A-A9A297E72624}"/>
    <cellStyle name="Comma 5 4 5 2 5 3" xfId="28626" xr:uid="{5A647692-56A9-4D86-922F-F63084F20223}"/>
    <cellStyle name="Comma 5 4 5 2 6" xfId="16050" xr:uid="{68FC5AC9-8CF4-4DDA-8C97-5F06482F73D0}"/>
    <cellStyle name="Comma 5 4 5 2 7" xfId="26466" xr:uid="{3FF1F984-2DD5-46E1-BAB9-752BA70C8504}"/>
    <cellStyle name="Comma 5 4 5 3" xfId="3719" xr:uid="{00000000-0005-0000-0000-00003F240000}"/>
    <cellStyle name="Comma 5 4 5 3 2" xfId="3720" xr:uid="{00000000-0005-0000-0000-000040240000}"/>
    <cellStyle name="Comma 5 4 5 3 2 2" xfId="10871" xr:uid="{00000000-0005-0000-0000-000041240000}"/>
    <cellStyle name="Comma 5 4 5 3 2 2 2" xfId="22417" xr:uid="{4FD4700B-AF24-4250-AC49-5583D94561B5}"/>
    <cellStyle name="Comma 5 4 5 3 2 2 3" xfId="32833" xr:uid="{CF8ACB9B-3EB3-41C7-ADB5-0D6CD893F028}"/>
    <cellStyle name="Comma 5 4 5 3 2 3" xfId="16055" xr:uid="{1BA171B6-81BB-4B01-9D1D-9B12521EF396}"/>
    <cellStyle name="Comma 5 4 5 3 2 4" xfId="26471" xr:uid="{BCE3E523-0125-4A01-BFC8-3B98D987C827}"/>
    <cellStyle name="Comma 5 4 5 3 3" xfId="10870" xr:uid="{00000000-0005-0000-0000-000042240000}"/>
    <cellStyle name="Comma 5 4 5 3 3 2" xfId="22416" xr:uid="{39D6AB86-2B2A-48F0-AC3E-B795599827B0}"/>
    <cellStyle name="Comma 5 4 5 3 3 3" xfId="32832" xr:uid="{98F81B5D-2AD8-4E65-8EBB-85A772C7BA80}"/>
    <cellStyle name="Comma 5 4 5 3 4" xfId="6626" xr:uid="{00000000-0005-0000-0000-000043240000}"/>
    <cellStyle name="Comma 5 4 5 3 4 2" xfId="18212" xr:uid="{F19ECCB1-8DCF-40FB-891F-80C7A32D74C1}"/>
    <cellStyle name="Comma 5 4 5 3 4 3" xfId="28628" xr:uid="{05996575-3C0C-4BF5-BE31-D2BF78E7BD55}"/>
    <cellStyle name="Comma 5 4 5 3 5" xfId="16054" xr:uid="{6E0FAAF3-44E3-4B61-B0DD-EF066AEC114D}"/>
    <cellStyle name="Comma 5 4 5 3 6" xfId="26470" xr:uid="{2183BFF7-43CC-4DF1-B67B-C4A32B39A487}"/>
    <cellStyle name="Comma 5 4 5 4" xfId="3721" xr:uid="{00000000-0005-0000-0000-000044240000}"/>
    <cellStyle name="Comma 5 4 5 4 2" xfId="3722" xr:uid="{00000000-0005-0000-0000-000045240000}"/>
    <cellStyle name="Comma 5 4 5 4 2 2" xfId="10873" xr:uid="{00000000-0005-0000-0000-000046240000}"/>
    <cellStyle name="Comma 5 4 5 4 2 2 2" xfId="22419" xr:uid="{60987B98-A692-4B1F-B238-6D38B9AC30BC}"/>
    <cellStyle name="Comma 5 4 5 4 2 2 3" xfId="32835" xr:uid="{9B8A5268-3A34-4699-95F9-15373116DA13}"/>
    <cellStyle name="Comma 5 4 5 4 2 3" xfId="16057" xr:uid="{F16006BC-6465-44DB-B095-5685B360A0AE}"/>
    <cellStyle name="Comma 5 4 5 4 2 4" xfId="26473" xr:uid="{472AA03C-9CCA-4661-B635-953B4F30183A}"/>
    <cellStyle name="Comma 5 4 5 4 3" xfId="10872" xr:uid="{00000000-0005-0000-0000-000047240000}"/>
    <cellStyle name="Comma 5 4 5 4 3 2" xfId="22418" xr:uid="{032C307D-1A7C-4E3E-AE4A-BA253C7A0945}"/>
    <cellStyle name="Comma 5 4 5 4 3 3" xfId="32834" xr:uid="{1EC65C8B-980C-42E9-B26D-B7B3620EC14A}"/>
    <cellStyle name="Comma 5 4 5 4 4" xfId="6627" xr:uid="{00000000-0005-0000-0000-000048240000}"/>
    <cellStyle name="Comma 5 4 5 4 4 2" xfId="18213" xr:uid="{9268960C-226F-4841-9988-9A6B9E4DB218}"/>
    <cellStyle name="Comma 5 4 5 4 4 3" xfId="28629" xr:uid="{EE75DE28-3C3D-43DD-81AA-1136BD256994}"/>
    <cellStyle name="Comma 5 4 5 4 5" xfId="16056" xr:uid="{8CA9368C-BF6C-4898-8F0E-7F8BA3215EC9}"/>
    <cellStyle name="Comma 5 4 5 4 6" xfId="26472" xr:uid="{2599DD9B-572B-4976-8335-8AFD0251BE7D}"/>
    <cellStyle name="Comma 5 4 5 5" xfId="3723" xr:uid="{00000000-0005-0000-0000-000049240000}"/>
    <cellStyle name="Comma 5 4 5 5 2" xfId="10874" xr:uid="{00000000-0005-0000-0000-00004A240000}"/>
    <cellStyle name="Comma 5 4 5 5 2 2" xfId="22420" xr:uid="{9A060202-8AB3-4E75-8EFC-862FFEB6D9A9}"/>
    <cellStyle name="Comma 5 4 5 5 2 3" xfId="32836" xr:uid="{F0D70DA1-C7FA-4C53-B0BC-1F3C3FD7CAFB}"/>
    <cellStyle name="Comma 5 4 5 5 3" xfId="16058" xr:uid="{50ABC2DE-7D26-40AA-9751-F210F33C02B7}"/>
    <cellStyle name="Comma 5 4 5 5 4" xfId="26474" xr:uid="{195CDA7F-11A5-4560-A93D-7596A95EF6CA}"/>
    <cellStyle name="Comma 5 4 5 6" xfId="10865" xr:uid="{00000000-0005-0000-0000-00004B240000}"/>
    <cellStyle name="Comma 5 4 5 6 2" xfId="22411" xr:uid="{F9FACD0C-36B4-42B2-A677-A4C2983BC66A}"/>
    <cellStyle name="Comma 5 4 5 6 3" xfId="32827" xr:uid="{3EB3028B-B5B1-4F3B-AEC6-83FD589E0716}"/>
    <cellStyle name="Comma 5 4 5 7" xfId="6623" xr:uid="{00000000-0005-0000-0000-00004C240000}"/>
    <cellStyle name="Comma 5 4 5 7 2" xfId="18209" xr:uid="{8A27ADEC-EE9E-44E5-99DA-D5E99BD45E5E}"/>
    <cellStyle name="Comma 5 4 5 7 3" xfId="28625" xr:uid="{CAB3B4BC-1247-4B2A-AAFD-193307C7C8E5}"/>
    <cellStyle name="Comma 5 4 5 8" xfId="16049" xr:uid="{462ACF40-01F9-4927-B83B-C76E05EC5917}"/>
    <cellStyle name="Comma 5 4 5 9" xfId="26465" xr:uid="{601157E8-DF82-416B-9D28-019EF86FAAE2}"/>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2 2 2" xfId="22424" xr:uid="{66445FA7-9792-4AB7-9C82-3BF4767C24E3}"/>
    <cellStyle name="Comma 5 4 6 2 2 2 2 3" xfId="32840" xr:uid="{EEB45245-EF3A-4127-9F3F-08B26BF95A27}"/>
    <cellStyle name="Comma 5 4 6 2 2 2 3" xfId="16062" xr:uid="{B348DCCC-EFF4-4569-9C1E-AD725E200BD2}"/>
    <cellStyle name="Comma 5 4 6 2 2 2 4" xfId="26478" xr:uid="{676D130F-45F9-495E-BDD3-36188ADCEEB5}"/>
    <cellStyle name="Comma 5 4 6 2 2 3" xfId="10877" xr:uid="{00000000-0005-0000-0000-000052240000}"/>
    <cellStyle name="Comma 5 4 6 2 2 3 2" xfId="22423" xr:uid="{95DBDF89-9E49-454C-B43B-7A981CF43851}"/>
    <cellStyle name="Comma 5 4 6 2 2 3 3" xfId="32839" xr:uid="{F9AB10BE-8922-4E8F-A83D-516207AB4268}"/>
    <cellStyle name="Comma 5 4 6 2 2 4" xfId="6630" xr:uid="{00000000-0005-0000-0000-000053240000}"/>
    <cellStyle name="Comma 5 4 6 2 2 4 2" xfId="18216" xr:uid="{C537BE5B-4451-4125-91A7-FE15222CFAE2}"/>
    <cellStyle name="Comma 5 4 6 2 2 4 3" xfId="28632" xr:uid="{830CFC82-22E2-4D1D-B9C9-91085C442986}"/>
    <cellStyle name="Comma 5 4 6 2 2 5" xfId="16061" xr:uid="{B45E4B74-0F16-4BFB-9ED9-2A8056C08D5D}"/>
    <cellStyle name="Comma 5 4 6 2 2 6" xfId="26477" xr:uid="{3C429944-BC14-45CF-B5CC-02097864A309}"/>
    <cellStyle name="Comma 5 4 6 2 3" xfId="3728" xr:uid="{00000000-0005-0000-0000-000054240000}"/>
    <cellStyle name="Comma 5 4 6 2 3 2" xfId="10879" xr:uid="{00000000-0005-0000-0000-000055240000}"/>
    <cellStyle name="Comma 5 4 6 2 3 2 2" xfId="22425" xr:uid="{36C755DE-4EEF-49E1-B3F1-ECCFBB85FF32}"/>
    <cellStyle name="Comma 5 4 6 2 3 2 3" xfId="32841" xr:uid="{5D073C1D-4DE2-4071-8BF7-ED525659D177}"/>
    <cellStyle name="Comma 5 4 6 2 3 3" xfId="16063" xr:uid="{5DC68BC8-BD70-448D-9845-7B7077E99AAE}"/>
    <cellStyle name="Comma 5 4 6 2 3 4" xfId="26479" xr:uid="{DA4446AB-BFE6-454C-BB6B-411F4E6D41BD}"/>
    <cellStyle name="Comma 5 4 6 2 4" xfId="10876" xr:uid="{00000000-0005-0000-0000-000056240000}"/>
    <cellStyle name="Comma 5 4 6 2 4 2" xfId="22422" xr:uid="{3D129C0C-8F5A-4EC9-8FCB-DE6D41934EE1}"/>
    <cellStyle name="Comma 5 4 6 2 4 3" xfId="32838" xr:uid="{5A8CF227-A105-4563-A006-9C73230CB7CB}"/>
    <cellStyle name="Comma 5 4 6 2 5" xfId="6629" xr:uid="{00000000-0005-0000-0000-000057240000}"/>
    <cellStyle name="Comma 5 4 6 2 5 2" xfId="18215" xr:uid="{68936148-CC0A-4C14-A123-68BD44515E92}"/>
    <cellStyle name="Comma 5 4 6 2 5 3" xfId="28631" xr:uid="{E1D135F2-44AA-419F-9F35-F5445F604C67}"/>
    <cellStyle name="Comma 5 4 6 2 6" xfId="16060" xr:uid="{6985E8D5-C867-4CD3-BC1E-91F0864F0F64}"/>
    <cellStyle name="Comma 5 4 6 2 7" xfId="26476" xr:uid="{6A55407C-3083-4579-A6A3-87D7770AE0AD}"/>
    <cellStyle name="Comma 5 4 6 3" xfId="3729" xr:uid="{00000000-0005-0000-0000-000058240000}"/>
    <cellStyle name="Comma 5 4 6 3 2" xfId="3730" xr:uid="{00000000-0005-0000-0000-000059240000}"/>
    <cellStyle name="Comma 5 4 6 3 2 2" xfId="10881" xr:uid="{00000000-0005-0000-0000-00005A240000}"/>
    <cellStyle name="Comma 5 4 6 3 2 2 2" xfId="22427" xr:uid="{FD36251C-54D4-46E5-98A4-BE1CB61495E3}"/>
    <cellStyle name="Comma 5 4 6 3 2 2 3" xfId="32843" xr:uid="{69333A2A-B16F-4203-94B0-77A874F49875}"/>
    <cellStyle name="Comma 5 4 6 3 2 3" xfId="16065" xr:uid="{34A0DCD7-A3B2-47A3-A355-4E5B69B6E8AA}"/>
    <cellStyle name="Comma 5 4 6 3 2 4" xfId="26481" xr:uid="{6FDF380B-82E3-450A-BD25-C278A54E816E}"/>
    <cellStyle name="Comma 5 4 6 3 3" xfId="10880" xr:uid="{00000000-0005-0000-0000-00005B240000}"/>
    <cellStyle name="Comma 5 4 6 3 3 2" xfId="22426" xr:uid="{3D1A6BA3-B7B8-4FA5-A3BA-7F0676401F80}"/>
    <cellStyle name="Comma 5 4 6 3 3 3" xfId="32842" xr:uid="{44398ABD-6C46-4957-B1FE-D3482195B6E5}"/>
    <cellStyle name="Comma 5 4 6 3 4" xfId="6631" xr:uid="{00000000-0005-0000-0000-00005C240000}"/>
    <cellStyle name="Comma 5 4 6 3 4 2" xfId="18217" xr:uid="{2C8B8517-BF79-4FD5-94E8-3B641EFB756A}"/>
    <cellStyle name="Comma 5 4 6 3 4 3" xfId="28633" xr:uid="{932C2922-0F8D-468A-B84F-9E35519EDE03}"/>
    <cellStyle name="Comma 5 4 6 3 5" xfId="16064" xr:uid="{0DD1FD75-D732-40B1-89E2-AE29247C240C}"/>
    <cellStyle name="Comma 5 4 6 3 6" xfId="26480" xr:uid="{6A25629B-C704-4B65-8223-9A5FCE27E4F5}"/>
    <cellStyle name="Comma 5 4 6 4" xfId="3731" xr:uid="{00000000-0005-0000-0000-00005D240000}"/>
    <cellStyle name="Comma 5 4 6 4 2" xfId="3732" xr:uid="{00000000-0005-0000-0000-00005E240000}"/>
    <cellStyle name="Comma 5 4 6 4 2 2" xfId="10883" xr:uid="{00000000-0005-0000-0000-00005F240000}"/>
    <cellStyle name="Comma 5 4 6 4 2 2 2" xfId="22429" xr:uid="{BCB1DB60-4995-4709-9264-B74186B06617}"/>
    <cellStyle name="Comma 5 4 6 4 2 2 3" xfId="32845" xr:uid="{317FE5F0-3239-47D9-B3B9-47F99B84DFFC}"/>
    <cellStyle name="Comma 5 4 6 4 2 3" xfId="16067" xr:uid="{6411FFFF-0809-4E83-BD21-ED9278769CF8}"/>
    <cellStyle name="Comma 5 4 6 4 2 4" xfId="26483" xr:uid="{998EBD04-1AA3-4F51-9590-0F27272B9AC9}"/>
    <cellStyle name="Comma 5 4 6 4 3" xfId="10882" xr:uid="{00000000-0005-0000-0000-000060240000}"/>
    <cellStyle name="Comma 5 4 6 4 3 2" xfId="22428" xr:uid="{8DAD0748-28B8-4EA7-8245-74C051A64C4E}"/>
    <cellStyle name="Comma 5 4 6 4 3 3" xfId="32844" xr:uid="{4A57DAC3-2DCB-47FF-9E51-DA126E6E25FD}"/>
    <cellStyle name="Comma 5 4 6 4 4" xfId="6632" xr:uid="{00000000-0005-0000-0000-000061240000}"/>
    <cellStyle name="Comma 5 4 6 4 4 2" xfId="18218" xr:uid="{E4A8241D-FE42-4652-8ECF-D2F20C5BE798}"/>
    <cellStyle name="Comma 5 4 6 4 4 3" xfId="28634" xr:uid="{EDE99AF0-17BD-44D2-9481-B35FF60BC2B8}"/>
    <cellStyle name="Comma 5 4 6 4 5" xfId="16066" xr:uid="{CF85B69E-5DA8-4337-A670-0CE412E7E896}"/>
    <cellStyle name="Comma 5 4 6 4 6" xfId="26482" xr:uid="{F8F94E17-AB45-4779-BAAC-F7B983519B8F}"/>
    <cellStyle name="Comma 5 4 6 5" xfId="3733" xr:uid="{00000000-0005-0000-0000-000062240000}"/>
    <cellStyle name="Comma 5 4 6 5 2" xfId="10884" xr:uid="{00000000-0005-0000-0000-000063240000}"/>
    <cellStyle name="Comma 5 4 6 5 2 2" xfId="22430" xr:uid="{88683305-F906-4571-BE8C-418E0E294D2C}"/>
    <cellStyle name="Comma 5 4 6 5 2 3" xfId="32846" xr:uid="{E029DEAC-5DE5-4191-9A9B-2C2120A916FA}"/>
    <cellStyle name="Comma 5 4 6 5 3" xfId="16068" xr:uid="{629C9D64-60D0-4B5D-81A6-83D42DDDB890}"/>
    <cellStyle name="Comma 5 4 6 5 4" xfId="26484" xr:uid="{84DC1B1D-FB9E-409D-BDA2-325512495A6A}"/>
    <cellStyle name="Comma 5 4 6 6" xfId="10875" xr:uid="{00000000-0005-0000-0000-000064240000}"/>
    <cellStyle name="Comma 5 4 6 6 2" xfId="22421" xr:uid="{27D84EF9-31A3-4223-8768-F18E1812A2C2}"/>
    <cellStyle name="Comma 5 4 6 6 3" xfId="32837" xr:uid="{58D6577A-97EF-4205-A3C7-EBD039BA56D5}"/>
    <cellStyle name="Comma 5 4 6 7" xfId="6628" xr:uid="{00000000-0005-0000-0000-000065240000}"/>
    <cellStyle name="Comma 5 4 6 7 2" xfId="18214" xr:uid="{26BD1ED8-ADA0-4718-9BB5-4029CE148E77}"/>
    <cellStyle name="Comma 5 4 6 7 3" xfId="28630" xr:uid="{F6B4899A-EE04-4436-BA7E-8B6E3246138C}"/>
    <cellStyle name="Comma 5 4 6 8" xfId="16059" xr:uid="{F2480995-2711-4DE8-A661-D545B47E3192}"/>
    <cellStyle name="Comma 5 4 6 9" xfId="26475" xr:uid="{254BAA3E-749D-4C2D-BE85-A3CE0175D1B8}"/>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2 2 2" xfId="22433" xr:uid="{674F2A3C-B429-4367-9E7A-FB95D7655BAA}"/>
    <cellStyle name="Comma 5 4 7 2 2 2 3" xfId="32849" xr:uid="{DA6FE0B8-CD31-42FF-AEB2-1E7D5964E037}"/>
    <cellStyle name="Comma 5 4 7 2 2 3" xfId="16071" xr:uid="{9F1E47BF-5959-4477-8163-C5F5553D91E4}"/>
    <cellStyle name="Comma 5 4 7 2 2 4" xfId="26487" xr:uid="{01751AA7-6FC0-4375-84D4-C4336276E8F6}"/>
    <cellStyle name="Comma 5 4 7 2 3" xfId="10886" xr:uid="{00000000-0005-0000-0000-00006A240000}"/>
    <cellStyle name="Comma 5 4 7 2 3 2" xfId="22432" xr:uid="{FEFB337B-DEE5-4042-8EE9-98B77F9928E8}"/>
    <cellStyle name="Comma 5 4 7 2 3 3" xfId="32848" xr:uid="{29A77CE5-3154-4E37-9AAE-3C173DDB6EEB}"/>
    <cellStyle name="Comma 5 4 7 2 4" xfId="6634" xr:uid="{00000000-0005-0000-0000-00006B240000}"/>
    <cellStyle name="Comma 5 4 7 2 4 2" xfId="18220" xr:uid="{9777FF6C-5046-4E7E-87A2-3BBD77BC2A10}"/>
    <cellStyle name="Comma 5 4 7 2 4 3" xfId="28636" xr:uid="{BACC920C-DF91-4345-B722-3DD837327260}"/>
    <cellStyle name="Comma 5 4 7 2 5" xfId="16070" xr:uid="{31C20122-2F78-4445-8A31-D69E28F1083D}"/>
    <cellStyle name="Comma 5 4 7 2 6" xfId="26486" xr:uid="{048FD3E1-B065-43F9-AFF0-E4B910CA5D8F}"/>
    <cellStyle name="Comma 5 4 7 3" xfId="3737" xr:uid="{00000000-0005-0000-0000-00006C240000}"/>
    <cellStyle name="Comma 5 4 7 3 2" xfId="3738" xr:uid="{00000000-0005-0000-0000-00006D240000}"/>
    <cellStyle name="Comma 5 4 7 3 2 2" xfId="10889" xr:uid="{00000000-0005-0000-0000-00006E240000}"/>
    <cellStyle name="Comma 5 4 7 3 2 2 2" xfId="22435" xr:uid="{FEDE11AE-E2AC-47C6-B0FF-02A38982DD09}"/>
    <cellStyle name="Comma 5 4 7 3 2 2 3" xfId="32851" xr:uid="{5F47C5E2-F66E-46F9-952B-D3D7146C4714}"/>
    <cellStyle name="Comma 5 4 7 3 2 3" xfId="16073" xr:uid="{39263A08-EE05-47A3-B005-DA8D0FA18D09}"/>
    <cellStyle name="Comma 5 4 7 3 2 4" xfId="26489" xr:uid="{7E0D5ED8-0371-4121-92F6-74C71A196ADB}"/>
    <cellStyle name="Comma 5 4 7 3 3" xfId="10888" xr:uid="{00000000-0005-0000-0000-00006F240000}"/>
    <cellStyle name="Comma 5 4 7 3 3 2" xfId="22434" xr:uid="{AA45B06D-0091-43DA-B177-53C4E80FCA2A}"/>
    <cellStyle name="Comma 5 4 7 3 3 3" xfId="32850" xr:uid="{94519F35-5592-4D2E-9401-756E7E172A00}"/>
    <cellStyle name="Comma 5 4 7 3 4" xfId="6635" xr:uid="{00000000-0005-0000-0000-000070240000}"/>
    <cellStyle name="Comma 5 4 7 3 4 2" xfId="18221" xr:uid="{820508D3-D887-4495-97A3-E17543348F94}"/>
    <cellStyle name="Comma 5 4 7 3 4 3" xfId="28637" xr:uid="{10FA924D-CC3A-4A7B-91C2-8D66C8A61060}"/>
    <cellStyle name="Comma 5 4 7 3 5" xfId="16072" xr:uid="{4C0EBD92-4099-47B1-A87F-502E8858B0B0}"/>
    <cellStyle name="Comma 5 4 7 3 6" xfId="26488" xr:uid="{F5997C24-DDAE-4591-85FF-EEEDB65740AA}"/>
    <cellStyle name="Comma 5 4 7 4" xfId="3739" xr:uid="{00000000-0005-0000-0000-000071240000}"/>
    <cellStyle name="Comma 5 4 7 4 2" xfId="10890" xr:uid="{00000000-0005-0000-0000-000072240000}"/>
    <cellStyle name="Comma 5 4 7 4 2 2" xfId="22436" xr:uid="{963BFE8E-A84A-49DB-A4E5-95E5A66A011F}"/>
    <cellStyle name="Comma 5 4 7 4 2 3" xfId="32852" xr:uid="{04E3B904-98EC-43CC-BB4D-54B86CAFC570}"/>
    <cellStyle name="Comma 5 4 7 4 3" xfId="16074" xr:uid="{A706F637-1850-4B1C-A3C4-F86AEAA328FE}"/>
    <cellStyle name="Comma 5 4 7 4 4" xfId="26490" xr:uid="{E4FE1304-A70F-4226-B59D-A42CCAB8EAAC}"/>
    <cellStyle name="Comma 5 4 7 5" xfId="10885" xr:uid="{00000000-0005-0000-0000-000073240000}"/>
    <cellStyle name="Comma 5 4 7 5 2" xfId="22431" xr:uid="{38B3DE2F-E3E0-4FE4-B424-A98AB831E71F}"/>
    <cellStyle name="Comma 5 4 7 5 3" xfId="32847" xr:uid="{03851F57-E671-4A86-8E44-67D23D587FD5}"/>
    <cellStyle name="Comma 5 4 7 6" xfId="6633" xr:uid="{00000000-0005-0000-0000-000074240000}"/>
    <cellStyle name="Comma 5 4 7 6 2" xfId="18219" xr:uid="{1CA8CDA3-8350-4C36-9E09-D3352F5211F5}"/>
    <cellStyle name="Comma 5 4 7 6 3" xfId="28635" xr:uid="{4030E809-2C5A-4C9F-9EA6-436F75A0BC54}"/>
    <cellStyle name="Comma 5 4 7 7" xfId="16069" xr:uid="{B0224860-7D1A-41E4-B27A-E1ACC7C4BC5E}"/>
    <cellStyle name="Comma 5 4 7 8" xfId="26485" xr:uid="{60A4EE48-C8D5-46E3-A6E0-5D4827B6C221}"/>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2 2 2" xfId="22439" xr:uid="{C1142845-1064-4B23-ADF7-5D811D97D5CB}"/>
    <cellStyle name="Comma 5 4 8 2 2 2 3" xfId="32855" xr:uid="{372A4EA6-6B22-4400-8B27-775FAA5E78B0}"/>
    <cellStyle name="Comma 5 4 8 2 2 3" xfId="16077" xr:uid="{591333DE-B608-4DEC-A695-361E4721D923}"/>
    <cellStyle name="Comma 5 4 8 2 2 4" xfId="26493" xr:uid="{131F3F92-3F9C-4730-BECA-B93DE6B03E69}"/>
    <cellStyle name="Comma 5 4 8 2 3" xfId="10892" xr:uid="{00000000-0005-0000-0000-000079240000}"/>
    <cellStyle name="Comma 5 4 8 2 3 2" xfId="22438" xr:uid="{8240BD29-B079-4E89-908F-9A1602B907D9}"/>
    <cellStyle name="Comma 5 4 8 2 3 3" xfId="32854" xr:uid="{BCA2C2C9-3FAD-42DE-B154-5DE2DFB9F67D}"/>
    <cellStyle name="Comma 5 4 8 2 4" xfId="6637" xr:uid="{00000000-0005-0000-0000-00007A240000}"/>
    <cellStyle name="Comma 5 4 8 2 4 2" xfId="18223" xr:uid="{762708AC-7D1D-4E7C-8A55-733C3EF6C604}"/>
    <cellStyle name="Comma 5 4 8 2 4 3" xfId="28639" xr:uid="{5FEF2353-F0B7-4C37-9E4F-5D28B098DD8F}"/>
    <cellStyle name="Comma 5 4 8 2 5" xfId="16076" xr:uid="{5A190FB3-9DC3-4DB1-BAE3-48297F278730}"/>
    <cellStyle name="Comma 5 4 8 2 6" xfId="26492" xr:uid="{D3E0A622-97BD-4C4A-BBFE-9DB585A3BC5A}"/>
    <cellStyle name="Comma 5 4 8 3" xfId="3743" xr:uid="{00000000-0005-0000-0000-00007B240000}"/>
    <cellStyle name="Comma 5 4 8 3 2" xfId="10894" xr:uid="{00000000-0005-0000-0000-00007C240000}"/>
    <cellStyle name="Comma 5 4 8 3 2 2" xfId="22440" xr:uid="{1A43334F-744D-4DA1-84AF-A5EE37CC6A57}"/>
    <cellStyle name="Comma 5 4 8 3 2 3" xfId="32856" xr:uid="{24F5A76D-7156-484C-A2E3-567C80A35494}"/>
    <cellStyle name="Comma 5 4 8 3 3" xfId="16078" xr:uid="{216A4B5A-D44F-4A03-A5DC-7FBCD09BA1EF}"/>
    <cellStyle name="Comma 5 4 8 3 4" xfId="26494" xr:uid="{EFD1904A-382B-4FCE-BE9D-67A7C49C850B}"/>
    <cellStyle name="Comma 5 4 8 4" xfId="10891" xr:uid="{00000000-0005-0000-0000-00007D240000}"/>
    <cellStyle name="Comma 5 4 8 4 2" xfId="22437" xr:uid="{FFA987E5-9497-4AFD-B3F6-F1E589448F93}"/>
    <cellStyle name="Comma 5 4 8 4 3" xfId="32853" xr:uid="{5A3EB052-7DFD-4CC9-B181-AFA54C4455F0}"/>
    <cellStyle name="Comma 5 4 8 5" xfId="6636" xr:uid="{00000000-0005-0000-0000-00007E240000}"/>
    <cellStyle name="Comma 5 4 8 5 2" xfId="18222" xr:uid="{DB0C4A11-9225-4775-8527-78BAD7F579C2}"/>
    <cellStyle name="Comma 5 4 8 5 3" xfId="28638" xr:uid="{9E8E83A0-B9AD-4E9C-BCBC-42F4E07476EA}"/>
    <cellStyle name="Comma 5 4 8 6" xfId="16075" xr:uid="{92382008-1B3B-4AEE-9CE9-DC07925D3EBD}"/>
    <cellStyle name="Comma 5 4 8 7" xfId="26491" xr:uid="{B4844769-1B26-4FCB-B4D4-63CBD5BAFE0E}"/>
    <cellStyle name="Comma 5 4 9" xfId="3744" xr:uid="{00000000-0005-0000-0000-00007F240000}"/>
    <cellStyle name="Comma 5 4 9 2" xfId="3745" xr:uid="{00000000-0005-0000-0000-000080240000}"/>
    <cellStyle name="Comma 5 4 9 2 2" xfId="10896" xr:uid="{00000000-0005-0000-0000-000081240000}"/>
    <cellStyle name="Comma 5 4 9 2 2 2" xfId="22442" xr:uid="{26471A9D-73EF-4A09-97B0-E272E30B8BA3}"/>
    <cellStyle name="Comma 5 4 9 2 2 3" xfId="32858" xr:uid="{F3E59BC8-1BC5-47B6-9EFB-B91B53D10AC5}"/>
    <cellStyle name="Comma 5 4 9 2 3" xfId="16080" xr:uid="{7141CB0E-B92F-4198-99AF-E6A53E0086FB}"/>
    <cellStyle name="Comma 5 4 9 2 4" xfId="26496" xr:uid="{862F6247-B5C7-4C71-8B8A-A48CF09B8912}"/>
    <cellStyle name="Comma 5 4 9 3" xfId="10895" xr:uid="{00000000-0005-0000-0000-000082240000}"/>
    <cellStyle name="Comma 5 4 9 3 2" xfId="22441" xr:uid="{55B4A9F1-2E6E-4704-857C-42F38A9F596D}"/>
    <cellStyle name="Comma 5 4 9 3 3" xfId="32857" xr:uid="{3E5319FD-A17A-42BD-830E-B7F45CA15BC4}"/>
    <cellStyle name="Comma 5 4 9 4" xfId="6638" xr:uid="{00000000-0005-0000-0000-000083240000}"/>
    <cellStyle name="Comma 5 4 9 4 2" xfId="18224" xr:uid="{A839141A-0C32-40F1-BBA2-AF5AA29FB677}"/>
    <cellStyle name="Comma 5 4 9 4 3" xfId="28640" xr:uid="{2002FD3A-B408-4219-905B-C207D03E2C9E}"/>
    <cellStyle name="Comma 5 4 9 5" xfId="16079" xr:uid="{BC7DE5CE-D691-4437-8480-BCDA3A0DAFCE}"/>
    <cellStyle name="Comma 5 4 9 6" xfId="26495" xr:uid="{561A92E3-2973-4F58-855D-9B669283BA64}"/>
    <cellStyle name="Comma 5 5" xfId="3746" xr:uid="{00000000-0005-0000-0000-000084240000}"/>
    <cellStyle name="Comma 5 5 10" xfId="3747" xr:uid="{00000000-0005-0000-0000-000085240000}"/>
    <cellStyle name="Comma 5 5 10 2" xfId="10898" xr:uid="{00000000-0005-0000-0000-000086240000}"/>
    <cellStyle name="Comma 5 5 10 2 2" xfId="22444" xr:uid="{41976A59-8DF5-4EB7-8F88-9A20EE91AB41}"/>
    <cellStyle name="Comma 5 5 10 2 3" xfId="32860" xr:uid="{DB97C877-158D-49AF-AD01-F7634FA3003A}"/>
    <cellStyle name="Comma 5 5 10 3" xfId="16082" xr:uid="{FCACAEDA-F92F-41D4-92FC-DC21D0E9934F}"/>
    <cellStyle name="Comma 5 5 10 4" xfId="26498" xr:uid="{513CD61D-615E-412B-BA7A-DC9700EB601A}"/>
    <cellStyle name="Comma 5 5 11" xfId="10897" xr:uid="{00000000-0005-0000-0000-000087240000}"/>
    <cellStyle name="Comma 5 5 11 2" xfId="22443" xr:uid="{4BD9CF59-FA5F-4619-9DF4-0709E2F35599}"/>
    <cellStyle name="Comma 5 5 11 3" xfId="32859" xr:uid="{8EA7DEAA-3655-443E-9937-8B0695D5B497}"/>
    <cellStyle name="Comma 5 5 12" xfId="6639" xr:uid="{00000000-0005-0000-0000-000088240000}"/>
    <cellStyle name="Comma 5 5 12 2" xfId="18225" xr:uid="{F7EF203A-0FC8-4B34-AE70-E3F86FF519FD}"/>
    <cellStyle name="Comma 5 5 12 3" xfId="28641" xr:uid="{4D2116BF-2589-410B-82F5-591667F768A5}"/>
    <cellStyle name="Comma 5 5 13" xfId="16081" xr:uid="{0FDFB5B7-C2E9-4853-8D05-AEC21F9A1227}"/>
    <cellStyle name="Comma 5 5 14" xfId="26497" xr:uid="{2EB2F33E-0EB2-4856-83D4-92935B2EE53E}"/>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2 2 2" xfId="22448" xr:uid="{0544F487-5E3E-4780-BB11-D25B49A06E29}"/>
    <cellStyle name="Comma 5 5 2 2 2 2 2 3" xfId="32864" xr:uid="{2678D058-9087-40A2-BEE9-07DB0E519CC6}"/>
    <cellStyle name="Comma 5 5 2 2 2 2 3" xfId="16086" xr:uid="{3032F27D-598F-4D47-87C5-74F57F365DB7}"/>
    <cellStyle name="Comma 5 5 2 2 2 2 4" xfId="26502" xr:uid="{5264F016-3EB3-4D19-9F1A-C42EE95035F2}"/>
    <cellStyle name="Comma 5 5 2 2 2 3" xfId="10901" xr:uid="{00000000-0005-0000-0000-00008E240000}"/>
    <cellStyle name="Comma 5 5 2 2 2 3 2" xfId="22447" xr:uid="{7811E4AF-7A43-470C-A8C7-5F70E42ADAC8}"/>
    <cellStyle name="Comma 5 5 2 2 2 3 3" xfId="32863" xr:uid="{BC148880-68A0-44FB-AD38-D1BCC784FBE3}"/>
    <cellStyle name="Comma 5 5 2 2 2 4" xfId="6642" xr:uid="{00000000-0005-0000-0000-00008F240000}"/>
    <cellStyle name="Comma 5 5 2 2 2 4 2" xfId="18228" xr:uid="{FD0A8317-DF2A-48D5-B7D0-8E5E9717B542}"/>
    <cellStyle name="Comma 5 5 2 2 2 4 3" xfId="28644" xr:uid="{AFBB1EA2-B155-445B-B769-D70DF8564827}"/>
    <cellStyle name="Comma 5 5 2 2 2 5" xfId="16085" xr:uid="{17686EDF-F95E-4B96-BFFE-FBA88E7E15F9}"/>
    <cellStyle name="Comma 5 5 2 2 2 6" xfId="26501" xr:uid="{0E5EA434-8D0B-426D-865B-B8A5561DC386}"/>
    <cellStyle name="Comma 5 5 2 2 3" xfId="3752" xr:uid="{00000000-0005-0000-0000-000090240000}"/>
    <cellStyle name="Comma 5 5 2 2 3 2" xfId="10903" xr:uid="{00000000-0005-0000-0000-000091240000}"/>
    <cellStyle name="Comma 5 5 2 2 3 2 2" xfId="22449" xr:uid="{41256634-A3D5-4A36-A17F-C064D97DBD14}"/>
    <cellStyle name="Comma 5 5 2 2 3 2 3" xfId="32865" xr:uid="{1D60BFCA-6E20-4C1B-A5A4-6CB608A312F9}"/>
    <cellStyle name="Comma 5 5 2 2 3 3" xfId="16087" xr:uid="{3CC5E944-0CDD-4545-97E3-9A755A2F327C}"/>
    <cellStyle name="Comma 5 5 2 2 3 4" xfId="26503" xr:uid="{EF69EC39-75FD-445F-B492-2232FC33BCE3}"/>
    <cellStyle name="Comma 5 5 2 2 4" xfId="10900" xr:uid="{00000000-0005-0000-0000-000092240000}"/>
    <cellStyle name="Comma 5 5 2 2 4 2" xfId="22446" xr:uid="{5CD4FE04-5906-4162-A8E1-4AD4D3F760B5}"/>
    <cellStyle name="Comma 5 5 2 2 4 3" xfId="32862" xr:uid="{3A447DD1-8862-4892-A4CA-214B0FC8CBD1}"/>
    <cellStyle name="Comma 5 5 2 2 5" xfId="6641" xr:uid="{00000000-0005-0000-0000-000093240000}"/>
    <cellStyle name="Comma 5 5 2 2 5 2" xfId="18227" xr:uid="{18E9EFD1-D838-42ED-9A9B-90104314A357}"/>
    <cellStyle name="Comma 5 5 2 2 5 3" xfId="28643" xr:uid="{20384760-0052-4CC8-9B47-73BAE38D5DDD}"/>
    <cellStyle name="Comma 5 5 2 2 6" xfId="16084" xr:uid="{5200EFE1-D4AA-4FDB-80CC-B9D54EF314CA}"/>
    <cellStyle name="Comma 5 5 2 2 7" xfId="26500" xr:uid="{3AB4F7BE-A3CC-4549-83C6-868EC22951DD}"/>
    <cellStyle name="Comma 5 5 2 3" xfId="3753" xr:uid="{00000000-0005-0000-0000-000094240000}"/>
    <cellStyle name="Comma 5 5 2 3 2" xfId="3754" xr:uid="{00000000-0005-0000-0000-000095240000}"/>
    <cellStyle name="Comma 5 5 2 3 2 2" xfId="10905" xr:uid="{00000000-0005-0000-0000-000096240000}"/>
    <cellStyle name="Comma 5 5 2 3 2 2 2" xfId="22451" xr:uid="{4B4CD0D4-EC55-4443-BAB1-FB76EDE74F15}"/>
    <cellStyle name="Comma 5 5 2 3 2 2 3" xfId="32867" xr:uid="{4483EB1A-E59D-4DEA-991E-E035E6B43D17}"/>
    <cellStyle name="Comma 5 5 2 3 2 3" xfId="16089" xr:uid="{41B74FC8-E11B-47CC-9DED-4439EDE919D7}"/>
    <cellStyle name="Comma 5 5 2 3 2 4" xfId="26505" xr:uid="{F1D205BE-FFE0-435E-A6D9-535E95D964C7}"/>
    <cellStyle name="Comma 5 5 2 3 3" xfId="10904" xr:uid="{00000000-0005-0000-0000-000097240000}"/>
    <cellStyle name="Comma 5 5 2 3 3 2" xfId="22450" xr:uid="{1F56A70F-E901-4E3A-9ED5-1EE0C61A28CC}"/>
    <cellStyle name="Comma 5 5 2 3 3 3" xfId="32866" xr:uid="{07B5BB27-D152-4D1B-A7AE-F00A8E307A72}"/>
    <cellStyle name="Comma 5 5 2 3 4" xfId="6643" xr:uid="{00000000-0005-0000-0000-000098240000}"/>
    <cellStyle name="Comma 5 5 2 3 4 2" xfId="18229" xr:uid="{BD0D3F00-3006-4338-B194-0D4820866385}"/>
    <cellStyle name="Comma 5 5 2 3 4 3" xfId="28645" xr:uid="{6671641A-F8A5-4A6C-A048-FE137CF8A175}"/>
    <cellStyle name="Comma 5 5 2 3 5" xfId="16088" xr:uid="{B45345A2-1DF2-412B-AF23-16ACF2465CE1}"/>
    <cellStyle name="Comma 5 5 2 3 6" xfId="26504" xr:uid="{EB2B292C-ED06-4092-9CD3-4D4AA5D08929}"/>
    <cellStyle name="Comma 5 5 2 4" xfId="3755" xr:uid="{00000000-0005-0000-0000-000099240000}"/>
    <cellStyle name="Comma 5 5 2 4 2" xfId="3756" xr:uid="{00000000-0005-0000-0000-00009A240000}"/>
    <cellStyle name="Comma 5 5 2 4 2 2" xfId="10907" xr:uid="{00000000-0005-0000-0000-00009B240000}"/>
    <cellStyle name="Comma 5 5 2 4 2 2 2" xfId="22453" xr:uid="{F4A5094A-4FC1-4127-B1D6-5C007F3ADEF6}"/>
    <cellStyle name="Comma 5 5 2 4 2 2 3" xfId="32869" xr:uid="{3761DF85-D038-4B67-ADD0-8BE84E71BE5B}"/>
    <cellStyle name="Comma 5 5 2 4 2 3" xfId="16091" xr:uid="{83D31377-AAB2-4A00-B480-CD4E00711080}"/>
    <cellStyle name="Comma 5 5 2 4 2 4" xfId="26507" xr:uid="{81407B92-4ADE-45C1-9BAC-0A556E766F13}"/>
    <cellStyle name="Comma 5 5 2 4 3" xfId="10906" xr:uid="{00000000-0005-0000-0000-00009C240000}"/>
    <cellStyle name="Comma 5 5 2 4 3 2" xfId="22452" xr:uid="{ACDE5A14-B4E3-433E-BE1E-3EC47342966D}"/>
    <cellStyle name="Comma 5 5 2 4 3 3" xfId="32868" xr:uid="{33E19D95-CDA9-413E-B355-98C267D5B933}"/>
    <cellStyle name="Comma 5 5 2 4 4" xfId="6644" xr:uid="{00000000-0005-0000-0000-00009D240000}"/>
    <cellStyle name="Comma 5 5 2 4 4 2" xfId="18230" xr:uid="{62D6EDF4-54A6-4E87-9601-7A62A4D52610}"/>
    <cellStyle name="Comma 5 5 2 4 4 3" xfId="28646" xr:uid="{D55B7DAC-B9BE-49DA-A682-E8879D907E69}"/>
    <cellStyle name="Comma 5 5 2 4 5" xfId="16090" xr:uid="{4A2C9443-9FAA-4D98-831C-4735FE18A4DB}"/>
    <cellStyle name="Comma 5 5 2 4 6" xfId="26506" xr:uid="{D65288D2-D9C3-4CF0-892F-1341D15A6459}"/>
    <cellStyle name="Comma 5 5 2 5" xfId="3757" xr:uid="{00000000-0005-0000-0000-00009E240000}"/>
    <cellStyle name="Comma 5 5 2 5 2" xfId="10908" xr:uid="{00000000-0005-0000-0000-00009F240000}"/>
    <cellStyle name="Comma 5 5 2 5 2 2" xfId="22454" xr:uid="{7513BCA3-CFEE-430C-9D17-F97A743F3BF4}"/>
    <cellStyle name="Comma 5 5 2 5 2 3" xfId="32870" xr:uid="{031295DB-BB93-433E-B4B1-23819A962557}"/>
    <cellStyle name="Comma 5 5 2 5 3" xfId="16092" xr:uid="{01D0E99F-F1FF-4E5E-ADF6-3BEA6C71E01E}"/>
    <cellStyle name="Comma 5 5 2 5 4" xfId="26508" xr:uid="{9E779981-5924-4E64-9BC8-E58CC0E6ED15}"/>
    <cellStyle name="Comma 5 5 2 6" xfId="10899" xr:uid="{00000000-0005-0000-0000-0000A0240000}"/>
    <cellStyle name="Comma 5 5 2 6 2" xfId="22445" xr:uid="{B9F31E4C-977E-4BEF-A62E-39AF2F14CB98}"/>
    <cellStyle name="Comma 5 5 2 6 3" xfId="32861" xr:uid="{09FF44FE-DF35-47B4-877A-C623041AD0A7}"/>
    <cellStyle name="Comma 5 5 2 7" xfId="6640" xr:uid="{00000000-0005-0000-0000-0000A1240000}"/>
    <cellStyle name="Comma 5 5 2 7 2" xfId="18226" xr:uid="{4BABF470-C2D2-4A1E-87D8-A90A2E130D36}"/>
    <cellStyle name="Comma 5 5 2 7 3" xfId="28642" xr:uid="{9FD83401-693C-41B1-AEAB-17021366636A}"/>
    <cellStyle name="Comma 5 5 2 8" xfId="16083" xr:uid="{5C91E525-906C-4CBB-959F-A919EFCBC660}"/>
    <cellStyle name="Comma 5 5 2 9" xfId="26499" xr:uid="{A7BDFAF4-8F1B-4813-8C9B-A730C7E41EAD}"/>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2 2 2" xfId="22458" xr:uid="{8E0F6A90-843C-4994-AE45-64FCF437A7DC}"/>
    <cellStyle name="Comma 5 5 3 2 2 2 2 3" xfId="32874" xr:uid="{5CC77903-DBA2-4F79-997C-2D4D8A493E89}"/>
    <cellStyle name="Comma 5 5 3 2 2 2 3" xfId="16096" xr:uid="{B88EBB9E-DBD0-4531-8CD2-6EB7F8078C5C}"/>
    <cellStyle name="Comma 5 5 3 2 2 2 4" xfId="26512" xr:uid="{2F021AE4-4FE9-46F9-8242-D111945A028C}"/>
    <cellStyle name="Comma 5 5 3 2 2 3" xfId="10911" xr:uid="{00000000-0005-0000-0000-0000A7240000}"/>
    <cellStyle name="Comma 5 5 3 2 2 3 2" xfId="22457" xr:uid="{26B039E0-71EA-43AB-B59E-222BC31F5626}"/>
    <cellStyle name="Comma 5 5 3 2 2 3 3" xfId="32873" xr:uid="{18A6CA59-B8F4-4363-9E63-7BCA869E5AFE}"/>
    <cellStyle name="Comma 5 5 3 2 2 4" xfId="6647" xr:uid="{00000000-0005-0000-0000-0000A8240000}"/>
    <cellStyle name="Comma 5 5 3 2 2 4 2" xfId="18233" xr:uid="{43B08709-3661-4EF5-A2E4-E566A369FCDA}"/>
    <cellStyle name="Comma 5 5 3 2 2 4 3" xfId="28649" xr:uid="{E83CB074-82F0-4D17-95AC-A18FAEFF583D}"/>
    <cellStyle name="Comma 5 5 3 2 2 5" xfId="16095" xr:uid="{BD669B27-C394-4B88-A610-CB3C8EDF9CAF}"/>
    <cellStyle name="Comma 5 5 3 2 2 6" xfId="26511" xr:uid="{71FDC1AC-F442-45ED-A8F2-1350D5A1DEB4}"/>
    <cellStyle name="Comma 5 5 3 2 3" xfId="3762" xr:uid="{00000000-0005-0000-0000-0000A9240000}"/>
    <cellStyle name="Comma 5 5 3 2 3 2" xfId="10913" xr:uid="{00000000-0005-0000-0000-0000AA240000}"/>
    <cellStyle name="Comma 5 5 3 2 3 2 2" xfId="22459" xr:uid="{6F79B40B-8916-484D-97E8-BEB4C9BD8549}"/>
    <cellStyle name="Comma 5 5 3 2 3 2 3" xfId="32875" xr:uid="{427C0E51-4DEC-4777-9D74-5D42347A085B}"/>
    <cellStyle name="Comma 5 5 3 2 3 3" xfId="16097" xr:uid="{44487195-BC0D-4183-A497-B3146AD7E7B7}"/>
    <cellStyle name="Comma 5 5 3 2 3 4" xfId="26513" xr:uid="{D9F80B00-65B9-42EB-BDB2-73105EE60442}"/>
    <cellStyle name="Comma 5 5 3 2 4" xfId="10910" xr:uid="{00000000-0005-0000-0000-0000AB240000}"/>
    <cellStyle name="Comma 5 5 3 2 4 2" xfId="22456" xr:uid="{4D26CCF0-E348-4CDD-AE06-11E38699ED1A}"/>
    <cellStyle name="Comma 5 5 3 2 4 3" xfId="32872" xr:uid="{6B8614E4-0678-4C31-B963-FCF7AA21BA94}"/>
    <cellStyle name="Comma 5 5 3 2 5" xfId="6646" xr:uid="{00000000-0005-0000-0000-0000AC240000}"/>
    <cellStyle name="Comma 5 5 3 2 5 2" xfId="18232" xr:uid="{B6B40280-5DD9-42CE-88A0-6F3A76F2A323}"/>
    <cellStyle name="Comma 5 5 3 2 5 3" xfId="28648" xr:uid="{F93B1D92-F48E-4D46-84CD-EE683FD81960}"/>
    <cellStyle name="Comma 5 5 3 2 6" xfId="16094" xr:uid="{929A974A-313F-47DC-9902-81E65D761B34}"/>
    <cellStyle name="Comma 5 5 3 2 7" xfId="26510" xr:uid="{B9546E3D-EE3A-4724-A2CF-FD72FC7DCD6F}"/>
    <cellStyle name="Comma 5 5 3 3" xfId="3763" xr:uid="{00000000-0005-0000-0000-0000AD240000}"/>
    <cellStyle name="Comma 5 5 3 3 2" xfId="3764" xr:uid="{00000000-0005-0000-0000-0000AE240000}"/>
    <cellStyle name="Comma 5 5 3 3 2 2" xfId="10915" xr:uid="{00000000-0005-0000-0000-0000AF240000}"/>
    <cellStyle name="Comma 5 5 3 3 2 2 2" xfId="22461" xr:uid="{3B779B3D-BEB9-410B-A2E9-43D14824B198}"/>
    <cellStyle name="Comma 5 5 3 3 2 2 3" xfId="32877" xr:uid="{7BE90CC8-7076-47B5-8CE6-64099A64313F}"/>
    <cellStyle name="Comma 5 5 3 3 2 3" xfId="16099" xr:uid="{47228756-5B69-482F-B179-C8C0DAD15423}"/>
    <cellStyle name="Comma 5 5 3 3 2 4" xfId="26515" xr:uid="{07D7EC9C-09DC-4B53-971B-2D7ADBEC9AB3}"/>
    <cellStyle name="Comma 5 5 3 3 3" xfId="10914" xr:uid="{00000000-0005-0000-0000-0000B0240000}"/>
    <cellStyle name="Comma 5 5 3 3 3 2" xfId="22460" xr:uid="{F7112F72-9E39-4CFD-9564-D4CCFC089549}"/>
    <cellStyle name="Comma 5 5 3 3 3 3" xfId="32876" xr:uid="{C148EDC0-A69A-4AF5-92A1-1675A937555F}"/>
    <cellStyle name="Comma 5 5 3 3 4" xfId="6648" xr:uid="{00000000-0005-0000-0000-0000B1240000}"/>
    <cellStyle name="Comma 5 5 3 3 4 2" xfId="18234" xr:uid="{A4D6E7D9-1F29-415D-9FE5-22FE2C609BCF}"/>
    <cellStyle name="Comma 5 5 3 3 4 3" xfId="28650" xr:uid="{072C27AB-D5B6-40B3-8AB8-95AA8805B156}"/>
    <cellStyle name="Comma 5 5 3 3 5" xfId="16098" xr:uid="{77AAE3C8-A373-482E-B5CD-1C56AA0BAE4C}"/>
    <cellStyle name="Comma 5 5 3 3 6" xfId="26514" xr:uid="{F3FEF949-8152-466C-B140-9266ACD57F5D}"/>
    <cellStyle name="Comma 5 5 3 4" xfId="3765" xr:uid="{00000000-0005-0000-0000-0000B2240000}"/>
    <cellStyle name="Comma 5 5 3 4 2" xfId="3766" xr:uid="{00000000-0005-0000-0000-0000B3240000}"/>
    <cellStyle name="Comma 5 5 3 4 2 2" xfId="10917" xr:uid="{00000000-0005-0000-0000-0000B4240000}"/>
    <cellStyle name="Comma 5 5 3 4 2 2 2" xfId="22463" xr:uid="{83028147-0204-48E8-BBF4-BF2E1365B8A2}"/>
    <cellStyle name="Comma 5 5 3 4 2 2 3" xfId="32879" xr:uid="{EB06FDBF-76F0-49A2-8397-D376849E76CB}"/>
    <cellStyle name="Comma 5 5 3 4 2 3" xfId="16101" xr:uid="{E3145E8F-E08A-433B-A4B8-5F35ECC690C0}"/>
    <cellStyle name="Comma 5 5 3 4 2 4" xfId="26517" xr:uid="{789EAA8E-2482-4D18-BC2C-16B29337231C}"/>
    <cellStyle name="Comma 5 5 3 4 3" xfId="10916" xr:uid="{00000000-0005-0000-0000-0000B5240000}"/>
    <cellStyle name="Comma 5 5 3 4 3 2" xfId="22462" xr:uid="{08095BF3-6A9A-42ED-93BF-38DA2E58EF34}"/>
    <cellStyle name="Comma 5 5 3 4 3 3" xfId="32878" xr:uid="{D1A57A0E-E31E-450D-9747-C201CC19CC21}"/>
    <cellStyle name="Comma 5 5 3 4 4" xfId="6649" xr:uid="{00000000-0005-0000-0000-0000B6240000}"/>
    <cellStyle name="Comma 5 5 3 4 4 2" xfId="18235" xr:uid="{3805A078-1B94-435F-A3F6-0E813A660C00}"/>
    <cellStyle name="Comma 5 5 3 4 4 3" xfId="28651" xr:uid="{D679FE87-D094-4A60-A759-138AFCCCB58A}"/>
    <cellStyle name="Comma 5 5 3 4 5" xfId="16100" xr:uid="{A450202A-7423-4B5B-926B-C94F2106027A}"/>
    <cellStyle name="Comma 5 5 3 4 6" xfId="26516" xr:uid="{E62229C3-FF5D-4C9C-81FF-2411237D2F00}"/>
    <cellStyle name="Comma 5 5 3 5" xfId="3767" xr:uid="{00000000-0005-0000-0000-0000B7240000}"/>
    <cellStyle name="Comma 5 5 3 5 2" xfId="10918" xr:uid="{00000000-0005-0000-0000-0000B8240000}"/>
    <cellStyle name="Comma 5 5 3 5 2 2" xfId="22464" xr:uid="{082A7405-5382-4511-A4FF-B480DF6BBC27}"/>
    <cellStyle name="Comma 5 5 3 5 2 3" xfId="32880" xr:uid="{433EA196-3BB3-441A-A13D-82902B631A21}"/>
    <cellStyle name="Comma 5 5 3 5 3" xfId="16102" xr:uid="{37C0F7EF-006D-44F4-BACC-8C2836361E3A}"/>
    <cellStyle name="Comma 5 5 3 5 4" xfId="26518" xr:uid="{8AEFCD4F-AF80-44CE-9646-860B3DE50B50}"/>
    <cellStyle name="Comma 5 5 3 6" xfId="10909" xr:uid="{00000000-0005-0000-0000-0000B9240000}"/>
    <cellStyle name="Comma 5 5 3 6 2" xfId="22455" xr:uid="{F9C6A374-467B-45E4-A9C7-03F96E836211}"/>
    <cellStyle name="Comma 5 5 3 6 3" xfId="32871" xr:uid="{266640BF-DABF-4323-A895-34A8487FDC96}"/>
    <cellStyle name="Comma 5 5 3 7" xfId="6645" xr:uid="{00000000-0005-0000-0000-0000BA240000}"/>
    <cellStyle name="Comma 5 5 3 7 2" xfId="18231" xr:uid="{2A8343B8-A604-4124-9928-E1B856B20770}"/>
    <cellStyle name="Comma 5 5 3 7 3" xfId="28647" xr:uid="{3386E883-245F-4C2A-884C-DFAAE067F8CA}"/>
    <cellStyle name="Comma 5 5 3 8" xfId="16093" xr:uid="{64C8770C-285C-4F88-B17E-7E904840B94C}"/>
    <cellStyle name="Comma 5 5 3 9" xfId="26509" xr:uid="{C26FA253-E9E4-40D9-B530-3A766CDA32A2}"/>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2 2 2" xfId="22468" xr:uid="{BB9F94B7-23CA-4F70-A3B7-B8BDA0BE648A}"/>
    <cellStyle name="Comma 5 5 4 2 2 2 2 3" xfId="32884" xr:uid="{7DBF3CA6-095A-48AD-B8AD-E62DAF611DE4}"/>
    <cellStyle name="Comma 5 5 4 2 2 2 3" xfId="16106" xr:uid="{8B19DF11-A619-4C0C-9B68-D6D3079DEE8D}"/>
    <cellStyle name="Comma 5 5 4 2 2 2 4" xfId="26522" xr:uid="{1810E34C-38C4-4324-89A7-51956A6B6177}"/>
    <cellStyle name="Comma 5 5 4 2 2 3" xfId="10921" xr:uid="{00000000-0005-0000-0000-0000C0240000}"/>
    <cellStyle name="Comma 5 5 4 2 2 3 2" xfId="22467" xr:uid="{47383C3B-8CD0-448D-B327-37E0189C6F85}"/>
    <cellStyle name="Comma 5 5 4 2 2 3 3" xfId="32883" xr:uid="{D3A4DB17-2E62-430F-B1F2-684DCAFC5609}"/>
    <cellStyle name="Comma 5 5 4 2 2 4" xfId="6652" xr:uid="{00000000-0005-0000-0000-0000C1240000}"/>
    <cellStyle name="Comma 5 5 4 2 2 4 2" xfId="18238" xr:uid="{868215F3-3065-49F7-B3CA-F7FE66E48D3F}"/>
    <cellStyle name="Comma 5 5 4 2 2 4 3" xfId="28654" xr:uid="{D563AA4D-0698-4D9A-92DE-54F15D24B476}"/>
    <cellStyle name="Comma 5 5 4 2 2 5" xfId="16105" xr:uid="{EAAB0503-E1DE-4168-B253-455DA8AD9B56}"/>
    <cellStyle name="Comma 5 5 4 2 2 6" xfId="26521" xr:uid="{C81692E7-D686-445D-A44C-40737B91DDCD}"/>
    <cellStyle name="Comma 5 5 4 2 3" xfId="3772" xr:uid="{00000000-0005-0000-0000-0000C2240000}"/>
    <cellStyle name="Comma 5 5 4 2 3 2" xfId="10923" xr:uid="{00000000-0005-0000-0000-0000C3240000}"/>
    <cellStyle name="Comma 5 5 4 2 3 2 2" xfId="22469" xr:uid="{B241DB52-CD00-438C-928E-AE7995C52711}"/>
    <cellStyle name="Comma 5 5 4 2 3 2 3" xfId="32885" xr:uid="{09AA45F8-200C-4675-A696-BB456A26457C}"/>
    <cellStyle name="Comma 5 5 4 2 3 3" xfId="16107" xr:uid="{72D9BDD6-A5B8-43A9-817A-13C7338D8B2A}"/>
    <cellStyle name="Comma 5 5 4 2 3 4" xfId="26523" xr:uid="{0FA9397E-719C-495B-8231-3C937B40E757}"/>
    <cellStyle name="Comma 5 5 4 2 4" xfId="10920" xr:uid="{00000000-0005-0000-0000-0000C4240000}"/>
    <cellStyle name="Comma 5 5 4 2 4 2" xfId="22466" xr:uid="{270978CF-6867-4B33-B656-9940E73C72DF}"/>
    <cellStyle name="Comma 5 5 4 2 4 3" xfId="32882" xr:uid="{9B51BF95-4A00-4655-902F-18CC73A86C3D}"/>
    <cellStyle name="Comma 5 5 4 2 5" xfId="6651" xr:uid="{00000000-0005-0000-0000-0000C5240000}"/>
    <cellStyle name="Comma 5 5 4 2 5 2" xfId="18237" xr:uid="{53157524-403A-403F-B675-456C62C35A12}"/>
    <cellStyle name="Comma 5 5 4 2 5 3" xfId="28653" xr:uid="{BB584961-D3C5-4931-B763-B799A6D66A70}"/>
    <cellStyle name="Comma 5 5 4 2 6" xfId="16104" xr:uid="{F35C4D87-3AB4-41A2-9512-3C5E50C767A5}"/>
    <cellStyle name="Comma 5 5 4 2 7" xfId="26520" xr:uid="{863CF1B3-7DB7-4DC2-ADBD-97AF072D1449}"/>
    <cellStyle name="Comma 5 5 4 3" xfId="3773" xr:uid="{00000000-0005-0000-0000-0000C6240000}"/>
    <cellStyle name="Comma 5 5 4 3 2" xfId="3774" xr:uid="{00000000-0005-0000-0000-0000C7240000}"/>
    <cellStyle name="Comma 5 5 4 3 2 2" xfId="10925" xr:uid="{00000000-0005-0000-0000-0000C8240000}"/>
    <cellStyle name="Comma 5 5 4 3 2 2 2" xfId="22471" xr:uid="{65DD3264-15CA-4CE0-AB84-E5EE19C14931}"/>
    <cellStyle name="Comma 5 5 4 3 2 2 3" xfId="32887" xr:uid="{686A285E-5471-4517-BED7-A4DAD2FAE6A1}"/>
    <cellStyle name="Comma 5 5 4 3 2 3" xfId="16109" xr:uid="{DC79A00F-0046-47CA-AA3B-061CBE17E589}"/>
    <cellStyle name="Comma 5 5 4 3 2 4" xfId="26525" xr:uid="{0ECDEEB4-5820-4F07-8691-BA145594000F}"/>
    <cellStyle name="Comma 5 5 4 3 3" xfId="10924" xr:uid="{00000000-0005-0000-0000-0000C9240000}"/>
    <cellStyle name="Comma 5 5 4 3 3 2" xfId="22470" xr:uid="{55C8CF78-7A5B-4E8A-B224-B0CBF34B786D}"/>
    <cellStyle name="Comma 5 5 4 3 3 3" xfId="32886" xr:uid="{870B463A-9CE5-4B91-A76C-4979EB366A2E}"/>
    <cellStyle name="Comma 5 5 4 3 4" xfId="6653" xr:uid="{00000000-0005-0000-0000-0000CA240000}"/>
    <cellStyle name="Comma 5 5 4 3 4 2" xfId="18239" xr:uid="{4033BD28-EA1C-4C77-AB57-59A404005F9E}"/>
    <cellStyle name="Comma 5 5 4 3 4 3" xfId="28655" xr:uid="{8FCABB61-3B55-45C6-A40C-262CDFD1ACF4}"/>
    <cellStyle name="Comma 5 5 4 3 5" xfId="16108" xr:uid="{FC2558DB-A6D2-4899-89A3-0D41BC4FA02B}"/>
    <cellStyle name="Comma 5 5 4 3 6" xfId="26524" xr:uid="{15B69090-AB40-446D-A321-A4C220085C69}"/>
    <cellStyle name="Comma 5 5 4 4" xfId="3775" xr:uid="{00000000-0005-0000-0000-0000CB240000}"/>
    <cellStyle name="Comma 5 5 4 4 2" xfId="3776" xr:uid="{00000000-0005-0000-0000-0000CC240000}"/>
    <cellStyle name="Comma 5 5 4 4 2 2" xfId="10927" xr:uid="{00000000-0005-0000-0000-0000CD240000}"/>
    <cellStyle name="Comma 5 5 4 4 2 2 2" xfId="22473" xr:uid="{37CD6C7C-0904-44FF-BB5D-BAB5CCDACA7B}"/>
    <cellStyle name="Comma 5 5 4 4 2 2 3" xfId="32889" xr:uid="{0F692E62-5AA1-40AF-90AC-1AB078CE9DC4}"/>
    <cellStyle name="Comma 5 5 4 4 2 3" xfId="16111" xr:uid="{92C26F47-F1F7-4CB4-AB99-923F01BC20DA}"/>
    <cellStyle name="Comma 5 5 4 4 2 4" xfId="26527" xr:uid="{7EBFAFC9-9746-4941-8ECA-2F8525BA8D26}"/>
    <cellStyle name="Comma 5 5 4 4 3" xfId="10926" xr:uid="{00000000-0005-0000-0000-0000CE240000}"/>
    <cellStyle name="Comma 5 5 4 4 3 2" xfId="22472" xr:uid="{B29542A6-B523-46CC-B1D4-D0C5A4D79365}"/>
    <cellStyle name="Comma 5 5 4 4 3 3" xfId="32888" xr:uid="{3E3A7DCF-ADF7-4203-B0BC-14A2E5BAFFC0}"/>
    <cellStyle name="Comma 5 5 4 4 4" xfId="6654" xr:uid="{00000000-0005-0000-0000-0000CF240000}"/>
    <cellStyle name="Comma 5 5 4 4 4 2" xfId="18240" xr:uid="{20E2E5C7-AD2A-4BA9-A117-EFF492EA7C98}"/>
    <cellStyle name="Comma 5 5 4 4 4 3" xfId="28656" xr:uid="{CFD64123-AE60-4BBE-8015-F164E34A476D}"/>
    <cellStyle name="Comma 5 5 4 4 5" xfId="16110" xr:uid="{F49FC6B0-9331-4525-9885-139EC6932A33}"/>
    <cellStyle name="Comma 5 5 4 4 6" xfId="26526" xr:uid="{0AB7B54F-136D-4D66-A3B7-451E8760BE69}"/>
    <cellStyle name="Comma 5 5 4 5" xfId="3777" xr:uid="{00000000-0005-0000-0000-0000D0240000}"/>
    <cellStyle name="Comma 5 5 4 5 2" xfId="10928" xr:uid="{00000000-0005-0000-0000-0000D1240000}"/>
    <cellStyle name="Comma 5 5 4 5 2 2" xfId="22474" xr:uid="{6ED69364-49D4-47AA-8027-0086321DE564}"/>
    <cellStyle name="Comma 5 5 4 5 2 3" xfId="32890" xr:uid="{8035AA6C-DE66-45E0-806B-04DC3EE90B6C}"/>
    <cellStyle name="Comma 5 5 4 5 3" xfId="16112" xr:uid="{45F8721A-1FCE-441F-A155-01B0A59460B5}"/>
    <cellStyle name="Comma 5 5 4 5 4" xfId="26528" xr:uid="{8CF5EE3C-E412-4F0A-88DF-A34C027B75D9}"/>
    <cellStyle name="Comma 5 5 4 6" xfId="10919" xr:uid="{00000000-0005-0000-0000-0000D2240000}"/>
    <cellStyle name="Comma 5 5 4 6 2" xfId="22465" xr:uid="{5DA2BA11-3533-4A07-AE3C-FE55CA182D4F}"/>
    <cellStyle name="Comma 5 5 4 6 3" xfId="32881" xr:uid="{01F57D8E-D365-43E2-8DC8-5E53928F6182}"/>
    <cellStyle name="Comma 5 5 4 7" xfId="6650" xr:uid="{00000000-0005-0000-0000-0000D3240000}"/>
    <cellStyle name="Comma 5 5 4 7 2" xfId="18236" xr:uid="{E871C492-3A92-40FA-8264-DC5F2D277FF6}"/>
    <cellStyle name="Comma 5 5 4 7 3" xfId="28652" xr:uid="{290CAE28-55B2-4573-BC82-1FAE43DDCA3F}"/>
    <cellStyle name="Comma 5 5 4 8" xfId="16103" xr:uid="{BB158EBC-A31F-41F6-9A15-3FB7FD25A4B6}"/>
    <cellStyle name="Comma 5 5 4 9" xfId="26519" xr:uid="{1BFF0B42-BBE9-49DD-B2A9-493B5691A065}"/>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2 2 2" xfId="22478" xr:uid="{6EE27884-ADC6-44DF-92C7-EF93569D97B2}"/>
    <cellStyle name="Comma 5 5 5 2 2 2 2 3" xfId="32894" xr:uid="{C11C3A63-BD17-4E50-8B13-A2EFB5F62763}"/>
    <cellStyle name="Comma 5 5 5 2 2 2 3" xfId="16116" xr:uid="{4EF8C9CA-E896-494C-AA46-5A2D007C5A67}"/>
    <cellStyle name="Comma 5 5 5 2 2 2 4" xfId="26532" xr:uid="{0FEC496B-1689-4765-867A-B27500AD76C9}"/>
    <cellStyle name="Comma 5 5 5 2 2 3" xfId="10931" xr:uid="{00000000-0005-0000-0000-0000D9240000}"/>
    <cellStyle name="Comma 5 5 5 2 2 3 2" xfId="22477" xr:uid="{3D1F13BB-4DAC-4089-A23C-35C3F3640859}"/>
    <cellStyle name="Comma 5 5 5 2 2 3 3" xfId="32893" xr:uid="{B8F2A80F-1610-490D-A928-67D9131DE066}"/>
    <cellStyle name="Comma 5 5 5 2 2 4" xfId="6657" xr:uid="{00000000-0005-0000-0000-0000DA240000}"/>
    <cellStyle name="Comma 5 5 5 2 2 4 2" xfId="18243" xr:uid="{FE553E8B-8242-48C9-99FC-D8BF258C9319}"/>
    <cellStyle name="Comma 5 5 5 2 2 4 3" xfId="28659" xr:uid="{7FC7DC43-57E4-4A81-8029-C6265FC3B797}"/>
    <cellStyle name="Comma 5 5 5 2 2 5" xfId="16115" xr:uid="{EE792CAE-4D41-4560-B4AB-CF73EAD9B0E6}"/>
    <cellStyle name="Comma 5 5 5 2 2 6" xfId="26531" xr:uid="{D467DF8F-1C25-4130-BAAA-A21CD7338D6D}"/>
    <cellStyle name="Comma 5 5 5 2 3" xfId="3782" xr:uid="{00000000-0005-0000-0000-0000DB240000}"/>
    <cellStyle name="Comma 5 5 5 2 3 2" xfId="10933" xr:uid="{00000000-0005-0000-0000-0000DC240000}"/>
    <cellStyle name="Comma 5 5 5 2 3 2 2" xfId="22479" xr:uid="{DC826BAB-2267-4A8A-9425-967EC071AF81}"/>
    <cellStyle name="Comma 5 5 5 2 3 2 3" xfId="32895" xr:uid="{D53409B3-BD96-42B6-8766-358A7BAB6B8D}"/>
    <cellStyle name="Comma 5 5 5 2 3 3" xfId="16117" xr:uid="{B2C8F88C-84B3-4F0B-93CA-E9723A8F79F6}"/>
    <cellStyle name="Comma 5 5 5 2 3 4" xfId="26533" xr:uid="{C3C55E7A-E64E-4AE1-9BDC-2ED9A2785C5D}"/>
    <cellStyle name="Comma 5 5 5 2 4" xfId="10930" xr:uid="{00000000-0005-0000-0000-0000DD240000}"/>
    <cellStyle name="Comma 5 5 5 2 4 2" xfId="22476" xr:uid="{8FEBAF76-ECE3-4F91-991E-22A576AB0F30}"/>
    <cellStyle name="Comma 5 5 5 2 4 3" xfId="32892" xr:uid="{D7B63BD5-47A1-46CF-A7E1-294E75919F4A}"/>
    <cellStyle name="Comma 5 5 5 2 5" xfId="6656" xr:uid="{00000000-0005-0000-0000-0000DE240000}"/>
    <cellStyle name="Comma 5 5 5 2 5 2" xfId="18242" xr:uid="{1DC3403E-5EFE-4DA1-B1CF-FEC1B6CF7C86}"/>
    <cellStyle name="Comma 5 5 5 2 5 3" xfId="28658" xr:uid="{CF244E4B-48ED-495F-981E-5D0765BE4159}"/>
    <cellStyle name="Comma 5 5 5 2 6" xfId="16114" xr:uid="{CC7E4FC9-5E4C-42F4-B924-4047C57F8CC8}"/>
    <cellStyle name="Comma 5 5 5 2 7" xfId="26530" xr:uid="{1D8DA504-4C14-4F16-9A85-DAD0D1237EAB}"/>
    <cellStyle name="Comma 5 5 5 3" xfId="3783" xr:uid="{00000000-0005-0000-0000-0000DF240000}"/>
    <cellStyle name="Comma 5 5 5 3 2" xfId="3784" xr:uid="{00000000-0005-0000-0000-0000E0240000}"/>
    <cellStyle name="Comma 5 5 5 3 2 2" xfId="10935" xr:uid="{00000000-0005-0000-0000-0000E1240000}"/>
    <cellStyle name="Comma 5 5 5 3 2 2 2" xfId="22481" xr:uid="{A31DDE92-3008-4B3E-A524-AF6298A6C1BB}"/>
    <cellStyle name="Comma 5 5 5 3 2 2 3" xfId="32897" xr:uid="{05655FA2-CEC0-4DA7-8193-2F956EF92536}"/>
    <cellStyle name="Comma 5 5 5 3 2 3" xfId="16119" xr:uid="{D1B35489-6B4D-4935-871E-43F64254CEA1}"/>
    <cellStyle name="Comma 5 5 5 3 2 4" xfId="26535" xr:uid="{80E33D84-7F22-456D-9680-81D823D6C9E3}"/>
    <cellStyle name="Comma 5 5 5 3 3" xfId="10934" xr:uid="{00000000-0005-0000-0000-0000E2240000}"/>
    <cellStyle name="Comma 5 5 5 3 3 2" xfId="22480" xr:uid="{689ADE00-5F34-4E43-A682-647947D8F263}"/>
    <cellStyle name="Comma 5 5 5 3 3 3" xfId="32896" xr:uid="{2B501C35-8E7C-49FE-9840-00A7F22E272B}"/>
    <cellStyle name="Comma 5 5 5 3 4" xfId="6658" xr:uid="{00000000-0005-0000-0000-0000E3240000}"/>
    <cellStyle name="Comma 5 5 5 3 4 2" xfId="18244" xr:uid="{26A2397A-30FE-47A3-8CC6-12352E4F0D01}"/>
    <cellStyle name="Comma 5 5 5 3 4 3" xfId="28660" xr:uid="{F8A454A5-B40A-497D-9231-0ACD475CD6F6}"/>
    <cellStyle name="Comma 5 5 5 3 5" xfId="16118" xr:uid="{00E7CA54-7ABE-4310-919F-FDA6D65D38FF}"/>
    <cellStyle name="Comma 5 5 5 3 6" xfId="26534" xr:uid="{047BE424-8E47-4414-9C2E-5FEBAC64F625}"/>
    <cellStyle name="Comma 5 5 5 4" xfId="3785" xr:uid="{00000000-0005-0000-0000-0000E4240000}"/>
    <cellStyle name="Comma 5 5 5 4 2" xfId="3786" xr:uid="{00000000-0005-0000-0000-0000E5240000}"/>
    <cellStyle name="Comma 5 5 5 4 2 2" xfId="10937" xr:uid="{00000000-0005-0000-0000-0000E6240000}"/>
    <cellStyle name="Comma 5 5 5 4 2 2 2" xfId="22483" xr:uid="{67510DD0-6189-4260-BD11-88C19D0499FE}"/>
    <cellStyle name="Comma 5 5 5 4 2 2 3" xfId="32899" xr:uid="{170A3285-507D-4B41-B177-93F66B68E8D0}"/>
    <cellStyle name="Comma 5 5 5 4 2 3" xfId="16121" xr:uid="{6048E42F-6A36-46B0-BCFA-02DFDE3F2AEE}"/>
    <cellStyle name="Comma 5 5 5 4 2 4" xfId="26537" xr:uid="{742E3C1D-1522-4011-8FE5-F4C83796A95D}"/>
    <cellStyle name="Comma 5 5 5 4 3" xfId="10936" xr:uid="{00000000-0005-0000-0000-0000E7240000}"/>
    <cellStyle name="Comma 5 5 5 4 3 2" xfId="22482" xr:uid="{0E151723-0DBF-4A7C-A1FF-F3A1902F16D8}"/>
    <cellStyle name="Comma 5 5 5 4 3 3" xfId="32898" xr:uid="{F3371224-0950-4B37-97E1-DB3984DDF3B7}"/>
    <cellStyle name="Comma 5 5 5 4 4" xfId="6659" xr:uid="{00000000-0005-0000-0000-0000E8240000}"/>
    <cellStyle name="Comma 5 5 5 4 4 2" xfId="18245" xr:uid="{0244116F-8F1B-49FC-BDA0-C85706931DAA}"/>
    <cellStyle name="Comma 5 5 5 4 4 3" xfId="28661" xr:uid="{64BC669E-7E6C-4813-B7A1-0126D957AED3}"/>
    <cellStyle name="Comma 5 5 5 4 5" xfId="16120" xr:uid="{494441E9-B769-4F92-9B16-E79A5E789A9F}"/>
    <cellStyle name="Comma 5 5 5 4 6" xfId="26536" xr:uid="{2BF43044-9C2B-4938-9EE7-5E2FA268B48C}"/>
    <cellStyle name="Comma 5 5 5 5" xfId="3787" xr:uid="{00000000-0005-0000-0000-0000E9240000}"/>
    <cellStyle name="Comma 5 5 5 5 2" xfId="10938" xr:uid="{00000000-0005-0000-0000-0000EA240000}"/>
    <cellStyle name="Comma 5 5 5 5 2 2" xfId="22484" xr:uid="{C9333421-1448-4881-87DD-91285E4A6E51}"/>
    <cellStyle name="Comma 5 5 5 5 2 3" xfId="32900" xr:uid="{05656103-325C-45E5-9574-1CEBF0238E66}"/>
    <cellStyle name="Comma 5 5 5 5 3" xfId="16122" xr:uid="{166F1E37-4833-4511-91BD-05E032383354}"/>
    <cellStyle name="Comma 5 5 5 5 4" xfId="26538" xr:uid="{AE2A32B4-8847-4F42-B7B8-338ABBA68AD2}"/>
    <cellStyle name="Comma 5 5 5 6" xfId="10929" xr:uid="{00000000-0005-0000-0000-0000EB240000}"/>
    <cellStyle name="Comma 5 5 5 6 2" xfId="22475" xr:uid="{08682DC6-716C-4379-AFBF-890B626A8010}"/>
    <cellStyle name="Comma 5 5 5 6 3" xfId="32891" xr:uid="{6923D364-85FD-44AC-8C2C-37EE249AC52E}"/>
    <cellStyle name="Comma 5 5 5 7" xfId="6655" xr:uid="{00000000-0005-0000-0000-0000EC240000}"/>
    <cellStyle name="Comma 5 5 5 7 2" xfId="18241" xr:uid="{1A765D58-A0BB-47BD-93D5-2ACC699A96B6}"/>
    <cellStyle name="Comma 5 5 5 7 3" xfId="28657" xr:uid="{1FC8C967-7E20-495C-8A87-184DF819DAE3}"/>
    <cellStyle name="Comma 5 5 5 8" xfId="16113" xr:uid="{69B7B83B-7C5F-4028-8EC5-3A55287BEBA6}"/>
    <cellStyle name="Comma 5 5 5 9" xfId="26529" xr:uid="{1A37CA0B-6FF6-41F0-BB9F-F4D8541A348E}"/>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2 2 2" xfId="22487" xr:uid="{42B16C9F-D571-4541-A7B4-3895064B8F63}"/>
    <cellStyle name="Comma 5 5 6 2 2 2 3" xfId="32903" xr:uid="{DC8A7FE8-4116-4BE1-88D9-10921D02728A}"/>
    <cellStyle name="Comma 5 5 6 2 2 3" xfId="16125" xr:uid="{2C599770-AE00-4DE9-B339-13C70089759A}"/>
    <cellStyle name="Comma 5 5 6 2 2 4" xfId="26541" xr:uid="{86724CB4-AB86-4EC6-BAAE-B1FF94FCB3B3}"/>
    <cellStyle name="Comma 5 5 6 2 3" xfId="10940" xr:uid="{00000000-0005-0000-0000-0000F1240000}"/>
    <cellStyle name="Comma 5 5 6 2 3 2" xfId="22486" xr:uid="{74D601B5-D36B-49AD-AEC2-DA52E7DD0B45}"/>
    <cellStyle name="Comma 5 5 6 2 3 3" xfId="32902" xr:uid="{F3A69941-C1FE-4A11-B6F5-C18E36618D9A}"/>
    <cellStyle name="Comma 5 5 6 2 4" xfId="6661" xr:uid="{00000000-0005-0000-0000-0000F2240000}"/>
    <cellStyle name="Comma 5 5 6 2 4 2" xfId="18247" xr:uid="{9FDE8E14-B6A7-4245-A888-D06DB50E93C8}"/>
    <cellStyle name="Comma 5 5 6 2 4 3" xfId="28663" xr:uid="{86C2D302-3291-4C6F-93CF-CFB5FDF4DF4D}"/>
    <cellStyle name="Comma 5 5 6 2 5" xfId="16124" xr:uid="{843F51DD-8218-422D-9191-0E5352230BEB}"/>
    <cellStyle name="Comma 5 5 6 2 6" xfId="26540" xr:uid="{4907E218-4700-4AAD-9BEF-3FC8FAF6303C}"/>
    <cellStyle name="Comma 5 5 6 3" xfId="3791" xr:uid="{00000000-0005-0000-0000-0000F3240000}"/>
    <cellStyle name="Comma 5 5 6 3 2" xfId="3792" xr:uid="{00000000-0005-0000-0000-0000F4240000}"/>
    <cellStyle name="Comma 5 5 6 3 2 2" xfId="10943" xr:uid="{00000000-0005-0000-0000-0000F5240000}"/>
    <cellStyle name="Comma 5 5 6 3 2 2 2" xfId="22489" xr:uid="{123A1436-615B-42D9-BDAB-0541663F81FD}"/>
    <cellStyle name="Comma 5 5 6 3 2 2 3" xfId="32905" xr:uid="{2F4041B5-EF96-4F06-B7A1-F569768A2167}"/>
    <cellStyle name="Comma 5 5 6 3 2 3" xfId="16127" xr:uid="{F4C8F5AB-75C9-41F2-BD5C-75CCF2EAED81}"/>
    <cellStyle name="Comma 5 5 6 3 2 4" xfId="26543" xr:uid="{6530EC25-CC5A-4F5B-A73F-B531888C0F5A}"/>
    <cellStyle name="Comma 5 5 6 3 3" xfId="10942" xr:uid="{00000000-0005-0000-0000-0000F6240000}"/>
    <cellStyle name="Comma 5 5 6 3 3 2" xfId="22488" xr:uid="{1DA7F37B-F145-46D5-ACE3-4FD34DFB89A7}"/>
    <cellStyle name="Comma 5 5 6 3 3 3" xfId="32904" xr:uid="{79A5A00C-5D86-4161-B7A8-485D0F697094}"/>
    <cellStyle name="Comma 5 5 6 3 4" xfId="6662" xr:uid="{00000000-0005-0000-0000-0000F7240000}"/>
    <cellStyle name="Comma 5 5 6 3 4 2" xfId="18248" xr:uid="{78F87216-8054-4387-A1D3-D3EC2AD9C344}"/>
    <cellStyle name="Comma 5 5 6 3 4 3" xfId="28664" xr:uid="{93C17E95-4BC0-40C4-80A4-CE74F765B2C6}"/>
    <cellStyle name="Comma 5 5 6 3 5" xfId="16126" xr:uid="{AC5EE2A1-C37B-48FE-8F09-230F034A3D19}"/>
    <cellStyle name="Comma 5 5 6 3 6" xfId="26542" xr:uid="{3EF27D7B-F00F-4CCF-8456-4BFEAACCE3E9}"/>
    <cellStyle name="Comma 5 5 6 4" xfId="3793" xr:uid="{00000000-0005-0000-0000-0000F8240000}"/>
    <cellStyle name="Comma 5 5 6 4 2" xfId="10944" xr:uid="{00000000-0005-0000-0000-0000F9240000}"/>
    <cellStyle name="Comma 5 5 6 4 2 2" xfId="22490" xr:uid="{7A783268-E1E4-4D30-BBDC-87569F3CD84C}"/>
    <cellStyle name="Comma 5 5 6 4 2 3" xfId="32906" xr:uid="{E6D79008-7B41-4664-B21E-C34518A75ED9}"/>
    <cellStyle name="Comma 5 5 6 4 3" xfId="16128" xr:uid="{CD3DAFB2-7F94-4A33-8522-28E7092E5C84}"/>
    <cellStyle name="Comma 5 5 6 4 4" xfId="26544" xr:uid="{24331754-8E53-4778-BEE4-71BE47B57EDB}"/>
    <cellStyle name="Comma 5 5 6 5" xfId="10939" xr:uid="{00000000-0005-0000-0000-0000FA240000}"/>
    <cellStyle name="Comma 5 5 6 5 2" xfId="22485" xr:uid="{B6E13877-D4CD-4825-8A0B-DDB13896C2D5}"/>
    <cellStyle name="Comma 5 5 6 5 3" xfId="32901" xr:uid="{4E4D1F63-4847-418A-8BA2-1CA3B9492421}"/>
    <cellStyle name="Comma 5 5 6 6" xfId="6660" xr:uid="{00000000-0005-0000-0000-0000FB240000}"/>
    <cellStyle name="Comma 5 5 6 6 2" xfId="18246" xr:uid="{EC7D835C-4C3A-468B-9C2E-B8EDE0B99E4C}"/>
    <cellStyle name="Comma 5 5 6 6 3" xfId="28662" xr:uid="{752BD86D-A5D8-450B-B78E-D40985F478CF}"/>
    <cellStyle name="Comma 5 5 6 7" xfId="16123" xr:uid="{C2D5A58C-1CDD-4111-8195-745CD866DD5C}"/>
    <cellStyle name="Comma 5 5 6 8" xfId="26539" xr:uid="{B00FA352-76DC-4E2A-B4FD-9C529CCDAFCF}"/>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2 2 2" xfId="22493" xr:uid="{E1DCBC50-634E-4C4A-8AA9-D14C8B647FC9}"/>
    <cellStyle name="Comma 5 5 7 2 2 2 3" xfId="32909" xr:uid="{F9A3E7C4-050D-4FB7-BFE4-10F0B1C91711}"/>
    <cellStyle name="Comma 5 5 7 2 2 3" xfId="16131" xr:uid="{E490D0F2-7B55-4017-86E9-6491C7DCBAEA}"/>
    <cellStyle name="Comma 5 5 7 2 2 4" xfId="26547" xr:uid="{B0A02CE4-F66F-422F-8530-B19CD0397585}"/>
    <cellStyle name="Comma 5 5 7 2 3" xfId="10946" xr:uid="{00000000-0005-0000-0000-000000250000}"/>
    <cellStyle name="Comma 5 5 7 2 3 2" xfId="22492" xr:uid="{C1D86C06-AC0A-4AAE-935E-267706DD80A9}"/>
    <cellStyle name="Comma 5 5 7 2 3 3" xfId="32908" xr:uid="{8CBF4850-DFF7-47DC-8FEF-88612C2D3912}"/>
    <cellStyle name="Comma 5 5 7 2 4" xfId="6664" xr:uid="{00000000-0005-0000-0000-000001250000}"/>
    <cellStyle name="Comma 5 5 7 2 4 2" xfId="18250" xr:uid="{E99E1625-CD6C-439C-9EA1-BDE825053D9E}"/>
    <cellStyle name="Comma 5 5 7 2 4 3" xfId="28666" xr:uid="{CD0ABBA1-16C1-4326-A7B1-840BD80F5A22}"/>
    <cellStyle name="Comma 5 5 7 2 5" xfId="16130" xr:uid="{4D74F27B-6504-4224-8641-BA4A17AAD0F7}"/>
    <cellStyle name="Comma 5 5 7 2 6" xfId="26546" xr:uid="{C3E08E8D-18B8-420F-8F3D-E4B7652D8FC6}"/>
    <cellStyle name="Comma 5 5 7 3" xfId="3797" xr:uid="{00000000-0005-0000-0000-000002250000}"/>
    <cellStyle name="Comma 5 5 7 3 2" xfId="10948" xr:uid="{00000000-0005-0000-0000-000003250000}"/>
    <cellStyle name="Comma 5 5 7 3 2 2" xfId="22494" xr:uid="{CD0186C0-2DDC-4F95-85F2-15216A78BE95}"/>
    <cellStyle name="Comma 5 5 7 3 2 3" xfId="32910" xr:uid="{5EADACB7-B22D-4B69-97EA-B9CE6DE93313}"/>
    <cellStyle name="Comma 5 5 7 3 3" xfId="16132" xr:uid="{666C9141-2EAD-4B67-B416-7921241E719D}"/>
    <cellStyle name="Comma 5 5 7 3 4" xfId="26548" xr:uid="{3C1DD165-3180-4F5B-AF08-11B6D501AFF0}"/>
    <cellStyle name="Comma 5 5 7 4" xfId="10945" xr:uid="{00000000-0005-0000-0000-000004250000}"/>
    <cellStyle name="Comma 5 5 7 4 2" xfId="22491" xr:uid="{A9949267-14AA-4E23-BAAF-97EDDD463708}"/>
    <cellStyle name="Comma 5 5 7 4 3" xfId="32907" xr:uid="{0F01C485-F38E-46A3-9F3D-7ECD70D9800E}"/>
    <cellStyle name="Comma 5 5 7 5" xfId="6663" xr:uid="{00000000-0005-0000-0000-000005250000}"/>
    <cellStyle name="Comma 5 5 7 5 2" xfId="18249" xr:uid="{62D8F4E6-DEC0-4714-B9C1-3305421B6728}"/>
    <cellStyle name="Comma 5 5 7 5 3" xfId="28665" xr:uid="{1CAAB7F6-CE15-4DD6-A770-EB8089E46BF2}"/>
    <cellStyle name="Comma 5 5 7 6" xfId="16129" xr:uid="{6F0BCF69-3B5D-4BB7-A3F0-A960854F369A}"/>
    <cellStyle name="Comma 5 5 7 7" xfId="26545" xr:uid="{D8DC9C12-93CE-4036-BA3A-9E719D83380F}"/>
    <cellStyle name="Comma 5 5 8" xfId="3798" xr:uid="{00000000-0005-0000-0000-000006250000}"/>
    <cellStyle name="Comma 5 5 8 2" xfId="3799" xr:uid="{00000000-0005-0000-0000-000007250000}"/>
    <cellStyle name="Comma 5 5 8 2 2" xfId="10950" xr:uid="{00000000-0005-0000-0000-000008250000}"/>
    <cellStyle name="Comma 5 5 8 2 2 2" xfId="22496" xr:uid="{1B249F2E-BDA5-4C1D-A04C-1CF19EE30300}"/>
    <cellStyle name="Comma 5 5 8 2 2 3" xfId="32912" xr:uid="{40962F3E-952D-46A8-81A0-14C063DE8928}"/>
    <cellStyle name="Comma 5 5 8 2 3" xfId="16134" xr:uid="{2FB1E79F-2596-42B4-AA51-9E94E7AA1A12}"/>
    <cellStyle name="Comma 5 5 8 2 4" xfId="26550" xr:uid="{E6317B60-2B04-49FF-B26A-3FA128D16FD8}"/>
    <cellStyle name="Comma 5 5 8 3" xfId="10949" xr:uid="{00000000-0005-0000-0000-000009250000}"/>
    <cellStyle name="Comma 5 5 8 3 2" xfId="22495" xr:uid="{1F217B07-D14A-4799-AF79-E6CA219FA48F}"/>
    <cellStyle name="Comma 5 5 8 3 3" xfId="32911" xr:uid="{575D7E46-C193-402A-BF91-76340EDB8C21}"/>
    <cellStyle name="Comma 5 5 8 4" xfId="6665" xr:uid="{00000000-0005-0000-0000-00000A250000}"/>
    <cellStyle name="Comma 5 5 8 4 2" xfId="18251" xr:uid="{F81ED543-983B-45BD-9E1C-D124CC831943}"/>
    <cellStyle name="Comma 5 5 8 4 3" xfId="28667" xr:uid="{C64A6355-C933-4D7F-A137-656FE731739D}"/>
    <cellStyle name="Comma 5 5 8 5" xfId="16133" xr:uid="{16BF220B-93F1-4604-A47D-0787FB430188}"/>
    <cellStyle name="Comma 5 5 8 6" xfId="26549" xr:uid="{3656E167-8946-4C1F-8A7C-60DDBA740111}"/>
    <cellStyle name="Comma 5 5 9" xfId="3800" xr:uid="{00000000-0005-0000-0000-00000B250000}"/>
    <cellStyle name="Comma 5 5 9 2" xfId="3801" xr:uid="{00000000-0005-0000-0000-00000C250000}"/>
    <cellStyle name="Comma 5 5 9 2 2" xfId="10952" xr:uid="{00000000-0005-0000-0000-00000D250000}"/>
    <cellStyle name="Comma 5 5 9 2 2 2" xfId="22498" xr:uid="{23C7733F-0EA6-413B-A5E2-9BAFE12F3074}"/>
    <cellStyle name="Comma 5 5 9 2 2 3" xfId="32914" xr:uid="{9BAEAD89-3BA4-46F8-BDDB-5D3C0188AD61}"/>
    <cellStyle name="Comma 5 5 9 2 3" xfId="16136" xr:uid="{BEE9B54C-E311-4A8B-A12B-F6FFE9FBDE4F}"/>
    <cellStyle name="Comma 5 5 9 2 4" xfId="26552" xr:uid="{98329453-015E-4781-9F49-DAE454B9EDD9}"/>
    <cellStyle name="Comma 5 5 9 3" xfId="10951" xr:uid="{00000000-0005-0000-0000-00000E250000}"/>
    <cellStyle name="Comma 5 5 9 3 2" xfId="22497" xr:uid="{8244F07A-F4E9-4201-AC17-630BDBF405C6}"/>
    <cellStyle name="Comma 5 5 9 3 3" xfId="32913" xr:uid="{364B6948-A175-4F11-85CC-148DF0BF1084}"/>
    <cellStyle name="Comma 5 5 9 4" xfId="6666" xr:uid="{00000000-0005-0000-0000-00000F250000}"/>
    <cellStyle name="Comma 5 5 9 4 2" xfId="18252" xr:uid="{8FA8E6CB-EC4F-4158-8214-65D840EC2B6F}"/>
    <cellStyle name="Comma 5 5 9 4 3" xfId="28668" xr:uid="{B98B1F2D-074B-4381-8A2E-7420E21F81C2}"/>
    <cellStyle name="Comma 5 5 9 5" xfId="16135" xr:uid="{E0830585-8EA7-41E6-B5A4-9202BB63B866}"/>
    <cellStyle name="Comma 5 5 9 6" xfId="26551" xr:uid="{2C9DF2C7-A42A-493B-B29A-8EC8FB00405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2 2 2" xfId="22502" xr:uid="{FF40F50E-A788-4B82-81C9-A3072BFDB339}"/>
    <cellStyle name="Comma 5 6 2 2 2 2 3" xfId="32918" xr:uid="{7B3831DE-C7CA-42A9-BB15-6D6852D963FA}"/>
    <cellStyle name="Comma 5 6 2 2 2 3" xfId="16140" xr:uid="{99A023F7-0831-40C7-AC3E-03391BA9A1B8}"/>
    <cellStyle name="Comma 5 6 2 2 2 4" xfId="26556" xr:uid="{131155A6-A5A8-452C-9B4D-81C8820407F1}"/>
    <cellStyle name="Comma 5 6 2 2 3" xfId="10955" xr:uid="{00000000-0005-0000-0000-000015250000}"/>
    <cellStyle name="Comma 5 6 2 2 3 2" xfId="22501" xr:uid="{97A74921-EAC4-4D99-8C61-3FC3FAABCEE3}"/>
    <cellStyle name="Comma 5 6 2 2 3 3" xfId="32917" xr:uid="{3E276840-607F-43C1-A740-3B80F791A7D1}"/>
    <cellStyle name="Comma 5 6 2 2 4" xfId="6669" xr:uid="{00000000-0005-0000-0000-000016250000}"/>
    <cellStyle name="Comma 5 6 2 2 4 2" xfId="18255" xr:uid="{54226D5D-BA2F-45F3-AF13-BF6F5D69D096}"/>
    <cellStyle name="Comma 5 6 2 2 4 3" xfId="28671" xr:uid="{1FA7AA97-C65A-47BC-A773-A792340AB3E0}"/>
    <cellStyle name="Comma 5 6 2 2 5" xfId="16139" xr:uid="{9D0B0702-E80E-42F6-82B9-F70E2C98CAE9}"/>
    <cellStyle name="Comma 5 6 2 2 6" xfId="26555" xr:uid="{19EF1CF2-BB4D-436F-8B4D-BDB0D7D51B77}"/>
    <cellStyle name="Comma 5 6 2 3" xfId="3806" xr:uid="{00000000-0005-0000-0000-000017250000}"/>
    <cellStyle name="Comma 5 6 2 3 2" xfId="10957" xr:uid="{00000000-0005-0000-0000-000018250000}"/>
    <cellStyle name="Comma 5 6 2 3 2 2" xfId="22503" xr:uid="{D75C9169-95AD-4CA3-A768-35639CBE0AB6}"/>
    <cellStyle name="Comma 5 6 2 3 2 3" xfId="32919" xr:uid="{6FD3EE8C-8A59-4BC0-8030-1634937477C0}"/>
    <cellStyle name="Comma 5 6 2 3 3" xfId="16141" xr:uid="{AC339F5B-ED22-4F99-8356-1EF921FDDF4B}"/>
    <cellStyle name="Comma 5 6 2 3 4" xfId="26557" xr:uid="{A9179F12-D642-4D03-B11B-2FCFAB32DDFD}"/>
    <cellStyle name="Comma 5 6 2 4" xfId="10954" xr:uid="{00000000-0005-0000-0000-000019250000}"/>
    <cellStyle name="Comma 5 6 2 4 2" xfId="22500" xr:uid="{5C727E28-BA31-4FD4-B8B4-4F39AB5EF922}"/>
    <cellStyle name="Comma 5 6 2 4 3" xfId="32916" xr:uid="{50873C55-62FF-432F-9BA4-92951F66C459}"/>
    <cellStyle name="Comma 5 6 2 5" xfId="6668" xr:uid="{00000000-0005-0000-0000-00001A250000}"/>
    <cellStyle name="Comma 5 6 2 5 2" xfId="18254" xr:uid="{039C78E8-3C16-4EFD-9F2F-4C1E059D684F}"/>
    <cellStyle name="Comma 5 6 2 5 3" xfId="28670" xr:uid="{19F0CEF8-E8F0-459E-975F-398905D5A54F}"/>
    <cellStyle name="Comma 5 6 2 6" xfId="16138" xr:uid="{11F609BC-E839-4763-8154-67994E8C214F}"/>
    <cellStyle name="Comma 5 6 2 7" xfId="26554" xr:uid="{5F0A3410-E2C1-4EF4-8A3B-DF64E16ADCE5}"/>
    <cellStyle name="Comma 5 6 3" xfId="3807" xr:uid="{00000000-0005-0000-0000-00001B250000}"/>
    <cellStyle name="Comma 5 6 3 2" xfId="3808" xr:uid="{00000000-0005-0000-0000-00001C250000}"/>
    <cellStyle name="Comma 5 6 3 2 2" xfId="10959" xr:uid="{00000000-0005-0000-0000-00001D250000}"/>
    <cellStyle name="Comma 5 6 3 2 2 2" xfId="22505" xr:uid="{594B993C-1EAC-481D-B619-4EEB0EC413B9}"/>
    <cellStyle name="Comma 5 6 3 2 2 3" xfId="32921" xr:uid="{3C70134A-3B7C-4F23-9702-AEEC4557CEFD}"/>
    <cellStyle name="Comma 5 6 3 2 3" xfId="16143" xr:uid="{97C9A8DE-F5B4-4683-9CAE-D001503B2748}"/>
    <cellStyle name="Comma 5 6 3 2 4" xfId="26559" xr:uid="{856CAE96-1DCE-4AF7-BC22-3D01A33F3B3E}"/>
    <cellStyle name="Comma 5 6 3 3" xfId="10958" xr:uid="{00000000-0005-0000-0000-00001E250000}"/>
    <cellStyle name="Comma 5 6 3 3 2" xfId="22504" xr:uid="{2FBDE0FE-B418-499E-8A43-C85517A142D1}"/>
    <cellStyle name="Comma 5 6 3 3 3" xfId="32920" xr:uid="{F1E879FA-3697-490C-BB12-35EF3514D65C}"/>
    <cellStyle name="Comma 5 6 3 4" xfId="6670" xr:uid="{00000000-0005-0000-0000-00001F250000}"/>
    <cellStyle name="Comma 5 6 3 4 2" xfId="18256" xr:uid="{44B35749-C40A-4EEE-803B-989CEA2AE132}"/>
    <cellStyle name="Comma 5 6 3 4 3" xfId="28672" xr:uid="{FA0366FD-8D64-4C8B-BE0C-C6DACF88861B}"/>
    <cellStyle name="Comma 5 6 3 5" xfId="16142" xr:uid="{1B7E6B46-6B9B-4045-A051-826FE0BD09F4}"/>
    <cellStyle name="Comma 5 6 3 6" xfId="26558" xr:uid="{4B11E067-3AEF-42C1-9C6D-C210244C20F8}"/>
    <cellStyle name="Comma 5 6 4" xfId="3809" xr:uid="{00000000-0005-0000-0000-000020250000}"/>
    <cellStyle name="Comma 5 6 4 2" xfId="3810" xr:uid="{00000000-0005-0000-0000-000021250000}"/>
    <cellStyle name="Comma 5 6 4 2 2" xfId="10961" xr:uid="{00000000-0005-0000-0000-000022250000}"/>
    <cellStyle name="Comma 5 6 4 2 2 2" xfId="22507" xr:uid="{EBA6130A-0957-4A09-8A1E-8BFDB71C7C77}"/>
    <cellStyle name="Comma 5 6 4 2 2 3" xfId="32923" xr:uid="{F991A3EE-F509-45EC-90E0-F30DDE50EAFB}"/>
    <cellStyle name="Comma 5 6 4 2 3" xfId="16145" xr:uid="{1DA7D9A9-548F-4CE3-AD5A-37B46FD1F0C5}"/>
    <cellStyle name="Comma 5 6 4 2 4" xfId="26561" xr:uid="{8EABBB34-20CE-4C08-BE73-C8FE4DD48EF4}"/>
    <cellStyle name="Comma 5 6 4 3" xfId="10960" xr:uid="{00000000-0005-0000-0000-000023250000}"/>
    <cellStyle name="Comma 5 6 4 3 2" xfId="22506" xr:uid="{C055C7A3-6885-4BC2-8E7D-12846EEB7B85}"/>
    <cellStyle name="Comma 5 6 4 3 3" xfId="32922" xr:uid="{10CAA504-457B-4BA8-B95B-D69E4B84D120}"/>
    <cellStyle name="Comma 5 6 4 4" xfId="6671" xr:uid="{00000000-0005-0000-0000-000024250000}"/>
    <cellStyle name="Comma 5 6 4 4 2" xfId="18257" xr:uid="{6ABC8722-FCBB-4A99-A0C5-B6432D5BD892}"/>
    <cellStyle name="Comma 5 6 4 4 3" xfId="28673" xr:uid="{5676A8AB-3BDC-457D-946A-64B25A198660}"/>
    <cellStyle name="Comma 5 6 4 5" xfId="16144" xr:uid="{85AA0DCE-AD7A-4ED1-8CA5-99726FA545F5}"/>
    <cellStyle name="Comma 5 6 4 6" xfId="26560" xr:uid="{16BD24E8-ACDB-4619-9E4D-D49ECE027A51}"/>
    <cellStyle name="Comma 5 6 5" xfId="3811" xr:uid="{00000000-0005-0000-0000-000025250000}"/>
    <cellStyle name="Comma 5 6 5 2" xfId="10962" xr:uid="{00000000-0005-0000-0000-000026250000}"/>
    <cellStyle name="Comma 5 6 5 2 2" xfId="22508" xr:uid="{E8EAC3F3-DA1C-49FD-9B55-6FE8352AD22E}"/>
    <cellStyle name="Comma 5 6 5 2 3" xfId="32924" xr:uid="{1DE74A0D-4943-448B-AB25-32EC7D79424B}"/>
    <cellStyle name="Comma 5 6 5 3" xfId="16146" xr:uid="{2DD9CBE2-85F8-49BA-BF88-558FD0C71050}"/>
    <cellStyle name="Comma 5 6 5 4" xfId="26562" xr:uid="{47C05D6C-2406-42CA-8E7F-0C328CBC44BC}"/>
    <cellStyle name="Comma 5 6 6" xfId="10953" xr:uid="{00000000-0005-0000-0000-000027250000}"/>
    <cellStyle name="Comma 5 6 6 2" xfId="22499" xr:uid="{BF16F318-14EF-44F4-971B-78F13A5AC939}"/>
    <cellStyle name="Comma 5 6 6 3" xfId="32915" xr:uid="{52305CC9-8358-421F-9AEF-4FF3C63CA14D}"/>
    <cellStyle name="Comma 5 6 7" xfId="6667" xr:uid="{00000000-0005-0000-0000-000028250000}"/>
    <cellStyle name="Comma 5 6 7 2" xfId="18253" xr:uid="{C0B72CD3-BF96-4870-A3ED-C13AD7EE3BA2}"/>
    <cellStyle name="Comma 5 6 7 3" xfId="28669" xr:uid="{0452366E-FB26-438D-BB4E-435D80F5789E}"/>
    <cellStyle name="Comma 5 6 8" xfId="16137" xr:uid="{04BCE664-5EB3-4B96-A0B8-BEB8537A12D7}"/>
    <cellStyle name="Comma 5 6 9" xfId="26553" xr:uid="{7D41AFA7-09C1-410B-9C21-45DEED6CC4EC}"/>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2 2 2" xfId="22512" xr:uid="{930B5E3F-E984-4B57-B384-91A557C6F8FD}"/>
    <cellStyle name="Comma 5 7 2 2 2 2 3" xfId="32928" xr:uid="{604BEBC2-8C71-4D8B-B632-B9FC1CA26D1B}"/>
    <cellStyle name="Comma 5 7 2 2 2 3" xfId="16150" xr:uid="{71F158C0-CD6A-439F-AA99-E5DE74EAEC4A}"/>
    <cellStyle name="Comma 5 7 2 2 2 4" xfId="26566" xr:uid="{3EC47A8A-8B4C-4AA0-9347-E77829E72BE6}"/>
    <cellStyle name="Comma 5 7 2 2 3" xfId="10965" xr:uid="{00000000-0005-0000-0000-00002E250000}"/>
    <cellStyle name="Comma 5 7 2 2 3 2" xfId="22511" xr:uid="{C771A512-87F4-4E2D-86F4-5F2936D46546}"/>
    <cellStyle name="Comma 5 7 2 2 3 3" xfId="32927" xr:uid="{DEEB5F33-9F8A-40B2-9D6D-732AAD08E234}"/>
    <cellStyle name="Comma 5 7 2 2 4" xfId="6674" xr:uid="{00000000-0005-0000-0000-00002F250000}"/>
    <cellStyle name="Comma 5 7 2 2 4 2" xfId="18260" xr:uid="{723FCB6C-8BCE-4449-B39B-C69E40CF6A65}"/>
    <cellStyle name="Comma 5 7 2 2 4 3" xfId="28676" xr:uid="{C6B2A77B-EED4-43B3-BDE5-9BFA2A8F7BAA}"/>
    <cellStyle name="Comma 5 7 2 2 5" xfId="16149" xr:uid="{45CB5EC9-24FC-45AC-A22B-D71DFEC4C9EF}"/>
    <cellStyle name="Comma 5 7 2 2 6" xfId="26565" xr:uid="{56B5C278-9346-47C9-914B-B973CB75E660}"/>
    <cellStyle name="Comma 5 7 2 3" xfId="3816" xr:uid="{00000000-0005-0000-0000-000030250000}"/>
    <cellStyle name="Comma 5 7 2 3 2" xfId="10967" xr:uid="{00000000-0005-0000-0000-000031250000}"/>
    <cellStyle name="Comma 5 7 2 3 2 2" xfId="22513" xr:uid="{28F7CACF-FA35-46EE-8692-4A748D770DF8}"/>
    <cellStyle name="Comma 5 7 2 3 2 3" xfId="32929" xr:uid="{C1FE6E8C-F81F-4A03-9368-936D1A4FE358}"/>
    <cellStyle name="Comma 5 7 2 3 3" xfId="16151" xr:uid="{67D1CC1A-6E43-4B71-AFF0-21FA430019C8}"/>
    <cellStyle name="Comma 5 7 2 3 4" xfId="26567" xr:uid="{1F853223-CF47-4BEA-9B63-10776D94E37A}"/>
    <cellStyle name="Comma 5 7 2 4" xfId="10964" xr:uid="{00000000-0005-0000-0000-000032250000}"/>
    <cellStyle name="Comma 5 7 2 4 2" xfId="22510" xr:uid="{7B87F74C-1B4F-4042-8301-0B4F1FE34DB6}"/>
    <cellStyle name="Comma 5 7 2 4 3" xfId="32926" xr:uid="{ECFA73D7-98D9-4972-ADC8-21326731DC33}"/>
    <cellStyle name="Comma 5 7 2 5" xfId="6673" xr:uid="{00000000-0005-0000-0000-000033250000}"/>
    <cellStyle name="Comma 5 7 2 5 2" xfId="18259" xr:uid="{54BAE19F-B81C-49D0-9E60-BEA121AFCCD7}"/>
    <cellStyle name="Comma 5 7 2 5 3" xfId="28675" xr:uid="{983ED898-0194-47FA-8ADE-9F9789CC6AC1}"/>
    <cellStyle name="Comma 5 7 2 6" xfId="16148" xr:uid="{A3052B7E-4E30-4B66-8ADE-925477A499FB}"/>
    <cellStyle name="Comma 5 7 2 7" xfId="26564" xr:uid="{59AD2396-0A4E-4549-BA64-ADFF8E3B074C}"/>
    <cellStyle name="Comma 5 7 3" xfId="3817" xr:uid="{00000000-0005-0000-0000-000034250000}"/>
    <cellStyle name="Comma 5 7 3 2" xfId="3818" xr:uid="{00000000-0005-0000-0000-000035250000}"/>
    <cellStyle name="Comma 5 7 3 2 2" xfId="10969" xr:uid="{00000000-0005-0000-0000-000036250000}"/>
    <cellStyle name="Comma 5 7 3 2 2 2" xfId="22515" xr:uid="{A3587278-D8B2-4AC3-8ADD-77952F95748C}"/>
    <cellStyle name="Comma 5 7 3 2 2 3" xfId="32931" xr:uid="{E005FA29-CF3F-4CC7-91BB-4230FF763360}"/>
    <cellStyle name="Comma 5 7 3 2 3" xfId="16153" xr:uid="{B9FFA076-65B6-4C42-89ED-446741C0D2CA}"/>
    <cellStyle name="Comma 5 7 3 2 4" xfId="26569" xr:uid="{8C89BC5D-48B0-4BC3-B3F4-99157547C3A7}"/>
    <cellStyle name="Comma 5 7 3 3" xfId="10968" xr:uid="{00000000-0005-0000-0000-000037250000}"/>
    <cellStyle name="Comma 5 7 3 3 2" xfId="22514" xr:uid="{E000A2F7-48B7-453E-A26D-906D3DD05F20}"/>
    <cellStyle name="Comma 5 7 3 3 3" xfId="32930" xr:uid="{83912435-7455-484C-8C8E-21A633D77B26}"/>
    <cellStyle name="Comma 5 7 3 4" xfId="6675" xr:uid="{00000000-0005-0000-0000-000038250000}"/>
    <cellStyle name="Comma 5 7 3 4 2" xfId="18261" xr:uid="{75A899B8-A0B6-4B3C-9AE6-FAC7957E8633}"/>
    <cellStyle name="Comma 5 7 3 4 3" xfId="28677" xr:uid="{27AC0830-4AEE-4694-869D-0863112AB69B}"/>
    <cellStyle name="Comma 5 7 3 5" xfId="16152" xr:uid="{C22D873A-66FE-4B24-87B9-48FC0146F499}"/>
    <cellStyle name="Comma 5 7 3 6" xfId="26568" xr:uid="{654C8C10-9B1C-472F-9481-05DE519C4182}"/>
    <cellStyle name="Comma 5 7 4" xfId="3819" xr:uid="{00000000-0005-0000-0000-000039250000}"/>
    <cellStyle name="Comma 5 7 4 2" xfId="3820" xr:uid="{00000000-0005-0000-0000-00003A250000}"/>
    <cellStyle name="Comma 5 7 4 2 2" xfId="10971" xr:uid="{00000000-0005-0000-0000-00003B250000}"/>
    <cellStyle name="Comma 5 7 4 2 2 2" xfId="22517" xr:uid="{BB430BA6-5813-4B57-B26A-002D5FFA57DB}"/>
    <cellStyle name="Comma 5 7 4 2 2 3" xfId="32933" xr:uid="{BB23DB27-CA67-4C8A-A05D-C23611BB587B}"/>
    <cellStyle name="Comma 5 7 4 2 3" xfId="16155" xr:uid="{3B0C0AB2-3E47-4E37-8744-DA2F515D400E}"/>
    <cellStyle name="Comma 5 7 4 2 4" xfId="26571" xr:uid="{D2BE2CFA-5C27-4CFB-985E-DE3BD6309E11}"/>
    <cellStyle name="Comma 5 7 4 3" xfId="10970" xr:uid="{00000000-0005-0000-0000-00003C250000}"/>
    <cellStyle name="Comma 5 7 4 3 2" xfId="22516" xr:uid="{BCC697C5-0393-4EDC-9EBB-2562A12DA6E3}"/>
    <cellStyle name="Comma 5 7 4 3 3" xfId="32932" xr:uid="{7C5BC651-1BA2-4A2C-B75E-36B84040F629}"/>
    <cellStyle name="Comma 5 7 4 4" xfId="6676" xr:uid="{00000000-0005-0000-0000-00003D250000}"/>
    <cellStyle name="Comma 5 7 4 4 2" xfId="18262" xr:uid="{54ACE31E-5057-462E-A7CF-0E70390AA577}"/>
    <cellStyle name="Comma 5 7 4 4 3" xfId="28678" xr:uid="{EA87275C-9047-4310-8983-B46A6BAF3020}"/>
    <cellStyle name="Comma 5 7 4 5" xfId="16154" xr:uid="{24BC55E1-348E-407C-A0CA-6FF18E8E84AF}"/>
    <cellStyle name="Comma 5 7 4 6" xfId="26570" xr:uid="{A8146ED2-CD56-4A66-A82C-B9D08EF2664B}"/>
    <cellStyle name="Comma 5 7 5" xfId="3821" xr:uid="{00000000-0005-0000-0000-00003E250000}"/>
    <cellStyle name="Comma 5 7 5 2" xfId="10972" xr:uid="{00000000-0005-0000-0000-00003F250000}"/>
    <cellStyle name="Comma 5 7 5 2 2" xfId="22518" xr:uid="{5B4FB456-70A6-4C74-9399-694E71483A4C}"/>
    <cellStyle name="Comma 5 7 5 2 3" xfId="32934" xr:uid="{53C04C1D-1DBA-4D0C-A940-5D8EA52862BB}"/>
    <cellStyle name="Comma 5 7 5 3" xfId="16156" xr:uid="{7EDB2B5F-7923-48C7-9B37-2F290E056783}"/>
    <cellStyle name="Comma 5 7 5 4" xfId="26572" xr:uid="{1A976FF8-B68D-40F0-9A03-D16412180858}"/>
    <cellStyle name="Comma 5 7 6" xfId="10963" xr:uid="{00000000-0005-0000-0000-000040250000}"/>
    <cellStyle name="Comma 5 7 6 2" xfId="22509" xr:uid="{B672F2F7-D408-41D0-81DC-DAFBA25AAC5E}"/>
    <cellStyle name="Comma 5 7 6 3" xfId="32925" xr:uid="{EE2B4D7C-3BE2-4941-8B2B-6F48408FE282}"/>
    <cellStyle name="Comma 5 7 7" xfId="6672" xr:uid="{00000000-0005-0000-0000-000041250000}"/>
    <cellStyle name="Comma 5 7 7 2" xfId="18258" xr:uid="{EE09394A-234A-4C07-B25B-93001A5A2CE5}"/>
    <cellStyle name="Comma 5 7 7 3" xfId="28674" xr:uid="{6BF2889D-0378-41A8-B50F-B80703FF5286}"/>
    <cellStyle name="Comma 5 7 8" xfId="16147" xr:uid="{995E8297-7500-413C-8BEF-3217650E8719}"/>
    <cellStyle name="Comma 5 7 9" xfId="26563" xr:uid="{BCEEEBB9-6B48-405C-8693-493C3CA2FB73}"/>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2 2 2" xfId="22522" xr:uid="{09E153D7-238A-47DD-B0DA-12817B6ECC53}"/>
    <cellStyle name="Comma 5 8 2 2 2 2 3" xfId="32938" xr:uid="{D6EE88F4-66E6-4FCF-9012-E342C30C1E6F}"/>
    <cellStyle name="Comma 5 8 2 2 2 3" xfId="16160" xr:uid="{5FC74A5D-E5F1-40AF-99BC-A009D62C9A9F}"/>
    <cellStyle name="Comma 5 8 2 2 2 4" xfId="26576" xr:uid="{5A735BF1-347D-45A5-AEB7-F69A4318B2B7}"/>
    <cellStyle name="Comma 5 8 2 2 3" xfId="10975" xr:uid="{00000000-0005-0000-0000-000047250000}"/>
    <cellStyle name="Comma 5 8 2 2 3 2" xfId="22521" xr:uid="{AD04ED4A-7D91-48B5-B451-B7C031F4CF03}"/>
    <cellStyle name="Comma 5 8 2 2 3 3" xfId="32937" xr:uid="{8D19984D-3196-4FD8-9A16-B390D6215A15}"/>
    <cellStyle name="Comma 5 8 2 2 4" xfId="6679" xr:uid="{00000000-0005-0000-0000-000048250000}"/>
    <cellStyle name="Comma 5 8 2 2 4 2" xfId="18265" xr:uid="{C9237482-8188-464E-9E57-F66C75EB04B8}"/>
    <cellStyle name="Comma 5 8 2 2 4 3" xfId="28681" xr:uid="{9D507274-FF5C-430C-9998-DE187A1CA6C5}"/>
    <cellStyle name="Comma 5 8 2 2 5" xfId="16159" xr:uid="{DFCF4056-EEDA-434B-884B-27634A460562}"/>
    <cellStyle name="Comma 5 8 2 2 6" xfId="26575" xr:uid="{4C82FA86-E185-42BA-A478-06BDD028A29F}"/>
    <cellStyle name="Comma 5 8 2 3" xfId="3826" xr:uid="{00000000-0005-0000-0000-000049250000}"/>
    <cellStyle name="Comma 5 8 2 3 2" xfId="10977" xr:uid="{00000000-0005-0000-0000-00004A250000}"/>
    <cellStyle name="Comma 5 8 2 3 2 2" xfId="22523" xr:uid="{C3C0F327-24EF-47E9-AA96-67F14C97BBE0}"/>
    <cellStyle name="Comma 5 8 2 3 2 3" xfId="32939" xr:uid="{78C6D777-3EC6-4C2B-AA2F-D9C4EF07360A}"/>
    <cellStyle name="Comma 5 8 2 3 3" xfId="16161" xr:uid="{1660AB4A-840A-4318-988E-3BE0C9F8118C}"/>
    <cellStyle name="Comma 5 8 2 3 4" xfId="26577" xr:uid="{16ADB072-918C-4F0C-8C84-5D75A9877F91}"/>
    <cellStyle name="Comma 5 8 2 4" xfId="10974" xr:uid="{00000000-0005-0000-0000-00004B250000}"/>
    <cellStyle name="Comma 5 8 2 4 2" xfId="22520" xr:uid="{53194769-7E35-4B0C-A825-78AEC4B2B0D5}"/>
    <cellStyle name="Comma 5 8 2 4 3" xfId="32936" xr:uid="{5A545509-1E5C-46AF-B93B-DD2DCA65F375}"/>
    <cellStyle name="Comma 5 8 2 5" xfId="6678" xr:uid="{00000000-0005-0000-0000-00004C250000}"/>
    <cellStyle name="Comma 5 8 2 5 2" xfId="18264" xr:uid="{E39D2E27-30CD-4A51-92BC-6B9FF0FDC49A}"/>
    <cellStyle name="Comma 5 8 2 5 3" xfId="28680" xr:uid="{91B68F23-9EE2-451D-8055-2E26A7F8B6AA}"/>
    <cellStyle name="Comma 5 8 2 6" xfId="16158" xr:uid="{397D4889-7EE9-4791-9331-18119288FCD8}"/>
    <cellStyle name="Comma 5 8 2 7" xfId="26574" xr:uid="{7D5CC9E5-E4E1-4F76-B4D3-C982BBB2EF40}"/>
    <cellStyle name="Comma 5 8 3" xfId="3827" xr:uid="{00000000-0005-0000-0000-00004D250000}"/>
    <cellStyle name="Comma 5 8 3 2" xfId="3828" xr:uid="{00000000-0005-0000-0000-00004E250000}"/>
    <cellStyle name="Comma 5 8 3 2 2" xfId="10979" xr:uid="{00000000-0005-0000-0000-00004F250000}"/>
    <cellStyle name="Comma 5 8 3 2 2 2" xfId="22525" xr:uid="{8DBA98B4-F0C9-42AA-9F0F-C5FCC4ADCE0D}"/>
    <cellStyle name="Comma 5 8 3 2 2 3" xfId="32941" xr:uid="{9D3C27E7-FA20-409E-BACD-71D1815FFA32}"/>
    <cellStyle name="Comma 5 8 3 2 3" xfId="16163" xr:uid="{B4884F24-E4A8-47F8-A12B-9D574C123CE9}"/>
    <cellStyle name="Comma 5 8 3 2 4" xfId="26579" xr:uid="{163F06D5-2211-4908-8192-15F3563FC6AA}"/>
    <cellStyle name="Comma 5 8 3 3" xfId="10978" xr:uid="{00000000-0005-0000-0000-000050250000}"/>
    <cellStyle name="Comma 5 8 3 3 2" xfId="22524" xr:uid="{851D2042-A4D4-4CB4-A399-7822DFA54E59}"/>
    <cellStyle name="Comma 5 8 3 3 3" xfId="32940" xr:uid="{4E5AF9BF-2BB9-4607-87E8-557BB5939754}"/>
    <cellStyle name="Comma 5 8 3 4" xfId="6680" xr:uid="{00000000-0005-0000-0000-000051250000}"/>
    <cellStyle name="Comma 5 8 3 4 2" xfId="18266" xr:uid="{578253E5-DAF1-4AF6-9332-9FDA641394B3}"/>
    <cellStyle name="Comma 5 8 3 4 3" xfId="28682" xr:uid="{F7A2D800-7DD9-48B5-9B18-F135956999F7}"/>
    <cellStyle name="Comma 5 8 3 5" xfId="16162" xr:uid="{03AE5465-5BDD-4F1C-864C-59A93133BFBB}"/>
    <cellStyle name="Comma 5 8 3 6" xfId="26578" xr:uid="{626EE966-A434-4E51-A3DC-843282AD52C8}"/>
    <cellStyle name="Comma 5 8 4" xfId="3829" xr:uid="{00000000-0005-0000-0000-000052250000}"/>
    <cellStyle name="Comma 5 8 4 2" xfId="3830" xr:uid="{00000000-0005-0000-0000-000053250000}"/>
    <cellStyle name="Comma 5 8 4 2 2" xfId="10981" xr:uid="{00000000-0005-0000-0000-000054250000}"/>
    <cellStyle name="Comma 5 8 4 2 2 2" xfId="22527" xr:uid="{0A89809A-370C-4C94-A86A-6EF8B36BFEBB}"/>
    <cellStyle name="Comma 5 8 4 2 2 3" xfId="32943" xr:uid="{212EE20B-49DF-4E24-9EFA-CF13E3BFDF16}"/>
    <cellStyle name="Comma 5 8 4 2 3" xfId="16165" xr:uid="{F4713AA2-55C6-4867-B830-6D17C1003102}"/>
    <cellStyle name="Comma 5 8 4 2 4" xfId="26581" xr:uid="{F576CFF8-5218-430D-8BBD-C748A17E7BDD}"/>
    <cellStyle name="Comma 5 8 4 3" xfId="10980" xr:uid="{00000000-0005-0000-0000-000055250000}"/>
    <cellStyle name="Comma 5 8 4 3 2" xfId="22526" xr:uid="{ED834049-56F1-4FED-BD1F-055F00E5A383}"/>
    <cellStyle name="Comma 5 8 4 3 3" xfId="32942" xr:uid="{9D8935C3-7C68-4D76-85F0-D17D774A328D}"/>
    <cellStyle name="Comma 5 8 4 4" xfId="6681" xr:uid="{00000000-0005-0000-0000-000056250000}"/>
    <cellStyle name="Comma 5 8 4 4 2" xfId="18267" xr:uid="{B030BA85-F982-4EA7-A1B7-10A96DD55648}"/>
    <cellStyle name="Comma 5 8 4 4 3" xfId="28683" xr:uid="{1538BD25-3715-4357-90F5-83D653F64BAB}"/>
    <cellStyle name="Comma 5 8 4 5" xfId="16164" xr:uid="{709346C5-FC27-49F3-A9DE-A6C6D08727BF}"/>
    <cellStyle name="Comma 5 8 4 6" xfId="26580" xr:uid="{A6993238-2D43-45CF-B931-D122CBF3271D}"/>
    <cellStyle name="Comma 5 8 5" xfId="3831" xr:uid="{00000000-0005-0000-0000-000057250000}"/>
    <cellStyle name="Comma 5 8 5 2" xfId="10982" xr:uid="{00000000-0005-0000-0000-000058250000}"/>
    <cellStyle name="Comma 5 8 5 2 2" xfId="22528" xr:uid="{1E2F7757-699D-441D-AE03-33AC629CD913}"/>
    <cellStyle name="Comma 5 8 5 2 3" xfId="32944" xr:uid="{8B4B0CD3-20C8-4737-B12C-F7558555E44C}"/>
    <cellStyle name="Comma 5 8 5 3" xfId="16166" xr:uid="{A16EB1BA-10A3-44ED-BC5F-1CD9FA0637D1}"/>
    <cellStyle name="Comma 5 8 5 4" xfId="26582" xr:uid="{99CEFEEE-4BA0-48A9-B586-7EC122F93A35}"/>
    <cellStyle name="Comma 5 8 6" xfId="10973" xr:uid="{00000000-0005-0000-0000-000059250000}"/>
    <cellStyle name="Comma 5 8 6 2" xfId="22519" xr:uid="{E075558D-7071-4247-B151-C6CB9D7740CF}"/>
    <cellStyle name="Comma 5 8 6 3" xfId="32935" xr:uid="{C88C830F-F817-47D5-93D5-1F064DCFFADC}"/>
    <cellStyle name="Comma 5 8 7" xfId="6677" xr:uid="{00000000-0005-0000-0000-00005A250000}"/>
    <cellStyle name="Comma 5 8 7 2" xfId="18263" xr:uid="{089FCE98-3BC8-4A4E-A13F-48C30CE4B3E8}"/>
    <cellStyle name="Comma 5 8 7 3" xfId="28679" xr:uid="{FE054FBE-D14C-44D5-9A1F-F0AED2BA998C}"/>
    <cellStyle name="Comma 5 8 8" xfId="16157" xr:uid="{FD7C5DDD-7E76-4EA9-A2EE-A79DC2C09AE3}"/>
    <cellStyle name="Comma 5 8 9" xfId="26573" xr:uid="{97D872E2-898C-4BAB-927D-FFDA6439C3F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2 2 2" xfId="22532" xr:uid="{E3854605-6363-4D4E-AABF-EFBE837D3E7F}"/>
    <cellStyle name="Comma 5 9 2 2 2 2 3" xfId="32948" xr:uid="{9940BD34-1B93-4A06-A6A0-274C7CAF068A}"/>
    <cellStyle name="Comma 5 9 2 2 2 3" xfId="16170" xr:uid="{6C6902E8-6ABD-4A56-BB97-FB9B8B7F78F2}"/>
    <cellStyle name="Comma 5 9 2 2 2 4" xfId="26586" xr:uid="{FABD2382-B5D9-4671-8B2C-EF37B0F5C7DA}"/>
    <cellStyle name="Comma 5 9 2 2 3" xfId="10985" xr:uid="{00000000-0005-0000-0000-000060250000}"/>
    <cellStyle name="Comma 5 9 2 2 3 2" xfId="22531" xr:uid="{CB80850D-7318-450E-A3B5-134212408FDD}"/>
    <cellStyle name="Comma 5 9 2 2 3 3" xfId="32947" xr:uid="{26688807-41CF-4BAB-8515-D46487B4D275}"/>
    <cellStyle name="Comma 5 9 2 2 4" xfId="6684" xr:uid="{00000000-0005-0000-0000-000061250000}"/>
    <cellStyle name="Comma 5 9 2 2 4 2" xfId="18270" xr:uid="{45F106B4-0350-4320-9BE0-3F67C460B0B9}"/>
    <cellStyle name="Comma 5 9 2 2 4 3" xfId="28686" xr:uid="{29D9EDA2-715D-4BAC-BF45-CE000AEC5004}"/>
    <cellStyle name="Comma 5 9 2 2 5" xfId="16169" xr:uid="{220BBFAB-E0FB-4838-92BF-45490B8059A6}"/>
    <cellStyle name="Comma 5 9 2 2 6" xfId="26585" xr:uid="{F3C8BDCB-7DE7-4314-BCDB-9A5450B8C1D1}"/>
    <cellStyle name="Comma 5 9 2 3" xfId="3836" xr:uid="{00000000-0005-0000-0000-000062250000}"/>
    <cellStyle name="Comma 5 9 2 3 2" xfId="10987" xr:uid="{00000000-0005-0000-0000-000063250000}"/>
    <cellStyle name="Comma 5 9 2 3 2 2" xfId="22533" xr:uid="{6A3787D5-FB39-4695-BF07-92FD10C78262}"/>
    <cellStyle name="Comma 5 9 2 3 2 3" xfId="32949" xr:uid="{9CEBDB37-9091-42A4-B62A-4BB3BA652B50}"/>
    <cellStyle name="Comma 5 9 2 3 3" xfId="16171" xr:uid="{091A934A-0C47-4443-B917-49900E28637B}"/>
    <cellStyle name="Comma 5 9 2 3 4" xfId="26587" xr:uid="{AA42F5A6-47BB-4CAB-ABB7-6952162FFD41}"/>
    <cellStyle name="Comma 5 9 2 4" xfId="10984" xr:uid="{00000000-0005-0000-0000-000064250000}"/>
    <cellStyle name="Comma 5 9 2 4 2" xfId="22530" xr:uid="{35FB5850-CFDD-481F-86D1-CDF77BA5B738}"/>
    <cellStyle name="Comma 5 9 2 4 3" xfId="32946" xr:uid="{E8C3C113-00C1-4A9F-9457-3DB960E8D9E6}"/>
    <cellStyle name="Comma 5 9 2 5" xfId="6683" xr:uid="{00000000-0005-0000-0000-000065250000}"/>
    <cellStyle name="Comma 5 9 2 5 2" xfId="18269" xr:uid="{B82DAF3A-4C9F-4DA7-9F5C-9F655D7B37E7}"/>
    <cellStyle name="Comma 5 9 2 5 3" xfId="28685" xr:uid="{7F4BA109-BE05-4C87-A080-C70E3FD230A3}"/>
    <cellStyle name="Comma 5 9 2 6" xfId="16168" xr:uid="{570B5042-6751-47B5-BD8F-39BF79CFD122}"/>
    <cellStyle name="Comma 5 9 2 7" xfId="26584" xr:uid="{2ED413D7-6BA3-49AD-A228-470BA7BDE8AB}"/>
    <cellStyle name="Comma 5 9 3" xfId="3837" xr:uid="{00000000-0005-0000-0000-000066250000}"/>
    <cellStyle name="Comma 5 9 3 2" xfId="3838" xr:uid="{00000000-0005-0000-0000-000067250000}"/>
    <cellStyle name="Comma 5 9 3 2 2" xfId="10989" xr:uid="{00000000-0005-0000-0000-000068250000}"/>
    <cellStyle name="Comma 5 9 3 2 2 2" xfId="22535" xr:uid="{318F9E12-4C72-45EA-AED6-4A8C36002B9B}"/>
    <cellStyle name="Comma 5 9 3 2 2 3" xfId="32951" xr:uid="{C501A7BD-35BA-47FE-A207-6A979FA67B83}"/>
    <cellStyle name="Comma 5 9 3 2 3" xfId="16173" xr:uid="{725E682D-0905-4550-8F83-A7F582789424}"/>
    <cellStyle name="Comma 5 9 3 2 4" xfId="26589" xr:uid="{5222529C-5E5F-4363-AF24-EDE4D8590C48}"/>
    <cellStyle name="Comma 5 9 3 3" xfId="10988" xr:uid="{00000000-0005-0000-0000-000069250000}"/>
    <cellStyle name="Comma 5 9 3 3 2" xfId="22534" xr:uid="{6B6ED09F-9D73-4C21-9715-BC0106CDD2B9}"/>
    <cellStyle name="Comma 5 9 3 3 3" xfId="32950" xr:uid="{866F070E-1937-40B9-944A-D3B45DF29869}"/>
    <cellStyle name="Comma 5 9 3 4" xfId="6685" xr:uid="{00000000-0005-0000-0000-00006A250000}"/>
    <cellStyle name="Comma 5 9 3 4 2" xfId="18271" xr:uid="{142A8802-CCA3-42EE-84C2-12641CA54862}"/>
    <cellStyle name="Comma 5 9 3 4 3" xfId="28687" xr:uid="{5067AA39-A045-49CD-A9A6-E0F4298289AF}"/>
    <cellStyle name="Comma 5 9 3 5" xfId="16172" xr:uid="{1BEEC4F0-EC2C-458C-AC30-3FDF61C6BF8D}"/>
    <cellStyle name="Comma 5 9 3 6" xfId="26588" xr:uid="{C981D9F8-D9FF-4A5A-B3BD-FC45389E5D93}"/>
    <cellStyle name="Comma 5 9 4" xfId="3839" xr:uid="{00000000-0005-0000-0000-00006B250000}"/>
    <cellStyle name="Comma 5 9 4 2" xfId="3840" xr:uid="{00000000-0005-0000-0000-00006C250000}"/>
    <cellStyle name="Comma 5 9 4 2 2" xfId="10991" xr:uid="{00000000-0005-0000-0000-00006D250000}"/>
    <cellStyle name="Comma 5 9 4 2 2 2" xfId="22537" xr:uid="{EB1F17BB-6077-483B-B650-91339A826DC8}"/>
    <cellStyle name="Comma 5 9 4 2 2 3" xfId="32953" xr:uid="{7898B3AD-F386-4BBC-AE7B-216EFC4446CC}"/>
    <cellStyle name="Comma 5 9 4 2 3" xfId="16175" xr:uid="{2CA4073F-EA6B-4954-9450-299A1CA705A4}"/>
    <cellStyle name="Comma 5 9 4 2 4" xfId="26591" xr:uid="{195A0A3A-97B7-4C7A-BFB4-3B5D2B720F5A}"/>
    <cellStyle name="Comma 5 9 4 3" xfId="10990" xr:uid="{00000000-0005-0000-0000-00006E250000}"/>
    <cellStyle name="Comma 5 9 4 3 2" xfId="22536" xr:uid="{46AD2FEF-FD6B-4F5F-B42E-7D035584848B}"/>
    <cellStyle name="Comma 5 9 4 3 3" xfId="32952" xr:uid="{05BD53D4-E95C-4B48-BFC0-B481BFD98245}"/>
    <cellStyle name="Comma 5 9 4 4" xfId="6686" xr:uid="{00000000-0005-0000-0000-00006F250000}"/>
    <cellStyle name="Comma 5 9 4 4 2" xfId="18272" xr:uid="{B68EB6A3-E615-4C10-9A85-785B529C13A0}"/>
    <cellStyle name="Comma 5 9 4 4 3" xfId="28688" xr:uid="{75D1C65B-2C7D-4909-A021-4174317C8B5E}"/>
    <cellStyle name="Comma 5 9 4 5" xfId="16174" xr:uid="{725C8EE1-064D-42F5-8018-6DC6F794FD1D}"/>
    <cellStyle name="Comma 5 9 4 6" xfId="26590" xr:uid="{F7697258-B18B-4B27-857C-2EE644E1434B}"/>
    <cellStyle name="Comma 5 9 5" xfId="3841" xr:uid="{00000000-0005-0000-0000-000070250000}"/>
    <cellStyle name="Comma 5 9 5 2" xfId="10992" xr:uid="{00000000-0005-0000-0000-000071250000}"/>
    <cellStyle name="Comma 5 9 5 2 2" xfId="22538" xr:uid="{F60543EB-B187-4D92-A3B5-BDA9000D5DD1}"/>
    <cellStyle name="Comma 5 9 5 2 3" xfId="32954" xr:uid="{65B92EF9-A65C-499A-9A35-BBA725C1524B}"/>
    <cellStyle name="Comma 5 9 5 3" xfId="16176" xr:uid="{0D79E40E-1BA9-4FF1-B062-D43EF5DBEE4E}"/>
    <cellStyle name="Comma 5 9 5 4" xfId="26592" xr:uid="{DB323EA1-0961-4951-93AE-7BAAC4B335F7}"/>
    <cellStyle name="Comma 5 9 6" xfId="10983" xr:uid="{00000000-0005-0000-0000-000072250000}"/>
    <cellStyle name="Comma 5 9 6 2" xfId="22529" xr:uid="{57F6C8B9-16C5-4426-AA6B-033E6E128B8D}"/>
    <cellStyle name="Comma 5 9 6 3" xfId="32945" xr:uid="{A90D0057-73D6-40EF-9D1C-961C44B39661}"/>
    <cellStyle name="Comma 5 9 7" xfId="6682" xr:uid="{00000000-0005-0000-0000-000073250000}"/>
    <cellStyle name="Comma 5 9 7 2" xfId="18268" xr:uid="{D2A3C6DC-C2CA-4505-B4C2-FE3DA0406228}"/>
    <cellStyle name="Comma 5 9 7 3" xfId="28684" xr:uid="{C279B609-249A-4A7F-AE5C-AE800A03ABEF}"/>
    <cellStyle name="Comma 5 9 8" xfId="16167" xr:uid="{88A2C5A5-86AC-48E4-8588-5FBF9A671A45}"/>
    <cellStyle name="Comma 5 9 9" xfId="26583" xr:uid="{7DEB084F-FD53-410C-AEF7-46AC8ABCBD57}"/>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2 2 2" xfId="22542" xr:uid="{83682A06-F8D9-46DF-81AA-AE923447EE94}"/>
    <cellStyle name="Comma 6 10 2 2 2 3" xfId="32958" xr:uid="{A96A6F28-FC50-4798-A1E2-F0F4962A236E}"/>
    <cellStyle name="Comma 6 10 2 2 3" xfId="16180" xr:uid="{1897143B-5CEC-40AA-A360-156B4C3C9EA9}"/>
    <cellStyle name="Comma 6 10 2 2 4" xfId="26596" xr:uid="{F170CDAA-65A6-4AF6-8743-D115E7DB2978}"/>
    <cellStyle name="Comma 6 10 2 3" xfId="10995" xr:uid="{00000000-0005-0000-0000-000079250000}"/>
    <cellStyle name="Comma 6 10 2 3 2" xfId="22541" xr:uid="{89F0FFF0-D8BA-436D-849B-55851E199B94}"/>
    <cellStyle name="Comma 6 10 2 3 3" xfId="32957" xr:uid="{60D17738-9504-4BDD-9637-4AC3E3C6C359}"/>
    <cellStyle name="Comma 6 10 2 4" xfId="6689" xr:uid="{00000000-0005-0000-0000-00007A250000}"/>
    <cellStyle name="Comma 6 10 2 4 2" xfId="18275" xr:uid="{E5D47459-21FF-4F5C-AEF6-D0D94A521F03}"/>
    <cellStyle name="Comma 6 10 2 4 3" xfId="28691" xr:uid="{BDABCA20-2F4F-4284-A8BE-E957E29A5F2F}"/>
    <cellStyle name="Comma 6 10 2 5" xfId="16179" xr:uid="{246A4928-96BE-4E2A-AA6F-266AE47B4E81}"/>
    <cellStyle name="Comma 6 10 2 6" xfId="26595" xr:uid="{61C6F23C-0804-424F-B1D9-C8CD0429965C}"/>
    <cellStyle name="Comma 6 10 3" xfId="3846" xr:uid="{00000000-0005-0000-0000-00007B250000}"/>
    <cellStyle name="Comma 6 10 3 2" xfId="3847" xr:uid="{00000000-0005-0000-0000-00007C250000}"/>
    <cellStyle name="Comma 6 10 3 2 2" xfId="10998" xr:uid="{00000000-0005-0000-0000-00007D250000}"/>
    <cellStyle name="Comma 6 10 3 2 2 2" xfId="22544" xr:uid="{52C3112B-6593-42A6-BB18-6B0CD6783961}"/>
    <cellStyle name="Comma 6 10 3 2 2 3" xfId="32960" xr:uid="{7CBEC638-944B-4B7A-A562-679E69EF26C7}"/>
    <cellStyle name="Comma 6 10 3 2 3" xfId="16182" xr:uid="{B5330F53-1F1C-4FDD-9B74-29B2D6524280}"/>
    <cellStyle name="Comma 6 10 3 2 4" xfId="26598" xr:uid="{B83A6490-F7BD-4C18-9D01-B6DCF4696419}"/>
    <cellStyle name="Comma 6 10 3 3" xfId="10997" xr:uid="{00000000-0005-0000-0000-00007E250000}"/>
    <cellStyle name="Comma 6 10 3 3 2" xfId="22543" xr:uid="{1313F677-D651-4415-8AF5-218B3CAE2875}"/>
    <cellStyle name="Comma 6 10 3 3 3" xfId="32959" xr:uid="{26F90BB5-5F08-4749-A1AC-196D97F0BAC9}"/>
    <cellStyle name="Comma 6 10 3 4" xfId="6690" xr:uid="{00000000-0005-0000-0000-00007F250000}"/>
    <cellStyle name="Comma 6 10 3 4 2" xfId="18276" xr:uid="{EC9C7ACA-4C22-4F4D-AFB1-0AE61188E08B}"/>
    <cellStyle name="Comma 6 10 3 4 3" xfId="28692" xr:uid="{680CD337-316D-45AF-A525-43168B100609}"/>
    <cellStyle name="Comma 6 10 3 5" xfId="16181" xr:uid="{63658C45-8A21-4EAD-85CF-0F42EA2F7B03}"/>
    <cellStyle name="Comma 6 10 3 6" xfId="26597" xr:uid="{D5BC13DB-B87A-4B0D-88A4-081F6ACCDA3A}"/>
    <cellStyle name="Comma 6 10 4" xfId="3848" xr:uid="{00000000-0005-0000-0000-000080250000}"/>
    <cellStyle name="Comma 6 10 4 2" xfId="10999" xr:uid="{00000000-0005-0000-0000-000081250000}"/>
    <cellStyle name="Comma 6 10 4 2 2" xfId="22545" xr:uid="{50101FBB-F609-4515-837D-09730A706CED}"/>
    <cellStyle name="Comma 6 10 4 2 3" xfId="32961" xr:uid="{4C960883-A5A7-4E72-A0E2-E29C279883D2}"/>
    <cellStyle name="Comma 6 10 4 3" xfId="16183" xr:uid="{D0836F7B-C592-41E1-9173-27B1899C5422}"/>
    <cellStyle name="Comma 6 10 4 4" xfId="26599" xr:uid="{0A795030-3025-44CA-83C4-B3EC73736EFC}"/>
    <cellStyle name="Comma 6 10 5" xfId="10994" xr:uid="{00000000-0005-0000-0000-000082250000}"/>
    <cellStyle name="Comma 6 10 5 2" xfId="22540" xr:uid="{34989987-353B-415A-B379-78FCD91BD96C}"/>
    <cellStyle name="Comma 6 10 5 3" xfId="32956" xr:uid="{460A47A8-7480-447B-8586-340D0171BDFF}"/>
    <cellStyle name="Comma 6 10 6" xfId="6688" xr:uid="{00000000-0005-0000-0000-000083250000}"/>
    <cellStyle name="Comma 6 10 6 2" xfId="18274" xr:uid="{EF3F461D-EDB8-41B4-9B99-0BBB696A4395}"/>
    <cellStyle name="Comma 6 10 6 3" xfId="28690" xr:uid="{E2CFF76B-84CE-4208-9C7A-521F3E275EAE}"/>
    <cellStyle name="Comma 6 10 7" xfId="16178" xr:uid="{8B06E1BD-61BD-4A72-91C1-3B70CA7A4E0F}"/>
    <cellStyle name="Comma 6 10 8" xfId="26594" xr:uid="{3165B4DB-FCAF-44E4-8369-777F3FA1FCCA}"/>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2 2 2" xfId="22548" xr:uid="{742678E2-4E79-4FBA-8FA0-0DD3E39AC5A5}"/>
    <cellStyle name="Comma 6 11 2 2 2 3" xfId="32964" xr:uid="{1650DAA8-4D6E-45BA-A405-8206093458CC}"/>
    <cellStyle name="Comma 6 11 2 2 3" xfId="16186" xr:uid="{D2E3DBC2-5B73-47F6-BBAF-8598972D2972}"/>
    <cellStyle name="Comma 6 11 2 2 4" xfId="26602" xr:uid="{F41983B2-EC51-4DF6-BCC3-54E5EC4FE1AC}"/>
    <cellStyle name="Comma 6 11 2 3" xfId="11001" xr:uid="{00000000-0005-0000-0000-000088250000}"/>
    <cellStyle name="Comma 6 11 2 3 2" xfId="22547" xr:uid="{B5392AD4-E257-4F74-A8AE-50298B288343}"/>
    <cellStyle name="Comma 6 11 2 3 3" xfId="32963" xr:uid="{E88CD2F5-F47F-4ECD-8068-CC9B81B60355}"/>
    <cellStyle name="Comma 6 11 2 4" xfId="6692" xr:uid="{00000000-0005-0000-0000-000089250000}"/>
    <cellStyle name="Comma 6 11 2 4 2" xfId="18278" xr:uid="{7E6C1E90-7349-4BFF-8B94-29B8A258DE8A}"/>
    <cellStyle name="Comma 6 11 2 4 3" xfId="28694" xr:uid="{AD1313D8-51DF-4A56-A966-5B1F77F340DE}"/>
    <cellStyle name="Comma 6 11 2 5" xfId="16185" xr:uid="{30B76656-BD43-4AA3-975F-04E263B16240}"/>
    <cellStyle name="Comma 6 11 2 6" xfId="26601" xr:uid="{DED66102-4B2F-42AD-9ADE-D246690DDE7C}"/>
    <cellStyle name="Comma 6 11 3" xfId="3852" xr:uid="{00000000-0005-0000-0000-00008A250000}"/>
    <cellStyle name="Comma 6 11 3 2" xfId="11003" xr:uid="{00000000-0005-0000-0000-00008B250000}"/>
    <cellStyle name="Comma 6 11 3 2 2" xfId="22549" xr:uid="{A6C3BFC0-6AD6-4E3F-9340-E60E2DC7FDBC}"/>
    <cellStyle name="Comma 6 11 3 2 3" xfId="32965" xr:uid="{94B3E4F4-1B73-4912-9A57-878709F7F7DE}"/>
    <cellStyle name="Comma 6 11 3 3" xfId="16187" xr:uid="{AE758844-0427-4FA9-9318-846F53ECF10A}"/>
    <cellStyle name="Comma 6 11 3 4" xfId="26603" xr:uid="{89CC70D5-3BE8-4B4D-A84B-B58908D3ADF7}"/>
    <cellStyle name="Comma 6 11 4" xfId="11000" xr:uid="{00000000-0005-0000-0000-00008C250000}"/>
    <cellStyle name="Comma 6 11 4 2" xfId="22546" xr:uid="{C1AD6A01-E190-4AAC-93CF-4FE7DC2419DE}"/>
    <cellStyle name="Comma 6 11 4 3" xfId="32962" xr:uid="{5605EDFC-A6C2-4E2D-8553-E5F0347CCB88}"/>
    <cellStyle name="Comma 6 11 5" xfId="6691" xr:uid="{00000000-0005-0000-0000-00008D250000}"/>
    <cellStyle name="Comma 6 11 5 2" xfId="18277" xr:uid="{045F84A8-20FD-4E5E-AC93-8E2A99F16492}"/>
    <cellStyle name="Comma 6 11 5 3" xfId="28693" xr:uid="{9245D4AF-4C94-4882-93CE-CECD8C58DF19}"/>
    <cellStyle name="Comma 6 11 6" xfId="16184" xr:uid="{7CD4308C-5F13-4FA5-8C01-E247507AC7B0}"/>
    <cellStyle name="Comma 6 11 7" xfId="26600" xr:uid="{7B4BBCD3-98B5-4843-A34A-2338F0129D02}"/>
    <cellStyle name="Comma 6 12" xfId="3853" xr:uid="{00000000-0005-0000-0000-00008E250000}"/>
    <cellStyle name="Comma 6 12 2" xfId="3854" xr:uid="{00000000-0005-0000-0000-00008F250000}"/>
    <cellStyle name="Comma 6 12 2 2" xfId="11005" xr:uid="{00000000-0005-0000-0000-000090250000}"/>
    <cellStyle name="Comma 6 12 2 2 2" xfId="22551" xr:uid="{A191813C-4607-4E61-A87E-BC523F18AD61}"/>
    <cellStyle name="Comma 6 12 2 2 3" xfId="32967" xr:uid="{E5D36E47-254D-49C9-B5BF-75939BF73CC0}"/>
    <cellStyle name="Comma 6 12 2 3" xfId="16189" xr:uid="{9728E205-2646-47EA-9EDB-32A740897C69}"/>
    <cellStyle name="Comma 6 12 2 4" xfId="26605" xr:uid="{73359841-C801-4DC2-A52E-3C2A30C5E67B}"/>
    <cellStyle name="Comma 6 12 3" xfId="11004" xr:uid="{00000000-0005-0000-0000-000091250000}"/>
    <cellStyle name="Comma 6 12 3 2" xfId="22550" xr:uid="{75C37C50-F400-4862-ACE7-71D4C0524072}"/>
    <cellStyle name="Comma 6 12 3 3" xfId="32966" xr:uid="{1F76503F-AB0F-49A3-B041-0C6283115F67}"/>
    <cellStyle name="Comma 6 12 4" xfId="6693" xr:uid="{00000000-0005-0000-0000-000092250000}"/>
    <cellStyle name="Comma 6 12 4 2" xfId="18279" xr:uid="{729E6FC3-110A-444E-9FEB-BB480B966EB6}"/>
    <cellStyle name="Comma 6 12 4 3" xfId="28695" xr:uid="{7367378F-A3B1-45C1-AFB1-1A2F83F3CC4F}"/>
    <cellStyle name="Comma 6 12 5" xfId="16188" xr:uid="{DFBE1D75-6740-4EA3-B359-66F661471B00}"/>
    <cellStyle name="Comma 6 12 6" xfId="26604" xr:uid="{5DB4ED6F-6B84-4D70-927C-1C2A37D0303E}"/>
    <cellStyle name="Comma 6 13" xfId="3855" xr:uid="{00000000-0005-0000-0000-000093250000}"/>
    <cellStyle name="Comma 6 13 2" xfId="3856" xr:uid="{00000000-0005-0000-0000-000094250000}"/>
    <cellStyle name="Comma 6 13 2 2" xfId="11007" xr:uid="{00000000-0005-0000-0000-000095250000}"/>
    <cellStyle name="Comma 6 13 2 2 2" xfId="22553" xr:uid="{D2F5227B-3EA2-4284-9E83-D9535C165B9C}"/>
    <cellStyle name="Comma 6 13 2 2 3" xfId="32969" xr:uid="{39D612D5-4D85-4E4D-AFF8-13719A267198}"/>
    <cellStyle name="Comma 6 13 2 3" xfId="16191" xr:uid="{410ED406-8A25-4FF4-8422-9E7EB18C9BDD}"/>
    <cellStyle name="Comma 6 13 2 4" xfId="26607" xr:uid="{3684728D-CA52-4E19-AF01-4D869A62B096}"/>
    <cellStyle name="Comma 6 13 3" xfId="11006" xr:uid="{00000000-0005-0000-0000-000096250000}"/>
    <cellStyle name="Comma 6 13 3 2" xfId="22552" xr:uid="{822F0DF3-DCC8-460D-A913-C566661855EC}"/>
    <cellStyle name="Comma 6 13 3 3" xfId="32968" xr:uid="{B321507D-B48B-4AE2-AC54-AA993447F215}"/>
    <cellStyle name="Comma 6 13 4" xfId="6694" xr:uid="{00000000-0005-0000-0000-000097250000}"/>
    <cellStyle name="Comma 6 13 4 2" xfId="18280" xr:uid="{7F132B38-B170-440F-94A4-34A56CD9FB8A}"/>
    <cellStyle name="Comma 6 13 4 3" xfId="28696" xr:uid="{3D320961-EAF3-4997-BE04-857B8513BFC6}"/>
    <cellStyle name="Comma 6 13 5" xfId="16190" xr:uid="{12F55372-ACAD-4794-B0ED-A7A8F0CB2A02}"/>
    <cellStyle name="Comma 6 13 6" xfId="26606" xr:uid="{8FBE1EEC-D4F4-4878-9C7D-F10C2BFF3BA9}"/>
    <cellStyle name="Comma 6 14" xfId="3857" xr:uid="{00000000-0005-0000-0000-000098250000}"/>
    <cellStyle name="Comma 6 14 2" xfId="11008" xr:uid="{00000000-0005-0000-0000-000099250000}"/>
    <cellStyle name="Comma 6 14 2 2" xfId="22554" xr:uid="{FCFB2DA9-7DCC-4151-9B19-FF04A1FE53E2}"/>
    <cellStyle name="Comma 6 14 2 3" xfId="32970" xr:uid="{919D162C-16B1-436A-9853-2D33DF940479}"/>
    <cellStyle name="Comma 6 14 3" xfId="16192" xr:uid="{BE56B5CB-37C7-4807-BC4D-5CC8E88D4A73}"/>
    <cellStyle name="Comma 6 14 4" xfId="26608" xr:uid="{45B7327E-542F-4467-A1D2-EB6D0E9DF432}"/>
    <cellStyle name="Comma 6 15" xfId="10993" xr:uid="{00000000-0005-0000-0000-00009A250000}"/>
    <cellStyle name="Comma 6 15 2" xfId="22539" xr:uid="{379FD1A8-6F04-4BEE-8D24-92B8CA368AF6}"/>
    <cellStyle name="Comma 6 15 3" xfId="32955" xr:uid="{88A4491C-B1C9-49EB-8911-C0DBDF01D60A}"/>
    <cellStyle name="Comma 6 16" xfId="6687" xr:uid="{00000000-0005-0000-0000-00009B250000}"/>
    <cellStyle name="Comma 6 16 2" xfId="18273" xr:uid="{EFE028CF-860D-499E-BE83-190F5AEC6F0B}"/>
    <cellStyle name="Comma 6 16 3" xfId="28689" xr:uid="{E0511F6D-5104-4369-840C-8F702CC7E992}"/>
    <cellStyle name="Comma 6 17" xfId="16177" xr:uid="{91631338-E65D-49B8-AF95-3FF9909BA238}"/>
    <cellStyle name="Comma 6 18" xfId="26593" xr:uid="{569AE628-14EE-4B74-ABCC-16F4E534FD65}"/>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2 2 2" xfId="22557" xr:uid="{9117D36A-CA64-455D-976D-F932F9E993C8}"/>
    <cellStyle name="Comma 6 2 10 2 2 3" xfId="32973" xr:uid="{E30E7E17-B79A-4CA4-9924-43CC8346F5C3}"/>
    <cellStyle name="Comma 6 2 10 2 3" xfId="16195" xr:uid="{98B35DD7-485B-4179-8087-F674BE9A9E83}"/>
    <cellStyle name="Comma 6 2 10 2 4" xfId="26611" xr:uid="{E0613588-E1DC-4586-B100-9597E25820AD}"/>
    <cellStyle name="Comma 6 2 10 3" xfId="11010" xr:uid="{00000000-0005-0000-0000-0000A0250000}"/>
    <cellStyle name="Comma 6 2 10 3 2" xfId="22556" xr:uid="{BEE531B8-0F76-435A-BAA0-22283D6E0ABE}"/>
    <cellStyle name="Comma 6 2 10 3 3" xfId="32972" xr:uid="{BD1FD0E6-EA15-4AB8-BAC6-65B30B4DB7C5}"/>
    <cellStyle name="Comma 6 2 10 4" xfId="6696" xr:uid="{00000000-0005-0000-0000-0000A1250000}"/>
    <cellStyle name="Comma 6 2 10 4 2" xfId="18282" xr:uid="{F946E512-6902-4C92-8BDD-708124338578}"/>
    <cellStyle name="Comma 6 2 10 4 3" xfId="28698" xr:uid="{0212EA37-7B2C-44A6-88E9-CC89D396A8D1}"/>
    <cellStyle name="Comma 6 2 10 5" xfId="16194" xr:uid="{348280B9-870F-438C-841B-9679087E8A2E}"/>
    <cellStyle name="Comma 6 2 10 6" xfId="26610" xr:uid="{4D3D7547-535B-4020-9DB4-7552BF2D45BB}"/>
    <cellStyle name="Comma 6 2 11" xfId="3861" xr:uid="{00000000-0005-0000-0000-0000A2250000}"/>
    <cellStyle name="Comma 6 2 11 2" xfId="11012" xr:uid="{00000000-0005-0000-0000-0000A3250000}"/>
    <cellStyle name="Comma 6 2 11 2 2" xfId="22558" xr:uid="{C21481F1-D4FE-4D48-8E9B-D3904ED5E989}"/>
    <cellStyle name="Comma 6 2 11 2 3" xfId="32974" xr:uid="{38C013EF-9B59-4E06-A6E3-CD1CD8E2C27A}"/>
    <cellStyle name="Comma 6 2 11 3" xfId="16196" xr:uid="{14643BB1-CF5D-4AAC-AE4C-1B31A057EE00}"/>
    <cellStyle name="Comma 6 2 11 4" xfId="26612" xr:uid="{291C539A-D32A-4697-AC94-3D49F8212417}"/>
    <cellStyle name="Comma 6 2 12" xfId="11009" xr:uid="{00000000-0005-0000-0000-0000A4250000}"/>
    <cellStyle name="Comma 6 2 12 2" xfId="22555" xr:uid="{4685BFAD-BB59-47F1-9E76-6A03845ACF4C}"/>
    <cellStyle name="Comma 6 2 12 3" xfId="32971" xr:uid="{C686B551-4507-40AA-A777-01C631524436}"/>
    <cellStyle name="Comma 6 2 13" xfId="6695" xr:uid="{00000000-0005-0000-0000-0000A5250000}"/>
    <cellStyle name="Comma 6 2 13 2" xfId="18281" xr:uid="{B620A40A-CEC1-422F-AE5D-512729BBD1B8}"/>
    <cellStyle name="Comma 6 2 13 3" xfId="28697" xr:uid="{84E61C0D-6FAA-44B0-8A0F-403BDFD60950}"/>
    <cellStyle name="Comma 6 2 14" xfId="16193" xr:uid="{A5A5B496-2C39-4EA5-83C7-34A5B2E8692F}"/>
    <cellStyle name="Comma 6 2 15" xfId="26609" xr:uid="{F5982DC7-EF95-46C1-9DFE-DCA493547C0D}"/>
    <cellStyle name="Comma 6 2 2" xfId="3862" xr:uid="{00000000-0005-0000-0000-0000A6250000}"/>
    <cellStyle name="Comma 6 2 2 10" xfId="3863" xr:uid="{00000000-0005-0000-0000-0000A7250000}"/>
    <cellStyle name="Comma 6 2 2 10 2" xfId="11014" xr:uid="{00000000-0005-0000-0000-0000A8250000}"/>
    <cellStyle name="Comma 6 2 2 10 2 2" xfId="22560" xr:uid="{B6129320-ECFC-43C6-8BA9-EA481FEC16F5}"/>
    <cellStyle name="Comma 6 2 2 10 2 3" xfId="32976" xr:uid="{A597D9E8-EF57-4C49-8EFD-2647142E19DE}"/>
    <cellStyle name="Comma 6 2 2 10 3" xfId="16198" xr:uid="{5F24F674-7570-4226-8273-1D0B9272A01E}"/>
    <cellStyle name="Comma 6 2 2 10 4" xfId="26614" xr:uid="{87D68826-7802-4FEE-AE6C-F7FE219CB7DA}"/>
    <cellStyle name="Comma 6 2 2 11" xfId="11013" xr:uid="{00000000-0005-0000-0000-0000A9250000}"/>
    <cellStyle name="Comma 6 2 2 11 2" xfId="22559" xr:uid="{E8B9F43D-F973-4306-A4A3-771A3510C909}"/>
    <cellStyle name="Comma 6 2 2 11 3" xfId="32975" xr:uid="{A528F3DA-36B7-4012-8EEF-175C999A5608}"/>
    <cellStyle name="Comma 6 2 2 12" xfId="6697" xr:uid="{00000000-0005-0000-0000-0000AA250000}"/>
    <cellStyle name="Comma 6 2 2 12 2" xfId="18283" xr:uid="{5DA0FDF4-EFA4-4EDD-A4FA-2DB786E0CDB7}"/>
    <cellStyle name="Comma 6 2 2 12 3" xfId="28699" xr:uid="{95EC28B4-14A9-4A13-80DA-D7A4451CCE31}"/>
    <cellStyle name="Comma 6 2 2 13" xfId="16197" xr:uid="{4755BF50-E3B1-42CD-A121-90CD8FB44642}"/>
    <cellStyle name="Comma 6 2 2 14" xfId="26613" xr:uid="{6FF094C3-EE6D-4B96-9AAA-C7F2CE3E6E31}"/>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2 2 2" xfId="22564" xr:uid="{65176E37-3881-46A7-8AB3-ACFE0F10DF42}"/>
    <cellStyle name="Comma 6 2 2 2 2 2 2 2 3" xfId="32980" xr:uid="{31D3AFE6-7F6F-4D6E-91C9-0E7E45A79979}"/>
    <cellStyle name="Comma 6 2 2 2 2 2 2 3" xfId="16202" xr:uid="{0DAE233A-DEAB-4CFC-89DE-7D87B68AAECB}"/>
    <cellStyle name="Comma 6 2 2 2 2 2 2 4" xfId="26618" xr:uid="{1382D0B7-8C67-4230-88B0-30E10BF68775}"/>
    <cellStyle name="Comma 6 2 2 2 2 2 3" xfId="11017" xr:uid="{00000000-0005-0000-0000-0000B0250000}"/>
    <cellStyle name="Comma 6 2 2 2 2 2 3 2" xfId="22563" xr:uid="{30421F95-FF07-4F91-8874-4188CE57DA81}"/>
    <cellStyle name="Comma 6 2 2 2 2 2 3 3" xfId="32979" xr:uid="{CB080F06-889B-4932-878C-606B1FDDD2CB}"/>
    <cellStyle name="Comma 6 2 2 2 2 2 4" xfId="6700" xr:uid="{00000000-0005-0000-0000-0000B1250000}"/>
    <cellStyle name="Comma 6 2 2 2 2 2 4 2" xfId="18286" xr:uid="{5F27F05B-E12D-4617-9AE0-736339F05854}"/>
    <cellStyle name="Comma 6 2 2 2 2 2 4 3" xfId="28702" xr:uid="{F4734583-690A-4CB7-A581-002B36FFF283}"/>
    <cellStyle name="Comma 6 2 2 2 2 2 5" xfId="16201" xr:uid="{A242A40D-71F5-46FF-BBA3-AD76D0ABD036}"/>
    <cellStyle name="Comma 6 2 2 2 2 2 6" xfId="26617" xr:uid="{5097F5BC-8226-4E7D-BF37-2CD747ADF030}"/>
    <cellStyle name="Comma 6 2 2 2 2 3" xfId="3868" xr:uid="{00000000-0005-0000-0000-0000B2250000}"/>
    <cellStyle name="Comma 6 2 2 2 2 3 2" xfId="11019" xr:uid="{00000000-0005-0000-0000-0000B3250000}"/>
    <cellStyle name="Comma 6 2 2 2 2 3 2 2" xfId="22565" xr:uid="{4B112626-93CA-47BE-9A79-492E25598296}"/>
    <cellStyle name="Comma 6 2 2 2 2 3 2 3" xfId="32981" xr:uid="{9311D746-7210-4BD8-9E74-C8560F906A80}"/>
    <cellStyle name="Comma 6 2 2 2 2 3 3" xfId="16203" xr:uid="{C44219BD-B9B1-4872-9E3D-D0B94D357D4C}"/>
    <cellStyle name="Comma 6 2 2 2 2 3 4" xfId="26619" xr:uid="{400BBB75-9898-4CD6-9951-E421A0E7F6F8}"/>
    <cellStyle name="Comma 6 2 2 2 2 4" xfId="11016" xr:uid="{00000000-0005-0000-0000-0000B4250000}"/>
    <cellStyle name="Comma 6 2 2 2 2 4 2" xfId="22562" xr:uid="{B6B7DCA7-A4C4-40F3-A69F-EB423600B71A}"/>
    <cellStyle name="Comma 6 2 2 2 2 4 3" xfId="32978" xr:uid="{2B046662-2C21-475E-B5D6-69560C57A303}"/>
    <cellStyle name="Comma 6 2 2 2 2 5" xfId="6699" xr:uid="{00000000-0005-0000-0000-0000B5250000}"/>
    <cellStyle name="Comma 6 2 2 2 2 5 2" xfId="18285" xr:uid="{088A3276-90DB-4862-A53B-6F3CCE8F0FA1}"/>
    <cellStyle name="Comma 6 2 2 2 2 5 3" xfId="28701" xr:uid="{BBAA6F0F-75AE-47DB-9BE3-CE5FB63B608D}"/>
    <cellStyle name="Comma 6 2 2 2 2 6" xfId="16200" xr:uid="{44EB395A-EEC1-4AF6-8727-781F1DDD0FC8}"/>
    <cellStyle name="Comma 6 2 2 2 2 7" xfId="26616" xr:uid="{C0B780ED-71D0-4885-877C-73402983517E}"/>
    <cellStyle name="Comma 6 2 2 2 3" xfId="3869" xr:uid="{00000000-0005-0000-0000-0000B6250000}"/>
    <cellStyle name="Comma 6 2 2 2 3 2" xfId="3870" xr:uid="{00000000-0005-0000-0000-0000B7250000}"/>
    <cellStyle name="Comma 6 2 2 2 3 2 2" xfId="11021" xr:uid="{00000000-0005-0000-0000-0000B8250000}"/>
    <cellStyle name="Comma 6 2 2 2 3 2 2 2" xfId="22567" xr:uid="{101A9F14-5855-43C0-BF02-D462CE11052E}"/>
    <cellStyle name="Comma 6 2 2 2 3 2 2 3" xfId="32983" xr:uid="{024953F1-7D7A-4197-BC04-EB03FA5ED6C5}"/>
    <cellStyle name="Comma 6 2 2 2 3 2 3" xfId="16205" xr:uid="{0B846ED8-F287-4B24-8B06-D6D291751AC5}"/>
    <cellStyle name="Comma 6 2 2 2 3 2 4" xfId="26621" xr:uid="{889762D8-BA5B-45A6-8F76-D0D4C24CE7FC}"/>
    <cellStyle name="Comma 6 2 2 2 3 3" xfId="11020" xr:uid="{00000000-0005-0000-0000-0000B9250000}"/>
    <cellStyle name="Comma 6 2 2 2 3 3 2" xfId="22566" xr:uid="{A818DDCB-FDBE-4CCE-88AE-58ECE63277EB}"/>
    <cellStyle name="Comma 6 2 2 2 3 3 3" xfId="32982" xr:uid="{0190BD9A-7C95-47F3-881D-6EB0FBC83059}"/>
    <cellStyle name="Comma 6 2 2 2 3 4" xfId="6701" xr:uid="{00000000-0005-0000-0000-0000BA250000}"/>
    <cellStyle name="Comma 6 2 2 2 3 4 2" xfId="18287" xr:uid="{76E2C0A1-B564-45A8-A6C8-AD98288CF003}"/>
    <cellStyle name="Comma 6 2 2 2 3 4 3" xfId="28703" xr:uid="{84A9469F-E35E-46BD-97E5-AC0CF0D88A06}"/>
    <cellStyle name="Comma 6 2 2 2 3 5" xfId="16204" xr:uid="{C2715160-74B0-46C4-8377-FB82C8E58F83}"/>
    <cellStyle name="Comma 6 2 2 2 3 6" xfId="26620" xr:uid="{CAAD8F20-095B-4D16-B5FD-E663ECB881E0}"/>
    <cellStyle name="Comma 6 2 2 2 4" xfId="3871" xr:uid="{00000000-0005-0000-0000-0000BB250000}"/>
    <cellStyle name="Comma 6 2 2 2 4 2" xfId="3872" xr:uid="{00000000-0005-0000-0000-0000BC250000}"/>
    <cellStyle name="Comma 6 2 2 2 4 2 2" xfId="11023" xr:uid="{00000000-0005-0000-0000-0000BD250000}"/>
    <cellStyle name="Comma 6 2 2 2 4 2 2 2" xfId="22569" xr:uid="{2F00B3F0-61B6-4FE2-A033-C24CC7567D70}"/>
    <cellStyle name="Comma 6 2 2 2 4 2 2 3" xfId="32985" xr:uid="{FE572D81-DB08-4717-AF0F-72BBEBC65847}"/>
    <cellStyle name="Comma 6 2 2 2 4 2 3" xfId="16207" xr:uid="{32B93807-8B57-48B6-AEA7-7E04CE1A4CB8}"/>
    <cellStyle name="Comma 6 2 2 2 4 2 4" xfId="26623" xr:uid="{B3DA38F5-A5FA-4F94-8667-49EE00821FDE}"/>
    <cellStyle name="Comma 6 2 2 2 4 3" xfId="11022" xr:uid="{00000000-0005-0000-0000-0000BE250000}"/>
    <cellStyle name="Comma 6 2 2 2 4 3 2" xfId="22568" xr:uid="{41F7A7FF-EE2C-46AF-87E4-B81AB037A33A}"/>
    <cellStyle name="Comma 6 2 2 2 4 3 3" xfId="32984" xr:uid="{4D1E7FEE-A1DF-4A93-A930-BB4DDF889730}"/>
    <cellStyle name="Comma 6 2 2 2 4 4" xfId="6702" xr:uid="{00000000-0005-0000-0000-0000BF250000}"/>
    <cellStyle name="Comma 6 2 2 2 4 4 2" xfId="18288" xr:uid="{0DB33554-9D37-45DC-A9F0-4583280338E7}"/>
    <cellStyle name="Comma 6 2 2 2 4 4 3" xfId="28704" xr:uid="{514423DC-E44E-4818-9031-D6F42C89098A}"/>
    <cellStyle name="Comma 6 2 2 2 4 5" xfId="16206" xr:uid="{72B1A658-D086-439E-BC29-4817388030C4}"/>
    <cellStyle name="Comma 6 2 2 2 4 6" xfId="26622" xr:uid="{9D06BDC5-CB67-4080-BE51-167314B8BBFA}"/>
    <cellStyle name="Comma 6 2 2 2 5" xfId="3873" xr:uid="{00000000-0005-0000-0000-0000C0250000}"/>
    <cellStyle name="Comma 6 2 2 2 5 2" xfId="11024" xr:uid="{00000000-0005-0000-0000-0000C1250000}"/>
    <cellStyle name="Comma 6 2 2 2 5 2 2" xfId="22570" xr:uid="{6299D119-03C3-4E60-8EC7-A81E1032BC01}"/>
    <cellStyle name="Comma 6 2 2 2 5 2 3" xfId="32986" xr:uid="{F66343D3-69CF-4526-8EA1-CDE93ABF22D6}"/>
    <cellStyle name="Comma 6 2 2 2 5 3" xfId="16208" xr:uid="{F0B0D4E2-DA71-429F-8195-2493C05EDEBF}"/>
    <cellStyle name="Comma 6 2 2 2 5 4" xfId="26624" xr:uid="{B5E5F4B1-8DDA-47A9-81DA-25026DEF1FA2}"/>
    <cellStyle name="Comma 6 2 2 2 6" xfId="11015" xr:uid="{00000000-0005-0000-0000-0000C2250000}"/>
    <cellStyle name="Comma 6 2 2 2 6 2" xfId="22561" xr:uid="{DBC182CF-4C31-4AC3-AB5A-EC00F1199A9D}"/>
    <cellStyle name="Comma 6 2 2 2 6 3" xfId="32977" xr:uid="{FAE06DF7-3C93-4224-9E43-87BC2F32A3C4}"/>
    <cellStyle name="Comma 6 2 2 2 7" xfId="6698" xr:uid="{00000000-0005-0000-0000-0000C3250000}"/>
    <cellStyle name="Comma 6 2 2 2 7 2" xfId="18284" xr:uid="{083D3918-5498-43AF-8458-456479B78591}"/>
    <cellStyle name="Comma 6 2 2 2 7 3" xfId="28700" xr:uid="{F4BDD2A0-0FF1-46D0-936E-7E2467AD6F7C}"/>
    <cellStyle name="Comma 6 2 2 2 8" xfId="16199" xr:uid="{B0BBD246-B38D-4078-A253-F1674C353BAD}"/>
    <cellStyle name="Comma 6 2 2 2 9" xfId="26615" xr:uid="{457A7237-4349-45F8-9D32-FF6C3220E9BB}"/>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2 2 2" xfId="22574" xr:uid="{96AC0ED9-CB12-4AAF-BCCB-18DA09F53E47}"/>
    <cellStyle name="Comma 6 2 2 3 2 2 2 2 3" xfId="32990" xr:uid="{8D4FE04B-6D32-4CF1-B855-46D0FA4623FD}"/>
    <cellStyle name="Comma 6 2 2 3 2 2 2 3" xfId="16212" xr:uid="{ADADD6B9-9663-4DF7-A648-D5E5AC599069}"/>
    <cellStyle name="Comma 6 2 2 3 2 2 2 4" xfId="26628" xr:uid="{AA6E3EEA-635F-440C-95EC-FC276B810ACF}"/>
    <cellStyle name="Comma 6 2 2 3 2 2 3" xfId="11027" xr:uid="{00000000-0005-0000-0000-0000C9250000}"/>
    <cellStyle name="Comma 6 2 2 3 2 2 3 2" xfId="22573" xr:uid="{C59AB0A3-6FC9-48E8-93FA-2CF0F316A83A}"/>
    <cellStyle name="Comma 6 2 2 3 2 2 3 3" xfId="32989" xr:uid="{363A2CF7-7827-43B2-9EBD-2F88A755F53E}"/>
    <cellStyle name="Comma 6 2 2 3 2 2 4" xfId="6705" xr:uid="{00000000-0005-0000-0000-0000CA250000}"/>
    <cellStyle name="Comma 6 2 2 3 2 2 4 2" xfId="18291" xr:uid="{B83F0DED-88CA-405C-AB77-9649DD067010}"/>
    <cellStyle name="Comma 6 2 2 3 2 2 4 3" xfId="28707" xr:uid="{CFD63A01-AA89-472D-A03D-90A0568BC42C}"/>
    <cellStyle name="Comma 6 2 2 3 2 2 5" xfId="16211" xr:uid="{9E829FD0-DA8B-48B4-8484-ED71D8BDE11D}"/>
    <cellStyle name="Comma 6 2 2 3 2 2 6" xfId="26627" xr:uid="{DFC1DF88-FD27-4A8A-B841-57A0B54E5582}"/>
    <cellStyle name="Comma 6 2 2 3 2 3" xfId="3878" xr:uid="{00000000-0005-0000-0000-0000CB250000}"/>
    <cellStyle name="Comma 6 2 2 3 2 3 2" xfId="11029" xr:uid="{00000000-0005-0000-0000-0000CC250000}"/>
    <cellStyle name="Comma 6 2 2 3 2 3 2 2" xfId="22575" xr:uid="{4DFC5AE1-2BD3-4432-9FEC-4617229F3A91}"/>
    <cellStyle name="Comma 6 2 2 3 2 3 2 3" xfId="32991" xr:uid="{0A1F68E1-F61F-471C-ACEA-8F9356817692}"/>
    <cellStyle name="Comma 6 2 2 3 2 3 3" xfId="16213" xr:uid="{1C1C9C42-099F-4177-974B-FDE4A0736B2E}"/>
    <cellStyle name="Comma 6 2 2 3 2 3 4" xfId="26629" xr:uid="{4A756F1C-186B-45E2-BC0B-2F372298C9C2}"/>
    <cellStyle name="Comma 6 2 2 3 2 4" xfId="11026" xr:uid="{00000000-0005-0000-0000-0000CD250000}"/>
    <cellStyle name="Comma 6 2 2 3 2 4 2" xfId="22572" xr:uid="{1E6A482C-0B8A-4B94-A252-948FD11DBA6B}"/>
    <cellStyle name="Comma 6 2 2 3 2 4 3" xfId="32988" xr:uid="{206F6590-7BF0-46F7-88E7-EC1D9D4EB6EC}"/>
    <cellStyle name="Comma 6 2 2 3 2 5" xfId="6704" xr:uid="{00000000-0005-0000-0000-0000CE250000}"/>
    <cellStyle name="Comma 6 2 2 3 2 5 2" xfId="18290" xr:uid="{9CDC819E-F54E-4DBC-B293-0462FCC2E571}"/>
    <cellStyle name="Comma 6 2 2 3 2 5 3" xfId="28706" xr:uid="{42695FA2-A953-4720-9004-5FF2F5A6876B}"/>
    <cellStyle name="Comma 6 2 2 3 2 6" xfId="16210" xr:uid="{DF9C667C-42F3-463E-BCBF-413F212F4E09}"/>
    <cellStyle name="Comma 6 2 2 3 2 7" xfId="26626" xr:uid="{07AA65E4-7254-4FCE-898B-45FD748A97B2}"/>
    <cellStyle name="Comma 6 2 2 3 3" xfId="3879" xr:uid="{00000000-0005-0000-0000-0000CF250000}"/>
    <cellStyle name="Comma 6 2 2 3 3 2" xfId="3880" xr:uid="{00000000-0005-0000-0000-0000D0250000}"/>
    <cellStyle name="Comma 6 2 2 3 3 2 2" xfId="11031" xr:uid="{00000000-0005-0000-0000-0000D1250000}"/>
    <cellStyle name="Comma 6 2 2 3 3 2 2 2" xfId="22577" xr:uid="{C25A5B72-0658-44D0-B083-924A2FF75326}"/>
    <cellStyle name="Comma 6 2 2 3 3 2 2 3" xfId="32993" xr:uid="{F3385E1B-F318-4AE5-BA14-B1F06A8AA69F}"/>
    <cellStyle name="Comma 6 2 2 3 3 2 3" xfId="16215" xr:uid="{673CE4BF-0F5D-4987-9D3B-A48B4C3647FC}"/>
    <cellStyle name="Comma 6 2 2 3 3 2 4" xfId="26631" xr:uid="{5DD33F97-ED13-4805-8CC2-50F2CEA7B747}"/>
    <cellStyle name="Comma 6 2 2 3 3 3" xfId="11030" xr:uid="{00000000-0005-0000-0000-0000D2250000}"/>
    <cellStyle name="Comma 6 2 2 3 3 3 2" xfId="22576" xr:uid="{5B2528E5-FD2E-4F65-999A-3E2D434BA927}"/>
    <cellStyle name="Comma 6 2 2 3 3 3 3" xfId="32992" xr:uid="{98EB6B56-D5FA-48BD-B6D9-26F52A6C0B52}"/>
    <cellStyle name="Comma 6 2 2 3 3 4" xfId="6706" xr:uid="{00000000-0005-0000-0000-0000D3250000}"/>
    <cellStyle name="Comma 6 2 2 3 3 4 2" xfId="18292" xr:uid="{57FB5BC1-2435-4E4B-9AF8-0B2A48229DDE}"/>
    <cellStyle name="Comma 6 2 2 3 3 4 3" xfId="28708" xr:uid="{EBEC440D-5C18-424D-ABD4-DDA2C2309D5C}"/>
    <cellStyle name="Comma 6 2 2 3 3 5" xfId="16214" xr:uid="{78854D3D-7735-4CEC-A7F6-3F07702E853C}"/>
    <cellStyle name="Comma 6 2 2 3 3 6" xfId="26630" xr:uid="{D5E896DD-E075-4A78-80A6-5C0751404AA8}"/>
    <cellStyle name="Comma 6 2 2 3 4" xfId="3881" xr:uid="{00000000-0005-0000-0000-0000D4250000}"/>
    <cellStyle name="Comma 6 2 2 3 4 2" xfId="3882" xr:uid="{00000000-0005-0000-0000-0000D5250000}"/>
    <cellStyle name="Comma 6 2 2 3 4 2 2" xfId="11033" xr:uid="{00000000-0005-0000-0000-0000D6250000}"/>
    <cellStyle name="Comma 6 2 2 3 4 2 2 2" xfId="22579" xr:uid="{B49FAF70-2771-4F4A-9899-65AD74FFA9CA}"/>
    <cellStyle name="Comma 6 2 2 3 4 2 2 3" xfId="32995" xr:uid="{19AF1FDF-D0B9-40A3-AAAB-89447D2FE5E5}"/>
    <cellStyle name="Comma 6 2 2 3 4 2 3" xfId="16217" xr:uid="{F6CD2042-72A9-4037-8651-9D5103E80401}"/>
    <cellStyle name="Comma 6 2 2 3 4 2 4" xfId="26633" xr:uid="{2F3D18B7-9DCA-4F3E-A32D-B0AF5D4A5134}"/>
    <cellStyle name="Comma 6 2 2 3 4 3" xfId="11032" xr:uid="{00000000-0005-0000-0000-0000D7250000}"/>
    <cellStyle name="Comma 6 2 2 3 4 3 2" xfId="22578" xr:uid="{3203B3BA-51CF-4B97-8C4A-BF5CA96076C5}"/>
    <cellStyle name="Comma 6 2 2 3 4 3 3" xfId="32994" xr:uid="{E88365F4-73DF-4075-AB34-831E18D01D67}"/>
    <cellStyle name="Comma 6 2 2 3 4 4" xfId="6707" xr:uid="{00000000-0005-0000-0000-0000D8250000}"/>
    <cellStyle name="Comma 6 2 2 3 4 4 2" xfId="18293" xr:uid="{FB97B46B-1662-4B86-97B5-4F7D1241E1AE}"/>
    <cellStyle name="Comma 6 2 2 3 4 4 3" xfId="28709" xr:uid="{80281B48-48D7-4822-AADD-D9C0933C774A}"/>
    <cellStyle name="Comma 6 2 2 3 4 5" xfId="16216" xr:uid="{6368DE8C-66E8-45EE-8C79-902FD29B0412}"/>
    <cellStyle name="Comma 6 2 2 3 4 6" xfId="26632" xr:uid="{4E35162B-3A99-41A3-9EF7-08B4306BA7D4}"/>
    <cellStyle name="Comma 6 2 2 3 5" xfId="3883" xr:uid="{00000000-0005-0000-0000-0000D9250000}"/>
    <cellStyle name="Comma 6 2 2 3 5 2" xfId="11034" xr:uid="{00000000-0005-0000-0000-0000DA250000}"/>
    <cellStyle name="Comma 6 2 2 3 5 2 2" xfId="22580" xr:uid="{9545A288-1E17-44E0-A169-C73D026A9DC2}"/>
    <cellStyle name="Comma 6 2 2 3 5 2 3" xfId="32996" xr:uid="{06EB4E06-5447-4424-BE87-055052200327}"/>
    <cellStyle name="Comma 6 2 2 3 5 3" xfId="16218" xr:uid="{85E784D3-4E11-4514-A0FE-5771BFD923CA}"/>
    <cellStyle name="Comma 6 2 2 3 5 4" xfId="26634" xr:uid="{D523B477-7E29-4DFA-A1C3-160FA2620329}"/>
    <cellStyle name="Comma 6 2 2 3 6" xfId="11025" xr:uid="{00000000-0005-0000-0000-0000DB250000}"/>
    <cellStyle name="Comma 6 2 2 3 6 2" xfId="22571" xr:uid="{0A185775-C82C-4386-8085-CE8EA39464E6}"/>
    <cellStyle name="Comma 6 2 2 3 6 3" xfId="32987" xr:uid="{00ECD93C-47F1-4330-BC83-6756F9FE4C97}"/>
    <cellStyle name="Comma 6 2 2 3 7" xfId="6703" xr:uid="{00000000-0005-0000-0000-0000DC250000}"/>
    <cellStyle name="Comma 6 2 2 3 7 2" xfId="18289" xr:uid="{42FFF04F-E432-496D-81A0-B16F12B9DF0E}"/>
    <cellStyle name="Comma 6 2 2 3 7 3" xfId="28705" xr:uid="{AE33814E-AE91-40A0-A792-681CCF4D9987}"/>
    <cellStyle name="Comma 6 2 2 3 8" xfId="16209" xr:uid="{1D4A41FF-3E40-4392-8621-F2852CAF7629}"/>
    <cellStyle name="Comma 6 2 2 3 9" xfId="26625" xr:uid="{1A85D58E-FC28-4283-9C67-D2A120C604EC}"/>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2 2 2" xfId="22584" xr:uid="{4EF8EC1A-A7C2-40BA-9DD6-010611916D2F}"/>
    <cellStyle name="Comma 6 2 2 4 2 2 2 2 3" xfId="33000" xr:uid="{76142C13-C68D-497A-A6B7-8052BE7FF59E}"/>
    <cellStyle name="Comma 6 2 2 4 2 2 2 3" xfId="16222" xr:uid="{E0E4EB9E-FF6C-4C11-A821-262DC421BE63}"/>
    <cellStyle name="Comma 6 2 2 4 2 2 2 4" xfId="26638" xr:uid="{E3FF65BE-CDB7-40E2-B01D-A35CCBE2DA4F}"/>
    <cellStyle name="Comma 6 2 2 4 2 2 3" xfId="11037" xr:uid="{00000000-0005-0000-0000-0000E2250000}"/>
    <cellStyle name="Comma 6 2 2 4 2 2 3 2" xfId="22583" xr:uid="{507028E7-3169-4FE9-8D6A-7C963159CD9A}"/>
    <cellStyle name="Comma 6 2 2 4 2 2 3 3" xfId="32999" xr:uid="{288CD19B-FA84-4988-AE69-3A76D8E6EF82}"/>
    <cellStyle name="Comma 6 2 2 4 2 2 4" xfId="6710" xr:uid="{00000000-0005-0000-0000-0000E3250000}"/>
    <cellStyle name="Comma 6 2 2 4 2 2 4 2" xfId="18296" xr:uid="{310FAB7F-4D32-45CE-B65C-1D6CA3A479EB}"/>
    <cellStyle name="Comma 6 2 2 4 2 2 4 3" xfId="28712" xr:uid="{9D6E9C73-8FBF-46D0-B331-96677A871079}"/>
    <cellStyle name="Comma 6 2 2 4 2 2 5" xfId="16221" xr:uid="{65FC1C9E-C598-43F5-90A4-C48FEC1EAEEF}"/>
    <cellStyle name="Comma 6 2 2 4 2 2 6" xfId="26637" xr:uid="{055129B4-5512-4E43-8F4A-8AD788B026FC}"/>
    <cellStyle name="Comma 6 2 2 4 2 3" xfId="3888" xr:uid="{00000000-0005-0000-0000-0000E4250000}"/>
    <cellStyle name="Comma 6 2 2 4 2 3 2" xfId="11039" xr:uid="{00000000-0005-0000-0000-0000E5250000}"/>
    <cellStyle name="Comma 6 2 2 4 2 3 2 2" xfId="22585" xr:uid="{C8D94945-1BAA-40FC-950B-263D3A85EFD2}"/>
    <cellStyle name="Comma 6 2 2 4 2 3 2 3" xfId="33001" xr:uid="{812B848B-52AE-4DAE-9F3D-91A5D1B783BF}"/>
    <cellStyle name="Comma 6 2 2 4 2 3 3" xfId="16223" xr:uid="{44562B7E-E8FB-4092-BEEE-20051683E18C}"/>
    <cellStyle name="Comma 6 2 2 4 2 3 4" xfId="26639" xr:uid="{E19E1A6A-7170-47CA-9A25-077463E21167}"/>
    <cellStyle name="Comma 6 2 2 4 2 4" xfId="11036" xr:uid="{00000000-0005-0000-0000-0000E6250000}"/>
    <cellStyle name="Comma 6 2 2 4 2 4 2" xfId="22582" xr:uid="{6D857C82-C5EA-4AA8-B3AC-2D9BF6A9C95A}"/>
    <cellStyle name="Comma 6 2 2 4 2 4 3" xfId="32998" xr:uid="{F427FB74-E349-4CBB-94CD-87F6FC082B4A}"/>
    <cellStyle name="Comma 6 2 2 4 2 5" xfId="6709" xr:uid="{00000000-0005-0000-0000-0000E7250000}"/>
    <cellStyle name="Comma 6 2 2 4 2 5 2" xfId="18295" xr:uid="{5E40102E-C472-4ED3-98C1-068EB9C36897}"/>
    <cellStyle name="Comma 6 2 2 4 2 5 3" xfId="28711" xr:uid="{EFAE1EF3-A454-47CC-BE30-94EBAEB85262}"/>
    <cellStyle name="Comma 6 2 2 4 2 6" xfId="16220" xr:uid="{22519ECF-0422-4C8C-A39E-26EA47552445}"/>
    <cellStyle name="Comma 6 2 2 4 2 7" xfId="26636" xr:uid="{77AD08E9-18CF-4FF6-8F11-AD72B525E736}"/>
    <cellStyle name="Comma 6 2 2 4 3" xfId="3889" xr:uid="{00000000-0005-0000-0000-0000E8250000}"/>
    <cellStyle name="Comma 6 2 2 4 3 2" xfId="3890" xr:uid="{00000000-0005-0000-0000-0000E9250000}"/>
    <cellStyle name="Comma 6 2 2 4 3 2 2" xfId="11041" xr:uid="{00000000-0005-0000-0000-0000EA250000}"/>
    <cellStyle name="Comma 6 2 2 4 3 2 2 2" xfId="22587" xr:uid="{1383EACF-1AF0-4A73-9C76-F8812A8A514D}"/>
    <cellStyle name="Comma 6 2 2 4 3 2 2 3" xfId="33003" xr:uid="{F8FBD087-E9EA-45A8-A99B-79AB4221DE02}"/>
    <cellStyle name="Comma 6 2 2 4 3 2 3" xfId="16225" xr:uid="{5D11F3EE-0D60-419F-A85B-35DCE8399A79}"/>
    <cellStyle name="Comma 6 2 2 4 3 2 4" xfId="26641" xr:uid="{32FD0011-3242-4AE3-AE95-25DFB9822BA5}"/>
    <cellStyle name="Comma 6 2 2 4 3 3" xfId="11040" xr:uid="{00000000-0005-0000-0000-0000EB250000}"/>
    <cellStyle name="Comma 6 2 2 4 3 3 2" xfId="22586" xr:uid="{36E0F868-9A3C-4B23-B77F-F574A76F2064}"/>
    <cellStyle name="Comma 6 2 2 4 3 3 3" xfId="33002" xr:uid="{731ABBC7-EE59-44E4-A7B1-A73D2BDCBD48}"/>
    <cellStyle name="Comma 6 2 2 4 3 4" xfId="6711" xr:uid="{00000000-0005-0000-0000-0000EC250000}"/>
    <cellStyle name="Comma 6 2 2 4 3 4 2" xfId="18297" xr:uid="{E6B2E10B-2663-4D32-9BE9-848AB0EC32B3}"/>
    <cellStyle name="Comma 6 2 2 4 3 4 3" xfId="28713" xr:uid="{B55B7FB4-AEE4-414E-A7B3-088FCCDED15A}"/>
    <cellStyle name="Comma 6 2 2 4 3 5" xfId="16224" xr:uid="{07F48ECC-1F4F-4F63-A031-B715ED9C393A}"/>
    <cellStyle name="Comma 6 2 2 4 3 6" xfId="26640" xr:uid="{D463042E-BE2F-46FD-A48B-FEAF0C9DCC6A}"/>
    <cellStyle name="Comma 6 2 2 4 4" xfId="3891" xr:uid="{00000000-0005-0000-0000-0000ED250000}"/>
    <cellStyle name="Comma 6 2 2 4 4 2" xfId="3892" xr:uid="{00000000-0005-0000-0000-0000EE250000}"/>
    <cellStyle name="Comma 6 2 2 4 4 2 2" xfId="11043" xr:uid="{00000000-0005-0000-0000-0000EF250000}"/>
    <cellStyle name="Comma 6 2 2 4 4 2 2 2" xfId="22589" xr:uid="{9886639B-BDBC-4127-9BD1-9136D85916F2}"/>
    <cellStyle name="Comma 6 2 2 4 4 2 2 3" xfId="33005" xr:uid="{E05013B8-C5BA-4003-A741-8215D0BBDA8F}"/>
    <cellStyle name="Comma 6 2 2 4 4 2 3" xfId="16227" xr:uid="{F84D1233-29B4-4A0C-9150-01A6A88AA41E}"/>
    <cellStyle name="Comma 6 2 2 4 4 2 4" xfId="26643" xr:uid="{98DE218D-A36D-48DA-B6A8-723F84A8BC73}"/>
    <cellStyle name="Comma 6 2 2 4 4 3" xfId="11042" xr:uid="{00000000-0005-0000-0000-0000F0250000}"/>
    <cellStyle name="Comma 6 2 2 4 4 3 2" xfId="22588" xr:uid="{78146783-8131-4E94-8447-CF178B496F5B}"/>
    <cellStyle name="Comma 6 2 2 4 4 3 3" xfId="33004" xr:uid="{0F573840-11AD-459E-AD7A-B31A96F4C5B2}"/>
    <cellStyle name="Comma 6 2 2 4 4 4" xfId="6712" xr:uid="{00000000-0005-0000-0000-0000F1250000}"/>
    <cellStyle name="Comma 6 2 2 4 4 4 2" xfId="18298" xr:uid="{40AE6C8D-5956-428E-8548-531D37E3CDCF}"/>
    <cellStyle name="Comma 6 2 2 4 4 4 3" xfId="28714" xr:uid="{0221468C-05B5-48A4-9D1B-171F883A7A70}"/>
    <cellStyle name="Comma 6 2 2 4 4 5" xfId="16226" xr:uid="{96517CE4-2E80-4F22-9371-CCA26AE3C0E3}"/>
    <cellStyle name="Comma 6 2 2 4 4 6" xfId="26642" xr:uid="{59D4DDE3-5E92-45D5-9035-629421711AF5}"/>
    <cellStyle name="Comma 6 2 2 4 5" xfId="3893" xr:uid="{00000000-0005-0000-0000-0000F2250000}"/>
    <cellStyle name="Comma 6 2 2 4 5 2" xfId="11044" xr:uid="{00000000-0005-0000-0000-0000F3250000}"/>
    <cellStyle name="Comma 6 2 2 4 5 2 2" xfId="22590" xr:uid="{104543F1-FCED-4F78-BBFB-507A79A58009}"/>
    <cellStyle name="Comma 6 2 2 4 5 2 3" xfId="33006" xr:uid="{5E3A8A49-9298-4AD6-BD16-592DCD415001}"/>
    <cellStyle name="Comma 6 2 2 4 5 3" xfId="16228" xr:uid="{6DDB02A0-D5F7-470C-9700-AD35795079A7}"/>
    <cellStyle name="Comma 6 2 2 4 5 4" xfId="26644" xr:uid="{DD6E8ACC-92CD-4260-A5C9-FDFFD420AD35}"/>
    <cellStyle name="Comma 6 2 2 4 6" xfId="11035" xr:uid="{00000000-0005-0000-0000-0000F4250000}"/>
    <cellStyle name="Comma 6 2 2 4 6 2" xfId="22581" xr:uid="{287F09F5-E4EA-4B61-B01F-15B541C6A89C}"/>
    <cellStyle name="Comma 6 2 2 4 6 3" xfId="32997" xr:uid="{8B4A1047-7281-4330-B50B-2A32E699FD54}"/>
    <cellStyle name="Comma 6 2 2 4 7" xfId="6708" xr:uid="{00000000-0005-0000-0000-0000F5250000}"/>
    <cellStyle name="Comma 6 2 2 4 7 2" xfId="18294" xr:uid="{B18D5BAE-3517-4BCE-88A6-401FC3051C5C}"/>
    <cellStyle name="Comma 6 2 2 4 7 3" xfId="28710" xr:uid="{F5651C1A-0088-4E3F-BAF7-47F7916514D6}"/>
    <cellStyle name="Comma 6 2 2 4 8" xfId="16219" xr:uid="{1850EDA6-FDA4-4114-8E42-6F61E5B1C801}"/>
    <cellStyle name="Comma 6 2 2 4 9" xfId="26635" xr:uid="{2328F01F-00E6-4887-8B1C-00837DE0405C}"/>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2 2 2" xfId="22594" xr:uid="{19115E5B-A3B4-480F-ACC6-5889AA46532C}"/>
    <cellStyle name="Comma 6 2 2 5 2 2 2 2 3" xfId="33010" xr:uid="{3131825D-00E0-4E3A-84BE-479F65CBE57B}"/>
    <cellStyle name="Comma 6 2 2 5 2 2 2 3" xfId="16232" xr:uid="{FA5E3C2C-B764-4CA1-8149-EF33AA1CD9BA}"/>
    <cellStyle name="Comma 6 2 2 5 2 2 2 4" xfId="26648" xr:uid="{3844675F-8B04-4F4A-B36C-A394CAD8CDD4}"/>
    <cellStyle name="Comma 6 2 2 5 2 2 3" xfId="11047" xr:uid="{00000000-0005-0000-0000-0000FB250000}"/>
    <cellStyle name="Comma 6 2 2 5 2 2 3 2" xfId="22593" xr:uid="{5268A9EC-8D66-42CF-AE1B-6225F345AF0A}"/>
    <cellStyle name="Comma 6 2 2 5 2 2 3 3" xfId="33009" xr:uid="{51AA3D96-48FA-4696-B68E-8F64214BF764}"/>
    <cellStyle name="Comma 6 2 2 5 2 2 4" xfId="6715" xr:uid="{00000000-0005-0000-0000-0000FC250000}"/>
    <cellStyle name="Comma 6 2 2 5 2 2 4 2" xfId="18301" xr:uid="{31722CA4-6007-4383-B054-D37B6895A3D2}"/>
    <cellStyle name="Comma 6 2 2 5 2 2 4 3" xfId="28717" xr:uid="{54EAB284-228C-4BBF-A555-D1943DEE08D6}"/>
    <cellStyle name="Comma 6 2 2 5 2 2 5" xfId="16231" xr:uid="{BCDF1C6B-A99C-4CC0-A702-767DB2B5A0CB}"/>
    <cellStyle name="Comma 6 2 2 5 2 2 6" xfId="26647" xr:uid="{FD149680-DDCC-4028-842E-4574F2F087C8}"/>
    <cellStyle name="Comma 6 2 2 5 2 3" xfId="3898" xr:uid="{00000000-0005-0000-0000-0000FD250000}"/>
    <cellStyle name="Comma 6 2 2 5 2 3 2" xfId="11049" xr:uid="{00000000-0005-0000-0000-0000FE250000}"/>
    <cellStyle name="Comma 6 2 2 5 2 3 2 2" xfId="22595" xr:uid="{6C9BCE6A-E599-47C5-B8A7-65ADF7AD9B8D}"/>
    <cellStyle name="Comma 6 2 2 5 2 3 2 3" xfId="33011" xr:uid="{13E717A0-345B-402F-A56A-ED11E81785CD}"/>
    <cellStyle name="Comma 6 2 2 5 2 3 3" xfId="16233" xr:uid="{9441FCC0-07D6-422D-AA31-DD649CAC7F1D}"/>
    <cellStyle name="Comma 6 2 2 5 2 3 4" xfId="26649" xr:uid="{D5A45EAE-8B98-452D-B705-975215BF6C81}"/>
    <cellStyle name="Comma 6 2 2 5 2 4" xfId="11046" xr:uid="{00000000-0005-0000-0000-0000FF250000}"/>
    <cellStyle name="Comma 6 2 2 5 2 4 2" xfId="22592" xr:uid="{118547A9-9B87-497B-B90A-1576E9EAD812}"/>
    <cellStyle name="Comma 6 2 2 5 2 4 3" xfId="33008" xr:uid="{7FF369DB-E05B-4E0F-B79A-901F199491FC}"/>
    <cellStyle name="Comma 6 2 2 5 2 5" xfId="6714" xr:uid="{00000000-0005-0000-0000-000000260000}"/>
    <cellStyle name="Comma 6 2 2 5 2 5 2" xfId="18300" xr:uid="{E394BED8-C6B8-4B1B-9647-462972524D2A}"/>
    <cellStyle name="Comma 6 2 2 5 2 5 3" xfId="28716" xr:uid="{50C5F8A8-D5D1-446B-9610-6F9DA26B2066}"/>
    <cellStyle name="Comma 6 2 2 5 2 6" xfId="16230" xr:uid="{B966B24F-6452-4778-9624-5CEBFF0EEF60}"/>
    <cellStyle name="Comma 6 2 2 5 2 7" xfId="26646" xr:uid="{60EAA9EE-E1BF-47BF-A39B-2D16A451C5AD}"/>
    <cellStyle name="Comma 6 2 2 5 3" xfId="3899" xr:uid="{00000000-0005-0000-0000-000001260000}"/>
    <cellStyle name="Comma 6 2 2 5 3 2" xfId="3900" xr:uid="{00000000-0005-0000-0000-000002260000}"/>
    <cellStyle name="Comma 6 2 2 5 3 2 2" xfId="11051" xr:uid="{00000000-0005-0000-0000-000003260000}"/>
    <cellStyle name="Comma 6 2 2 5 3 2 2 2" xfId="22597" xr:uid="{77366365-1CD9-431A-A709-D137C4B23430}"/>
    <cellStyle name="Comma 6 2 2 5 3 2 2 3" xfId="33013" xr:uid="{C97AB0E8-D876-43EA-BCC3-FE5154FF0DEA}"/>
    <cellStyle name="Comma 6 2 2 5 3 2 3" xfId="16235" xr:uid="{D449F413-CAE5-48C4-A896-ADBCCFBBE846}"/>
    <cellStyle name="Comma 6 2 2 5 3 2 4" xfId="26651" xr:uid="{1EA91A09-977A-4A5C-9CF4-E98F7E208996}"/>
    <cellStyle name="Comma 6 2 2 5 3 3" xfId="11050" xr:uid="{00000000-0005-0000-0000-000004260000}"/>
    <cellStyle name="Comma 6 2 2 5 3 3 2" xfId="22596" xr:uid="{F0E49AEA-794C-4782-B292-45540BEA7BA6}"/>
    <cellStyle name="Comma 6 2 2 5 3 3 3" xfId="33012" xr:uid="{9249FA21-6032-48BE-8D54-424D63DB6939}"/>
    <cellStyle name="Comma 6 2 2 5 3 4" xfId="6716" xr:uid="{00000000-0005-0000-0000-000005260000}"/>
    <cellStyle name="Comma 6 2 2 5 3 4 2" xfId="18302" xr:uid="{17D9AB75-EF67-4DE5-B49F-75DFFEDD58BD}"/>
    <cellStyle name="Comma 6 2 2 5 3 4 3" xfId="28718" xr:uid="{02FF2C2E-3BAB-45BF-ABF5-5C6710055841}"/>
    <cellStyle name="Comma 6 2 2 5 3 5" xfId="16234" xr:uid="{9CB13E25-0BAA-4B6E-A264-61A0930B963E}"/>
    <cellStyle name="Comma 6 2 2 5 3 6" xfId="26650" xr:uid="{C50D9625-E928-4E51-9B14-2319AAFEC8A3}"/>
    <cellStyle name="Comma 6 2 2 5 4" xfId="3901" xr:uid="{00000000-0005-0000-0000-000006260000}"/>
    <cellStyle name="Comma 6 2 2 5 4 2" xfId="3902" xr:uid="{00000000-0005-0000-0000-000007260000}"/>
    <cellStyle name="Comma 6 2 2 5 4 2 2" xfId="11053" xr:uid="{00000000-0005-0000-0000-000008260000}"/>
    <cellStyle name="Comma 6 2 2 5 4 2 2 2" xfId="22599" xr:uid="{72B1EC78-BBF0-4F7B-B378-287847C2DBA5}"/>
    <cellStyle name="Comma 6 2 2 5 4 2 2 3" xfId="33015" xr:uid="{E96E84C0-15F3-4C85-847E-7E327A0B4597}"/>
    <cellStyle name="Comma 6 2 2 5 4 2 3" xfId="16237" xr:uid="{6E5B452E-212E-4A86-82B1-A260C7283FBA}"/>
    <cellStyle name="Comma 6 2 2 5 4 2 4" xfId="26653" xr:uid="{B62CAE16-D5BA-497D-9485-5BCB8E4E7B87}"/>
    <cellStyle name="Comma 6 2 2 5 4 3" xfId="11052" xr:uid="{00000000-0005-0000-0000-000009260000}"/>
    <cellStyle name="Comma 6 2 2 5 4 3 2" xfId="22598" xr:uid="{1B7346AD-F32F-4C94-8F99-68CD026528AE}"/>
    <cellStyle name="Comma 6 2 2 5 4 3 3" xfId="33014" xr:uid="{17BC0D78-1554-4986-99CE-C90CC402BE2D}"/>
    <cellStyle name="Comma 6 2 2 5 4 4" xfId="6717" xr:uid="{00000000-0005-0000-0000-00000A260000}"/>
    <cellStyle name="Comma 6 2 2 5 4 4 2" xfId="18303" xr:uid="{258F872A-3FB8-4840-A8FE-8BE80CED579B}"/>
    <cellStyle name="Comma 6 2 2 5 4 4 3" xfId="28719" xr:uid="{7192B132-D602-48F4-A4AF-3D1AA6C38781}"/>
    <cellStyle name="Comma 6 2 2 5 4 5" xfId="16236" xr:uid="{3001317C-E99B-4DC2-A214-8DBB43304E69}"/>
    <cellStyle name="Comma 6 2 2 5 4 6" xfId="26652" xr:uid="{98D7A882-F7BC-4C70-B09C-1364F8F63731}"/>
    <cellStyle name="Comma 6 2 2 5 5" xfId="3903" xr:uid="{00000000-0005-0000-0000-00000B260000}"/>
    <cellStyle name="Comma 6 2 2 5 5 2" xfId="11054" xr:uid="{00000000-0005-0000-0000-00000C260000}"/>
    <cellStyle name="Comma 6 2 2 5 5 2 2" xfId="22600" xr:uid="{02693B2A-E463-4453-83B5-8CA8EA63316A}"/>
    <cellStyle name="Comma 6 2 2 5 5 2 3" xfId="33016" xr:uid="{E810A6D3-F64C-4776-8FC2-BA7E2F5890D2}"/>
    <cellStyle name="Comma 6 2 2 5 5 3" xfId="16238" xr:uid="{75B03234-823F-4FE2-AA9B-E9F0CF264798}"/>
    <cellStyle name="Comma 6 2 2 5 5 4" xfId="26654" xr:uid="{00449B85-6CFB-424F-80A6-2926C18BDE15}"/>
    <cellStyle name="Comma 6 2 2 5 6" xfId="11045" xr:uid="{00000000-0005-0000-0000-00000D260000}"/>
    <cellStyle name="Comma 6 2 2 5 6 2" xfId="22591" xr:uid="{695ED504-25D1-43A9-8516-6F4F8E8A3784}"/>
    <cellStyle name="Comma 6 2 2 5 6 3" xfId="33007" xr:uid="{D23FBD01-C95D-4AD0-AFC5-7072D8DB995B}"/>
    <cellStyle name="Comma 6 2 2 5 7" xfId="6713" xr:uid="{00000000-0005-0000-0000-00000E260000}"/>
    <cellStyle name="Comma 6 2 2 5 7 2" xfId="18299" xr:uid="{FD9ECE6D-6D3F-4402-8F5C-F7918D4EA478}"/>
    <cellStyle name="Comma 6 2 2 5 7 3" xfId="28715" xr:uid="{40C349A1-797F-4213-9D86-22F5F277D125}"/>
    <cellStyle name="Comma 6 2 2 5 8" xfId="16229" xr:uid="{F073FCB6-E0F3-4632-9493-543BE6C7D7E5}"/>
    <cellStyle name="Comma 6 2 2 5 9" xfId="26645" xr:uid="{0C7CA678-B1C7-47BE-9C7F-B5E83BE12099}"/>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2 2 2" xfId="22603" xr:uid="{28EC3752-DDD1-4B55-8A71-E016B990261A}"/>
    <cellStyle name="Comma 6 2 2 6 2 2 2 3" xfId="33019" xr:uid="{7743388C-155C-4E97-9066-323AD7BDC331}"/>
    <cellStyle name="Comma 6 2 2 6 2 2 3" xfId="16241" xr:uid="{BB42C54A-4F5E-440C-9889-78DB0DB928F3}"/>
    <cellStyle name="Comma 6 2 2 6 2 2 4" xfId="26657" xr:uid="{5D034E9E-0D26-4DA9-B168-057BD8B2764B}"/>
    <cellStyle name="Comma 6 2 2 6 2 3" xfId="11056" xr:uid="{00000000-0005-0000-0000-000013260000}"/>
    <cellStyle name="Comma 6 2 2 6 2 3 2" xfId="22602" xr:uid="{87003969-1F09-4612-A8F0-D849431773E9}"/>
    <cellStyle name="Comma 6 2 2 6 2 3 3" xfId="33018" xr:uid="{3B89465A-BE41-4B1F-A87A-38580084A51B}"/>
    <cellStyle name="Comma 6 2 2 6 2 4" xfId="6719" xr:uid="{00000000-0005-0000-0000-000014260000}"/>
    <cellStyle name="Comma 6 2 2 6 2 4 2" xfId="18305" xr:uid="{BBFEE336-B5D4-4AD8-8229-5C92A1E232C4}"/>
    <cellStyle name="Comma 6 2 2 6 2 4 3" xfId="28721" xr:uid="{AE537578-4D78-4FAA-B305-74055C7E7F4F}"/>
    <cellStyle name="Comma 6 2 2 6 2 5" xfId="16240" xr:uid="{17B2ABB3-8B30-4FF5-8DDB-EEE0F6A03E9A}"/>
    <cellStyle name="Comma 6 2 2 6 2 6" xfId="26656" xr:uid="{4174E76C-4B77-45B1-9ED2-A7F1939F5EA4}"/>
    <cellStyle name="Comma 6 2 2 6 3" xfId="3907" xr:uid="{00000000-0005-0000-0000-000015260000}"/>
    <cellStyle name="Comma 6 2 2 6 3 2" xfId="3908" xr:uid="{00000000-0005-0000-0000-000016260000}"/>
    <cellStyle name="Comma 6 2 2 6 3 2 2" xfId="11059" xr:uid="{00000000-0005-0000-0000-000017260000}"/>
    <cellStyle name="Comma 6 2 2 6 3 2 2 2" xfId="22605" xr:uid="{79119C40-9ED5-4AED-82F5-42B1BD070916}"/>
    <cellStyle name="Comma 6 2 2 6 3 2 2 3" xfId="33021" xr:uid="{2DE94E63-0D3A-45FC-AD9C-6BF1830A7ADA}"/>
    <cellStyle name="Comma 6 2 2 6 3 2 3" xfId="16243" xr:uid="{5695724F-0BA5-47D9-ADA0-B1C96769B835}"/>
    <cellStyle name="Comma 6 2 2 6 3 2 4" xfId="26659" xr:uid="{DF098638-2696-49AB-BD51-D0D417DCB9CB}"/>
    <cellStyle name="Comma 6 2 2 6 3 3" xfId="11058" xr:uid="{00000000-0005-0000-0000-000018260000}"/>
    <cellStyle name="Comma 6 2 2 6 3 3 2" xfId="22604" xr:uid="{3EDD45F4-9FEC-419F-AC39-804E17A72D82}"/>
    <cellStyle name="Comma 6 2 2 6 3 3 3" xfId="33020" xr:uid="{2678A9BC-34B3-41F7-B754-EBBF39121FB5}"/>
    <cellStyle name="Comma 6 2 2 6 3 4" xfId="6720" xr:uid="{00000000-0005-0000-0000-000019260000}"/>
    <cellStyle name="Comma 6 2 2 6 3 4 2" xfId="18306" xr:uid="{AAE2FAA2-1268-45FB-8FBB-6A1D0412EC40}"/>
    <cellStyle name="Comma 6 2 2 6 3 4 3" xfId="28722" xr:uid="{03DEE184-210D-4E17-B363-85858ED43996}"/>
    <cellStyle name="Comma 6 2 2 6 3 5" xfId="16242" xr:uid="{2A6CE2F1-E6E2-41DB-85E4-FFE053B3C97E}"/>
    <cellStyle name="Comma 6 2 2 6 3 6" xfId="26658" xr:uid="{CD28A4DB-AF00-4EDE-8D50-FE11717BED9F}"/>
    <cellStyle name="Comma 6 2 2 6 4" xfId="3909" xr:uid="{00000000-0005-0000-0000-00001A260000}"/>
    <cellStyle name="Comma 6 2 2 6 4 2" xfId="11060" xr:uid="{00000000-0005-0000-0000-00001B260000}"/>
    <cellStyle name="Comma 6 2 2 6 4 2 2" xfId="22606" xr:uid="{278A2976-3590-43B8-B3D4-EE248DCAD8FF}"/>
    <cellStyle name="Comma 6 2 2 6 4 2 3" xfId="33022" xr:uid="{5FACF878-E4EF-474C-A11B-720DD1C68359}"/>
    <cellStyle name="Comma 6 2 2 6 4 3" xfId="16244" xr:uid="{66801868-E982-4569-85F4-B55BC4FBE9A1}"/>
    <cellStyle name="Comma 6 2 2 6 4 4" xfId="26660" xr:uid="{94D9C38B-2A9E-4A08-9EAE-217BE97CA294}"/>
    <cellStyle name="Comma 6 2 2 6 5" xfId="11055" xr:uid="{00000000-0005-0000-0000-00001C260000}"/>
    <cellStyle name="Comma 6 2 2 6 5 2" xfId="22601" xr:uid="{A1E4E572-6E4F-484A-9ADE-E7F9098AB142}"/>
    <cellStyle name="Comma 6 2 2 6 5 3" xfId="33017" xr:uid="{45C51BEF-0A0A-4C4F-A222-696CF0A42FE8}"/>
    <cellStyle name="Comma 6 2 2 6 6" xfId="6718" xr:uid="{00000000-0005-0000-0000-00001D260000}"/>
    <cellStyle name="Comma 6 2 2 6 6 2" xfId="18304" xr:uid="{C4C0086B-BC6D-4C56-AA6C-5C9FC190D955}"/>
    <cellStyle name="Comma 6 2 2 6 6 3" xfId="28720" xr:uid="{9B7993B5-0DF1-4D59-B0B9-F6CA08CB2EF6}"/>
    <cellStyle name="Comma 6 2 2 6 7" xfId="16239" xr:uid="{FA19BBAC-0833-456A-83D9-81B8FD042BBB}"/>
    <cellStyle name="Comma 6 2 2 6 8" xfId="26655" xr:uid="{89C3879D-767E-4D88-B31F-4D4045370444}"/>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2 2 2" xfId="22609" xr:uid="{CEF0195D-E11B-43CC-AEDE-6F2EFBDB5BCB}"/>
    <cellStyle name="Comma 6 2 2 7 2 2 2 3" xfId="33025" xr:uid="{16930F78-7BCD-4613-8550-4F70424B4937}"/>
    <cellStyle name="Comma 6 2 2 7 2 2 3" xfId="16247" xr:uid="{47BD10A3-A512-442C-ABBE-A0BE20596031}"/>
    <cellStyle name="Comma 6 2 2 7 2 2 4" xfId="26663" xr:uid="{1F567B4C-3590-42FF-9F1A-CD2FC69D0A69}"/>
    <cellStyle name="Comma 6 2 2 7 2 3" xfId="11062" xr:uid="{00000000-0005-0000-0000-000022260000}"/>
    <cellStyle name="Comma 6 2 2 7 2 3 2" xfId="22608" xr:uid="{AC2E8003-B0A1-4E12-BE24-A79AB15B80AE}"/>
    <cellStyle name="Comma 6 2 2 7 2 3 3" xfId="33024" xr:uid="{AA2077F7-4674-4ED1-972C-B8AF054D7FA1}"/>
    <cellStyle name="Comma 6 2 2 7 2 4" xfId="6722" xr:uid="{00000000-0005-0000-0000-000023260000}"/>
    <cellStyle name="Comma 6 2 2 7 2 4 2" xfId="18308" xr:uid="{1778E4B5-22CB-400A-99B4-1579D51F65B0}"/>
    <cellStyle name="Comma 6 2 2 7 2 4 3" xfId="28724" xr:uid="{41AC3366-07A6-494A-9204-27475F4B5D52}"/>
    <cellStyle name="Comma 6 2 2 7 2 5" xfId="16246" xr:uid="{15077A46-6187-4331-A3E2-802DC663B69F}"/>
    <cellStyle name="Comma 6 2 2 7 2 6" xfId="26662" xr:uid="{EAF382F7-DC70-41C5-ABC7-C655B1594952}"/>
    <cellStyle name="Comma 6 2 2 7 3" xfId="3913" xr:uid="{00000000-0005-0000-0000-000024260000}"/>
    <cellStyle name="Comma 6 2 2 7 3 2" xfId="11064" xr:uid="{00000000-0005-0000-0000-000025260000}"/>
    <cellStyle name="Comma 6 2 2 7 3 2 2" xfId="22610" xr:uid="{1FE22286-EBE4-4141-A697-723F91066AD5}"/>
    <cellStyle name="Comma 6 2 2 7 3 2 3" xfId="33026" xr:uid="{B530EAAC-EAE9-4406-8FDB-936C07267870}"/>
    <cellStyle name="Comma 6 2 2 7 3 3" xfId="16248" xr:uid="{CA02EF1A-22F6-4C13-8520-407F284F1667}"/>
    <cellStyle name="Comma 6 2 2 7 3 4" xfId="26664" xr:uid="{F3DBFECC-ED98-443D-861E-20929DDD2717}"/>
    <cellStyle name="Comma 6 2 2 7 4" xfId="11061" xr:uid="{00000000-0005-0000-0000-000026260000}"/>
    <cellStyle name="Comma 6 2 2 7 4 2" xfId="22607" xr:uid="{680CE705-67E8-4B8B-ABE0-E75B95F79CA0}"/>
    <cellStyle name="Comma 6 2 2 7 4 3" xfId="33023" xr:uid="{62F6BF37-C761-467E-9957-B81CB06D4093}"/>
    <cellStyle name="Comma 6 2 2 7 5" xfId="6721" xr:uid="{00000000-0005-0000-0000-000027260000}"/>
    <cellStyle name="Comma 6 2 2 7 5 2" xfId="18307" xr:uid="{C19E33A9-9027-4372-B132-ECE8F14878EA}"/>
    <cellStyle name="Comma 6 2 2 7 5 3" xfId="28723" xr:uid="{09D43F6E-A96F-424C-9236-C00010DB692F}"/>
    <cellStyle name="Comma 6 2 2 7 6" xfId="16245" xr:uid="{BFD6629C-5570-42F6-A1CA-20FE12B41FD0}"/>
    <cellStyle name="Comma 6 2 2 7 7" xfId="26661" xr:uid="{FF2C9E28-A745-4B44-ADB8-56CAFC8E0339}"/>
    <cellStyle name="Comma 6 2 2 8" xfId="3914" xr:uid="{00000000-0005-0000-0000-000028260000}"/>
    <cellStyle name="Comma 6 2 2 8 2" xfId="3915" xr:uid="{00000000-0005-0000-0000-000029260000}"/>
    <cellStyle name="Comma 6 2 2 8 2 2" xfId="11066" xr:uid="{00000000-0005-0000-0000-00002A260000}"/>
    <cellStyle name="Comma 6 2 2 8 2 2 2" xfId="22612" xr:uid="{48E6A77A-FEAA-45E7-82A5-A10D313AC24E}"/>
    <cellStyle name="Comma 6 2 2 8 2 2 3" xfId="33028" xr:uid="{32F8CB17-D5D3-4926-83C5-19124CB2E1B7}"/>
    <cellStyle name="Comma 6 2 2 8 2 3" xfId="16250" xr:uid="{EA8028A3-4CE9-4FDF-A71C-2304748E9B4F}"/>
    <cellStyle name="Comma 6 2 2 8 2 4" xfId="26666" xr:uid="{F9E3ED8E-5ADA-4E95-A621-41F3BC0A56DE}"/>
    <cellStyle name="Comma 6 2 2 8 3" xfId="11065" xr:uid="{00000000-0005-0000-0000-00002B260000}"/>
    <cellStyle name="Comma 6 2 2 8 3 2" xfId="22611" xr:uid="{35C6D905-38CA-4468-93CB-1932E1336CF7}"/>
    <cellStyle name="Comma 6 2 2 8 3 3" xfId="33027" xr:uid="{DB28E961-D8AC-43FF-AD37-9BA3BA3E97A4}"/>
    <cellStyle name="Comma 6 2 2 8 4" xfId="6723" xr:uid="{00000000-0005-0000-0000-00002C260000}"/>
    <cellStyle name="Comma 6 2 2 8 4 2" xfId="18309" xr:uid="{56070F52-C0C5-4C9D-87E2-47AB46CC5B67}"/>
    <cellStyle name="Comma 6 2 2 8 4 3" xfId="28725" xr:uid="{F66CB436-01E0-479F-8A2D-534CD46EB8A8}"/>
    <cellStyle name="Comma 6 2 2 8 5" xfId="16249" xr:uid="{6B4F0B4D-12EA-41D6-85AC-292A6995343E}"/>
    <cellStyle name="Comma 6 2 2 8 6" xfId="26665" xr:uid="{D1CDDA5C-36BA-4732-94DA-CD4E085F0307}"/>
    <cellStyle name="Comma 6 2 2 9" xfId="3916" xr:uid="{00000000-0005-0000-0000-00002D260000}"/>
    <cellStyle name="Comma 6 2 2 9 2" xfId="3917" xr:uid="{00000000-0005-0000-0000-00002E260000}"/>
    <cellStyle name="Comma 6 2 2 9 2 2" xfId="11068" xr:uid="{00000000-0005-0000-0000-00002F260000}"/>
    <cellStyle name="Comma 6 2 2 9 2 2 2" xfId="22614" xr:uid="{7AF8C4EC-D0F0-4E63-A236-A53101FD1F86}"/>
    <cellStyle name="Comma 6 2 2 9 2 2 3" xfId="33030" xr:uid="{CF1FC200-B4D8-4E9A-ACA8-005A92611184}"/>
    <cellStyle name="Comma 6 2 2 9 2 3" xfId="16252" xr:uid="{9017713F-52F4-43C0-BE9C-AEEE8A723B45}"/>
    <cellStyle name="Comma 6 2 2 9 2 4" xfId="26668" xr:uid="{CA762F96-D65B-4F81-81F6-62ABE1AEE606}"/>
    <cellStyle name="Comma 6 2 2 9 3" xfId="11067" xr:uid="{00000000-0005-0000-0000-000030260000}"/>
    <cellStyle name="Comma 6 2 2 9 3 2" xfId="22613" xr:uid="{B1096189-0A94-4600-8C16-E6933323B1F8}"/>
    <cellStyle name="Comma 6 2 2 9 3 3" xfId="33029" xr:uid="{121F3D4A-C44D-4A1A-AED4-D76836DD4750}"/>
    <cellStyle name="Comma 6 2 2 9 4" xfId="6724" xr:uid="{00000000-0005-0000-0000-000031260000}"/>
    <cellStyle name="Comma 6 2 2 9 4 2" xfId="18310" xr:uid="{7EBC7E3F-B52E-4A44-A23C-D5A6BA132E45}"/>
    <cellStyle name="Comma 6 2 2 9 4 3" xfId="28726" xr:uid="{783E04A0-97A6-4D31-863F-91185D6C3BC9}"/>
    <cellStyle name="Comma 6 2 2 9 5" xfId="16251" xr:uid="{74E3AEC9-9457-4B6A-BABC-1AEB2995F7C2}"/>
    <cellStyle name="Comma 6 2 2 9 6" xfId="26667" xr:uid="{77F297C8-D23B-40C7-ABCA-A1B53FD79437}"/>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2 2 2" xfId="22618" xr:uid="{B5D012CB-9EE7-4BF5-B699-38DA9119888F}"/>
    <cellStyle name="Comma 6 2 3 2 2 2 2 3" xfId="33034" xr:uid="{9E41DB02-D46D-4A5A-95DF-2780386B8CA1}"/>
    <cellStyle name="Comma 6 2 3 2 2 2 3" xfId="16256" xr:uid="{8F6DAFA9-6ACD-4766-8D25-0C2DC0AF9B31}"/>
    <cellStyle name="Comma 6 2 3 2 2 2 4" xfId="26672" xr:uid="{304FC276-4669-40DD-B385-FFFD39029C67}"/>
    <cellStyle name="Comma 6 2 3 2 2 3" xfId="11071" xr:uid="{00000000-0005-0000-0000-000037260000}"/>
    <cellStyle name="Comma 6 2 3 2 2 3 2" xfId="22617" xr:uid="{E55BBF01-AB6D-40E2-BE0E-AAB1DB60DF07}"/>
    <cellStyle name="Comma 6 2 3 2 2 3 3" xfId="33033" xr:uid="{A19FF628-F6B3-46B3-A2A9-F846735D9901}"/>
    <cellStyle name="Comma 6 2 3 2 2 4" xfId="6727" xr:uid="{00000000-0005-0000-0000-000038260000}"/>
    <cellStyle name="Comma 6 2 3 2 2 4 2" xfId="18313" xr:uid="{C96F5D6F-BA73-428C-9DC4-8CC9CEF0207F}"/>
    <cellStyle name="Comma 6 2 3 2 2 4 3" xfId="28729" xr:uid="{6DB07FB3-642D-4990-A4F5-A54C4C5662F3}"/>
    <cellStyle name="Comma 6 2 3 2 2 5" xfId="16255" xr:uid="{72550B32-FAB5-4F73-872B-ED104906D8BD}"/>
    <cellStyle name="Comma 6 2 3 2 2 6" xfId="26671" xr:uid="{556AAE5B-B6D7-4C4D-B737-B70CFF3C9EEF}"/>
    <cellStyle name="Comma 6 2 3 2 3" xfId="3922" xr:uid="{00000000-0005-0000-0000-000039260000}"/>
    <cellStyle name="Comma 6 2 3 2 3 2" xfId="11073" xr:uid="{00000000-0005-0000-0000-00003A260000}"/>
    <cellStyle name="Comma 6 2 3 2 3 2 2" xfId="22619" xr:uid="{74859742-FDCC-4028-9DA3-4DD42EBD510A}"/>
    <cellStyle name="Comma 6 2 3 2 3 2 3" xfId="33035" xr:uid="{AFDFE072-7102-4FEB-8D8C-E066B51C292B}"/>
    <cellStyle name="Comma 6 2 3 2 3 3" xfId="16257" xr:uid="{0CC19363-4440-44AD-A19A-BBE21606F7AC}"/>
    <cellStyle name="Comma 6 2 3 2 3 4" xfId="26673" xr:uid="{A70733AB-CFF1-4586-ABC1-F63FD955E3E3}"/>
    <cellStyle name="Comma 6 2 3 2 4" xfId="11070" xr:uid="{00000000-0005-0000-0000-00003B260000}"/>
    <cellStyle name="Comma 6 2 3 2 4 2" xfId="22616" xr:uid="{123D377B-3EB0-417F-91AD-75BDFDF3E579}"/>
    <cellStyle name="Comma 6 2 3 2 4 3" xfId="33032" xr:uid="{9BC4D76F-0365-49F3-821A-C938C8B4D53D}"/>
    <cellStyle name="Comma 6 2 3 2 5" xfId="6726" xr:uid="{00000000-0005-0000-0000-00003C260000}"/>
    <cellStyle name="Comma 6 2 3 2 5 2" xfId="18312" xr:uid="{76985088-6A73-4749-A847-AC1FFD3D2B92}"/>
    <cellStyle name="Comma 6 2 3 2 5 3" xfId="28728" xr:uid="{3AA618E7-3F7C-47B6-94C7-E5D136DBF1EF}"/>
    <cellStyle name="Comma 6 2 3 2 6" xfId="16254" xr:uid="{61003852-46B1-4D28-81F8-9066361EA934}"/>
    <cellStyle name="Comma 6 2 3 2 7" xfId="26670" xr:uid="{C8297C99-1FAF-400B-B22A-5FDCFE57A57E}"/>
    <cellStyle name="Comma 6 2 3 3" xfId="3923" xr:uid="{00000000-0005-0000-0000-00003D260000}"/>
    <cellStyle name="Comma 6 2 3 3 2" xfId="3924" xr:uid="{00000000-0005-0000-0000-00003E260000}"/>
    <cellStyle name="Comma 6 2 3 3 2 2" xfId="11075" xr:uid="{00000000-0005-0000-0000-00003F260000}"/>
    <cellStyle name="Comma 6 2 3 3 2 2 2" xfId="22621" xr:uid="{8FC8A95F-EC9A-4281-B97E-D64E1D6213C7}"/>
    <cellStyle name="Comma 6 2 3 3 2 2 3" xfId="33037" xr:uid="{A4B95D64-BF1E-4722-A894-A39D93BC910C}"/>
    <cellStyle name="Comma 6 2 3 3 2 3" xfId="16259" xr:uid="{5968127D-F1B8-4DC0-8275-8E06F83BAB71}"/>
    <cellStyle name="Comma 6 2 3 3 2 4" xfId="26675" xr:uid="{EBFEF115-D246-4DAC-B042-EBBD83B4A98C}"/>
    <cellStyle name="Comma 6 2 3 3 3" xfId="11074" xr:uid="{00000000-0005-0000-0000-000040260000}"/>
    <cellStyle name="Comma 6 2 3 3 3 2" xfId="22620" xr:uid="{9B619215-5F74-40E3-9D35-C72C8E10423D}"/>
    <cellStyle name="Comma 6 2 3 3 3 3" xfId="33036" xr:uid="{CA24BF2E-D805-49EF-9D12-A2FAC746ACA3}"/>
    <cellStyle name="Comma 6 2 3 3 4" xfId="6728" xr:uid="{00000000-0005-0000-0000-000041260000}"/>
    <cellStyle name="Comma 6 2 3 3 4 2" xfId="18314" xr:uid="{F214DCC5-4CF7-44FB-A9F9-56C56D74A89A}"/>
    <cellStyle name="Comma 6 2 3 3 4 3" xfId="28730" xr:uid="{DC8D854F-1A60-44D4-9A51-2BB20D983AB1}"/>
    <cellStyle name="Comma 6 2 3 3 5" xfId="16258" xr:uid="{11E00BE8-5EFF-435D-975D-15EF9E089656}"/>
    <cellStyle name="Comma 6 2 3 3 6" xfId="26674" xr:uid="{A8094CF4-D4E5-4984-9A24-E6DADB76743A}"/>
    <cellStyle name="Comma 6 2 3 4" xfId="3925" xr:uid="{00000000-0005-0000-0000-000042260000}"/>
    <cellStyle name="Comma 6 2 3 4 2" xfId="3926" xr:uid="{00000000-0005-0000-0000-000043260000}"/>
    <cellStyle name="Comma 6 2 3 4 2 2" xfId="11077" xr:uid="{00000000-0005-0000-0000-000044260000}"/>
    <cellStyle name="Comma 6 2 3 4 2 2 2" xfId="22623" xr:uid="{B283A509-FF6F-49CE-B763-68B00804AFAF}"/>
    <cellStyle name="Comma 6 2 3 4 2 2 3" xfId="33039" xr:uid="{158C31E8-1CEB-49A4-921B-7CB5F325F34D}"/>
    <cellStyle name="Comma 6 2 3 4 2 3" xfId="16261" xr:uid="{20C028A0-1AA3-45C7-A30C-EF4136AC1336}"/>
    <cellStyle name="Comma 6 2 3 4 2 4" xfId="26677" xr:uid="{8FBE7211-061E-484C-A573-A6376594D700}"/>
    <cellStyle name="Comma 6 2 3 4 3" xfId="11076" xr:uid="{00000000-0005-0000-0000-000045260000}"/>
    <cellStyle name="Comma 6 2 3 4 3 2" xfId="22622" xr:uid="{991FABA2-747C-466F-A037-560963DA77DE}"/>
    <cellStyle name="Comma 6 2 3 4 3 3" xfId="33038" xr:uid="{856CAA2B-976C-4C9E-AE59-C88FD270353D}"/>
    <cellStyle name="Comma 6 2 3 4 4" xfId="6729" xr:uid="{00000000-0005-0000-0000-000046260000}"/>
    <cellStyle name="Comma 6 2 3 4 4 2" xfId="18315" xr:uid="{9ED1B24B-82AF-4C90-A8AA-7A5CFF7C1B19}"/>
    <cellStyle name="Comma 6 2 3 4 4 3" xfId="28731" xr:uid="{839D7A99-CCA8-460A-A5F9-C4095536E97B}"/>
    <cellStyle name="Comma 6 2 3 4 5" xfId="16260" xr:uid="{FA51AE39-12E3-4B45-99E3-974EC6E3A744}"/>
    <cellStyle name="Comma 6 2 3 4 6" xfId="26676" xr:uid="{9B84187A-F022-4D9C-971A-E411EFCC00BD}"/>
    <cellStyle name="Comma 6 2 3 5" xfId="3927" xr:uid="{00000000-0005-0000-0000-000047260000}"/>
    <cellStyle name="Comma 6 2 3 5 2" xfId="11078" xr:uid="{00000000-0005-0000-0000-000048260000}"/>
    <cellStyle name="Comma 6 2 3 5 2 2" xfId="22624" xr:uid="{903EF362-F798-4B7F-82FF-C5479F972973}"/>
    <cellStyle name="Comma 6 2 3 5 2 3" xfId="33040" xr:uid="{FCD14DC0-E1AC-434E-ACC4-84CAB4276851}"/>
    <cellStyle name="Comma 6 2 3 5 3" xfId="16262" xr:uid="{2FA1F111-6DA4-4C00-AFE6-3144D8953510}"/>
    <cellStyle name="Comma 6 2 3 5 4" xfId="26678" xr:uid="{3BD5B4B6-F3DE-4A82-81AF-F22E0664EC5E}"/>
    <cellStyle name="Comma 6 2 3 6" xfId="11069" xr:uid="{00000000-0005-0000-0000-000049260000}"/>
    <cellStyle name="Comma 6 2 3 6 2" xfId="22615" xr:uid="{757A8A45-BFD7-4792-B8CF-038E08A9C138}"/>
    <cellStyle name="Comma 6 2 3 6 3" xfId="33031" xr:uid="{B004B73D-0233-4A6B-94A3-3A42E11E77F6}"/>
    <cellStyle name="Comma 6 2 3 7" xfId="6725" xr:uid="{00000000-0005-0000-0000-00004A260000}"/>
    <cellStyle name="Comma 6 2 3 7 2" xfId="18311" xr:uid="{0D79092E-7A89-4701-A4C0-52A0ABFF5E48}"/>
    <cellStyle name="Comma 6 2 3 7 3" xfId="28727" xr:uid="{2FABCFBD-E078-4283-817A-1EB05679C088}"/>
    <cellStyle name="Comma 6 2 3 8" xfId="16253" xr:uid="{D83D86B2-98DE-4EC2-ADF8-BD0412F5BE91}"/>
    <cellStyle name="Comma 6 2 3 9" xfId="26669" xr:uid="{61840166-4A55-43B4-B6F3-9314FD99FF02}"/>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2 2 2" xfId="22628" xr:uid="{BED8B6A1-C24A-40CF-A447-BD859060D3EB}"/>
    <cellStyle name="Comma 6 2 4 2 2 2 2 3" xfId="33044" xr:uid="{B51DB7DF-099A-4B01-A3FA-8376DF7FFC29}"/>
    <cellStyle name="Comma 6 2 4 2 2 2 3" xfId="16266" xr:uid="{9CF456E2-C6A0-4E7E-940D-174715B12DA2}"/>
    <cellStyle name="Comma 6 2 4 2 2 2 4" xfId="26682" xr:uid="{02E797AE-97BF-431D-9AE7-97262E5DE3F9}"/>
    <cellStyle name="Comma 6 2 4 2 2 3" xfId="11081" xr:uid="{00000000-0005-0000-0000-000050260000}"/>
    <cellStyle name="Comma 6 2 4 2 2 3 2" xfId="22627" xr:uid="{76A70574-AB89-4F6F-80AB-589290273A29}"/>
    <cellStyle name="Comma 6 2 4 2 2 3 3" xfId="33043" xr:uid="{5C72ECD9-4B68-4179-939C-47A24195EA47}"/>
    <cellStyle name="Comma 6 2 4 2 2 4" xfId="6732" xr:uid="{00000000-0005-0000-0000-000051260000}"/>
    <cellStyle name="Comma 6 2 4 2 2 4 2" xfId="18318" xr:uid="{0CC39903-976D-4DA8-B4BF-3D8F76FC9B78}"/>
    <cellStyle name="Comma 6 2 4 2 2 4 3" xfId="28734" xr:uid="{1DD4838E-0026-4902-823C-FBDDFDAB8EF7}"/>
    <cellStyle name="Comma 6 2 4 2 2 5" xfId="16265" xr:uid="{3200B39A-12F1-4CE2-8348-06EF3E85B27A}"/>
    <cellStyle name="Comma 6 2 4 2 2 6" xfId="26681" xr:uid="{DD40A154-E66B-43D1-9B9C-F664F1DF7696}"/>
    <cellStyle name="Comma 6 2 4 2 3" xfId="3932" xr:uid="{00000000-0005-0000-0000-000052260000}"/>
    <cellStyle name="Comma 6 2 4 2 3 2" xfId="11083" xr:uid="{00000000-0005-0000-0000-000053260000}"/>
    <cellStyle name="Comma 6 2 4 2 3 2 2" xfId="22629" xr:uid="{B31DF38C-44C5-42D5-971C-7E33F95AFE00}"/>
    <cellStyle name="Comma 6 2 4 2 3 2 3" xfId="33045" xr:uid="{8F709542-3633-48E9-BBCC-06BBA03B8C4F}"/>
    <cellStyle name="Comma 6 2 4 2 3 3" xfId="16267" xr:uid="{69323C05-B00A-4956-9767-AF4CA3488866}"/>
    <cellStyle name="Comma 6 2 4 2 3 4" xfId="26683" xr:uid="{054E9980-D505-44DC-A117-2BCCA2E69185}"/>
    <cellStyle name="Comma 6 2 4 2 4" xfId="11080" xr:uid="{00000000-0005-0000-0000-000054260000}"/>
    <cellStyle name="Comma 6 2 4 2 4 2" xfId="22626" xr:uid="{B5AE9959-8869-4BC9-940D-2CF63D94C2F9}"/>
    <cellStyle name="Comma 6 2 4 2 4 3" xfId="33042" xr:uid="{2464069A-D8CE-4682-9021-9A8E4FA955BD}"/>
    <cellStyle name="Comma 6 2 4 2 5" xfId="6731" xr:uid="{00000000-0005-0000-0000-000055260000}"/>
    <cellStyle name="Comma 6 2 4 2 5 2" xfId="18317" xr:uid="{79B89747-C518-4A98-A71C-B53806DD30ED}"/>
    <cellStyle name="Comma 6 2 4 2 5 3" xfId="28733" xr:uid="{B92C1BCB-EF16-4FE0-A902-B96BA79BC634}"/>
    <cellStyle name="Comma 6 2 4 2 6" xfId="16264" xr:uid="{6E5E0335-42C7-4384-90E4-30C92593595A}"/>
    <cellStyle name="Comma 6 2 4 2 7" xfId="26680" xr:uid="{A7EE91B6-2A26-4682-AD8B-043C7541BAEA}"/>
    <cellStyle name="Comma 6 2 4 3" xfId="3933" xr:uid="{00000000-0005-0000-0000-000056260000}"/>
    <cellStyle name="Comma 6 2 4 3 2" xfId="3934" xr:uid="{00000000-0005-0000-0000-000057260000}"/>
    <cellStyle name="Comma 6 2 4 3 2 2" xfId="11085" xr:uid="{00000000-0005-0000-0000-000058260000}"/>
    <cellStyle name="Comma 6 2 4 3 2 2 2" xfId="22631" xr:uid="{ED4AD1FB-B80F-4323-8EB7-E61252E7B408}"/>
    <cellStyle name="Comma 6 2 4 3 2 2 3" xfId="33047" xr:uid="{C1E7E5D5-210E-45E4-8A8D-CADE23CF5A87}"/>
    <cellStyle name="Comma 6 2 4 3 2 3" xfId="16269" xr:uid="{CEDC4A82-C903-4893-BD08-F5A5A539B9FD}"/>
    <cellStyle name="Comma 6 2 4 3 2 4" xfId="26685" xr:uid="{BAC5A109-847C-4A66-BB9B-3224E83F290A}"/>
    <cellStyle name="Comma 6 2 4 3 3" xfId="11084" xr:uid="{00000000-0005-0000-0000-000059260000}"/>
    <cellStyle name="Comma 6 2 4 3 3 2" xfId="22630" xr:uid="{D3EFD1C1-CBED-430A-B289-B885FB5AF21B}"/>
    <cellStyle name="Comma 6 2 4 3 3 3" xfId="33046" xr:uid="{FFF3DEB1-B0DA-4D2B-BB84-20D23E6A47A3}"/>
    <cellStyle name="Comma 6 2 4 3 4" xfId="6733" xr:uid="{00000000-0005-0000-0000-00005A260000}"/>
    <cellStyle name="Comma 6 2 4 3 4 2" xfId="18319" xr:uid="{86D12422-7580-4683-A1CE-E23A4CF19DC1}"/>
    <cellStyle name="Comma 6 2 4 3 4 3" xfId="28735" xr:uid="{547457BC-5E87-4722-A373-FE26F77BA20D}"/>
    <cellStyle name="Comma 6 2 4 3 5" xfId="16268" xr:uid="{E0BC8DF4-449E-4B0E-B5F2-2D75BDE54C7D}"/>
    <cellStyle name="Comma 6 2 4 3 6" xfId="26684" xr:uid="{1F535D8A-E1C4-46F1-A041-67B25270012C}"/>
    <cellStyle name="Comma 6 2 4 4" xfId="3935" xr:uid="{00000000-0005-0000-0000-00005B260000}"/>
    <cellStyle name="Comma 6 2 4 4 2" xfId="3936" xr:uid="{00000000-0005-0000-0000-00005C260000}"/>
    <cellStyle name="Comma 6 2 4 4 2 2" xfId="11087" xr:uid="{00000000-0005-0000-0000-00005D260000}"/>
    <cellStyle name="Comma 6 2 4 4 2 2 2" xfId="22633" xr:uid="{92AD8706-CF13-4B09-B30C-26395D62510B}"/>
    <cellStyle name="Comma 6 2 4 4 2 2 3" xfId="33049" xr:uid="{95B2E873-188F-46E4-A470-1DD89B56FD81}"/>
    <cellStyle name="Comma 6 2 4 4 2 3" xfId="16271" xr:uid="{36C380DB-31FA-47B7-9C9D-B94A74D8998B}"/>
    <cellStyle name="Comma 6 2 4 4 2 4" xfId="26687" xr:uid="{A4D27B7A-C628-4877-93E6-0B52B108E0A6}"/>
    <cellStyle name="Comma 6 2 4 4 3" xfId="11086" xr:uid="{00000000-0005-0000-0000-00005E260000}"/>
    <cellStyle name="Comma 6 2 4 4 3 2" xfId="22632" xr:uid="{9AF76872-1F0A-4396-A6F7-EFF7E94B1B90}"/>
    <cellStyle name="Comma 6 2 4 4 3 3" xfId="33048" xr:uid="{0C8E029D-EB0E-426C-B75F-BAEB6AF8DEBA}"/>
    <cellStyle name="Comma 6 2 4 4 4" xfId="6734" xr:uid="{00000000-0005-0000-0000-00005F260000}"/>
    <cellStyle name="Comma 6 2 4 4 4 2" xfId="18320" xr:uid="{C8340B9D-4789-40A1-A1CD-2E41FD325731}"/>
    <cellStyle name="Comma 6 2 4 4 4 3" xfId="28736" xr:uid="{09FD9B16-57F8-4317-9215-A418A96C9310}"/>
    <cellStyle name="Comma 6 2 4 4 5" xfId="16270" xr:uid="{F2BADC03-5811-40AE-B46C-EB98D6D2550C}"/>
    <cellStyle name="Comma 6 2 4 4 6" xfId="26686" xr:uid="{4BE2EF68-3816-42B1-952E-79FDB096BFC8}"/>
    <cellStyle name="Comma 6 2 4 5" xfId="3937" xr:uid="{00000000-0005-0000-0000-000060260000}"/>
    <cellStyle name="Comma 6 2 4 5 2" xfId="11088" xr:uid="{00000000-0005-0000-0000-000061260000}"/>
    <cellStyle name="Comma 6 2 4 5 2 2" xfId="22634" xr:uid="{FBBA284D-6E74-47C4-B5FC-6CD5991A3563}"/>
    <cellStyle name="Comma 6 2 4 5 2 3" xfId="33050" xr:uid="{63670279-074F-4A85-872D-FB66130305C3}"/>
    <cellStyle name="Comma 6 2 4 5 3" xfId="16272" xr:uid="{22B012DA-0E72-4C4B-A15F-DF387023A2D9}"/>
    <cellStyle name="Comma 6 2 4 5 4" xfId="26688" xr:uid="{5D236D29-DC51-4F7E-B239-6D703D6EEB8E}"/>
    <cellStyle name="Comma 6 2 4 6" xfId="11079" xr:uid="{00000000-0005-0000-0000-000062260000}"/>
    <cellStyle name="Comma 6 2 4 6 2" xfId="22625" xr:uid="{B997847C-573F-477B-9890-EDE47AFB238E}"/>
    <cellStyle name="Comma 6 2 4 6 3" xfId="33041" xr:uid="{D5318A56-22A9-4C6B-94C6-972618A10E35}"/>
    <cellStyle name="Comma 6 2 4 7" xfId="6730" xr:uid="{00000000-0005-0000-0000-000063260000}"/>
    <cellStyle name="Comma 6 2 4 7 2" xfId="18316" xr:uid="{CDBAA107-4554-4968-906B-5C2F0359E21B}"/>
    <cellStyle name="Comma 6 2 4 7 3" xfId="28732" xr:uid="{01E4F9BC-18AA-488F-BC3A-5A86CB9F654E}"/>
    <cellStyle name="Comma 6 2 4 8" xfId="16263" xr:uid="{90A01F67-E503-40AA-A401-FD167227028F}"/>
    <cellStyle name="Comma 6 2 4 9" xfId="26679" xr:uid="{4704AC71-F9F6-4276-9C53-06B850171928}"/>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2 2 2" xfId="22638" xr:uid="{DE9CF811-84F0-470E-8073-8831800B5B83}"/>
    <cellStyle name="Comma 6 2 5 2 2 2 2 3" xfId="33054" xr:uid="{6289FC8A-4CA2-40EC-A462-883781BB1532}"/>
    <cellStyle name="Comma 6 2 5 2 2 2 3" xfId="16276" xr:uid="{9D044F18-E590-4C2E-BBF2-93CEF7867F31}"/>
    <cellStyle name="Comma 6 2 5 2 2 2 4" xfId="26692" xr:uid="{5D92BB3B-0E16-401B-B8A6-B55C92984CE6}"/>
    <cellStyle name="Comma 6 2 5 2 2 3" xfId="11091" xr:uid="{00000000-0005-0000-0000-000069260000}"/>
    <cellStyle name="Comma 6 2 5 2 2 3 2" xfId="22637" xr:uid="{CC3F4C86-563B-48C1-926D-58C080C12502}"/>
    <cellStyle name="Comma 6 2 5 2 2 3 3" xfId="33053" xr:uid="{0708B856-68BE-4F68-9D30-50997374B0FE}"/>
    <cellStyle name="Comma 6 2 5 2 2 4" xfId="6737" xr:uid="{00000000-0005-0000-0000-00006A260000}"/>
    <cellStyle name="Comma 6 2 5 2 2 4 2" xfId="18323" xr:uid="{F062200F-B816-4909-93B8-9358D6746EB2}"/>
    <cellStyle name="Comma 6 2 5 2 2 4 3" xfId="28739" xr:uid="{757685A1-EAE2-46A4-8950-CB26AAEAD7EA}"/>
    <cellStyle name="Comma 6 2 5 2 2 5" xfId="16275" xr:uid="{F2B97F82-3B0B-4564-ABBC-8EABF2C1C94A}"/>
    <cellStyle name="Comma 6 2 5 2 2 6" xfId="26691" xr:uid="{DDCD4DC0-754E-4A38-B671-0226867927BE}"/>
    <cellStyle name="Comma 6 2 5 2 3" xfId="3942" xr:uid="{00000000-0005-0000-0000-00006B260000}"/>
    <cellStyle name="Comma 6 2 5 2 3 2" xfId="11093" xr:uid="{00000000-0005-0000-0000-00006C260000}"/>
    <cellStyle name="Comma 6 2 5 2 3 2 2" xfId="22639" xr:uid="{A0668023-D82A-4B32-B579-C3ED2021997A}"/>
    <cellStyle name="Comma 6 2 5 2 3 2 3" xfId="33055" xr:uid="{FD900465-1F89-4F1B-8D43-8CD9EDF0C3F9}"/>
    <cellStyle name="Comma 6 2 5 2 3 3" xfId="16277" xr:uid="{4677F0C0-ED4F-4CA2-AAFD-281C2A1A2B5D}"/>
    <cellStyle name="Comma 6 2 5 2 3 4" xfId="26693" xr:uid="{7EA9BCE1-A4EB-48CA-AE03-FC82C18EA821}"/>
    <cellStyle name="Comma 6 2 5 2 4" xfId="11090" xr:uid="{00000000-0005-0000-0000-00006D260000}"/>
    <cellStyle name="Comma 6 2 5 2 4 2" xfId="22636" xr:uid="{4B4E536D-FBF6-4A3F-B4FF-6D5922D091E8}"/>
    <cellStyle name="Comma 6 2 5 2 4 3" xfId="33052" xr:uid="{F3C34E73-D679-4723-8C7B-3129999AEB18}"/>
    <cellStyle name="Comma 6 2 5 2 5" xfId="6736" xr:uid="{00000000-0005-0000-0000-00006E260000}"/>
    <cellStyle name="Comma 6 2 5 2 5 2" xfId="18322" xr:uid="{F0FDEDAB-D15B-4FD8-80C0-4DBC681CB31A}"/>
    <cellStyle name="Comma 6 2 5 2 5 3" xfId="28738" xr:uid="{23C5DD90-7491-4AA0-9EF1-574588739B9A}"/>
    <cellStyle name="Comma 6 2 5 2 6" xfId="16274" xr:uid="{618F83EB-B064-4E28-8A57-06C914BF6797}"/>
    <cellStyle name="Comma 6 2 5 2 7" xfId="26690" xr:uid="{9912CE26-A9DA-4FD7-8246-E8EDD686B799}"/>
    <cellStyle name="Comma 6 2 5 3" xfId="3943" xr:uid="{00000000-0005-0000-0000-00006F260000}"/>
    <cellStyle name="Comma 6 2 5 3 2" xfId="3944" xr:uid="{00000000-0005-0000-0000-000070260000}"/>
    <cellStyle name="Comma 6 2 5 3 2 2" xfId="11095" xr:uid="{00000000-0005-0000-0000-000071260000}"/>
    <cellStyle name="Comma 6 2 5 3 2 2 2" xfId="22641" xr:uid="{AAD03475-EC40-4C94-A4E2-BEFF44B0B00A}"/>
    <cellStyle name="Comma 6 2 5 3 2 2 3" xfId="33057" xr:uid="{CCF679A0-AE53-4834-B5B8-5563D38ABFD9}"/>
    <cellStyle name="Comma 6 2 5 3 2 3" xfId="16279" xr:uid="{6BE3A0DD-3693-4167-9DA7-600D55F0D639}"/>
    <cellStyle name="Comma 6 2 5 3 2 4" xfId="26695" xr:uid="{0B9F8A81-D175-4DF3-9963-6BDA748FCA00}"/>
    <cellStyle name="Comma 6 2 5 3 3" xfId="11094" xr:uid="{00000000-0005-0000-0000-000072260000}"/>
    <cellStyle name="Comma 6 2 5 3 3 2" xfId="22640" xr:uid="{D993C4AF-6F8F-4ACC-9EA9-52896EBA2A64}"/>
    <cellStyle name="Comma 6 2 5 3 3 3" xfId="33056" xr:uid="{64707BAE-4732-450A-B42E-6870F57AC677}"/>
    <cellStyle name="Comma 6 2 5 3 4" xfId="6738" xr:uid="{00000000-0005-0000-0000-000073260000}"/>
    <cellStyle name="Comma 6 2 5 3 4 2" xfId="18324" xr:uid="{3B6CFCC9-8742-4199-984D-9C00E250CEA3}"/>
    <cellStyle name="Comma 6 2 5 3 4 3" xfId="28740" xr:uid="{B05D48BA-7814-4180-BBCA-54790151D905}"/>
    <cellStyle name="Comma 6 2 5 3 5" xfId="16278" xr:uid="{D5418A5C-3762-4D24-8DC2-14F86E0D5A22}"/>
    <cellStyle name="Comma 6 2 5 3 6" xfId="26694" xr:uid="{F5461F66-1495-462E-848D-E6B2266900DD}"/>
    <cellStyle name="Comma 6 2 5 4" xfId="3945" xr:uid="{00000000-0005-0000-0000-000074260000}"/>
    <cellStyle name="Comma 6 2 5 4 2" xfId="3946" xr:uid="{00000000-0005-0000-0000-000075260000}"/>
    <cellStyle name="Comma 6 2 5 4 2 2" xfId="11097" xr:uid="{00000000-0005-0000-0000-000076260000}"/>
    <cellStyle name="Comma 6 2 5 4 2 2 2" xfId="22643" xr:uid="{12C37FFE-F5A0-48B8-BFA7-2A3450D8731B}"/>
    <cellStyle name="Comma 6 2 5 4 2 2 3" xfId="33059" xr:uid="{ECDE6AEC-F55E-4DB6-A404-F182F14CB7D4}"/>
    <cellStyle name="Comma 6 2 5 4 2 3" xfId="16281" xr:uid="{09D3BD3B-BD36-4B2D-9DE0-40A61BD81547}"/>
    <cellStyle name="Comma 6 2 5 4 2 4" xfId="26697" xr:uid="{0422B3DD-5C63-4186-8195-3C601938DDE1}"/>
    <cellStyle name="Comma 6 2 5 4 3" xfId="11096" xr:uid="{00000000-0005-0000-0000-000077260000}"/>
    <cellStyle name="Comma 6 2 5 4 3 2" xfId="22642" xr:uid="{C664147A-8976-4D27-B877-D9999EDBA5BF}"/>
    <cellStyle name="Comma 6 2 5 4 3 3" xfId="33058" xr:uid="{91B749EB-8341-49BA-BB14-103AC08E8B4F}"/>
    <cellStyle name="Comma 6 2 5 4 4" xfId="6739" xr:uid="{00000000-0005-0000-0000-000078260000}"/>
    <cellStyle name="Comma 6 2 5 4 4 2" xfId="18325" xr:uid="{B97BF4F8-D55B-464C-9A31-4D30B3E718F7}"/>
    <cellStyle name="Comma 6 2 5 4 4 3" xfId="28741" xr:uid="{64EEAF7D-8E2A-4337-9332-AE6E079BDCD5}"/>
    <cellStyle name="Comma 6 2 5 4 5" xfId="16280" xr:uid="{0443339A-38FE-4B62-BD41-B55B4942078F}"/>
    <cellStyle name="Comma 6 2 5 4 6" xfId="26696" xr:uid="{DA772603-C876-45DF-81D1-EA31068EA3AB}"/>
    <cellStyle name="Comma 6 2 5 5" xfId="3947" xr:uid="{00000000-0005-0000-0000-000079260000}"/>
    <cellStyle name="Comma 6 2 5 5 2" xfId="11098" xr:uid="{00000000-0005-0000-0000-00007A260000}"/>
    <cellStyle name="Comma 6 2 5 5 2 2" xfId="22644" xr:uid="{F1369EA1-74B3-4FBC-9CC4-561B34BCFCC6}"/>
    <cellStyle name="Comma 6 2 5 5 2 3" xfId="33060" xr:uid="{DA6153A7-B3CF-44DC-8F19-E5060A832CBA}"/>
    <cellStyle name="Comma 6 2 5 5 3" xfId="16282" xr:uid="{3DF9046B-228C-44E9-AB2F-CF02CD895654}"/>
    <cellStyle name="Comma 6 2 5 5 4" xfId="26698" xr:uid="{333C1795-2061-4A66-BBB9-00B5F329A6E0}"/>
    <cellStyle name="Comma 6 2 5 6" xfId="11089" xr:uid="{00000000-0005-0000-0000-00007B260000}"/>
    <cellStyle name="Comma 6 2 5 6 2" xfId="22635" xr:uid="{840A11A4-C02A-42FD-AEC2-28EBF5298387}"/>
    <cellStyle name="Comma 6 2 5 6 3" xfId="33051" xr:uid="{AC0C416B-9229-4502-A967-5B2A11563D0E}"/>
    <cellStyle name="Comma 6 2 5 7" xfId="6735" xr:uid="{00000000-0005-0000-0000-00007C260000}"/>
    <cellStyle name="Comma 6 2 5 7 2" xfId="18321" xr:uid="{793E81DA-E3A6-45E7-8526-3ABF3D99C8BD}"/>
    <cellStyle name="Comma 6 2 5 7 3" xfId="28737" xr:uid="{25126EC7-5D42-4725-BEA8-626BF90ABE95}"/>
    <cellStyle name="Comma 6 2 5 8" xfId="16273" xr:uid="{D87236E8-467A-4703-A927-98F8FE23AF67}"/>
    <cellStyle name="Comma 6 2 5 9" xfId="26689" xr:uid="{A13BCE47-58BE-4F84-82FB-9FBE77461D64}"/>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2 2 2" xfId="22648" xr:uid="{E8999878-765C-4BBD-962D-11809BF88961}"/>
    <cellStyle name="Comma 6 2 6 2 2 2 2 3" xfId="33064" xr:uid="{428E938D-F8F8-4A03-B50C-615CEEBF8442}"/>
    <cellStyle name="Comma 6 2 6 2 2 2 3" xfId="16286" xr:uid="{91D96CEF-7524-4279-9CDE-13F29C639E65}"/>
    <cellStyle name="Comma 6 2 6 2 2 2 4" xfId="26702" xr:uid="{053F5116-4F80-438F-BF32-40C69A966CDC}"/>
    <cellStyle name="Comma 6 2 6 2 2 3" xfId="11101" xr:uid="{00000000-0005-0000-0000-000082260000}"/>
    <cellStyle name="Comma 6 2 6 2 2 3 2" xfId="22647" xr:uid="{B8735158-117A-426D-9068-32D66C709DF9}"/>
    <cellStyle name="Comma 6 2 6 2 2 3 3" xfId="33063" xr:uid="{B60B0DBC-6EC8-47B1-ABA6-3D84E941F093}"/>
    <cellStyle name="Comma 6 2 6 2 2 4" xfId="6742" xr:uid="{00000000-0005-0000-0000-000083260000}"/>
    <cellStyle name="Comma 6 2 6 2 2 4 2" xfId="18328" xr:uid="{A3530188-A9EC-4CDE-B61A-F3A6E69029B6}"/>
    <cellStyle name="Comma 6 2 6 2 2 4 3" xfId="28744" xr:uid="{C1E76362-8468-435E-8891-28DE1FB3224F}"/>
    <cellStyle name="Comma 6 2 6 2 2 5" xfId="16285" xr:uid="{68A14108-2365-49E3-A23B-B54983016216}"/>
    <cellStyle name="Comma 6 2 6 2 2 6" xfId="26701" xr:uid="{8C226E7C-42B9-4CF4-9CAD-94F5474A4C7A}"/>
    <cellStyle name="Comma 6 2 6 2 3" xfId="3952" xr:uid="{00000000-0005-0000-0000-000084260000}"/>
    <cellStyle name="Comma 6 2 6 2 3 2" xfId="11103" xr:uid="{00000000-0005-0000-0000-000085260000}"/>
    <cellStyle name="Comma 6 2 6 2 3 2 2" xfId="22649" xr:uid="{09B7DA9F-F1F2-4E0D-A8F6-F58E7F6C65B9}"/>
    <cellStyle name="Comma 6 2 6 2 3 2 3" xfId="33065" xr:uid="{3F1BDE3D-6337-48BC-A320-3045B289644A}"/>
    <cellStyle name="Comma 6 2 6 2 3 3" xfId="16287" xr:uid="{660C71BC-0B20-4604-A528-C2A718CB1C61}"/>
    <cellStyle name="Comma 6 2 6 2 3 4" xfId="26703" xr:uid="{BCDB1ED1-B161-49B0-98A5-5093BABE9A17}"/>
    <cellStyle name="Comma 6 2 6 2 4" xfId="11100" xr:uid="{00000000-0005-0000-0000-000086260000}"/>
    <cellStyle name="Comma 6 2 6 2 4 2" xfId="22646" xr:uid="{B06A42AD-12DD-4131-B4D0-89E49AD9C85E}"/>
    <cellStyle name="Comma 6 2 6 2 4 3" xfId="33062" xr:uid="{C8FCB8EA-6BCB-4228-99A0-3A27CF8FC785}"/>
    <cellStyle name="Comma 6 2 6 2 5" xfId="6741" xr:uid="{00000000-0005-0000-0000-000087260000}"/>
    <cellStyle name="Comma 6 2 6 2 5 2" xfId="18327" xr:uid="{296E2FAA-EECD-484E-A03B-B3A59D2DDFB8}"/>
    <cellStyle name="Comma 6 2 6 2 5 3" xfId="28743" xr:uid="{94E2E67C-8A30-45C2-BDCC-335AFF5DBA62}"/>
    <cellStyle name="Comma 6 2 6 2 6" xfId="16284" xr:uid="{AB45F428-C278-46D1-BDF5-ECE99629B865}"/>
    <cellStyle name="Comma 6 2 6 2 7" xfId="26700" xr:uid="{9BBED086-4D38-423E-9534-A48A40F1D7B6}"/>
    <cellStyle name="Comma 6 2 6 3" xfId="3953" xr:uid="{00000000-0005-0000-0000-000088260000}"/>
    <cellStyle name="Comma 6 2 6 3 2" xfId="3954" xr:uid="{00000000-0005-0000-0000-000089260000}"/>
    <cellStyle name="Comma 6 2 6 3 2 2" xfId="11105" xr:uid="{00000000-0005-0000-0000-00008A260000}"/>
    <cellStyle name="Comma 6 2 6 3 2 2 2" xfId="22651" xr:uid="{ACAE5390-35DC-40CA-AD6E-89A4612C504C}"/>
    <cellStyle name="Comma 6 2 6 3 2 2 3" xfId="33067" xr:uid="{19093455-2C18-41C7-92DE-FBA16D74B6AA}"/>
    <cellStyle name="Comma 6 2 6 3 2 3" xfId="16289" xr:uid="{E17FC3BB-30BA-4237-8431-6B2C3B66667C}"/>
    <cellStyle name="Comma 6 2 6 3 2 4" xfId="26705" xr:uid="{5ABB4A3A-FE11-4E85-B1BD-9CC4B1D16628}"/>
    <cellStyle name="Comma 6 2 6 3 3" xfId="11104" xr:uid="{00000000-0005-0000-0000-00008B260000}"/>
    <cellStyle name="Comma 6 2 6 3 3 2" xfId="22650" xr:uid="{A3352270-8D01-415B-98A8-4860D4BC6EBB}"/>
    <cellStyle name="Comma 6 2 6 3 3 3" xfId="33066" xr:uid="{5914146B-735B-4F32-A2FB-F3A8C388B316}"/>
    <cellStyle name="Comma 6 2 6 3 4" xfId="6743" xr:uid="{00000000-0005-0000-0000-00008C260000}"/>
    <cellStyle name="Comma 6 2 6 3 4 2" xfId="18329" xr:uid="{2861A534-51FE-4DFB-B34A-196F8637456C}"/>
    <cellStyle name="Comma 6 2 6 3 4 3" xfId="28745" xr:uid="{2D8B6057-A81F-4635-B9B4-DFA6864D66C1}"/>
    <cellStyle name="Comma 6 2 6 3 5" xfId="16288" xr:uid="{353194E5-CB3D-4DE8-B869-9EDE32F22DC0}"/>
    <cellStyle name="Comma 6 2 6 3 6" xfId="26704" xr:uid="{59FDEB14-D9EE-4B4C-B31A-2B79DDEE068C}"/>
    <cellStyle name="Comma 6 2 6 4" xfId="3955" xr:uid="{00000000-0005-0000-0000-00008D260000}"/>
    <cellStyle name="Comma 6 2 6 4 2" xfId="3956" xr:uid="{00000000-0005-0000-0000-00008E260000}"/>
    <cellStyle name="Comma 6 2 6 4 2 2" xfId="11107" xr:uid="{00000000-0005-0000-0000-00008F260000}"/>
    <cellStyle name="Comma 6 2 6 4 2 2 2" xfId="22653" xr:uid="{30E3C246-0F67-45F8-BCB1-95E40435AE8D}"/>
    <cellStyle name="Comma 6 2 6 4 2 2 3" xfId="33069" xr:uid="{566D266A-9CF8-4E4D-84B6-3585FA65E743}"/>
    <cellStyle name="Comma 6 2 6 4 2 3" xfId="16291" xr:uid="{C5C0E4CD-7A84-4011-8C3A-96A67CF23EB6}"/>
    <cellStyle name="Comma 6 2 6 4 2 4" xfId="26707" xr:uid="{03A3A148-340C-4D7E-B1DD-3BC4C810B034}"/>
    <cellStyle name="Comma 6 2 6 4 3" xfId="11106" xr:uid="{00000000-0005-0000-0000-000090260000}"/>
    <cellStyle name="Comma 6 2 6 4 3 2" xfId="22652" xr:uid="{0502D6ED-AF94-4B50-B89F-E73B8B234BB6}"/>
    <cellStyle name="Comma 6 2 6 4 3 3" xfId="33068" xr:uid="{9489C05C-1CB5-4719-B8EC-BB808CF10A7F}"/>
    <cellStyle name="Comma 6 2 6 4 4" xfId="6744" xr:uid="{00000000-0005-0000-0000-000091260000}"/>
    <cellStyle name="Comma 6 2 6 4 4 2" xfId="18330" xr:uid="{4AD2ECE4-75F6-483E-861F-6287F3B3A2C9}"/>
    <cellStyle name="Comma 6 2 6 4 4 3" xfId="28746" xr:uid="{78358260-E54E-4E8D-9C7E-B868912C70FD}"/>
    <cellStyle name="Comma 6 2 6 4 5" xfId="16290" xr:uid="{E1DF79F2-400D-43C4-A912-10CDFA404301}"/>
    <cellStyle name="Comma 6 2 6 4 6" xfId="26706" xr:uid="{2E32094A-73B4-45B2-9ECA-8DE18637A9DB}"/>
    <cellStyle name="Comma 6 2 6 5" xfId="3957" xr:uid="{00000000-0005-0000-0000-000092260000}"/>
    <cellStyle name="Comma 6 2 6 5 2" xfId="11108" xr:uid="{00000000-0005-0000-0000-000093260000}"/>
    <cellStyle name="Comma 6 2 6 5 2 2" xfId="22654" xr:uid="{90E4EE2A-C763-4230-A1CD-DCB7095D6A62}"/>
    <cellStyle name="Comma 6 2 6 5 2 3" xfId="33070" xr:uid="{8C519BE1-4BF1-4B28-8942-2198ACF0E7CF}"/>
    <cellStyle name="Comma 6 2 6 5 3" xfId="16292" xr:uid="{9F0007EB-5E0A-43BE-A58B-F0E618282F34}"/>
    <cellStyle name="Comma 6 2 6 5 4" xfId="26708" xr:uid="{5741DA6C-A790-4127-80AA-EA03F534B44B}"/>
    <cellStyle name="Comma 6 2 6 6" xfId="11099" xr:uid="{00000000-0005-0000-0000-000094260000}"/>
    <cellStyle name="Comma 6 2 6 6 2" xfId="22645" xr:uid="{DD51A099-2C2E-4D1B-BE26-E4D9EEBA272C}"/>
    <cellStyle name="Comma 6 2 6 6 3" xfId="33061" xr:uid="{E91ADE95-4E96-4474-8239-7AAAC0BD3A02}"/>
    <cellStyle name="Comma 6 2 6 7" xfId="6740" xr:uid="{00000000-0005-0000-0000-000095260000}"/>
    <cellStyle name="Comma 6 2 6 7 2" xfId="18326" xr:uid="{7257209B-AB29-4878-A43A-0E3529CDD85B}"/>
    <cellStyle name="Comma 6 2 6 7 3" xfId="28742" xr:uid="{124E83F5-0F42-4FD1-8F7C-DFFD0EB3FE6E}"/>
    <cellStyle name="Comma 6 2 6 8" xfId="16283" xr:uid="{D04E3B30-4523-4AE0-831A-85F775E867F9}"/>
    <cellStyle name="Comma 6 2 6 9" xfId="26699" xr:uid="{0D784DF2-AA28-447A-922F-833F65FEDA3D}"/>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2 2 2" xfId="22657" xr:uid="{66FB3471-92CE-4902-B9F4-C193E91E6CFC}"/>
    <cellStyle name="Comma 6 2 7 2 2 2 3" xfId="33073" xr:uid="{D698F099-00DA-4892-A80B-EBF4753491C8}"/>
    <cellStyle name="Comma 6 2 7 2 2 3" xfId="16295" xr:uid="{BBD19A2D-84C7-45F4-9C89-5C269B086D73}"/>
    <cellStyle name="Comma 6 2 7 2 2 4" xfId="26711" xr:uid="{8C59AF4E-1A58-4D96-A4ED-4EE04209B404}"/>
    <cellStyle name="Comma 6 2 7 2 3" xfId="11110" xr:uid="{00000000-0005-0000-0000-00009A260000}"/>
    <cellStyle name="Comma 6 2 7 2 3 2" xfId="22656" xr:uid="{CD545CBC-12F7-42E0-9559-553187316132}"/>
    <cellStyle name="Comma 6 2 7 2 3 3" xfId="33072" xr:uid="{1D883486-09D3-4B90-9B83-2ACC8CDB447A}"/>
    <cellStyle name="Comma 6 2 7 2 4" xfId="6746" xr:uid="{00000000-0005-0000-0000-00009B260000}"/>
    <cellStyle name="Comma 6 2 7 2 4 2" xfId="18332" xr:uid="{2CDC9875-F1CD-4B9F-83C0-F613B90F356A}"/>
    <cellStyle name="Comma 6 2 7 2 4 3" xfId="28748" xr:uid="{46B323A1-659B-4F98-AC07-BBD714E7FD02}"/>
    <cellStyle name="Comma 6 2 7 2 5" xfId="16294" xr:uid="{33455502-2990-4AC3-94A5-433B57926ABB}"/>
    <cellStyle name="Comma 6 2 7 2 6" xfId="26710" xr:uid="{E9164755-F808-4587-842C-F1323A09E9C9}"/>
    <cellStyle name="Comma 6 2 7 3" xfId="3961" xr:uid="{00000000-0005-0000-0000-00009C260000}"/>
    <cellStyle name="Comma 6 2 7 3 2" xfId="3962" xr:uid="{00000000-0005-0000-0000-00009D260000}"/>
    <cellStyle name="Comma 6 2 7 3 2 2" xfId="11113" xr:uid="{00000000-0005-0000-0000-00009E260000}"/>
    <cellStyle name="Comma 6 2 7 3 2 2 2" xfId="22659" xr:uid="{0E27468A-3E72-45D8-BCC6-2498FB272706}"/>
    <cellStyle name="Comma 6 2 7 3 2 2 3" xfId="33075" xr:uid="{987332A7-FE89-46E5-93E7-C0CE9D89E990}"/>
    <cellStyle name="Comma 6 2 7 3 2 3" xfId="16297" xr:uid="{E0175933-0E9E-41E6-95E3-AE1B745CB0A8}"/>
    <cellStyle name="Comma 6 2 7 3 2 4" xfId="26713" xr:uid="{48D10C8E-C40F-448E-8AB8-91941F4DE717}"/>
    <cellStyle name="Comma 6 2 7 3 3" xfId="11112" xr:uid="{00000000-0005-0000-0000-00009F260000}"/>
    <cellStyle name="Comma 6 2 7 3 3 2" xfId="22658" xr:uid="{836F4C0E-B7F9-4780-9A34-4C39E42C6F0F}"/>
    <cellStyle name="Comma 6 2 7 3 3 3" xfId="33074" xr:uid="{2E269B53-8EDA-496A-84E9-796D07E917B9}"/>
    <cellStyle name="Comma 6 2 7 3 4" xfId="6747" xr:uid="{00000000-0005-0000-0000-0000A0260000}"/>
    <cellStyle name="Comma 6 2 7 3 4 2" xfId="18333" xr:uid="{0EA4DDA2-AFE9-44A4-86AE-8B75B3894B3E}"/>
    <cellStyle name="Comma 6 2 7 3 4 3" xfId="28749" xr:uid="{F7582080-89E3-4917-A6A0-8464178FA9EB}"/>
    <cellStyle name="Comma 6 2 7 3 5" xfId="16296" xr:uid="{28D2022D-3621-44BB-806A-DCEEB669FF96}"/>
    <cellStyle name="Comma 6 2 7 3 6" xfId="26712" xr:uid="{DF0005F6-8618-4E5F-B010-2602AAED2C43}"/>
    <cellStyle name="Comma 6 2 7 4" xfId="3963" xr:uid="{00000000-0005-0000-0000-0000A1260000}"/>
    <cellStyle name="Comma 6 2 7 4 2" xfId="11114" xr:uid="{00000000-0005-0000-0000-0000A2260000}"/>
    <cellStyle name="Comma 6 2 7 4 2 2" xfId="22660" xr:uid="{B4E52239-06B3-4CB1-85FC-EB7382C7C35D}"/>
    <cellStyle name="Comma 6 2 7 4 2 3" xfId="33076" xr:uid="{751E79DF-B08F-46D5-8088-4113B1DA7C17}"/>
    <cellStyle name="Comma 6 2 7 4 3" xfId="16298" xr:uid="{BB63B97B-F403-4B36-8207-2876AC184AD7}"/>
    <cellStyle name="Comma 6 2 7 4 4" xfId="26714" xr:uid="{AF74D7FF-D6D5-4F46-8697-D8A03044088D}"/>
    <cellStyle name="Comma 6 2 7 5" xfId="11109" xr:uid="{00000000-0005-0000-0000-0000A3260000}"/>
    <cellStyle name="Comma 6 2 7 5 2" xfId="22655" xr:uid="{E08D9763-2CA8-48B3-BBD3-9E35AB5F0E62}"/>
    <cellStyle name="Comma 6 2 7 5 3" xfId="33071" xr:uid="{3F82DED7-67CB-412D-8076-04C43260E7B9}"/>
    <cellStyle name="Comma 6 2 7 6" xfId="6745" xr:uid="{00000000-0005-0000-0000-0000A4260000}"/>
    <cellStyle name="Comma 6 2 7 6 2" xfId="18331" xr:uid="{902722AA-DAD7-4B16-B1C1-94F23DCBACE4}"/>
    <cellStyle name="Comma 6 2 7 6 3" xfId="28747" xr:uid="{9E5D9AE0-CEEE-4780-8837-B6AE90140E43}"/>
    <cellStyle name="Comma 6 2 7 7" xfId="16293" xr:uid="{77B66066-CE7E-410B-8340-40638D5EB61F}"/>
    <cellStyle name="Comma 6 2 7 8" xfId="26709" xr:uid="{D6EFFFC9-3394-416C-969E-0B9B48E9F8ED}"/>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2 2 2" xfId="22663" xr:uid="{C6B199BF-6EE4-490C-9CC3-023C2BB1157F}"/>
    <cellStyle name="Comma 6 2 8 2 2 2 3" xfId="33079" xr:uid="{0788EA16-07BE-4DF3-8018-DA0A1819E6D2}"/>
    <cellStyle name="Comma 6 2 8 2 2 3" xfId="16301" xr:uid="{D45C4D85-E4CF-4CAC-86C0-85582905E306}"/>
    <cellStyle name="Comma 6 2 8 2 2 4" xfId="26717" xr:uid="{3CC105F9-357B-4BE3-925B-321CC9D6EB87}"/>
    <cellStyle name="Comma 6 2 8 2 3" xfId="11116" xr:uid="{00000000-0005-0000-0000-0000A9260000}"/>
    <cellStyle name="Comma 6 2 8 2 3 2" xfId="22662" xr:uid="{E5E3B01C-9B0F-4120-AEC8-CA8205E07FD2}"/>
    <cellStyle name="Comma 6 2 8 2 3 3" xfId="33078" xr:uid="{1972BEA3-8D6E-44F7-A6F7-5BBFBF3D5139}"/>
    <cellStyle name="Comma 6 2 8 2 4" xfId="6749" xr:uid="{00000000-0005-0000-0000-0000AA260000}"/>
    <cellStyle name="Comma 6 2 8 2 4 2" xfId="18335" xr:uid="{33EA9243-196A-4001-B698-5CAF7A77B00A}"/>
    <cellStyle name="Comma 6 2 8 2 4 3" xfId="28751" xr:uid="{B546054F-187C-4406-96AA-EAB47B6C42F6}"/>
    <cellStyle name="Comma 6 2 8 2 5" xfId="16300" xr:uid="{F5405981-4279-4A1B-8CFC-C0E9DAAE5D5E}"/>
    <cellStyle name="Comma 6 2 8 2 6" xfId="26716" xr:uid="{702F501C-F472-4BAF-BD33-164E3BDFBCDF}"/>
    <cellStyle name="Comma 6 2 8 3" xfId="3967" xr:uid="{00000000-0005-0000-0000-0000AB260000}"/>
    <cellStyle name="Comma 6 2 8 3 2" xfId="11118" xr:uid="{00000000-0005-0000-0000-0000AC260000}"/>
    <cellStyle name="Comma 6 2 8 3 2 2" xfId="22664" xr:uid="{695ED2FF-F36D-436F-9C0B-6C6B255E69E8}"/>
    <cellStyle name="Comma 6 2 8 3 2 3" xfId="33080" xr:uid="{0D4A7003-EAB9-43E3-BF18-B7EDF77DA474}"/>
    <cellStyle name="Comma 6 2 8 3 3" xfId="16302" xr:uid="{53DC6B2E-5AF7-4883-9A68-1C54E5EA903C}"/>
    <cellStyle name="Comma 6 2 8 3 4" xfId="26718" xr:uid="{75397F90-AB47-4990-B415-E96B892DB42D}"/>
    <cellStyle name="Comma 6 2 8 4" xfId="11115" xr:uid="{00000000-0005-0000-0000-0000AD260000}"/>
    <cellStyle name="Comma 6 2 8 4 2" xfId="22661" xr:uid="{5BEEA225-AEE1-4918-9F02-D427C322A1D4}"/>
    <cellStyle name="Comma 6 2 8 4 3" xfId="33077" xr:uid="{7FC3018D-461F-42B5-B720-C524CF6004C1}"/>
    <cellStyle name="Comma 6 2 8 5" xfId="6748" xr:uid="{00000000-0005-0000-0000-0000AE260000}"/>
    <cellStyle name="Comma 6 2 8 5 2" xfId="18334" xr:uid="{534592BF-11B8-4628-93EF-2DA74294B765}"/>
    <cellStyle name="Comma 6 2 8 5 3" xfId="28750" xr:uid="{434164A6-CD5D-4A58-B382-4377A1C04108}"/>
    <cellStyle name="Comma 6 2 8 6" xfId="16299" xr:uid="{17288BDF-AE6B-4D09-9FE8-E93857B4747B}"/>
    <cellStyle name="Comma 6 2 8 7" xfId="26715" xr:uid="{436F604F-69FE-4A3E-90C4-87F268D66BB6}"/>
    <cellStyle name="Comma 6 2 9" xfId="3968" xr:uid="{00000000-0005-0000-0000-0000AF260000}"/>
    <cellStyle name="Comma 6 2 9 2" xfId="3969" xr:uid="{00000000-0005-0000-0000-0000B0260000}"/>
    <cellStyle name="Comma 6 2 9 2 2" xfId="11120" xr:uid="{00000000-0005-0000-0000-0000B1260000}"/>
    <cellStyle name="Comma 6 2 9 2 2 2" xfId="22666" xr:uid="{61C6607E-22D2-4D45-918B-05F0E26F95C7}"/>
    <cellStyle name="Comma 6 2 9 2 2 3" xfId="33082" xr:uid="{25BFDDB6-31B5-4ED1-A4B4-BCE9DF993C6B}"/>
    <cellStyle name="Comma 6 2 9 2 3" xfId="16304" xr:uid="{2CA87351-3BD1-4BB7-A39B-0744ED366A57}"/>
    <cellStyle name="Comma 6 2 9 2 4" xfId="26720" xr:uid="{FA5DE5DB-ED9C-4DEA-80D1-4B56E6369135}"/>
    <cellStyle name="Comma 6 2 9 3" xfId="11119" xr:uid="{00000000-0005-0000-0000-0000B2260000}"/>
    <cellStyle name="Comma 6 2 9 3 2" xfId="22665" xr:uid="{7375AA4F-DA13-43D6-BBA6-0682CF49322D}"/>
    <cellStyle name="Comma 6 2 9 3 3" xfId="33081" xr:uid="{FB27292F-8BCE-4EC2-8218-2BFE8761F4BA}"/>
    <cellStyle name="Comma 6 2 9 4" xfId="6750" xr:uid="{00000000-0005-0000-0000-0000B3260000}"/>
    <cellStyle name="Comma 6 2 9 4 2" xfId="18336" xr:uid="{8F667D3E-7062-4456-8C7E-A3ADF49E7EBE}"/>
    <cellStyle name="Comma 6 2 9 4 3" xfId="28752" xr:uid="{DE5E6C70-D956-4559-AC5A-E14B9EDDACA2}"/>
    <cellStyle name="Comma 6 2 9 5" xfId="16303" xr:uid="{5CC11C0B-CF36-4ECF-BDAD-DB8AED22D120}"/>
    <cellStyle name="Comma 6 2 9 6" xfId="26719" xr:uid="{91F0375F-6DFC-4A48-92E9-3A6AB94BA6C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2 2 2" xfId="22669" xr:uid="{717B56F8-FA66-4467-B7F0-7E58273FF390}"/>
    <cellStyle name="Comma 6 3 10 2 2 3" xfId="33085" xr:uid="{51AA4D49-9B34-4BC7-B5B5-E9EB8CFB9FD4}"/>
    <cellStyle name="Comma 6 3 10 2 3" xfId="16307" xr:uid="{9020F5E8-437F-4BB4-A4C8-49B9A793362C}"/>
    <cellStyle name="Comma 6 3 10 2 4" xfId="26723" xr:uid="{E8270BCF-C27F-4DA0-8E19-A6F6CCF756E1}"/>
    <cellStyle name="Comma 6 3 10 3" xfId="11122" xr:uid="{00000000-0005-0000-0000-0000B8260000}"/>
    <cellStyle name="Comma 6 3 10 3 2" xfId="22668" xr:uid="{17E33B21-7C08-4FBF-96CB-A277DADB376D}"/>
    <cellStyle name="Comma 6 3 10 3 3" xfId="33084" xr:uid="{E677DE30-2430-4175-BE80-05F20EF1F2BB}"/>
    <cellStyle name="Comma 6 3 10 4" xfId="6752" xr:uid="{00000000-0005-0000-0000-0000B9260000}"/>
    <cellStyle name="Comma 6 3 10 4 2" xfId="18338" xr:uid="{BE4511E0-A0D8-4BB2-A35E-5DCDA1C8C040}"/>
    <cellStyle name="Comma 6 3 10 4 3" xfId="28754" xr:uid="{15C51BA1-B684-4999-BA23-040E2EA9730C}"/>
    <cellStyle name="Comma 6 3 10 5" xfId="16306" xr:uid="{07133D83-7663-4D16-9156-3C1074AE3F19}"/>
    <cellStyle name="Comma 6 3 10 6" xfId="26722" xr:uid="{06ADC03D-9CC6-4DE2-B6F1-16962F3CCFBD}"/>
    <cellStyle name="Comma 6 3 11" xfId="3973" xr:uid="{00000000-0005-0000-0000-0000BA260000}"/>
    <cellStyle name="Comma 6 3 11 2" xfId="11124" xr:uid="{00000000-0005-0000-0000-0000BB260000}"/>
    <cellStyle name="Comma 6 3 11 2 2" xfId="22670" xr:uid="{BB83352A-F145-4030-9B5B-35C6DE19106F}"/>
    <cellStyle name="Comma 6 3 11 2 3" xfId="33086" xr:uid="{9BF28C8B-B910-45C1-AAA5-2BE395D23783}"/>
    <cellStyle name="Comma 6 3 11 3" xfId="16308" xr:uid="{7F604ED4-8EF7-4A19-8566-AE5D92C8528F}"/>
    <cellStyle name="Comma 6 3 11 4" xfId="26724" xr:uid="{832A3D79-EED8-45DA-991C-5EC83C999086}"/>
    <cellStyle name="Comma 6 3 12" xfId="11121" xr:uid="{00000000-0005-0000-0000-0000BC260000}"/>
    <cellStyle name="Comma 6 3 12 2" xfId="22667" xr:uid="{305B2655-EB37-4C53-BBEE-25F6EA0855C9}"/>
    <cellStyle name="Comma 6 3 12 3" xfId="33083" xr:uid="{3F976443-F549-4A57-ADF7-E99D4369B154}"/>
    <cellStyle name="Comma 6 3 13" xfId="6751" xr:uid="{00000000-0005-0000-0000-0000BD260000}"/>
    <cellStyle name="Comma 6 3 13 2" xfId="18337" xr:uid="{AB04DBC6-F660-4303-87D6-04B319AADAD4}"/>
    <cellStyle name="Comma 6 3 13 3" xfId="28753" xr:uid="{B047B442-A51B-4D03-8D96-6FC5543C8A7A}"/>
    <cellStyle name="Comma 6 3 14" xfId="16305" xr:uid="{C0281F93-C774-4584-875E-3ACE830E6BCA}"/>
    <cellStyle name="Comma 6 3 15" xfId="26721" xr:uid="{BBD26B56-98BF-4E5E-ADF4-828A3F8B81B1}"/>
    <cellStyle name="Comma 6 3 2" xfId="3974" xr:uid="{00000000-0005-0000-0000-0000BE260000}"/>
    <cellStyle name="Comma 6 3 2 10" xfId="3975" xr:uid="{00000000-0005-0000-0000-0000BF260000}"/>
    <cellStyle name="Comma 6 3 2 10 2" xfId="11126" xr:uid="{00000000-0005-0000-0000-0000C0260000}"/>
    <cellStyle name="Comma 6 3 2 10 2 2" xfId="22672" xr:uid="{DB7A013C-5E08-4E27-9D83-89F46531EC62}"/>
    <cellStyle name="Comma 6 3 2 10 2 3" xfId="33088" xr:uid="{0F926F16-3C07-4462-9DCE-87573F249029}"/>
    <cellStyle name="Comma 6 3 2 10 3" xfId="16310" xr:uid="{6EE6CE28-E988-467E-8677-6C56CA672024}"/>
    <cellStyle name="Comma 6 3 2 10 4" xfId="26726" xr:uid="{E3D1E05E-9617-4F3B-98FA-FF54FB8864F5}"/>
    <cellStyle name="Comma 6 3 2 11" xfId="11125" xr:uid="{00000000-0005-0000-0000-0000C1260000}"/>
    <cellStyle name="Comma 6 3 2 11 2" xfId="22671" xr:uid="{BA88CDBD-3D9F-4B30-A6E1-338F3FB6CF63}"/>
    <cellStyle name="Comma 6 3 2 11 3" xfId="33087" xr:uid="{67D4B48C-DA37-4CF8-B795-C50FF8146B30}"/>
    <cellStyle name="Comma 6 3 2 12" xfId="6753" xr:uid="{00000000-0005-0000-0000-0000C2260000}"/>
    <cellStyle name="Comma 6 3 2 12 2" xfId="18339" xr:uid="{A16F7EF6-A852-40ED-8E40-CE45FDCDFF90}"/>
    <cellStyle name="Comma 6 3 2 12 3" xfId="28755" xr:uid="{00D44715-43AC-403F-B280-CE752D0B1C45}"/>
    <cellStyle name="Comma 6 3 2 13" xfId="16309" xr:uid="{48BCA1CE-7F25-47D5-84A7-DBCB3933C090}"/>
    <cellStyle name="Comma 6 3 2 14" xfId="26725" xr:uid="{1DAC623A-ECC2-4F7F-93B0-42C691C915B6}"/>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2 2 2" xfId="22676" xr:uid="{0CAF56D3-79CF-428F-939E-1315C28D87DA}"/>
    <cellStyle name="Comma 6 3 2 2 2 2 2 2 3" xfId="33092" xr:uid="{8493B751-FE7D-44BD-B29B-C54F574CDA9D}"/>
    <cellStyle name="Comma 6 3 2 2 2 2 2 3" xfId="16314" xr:uid="{B22B60F2-9792-49C6-99E6-AFD260AD6266}"/>
    <cellStyle name="Comma 6 3 2 2 2 2 2 4" xfId="26730" xr:uid="{B1CBD713-29A6-4E27-8285-70B364BA6758}"/>
    <cellStyle name="Comma 6 3 2 2 2 2 3" xfId="11129" xr:uid="{00000000-0005-0000-0000-0000C8260000}"/>
    <cellStyle name="Comma 6 3 2 2 2 2 3 2" xfId="22675" xr:uid="{98AF4CA3-AFF6-400E-BF4D-21D182A7885F}"/>
    <cellStyle name="Comma 6 3 2 2 2 2 3 3" xfId="33091" xr:uid="{16C650C7-4081-4461-85F6-390AAEEDEE93}"/>
    <cellStyle name="Comma 6 3 2 2 2 2 4" xfId="6756" xr:uid="{00000000-0005-0000-0000-0000C9260000}"/>
    <cellStyle name="Comma 6 3 2 2 2 2 4 2" xfId="18342" xr:uid="{4760675F-18FC-4E02-82BF-E5FF8C348F39}"/>
    <cellStyle name="Comma 6 3 2 2 2 2 4 3" xfId="28758" xr:uid="{7F84BC78-980A-4A1D-A8A5-5F59488EA222}"/>
    <cellStyle name="Comma 6 3 2 2 2 2 5" xfId="16313" xr:uid="{04B49568-0A45-47D3-857A-8F53316EEBAA}"/>
    <cellStyle name="Comma 6 3 2 2 2 2 6" xfId="26729" xr:uid="{4EBD3092-47BE-4B48-8B0E-C14510115D3E}"/>
    <cellStyle name="Comma 6 3 2 2 2 3" xfId="3980" xr:uid="{00000000-0005-0000-0000-0000CA260000}"/>
    <cellStyle name="Comma 6 3 2 2 2 3 2" xfId="11131" xr:uid="{00000000-0005-0000-0000-0000CB260000}"/>
    <cellStyle name="Comma 6 3 2 2 2 3 2 2" xfId="22677" xr:uid="{E3734C2D-7520-41FD-8411-62EB406D2056}"/>
    <cellStyle name="Comma 6 3 2 2 2 3 2 3" xfId="33093" xr:uid="{078071F9-2572-41D0-AE01-DF98DB5C1439}"/>
    <cellStyle name="Comma 6 3 2 2 2 3 3" xfId="16315" xr:uid="{0D5532AE-7FC5-4670-A188-E99C42CBF238}"/>
    <cellStyle name="Comma 6 3 2 2 2 3 4" xfId="26731" xr:uid="{77179BBA-FB68-4FD6-BC98-20D15A20804A}"/>
    <cellStyle name="Comma 6 3 2 2 2 4" xfId="11128" xr:uid="{00000000-0005-0000-0000-0000CC260000}"/>
    <cellStyle name="Comma 6 3 2 2 2 4 2" xfId="22674" xr:uid="{769F9F0E-548B-4A3A-B429-E1A0B49EA91D}"/>
    <cellStyle name="Comma 6 3 2 2 2 4 3" xfId="33090" xr:uid="{EA634B54-CE53-47EC-90C8-3852B1378A23}"/>
    <cellStyle name="Comma 6 3 2 2 2 5" xfId="6755" xr:uid="{00000000-0005-0000-0000-0000CD260000}"/>
    <cellStyle name="Comma 6 3 2 2 2 5 2" xfId="18341" xr:uid="{43680E64-F7E5-4A83-B063-0C9F1770CB59}"/>
    <cellStyle name="Comma 6 3 2 2 2 5 3" xfId="28757" xr:uid="{1D0C1169-C0DE-44B3-B325-DFD210855B9D}"/>
    <cellStyle name="Comma 6 3 2 2 2 6" xfId="16312" xr:uid="{207A1C3C-3080-4369-93B2-D94CE3EE89E5}"/>
    <cellStyle name="Comma 6 3 2 2 2 7" xfId="26728" xr:uid="{217EB1FD-46A7-4DB0-96C3-9C6953130970}"/>
    <cellStyle name="Comma 6 3 2 2 3" xfId="3981" xr:uid="{00000000-0005-0000-0000-0000CE260000}"/>
    <cellStyle name="Comma 6 3 2 2 3 2" xfId="3982" xr:uid="{00000000-0005-0000-0000-0000CF260000}"/>
    <cellStyle name="Comma 6 3 2 2 3 2 2" xfId="11133" xr:uid="{00000000-0005-0000-0000-0000D0260000}"/>
    <cellStyle name="Comma 6 3 2 2 3 2 2 2" xfId="22679" xr:uid="{AC5CE7E6-AB4B-4209-8655-5BFFBF2DEEE2}"/>
    <cellStyle name="Comma 6 3 2 2 3 2 2 3" xfId="33095" xr:uid="{D402121C-C2CE-47D0-A579-1A7B3E16DD63}"/>
    <cellStyle name="Comma 6 3 2 2 3 2 3" xfId="16317" xr:uid="{2D7A95F4-7288-433F-95B2-129D51ECCDDE}"/>
    <cellStyle name="Comma 6 3 2 2 3 2 4" xfId="26733" xr:uid="{C66F7B59-CA8B-4943-9081-1C7BC3C588C5}"/>
    <cellStyle name="Comma 6 3 2 2 3 3" xfId="11132" xr:uid="{00000000-0005-0000-0000-0000D1260000}"/>
    <cellStyle name="Comma 6 3 2 2 3 3 2" xfId="22678" xr:uid="{5110AC7F-9826-43E6-8F97-2C2B9AD0882A}"/>
    <cellStyle name="Comma 6 3 2 2 3 3 3" xfId="33094" xr:uid="{53780090-DA69-4850-80DA-E6AAC19C699F}"/>
    <cellStyle name="Comma 6 3 2 2 3 4" xfId="6757" xr:uid="{00000000-0005-0000-0000-0000D2260000}"/>
    <cellStyle name="Comma 6 3 2 2 3 4 2" xfId="18343" xr:uid="{BCD92291-CBF8-446D-8D3D-D0594AC2ACEB}"/>
    <cellStyle name="Comma 6 3 2 2 3 4 3" xfId="28759" xr:uid="{58B58E10-7298-4760-9BB3-15D66A706C8F}"/>
    <cellStyle name="Comma 6 3 2 2 3 5" xfId="16316" xr:uid="{973CCB7A-1B98-4372-940F-FFB0A2D5C33A}"/>
    <cellStyle name="Comma 6 3 2 2 3 6" xfId="26732" xr:uid="{72177DC9-38B0-411D-B091-DB7654AA37E5}"/>
    <cellStyle name="Comma 6 3 2 2 4" xfId="3983" xr:uid="{00000000-0005-0000-0000-0000D3260000}"/>
    <cellStyle name="Comma 6 3 2 2 4 2" xfId="3984" xr:uid="{00000000-0005-0000-0000-0000D4260000}"/>
    <cellStyle name="Comma 6 3 2 2 4 2 2" xfId="11135" xr:uid="{00000000-0005-0000-0000-0000D5260000}"/>
    <cellStyle name="Comma 6 3 2 2 4 2 2 2" xfId="22681" xr:uid="{AA12D873-0D2E-47AA-B657-486C94EB2F91}"/>
    <cellStyle name="Comma 6 3 2 2 4 2 2 3" xfId="33097" xr:uid="{5308E3AA-A44A-496E-8572-C282B3B7C12A}"/>
    <cellStyle name="Comma 6 3 2 2 4 2 3" xfId="16319" xr:uid="{8AB1165B-EECB-48DD-BAFE-6A90F7457E0F}"/>
    <cellStyle name="Comma 6 3 2 2 4 2 4" xfId="26735" xr:uid="{020B4E5C-8BF9-4C57-BDAC-929D881986F7}"/>
    <cellStyle name="Comma 6 3 2 2 4 3" xfId="11134" xr:uid="{00000000-0005-0000-0000-0000D6260000}"/>
    <cellStyle name="Comma 6 3 2 2 4 3 2" xfId="22680" xr:uid="{2715B136-D43A-48DF-A5D8-B01BF8E8FF81}"/>
    <cellStyle name="Comma 6 3 2 2 4 3 3" xfId="33096" xr:uid="{97E9C7E8-3985-4FBF-AB0A-DA2D245E528D}"/>
    <cellStyle name="Comma 6 3 2 2 4 4" xfId="6758" xr:uid="{00000000-0005-0000-0000-0000D7260000}"/>
    <cellStyle name="Comma 6 3 2 2 4 4 2" xfId="18344" xr:uid="{C7B3DE1D-387D-4810-8F96-6080DAC243B6}"/>
    <cellStyle name="Comma 6 3 2 2 4 4 3" xfId="28760" xr:uid="{22C5BACC-D0CD-4E2F-A530-9A2A1A9D1CBF}"/>
    <cellStyle name="Comma 6 3 2 2 4 5" xfId="16318" xr:uid="{464BBD31-EED6-49E1-9A8D-79F4BCB71AB6}"/>
    <cellStyle name="Comma 6 3 2 2 4 6" xfId="26734" xr:uid="{B8A2179F-41F1-4FBA-AEB1-3054CC2A2267}"/>
    <cellStyle name="Comma 6 3 2 2 5" xfId="3985" xr:uid="{00000000-0005-0000-0000-0000D8260000}"/>
    <cellStyle name="Comma 6 3 2 2 5 2" xfId="11136" xr:uid="{00000000-0005-0000-0000-0000D9260000}"/>
    <cellStyle name="Comma 6 3 2 2 5 2 2" xfId="22682" xr:uid="{C085E7B4-73F9-4BF6-A6D1-E7A447E34492}"/>
    <cellStyle name="Comma 6 3 2 2 5 2 3" xfId="33098" xr:uid="{080E146E-1D38-4E35-975A-5A552F3AD831}"/>
    <cellStyle name="Comma 6 3 2 2 5 3" xfId="16320" xr:uid="{9BF9C202-AAC3-43C6-9BFE-3EF5B9165716}"/>
    <cellStyle name="Comma 6 3 2 2 5 4" xfId="26736" xr:uid="{798D0AB6-F36F-4CB4-A455-DEC072E3A7F1}"/>
    <cellStyle name="Comma 6 3 2 2 6" xfId="11127" xr:uid="{00000000-0005-0000-0000-0000DA260000}"/>
    <cellStyle name="Comma 6 3 2 2 6 2" xfId="22673" xr:uid="{F1F52522-5BE8-4CBE-809E-663DF45E47A3}"/>
    <cellStyle name="Comma 6 3 2 2 6 3" xfId="33089" xr:uid="{F43BB2DF-D185-46B5-A426-C8284FB9B1B4}"/>
    <cellStyle name="Comma 6 3 2 2 7" xfId="6754" xr:uid="{00000000-0005-0000-0000-0000DB260000}"/>
    <cellStyle name="Comma 6 3 2 2 7 2" xfId="18340" xr:uid="{37A7C299-B5B1-4328-8E3F-C95BE98E915F}"/>
    <cellStyle name="Comma 6 3 2 2 7 3" xfId="28756" xr:uid="{F7EB2C98-E972-4288-A0BD-E6319C3D3921}"/>
    <cellStyle name="Comma 6 3 2 2 8" xfId="16311" xr:uid="{CFB5179B-EBAD-4938-9822-9DCEFD002DBB}"/>
    <cellStyle name="Comma 6 3 2 2 9" xfId="26727" xr:uid="{579B2F96-BCE0-40F7-81A0-66D5BF62F1B3}"/>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2 2 2" xfId="22686" xr:uid="{0D390AAB-4E2A-4E8B-B906-AC12EFB29B41}"/>
    <cellStyle name="Comma 6 3 2 3 2 2 2 2 3" xfId="33102" xr:uid="{C7467B19-F131-4EB5-A755-1E182C94815A}"/>
    <cellStyle name="Comma 6 3 2 3 2 2 2 3" xfId="16324" xr:uid="{AAC1E27F-3A0E-46AB-A78C-44776E475305}"/>
    <cellStyle name="Comma 6 3 2 3 2 2 2 4" xfId="26740" xr:uid="{8AC8FA84-0E4D-4DB2-A8A6-52F34EBA6B93}"/>
    <cellStyle name="Comma 6 3 2 3 2 2 3" xfId="11139" xr:uid="{00000000-0005-0000-0000-0000E1260000}"/>
    <cellStyle name="Comma 6 3 2 3 2 2 3 2" xfId="22685" xr:uid="{B7CE006D-A1AE-46B3-8370-1CBA9BB7F9DA}"/>
    <cellStyle name="Comma 6 3 2 3 2 2 3 3" xfId="33101" xr:uid="{5EF60A8B-8DC0-42AE-BEE0-755748E5A5FD}"/>
    <cellStyle name="Comma 6 3 2 3 2 2 4" xfId="6761" xr:uid="{00000000-0005-0000-0000-0000E2260000}"/>
    <cellStyle name="Comma 6 3 2 3 2 2 4 2" xfId="18347" xr:uid="{8105476B-DDBC-4801-A83B-F6586B6D55CF}"/>
    <cellStyle name="Comma 6 3 2 3 2 2 4 3" xfId="28763" xr:uid="{9A9983B3-67F3-4E9A-BD13-817D33B45EC5}"/>
    <cellStyle name="Comma 6 3 2 3 2 2 5" xfId="16323" xr:uid="{2A82EB22-BA41-458B-A9DF-36D94E11A19F}"/>
    <cellStyle name="Comma 6 3 2 3 2 2 6" xfId="26739" xr:uid="{F3FECA4C-6515-4593-BD82-7742C9124FAA}"/>
    <cellStyle name="Comma 6 3 2 3 2 3" xfId="3990" xr:uid="{00000000-0005-0000-0000-0000E3260000}"/>
    <cellStyle name="Comma 6 3 2 3 2 3 2" xfId="11141" xr:uid="{00000000-0005-0000-0000-0000E4260000}"/>
    <cellStyle name="Comma 6 3 2 3 2 3 2 2" xfId="22687" xr:uid="{6AB6FC31-C4DC-4514-B210-AD6E124E02A5}"/>
    <cellStyle name="Comma 6 3 2 3 2 3 2 3" xfId="33103" xr:uid="{BF46FCD8-57E9-4A60-994E-3483A9518B69}"/>
    <cellStyle name="Comma 6 3 2 3 2 3 3" xfId="16325" xr:uid="{4B334B9A-DF40-4AB2-B895-ED5470B4D006}"/>
    <cellStyle name="Comma 6 3 2 3 2 3 4" xfId="26741" xr:uid="{CEE8A228-2E5C-44AB-9A7F-20DB4461E658}"/>
    <cellStyle name="Comma 6 3 2 3 2 4" xfId="11138" xr:uid="{00000000-0005-0000-0000-0000E5260000}"/>
    <cellStyle name="Comma 6 3 2 3 2 4 2" xfId="22684" xr:uid="{F453AE54-DA86-4912-9AC2-3F64680325C8}"/>
    <cellStyle name="Comma 6 3 2 3 2 4 3" xfId="33100" xr:uid="{8F6D2C82-3F5E-41F1-A420-61462B3EA9F7}"/>
    <cellStyle name="Comma 6 3 2 3 2 5" xfId="6760" xr:uid="{00000000-0005-0000-0000-0000E6260000}"/>
    <cellStyle name="Comma 6 3 2 3 2 5 2" xfId="18346" xr:uid="{58460DBE-AED7-44D1-998C-7F98D6A64D89}"/>
    <cellStyle name="Comma 6 3 2 3 2 5 3" xfId="28762" xr:uid="{A483F0C5-A9C1-49FD-81BF-50187628CC84}"/>
    <cellStyle name="Comma 6 3 2 3 2 6" xfId="16322" xr:uid="{61C4BEFA-1E5C-4CD3-89F4-A4F2B94E9341}"/>
    <cellStyle name="Comma 6 3 2 3 2 7" xfId="26738" xr:uid="{7FCD381F-1385-49A8-ACFB-22EE17B2DCF0}"/>
    <cellStyle name="Comma 6 3 2 3 3" xfId="3991" xr:uid="{00000000-0005-0000-0000-0000E7260000}"/>
    <cellStyle name="Comma 6 3 2 3 3 2" xfId="3992" xr:uid="{00000000-0005-0000-0000-0000E8260000}"/>
    <cellStyle name="Comma 6 3 2 3 3 2 2" xfId="11143" xr:uid="{00000000-0005-0000-0000-0000E9260000}"/>
    <cellStyle name="Comma 6 3 2 3 3 2 2 2" xfId="22689" xr:uid="{A7800D8F-6EC0-4687-8807-651D2A310AED}"/>
    <cellStyle name="Comma 6 3 2 3 3 2 2 3" xfId="33105" xr:uid="{0E845E6D-EF8C-46BF-B0D1-ACB063F75D48}"/>
    <cellStyle name="Comma 6 3 2 3 3 2 3" xfId="16327" xr:uid="{2482B2F2-7190-44C8-875C-F27D0E7C2A1E}"/>
    <cellStyle name="Comma 6 3 2 3 3 2 4" xfId="26743" xr:uid="{1450C539-CD2B-4DF6-808F-3F2F13CDE209}"/>
    <cellStyle name="Comma 6 3 2 3 3 3" xfId="11142" xr:uid="{00000000-0005-0000-0000-0000EA260000}"/>
    <cellStyle name="Comma 6 3 2 3 3 3 2" xfId="22688" xr:uid="{01B280D4-0238-48EC-AECF-2776AA677308}"/>
    <cellStyle name="Comma 6 3 2 3 3 3 3" xfId="33104" xr:uid="{1C800D01-8FD8-4A17-B3CC-CFA51A0CF13A}"/>
    <cellStyle name="Comma 6 3 2 3 3 4" xfId="6762" xr:uid="{00000000-0005-0000-0000-0000EB260000}"/>
    <cellStyle name="Comma 6 3 2 3 3 4 2" xfId="18348" xr:uid="{8D6D6028-DAE7-49BA-AD96-F75D8BA54672}"/>
    <cellStyle name="Comma 6 3 2 3 3 4 3" xfId="28764" xr:uid="{86B89BA9-4353-459A-B9AD-FBEC7D4264D0}"/>
    <cellStyle name="Comma 6 3 2 3 3 5" xfId="16326" xr:uid="{2EFE5C64-5986-4AB1-A6D9-600D643A1B81}"/>
    <cellStyle name="Comma 6 3 2 3 3 6" xfId="26742" xr:uid="{C0F6519A-9DCB-425E-91B6-17D8917E30C8}"/>
    <cellStyle name="Comma 6 3 2 3 4" xfId="3993" xr:uid="{00000000-0005-0000-0000-0000EC260000}"/>
    <cellStyle name="Comma 6 3 2 3 4 2" xfId="3994" xr:uid="{00000000-0005-0000-0000-0000ED260000}"/>
    <cellStyle name="Comma 6 3 2 3 4 2 2" xfId="11145" xr:uid="{00000000-0005-0000-0000-0000EE260000}"/>
    <cellStyle name="Comma 6 3 2 3 4 2 2 2" xfId="22691" xr:uid="{4FA8C21C-85E7-40B4-B97E-C35276D1C71A}"/>
    <cellStyle name="Comma 6 3 2 3 4 2 2 3" xfId="33107" xr:uid="{4E7E6C26-D54E-4B57-8458-C0AF15A9456F}"/>
    <cellStyle name="Comma 6 3 2 3 4 2 3" xfId="16329" xr:uid="{160F7C3F-6C80-400C-A18E-EC31DBB729DC}"/>
    <cellStyle name="Comma 6 3 2 3 4 2 4" xfId="26745" xr:uid="{1172BA29-270C-4E0D-B737-49815CB5284B}"/>
    <cellStyle name="Comma 6 3 2 3 4 3" xfId="11144" xr:uid="{00000000-0005-0000-0000-0000EF260000}"/>
    <cellStyle name="Comma 6 3 2 3 4 3 2" xfId="22690" xr:uid="{AA4D2D91-02AB-4055-9591-146C44098D0E}"/>
    <cellStyle name="Comma 6 3 2 3 4 3 3" xfId="33106" xr:uid="{998574EE-8727-469C-92B0-53CEF17B6D13}"/>
    <cellStyle name="Comma 6 3 2 3 4 4" xfId="6763" xr:uid="{00000000-0005-0000-0000-0000F0260000}"/>
    <cellStyle name="Comma 6 3 2 3 4 4 2" xfId="18349" xr:uid="{F31B4D44-5926-4063-96AC-E4344D6A0D74}"/>
    <cellStyle name="Comma 6 3 2 3 4 4 3" xfId="28765" xr:uid="{027BC21E-8A96-48E1-BCA6-B020B9B6440E}"/>
    <cellStyle name="Comma 6 3 2 3 4 5" xfId="16328" xr:uid="{524A8029-6233-462C-8952-5FC8D4EFF83B}"/>
    <cellStyle name="Comma 6 3 2 3 4 6" xfId="26744" xr:uid="{178F5AC3-3AA1-43D7-82E0-A43DFA9A1F3D}"/>
    <cellStyle name="Comma 6 3 2 3 5" xfId="3995" xr:uid="{00000000-0005-0000-0000-0000F1260000}"/>
    <cellStyle name="Comma 6 3 2 3 5 2" xfId="11146" xr:uid="{00000000-0005-0000-0000-0000F2260000}"/>
    <cellStyle name="Comma 6 3 2 3 5 2 2" xfId="22692" xr:uid="{891E7E39-65F0-4CAF-81C9-CD8ECCD14E39}"/>
    <cellStyle name="Comma 6 3 2 3 5 2 3" xfId="33108" xr:uid="{E05C2730-2CC3-4CE0-9C0F-62687BD78E32}"/>
    <cellStyle name="Comma 6 3 2 3 5 3" xfId="16330" xr:uid="{E68601FE-9A36-4FEF-81EC-00310BF1BF16}"/>
    <cellStyle name="Comma 6 3 2 3 5 4" xfId="26746" xr:uid="{D9E6CB13-47B7-4A65-B332-72B262B6121F}"/>
    <cellStyle name="Comma 6 3 2 3 6" xfId="11137" xr:uid="{00000000-0005-0000-0000-0000F3260000}"/>
    <cellStyle name="Comma 6 3 2 3 6 2" xfId="22683" xr:uid="{60D17CDF-A853-408B-AC6A-0CF336141F91}"/>
    <cellStyle name="Comma 6 3 2 3 6 3" xfId="33099" xr:uid="{B891FFF8-5660-49D6-806B-DC84D65C7435}"/>
    <cellStyle name="Comma 6 3 2 3 7" xfId="6759" xr:uid="{00000000-0005-0000-0000-0000F4260000}"/>
    <cellStyle name="Comma 6 3 2 3 7 2" xfId="18345" xr:uid="{CDBD52B6-A9EB-43B9-9AAA-C711E675A1ED}"/>
    <cellStyle name="Comma 6 3 2 3 7 3" xfId="28761" xr:uid="{1A4F34A8-46D2-4457-9741-37A3A60087A7}"/>
    <cellStyle name="Comma 6 3 2 3 8" xfId="16321" xr:uid="{3274F2E7-BB83-4689-89BE-355CE56DA836}"/>
    <cellStyle name="Comma 6 3 2 3 9" xfId="26737" xr:uid="{64A81DD3-7DEA-481F-83F7-FBC2D5594CFB}"/>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2 2 2" xfId="22696" xr:uid="{D6450042-9091-4C75-A534-93FC531AE7CD}"/>
    <cellStyle name="Comma 6 3 2 4 2 2 2 2 3" xfId="33112" xr:uid="{2BFA02F2-5B59-4CC2-B5F0-7225538954EB}"/>
    <cellStyle name="Comma 6 3 2 4 2 2 2 3" xfId="16334" xr:uid="{26F23743-9B54-46A2-87D7-EED88F5CD5E1}"/>
    <cellStyle name="Comma 6 3 2 4 2 2 2 4" xfId="26750" xr:uid="{1C9FEEB5-57ED-4D3C-9A78-22221F1C43CE}"/>
    <cellStyle name="Comma 6 3 2 4 2 2 3" xfId="11149" xr:uid="{00000000-0005-0000-0000-0000FA260000}"/>
    <cellStyle name="Comma 6 3 2 4 2 2 3 2" xfId="22695" xr:uid="{A769886F-6309-4D05-B28D-E47BE14318FF}"/>
    <cellStyle name="Comma 6 3 2 4 2 2 3 3" xfId="33111" xr:uid="{7615E239-18B6-4A51-B17D-C09F24756A90}"/>
    <cellStyle name="Comma 6 3 2 4 2 2 4" xfId="6766" xr:uid="{00000000-0005-0000-0000-0000FB260000}"/>
    <cellStyle name="Comma 6 3 2 4 2 2 4 2" xfId="18352" xr:uid="{CA5DD578-C2A0-4D0C-8284-3C5FD6CA56DF}"/>
    <cellStyle name="Comma 6 3 2 4 2 2 4 3" xfId="28768" xr:uid="{F5DB3EFE-F896-4D4E-81E1-EE8796D1485B}"/>
    <cellStyle name="Comma 6 3 2 4 2 2 5" xfId="16333" xr:uid="{37372382-8E3A-4792-98D3-D809DFCD5C11}"/>
    <cellStyle name="Comma 6 3 2 4 2 2 6" xfId="26749" xr:uid="{81DEEE4C-89E4-4480-BD19-3BB51290D8AF}"/>
    <cellStyle name="Comma 6 3 2 4 2 3" xfId="4000" xr:uid="{00000000-0005-0000-0000-0000FC260000}"/>
    <cellStyle name="Comma 6 3 2 4 2 3 2" xfId="11151" xr:uid="{00000000-0005-0000-0000-0000FD260000}"/>
    <cellStyle name="Comma 6 3 2 4 2 3 2 2" xfId="22697" xr:uid="{57E586A1-7A66-4AE8-8E59-2834BCE3EFC4}"/>
    <cellStyle name="Comma 6 3 2 4 2 3 2 3" xfId="33113" xr:uid="{DADEF02F-BAE1-4D67-BF68-B278DD94EA65}"/>
    <cellStyle name="Comma 6 3 2 4 2 3 3" xfId="16335" xr:uid="{9CB07802-C67A-4D14-978D-30BA2AEAA234}"/>
    <cellStyle name="Comma 6 3 2 4 2 3 4" xfId="26751" xr:uid="{3137C63D-93B8-46E7-9641-B11A2BDAA94C}"/>
    <cellStyle name="Comma 6 3 2 4 2 4" xfId="11148" xr:uid="{00000000-0005-0000-0000-0000FE260000}"/>
    <cellStyle name="Comma 6 3 2 4 2 4 2" xfId="22694" xr:uid="{206F2A15-2696-4C95-BBD9-74D4D14C384A}"/>
    <cellStyle name="Comma 6 3 2 4 2 4 3" xfId="33110" xr:uid="{7EF41825-FA98-4397-AF4C-40D5FAF23A91}"/>
    <cellStyle name="Comma 6 3 2 4 2 5" xfId="6765" xr:uid="{00000000-0005-0000-0000-0000FF260000}"/>
    <cellStyle name="Comma 6 3 2 4 2 5 2" xfId="18351" xr:uid="{2C4A20A1-2177-4CAA-B543-5E9369AC4FF6}"/>
    <cellStyle name="Comma 6 3 2 4 2 5 3" xfId="28767" xr:uid="{54F0AE3D-4ACC-4AE4-BBEF-3DD9D428CE41}"/>
    <cellStyle name="Comma 6 3 2 4 2 6" xfId="16332" xr:uid="{0D984AFD-CAD5-4C73-A877-C33F4D5753E0}"/>
    <cellStyle name="Comma 6 3 2 4 2 7" xfId="26748" xr:uid="{CBA31871-4FA2-4299-91AA-EB465E290319}"/>
    <cellStyle name="Comma 6 3 2 4 3" xfId="4001" xr:uid="{00000000-0005-0000-0000-000000270000}"/>
    <cellStyle name="Comma 6 3 2 4 3 2" xfId="4002" xr:uid="{00000000-0005-0000-0000-000001270000}"/>
    <cellStyle name="Comma 6 3 2 4 3 2 2" xfId="11153" xr:uid="{00000000-0005-0000-0000-000002270000}"/>
    <cellStyle name="Comma 6 3 2 4 3 2 2 2" xfId="22699" xr:uid="{29DDF117-CB1C-4DD7-822F-2E41A618A329}"/>
    <cellStyle name="Comma 6 3 2 4 3 2 2 3" xfId="33115" xr:uid="{E7E77432-B0C5-4D4B-A9C4-DA24DADCE60C}"/>
    <cellStyle name="Comma 6 3 2 4 3 2 3" xfId="16337" xr:uid="{6317273D-7893-4B95-AFA2-80C9A2686898}"/>
    <cellStyle name="Comma 6 3 2 4 3 2 4" xfId="26753" xr:uid="{F7608320-D735-4B2E-BD2C-62539954A13C}"/>
    <cellStyle name="Comma 6 3 2 4 3 3" xfId="11152" xr:uid="{00000000-0005-0000-0000-000003270000}"/>
    <cellStyle name="Comma 6 3 2 4 3 3 2" xfId="22698" xr:uid="{906A1D31-6483-44E3-A2AE-19650D3FB8F1}"/>
    <cellStyle name="Comma 6 3 2 4 3 3 3" xfId="33114" xr:uid="{46F8A08B-AA1D-4520-8E05-37CB6F46B89C}"/>
    <cellStyle name="Comma 6 3 2 4 3 4" xfId="6767" xr:uid="{00000000-0005-0000-0000-000004270000}"/>
    <cellStyle name="Comma 6 3 2 4 3 4 2" xfId="18353" xr:uid="{10EE484E-BF90-403F-AAD4-16A25A470462}"/>
    <cellStyle name="Comma 6 3 2 4 3 4 3" xfId="28769" xr:uid="{BB27ADCB-B09C-4720-99CF-76F106F80A10}"/>
    <cellStyle name="Comma 6 3 2 4 3 5" xfId="16336" xr:uid="{47C1EBB2-F21E-44CC-839E-F9FF1F0A544B}"/>
    <cellStyle name="Comma 6 3 2 4 3 6" xfId="26752" xr:uid="{2C6CF326-84F0-4B10-9D19-E28DA89A0F07}"/>
    <cellStyle name="Comma 6 3 2 4 4" xfId="4003" xr:uid="{00000000-0005-0000-0000-000005270000}"/>
    <cellStyle name="Comma 6 3 2 4 4 2" xfId="4004" xr:uid="{00000000-0005-0000-0000-000006270000}"/>
    <cellStyle name="Comma 6 3 2 4 4 2 2" xfId="11155" xr:uid="{00000000-0005-0000-0000-000007270000}"/>
    <cellStyle name="Comma 6 3 2 4 4 2 2 2" xfId="22701" xr:uid="{B5BE2CAE-A482-45FA-A1D6-4ADFD088DD30}"/>
    <cellStyle name="Comma 6 3 2 4 4 2 2 3" xfId="33117" xr:uid="{24989225-4073-4BA7-A7E8-264D08ECECDC}"/>
    <cellStyle name="Comma 6 3 2 4 4 2 3" xfId="16339" xr:uid="{F9840932-530B-40BD-9E46-CAB82368E09B}"/>
    <cellStyle name="Comma 6 3 2 4 4 2 4" xfId="26755" xr:uid="{6F3841D3-E53F-418B-802F-48DCB4A6F79D}"/>
    <cellStyle name="Comma 6 3 2 4 4 3" xfId="11154" xr:uid="{00000000-0005-0000-0000-000008270000}"/>
    <cellStyle name="Comma 6 3 2 4 4 3 2" xfId="22700" xr:uid="{AA716FFD-9546-4C53-9B64-D43FAD545F24}"/>
    <cellStyle name="Comma 6 3 2 4 4 3 3" xfId="33116" xr:uid="{A21ED9B9-FF0C-4A7D-8C25-ADFA3CD6DCB2}"/>
    <cellStyle name="Comma 6 3 2 4 4 4" xfId="6768" xr:uid="{00000000-0005-0000-0000-000009270000}"/>
    <cellStyle name="Comma 6 3 2 4 4 4 2" xfId="18354" xr:uid="{526A6997-269E-4BD4-86A5-F700104FC15C}"/>
    <cellStyle name="Comma 6 3 2 4 4 4 3" xfId="28770" xr:uid="{D848A2CF-2A95-4B75-A8DD-B2DA58885E0D}"/>
    <cellStyle name="Comma 6 3 2 4 4 5" xfId="16338" xr:uid="{3771F827-B9D5-429D-AE8A-F7929E65ECBC}"/>
    <cellStyle name="Comma 6 3 2 4 4 6" xfId="26754" xr:uid="{A964FC3D-1725-48D2-8674-A5B2B50FB2F6}"/>
    <cellStyle name="Comma 6 3 2 4 5" xfId="4005" xr:uid="{00000000-0005-0000-0000-00000A270000}"/>
    <cellStyle name="Comma 6 3 2 4 5 2" xfId="11156" xr:uid="{00000000-0005-0000-0000-00000B270000}"/>
    <cellStyle name="Comma 6 3 2 4 5 2 2" xfId="22702" xr:uid="{8635992B-3A01-4A43-82B8-EF9051876750}"/>
    <cellStyle name="Comma 6 3 2 4 5 2 3" xfId="33118" xr:uid="{040262D5-0835-4239-81ED-6ACFF5306077}"/>
    <cellStyle name="Comma 6 3 2 4 5 3" xfId="16340" xr:uid="{537C1FA6-D644-4579-A1C7-DE49BB54A32A}"/>
    <cellStyle name="Comma 6 3 2 4 5 4" xfId="26756" xr:uid="{2C655269-6268-41E6-9962-9A2E16D57A3F}"/>
    <cellStyle name="Comma 6 3 2 4 6" xfId="11147" xr:uid="{00000000-0005-0000-0000-00000C270000}"/>
    <cellStyle name="Comma 6 3 2 4 6 2" xfId="22693" xr:uid="{C7F91A50-67B4-41DD-9A19-9972230703E6}"/>
    <cellStyle name="Comma 6 3 2 4 6 3" xfId="33109" xr:uid="{0FA2231D-7B38-4AE1-9BBE-F6C01ADB424B}"/>
    <cellStyle name="Comma 6 3 2 4 7" xfId="6764" xr:uid="{00000000-0005-0000-0000-00000D270000}"/>
    <cellStyle name="Comma 6 3 2 4 7 2" xfId="18350" xr:uid="{013C0D31-B2FE-4D40-B007-2C005FBB21F8}"/>
    <cellStyle name="Comma 6 3 2 4 7 3" xfId="28766" xr:uid="{B2E79FF5-2FB5-4981-A785-FF93DA993725}"/>
    <cellStyle name="Comma 6 3 2 4 8" xfId="16331" xr:uid="{61FF56D2-7557-43F0-82E7-C9D4DCF68306}"/>
    <cellStyle name="Comma 6 3 2 4 9" xfId="26747" xr:uid="{26C3D2A0-C084-40F3-B636-9ACFBF7BB3E3}"/>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2 2 2" xfId="22706" xr:uid="{4D154864-F6DC-4195-9BAE-300B522F6305}"/>
    <cellStyle name="Comma 6 3 2 5 2 2 2 2 3" xfId="33122" xr:uid="{B2FF8BE2-9F61-4319-AC72-579FAC8A659C}"/>
    <cellStyle name="Comma 6 3 2 5 2 2 2 3" xfId="16344" xr:uid="{8B8B8ACF-6C7B-445C-96BC-3C6F5D738FD8}"/>
    <cellStyle name="Comma 6 3 2 5 2 2 2 4" xfId="26760" xr:uid="{557F5049-4389-407F-A981-96AF03CC7A3D}"/>
    <cellStyle name="Comma 6 3 2 5 2 2 3" xfId="11159" xr:uid="{00000000-0005-0000-0000-000013270000}"/>
    <cellStyle name="Comma 6 3 2 5 2 2 3 2" xfId="22705" xr:uid="{94D35450-85DE-4B2F-821A-89412890BB7C}"/>
    <cellStyle name="Comma 6 3 2 5 2 2 3 3" xfId="33121" xr:uid="{DF86EFF8-ECA2-45A3-9CA0-D023A4EAEEC1}"/>
    <cellStyle name="Comma 6 3 2 5 2 2 4" xfId="6771" xr:uid="{00000000-0005-0000-0000-000014270000}"/>
    <cellStyle name="Comma 6 3 2 5 2 2 4 2" xfId="18357" xr:uid="{9469BF7E-AE4F-4DE7-BD9E-A90A9251ECC0}"/>
    <cellStyle name="Comma 6 3 2 5 2 2 4 3" xfId="28773" xr:uid="{35B10B4A-57A3-4FA7-A3E7-0B077006BDAA}"/>
    <cellStyle name="Comma 6 3 2 5 2 2 5" xfId="16343" xr:uid="{57E244AD-F47C-48DB-AF36-763B6E65D124}"/>
    <cellStyle name="Comma 6 3 2 5 2 2 6" xfId="26759" xr:uid="{7006D718-0633-4E5C-9AF8-48D11793FB74}"/>
    <cellStyle name="Comma 6 3 2 5 2 3" xfId="4010" xr:uid="{00000000-0005-0000-0000-000015270000}"/>
    <cellStyle name="Comma 6 3 2 5 2 3 2" xfId="11161" xr:uid="{00000000-0005-0000-0000-000016270000}"/>
    <cellStyle name="Comma 6 3 2 5 2 3 2 2" xfId="22707" xr:uid="{88C39840-F79D-4074-8E55-B622938DC143}"/>
    <cellStyle name="Comma 6 3 2 5 2 3 2 3" xfId="33123" xr:uid="{8F08D11E-74FC-4F24-B0F5-3AEF904C713D}"/>
    <cellStyle name="Comma 6 3 2 5 2 3 3" xfId="16345" xr:uid="{8CAB4B85-8ECB-4EA5-AA3F-F6E649D18039}"/>
    <cellStyle name="Comma 6 3 2 5 2 3 4" xfId="26761" xr:uid="{6F50DB75-E840-48F7-A37B-BE03ED41746D}"/>
    <cellStyle name="Comma 6 3 2 5 2 4" xfId="11158" xr:uid="{00000000-0005-0000-0000-000017270000}"/>
    <cellStyle name="Comma 6 3 2 5 2 4 2" xfId="22704" xr:uid="{7AD1EC39-90C5-4CD7-AB02-E3704F8CB3F7}"/>
    <cellStyle name="Comma 6 3 2 5 2 4 3" xfId="33120" xr:uid="{E39C000E-4FE7-45A0-87C1-DAEE372CEFF0}"/>
    <cellStyle name="Comma 6 3 2 5 2 5" xfId="6770" xr:uid="{00000000-0005-0000-0000-000018270000}"/>
    <cellStyle name="Comma 6 3 2 5 2 5 2" xfId="18356" xr:uid="{89697A5D-2AEE-47F4-9B84-438623AE8312}"/>
    <cellStyle name="Comma 6 3 2 5 2 5 3" xfId="28772" xr:uid="{CBC094FF-B3D3-47E7-BD90-714F8CFE6BB8}"/>
    <cellStyle name="Comma 6 3 2 5 2 6" xfId="16342" xr:uid="{8F003B24-7B74-4470-A543-75AE4BDD9090}"/>
    <cellStyle name="Comma 6 3 2 5 2 7" xfId="26758" xr:uid="{39137BB6-0DDF-4CED-89BA-D0476D32CB78}"/>
    <cellStyle name="Comma 6 3 2 5 3" xfId="4011" xr:uid="{00000000-0005-0000-0000-000019270000}"/>
    <cellStyle name="Comma 6 3 2 5 3 2" xfId="4012" xr:uid="{00000000-0005-0000-0000-00001A270000}"/>
    <cellStyle name="Comma 6 3 2 5 3 2 2" xfId="11163" xr:uid="{00000000-0005-0000-0000-00001B270000}"/>
    <cellStyle name="Comma 6 3 2 5 3 2 2 2" xfId="22709" xr:uid="{98C6BDA8-338F-4462-B86F-CFACE9EB86B5}"/>
    <cellStyle name="Comma 6 3 2 5 3 2 2 3" xfId="33125" xr:uid="{0B646AC1-864D-468E-AD67-3DB0B9324E2D}"/>
    <cellStyle name="Comma 6 3 2 5 3 2 3" xfId="16347" xr:uid="{5764BF21-7D77-4A9B-A443-E2DC72538DEE}"/>
    <cellStyle name="Comma 6 3 2 5 3 2 4" xfId="26763" xr:uid="{5AA10E50-AF9E-44B0-A113-63FC51D85CEF}"/>
    <cellStyle name="Comma 6 3 2 5 3 3" xfId="11162" xr:uid="{00000000-0005-0000-0000-00001C270000}"/>
    <cellStyle name="Comma 6 3 2 5 3 3 2" xfId="22708" xr:uid="{5D62D5AA-62BB-4381-8B8C-F1B4238BC9A3}"/>
    <cellStyle name="Comma 6 3 2 5 3 3 3" xfId="33124" xr:uid="{829D6BE9-CDE1-44D8-9930-3409EE60372E}"/>
    <cellStyle name="Comma 6 3 2 5 3 4" xfId="6772" xr:uid="{00000000-0005-0000-0000-00001D270000}"/>
    <cellStyle name="Comma 6 3 2 5 3 4 2" xfId="18358" xr:uid="{17EC0B89-135C-4880-8E35-170AFB4B01B1}"/>
    <cellStyle name="Comma 6 3 2 5 3 4 3" xfId="28774" xr:uid="{C88C70E2-C5F7-4DF2-9358-F14E51C3B0A1}"/>
    <cellStyle name="Comma 6 3 2 5 3 5" xfId="16346" xr:uid="{91B23174-D8C9-4660-B980-F8920344E0A1}"/>
    <cellStyle name="Comma 6 3 2 5 3 6" xfId="26762" xr:uid="{826A7613-0278-48C3-842B-4097ADFFC53D}"/>
    <cellStyle name="Comma 6 3 2 5 4" xfId="4013" xr:uid="{00000000-0005-0000-0000-00001E270000}"/>
    <cellStyle name="Comma 6 3 2 5 4 2" xfId="4014" xr:uid="{00000000-0005-0000-0000-00001F270000}"/>
    <cellStyle name="Comma 6 3 2 5 4 2 2" xfId="11165" xr:uid="{00000000-0005-0000-0000-000020270000}"/>
    <cellStyle name="Comma 6 3 2 5 4 2 2 2" xfId="22711" xr:uid="{3C8EA01A-9A09-4934-85C8-64715246DF24}"/>
    <cellStyle name="Comma 6 3 2 5 4 2 2 3" xfId="33127" xr:uid="{713AE39C-6305-4A6D-B8A5-1EF91BFF3262}"/>
    <cellStyle name="Comma 6 3 2 5 4 2 3" xfId="16349" xr:uid="{8F3301E2-098C-409A-BD72-0FF0823FF0ED}"/>
    <cellStyle name="Comma 6 3 2 5 4 2 4" xfId="26765" xr:uid="{21F4E7A4-E8FF-4568-B50D-989053496F55}"/>
    <cellStyle name="Comma 6 3 2 5 4 3" xfId="11164" xr:uid="{00000000-0005-0000-0000-000021270000}"/>
    <cellStyle name="Comma 6 3 2 5 4 3 2" xfId="22710" xr:uid="{EE216195-5CDE-404C-9C61-184CC148AA01}"/>
    <cellStyle name="Comma 6 3 2 5 4 3 3" xfId="33126" xr:uid="{23FF8672-B0F2-4117-9C90-199E15C1E472}"/>
    <cellStyle name="Comma 6 3 2 5 4 4" xfId="6773" xr:uid="{00000000-0005-0000-0000-000022270000}"/>
    <cellStyle name="Comma 6 3 2 5 4 4 2" xfId="18359" xr:uid="{3FBA5D83-12D8-47E0-A871-5665C4CD4419}"/>
    <cellStyle name="Comma 6 3 2 5 4 4 3" xfId="28775" xr:uid="{686799AD-1B6D-4C9F-85B5-E3C006B9B9F7}"/>
    <cellStyle name="Comma 6 3 2 5 4 5" xfId="16348" xr:uid="{11D36770-7E18-439A-BA21-2D2A2B680ABE}"/>
    <cellStyle name="Comma 6 3 2 5 4 6" xfId="26764" xr:uid="{548B7361-0B1C-403B-986F-9EE7D5DFEE9A}"/>
    <cellStyle name="Comma 6 3 2 5 5" xfId="4015" xr:uid="{00000000-0005-0000-0000-000023270000}"/>
    <cellStyle name="Comma 6 3 2 5 5 2" xfId="11166" xr:uid="{00000000-0005-0000-0000-000024270000}"/>
    <cellStyle name="Comma 6 3 2 5 5 2 2" xfId="22712" xr:uid="{31B9EC9C-954C-4689-9622-5EFBF7850965}"/>
    <cellStyle name="Comma 6 3 2 5 5 2 3" xfId="33128" xr:uid="{0C598D26-45A8-42FE-8B39-5FF43026AB1A}"/>
    <cellStyle name="Comma 6 3 2 5 5 3" xfId="16350" xr:uid="{F0A2D47D-7E98-489B-A4BF-26DEAB1FB031}"/>
    <cellStyle name="Comma 6 3 2 5 5 4" xfId="26766" xr:uid="{52FDEEE6-6092-4E2A-842B-2CF0952F8D2C}"/>
    <cellStyle name="Comma 6 3 2 5 6" xfId="11157" xr:uid="{00000000-0005-0000-0000-000025270000}"/>
    <cellStyle name="Comma 6 3 2 5 6 2" xfId="22703" xr:uid="{67B45620-09EB-4738-8D18-B86206FDAA95}"/>
    <cellStyle name="Comma 6 3 2 5 6 3" xfId="33119" xr:uid="{B14D5BAA-B810-4564-9CD2-07E2C1F1E539}"/>
    <cellStyle name="Comma 6 3 2 5 7" xfId="6769" xr:uid="{00000000-0005-0000-0000-000026270000}"/>
    <cellStyle name="Comma 6 3 2 5 7 2" xfId="18355" xr:uid="{DF2CA3A4-AEAA-4134-BC44-D89775930142}"/>
    <cellStyle name="Comma 6 3 2 5 7 3" xfId="28771" xr:uid="{0DD8A3E1-7CA6-47FF-8ACE-D47A4CC6B2BC}"/>
    <cellStyle name="Comma 6 3 2 5 8" xfId="16341" xr:uid="{B78C5776-1456-4662-8742-6B3A1A07A535}"/>
    <cellStyle name="Comma 6 3 2 5 9" xfId="26757" xr:uid="{51249E73-D30B-4E37-99C5-97ACDDD1543F}"/>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2 2 2" xfId="22715" xr:uid="{25667B50-CF53-408A-84E1-FB68BE8BE485}"/>
    <cellStyle name="Comma 6 3 2 6 2 2 2 3" xfId="33131" xr:uid="{1CA44B88-F860-45C0-9E41-1905D5A41814}"/>
    <cellStyle name="Comma 6 3 2 6 2 2 3" xfId="16353" xr:uid="{41B2293D-8A0B-4EC5-9BCD-DF3D00AC0C8C}"/>
    <cellStyle name="Comma 6 3 2 6 2 2 4" xfId="26769" xr:uid="{5216B1E1-5C36-4276-BADD-48866412221D}"/>
    <cellStyle name="Comma 6 3 2 6 2 3" xfId="11168" xr:uid="{00000000-0005-0000-0000-00002B270000}"/>
    <cellStyle name="Comma 6 3 2 6 2 3 2" xfId="22714" xr:uid="{273B7102-6BA8-49D3-AC95-6D134A5849CD}"/>
    <cellStyle name="Comma 6 3 2 6 2 3 3" xfId="33130" xr:uid="{690DF51A-834A-46A0-91D6-1EBEC53CDE0F}"/>
    <cellStyle name="Comma 6 3 2 6 2 4" xfId="6775" xr:uid="{00000000-0005-0000-0000-00002C270000}"/>
    <cellStyle name="Comma 6 3 2 6 2 4 2" xfId="18361" xr:uid="{E46EA7B8-BBD5-4AF4-8981-5F5F2678A008}"/>
    <cellStyle name="Comma 6 3 2 6 2 4 3" xfId="28777" xr:uid="{5FBAA481-14AC-49B0-ABD9-9981BC8C5A7C}"/>
    <cellStyle name="Comma 6 3 2 6 2 5" xfId="16352" xr:uid="{30D36009-EDA0-4F73-9D84-D00EC8EAC071}"/>
    <cellStyle name="Comma 6 3 2 6 2 6" xfId="26768" xr:uid="{0D0C7642-5CAA-4F57-9413-F305B4314718}"/>
    <cellStyle name="Comma 6 3 2 6 3" xfId="4019" xr:uid="{00000000-0005-0000-0000-00002D270000}"/>
    <cellStyle name="Comma 6 3 2 6 3 2" xfId="4020" xr:uid="{00000000-0005-0000-0000-00002E270000}"/>
    <cellStyle name="Comma 6 3 2 6 3 2 2" xfId="11171" xr:uid="{00000000-0005-0000-0000-00002F270000}"/>
    <cellStyle name="Comma 6 3 2 6 3 2 2 2" xfId="22717" xr:uid="{2D5DA120-81F4-4B83-9BD6-73F7572EC704}"/>
    <cellStyle name="Comma 6 3 2 6 3 2 2 3" xfId="33133" xr:uid="{A9DE61BB-3FC8-43E5-9ABB-FC5A4959448F}"/>
    <cellStyle name="Comma 6 3 2 6 3 2 3" xfId="16355" xr:uid="{F1A7B5AA-5766-4D58-991F-55EDD5C413B8}"/>
    <cellStyle name="Comma 6 3 2 6 3 2 4" xfId="26771" xr:uid="{2E5FE45F-6AC3-4966-A096-560DDC73BFB3}"/>
    <cellStyle name="Comma 6 3 2 6 3 3" xfId="11170" xr:uid="{00000000-0005-0000-0000-000030270000}"/>
    <cellStyle name="Comma 6 3 2 6 3 3 2" xfId="22716" xr:uid="{FC6DF1E1-32C5-4AA0-BEC5-AE9B63B0A0CD}"/>
    <cellStyle name="Comma 6 3 2 6 3 3 3" xfId="33132" xr:uid="{D37413A6-9E75-44FB-AA0F-6F310C681E76}"/>
    <cellStyle name="Comma 6 3 2 6 3 4" xfId="6776" xr:uid="{00000000-0005-0000-0000-000031270000}"/>
    <cellStyle name="Comma 6 3 2 6 3 4 2" xfId="18362" xr:uid="{454B3984-3E66-44D7-A015-924B0B673D34}"/>
    <cellStyle name="Comma 6 3 2 6 3 4 3" xfId="28778" xr:uid="{5CBC5219-30B7-4806-90C6-C8565C53A953}"/>
    <cellStyle name="Comma 6 3 2 6 3 5" xfId="16354" xr:uid="{288082FD-ABA8-4032-92F4-B07B1F39CF1C}"/>
    <cellStyle name="Comma 6 3 2 6 3 6" xfId="26770" xr:uid="{12D8E083-960B-473A-BCC3-7CFBA4766262}"/>
    <cellStyle name="Comma 6 3 2 6 4" xfId="4021" xr:uid="{00000000-0005-0000-0000-000032270000}"/>
    <cellStyle name="Comma 6 3 2 6 4 2" xfId="11172" xr:uid="{00000000-0005-0000-0000-000033270000}"/>
    <cellStyle name="Comma 6 3 2 6 4 2 2" xfId="22718" xr:uid="{EE006B20-9223-4DB6-905C-4DFC9A642F4C}"/>
    <cellStyle name="Comma 6 3 2 6 4 2 3" xfId="33134" xr:uid="{69F09A6E-E3E1-4459-A1AE-BE7252E31436}"/>
    <cellStyle name="Comma 6 3 2 6 4 3" xfId="16356" xr:uid="{CDBA3121-9E1F-4B93-AAFB-B436AB06228E}"/>
    <cellStyle name="Comma 6 3 2 6 4 4" xfId="26772" xr:uid="{3651AA84-AB99-4D93-B1FB-04423ADD62FF}"/>
    <cellStyle name="Comma 6 3 2 6 5" xfId="11167" xr:uid="{00000000-0005-0000-0000-000034270000}"/>
    <cellStyle name="Comma 6 3 2 6 5 2" xfId="22713" xr:uid="{FA032E6F-9819-49AA-9072-0B6347B4AE68}"/>
    <cellStyle name="Comma 6 3 2 6 5 3" xfId="33129" xr:uid="{51F6214E-DD32-4D52-940B-1A1F53058D76}"/>
    <cellStyle name="Comma 6 3 2 6 6" xfId="6774" xr:uid="{00000000-0005-0000-0000-000035270000}"/>
    <cellStyle name="Comma 6 3 2 6 6 2" xfId="18360" xr:uid="{351CC467-AFBA-4658-B2D7-19549CBD19F4}"/>
    <cellStyle name="Comma 6 3 2 6 6 3" xfId="28776" xr:uid="{62FAC4EB-39A9-4693-95BA-4314E1D0B507}"/>
    <cellStyle name="Comma 6 3 2 6 7" xfId="16351" xr:uid="{8947A3EE-94EC-40E0-8D91-19F927859E4D}"/>
    <cellStyle name="Comma 6 3 2 6 8" xfId="26767" xr:uid="{4B71DE1F-DC83-4297-A4C5-7194FD1C7633}"/>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2 2" xfId="22724" xr:uid="{BBD4C2E8-82B6-4A8D-9CED-EC2DB44363D8}"/>
    <cellStyle name="Comma 6 3 2 7 2 2 2 3" xfId="33140" xr:uid="{95C94B72-D689-4B1C-9776-1A29883B3053}"/>
    <cellStyle name="Comma 6 3 2 7 2 2 3" xfId="11175" xr:uid="{00000000-0005-0000-0000-00003A270000}"/>
    <cellStyle name="Comma 6 3 2 7 2 2 4" xfId="16359" xr:uid="{6E6E28D7-3A6A-4E1D-B954-E3BE2A02245C}"/>
    <cellStyle name="Comma 6 3 2 7 2 2 5" xfId="26775" xr:uid="{24D1C8D9-9ACD-4B0C-9A16-D3754B0A51F3}"/>
    <cellStyle name="Comma 6 3 2 7 2 3" xfId="11174" xr:uid="{00000000-0005-0000-0000-00003B270000}"/>
    <cellStyle name="Comma 6 3 2 7 2 4" xfId="12307" xr:uid="{00000000-0005-0000-0000-00003C270000}"/>
    <cellStyle name="Comma 6 3 2 7 2 4 2" xfId="22725" xr:uid="{EF13D318-E56D-48A1-8762-F77BFAB6B020}"/>
    <cellStyle name="Comma 6 3 2 7 2 4 3" xfId="33141" xr:uid="{77DCB04E-582F-4508-9578-8888B506B5A7}"/>
    <cellStyle name="Comma 6 3 2 7 2 5" xfId="6778" xr:uid="{00000000-0005-0000-0000-00003D270000}"/>
    <cellStyle name="Comma 6 3 2 7 2 5 2" xfId="18364" xr:uid="{37F836A9-08DE-49D1-A64C-8A5AF38E1478}"/>
    <cellStyle name="Comma 6 3 2 7 2 5 3" xfId="28780" xr:uid="{56AFAB69-B240-4981-8997-C3D76F3E882E}"/>
    <cellStyle name="Comma 6 3 2 7 2 6" xfId="16358" xr:uid="{5C084E5A-6A5F-41CB-B5D9-582223CD78C4}"/>
    <cellStyle name="Comma 6 3 2 7 2 7" xfId="26774" xr:uid="{E8023BC2-53C6-4FAE-A2E8-90B54B0E938C}"/>
    <cellStyle name="Comma 6 3 2 7 3" xfId="4025" xr:uid="{00000000-0005-0000-0000-00003E270000}"/>
    <cellStyle name="Comma 6 3 2 7 3 2" xfId="12305" xr:uid="{00000000-0005-0000-0000-00003F270000}"/>
    <cellStyle name="Comma 6 3 2 7 3 2 2" xfId="22723" xr:uid="{1DB5E8D9-DDBB-4322-9F7A-239E02675D51}"/>
    <cellStyle name="Comma 6 3 2 7 3 2 3" xfId="33139" xr:uid="{1EE8028C-6FD3-44AB-9F33-A89979C2ACA4}"/>
    <cellStyle name="Comma 6 3 2 7 3 3" xfId="11176" xr:uid="{00000000-0005-0000-0000-000040270000}"/>
    <cellStyle name="Comma 6 3 2 7 3 4" xfId="16360" xr:uid="{C88CA7CB-EC45-4BE1-A278-DF13595B1A68}"/>
    <cellStyle name="Comma 6 3 2 7 3 5" xfId="26776" xr:uid="{5CF5EB24-2B65-4108-93F2-82295425C22D}"/>
    <cellStyle name="Comma 6 3 2 7 4" xfId="11173" xr:uid="{00000000-0005-0000-0000-000041270000}"/>
    <cellStyle name="Comma 6 3 2 7 5" xfId="12308" xr:uid="{00000000-0005-0000-0000-000042270000}"/>
    <cellStyle name="Comma 6 3 2 7 5 2" xfId="22726" xr:uid="{A392D297-03F7-447C-A560-CF88E0CDD452}"/>
    <cellStyle name="Comma 6 3 2 7 5 3" xfId="33142" xr:uid="{891B3F26-6721-450F-A857-4BE0045940E0}"/>
    <cellStyle name="Comma 6 3 2 7 6" xfId="6777" xr:uid="{00000000-0005-0000-0000-000043270000}"/>
    <cellStyle name="Comma 6 3 2 7 6 2" xfId="18363" xr:uid="{5F8CAAE1-E285-44D4-8ECB-6393AF93650F}"/>
    <cellStyle name="Comma 6 3 2 7 6 3" xfId="28779" xr:uid="{65B231E6-289E-46CC-9F6E-B16F3FAE1A3E}"/>
    <cellStyle name="Comma 6 3 2 7 7" xfId="16357" xr:uid="{AA783997-F2BB-4E38-85C9-180FD36F3EA3}"/>
    <cellStyle name="Comma 6 3 2 7 8" xfId="26773" xr:uid="{DD9415A2-1165-43DC-80E5-86A136577B63}"/>
    <cellStyle name="Comma 6 3 2 8" xfId="4026" xr:uid="{00000000-0005-0000-0000-000044270000}"/>
    <cellStyle name="Comma 6 3 2 8 2" xfId="4027" xr:uid="{00000000-0005-0000-0000-000045270000}"/>
    <cellStyle name="Comma 6 3 2 8 2 2" xfId="12303" xr:uid="{00000000-0005-0000-0000-000046270000}"/>
    <cellStyle name="Comma 6 3 2 8 2 2 2" xfId="22721" xr:uid="{B37B4A22-FBA9-450D-AE26-726B2B14EDC2}"/>
    <cellStyle name="Comma 6 3 2 8 2 2 3" xfId="33137" xr:uid="{82181CA5-43CF-4A09-A990-95F54C5D4B6E}"/>
    <cellStyle name="Comma 6 3 2 8 2 3" xfId="11178" xr:uid="{00000000-0005-0000-0000-000047270000}"/>
    <cellStyle name="Comma 6 3 2 8 2 4" xfId="16362" xr:uid="{7E42F796-8ABC-4F3E-A7DC-B2D44DFC7BB3}"/>
    <cellStyle name="Comma 6 3 2 8 2 5" xfId="26778" xr:uid="{DDD539A9-EA6D-4C43-9C50-8D8AC7442683}"/>
    <cellStyle name="Comma 6 3 2 8 3" xfId="11177" xr:uid="{00000000-0005-0000-0000-000048270000}"/>
    <cellStyle name="Comma 6 3 2 8 4" xfId="12304" xr:uid="{00000000-0005-0000-0000-000049270000}"/>
    <cellStyle name="Comma 6 3 2 8 4 2" xfId="22722" xr:uid="{E6CC9AF1-228B-489C-B79C-8E4D34533C3F}"/>
    <cellStyle name="Comma 6 3 2 8 4 3" xfId="33138" xr:uid="{2AE8D65E-A9A4-4808-9863-C8C1D2A331AE}"/>
    <cellStyle name="Comma 6 3 2 8 5" xfId="6779" xr:uid="{00000000-0005-0000-0000-00004A270000}"/>
    <cellStyle name="Comma 6 3 2 8 5 2" xfId="18365" xr:uid="{9C14648C-8633-4028-B9AD-C45C9D64D792}"/>
    <cellStyle name="Comma 6 3 2 8 5 3" xfId="28781" xr:uid="{2D0C12DD-55CE-4B2B-B66A-098ACC88B7B2}"/>
    <cellStyle name="Comma 6 3 2 8 6" xfId="16361" xr:uid="{CA9C1AA7-52E8-441C-BC2D-E562216F85F8}"/>
    <cellStyle name="Comma 6 3 2 8 7" xfId="26777" xr:uid="{A417C988-F3D6-454D-8BF9-C10CFA34DD56}"/>
    <cellStyle name="Comma 6 3 2 9" xfId="4028" xr:uid="{00000000-0005-0000-0000-00004B270000}"/>
    <cellStyle name="Comma 6 3 2 9 2" xfId="4029" xr:uid="{00000000-0005-0000-0000-00004C270000}"/>
    <cellStyle name="Comma 6 3 2 9 2 2" xfId="12301" xr:uid="{00000000-0005-0000-0000-00004D270000}"/>
    <cellStyle name="Comma 6 3 2 9 2 2 2" xfId="22719" xr:uid="{21FABB53-DFB4-4B38-9EF9-048C884EA8A3}"/>
    <cellStyle name="Comma 6 3 2 9 2 2 3" xfId="33135" xr:uid="{28060FFC-3A02-4940-930F-9EBD2E376ABA}"/>
    <cellStyle name="Comma 6 3 2 9 2 3" xfId="11180" xr:uid="{00000000-0005-0000-0000-00004E270000}"/>
    <cellStyle name="Comma 6 3 2 9 2 4" xfId="16364" xr:uid="{239DE4FF-F169-4528-8824-ED5CCC489CD0}"/>
    <cellStyle name="Comma 6 3 2 9 2 5" xfId="26780" xr:uid="{3AADFEBF-60BC-4BAB-9D46-4DC10AC25EC7}"/>
    <cellStyle name="Comma 6 3 2 9 3" xfId="11179" xr:uid="{00000000-0005-0000-0000-00004F270000}"/>
    <cellStyle name="Comma 6 3 2 9 4" xfId="12302" xr:uid="{00000000-0005-0000-0000-000050270000}"/>
    <cellStyle name="Comma 6 3 2 9 4 2" xfId="22720" xr:uid="{3A4B7F2D-F82A-486C-BC95-E3C8FF0E3EE8}"/>
    <cellStyle name="Comma 6 3 2 9 4 3" xfId="33136" xr:uid="{856A053C-3D27-47DF-9937-C9FB146BFE95}"/>
    <cellStyle name="Comma 6 3 2 9 5" xfId="6780" xr:uid="{00000000-0005-0000-0000-000051270000}"/>
    <cellStyle name="Comma 6 3 2 9 5 2" xfId="18366" xr:uid="{7E6B8BEA-4500-4F29-9660-2125768EF148}"/>
    <cellStyle name="Comma 6 3 2 9 5 3" xfId="28782" xr:uid="{3D9C530E-CF58-4DD1-902F-1AF4FE16DFA5}"/>
    <cellStyle name="Comma 6 3 2 9 6" xfId="16363" xr:uid="{FB78194E-01A7-4C23-954F-F82187AA4318}"/>
    <cellStyle name="Comma 6 3 2 9 7" xfId="26779" xr:uid="{1FE8A5D5-3821-41FA-9C80-102FF50495BF}"/>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2 5 2" xfId="18369" xr:uid="{75B09FC9-79B2-4C59-9383-ECC9A5E8EBC2}"/>
    <cellStyle name="Comma 6 3 3 2 2 5 3" xfId="28785" xr:uid="{80B7D4DC-27B1-4476-A8A5-8ABC2E6BA372}"/>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2 6 2" xfId="18368" xr:uid="{CC5BC8EC-5EEC-4F8D-A470-F869411DCD9B}"/>
    <cellStyle name="Comma 6 3 3 2 6 3" xfId="28784" xr:uid="{87E89B72-F1F6-49F4-BA21-BEE0AD5F2DD5}"/>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3 5 2" xfId="18370" xr:uid="{FB158CAB-D3EB-4270-84F5-D1ABB9C42B4F}"/>
    <cellStyle name="Comma 6 3 3 3 5 3" xfId="28786" xr:uid="{AAA9EAA4-EAB8-4E06-ADF4-54E7C074797B}"/>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4 5 2" xfId="18371" xr:uid="{5C8A3D99-F659-4D5E-9FEA-26DC4DB34EBD}"/>
    <cellStyle name="Comma 6 3 3 4 5 3" xfId="28787" xr:uid="{62D1DDDB-9FAD-46A9-A6BF-452A679E5C33}"/>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3 8 2" xfId="18367" xr:uid="{6485EF33-9AA3-42EC-8097-486EDEA793D5}"/>
    <cellStyle name="Comma 6 3 3 8 3" xfId="28783" xr:uid="{D9E221A7-6D92-4C88-A6B8-577135281C45}"/>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2 5 2" xfId="18374" xr:uid="{7256F2C2-3838-44B4-94AE-08A0EDA491C0}"/>
    <cellStyle name="Comma 6 3 4 2 2 5 3" xfId="28790" xr:uid="{BDD718F8-FFE0-4031-9B03-2C76601003A2}"/>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2 6 2" xfId="18373" xr:uid="{D9CC0093-5A15-4B56-A03B-766E316A17ED}"/>
    <cellStyle name="Comma 6 3 4 2 6 3" xfId="28789" xr:uid="{254F3109-DBA8-449E-BED4-A8A3E6651BB1}"/>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3 5 2" xfId="18375" xr:uid="{BC1CFC26-2FA6-4E5F-B726-6EBC2DF11FD4}"/>
    <cellStyle name="Comma 6 3 4 3 5 3" xfId="28791" xr:uid="{AC7454A3-467E-41C7-8954-7B7E481ED3E1}"/>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4 5 2" xfId="18376" xr:uid="{6DB296C3-39E1-4373-A113-343CE78CB993}"/>
    <cellStyle name="Comma 6 3 4 4 5 3" xfId="28792" xr:uid="{E84FD7EB-ACCA-48A6-BFBB-1228F961F64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4 8 2" xfId="18372" xr:uid="{597C051A-4353-473C-B2D4-9B107701B0CA}"/>
    <cellStyle name="Comma 6 3 4 8 3" xfId="28788" xr:uid="{B70C58F9-586E-4BF4-BF73-998A66B07247}"/>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2 5 2" xfId="18379" xr:uid="{630B1099-EFCE-45CC-8708-754708774519}"/>
    <cellStyle name="Comma 6 3 5 2 2 5 3" xfId="28795" xr:uid="{E0E88AF7-A799-4C46-9CC7-6F8BEBB59D71}"/>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2 6 2" xfId="18378" xr:uid="{0A37CF70-9B61-4105-A963-B8E04BA99A1F}"/>
    <cellStyle name="Comma 6 3 5 2 6 3" xfId="28794" xr:uid="{F51674F3-F7AD-4814-B2DA-D1B3A4A67B48}"/>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3 5 2" xfId="18380" xr:uid="{B969C159-3DCC-427F-AC9F-043FAF92D273}"/>
    <cellStyle name="Comma 6 3 5 3 5 3" xfId="28796" xr:uid="{B9D4B854-3ABB-476A-8C21-17F7DBDB43BE}"/>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4 5 2" xfId="18381" xr:uid="{F64D83DF-C076-4AFD-800B-B6A64A408373}"/>
    <cellStyle name="Comma 6 3 5 4 5 3" xfId="28797" xr:uid="{63CAC882-9EA2-4956-B634-C915F80465BE}"/>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5 8 2" xfId="18377" xr:uid="{D72AA78C-3529-4966-A906-04C307A3502A}"/>
    <cellStyle name="Comma 6 3 5 8 3" xfId="28793" xr:uid="{7F06A8AC-0D3D-442D-8421-B67AC00CE4C3}"/>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2 5 2" xfId="18384" xr:uid="{5C25060E-1AC7-4E4E-A7EB-0FDF6738E38A}"/>
    <cellStyle name="Comma 6 3 6 2 2 5 3" xfId="28800" xr:uid="{959DEAEB-2D7E-401E-8A40-6862682E9C49}"/>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2 6 2" xfId="18383" xr:uid="{2998C0DD-6C1D-426C-95DD-7B0D81CD7B0A}"/>
    <cellStyle name="Comma 6 3 6 2 6 3" xfId="28799" xr:uid="{64B6646B-880C-4438-A3E9-8C001B7ACA4B}"/>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3 5 2" xfId="18385" xr:uid="{AA655E1A-4A1C-42C0-B4CB-5A93CCE35CEF}"/>
    <cellStyle name="Comma 6 3 6 3 5 3" xfId="28801" xr:uid="{0E2C3DB5-49D3-4577-8366-66B72C0C0F21}"/>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4 5 2" xfId="18386" xr:uid="{0E343D05-61A0-4193-94DE-07977F35EAC0}"/>
    <cellStyle name="Comma 6 3 6 4 5 3" xfId="28802" xr:uid="{2580186B-437D-4413-8E5E-3393B9E5857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6 8 2" xfId="18382" xr:uid="{339B1027-264D-4F3A-8BC6-711CFE6227AF}"/>
    <cellStyle name="Comma 6 3 6 8 3" xfId="28798" xr:uid="{334B7AA0-BCE1-4022-B611-4AEA44214981}"/>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2 5 2" xfId="18388" xr:uid="{AE2C10B3-D884-4F6B-858A-C3AC98C36B9D}"/>
    <cellStyle name="Comma 6 3 7 2 5 3" xfId="28804" xr:uid="{C2796E3D-9787-4E97-9C7F-94A2CB93CD42}"/>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3 5 2" xfId="18389" xr:uid="{C86519F6-5C8A-437B-92BF-2520709200A6}"/>
    <cellStyle name="Comma 6 3 7 3 5 3" xfId="28805" xr:uid="{15361585-1388-47E9-ABE7-B23555C64ECB}"/>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7 7 2" xfId="18387" xr:uid="{37BA79DD-2E6E-412D-B90D-0C31897E7B2F}"/>
    <cellStyle name="Comma 6 3 7 7 3" xfId="28803" xr:uid="{4A330DC6-D8A1-4301-BFDD-79A8D724F456}"/>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2 5 2" xfId="18391" xr:uid="{0A628CA9-336B-4D0A-81A7-6ABE1606050B}"/>
    <cellStyle name="Comma 6 3 8 2 5 3" xfId="28807" xr:uid="{DD0EE149-BA5B-42FA-B193-1AC54BAF3613}"/>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8 6 2" xfId="18390" xr:uid="{28694388-3560-4195-A0C2-7E0B2635A4D3}"/>
    <cellStyle name="Comma 6 3 8 6 3" xfId="28806" xr:uid="{34753EE1-D0D7-4D91-8F1E-C186EB48AC44}"/>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3 9 5 2" xfId="18392" xr:uid="{ECCEEDF2-7D3F-4783-8EEA-543D0FE9B3A9}"/>
    <cellStyle name="Comma 6 3 9 5 3" xfId="28808" xr:uid="{1E6FDD6C-8399-44B9-9C5D-4D8237630AFB}"/>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0 5 2" xfId="18394" xr:uid="{48DD33AE-A9E4-4F1C-A93E-B32BA38AE511}"/>
    <cellStyle name="Comma 6 4 10 5 3" xfId="28810" xr:uid="{B021C060-9F9D-4D18-A15F-FB5C5A80FFD9}"/>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14 2" xfId="18393" xr:uid="{87731942-1B4C-4C95-ABAC-B966B11B085C}"/>
    <cellStyle name="Comma 6 4 14 3" xfId="28809" xr:uid="{FC3E67C4-B4E8-48F0-A19E-381A5EF43E6C}"/>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13 2" xfId="18395" xr:uid="{F52125A3-0BAA-4224-805D-0283BAB6E93D}"/>
    <cellStyle name="Comma 6 4 2 13 3" xfId="28811" xr:uid="{12B13891-8408-4B78-98AD-E6D055F92D94}"/>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2 5 2" xfId="18398" xr:uid="{1AE9EFFB-10CF-4E81-885B-1E9B165CD018}"/>
    <cellStyle name="Comma 6 4 2 2 2 2 5 3" xfId="28814" xr:uid="{F9DDD0DA-CCAC-4167-A8C2-CE4F1649F4FD}"/>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2 6 2" xfId="18397" xr:uid="{27CD1592-977B-42FF-9835-2D7470ABC002}"/>
    <cellStyle name="Comma 6 4 2 2 2 6 3" xfId="28813" xr:uid="{03900169-80E9-44D1-8392-B8C51694DBFF}"/>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3 5 2" xfId="18399" xr:uid="{571CAFB2-C6AD-466E-89D1-4B3AB53A1A76}"/>
    <cellStyle name="Comma 6 4 2 2 3 5 3" xfId="28815" xr:uid="{D2029ADF-42C3-4B01-9828-D6F77D9213ED}"/>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4 5 2" xfId="18400" xr:uid="{31C02E47-6B7F-4A8E-85A4-C9584F945611}"/>
    <cellStyle name="Comma 6 4 2 2 4 5 3" xfId="28816" xr:uid="{C87E68E3-A997-491B-81A5-683C2E98A86A}"/>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2 8 2" xfId="18396" xr:uid="{06C34B60-C1CE-4156-A874-BFB0501C3680}"/>
    <cellStyle name="Comma 6 4 2 2 8 3" xfId="28812" xr:uid="{8BE44128-F1FE-4A90-ABA5-544F4833E9CF}"/>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2 5 2" xfId="18403" xr:uid="{29AD394F-A987-4164-8B46-BC221E6E4733}"/>
    <cellStyle name="Comma 6 4 2 3 2 2 5 3" xfId="28819" xr:uid="{0CE23FFA-B775-4612-9EC3-92C69BEB0E46}"/>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2 6 2" xfId="18402" xr:uid="{0A1A1B79-AB67-4570-B7E1-CB6D8B293F80}"/>
    <cellStyle name="Comma 6 4 2 3 2 6 3" xfId="28818" xr:uid="{47F59072-D460-4CE1-BBEB-777416BA1835}"/>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3 5 2" xfId="18404" xr:uid="{E614F662-81E2-46D5-830B-DB513A29DE36}"/>
    <cellStyle name="Comma 6 4 2 3 3 5 3" xfId="28820" xr:uid="{29C53581-0C45-497F-BADC-39C37E3DD11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4 5 2" xfId="18405" xr:uid="{39019D2F-F53C-4FE3-9F81-C2E6D906CB6A}"/>
    <cellStyle name="Comma 6 4 2 3 4 5 3" xfId="28821" xr:uid="{0ABBF082-5A92-44B1-9BDF-F391E84DAB03}"/>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3 8 2" xfId="18401" xr:uid="{DDDF81F5-ABC8-4F33-9BBA-41E281D83863}"/>
    <cellStyle name="Comma 6 4 2 3 8 3" xfId="28817" xr:uid="{DA5B5546-2806-425C-9387-DE04A9A7E181}"/>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2 5 2" xfId="18408" xr:uid="{66AFD649-1377-4C31-A37C-41F41711932C}"/>
    <cellStyle name="Comma 6 4 2 4 2 2 5 3" xfId="28824" xr:uid="{F8AB2AEA-5941-4B4A-9036-EF1A95361A5A}"/>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2 6 2" xfId="18407" xr:uid="{5F4E8838-6458-4AC8-A0E4-C4CAD96AD1B6}"/>
    <cellStyle name="Comma 6 4 2 4 2 6 3" xfId="28823" xr:uid="{7B6E53B9-51AF-4145-B80F-CB8FA2216C26}"/>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3 5 2" xfId="18409" xr:uid="{D204AC6E-E17A-48B8-8E4E-4E12635B72EC}"/>
    <cellStyle name="Comma 6 4 2 4 3 5 3" xfId="28825" xr:uid="{3A9B1179-E7E3-4DE1-BC8A-7C48FCD1DE7E}"/>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4 5 2" xfId="18410" xr:uid="{49240788-3AD2-4E18-8E2E-0EF45B67708E}"/>
    <cellStyle name="Comma 6 4 2 4 4 5 3" xfId="28826" xr:uid="{19E8B596-43E8-4F1C-A151-3B908152383A}"/>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4 8 2" xfId="18406" xr:uid="{2D1275FA-E019-4B61-B2A2-C9E4BAB16B4B}"/>
    <cellStyle name="Comma 6 4 2 4 8 3" xfId="28822" xr:uid="{52B5C86B-3807-4712-B3F3-DE37EFAD81B5}"/>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2 5 2" xfId="18413" xr:uid="{8AD78717-15F1-42E8-B136-578B11769ECA}"/>
    <cellStyle name="Comma 6 4 2 5 2 2 5 3" xfId="28829" xr:uid="{97EE8816-2F6F-437A-AF22-350C5A742D2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2 6 2" xfId="18412" xr:uid="{FBE478C7-538E-4200-B04B-39AD68EE1486}"/>
    <cellStyle name="Comma 6 4 2 5 2 6 3" xfId="28828" xr:uid="{993A1A57-F798-458B-8C3C-9C9D71B9CDC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3 5 2" xfId="18414" xr:uid="{994ABAD5-2A00-49DD-B6D3-77FE05AEA1D5}"/>
    <cellStyle name="Comma 6 4 2 5 3 5 3" xfId="28830" xr:uid="{C5C0BCA1-6A27-4C06-9458-BD6DB38EB9DF}"/>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4 5 2" xfId="18415" xr:uid="{BC987EA7-4C69-4207-BCE6-4CF74945A915}"/>
    <cellStyle name="Comma 6 4 2 5 4 5 3" xfId="28831" xr:uid="{8E95604F-5265-4557-B9C2-5C11B1442FF6}"/>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5 8 2" xfId="18411" xr:uid="{41547FF2-DE7A-49D9-A2FB-1364279F8079}"/>
    <cellStyle name="Comma 6 4 2 5 8 3" xfId="28827" xr:uid="{F8E2C1B6-1EC9-4CA3-AA98-09E52CDEF04C}"/>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2 5 2" xfId="18417" xr:uid="{BB2A0A61-07D5-40FE-B0F3-5383966280E1}"/>
    <cellStyle name="Comma 6 4 2 6 2 5 3" xfId="28833" xr:uid="{837A9B63-F847-44A1-9236-C655B180E4EC}"/>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3 5 2" xfId="18418" xr:uid="{AD30ADD2-B5A0-4637-84DA-BEB71FDB2129}"/>
    <cellStyle name="Comma 6 4 2 6 3 5 3" xfId="28834" xr:uid="{3D98067D-E9FB-4F98-B22C-841E6E677461}"/>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6 7 2" xfId="18416" xr:uid="{22FC399D-94FB-4818-8BB7-976F43124F8E}"/>
    <cellStyle name="Comma 6 4 2 6 7 3" xfId="28832" xr:uid="{0CD8C5B0-F940-4AFF-B1CD-E53D140A00B4}"/>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2 5 2" xfId="18420" xr:uid="{F1B0FF2A-9B1B-42DB-8B76-5D4BCABAAA61}"/>
    <cellStyle name="Comma 6 4 2 7 2 5 3" xfId="28836" xr:uid="{F2DAADAD-7DEC-40E6-B636-10C8B3A1DB12}"/>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7 6 2" xfId="18419" xr:uid="{140CBEF2-20D3-4FD4-A929-99E4140EC68B}"/>
    <cellStyle name="Comma 6 4 2 7 6 3" xfId="28835" xr:uid="{CB942927-2400-4E9E-82E1-DD4DC0C7597F}"/>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8 5 2" xfId="18421" xr:uid="{4BC08685-913C-4B3D-A8F7-3A82A668C2D3}"/>
    <cellStyle name="Comma 6 4 2 8 5 3" xfId="28837" xr:uid="{9D891683-83C8-4C26-ABCF-D201A564D99C}"/>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2 9 5 2" xfId="18422" xr:uid="{E8371596-3523-4733-BECC-EF464FC75E66}"/>
    <cellStyle name="Comma 6 4 2 9 5 3" xfId="28838" xr:uid="{33D4A357-704B-4B3C-97BF-17C28ED231DE}"/>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2 5 2" xfId="18425" xr:uid="{A5B89099-E5CE-4076-8104-781C8BEAE672}"/>
    <cellStyle name="Comma 6 4 3 2 2 5 3" xfId="28841" xr:uid="{09DE001E-E768-498F-ADFB-3AB3BA43BF6C}"/>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2 6 2" xfId="18424" xr:uid="{02DF7C8B-E09A-4766-BD8C-601A32CC92A3}"/>
    <cellStyle name="Comma 6 4 3 2 6 3" xfId="28840" xr:uid="{F1A4CA2E-0436-4C69-AF29-69173C6E1E88}"/>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3 5 2" xfId="18426" xr:uid="{7E84880D-D9B9-4375-8FB3-A92EF74666A8}"/>
    <cellStyle name="Comma 6 4 3 3 5 3" xfId="28842" xr:uid="{E87AE2BC-6FAD-4FC6-9FEE-C4C50F40324B}"/>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4 5 2" xfId="18427" xr:uid="{B4D36A10-8D5E-457B-919E-5AD9A7D91E09}"/>
    <cellStyle name="Comma 6 4 3 4 5 3" xfId="28843" xr:uid="{4BFD1BA9-5220-4D62-94F8-8D5E8DB1E8D6}"/>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3 8 2" xfId="18423" xr:uid="{0068E786-9287-4225-B2DB-4309DCAF6820}"/>
    <cellStyle name="Comma 6 4 3 8 3" xfId="28839" xr:uid="{C8315965-C8C3-4793-9C1C-0A623DF92F99}"/>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2 5 2" xfId="18430" xr:uid="{ABD6BB27-04FE-43F7-BC0D-F15FB28F0C17}"/>
    <cellStyle name="Comma 6 4 4 2 2 5 3" xfId="28846" xr:uid="{B559F0EB-DBD3-4529-A852-8E698FB72254}"/>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2 6 2" xfId="18429" xr:uid="{8AE21611-D2B7-4FB3-B69E-C0EE6F96114C}"/>
    <cellStyle name="Comma 6 4 4 2 6 3" xfId="28845" xr:uid="{A387D864-43AF-409B-B5BA-ACA73AD46E3A}"/>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3 5 2" xfId="18431" xr:uid="{234BDE39-632F-4340-AB60-356F20D15E1B}"/>
    <cellStyle name="Comma 6 4 4 3 5 3" xfId="28847" xr:uid="{A6ED918C-7ECA-4A5F-B510-5DF1B94090CB}"/>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4 5 2" xfId="18432" xr:uid="{98CCAC6F-9AE1-4F27-85D7-E1B93EDAD7DD}"/>
    <cellStyle name="Comma 6 4 4 4 5 3" xfId="28848" xr:uid="{2455688D-ABAF-4DF1-8369-E685A064F639}"/>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4 8 2" xfId="18428" xr:uid="{36ECFF37-E78A-4A12-BFBC-5A7F5985910C}"/>
    <cellStyle name="Comma 6 4 4 8 3" xfId="28844" xr:uid="{46737085-D694-4CD6-8575-38374F3F77D5}"/>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2 5 2" xfId="18435" xr:uid="{288451C1-B70B-4DB5-83D5-42054DC6727A}"/>
    <cellStyle name="Comma 6 4 5 2 2 5 3" xfId="28851" xr:uid="{3787E727-3D01-42C8-84DB-D66933BD6D4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2 6 2" xfId="18434" xr:uid="{344DB431-60C1-49BD-AED3-58A76284D7C0}"/>
    <cellStyle name="Comma 6 4 5 2 6 3" xfId="28850" xr:uid="{5B837EA9-794E-4561-BD61-CC182460DF28}"/>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3 5 2" xfId="18436" xr:uid="{91E3EABB-5691-4353-9BC7-B07188AD868E}"/>
    <cellStyle name="Comma 6 4 5 3 5 3" xfId="28852" xr:uid="{B494FCDE-90AD-4DC3-869D-7E9976CAFA3F}"/>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4 5 2" xfId="18437" xr:uid="{433B2136-A5E5-4A3E-BA05-897262DE03CA}"/>
    <cellStyle name="Comma 6 4 5 4 5 3" xfId="28853" xr:uid="{4F66451E-BE66-4014-A4E8-781EEE216304}"/>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5 8 2" xfId="18433" xr:uid="{E919E66C-011A-4295-A19C-8F4918B866CE}"/>
    <cellStyle name="Comma 6 4 5 8 3" xfId="28849" xr:uid="{126175FE-3A23-46F7-AE7B-0251E0B06E2E}"/>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2 5 2" xfId="18440" xr:uid="{0B7DE7B5-D8EA-465F-9640-B0B463D406CD}"/>
    <cellStyle name="Comma 6 4 6 2 2 5 3" xfId="28856" xr:uid="{894D64DD-024D-4D2A-A9F3-1AF2ECAEB8DB}"/>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2 6 2" xfId="18439" xr:uid="{81D17264-47F7-433B-8805-D1F15BA56DE5}"/>
    <cellStyle name="Comma 6 4 6 2 6 3" xfId="28855" xr:uid="{39041987-DB97-4B55-8C0B-528F412606BD}"/>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3 5 2" xfId="18441" xr:uid="{B7FB75CE-8B1E-4D46-8323-E0094FB7071F}"/>
    <cellStyle name="Comma 6 4 6 3 5 3" xfId="28857" xr:uid="{1A559CD2-07D3-46A7-86BA-2226BABA9AEA}"/>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4 5 2" xfId="18442" xr:uid="{C0CD41B5-DE30-4B39-AB78-E66091C2F7A6}"/>
    <cellStyle name="Comma 6 4 6 4 5 3" xfId="28858" xr:uid="{96F652C7-26C6-4ED8-A178-AD63C23463FE}"/>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6 8 2" xfId="18438" xr:uid="{7654D8B3-D5D0-4D51-8A13-6AA94E5CE102}"/>
    <cellStyle name="Comma 6 4 6 8 3" xfId="28854" xr:uid="{711DD213-4169-4AF1-B504-1305F8806725}"/>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2 5 2" xfId="18444" xr:uid="{2A5F056B-5FDA-44E9-A496-BD28AAABD9B3}"/>
    <cellStyle name="Comma 6 4 7 2 5 3" xfId="28860" xr:uid="{15263513-B69E-4D00-A859-AA7108027468}"/>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3 5 2" xfId="18445" xr:uid="{1E941038-CA06-4EE2-9285-100EA18B4A0B}"/>
    <cellStyle name="Comma 6 4 7 3 5 3" xfId="28861" xr:uid="{F30F05B9-2C56-4A68-8E9D-3975BE786EF5}"/>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7 7 2" xfId="18443" xr:uid="{131FE96C-DC2C-45B7-953A-B406FE4D4C49}"/>
    <cellStyle name="Comma 6 4 7 7 3" xfId="28859" xr:uid="{77F77750-720C-4BC2-9DF8-3469F42D0328}"/>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2 5 2" xfId="18447" xr:uid="{114F824B-507B-4792-8906-227112097B2C}"/>
    <cellStyle name="Comma 6 4 8 2 5 3" xfId="28863" xr:uid="{CC7D8EC8-C55A-43F7-876E-997E38F7924E}"/>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8 6 2" xfId="18446" xr:uid="{A9D367F6-8513-4EDD-8E4C-42B420B37BF0}"/>
    <cellStyle name="Comma 6 4 8 6 3" xfId="28862" xr:uid="{B85D85AF-7724-4855-ABA7-93B7E2A6F89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4 9 5 2" xfId="18448" xr:uid="{FBBE12FE-105F-4018-922B-30C903587CC4}"/>
    <cellStyle name="Comma 6 4 9 5 3" xfId="28864" xr:uid="{A28716AC-FC06-4C12-8852-D2674458B5B1}"/>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13 2" xfId="18449" xr:uid="{5AE27B45-7DA6-4E1C-9A20-4E935CF43355}"/>
    <cellStyle name="Comma 6 5 13 3" xfId="28865" xr:uid="{C9F82247-AFD1-45E4-9F94-8DD6CB7C9B84}"/>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2 5 2" xfId="18452" xr:uid="{AEE62EA6-33FC-48FC-8C60-AF61F396DEF2}"/>
    <cellStyle name="Comma 6 5 2 2 2 5 3" xfId="28868" xr:uid="{F5110FB9-8BA6-4C54-86FD-C114AA2D4C6C}"/>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2 6 2" xfId="18451" xr:uid="{E99F2BD7-94B6-4D1D-A1BA-8D9C3F5A23EC}"/>
    <cellStyle name="Comma 6 5 2 2 6 3" xfId="28867" xr:uid="{99ADCC19-C562-4133-9A60-D22A7F4D06FA}"/>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3 5 2" xfId="18453" xr:uid="{E958288E-919D-4966-B872-35AEA55B2B66}"/>
    <cellStyle name="Comma 6 5 2 3 5 3" xfId="28869" xr:uid="{0A529428-93E4-496B-BDBF-DECE91F6E51F}"/>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4 5 2" xfId="18454" xr:uid="{4F721A60-F7A6-4E5A-ADA8-9F03448D5D41}"/>
    <cellStyle name="Comma 6 5 2 4 5 3" xfId="28870" xr:uid="{56D132D8-54F6-4118-AAC1-09B3927C51DA}"/>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2 8 2" xfId="18450" xr:uid="{C87E042B-D629-48EB-95F3-ABD6D73B7667}"/>
    <cellStyle name="Comma 6 5 2 8 3" xfId="28866" xr:uid="{5FB9AEF4-9359-4FCE-B422-47D4B58C7965}"/>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2 5 2" xfId="18457" xr:uid="{3DA35485-BD43-4427-8F21-B7E66A2BECB3}"/>
    <cellStyle name="Comma 6 5 3 2 2 5 3" xfId="28873" xr:uid="{AD4CD6E1-A1F6-40D8-8A4F-072DC92864C5}"/>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2 6 2" xfId="18456" xr:uid="{D1A4C2B3-E438-46AD-AAEA-53F78A2AC08C}"/>
    <cellStyle name="Comma 6 5 3 2 6 3" xfId="28872" xr:uid="{154C5C9E-232B-41F6-820D-E7613317A327}"/>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3 5 2" xfId="18458" xr:uid="{FFAAF638-E1BC-4F68-94D3-47715DEAA6A1}"/>
    <cellStyle name="Comma 6 5 3 3 5 3" xfId="28874" xr:uid="{98967847-8350-4AC9-A93C-327BDC14EAF7}"/>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4 5 2" xfId="18459" xr:uid="{7D3A5207-DCB7-46DA-B485-1FA1DE93E5C3}"/>
    <cellStyle name="Comma 6 5 3 4 5 3" xfId="28875" xr:uid="{94158C2E-7409-4DA1-90EA-340387408FC7}"/>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3 8 2" xfId="18455" xr:uid="{63D48A55-D6A2-482E-A6F5-3AE318069869}"/>
    <cellStyle name="Comma 6 5 3 8 3" xfId="28871" xr:uid="{70A8B1EE-787A-4F79-921B-2563283F66DE}"/>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2 5 2" xfId="18462" xr:uid="{94BF0B02-9F89-445D-84C4-081AE26D38F3}"/>
    <cellStyle name="Comma 6 5 4 2 2 5 3" xfId="28878" xr:uid="{3AC1D840-0EAD-40F2-ABAE-CA5012DE81CA}"/>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2 6 2" xfId="18461" xr:uid="{F3F1E5B1-6B94-4DB6-A8DD-C97585231418}"/>
    <cellStyle name="Comma 6 5 4 2 6 3" xfId="28877" xr:uid="{B2D25F6E-C3FF-420A-9043-6FA59DCFDE41}"/>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3 5 2" xfId="18463" xr:uid="{C7C6152C-C224-4649-8014-9187E8D74EFA}"/>
    <cellStyle name="Comma 6 5 4 3 5 3" xfId="28879" xr:uid="{21682E1E-1DF0-42C8-BA18-DE7EAD03A7AF}"/>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4 5 2" xfId="18464" xr:uid="{0A060553-E018-4A2B-93BF-566641872413}"/>
    <cellStyle name="Comma 6 5 4 4 5 3" xfId="28880" xr:uid="{C9C2D16D-9CA8-483B-97DB-DF09E049D59B}"/>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4 8 2" xfId="18460" xr:uid="{02C36497-6A55-4208-91EF-550B7359BE1D}"/>
    <cellStyle name="Comma 6 5 4 8 3" xfId="28876" xr:uid="{A370A55A-ADA1-4106-BF24-07776A75B179}"/>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2 5 2" xfId="18467" xr:uid="{62F211AF-F544-45A6-9892-84F8AF26E2F7}"/>
    <cellStyle name="Comma 6 5 5 2 2 5 3" xfId="28883" xr:uid="{70520A42-B08C-4004-8834-7F8815911B85}"/>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2 6 2" xfId="18466" xr:uid="{6CDE2FF7-7E61-4059-8B1D-24A4CD1BA175}"/>
    <cellStyle name="Comma 6 5 5 2 6 3" xfId="28882" xr:uid="{D74C89C8-8EF1-414D-9879-D72B5A8A8B13}"/>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3 5 2" xfId="18468" xr:uid="{CC8155C9-EA38-4411-B389-C13D37469428}"/>
    <cellStyle name="Comma 6 5 5 3 5 3" xfId="28884" xr:uid="{5A2C02E3-197B-4171-BE2E-C1E5DE53985D}"/>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4 5 2" xfId="18469" xr:uid="{2A39BA42-9946-442B-9415-EFE5F4A302CB}"/>
    <cellStyle name="Comma 6 5 5 4 5 3" xfId="28885" xr:uid="{678E169F-1EB6-451D-BCF8-A2D4C325E16C}"/>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5 8 2" xfId="18465" xr:uid="{D79BFD04-7517-4B12-BB95-61DF168D8F5E}"/>
    <cellStyle name="Comma 6 5 5 8 3" xfId="28881" xr:uid="{B1BE7E65-D56C-472B-A824-B5202727ABCF}"/>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2 5 2" xfId="18471" xr:uid="{5DA353F9-3441-4229-8A57-67DFDF607303}"/>
    <cellStyle name="Comma 6 5 6 2 5 3" xfId="28887" xr:uid="{F55EB06E-29E8-457C-901E-BC7CB9BEB375}"/>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3 5 2" xfId="18472" xr:uid="{FAFE40D7-CC6F-497F-97CE-557D4BB390B7}"/>
    <cellStyle name="Comma 6 5 6 3 5 3" xfId="28888" xr:uid="{7B971FAC-1A58-479C-A9B5-E08746E9CB99}"/>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6 7 2" xfId="18470" xr:uid="{91B9EFBF-1210-402F-B7F2-05260E1C13CC}"/>
    <cellStyle name="Comma 6 5 6 7 3" xfId="28886" xr:uid="{E307E757-1338-4949-B8D3-14F9E1178118}"/>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2 5 2" xfId="18474" xr:uid="{130E2EE3-3C6F-477D-A22F-6532CD478E4B}"/>
    <cellStyle name="Comma 6 5 7 2 5 3" xfId="28890" xr:uid="{E26B2292-251C-41CA-ACCD-435A2DF8865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7 6 2" xfId="18473" xr:uid="{A1F41C89-ADBA-43A6-BB41-9EB39D6DC91B}"/>
    <cellStyle name="Comma 6 5 7 6 3" xfId="28889" xr:uid="{598CA092-EAF2-4801-8AC2-E87EEAFD9328}"/>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8 5 2" xfId="18475" xr:uid="{72A078E4-83DF-4CBD-87B5-A930B941B457}"/>
    <cellStyle name="Comma 6 5 8 5 3" xfId="28891" xr:uid="{B8325988-1F30-44EA-8D5C-8703038756F5}"/>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5 9 5 2" xfId="18476" xr:uid="{A53E7575-335F-43CF-AFDF-1043A30959D2}"/>
    <cellStyle name="Comma 6 5 9 5 3" xfId="28892" xr:uid="{6FED5410-DD3D-4801-B0A1-32F8CA0EF10E}"/>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2 5 2" xfId="18479" xr:uid="{9120463C-086E-42F7-A19F-AD30584CF012}"/>
    <cellStyle name="Comma 6 6 2 2 5 3" xfId="28895" xr:uid="{B6A8C8D0-2C70-44EB-BB1D-C040FAFEA47A}"/>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2 6 2" xfId="18478" xr:uid="{16E974F5-B572-4EAB-9207-9048961A1208}"/>
    <cellStyle name="Comma 6 6 2 6 3" xfId="28894" xr:uid="{0D3631EF-3AFD-4247-BF67-E4B29BA95F7B}"/>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3 5 2" xfId="18480" xr:uid="{6ACCEDD0-84AF-43B5-9B24-14DBBF2BBFBA}"/>
    <cellStyle name="Comma 6 6 3 5 3" xfId="28896" xr:uid="{7B067B7D-48B9-40D2-8A67-2ADE7327932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4 5 2" xfId="18481" xr:uid="{1B35507E-2402-44D2-BEA7-1674F9073D34}"/>
    <cellStyle name="Comma 6 6 4 5 3" xfId="28897" xr:uid="{F6421BEA-B4C6-42C5-A04D-52EEDB9F4C44}"/>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6 8 2" xfId="18477" xr:uid="{470BF227-BA02-48AE-BE96-76D4256CBF26}"/>
    <cellStyle name="Comma 6 6 8 3" xfId="28893" xr:uid="{8F83B6EC-52EC-4012-AD61-9585C446132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2 5 2" xfId="18484" xr:uid="{4A887436-329A-495E-997E-B195A560A646}"/>
    <cellStyle name="Comma 6 7 2 2 5 3" xfId="28900" xr:uid="{09981421-3723-40DF-8897-9B28F9A8C293}"/>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2 6 2" xfId="18483" xr:uid="{A64894DB-798C-48B5-A58C-B627BBB04E3A}"/>
    <cellStyle name="Comma 6 7 2 6 3" xfId="28899" xr:uid="{4AF8CD59-2F80-49E2-BBCB-C71A063CA4FF}"/>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3 5 2" xfId="18485" xr:uid="{DFDD853E-7854-491A-AE1E-1AFB00383C2A}"/>
    <cellStyle name="Comma 6 7 3 5 3" xfId="28901" xr:uid="{647636FC-CDED-42E6-8DC2-91BC685FFE34}"/>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4 5 2" xfId="18486" xr:uid="{6BC81AEF-F341-4FDC-A70D-A82B3871491A}"/>
    <cellStyle name="Comma 6 7 4 5 3" xfId="28902" xr:uid="{7BAB2C22-AA51-46BB-902E-475B872DBBBB}"/>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7 8 2" xfId="18482" xr:uid="{8C76A1AD-15AC-409B-87B3-D0AECAD95634}"/>
    <cellStyle name="Comma 6 7 8 3" xfId="28898" xr:uid="{8B4FCD3D-4365-4778-BAEF-E750B690E241}"/>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2 5 2" xfId="18489" xr:uid="{FC0BB916-785C-4D49-8BE6-63DAE51F27E7}"/>
    <cellStyle name="Comma 6 8 2 2 5 3" xfId="28905" xr:uid="{3277B78C-A3C8-4E79-90A9-EFBDFDABDEB9}"/>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2 6 2" xfId="18488" xr:uid="{878CF7E0-48C3-4215-8048-0DF0D93B4BD2}"/>
    <cellStyle name="Comma 6 8 2 6 3" xfId="28904" xr:uid="{10AAECAA-B29B-452B-AE7B-88AA18A6CF75}"/>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3 5 2" xfId="18490" xr:uid="{A3D216D3-EC02-4E12-871C-46726CADAB3F}"/>
    <cellStyle name="Comma 6 8 3 5 3" xfId="28906" xr:uid="{10E48B5B-AD43-46B6-BC16-BE6252975058}"/>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4 5 2" xfId="18491" xr:uid="{7685DF80-CA30-49FE-8DFE-DB7AF609287E}"/>
    <cellStyle name="Comma 6 8 4 5 3" xfId="28907" xr:uid="{3D9E049A-534A-41E6-B261-944B3123F4CD}"/>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8 8 2" xfId="18487" xr:uid="{DC956E90-AFE1-4A39-A0BD-1A7691B9B68C}"/>
    <cellStyle name="Comma 6 8 8 3" xfId="28903" xr:uid="{0653DF49-97F6-486B-81A2-C21360E0A48C}"/>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2 5 2" xfId="18494" xr:uid="{D3ECDB85-FA2C-444B-BA95-46234FF33E53}"/>
    <cellStyle name="Comma 6 9 2 2 5 3" xfId="28910" xr:uid="{31AB87E2-E338-4765-AC18-C280E6411ECC}"/>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2 6 2" xfId="18493" xr:uid="{E6AE678D-B7ED-4B7C-97C2-C886B0BAF908}"/>
    <cellStyle name="Comma 6 9 2 6 3" xfId="28909" xr:uid="{FAA3CE0C-2805-40DE-86EE-710FCB21AD07}"/>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3 5 2" xfId="18495" xr:uid="{999498B5-60A1-4F3F-819E-7497FD87F452}"/>
    <cellStyle name="Comma 6 9 3 5 3" xfId="28911" xr:uid="{D278CAD7-98CA-41E5-8F3D-3B043BBAAA6D}"/>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4 5 2" xfId="18496" xr:uid="{9A80B369-389B-4CAF-8AC0-A54CBD97A4F8}"/>
    <cellStyle name="Comma 6 9 4 5 3" xfId="28912" xr:uid="{DDC4A28C-55D2-42DD-82F7-77319DD3C965}"/>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6 9 8 2" xfId="18492" xr:uid="{956FA334-2F33-47D9-8115-599004F17A7D}"/>
    <cellStyle name="Comma 6 9 8 3" xfId="28908" xr:uid="{E6B524C5-FB0C-4CAE-916E-23DDD35AB4C2}"/>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2 5 2" xfId="18499" xr:uid="{3FB91AA5-AAA2-46C6-BB63-DA17444775FF}"/>
    <cellStyle name="Comma 7 10 2 5 3" xfId="28915" xr:uid="{04AC155D-C73C-4E61-8691-23278D73F26F}"/>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3 5 2" xfId="18500" xr:uid="{A34C4B57-2286-4662-80B7-423E49CBB7C0}"/>
    <cellStyle name="Comma 7 10 3 5 3" xfId="28916" xr:uid="{53DFE3EF-FFEA-43C1-8B0E-194CAC5AAFBD}"/>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0 7 2" xfId="18498" xr:uid="{B93A933A-970A-4595-A153-4AEFAD52BA59}"/>
    <cellStyle name="Comma 7 10 7 3" xfId="28914" xr:uid="{9BFE12F4-1B9C-4A19-8E42-97D3EABE98C9}"/>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2 5 2" xfId="18502" xr:uid="{F439D579-DC12-4BFD-8EAA-B2BB02AF6FAB}"/>
    <cellStyle name="Comma 7 11 2 5 3" xfId="28918" xr:uid="{9CE10BA3-F4AA-48C9-85D8-AA05A2446153}"/>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1 6 2" xfId="18501" xr:uid="{2717D5FB-7E42-414B-876F-597EB77EA8BE}"/>
    <cellStyle name="Comma 7 11 6 3" xfId="28917" xr:uid="{729EF4E0-E6FC-4FCB-AF1B-803DD08A6D54}"/>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2 5 2" xfId="18503" xr:uid="{A8383BFA-FF42-4E08-87B5-4C512CB9E0FE}"/>
    <cellStyle name="Comma 7 12 5 3" xfId="28919" xr:uid="{879F59B7-5351-4CCA-8420-8F393670E908}"/>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3 5 2" xfId="18504" xr:uid="{DFBD9F30-8145-4D19-8B54-87DED31FC7EB}"/>
    <cellStyle name="Comma 7 13 5 3" xfId="28920" xr:uid="{9493A71E-F096-45CC-B001-F5C8E743C951}"/>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17 2" xfId="18497" xr:uid="{B3C807FB-072E-4B3F-B9A1-FA55C980C8E6}"/>
    <cellStyle name="Comma 7 17 3" xfId="28913" xr:uid="{8C222D63-1544-4299-900C-9AF33588990A}"/>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0 5 2" xfId="18506" xr:uid="{85331599-6C73-4B26-9DF2-5BEF72F83F7A}"/>
    <cellStyle name="Comma 7 2 10 5 3" xfId="28922" xr:uid="{0BBAD406-8264-46EA-BFE5-FB5C2176BF26}"/>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14 2" xfId="18505" xr:uid="{BE5C4AE6-AD50-494E-A5C4-6688983E8847}"/>
    <cellStyle name="Comma 7 2 14 3" xfId="28921" xr:uid="{2F53D66A-D4D6-462A-9780-0996326C2DFE}"/>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13 2" xfId="18507" xr:uid="{A82589F1-95D7-45FF-94E2-71FAE47FC457}"/>
    <cellStyle name="Comma 7 2 2 13 3" xfId="28923" xr:uid="{0AD9E779-D5B8-4611-A6EA-A7B78F0A1E0C}"/>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2 5 2" xfId="18510" xr:uid="{54965349-9588-434D-8964-72E6BFC47640}"/>
    <cellStyle name="Comma 7 2 2 2 2 2 5 3" xfId="28926" xr:uid="{A08F594F-D383-4F64-AC91-3C8D8835E65D}"/>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2 6 2" xfId="18509" xr:uid="{0F10A54D-B068-4866-8E6A-3127F081C584}"/>
    <cellStyle name="Comma 7 2 2 2 2 6 3" xfId="28925" xr:uid="{975F654A-E6EA-4B05-9072-AD735C151F6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3 5 2" xfId="18511" xr:uid="{02EA1C61-EE3C-47D1-9109-E52AD6C542DA}"/>
    <cellStyle name="Comma 7 2 2 2 3 5 3" xfId="28927" xr:uid="{98B7C921-9350-45F1-93EA-C072567A1A97}"/>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4 5 2" xfId="18512" xr:uid="{F55B2B79-8B6E-4510-841B-DC19F82746DB}"/>
    <cellStyle name="Comma 7 2 2 2 4 5 3" xfId="28928" xr:uid="{DAA8E13A-4E4C-4EB3-8EF3-2FCB2C169853}"/>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2 8 2" xfId="18508" xr:uid="{8CA3EB8F-AC41-4290-A59B-7442A07B92F5}"/>
    <cellStyle name="Comma 7 2 2 2 8 3" xfId="28924" xr:uid="{48436796-EB0A-4F4D-8E63-31CC6D6AB1A2}"/>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2 5 2" xfId="18515" xr:uid="{E8FD3CEF-83C6-4E45-86CF-35CF8033A87B}"/>
    <cellStyle name="Comma 7 2 2 3 2 2 5 3" xfId="28931" xr:uid="{C7C0D39A-A519-4C21-B397-86527ACCA492}"/>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2 6 2" xfId="18514" xr:uid="{AC38139C-77F7-44FA-BE59-CEC49FB8320F}"/>
    <cellStyle name="Comma 7 2 2 3 2 6 3" xfId="28930" xr:uid="{F7A279F7-0FE7-4033-AF18-9813978E3B9F}"/>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3 5 2" xfId="18516" xr:uid="{8E3F0DDE-8504-47BB-8B2D-77186E270084}"/>
    <cellStyle name="Comma 7 2 2 3 3 5 3" xfId="28932" xr:uid="{E8848C88-F292-4E69-9AA1-FD1AB2EDAB88}"/>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4 5 2" xfId="18517" xr:uid="{CCDE93F6-8C7D-4CE6-B416-5E25AC31D281}"/>
    <cellStyle name="Comma 7 2 2 3 4 5 3" xfId="28933" xr:uid="{BD224A20-1B31-44E0-A042-B98C033EAD7C}"/>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3 8 2" xfId="18513" xr:uid="{CE8A3BC3-0469-4E29-9863-2FAC847DC97E}"/>
    <cellStyle name="Comma 7 2 2 3 8 3" xfId="28929" xr:uid="{4251482D-169D-490E-B093-12818CA6838E}"/>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2 5 2" xfId="18520" xr:uid="{353DBD51-F4C5-46FE-87C5-DA8BB3C0B506}"/>
    <cellStyle name="Comma 7 2 2 4 2 2 5 3" xfId="28936" xr:uid="{7BB46429-EA73-4754-A675-D1CDBF57FB1C}"/>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2 6 2" xfId="18519" xr:uid="{8C0E0668-DD78-42A6-9B2B-49F40AFA6154}"/>
    <cellStyle name="Comma 7 2 2 4 2 6 3" xfId="28935" xr:uid="{4E192464-B8DC-49C7-8883-13E3B8E760B8}"/>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3 5 2" xfId="18521" xr:uid="{7FB8F04B-F7F5-4E70-811E-CB33896C833A}"/>
    <cellStyle name="Comma 7 2 2 4 3 5 3" xfId="28937" xr:uid="{4E616114-50B7-4C85-A74D-32A0AF26F37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4 5 2" xfId="18522" xr:uid="{6AA0C50D-A5F6-490B-A4A5-7FA393285080}"/>
    <cellStyle name="Comma 7 2 2 4 4 5 3" xfId="28938" xr:uid="{3A3F65CD-5894-4EF9-A794-6EB122E0302A}"/>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4 8 2" xfId="18518" xr:uid="{588D077C-0E7C-4618-82EC-13F8DF0986A7}"/>
    <cellStyle name="Comma 7 2 2 4 8 3" xfId="28934" xr:uid="{D0A8E618-0C52-4399-B596-5603B7D52DA7}"/>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2 5 2" xfId="18525" xr:uid="{4C28547D-91BC-47A4-96D4-95E2A74672F2}"/>
    <cellStyle name="Comma 7 2 2 5 2 2 5 3" xfId="28941" xr:uid="{42312C14-F310-4CA7-9F92-200C18A86B9E}"/>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2 6 2" xfId="18524" xr:uid="{F6000473-0C98-460F-B5EC-3CF6DB031205}"/>
    <cellStyle name="Comma 7 2 2 5 2 6 3" xfId="28940" xr:uid="{BE17C851-FA9E-48B6-BBD3-4346AD684584}"/>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3 5 2" xfId="18526" xr:uid="{EAA865A5-BAC8-4E01-8EB6-E1B28CC1D7A9}"/>
    <cellStyle name="Comma 7 2 2 5 3 5 3" xfId="28942" xr:uid="{79AD58AC-B76A-4016-BB9A-8732862CFAA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4 5 2" xfId="18527" xr:uid="{D4407081-6C87-4C14-9B11-60744D27E3E9}"/>
    <cellStyle name="Comma 7 2 2 5 4 5 3" xfId="28943" xr:uid="{DFE34CD4-A167-464C-9D8C-CAE92B2A8D3D}"/>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5 8 2" xfId="18523" xr:uid="{D4ADDF76-AA8A-417B-816B-E9F2B2C31C1C}"/>
    <cellStyle name="Comma 7 2 2 5 8 3" xfId="28939" xr:uid="{62004B56-7E0A-4120-B4E6-D6D207B43F8E}"/>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2 5 2" xfId="18529" xr:uid="{7EDBF25C-A07B-4EDF-8FFE-9AB1A9BA75E9}"/>
    <cellStyle name="Comma 7 2 2 6 2 5 3" xfId="28945" xr:uid="{5BA3A47E-86F8-453E-85DB-9476C7D9160B}"/>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3 5 2" xfId="18530" xr:uid="{DF23AB6D-FB93-4030-8066-B139273DD176}"/>
    <cellStyle name="Comma 7 2 2 6 3 5 3" xfId="28946" xr:uid="{EC045E86-172C-4A1A-858E-1B905BE3D187}"/>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6 7 2" xfId="18528" xr:uid="{1D49E17D-12F3-4587-8A49-876791F9F1CE}"/>
    <cellStyle name="Comma 7 2 2 6 7 3" xfId="28944" xr:uid="{67915A98-5C2C-4FE8-9BC8-E1467B2282B4}"/>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2 5 2" xfId="18532" xr:uid="{6F2F89E4-D032-4CAD-8CD8-B4AA0D501970}"/>
    <cellStyle name="Comma 7 2 2 7 2 5 3" xfId="28948" xr:uid="{B31E0C8D-7C11-428B-8AFD-61C6EB1846FC}"/>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7 6 2" xfId="18531" xr:uid="{E551DD3D-5421-4618-B9FB-8049EAD50F06}"/>
    <cellStyle name="Comma 7 2 2 7 6 3" xfId="28947" xr:uid="{4771F3F8-C680-4BEF-890D-F7FD2CB6F758}"/>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8 5 2" xfId="18533" xr:uid="{2F55DEB5-3391-492D-828B-DD1F3325A5B2}"/>
    <cellStyle name="Comma 7 2 2 8 5 3" xfId="28949" xr:uid="{50C54B1F-7B84-45BD-B68D-4C720352A841}"/>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2 9 5 2" xfId="18534" xr:uid="{51E0B9BA-4D4F-4735-9465-AA0EA7287722}"/>
    <cellStyle name="Comma 7 2 2 9 5 3" xfId="28950" xr:uid="{09DC553E-A1F1-4820-B1BB-D74B0B764E7F}"/>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2 5 2" xfId="18537" xr:uid="{DDFB5E50-F782-4648-B2D5-49F948DAC5F4}"/>
    <cellStyle name="Comma 7 2 3 2 2 5 3" xfId="28953" xr:uid="{996B2915-2502-4354-AFEB-3B27C1AA6B85}"/>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2 6 2" xfId="18536" xr:uid="{FC5089FF-BE5D-4D6E-A88C-AA234BED0A5B}"/>
    <cellStyle name="Comma 7 2 3 2 6 3" xfId="28952" xr:uid="{9B93C651-0F56-4CFF-AC34-44E4ABA9B0BF}"/>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3 5 2" xfId="18538" xr:uid="{275544C5-3181-4668-AAFF-C9CCE6F356B9}"/>
    <cellStyle name="Comma 7 2 3 3 5 3" xfId="28954" xr:uid="{4DE9A4A7-C5D7-4E17-AC7A-BF1895ED283E}"/>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4 5 2" xfId="18539" xr:uid="{203241AF-22F1-4297-8131-AEFFB814FBE6}"/>
    <cellStyle name="Comma 7 2 3 4 5 3" xfId="28955" xr:uid="{CCAF9A23-BB5F-4C8F-8959-F8D10F0FB63D}"/>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3 8 2" xfId="18535" xr:uid="{010B88BD-B650-4CBB-A10E-5C302000B647}"/>
    <cellStyle name="Comma 7 2 3 8 3" xfId="28951" xr:uid="{73C97421-EE89-4821-AD2E-8E0A772FB252}"/>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2 5 2" xfId="18542" xr:uid="{F07D202A-E8AD-47FD-8D32-C4BC8A735E35}"/>
    <cellStyle name="Comma 7 2 4 2 2 5 3" xfId="28958" xr:uid="{77CADEB5-9FEF-4739-840D-07A5342DD23F}"/>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2 6 2" xfId="18541" xr:uid="{5DC82218-B234-4723-B685-F9D75966476E}"/>
    <cellStyle name="Comma 7 2 4 2 6 3" xfId="28957" xr:uid="{51D9F3FB-096F-4D17-BD9B-AD65F3B06E56}"/>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3 5 2" xfId="18543" xr:uid="{79C36166-3A95-498D-A024-977591A70D73}"/>
    <cellStyle name="Comma 7 2 4 3 5 3" xfId="28959" xr:uid="{1DAFC56F-5678-41E4-BDE2-3A9DB9482907}"/>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4 5 2" xfId="18544" xr:uid="{62748A60-CEEE-4538-B409-C0F1137F6B44}"/>
    <cellStyle name="Comma 7 2 4 4 5 3" xfId="28960" xr:uid="{5EFF2CD4-9339-423D-80B0-C4ACB3097681}"/>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4 8 2" xfId="18540" xr:uid="{8677B4FE-8C9F-47BE-8F41-D3FFBE8208BF}"/>
    <cellStyle name="Comma 7 2 4 8 3" xfId="28956" xr:uid="{32A2F19F-5C01-4A96-8169-C8180DD7320E}"/>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2 5 2" xfId="18547" xr:uid="{CDC7C156-ADF6-4319-8BD7-8CCDFEE93C29}"/>
    <cellStyle name="Comma 7 2 5 2 2 5 3" xfId="28963" xr:uid="{691BB785-39C3-489E-BCEE-1D2C36BD3237}"/>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2 6 2" xfId="18546" xr:uid="{7592F5F5-8569-4F18-B17B-77784C386528}"/>
    <cellStyle name="Comma 7 2 5 2 6 3" xfId="28962" xr:uid="{100C5433-70FE-46CE-AB15-6665C8943E2E}"/>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3 5 2" xfId="18548" xr:uid="{B11F4EA8-3F01-4217-AA71-E0BB96835391}"/>
    <cellStyle name="Comma 7 2 5 3 5 3" xfId="28964" xr:uid="{DEAC3FCA-ECA3-4F2B-BA05-BEBE0B551A0B}"/>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4 5 2" xfId="18549" xr:uid="{9234CE07-4A7B-4191-B17B-C25CF05B4B6E}"/>
    <cellStyle name="Comma 7 2 5 4 5 3" xfId="28965" xr:uid="{941D83F7-E592-4B9E-90F8-9ADEA0422804}"/>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5 8 2" xfId="18545" xr:uid="{4352D68E-5CE4-4555-9156-081AEAC9A19C}"/>
    <cellStyle name="Comma 7 2 5 8 3" xfId="28961" xr:uid="{6D9EDE34-4AAA-4A5C-8214-A245B55A6479}"/>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2 5 2" xfId="18552" xr:uid="{62933FEB-FBF6-4EE7-AF0E-100BDBE44660}"/>
    <cellStyle name="Comma 7 2 6 2 2 5 3" xfId="28968" xr:uid="{7D947798-B019-4373-AFE0-739C31DF36D3}"/>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2 6 2" xfId="18551" xr:uid="{D030E609-D6D9-442C-9C84-68A2F8AAA31A}"/>
    <cellStyle name="Comma 7 2 6 2 6 3" xfId="28967" xr:uid="{991FDAD3-21C1-4ED1-A049-ADD56957B3AB}"/>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3 5 2" xfId="18553" xr:uid="{BB77E8FD-2168-4757-BCF8-FC520670343A}"/>
    <cellStyle name="Comma 7 2 6 3 5 3" xfId="28969" xr:uid="{9C90C371-E33A-4C4F-9697-D861F210BA07}"/>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4 5 2" xfId="18554" xr:uid="{F9373C74-CD76-44E5-906E-CC9BE68E54CD}"/>
    <cellStyle name="Comma 7 2 6 4 5 3" xfId="28970" xr:uid="{AFEB44D7-035F-4439-BE88-17AA9FD03FD5}"/>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6 8 2" xfId="18550" xr:uid="{8414715B-7B04-4CDE-84E6-26CD9CB2A673}"/>
    <cellStyle name="Comma 7 2 6 8 3" xfId="28966" xr:uid="{2293235F-6857-4225-A841-E3D7B9B9ED19}"/>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2 5 2" xfId="18556" xr:uid="{51A6B313-EF7A-48DB-B8AA-A1232D9D14A8}"/>
    <cellStyle name="Comma 7 2 7 2 5 3" xfId="28972" xr:uid="{F7ADCE7A-C8FE-48DB-999C-956729FD296D}"/>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3 5 2" xfId="18557" xr:uid="{BFEB575F-6CB6-45DA-A604-67FE8263E899}"/>
    <cellStyle name="Comma 7 2 7 3 5 3" xfId="28973" xr:uid="{8876A9FC-58DA-452E-8F3E-5BDE324F3FD7}"/>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7 7 2" xfId="18555" xr:uid="{59A39977-0B64-4F98-BCEB-F09B55E7A24F}"/>
    <cellStyle name="Comma 7 2 7 7 3" xfId="28971" xr:uid="{B2302465-CB31-499D-94C0-A079A397B3EA}"/>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2 5 2" xfId="18559" xr:uid="{8519EAA8-7F0D-4CD4-B125-2DB1D4751513}"/>
    <cellStyle name="Comma 7 2 8 2 5 3" xfId="28975" xr:uid="{37C47141-8A3A-47FE-A21D-E19B0653434F}"/>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8 6 2" xfId="18558" xr:uid="{8FD6E6DC-514A-496D-94F1-666DD677C1EB}"/>
    <cellStyle name="Comma 7 2 8 6 3" xfId="28974" xr:uid="{AE8522F2-F952-45B9-BF95-A955D0252EEF}"/>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2 9 5 2" xfId="18560" xr:uid="{C895E791-F50D-4AB8-AC45-E9CD1E608824}"/>
    <cellStyle name="Comma 7 2 9 5 3" xfId="28976" xr:uid="{0DA9CDF7-86A5-4C70-842B-173BB5B76FDB}"/>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0 5 2" xfId="18562" xr:uid="{A05B4E74-77C3-497F-936B-92493AFC6B00}"/>
    <cellStyle name="Comma 7 3 10 5 3" xfId="28978" xr:uid="{A10695B4-0223-4362-8A08-5283F39ACEC3}"/>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14 2" xfId="18561" xr:uid="{4D973974-2659-4C54-922B-9CA2FE0966C2}"/>
    <cellStyle name="Comma 7 3 14 3" xfId="28977" xr:uid="{4959B592-E899-47C6-AE2B-8A64617E5F4F}"/>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13 2" xfId="18563" xr:uid="{005BD4E7-7F32-4C0C-BDA3-5B331E31950C}"/>
    <cellStyle name="Comma 7 3 2 13 3" xfId="28979" xr:uid="{2729E7C1-72A5-4468-8D8C-7750BA109BEF}"/>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2 5 2" xfId="18566" xr:uid="{2CEC15D8-E48D-4CF6-A531-94B8372D3C8D}"/>
    <cellStyle name="Comma 7 3 2 2 2 2 5 3" xfId="28982" xr:uid="{724C1EA5-1A72-419B-851F-0E66686465E7}"/>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2 6 2" xfId="18565" xr:uid="{6133EB01-7857-4C25-A90C-F72421BA0037}"/>
    <cellStyle name="Comma 7 3 2 2 2 6 3" xfId="28981" xr:uid="{5A0FF1FF-EB3C-4CF1-8A0E-C52C32A5AC5E}"/>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3 5 2" xfId="18567" xr:uid="{E9354FA9-9C7B-41CA-BAC8-744C6CD2A5A8}"/>
    <cellStyle name="Comma 7 3 2 2 3 5 3" xfId="28983" xr:uid="{9D019789-FE81-45E6-8561-9F16450CFD3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4 5 2" xfId="18568" xr:uid="{1A10E8C8-9AB5-46A9-A109-081881241485}"/>
    <cellStyle name="Comma 7 3 2 2 4 5 3" xfId="28984" xr:uid="{E84A2E61-7D53-4F2F-8F6B-7958751B848F}"/>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2 8 2" xfId="18564" xr:uid="{25E6E9EB-AF07-48C1-A1DE-C24E8C7560C3}"/>
    <cellStyle name="Comma 7 3 2 2 8 3" xfId="28980" xr:uid="{E88591BC-C2E0-49B2-973B-8A079D1282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2 5 2" xfId="18571" xr:uid="{42080D23-27F6-4896-B265-53D3DAC252C1}"/>
    <cellStyle name="Comma 7 3 2 3 2 2 5 3" xfId="28987" xr:uid="{D09DBA86-0DE1-4158-ACDD-76B5BC8688F6}"/>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2 6 2" xfId="18570" xr:uid="{DC5D6C7A-FF4E-47A4-AE42-EF299024AD78}"/>
    <cellStyle name="Comma 7 3 2 3 2 6 3" xfId="28986" xr:uid="{C37E93E2-10E3-4E77-9683-9EB05B644672}"/>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3 5 2" xfId="18572" xr:uid="{89273639-598F-4096-A147-622B295C1AB8}"/>
    <cellStyle name="Comma 7 3 2 3 3 5 3" xfId="28988" xr:uid="{6BDB27DE-2F52-4AFF-B8F9-816B7CA7EA78}"/>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4 5 2" xfId="18573" xr:uid="{6F76D991-4662-42B4-9021-7E24AC1D919E}"/>
    <cellStyle name="Comma 7 3 2 3 4 5 3" xfId="28989" xr:uid="{548DEA2D-2DEF-43E1-B9F3-16B59A396ADD}"/>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3 8 2" xfId="18569" xr:uid="{C1994300-938C-4491-9B20-52BDF59FE7BE}"/>
    <cellStyle name="Comma 7 3 2 3 8 3" xfId="28985" xr:uid="{7A52092D-D917-4178-850C-2E2A3FDCA67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2 5 2" xfId="18576" xr:uid="{4C73AD05-AF52-42F5-9A98-D4041A2DF5AD}"/>
    <cellStyle name="Comma 7 3 2 4 2 2 5 3" xfId="28992" xr:uid="{2FF27BFF-ADE4-4169-AEA3-38D3D6A5CA33}"/>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2 6 2" xfId="18575" xr:uid="{1242AEB0-1163-44B4-BAFE-117708F0672B}"/>
    <cellStyle name="Comma 7 3 2 4 2 6 3" xfId="28991" xr:uid="{F462CD63-3D79-4246-A1CD-8691A01AAADA}"/>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3 5 2" xfId="18577" xr:uid="{401AB1A3-3925-470E-A90D-DE07C41945E5}"/>
    <cellStyle name="Comma 7 3 2 4 3 5 3" xfId="28993" xr:uid="{E376396F-AF0B-4FBD-90AB-4057FF8E2D45}"/>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4 5 2" xfId="18578" xr:uid="{2BE661C8-EACA-41D5-A24A-6B185CDB3846}"/>
    <cellStyle name="Comma 7 3 2 4 4 5 3" xfId="28994" xr:uid="{E533FFE4-3F9D-4CE6-B3DA-79A77AF598E4}"/>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4 8 2" xfId="18574" xr:uid="{F1C2B695-2605-4DE3-B0D0-6C5EEF111842}"/>
    <cellStyle name="Comma 7 3 2 4 8 3" xfId="28990" xr:uid="{2A793B0B-55E9-4035-A4FB-DFAED1A9DE97}"/>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2 5 2" xfId="18581" xr:uid="{08233C46-09EF-4DE5-9223-BAF5F1AD2524}"/>
    <cellStyle name="Comma 7 3 2 5 2 2 5 3" xfId="28997" xr:uid="{F54F294D-CB07-44C7-9593-CEBCD29B801B}"/>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2 6 2" xfId="18580" xr:uid="{A542F91A-6284-4C27-9E68-1469C33877D4}"/>
    <cellStyle name="Comma 7 3 2 5 2 6 3" xfId="28996" xr:uid="{C4FF4340-17D0-4F18-AE09-155403E3DA54}"/>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3 5 2" xfId="18582" xr:uid="{FE83C106-5FFB-4647-A185-7EC3FFA9CBA3}"/>
    <cellStyle name="Comma 7 3 2 5 3 5 3" xfId="28998" xr:uid="{5BFAB0B3-B632-4CF6-8DB2-864B327E13E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4 5 2" xfId="18583" xr:uid="{63ADA259-D78A-4909-906D-1AD623B83010}"/>
    <cellStyle name="Comma 7 3 2 5 4 5 3" xfId="28999" xr:uid="{BD884C8F-A37A-4C8A-B07E-84D62BC3704A}"/>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5 8 2" xfId="18579" xr:uid="{97344247-C14D-4674-95BB-EB5E43E47B64}"/>
    <cellStyle name="Comma 7 3 2 5 8 3" xfId="28995" xr:uid="{98E1723B-9668-4D4C-A0BC-8965D98FE89D}"/>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2 5 2" xfId="18585" xr:uid="{06432D0A-0EB3-44D7-89F0-C2DFC406B64D}"/>
    <cellStyle name="Comma 7 3 2 6 2 5 3" xfId="29001" xr:uid="{2647F764-0108-4795-BD9F-729907FCE34C}"/>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3 5 2" xfId="18586" xr:uid="{E69774AA-E3EE-44B9-98F0-877ED490AE01}"/>
    <cellStyle name="Comma 7 3 2 6 3 5 3" xfId="29002" xr:uid="{5F0EB8CC-700D-480B-856E-1E3E690A875A}"/>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6 7 2" xfId="18584" xr:uid="{AB4A56C7-3EC9-43A5-BF77-250C56630AE8}"/>
    <cellStyle name="Comma 7 3 2 6 7 3" xfId="29000" xr:uid="{6550C40F-A839-497A-A2C1-FCCD7802C6FB}"/>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2 5 2" xfId="18588" xr:uid="{0BD073C2-5657-41FB-8E6C-EDFEF5615D7A}"/>
    <cellStyle name="Comma 7 3 2 7 2 5 3" xfId="29004" xr:uid="{3B091F58-4830-4343-8C28-0DB260EAB6DE}"/>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7 6 2" xfId="18587" xr:uid="{2903010E-207D-4695-AB01-83C05F23F23B}"/>
    <cellStyle name="Comma 7 3 2 7 6 3" xfId="29003" xr:uid="{EF8AF897-E27D-4033-A0E5-797B514A0C2D}"/>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8 5 2" xfId="18589" xr:uid="{080E3ED2-FE0F-4FE2-9F03-40F2758B33CB}"/>
    <cellStyle name="Comma 7 3 2 8 5 3" xfId="29005" xr:uid="{DD5C4D69-73C6-41F3-AA9F-BCA5B9508BEA}"/>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2 9 5 2" xfId="18590" xr:uid="{3FE9FB8E-139C-493C-850B-296376353E1C}"/>
    <cellStyle name="Comma 7 3 2 9 5 3" xfId="29006" xr:uid="{789A82C9-202A-4890-8FC9-0D770DF394CE}"/>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2 5 2" xfId="18593" xr:uid="{2303812F-417E-4D69-BC6C-06469E41845C}"/>
    <cellStyle name="Comma 7 3 3 2 2 5 3" xfId="29009" xr:uid="{31CE401F-3887-42E6-A30C-8DFF11C58E67}"/>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2 6 2" xfId="18592" xr:uid="{6A96AC10-C2F8-4B40-A01A-F22091EA84BA}"/>
    <cellStyle name="Comma 7 3 3 2 6 3" xfId="29008" xr:uid="{BDD362E1-F9A9-4F68-9679-B8B16C37E54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3 5 2" xfId="18594" xr:uid="{863A5BD1-507C-4FB1-A675-0728F651C253}"/>
    <cellStyle name="Comma 7 3 3 3 5 3" xfId="29010" xr:uid="{DFD1C7BC-B863-461E-9202-E9CE255BC1EF}"/>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4 5 2" xfId="18595" xr:uid="{3D0A1C86-8CDB-4DA1-93B8-329CE88C2295}"/>
    <cellStyle name="Comma 7 3 3 4 5 3" xfId="29011" xr:uid="{DA5460F6-93B0-4BED-8008-52F91CAB15F5}"/>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3 8 2" xfId="18591" xr:uid="{EAD5D15B-EC7D-42B4-9DDE-AF284601FE4A}"/>
    <cellStyle name="Comma 7 3 3 8 3" xfId="29007" xr:uid="{155BAD9A-3A3B-45D0-9EB2-0B1302BCE5FF}"/>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2 5 2" xfId="18598" xr:uid="{01BB071F-7EF9-4201-8D74-AE26C54540EE}"/>
    <cellStyle name="Comma 7 3 4 2 2 5 3" xfId="29014" xr:uid="{E55D3A9B-3DD7-4F51-9919-39932ACDE752}"/>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2 6 2" xfId="18597" xr:uid="{61102D8B-A8E0-463C-8062-C9261EA16C5E}"/>
    <cellStyle name="Comma 7 3 4 2 6 3" xfId="29013" xr:uid="{F3146692-D6C5-45DB-8E6F-0A36F5E16C58}"/>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3 5 2" xfId="18599" xr:uid="{38005922-EB91-4A02-8A32-7A52D19D7703}"/>
    <cellStyle name="Comma 7 3 4 3 5 3" xfId="29015" xr:uid="{24B48826-46C8-4BBF-B94F-3B1C57CB454E}"/>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4 5 2" xfId="18600" xr:uid="{B7C00AFE-A819-4ED2-A23F-88B37D12EC70}"/>
    <cellStyle name="Comma 7 3 4 4 5 3" xfId="29016" xr:uid="{F73D8FB1-3159-4279-9B18-8BEB916FFCEA}"/>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4 8 2" xfId="18596" xr:uid="{7409820C-877B-41B2-AAC0-14DAC485C162}"/>
    <cellStyle name="Comma 7 3 4 8 3" xfId="29012" xr:uid="{FF76FDD9-0646-4007-88E1-9BC3CB69508D}"/>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2 5 2" xfId="18603" xr:uid="{736AEA99-58F5-4EA5-8E21-3463797EF9A3}"/>
    <cellStyle name="Comma 7 3 5 2 2 5 3" xfId="29019" xr:uid="{C5114240-9C5F-4D86-86D5-7D7C8FEA055C}"/>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2 6 2" xfId="18602" xr:uid="{A0E891D6-359C-4C44-BBDC-5C97A0BAF195}"/>
    <cellStyle name="Comma 7 3 5 2 6 3" xfId="29018" xr:uid="{68C295ED-774A-476A-85D7-39790E54889D}"/>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3 5 2" xfId="18604" xr:uid="{BC8DCEF2-726D-4238-B5CE-F0998FB5B483}"/>
    <cellStyle name="Comma 7 3 5 3 5 3" xfId="29020" xr:uid="{E99490B3-8DBE-435D-8CDF-4593039347CC}"/>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4 5 2" xfId="18605" xr:uid="{19BB827A-EC31-4264-8263-18A65E29F4AE}"/>
    <cellStyle name="Comma 7 3 5 4 5 3" xfId="29021" xr:uid="{255DCADE-7C34-4FF0-A1A7-190DCC3C481C}"/>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5 8 2" xfId="18601" xr:uid="{12A4A0DA-6BA3-435D-A0EB-101EC449E79D}"/>
    <cellStyle name="Comma 7 3 5 8 3" xfId="29017" xr:uid="{48903C27-142D-4126-869D-A5CB5579FF62}"/>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2 5 2" xfId="18608" xr:uid="{915DD3A8-B96C-49BC-A2C0-4CA30795EB50}"/>
    <cellStyle name="Comma 7 3 6 2 2 5 3" xfId="29024" xr:uid="{7F9120BA-1F59-4A6C-BB4C-F466C0B24DB6}"/>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2 6 2" xfId="18607" xr:uid="{6A890728-FBB3-454D-B5C9-B08A4D599328}"/>
    <cellStyle name="Comma 7 3 6 2 6 3" xfId="29023" xr:uid="{FBEC63DA-A4FD-4DAD-966D-893412D73F35}"/>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3 5 2" xfId="18609" xr:uid="{165D80E2-3696-4DCD-B885-A5938F08A869}"/>
    <cellStyle name="Comma 7 3 6 3 5 3" xfId="29025" xr:uid="{D0290C6C-2D1B-4089-99A3-799CDCDF1929}"/>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4 5 2" xfId="18610" xr:uid="{731DECC3-30E3-4035-A485-4865A99BA8E5}"/>
    <cellStyle name="Comma 7 3 6 4 5 3" xfId="29026" xr:uid="{D6E9154B-59A7-49F4-A349-94270A69F08B}"/>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6 8 2" xfId="18606" xr:uid="{BF2F78DD-AA35-42E5-9212-0800F3ABD166}"/>
    <cellStyle name="Comma 7 3 6 8 3" xfId="29022" xr:uid="{4C8B3785-0D8B-4692-8250-640A32FED227}"/>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2 5 2" xfId="18612" xr:uid="{8B2590AF-50C1-4BAD-BC37-6C5F8EC9F243}"/>
    <cellStyle name="Comma 7 3 7 2 5 3" xfId="29028" xr:uid="{73A4E6A6-FE5F-4C99-8437-49680F94F14A}"/>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3 5 2" xfId="18613" xr:uid="{F7CA158E-21C8-4953-9D3A-83A0A42FB1E3}"/>
    <cellStyle name="Comma 7 3 7 3 5 3" xfId="29029" xr:uid="{4B44D992-E6F6-4B1E-8115-02D2E4A36E6D}"/>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7 7 2" xfId="18611" xr:uid="{4FD60B59-9B8C-4949-B133-4425AEDAD385}"/>
    <cellStyle name="Comma 7 3 7 7 3" xfId="29027" xr:uid="{65B2D33E-B78B-4B57-A11F-072EB17A5473}"/>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2 5 2" xfId="18615" xr:uid="{B6A0E954-497A-4048-91D5-7B506E94D79B}"/>
    <cellStyle name="Comma 7 3 8 2 5 3" xfId="29031" xr:uid="{5DEF1553-73DA-4B24-8BEC-51699D797C8E}"/>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8 6 2" xfId="18614" xr:uid="{27B4A6F1-BF86-4813-8ABD-964485381C22}"/>
    <cellStyle name="Comma 7 3 8 6 3" xfId="29030" xr:uid="{89C601A1-6191-4B37-A521-4B5D58241D29}"/>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3 9 5 2" xfId="18616" xr:uid="{D7E2402B-E883-4B99-B95A-BFFCEB8BF2D5}"/>
    <cellStyle name="Comma 7 3 9 5 3" xfId="29032" xr:uid="{6E7644D0-94A4-4694-B5D1-93C226AE2666}"/>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0 5 2" xfId="18618" xr:uid="{3F678D42-329B-4179-85B5-6E839F10AF94}"/>
    <cellStyle name="Comma 7 4 10 5 3" xfId="29034" xr:uid="{AF866111-51CA-48BF-BE14-CF06C2FB72F6}"/>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14 2" xfId="18617" xr:uid="{FDFFC94B-775C-4865-B251-57BE6BDF819D}"/>
    <cellStyle name="Comma 7 4 14 3" xfId="29033" xr:uid="{00788D7D-D845-4923-9EE2-232B62EA1F0E}"/>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13 2" xfId="18619" xr:uid="{186719B2-6EDA-436F-953E-6A5DBC0655CE}"/>
    <cellStyle name="Comma 7 4 2 13 3" xfId="29035" xr:uid="{D4960A2C-F8BC-4183-B0E1-F14D872B5713}"/>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2 5 2" xfId="18622" xr:uid="{4680C59C-509E-4BDE-AA52-1B9E99C9EDBC}"/>
    <cellStyle name="Comma 7 4 2 2 2 2 5 3" xfId="29038" xr:uid="{519A313E-87DB-432E-A581-1E9F02240562}"/>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2 6 2" xfId="18621" xr:uid="{6D9E5D88-2C73-49AA-9A7C-AB49F0259444}"/>
    <cellStyle name="Comma 7 4 2 2 2 6 3" xfId="29037" xr:uid="{E32B674E-030C-42CF-8CE5-9EB487F19C33}"/>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3 5 2" xfId="18623" xr:uid="{1EB14814-FF37-436F-9987-3742C8063B16}"/>
    <cellStyle name="Comma 7 4 2 2 3 5 3" xfId="29039" xr:uid="{53D81618-E9F5-42AE-8CEA-535425E20CCC}"/>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4 5 2" xfId="18624" xr:uid="{47C6B3E9-BFAF-42CA-8B8D-E6BDF5B90D37}"/>
    <cellStyle name="Comma 7 4 2 2 4 5 3" xfId="29040" xr:uid="{94B6A071-EFCB-483F-AC60-F3A277A1029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2 8 2" xfId="18620" xr:uid="{40644A45-979E-408F-9870-E466DB08CD0A}"/>
    <cellStyle name="Comma 7 4 2 2 8 3" xfId="29036" xr:uid="{4E149700-557F-4F39-A209-756AF12D54D4}"/>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2 5 2" xfId="18627" xr:uid="{6EE99BD2-F6B6-497D-A041-EC00F57832F8}"/>
    <cellStyle name="Comma 7 4 2 3 2 2 5 3" xfId="29043" xr:uid="{4D122E5E-D66A-4BA8-9416-36487E4C00D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2 6 2" xfId="18626" xr:uid="{A8D23F48-D93E-4A60-85C5-D5DD39DD4D81}"/>
    <cellStyle name="Comma 7 4 2 3 2 6 3" xfId="29042" xr:uid="{FB8A1461-8479-4EB2-81F6-5A20B9D490DC}"/>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3 5 2" xfId="18628" xr:uid="{E030F14F-8C45-401E-8DEC-141D431F163B}"/>
    <cellStyle name="Comma 7 4 2 3 3 5 3" xfId="29044" xr:uid="{18E1639F-F035-4956-88B9-CC53BA9B65BB}"/>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4 5 2" xfId="18629" xr:uid="{8182D7F8-ED24-4386-B623-51428043BCC4}"/>
    <cellStyle name="Comma 7 4 2 3 4 5 3" xfId="29045" xr:uid="{410F21E8-7145-4E44-B305-5F37DBFC23B6}"/>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3 8 2" xfId="18625" xr:uid="{F6B487D8-4F47-4E0A-97A6-0B9D20CEE0A4}"/>
    <cellStyle name="Comma 7 4 2 3 8 3" xfId="29041" xr:uid="{554057B7-C7D3-483F-A850-02F648860C8B}"/>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2 5 2" xfId="18632" xr:uid="{395CFF05-FA57-40A6-A65D-B4B73E6635D4}"/>
    <cellStyle name="Comma 7 4 2 4 2 2 5 3" xfId="29048" xr:uid="{DF28C2A7-4B59-4A68-AABD-D89BB4032B56}"/>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2 6 2" xfId="18631" xr:uid="{C6502895-392A-42BF-995A-DA26E68598CE}"/>
    <cellStyle name="Comma 7 4 2 4 2 6 3" xfId="29047" xr:uid="{52423035-D094-4DBC-B31D-CE6E5DD6A9CB}"/>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3 5 2" xfId="18633" xr:uid="{44C60D35-2773-4BF9-9F8B-3021160A553B}"/>
    <cellStyle name="Comma 7 4 2 4 3 5 3" xfId="29049" xr:uid="{EC721AC4-F658-4369-8643-7D6965C95FC8}"/>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4 5 2" xfId="18634" xr:uid="{42B5EF99-82AF-4B49-BBDF-AF05CB7C8F90}"/>
    <cellStyle name="Comma 7 4 2 4 4 5 3" xfId="29050" xr:uid="{0BFD5F21-CCD1-4071-9311-D9B4106E693A}"/>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4 8 2" xfId="18630" xr:uid="{705D7F6F-00DD-45DB-89CB-3B9D278E458E}"/>
    <cellStyle name="Comma 7 4 2 4 8 3" xfId="29046" xr:uid="{EE3E06B5-04EB-4993-AECA-3CA688D2DD74}"/>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2 5 2" xfId="18637" xr:uid="{4251A697-AA2E-4057-B817-CA02CB711A3B}"/>
    <cellStyle name="Comma 7 4 2 5 2 2 5 3" xfId="29053" xr:uid="{301AABE8-FAA6-4872-9838-E01CBC15658F}"/>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2 6 2" xfId="18636" xr:uid="{CF32249F-54C0-4E7F-8BC0-A6D3F6A160EA}"/>
    <cellStyle name="Comma 7 4 2 5 2 6 3" xfId="29052" xr:uid="{6934DBD7-159D-42D8-B91F-6C4D01161BE8}"/>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3 5 2" xfId="18638" xr:uid="{59FD3347-0649-4574-898A-322AC4B619C3}"/>
    <cellStyle name="Comma 7 4 2 5 3 5 3" xfId="29054" xr:uid="{54C0790C-F7AA-42CF-A8E4-607F94D2A815}"/>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4 5 2" xfId="18639" xr:uid="{EC8B19E6-7469-4968-8C10-C03E36DDDF14}"/>
    <cellStyle name="Comma 7 4 2 5 4 5 3" xfId="29055" xr:uid="{3D728A54-0935-4761-819D-5B26BA33EF96}"/>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5 8 2" xfId="18635" xr:uid="{7E23506A-6BAF-4AAD-A201-61626D49AFB7}"/>
    <cellStyle name="Comma 7 4 2 5 8 3" xfId="29051" xr:uid="{3E631F07-6A24-43AF-B3DD-2EA1E2CCB354}"/>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2 5 2" xfId="18641" xr:uid="{3BDF8901-6EC3-44EF-AF7D-1CDFF9AECB53}"/>
    <cellStyle name="Comma 7 4 2 6 2 5 3" xfId="29057" xr:uid="{F591C947-46DF-4B5D-9727-FA67D3A770E5}"/>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3 5 2" xfId="18642" xr:uid="{CFF2260F-F3ED-449C-AE3F-57BD6F5C02EB}"/>
    <cellStyle name="Comma 7 4 2 6 3 5 3" xfId="29058" xr:uid="{1E980231-3B27-4407-A486-2DFBA62EEBAA}"/>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6 7 2" xfId="18640" xr:uid="{4FFF99AF-99A5-4B6C-B360-14AE717D4F57}"/>
    <cellStyle name="Comma 7 4 2 6 7 3" xfId="29056" xr:uid="{06BB9AE6-8916-4D3D-84AB-B437137427D7}"/>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2 5 2" xfId="18644" xr:uid="{7B79A179-4FE2-433F-88AB-4194ED9AFBB0}"/>
    <cellStyle name="Comma 7 4 2 7 2 5 3" xfId="29060" xr:uid="{BA87C3F9-CAC6-4233-AFBC-31E9B7616D67}"/>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7 6 2" xfId="18643" xr:uid="{4B3C4BD7-3DBC-49E0-9CFB-525C445D553A}"/>
    <cellStyle name="Comma 7 4 2 7 6 3" xfId="29059" xr:uid="{C752AC9E-9E4B-4ECE-93A6-E8D02F50B2A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8 5 2" xfId="18645" xr:uid="{DA529915-5FD1-45E5-BF10-B31C48415C65}"/>
    <cellStyle name="Comma 7 4 2 8 5 3" xfId="29061" xr:uid="{9FE7321E-3DBB-4F6D-A864-F5919F131878}"/>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2 9 5 2" xfId="18646" xr:uid="{A827CFE3-59C0-461A-8721-0F7A19E11E52}"/>
    <cellStyle name="Comma 7 4 2 9 5 3" xfId="29062" xr:uid="{C13B3352-BC44-4494-91BF-84FB217F2419}"/>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2 5 2" xfId="18649" xr:uid="{F9C179D6-B458-45B0-A71B-C0A0FBB63D33}"/>
    <cellStyle name="Comma 7 4 3 2 2 5 3" xfId="29065" xr:uid="{40B460C1-F7E9-4034-929B-FA5A00D677CE}"/>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2 6 2" xfId="18648" xr:uid="{B15F9FB5-51F1-41AD-BA4B-1630ED2B6AB6}"/>
    <cellStyle name="Comma 7 4 3 2 6 3" xfId="29064" xr:uid="{9B450AAC-7356-4527-9C19-333D23FC3E9C}"/>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3 5 2" xfId="18650" xr:uid="{F5AAFBF5-21FF-44AF-BAF2-14D3EC878C4A}"/>
    <cellStyle name="Comma 7 4 3 3 5 3" xfId="29066" xr:uid="{BFCB780D-83D3-481F-A912-DC7FC76BFCA5}"/>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4 5 2" xfId="18651" xr:uid="{064BF8EA-E6ED-4E02-9DBB-0081D61A0184}"/>
    <cellStyle name="Comma 7 4 3 4 5 3" xfId="29067" xr:uid="{8C75512D-678F-4B0D-8B83-EEB9C934941D}"/>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3 8 2" xfId="18647" xr:uid="{749CCD83-7A99-4DC2-9235-06FCBCC40DE7}"/>
    <cellStyle name="Comma 7 4 3 8 3" xfId="29063" xr:uid="{7AE4D12A-F5C6-423B-99B7-F7F4AB59FF8C}"/>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2 5 2" xfId="18654" xr:uid="{89351B35-A055-4AAE-BCB0-E3A5B6F500DB}"/>
    <cellStyle name="Comma 7 4 4 2 2 5 3" xfId="29070" xr:uid="{9FAB07B4-9F7F-4BB1-A7D5-124C068B23BC}"/>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2 6 2" xfId="18653" xr:uid="{0568166F-78BE-4639-AB94-307C1774E428}"/>
    <cellStyle name="Comma 7 4 4 2 6 3" xfId="29069" xr:uid="{BD33EBC3-979D-4C7E-A8AC-82626A16FFC2}"/>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3 5 2" xfId="18655" xr:uid="{C446F2B0-DE25-4212-8EDD-FFFC81E64FE3}"/>
    <cellStyle name="Comma 7 4 4 3 5 3" xfId="29071" xr:uid="{FF97C85B-21C7-4DCD-A956-0F581222D0F7}"/>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4 5 2" xfId="18656" xr:uid="{888D2308-D287-476A-AD71-63C6E65E0B4A}"/>
    <cellStyle name="Comma 7 4 4 4 5 3" xfId="29072" xr:uid="{818B7C60-9546-46B9-8A31-C5C25B106F26}"/>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4 8 2" xfId="18652" xr:uid="{0FE2D467-0BF3-48D2-A4A8-EF666E38D11A}"/>
    <cellStyle name="Comma 7 4 4 8 3" xfId="29068" xr:uid="{DC13B6A8-620E-4D9E-9BB7-52BCA50FAAD3}"/>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2 5 2" xfId="18659" xr:uid="{E860A910-086D-4255-B7F2-A69AC3E914EC}"/>
    <cellStyle name="Comma 7 4 5 2 2 5 3" xfId="29075" xr:uid="{8B434083-39C5-41F6-83B1-C12F5420C83B}"/>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2 6 2" xfId="18658" xr:uid="{C5470081-E64A-4ED1-8C2B-60726B2ED94A}"/>
    <cellStyle name="Comma 7 4 5 2 6 3" xfId="29074" xr:uid="{3EC400F3-D26B-42B1-9BF0-30EDD58B5BAB}"/>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3 5 2" xfId="18660" xr:uid="{7C048C92-1341-4060-AA92-0BA51C0F916A}"/>
    <cellStyle name="Comma 7 4 5 3 5 3" xfId="29076" xr:uid="{05F8D335-4193-4C9E-85E5-8E049337F52B}"/>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4 5 2" xfId="18661" xr:uid="{65BC2087-CFEA-465E-9395-B02B2CB93B1F}"/>
    <cellStyle name="Comma 7 4 5 4 5 3" xfId="29077" xr:uid="{595082E7-880F-493D-8224-81E1A2D527E4}"/>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5 8 2" xfId="18657" xr:uid="{9B2F6ACB-F2C5-4762-A288-9750C1DBDF67}"/>
    <cellStyle name="Comma 7 4 5 8 3" xfId="29073" xr:uid="{B049CC56-BC9F-47D1-9929-35D3DCB37423}"/>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2 5 2" xfId="18664" xr:uid="{A8A1802C-8920-455C-A1F3-9EA4F74BE8CA}"/>
    <cellStyle name="Comma 7 4 6 2 2 5 3" xfId="29080" xr:uid="{144360BE-A663-432C-831D-70DE4CA84C74}"/>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2 6 2" xfId="18663" xr:uid="{288B468F-3A27-45B5-A39F-FF825F5B0C03}"/>
    <cellStyle name="Comma 7 4 6 2 6 3" xfId="29079" xr:uid="{EDB440D8-44E0-4F31-BF13-2018B3009823}"/>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3 5 2" xfId="18665" xr:uid="{271FBD78-876C-4E66-8D50-DFC1EDFC6826}"/>
    <cellStyle name="Comma 7 4 6 3 5 3" xfId="29081" xr:uid="{0BCEEC94-03DF-42F8-BC46-2EF5CA7254E8}"/>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4 5 2" xfId="18666" xr:uid="{D3CFCB92-5EB8-4D58-9C41-3C7DD2BE411A}"/>
    <cellStyle name="Comma 7 4 6 4 5 3" xfId="29082" xr:uid="{01F2BD38-60E2-43E5-8DA2-8DCDC33BF49E}"/>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6 8 2" xfId="18662" xr:uid="{A0F9CD05-C431-4F98-9BB8-5F0804341D3E}"/>
    <cellStyle name="Comma 7 4 6 8 3" xfId="29078" xr:uid="{BC8E257A-3361-487B-BDC4-975ADFDD3D3E}"/>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2 5 2" xfId="18668" xr:uid="{1D4A614B-5A58-4BA2-9E02-0EBCCABA12EE}"/>
    <cellStyle name="Comma 7 4 7 2 5 3" xfId="29084" xr:uid="{8ED18112-8BF3-4FAB-98B0-665246C9FDF8}"/>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3 5 2" xfId="18669" xr:uid="{FC5A4F6F-53A7-43AC-B716-B12953F394D6}"/>
    <cellStyle name="Comma 7 4 7 3 5 3" xfId="29085" xr:uid="{328DBF26-D8B4-405D-AEFE-274FBA44D2F1}"/>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7 7 2" xfId="18667" xr:uid="{C85D3C03-8330-4EDE-8391-3E53228EEBE2}"/>
    <cellStyle name="Comma 7 4 7 7 3" xfId="29083" xr:uid="{9DBFD414-E016-4067-B940-CC67D370F08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2 5 2" xfId="18671" xr:uid="{A122833C-65C1-4F24-8F64-579B6440E038}"/>
    <cellStyle name="Comma 7 4 8 2 5 3" xfId="29087" xr:uid="{3721652A-FA3D-4A50-B83C-D0C0B6F562A2}"/>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8 6 2" xfId="18670" xr:uid="{BD94DD71-DE1F-430E-9BD0-23A00097EE25}"/>
    <cellStyle name="Comma 7 4 8 6 3" xfId="29086" xr:uid="{8DEFB982-6372-4040-8090-5C86E13CF597}"/>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4 9 5 2" xfId="18672" xr:uid="{47379311-0223-4F76-9EB6-B829BCA8E236}"/>
    <cellStyle name="Comma 7 4 9 5 3" xfId="29088" xr:uid="{7F16338D-E012-4BB3-9080-B975AE925CAA}"/>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13 2" xfId="18673" xr:uid="{D2C1EEA1-4ADE-4D75-A33F-C6257DEE1642}"/>
    <cellStyle name="Comma 7 5 13 3" xfId="29089" xr:uid="{E6C477FA-711A-44F9-95F1-0336306EB92D}"/>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2 5 2" xfId="18676" xr:uid="{5F1BCCB0-E1B5-4EA8-9AF8-A5C02389F6E2}"/>
    <cellStyle name="Comma 7 5 2 2 2 5 3" xfId="29092" xr:uid="{A3A28A29-1B4C-4384-B63E-2A2004CE3BB6}"/>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2 6 2" xfId="18675" xr:uid="{5D06362D-CCA3-46C2-8CDC-91B4C28C515F}"/>
    <cellStyle name="Comma 7 5 2 2 6 3" xfId="29091" xr:uid="{0AB0FD43-C49A-4C6F-9B1A-D97A36D4C409}"/>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3 5 2" xfId="18677" xr:uid="{F971D6EC-543D-4AB4-A2F2-E041FEB091F0}"/>
    <cellStyle name="Comma 7 5 2 3 5 3" xfId="29093" xr:uid="{6263AFDF-E564-4C24-B81F-7F3D122A2C3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4 5 2" xfId="18678" xr:uid="{C9E3EADF-B4E8-4A3F-BE87-0B1BA288D7C6}"/>
    <cellStyle name="Comma 7 5 2 4 5 3" xfId="29094" xr:uid="{38EEA645-CC9A-473B-84AD-E35B15A1D7B5}"/>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2 8 2" xfId="18674" xr:uid="{8747E711-CD87-4483-81A6-9D9327DD77CE}"/>
    <cellStyle name="Comma 7 5 2 8 3" xfId="29090" xr:uid="{945C9D22-1765-4CE3-A2C6-88132931273C}"/>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2 5 2" xfId="18681" xr:uid="{4BDBFF04-6BC9-462B-8999-7B760DF363C6}"/>
    <cellStyle name="Comma 7 5 3 2 2 5 3" xfId="29097" xr:uid="{312456D3-498D-4C3A-8A11-5A828835A66B}"/>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2 6 2" xfId="18680" xr:uid="{8E9D3E8A-1B27-468F-985E-76B9BC8BA125}"/>
    <cellStyle name="Comma 7 5 3 2 6 3" xfId="29096" xr:uid="{494C5ABF-AA29-4E0E-930F-C37CB89769A8}"/>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3 5 2" xfId="18682" xr:uid="{8593A427-58D4-4938-858F-9D5EF46C281C}"/>
    <cellStyle name="Comma 7 5 3 3 5 3" xfId="29098" xr:uid="{174F0E01-8598-439D-A462-746FDA47760C}"/>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4 5 2" xfId="18683" xr:uid="{379C6C3A-6F5E-4D23-996D-68F19EA2EC4F}"/>
    <cellStyle name="Comma 7 5 3 4 5 3" xfId="29099" xr:uid="{CD099076-CF81-4607-92A7-B5893AE6742D}"/>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3 8 2" xfId="18679" xr:uid="{D7AA35E8-EC26-45FE-89B9-0F3197376A1A}"/>
    <cellStyle name="Comma 7 5 3 8 3" xfId="29095" xr:uid="{C7119C48-F252-48D8-9D5E-F38B8AB698D3}"/>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2 5 2" xfId="18686" xr:uid="{CEB43899-0731-46E4-843D-FB403D526F93}"/>
    <cellStyle name="Comma 7 5 4 2 2 5 3" xfId="29102" xr:uid="{8E3D8C10-9647-4E22-9274-337658993148}"/>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2 6 2" xfId="18685" xr:uid="{D907CEAB-DCDB-492D-A927-3733013E8675}"/>
    <cellStyle name="Comma 7 5 4 2 6 3" xfId="29101" xr:uid="{1028B838-956E-4943-942B-FC05E6803D19}"/>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3 5 2" xfId="18687" xr:uid="{C2FC3E21-AED0-4BE2-A9CC-E814804F4B17}"/>
    <cellStyle name="Comma 7 5 4 3 5 3" xfId="29103" xr:uid="{7F420FFE-78A0-4124-8B0A-DDB8518A63DC}"/>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4 5 2" xfId="18688" xr:uid="{1BD73C1B-D506-4D8A-B9D9-8D4282CC8302}"/>
    <cellStyle name="Comma 7 5 4 4 5 3" xfId="29104" xr:uid="{719644A4-89A4-4FFA-81A3-20D98B5704B2}"/>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4 8 2" xfId="18684" xr:uid="{0592A7D0-FEED-4C01-B5AB-5EE557F91195}"/>
    <cellStyle name="Comma 7 5 4 8 3" xfId="29100" xr:uid="{231E7F51-F7AD-4006-95EF-B108C24B08DD}"/>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2 5 2" xfId="18691" xr:uid="{D801911C-31EF-49DE-A8C2-E99CDB03E444}"/>
    <cellStyle name="Comma 7 5 5 2 2 5 3" xfId="29107" xr:uid="{FCBE91E7-F328-4F8D-918F-9B6E58197D4B}"/>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2 6 2" xfId="18690" xr:uid="{B2779EC4-D8A2-4E75-9EAE-B8CBAEF1D5A3}"/>
    <cellStyle name="Comma 7 5 5 2 6 3" xfId="29106" xr:uid="{8D95EAA1-D344-4BD1-A8AF-2595AF8482F9}"/>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3 5 2" xfId="18692" xr:uid="{FE99A32D-B1AA-4303-A47F-60A37CAD7B77}"/>
    <cellStyle name="Comma 7 5 5 3 5 3" xfId="29108" xr:uid="{EF79BE76-1D03-4B25-B79D-66C4B4E431E7}"/>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4 5 2" xfId="18693" xr:uid="{6B525730-D2D0-452D-AA89-A16B14426185}"/>
    <cellStyle name="Comma 7 5 5 4 5 3" xfId="29109" xr:uid="{8E7882D6-FEB7-49C9-B959-8FDFE5F15831}"/>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5 8 2" xfId="18689" xr:uid="{0286C27A-2F59-4E0F-A860-B8CA0DADCC8B}"/>
    <cellStyle name="Comma 7 5 5 8 3" xfId="29105" xr:uid="{CA42D162-04CB-4F29-B3AC-F9FDBAC737FE}"/>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2 5 2" xfId="18695" xr:uid="{D9C6BF98-D8A4-4694-893C-D08A36683CF6}"/>
    <cellStyle name="Comma 7 5 6 2 5 3" xfId="29111" xr:uid="{2F4673BE-6397-40F2-AC2B-8A9A199C3473}"/>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3 5 2" xfId="18696" xr:uid="{73B387B3-8C4C-4D4A-BD49-341E86B131E8}"/>
    <cellStyle name="Comma 7 5 6 3 5 3" xfId="29112" xr:uid="{6664FC67-678D-455B-8070-3B6B9C198096}"/>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6 7 2" xfId="18694" xr:uid="{BAD3CE92-7DD0-447E-B4EE-73710BCF22AF}"/>
    <cellStyle name="Comma 7 5 6 7 3" xfId="29110" xr:uid="{234FF032-3202-4182-ACCF-36E0B13C27A6}"/>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2 5 2" xfId="18698" xr:uid="{54E7DA36-6DD9-4920-A138-9747EC403914}"/>
    <cellStyle name="Comma 7 5 7 2 5 3" xfId="29114" xr:uid="{247F102D-CBED-40D9-B042-F4CAA79B5AB7}"/>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7 6 2" xfId="18697" xr:uid="{CEE81B5E-C050-40ED-9CB6-51A0D2DBC48B}"/>
    <cellStyle name="Comma 7 5 7 6 3" xfId="29113" xr:uid="{8F4F02D6-03BA-4903-962D-D9E7CBDDE8A7}"/>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8 5 2" xfId="18699" xr:uid="{7D85A0CE-8753-412D-AFC7-FECDBA8DE015}"/>
    <cellStyle name="Comma 7 5 8 5 3" xfId="29115" xr:uid="{3DF4497E-D4D1-4227-A3F6-6A5D1DB7539A}"/>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5 9 5 2" xfId="18700" xr:uid="{0143D3DF-368A-4286-AEA7-38EDAD7AA132}"/>
    <cellStyle name="Comma 7 5 9 5 3" xfId="29116" xr:uid="{AD02C7D8-A834-492A-AEBF-FCAD8D6CF475}"/>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2 5 2" xfId="18703" xr:uid="{7219F979-E116-41E8-9048-950A8F427030}"/>
    <cellStyle name="Comma 7 6 2 2 5 3" xfId="29119" xr:uid="{07D6565B-3207-49B3-936A-C65AE1C0703B}"/>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2 6 2" xfId="18702" xr:uid="{1427BD06-7B53-46AA-95B3-81274545A82E}"/>
    <cellStyle name="Comma 7 6 2 6 3" xfId="29118" xr:uid="{5BAED9D4-31D8-4B27-8EB8-B6EA8FBA101C}"/>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3 5 2" xfId="18704" xr:uid="{41DC75F4-4436-4521-BA3B-32A151BD6040}"/>
    <cellStyle name="Comma 7 6 3 5 3" xfId="29120" xr:uid="{91B56AB6-11AE-49F2-AFC2-38321C9740AA}"/>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4 5 2" xfId="18705" xr:uid="{DA949367-876D-45AD-89A8-7134BECA8D1D}"/>
    <cellStyle name="Comma 7 6 4 5 3" xfId="29121" xr:uid="{ABE5F100-FFE7-4F15-805D-BBFEA3EBE41F}"/>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6 8 2" xfId="18701" xr:uid="{A13EA0AF-CA8C-41AC-82EF-B6187773AC04}"/>
    <cellStyle name="Comma 7 6 8 3" xfId="29117" xr:uid="{75632DBB-1D60-4655-B071-64F6C9F7C859}"/>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2 5 2" xfId="18708" xr:uid="{43CB1FEA-11CF-4C26-9C2F-24B16E40459A}"/>
    <cellStyle name="Comma 7 7 2 2 5 3" xfId="29124" xr:uid="{E4FFD0C0-B6E3-4340-89AB-F887759F82DE}"/>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2 6 2" xfId="18707" xr:uid="{BCD6B8C4-089F-4491-AEB5-227C1BFD8638}"/>
    <cellStyle name="Comma 7 7 2 6 3" xfId="29123" xr:uid="{C9379DE6-515B-46B1-A2CE-E28C672ABA1F}"/>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3 5 2" xfId="18709" xr:uid="{F95E11DA-9165-4352-85BD-76B3AB93D317}"/>
    <cellStyle name="Comma 7 7 3 5 3" xfId="29125" xr:uid="{3887DD6B-629E-4368-9629-BE2B32318A76}"/>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4 5 2" xfId="18710" xr:uid="{376CCAFC-55E3-4EF6-9CFD-6B023B0AF150}"/>
    <cellStyle name="Comma 7 7 4 5 3" xfId="29126" xr:uid="{6A24D215-20C3-4317-B0EE-FEAC7C5CD35E}"/>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7 8 2" xfId="18706" xr:uid="{28265544-B8F8-4FA4-A99E-72967B22EAE0}"/>
    <cellStyle name="Comma 7 7 8 3" xfId="29122" xr:uid="{8F1BF44E-4E46-4C63-88FD-C542EA34E642}"/>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2 5 2" xfId="18713" xr:uid="{3AF1F328-10C9-4922-A054-63B080156A0F}"/>
    <cellStyle name="Comma 7 8 2 2 5 3" xfId="29129" xr:uid="{03450F21-81F2-4727-A311-9866D4DADEA2}"/>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2 6 2" xfId="18712" xr:uid="{A29559AF-388D-4B8D-A1D8-802FCB3DA36C}"/>
    <cellStyle name="Comma 7 8 2 6 3" xfId="29128" xr:uid="{52DB00A6-E625-4BFD-A98D-4DAA43C3FCDD}"/>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3 5 2" xfId="18714" xr:uid="{E5979E19-193D-4214-BA09-CE04850F7DA4}"/>
    <cellStyle name="Comma 7 8 3 5 3" xfId="29130" xr:uid="{4DE9E19A-FE8F-4067-9286-D543DB8BA43B}"/>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4 5 2" xfId="18715" xr:uid="{27470F42-690E-43D8-83B9-1BEEA444DD0E}"/>
    <cellStyle name="Comma 7 8 4 5 3" xfId="29131" xr:uid="{4DD42CD8-2E96-48CD-B6DB-E7C7FE6583B6}"/>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8 8 2" xfId="18711" xr:uid="{C7194C91-9932-4B70-A2FD-90BC7461E718}"/>
    <cellStyle name="Comma 7 8 8 3" xfId="29127" xr:uid="{9BF3AB4B-928B-417E-983B-896E5B0213DD}"/>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2 5 2" xfId="18718" xr:uid="{29B2D74C-3035-4BAD-A696-5732D13F1909}"/>
    <cellStyle name="Comma 7 9 2 2 5 3" xfId="29134" xr:uid="{F3CD096F-CB6D-4166-87F9-8CC522667A08}"/>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2 6 2" xfId="18717" xr:uid="{7ABA4C0D-A719-432D-AC54-87E3067B2F96}"/>
    <cellStyle name="Comma 7 9 2 6 3" xfId="29133" xr:uid="{05D5591E-2693-4CE0-89CF-2B6FF255DC14}"/>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3 5 2" xfId="18719" xr:uid="{54402551-FCAC-4C9A-A468-6855D00BD550}"/>
    <cellStyle name="Comma 7 9 3 5 3" xfId="29135" xr:uid="{350B0C72-845F-4FD1-BE9C-1071CFAA9E8E}"/>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4 5 2" xfId="18720" xr:uid="{CE417F57-F0FE-4186-9622-745015D34E49}"/>
    <cellStyle name="Comma 7 9 4 5 3" xfId="29136" xr:uid="{A94B2A0F-FCB8-4A7C-9675-F5428358B01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7 9 8 2" xfId="18716" xr:uid="{B2078929-9E33-431D-B6C1-AC66AF3CAC2E}"/>
    <cellStyle name="Comma 7 9 8 3" xfId="29132" xr:uid="{8CA79E69-BAA1-49A7-83DD-AAC8EEC231C4}"/>
    <cellStyle name="Comma 8" xfId="7135" xr:uid="{00000000-0005-0000-0000-00009E2F0000}"/>
    <cellStyle name="Comma 8 2" xfId="11536" xr:uid="{00000000-0005-0000-0000-00009F2F0000}"/>
    <cellStyle name="Comma 8 3" xfId="11535" xr:uid="{00000000-0005-0000-0000-0000A02F0000}"/>
    <cellStyle name="Comma 8 4" xfId="18721" xr:uid="{BE794FF9-930E-44F6-BA78-B6C13BB7E285}"/>
    <cellStyle name="Comma 8 5" xfId="29137" xr:uid="{0F94A73B-C010-496E-A9F2-1F207FF804F8}"/>
    <cellStyle name="Comma 9" xfId="12312" xr:uid="{00000000-0005-0000-0000-0000A12F0000}"/>
    <cellStyle name="Comma 9 2" xfId="22729" xr:uid="{CE8C5D82-555F-4872-80DC-DF8818D65BEC}"/>
    <cellStyle name="Comma 9 3" xfId="33145" xr:uid="{7A4A9BEC-5575-49AF-B74C-BE0175262D92}"/>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1 2" xfId="22772" xr:uid="{0AA02FE3-E2C1-417D-855B-54DDE440AF39}"/>
    <cellStyle name="Heading 2 2" xfId="22774" xr:uid="{EC58A6D9-1FEF-4E44-AFFC-7B6E815A8D27}"/>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xfId="22776" xr:uid="{49BB1A98-C5A4-4645-AFD3-D15EF478E02A}"/>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2 3" xfId="22779" xr:uid="{AD84EA9C-319D-430B-AE03-AE78FE91BD7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24 4 2" xfId="18722" xr:uid="{DF204DC7-CD9D-4C2D-B0E9-48E6DB454DDD}"/>
    <cellStyle name="Normal 24 4 3" xfId="29138" xr:uid="{BBB1A42F-466C-492D-884C-62A2B96A2BC7}"/>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2 4" xfId="22773" xr:uid="{7B34E930-C5EC-4EE6-9D4E-6354B41B2833}"/>
    <cellStyle name="Normal 3 2 4 2" xfId="33188" xr:uid="{98604E41-4E93-41D2-93E2-439D8DA5B198}"/>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Normal 9" xfId="22770" xr:uid="{D99F5F59-E49B-4B28-A226-3EDBF47FF9C5}"/>
    <cellStyle name="Normal 9 2" xfId="33186" xr:uid="{81BF7071-E689-44F5-912E-A356DB42E567}"/>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Percent 3" xfId="22775" xr:uid="{2915550A-7737-4883-B2E9-ED2671D13F3A}"/>
    <cellStyle name="Percent 3 2" xfId="33189" xr:uid="{A01C9068-854D-4950-9769-E330DD0B6603}"/>
    <cellStyle name="Percent 4" xfId="22777" xr:uid="{A609337D-FEA4-4E5A-9BA1-B9D723705DBD}"/>
    <cellStyle name="Validation error" xfId="7" xr:uid="{00000000-0005-0000-0000-000049300000}"/>
    <cellStyle name="Validation error 2" xfId="4778" xr:uid="{00000000-0005-0000-0000-00004A300000}"/>
    <cellStyle name="Validation error 2 2" xfId="12322" xr:uid="{00000000-0005-0000-0000-00004B300000}"/>
  </cellStyles>
  <dxfs count="14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2BFE0"/>
      <color rgb="FFE6E6E6"/>
      <color rgb="FFFCEABF"/>
      <color rgb="FFD9D9D9"/>
      <color rgb="FFEFE5F7"/>
      <color rgb="FFBFDDF1"/>
      <color rgb="FF0078C9"/>
      <color rgb="FFF8DCEE"/>
      <color rgb="FF857362"/>
      <color rgb="FFF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C/Library/Containers/com.microsoft.Excel/Data/Documents/Users/blaenp/OneDrive%20-%20Yorkshire%20Water%20Services/Documents/BCA7781B/2018-19-Annual-Performance-Report-tables-updated-29-May-2019%20(Locked)%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ofwat.gov.uk/wp-content/uploads/2018/04/2017-18-APR-excel-tab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01%20YW\20%20Accounting%20Seperation\APR%20Tables%201920\Actuals%20APR%201920\Tables\Actuals%20P1-P12\APR%20Tables%201920%20FINANCE%20-%2023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Outputs (non-group)"/>
      <sheetName val="F_Outputs (group)"/>
      <sheetName val="Water PR16"/>
      <sheetName val="Sewerage PR16"/>
      <sheetName val="Introduction"/>
      <sheetName val="Validation"/>
      <sheetName val="Section 1 -&gt;"/>
      <sheetName val="1A"/>
      <sheetName val="1B"/>
      <sheetName val="1C"/>
      <sheetName val="1D"/>
      <sheetName val="1E"/>
      <sheetName val="Section 2 -&gt;"/>
      <sheetName val="2A"/>
      <sheetName val="2B"/>
      <sheetName val="2C"/>
      <sheetName val="2D"/>
      <sheetName val="2E"/>
      <sheetName val="2F"/>
      <sheetName val="2G"/>
      <sheetName val="2H"/>
      <sheetName val="2I"/>
      <sheetName val="2J"/>
      <sheetName val="Section 3 -&gt;"/>
      <sheetName val="3A"/>
      <sheetName val="3B"/>
      <sheetName val="3C"/>
      <sheetName val="3D"/>
      <sheetName val="3S"/>
      <sheetName val="Section 4 -&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Other -&gt;"/>
      <sheetName val="Bioresources"/>
      <sheetName val="Lists"/>
      <sheetName val="PC LIST"/>
      <sheetName val="PC list edited"/>
      <sheetName val="SUB LIST"/>
      <sheetName val="SUB list edited"/>
      <sheetName val="Water"/>
      <sheetName val="Sewerage"/>
      <sheetName val="LWT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0-03-expectations-for-monopoly-company-annual-performance-reporting-2019-20/" TargetMode="External"/><Relationship Id="rId7" Type="http://schemas.openxmlformats.org/officeDocument/2006/relationships/vmlDrawing" Target="../drawings/vmlDrawing1.vml"/><Relationship Id="rId2" Type="http://schemas.openxmlformats.org/officeDocument/2006/relationships/hyperlink" Target="https://www.ofwat.gov.uk/wp-content/uploads/2019/03/IN-1903-2018-19-RAG-1.pdf" TargetMode="External"/><Relationship Id="rId1" Type="http://schemas.openxmlformats.org/officeDocument/2006/relationships/hyperlink" Target="mailto:FinanceAndGovernance@ofwat.gov.uk" TargetMode="External"/><Relationship Id="rId6" Type="http://schemas.openxmlformats.org/officeDocument/2006/relationships/customProperty" Target="../customProperty2.bin"/><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printerSettings" Target="../printerSettings/printerSettings27.bin"/><Relationship Id="rId1" Type="http://schemas.openxmlformats.org/officeDocument/2006/relationships/hyperlink" Target="https://www.ofwat.gov.uk/outcomes-definitions-pr19/" TargetMode="External"/><Relationship Id="rId5" Type="http://schemas.openxmlformats.org/officeDocument/2006/relationships/vmlDrawing" Target="../drawings/vmlDrawing27.vml"/><Relationship Id="rId4" Type="http://schemas.openxmlformats.org/officeDocument/2006/relationships/customProperty" Target="../customProperty54.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33.bin"/><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8.bin"/><Relationship Id="rId2" Type="http://schemas.openxmlformats.org/officeDocument/2006/relationships/customProperty" Target="../customProperty67.bin"/><Relationship Id="rId1" Type="http://schemas.openxmlformats.org/officeDocument/2006/relationships/printerSettings" Target="../printerSettings/printerSettings34.bin"/><Relationship Id="rId6" Type="http://schemas.openxmlformats.org/officeDocument/2006/relationships/comments" Target="../comments1.xml"/><Relationship Id="rId5" Type="http://schemas.openxmlformats.org/officeDocument/2006/relationships/vmlDrawing" Target="../drawings/vmlDrawing35.vm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70.bin"/><Relationship Id="rId2" Type="http://schemas.openxmlformats.org/officeDocument/2006/relationships/customProperty" Target="../customProperty69.bin"/><Relationship Id="rId1" Type="http://schemas.openxmlformats.org/officeDocument/2006/relationships/printerSettings" Target="../printerSettings/printerSettings35.bin"/><Relationship Id="rId4" Type="http://schemas.openxmlformats.org/officeDocument/2006/relationships/vmlDrawing" Target="../drawings/vmlDrawing36.vml"/></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36.bin"/><Relationship Id="rId4" Type="http://schemas.openxmlformats.org/officeDocument/2006/relationships/vmlDrawing" Target="../drawings/vmlDrawing37.vml"/></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4.bin"/><Relationship Id="rId2" Type="http://schemas.openxmlformats.org/officeDocument/2006/relationships/customProperty" Target="../customProperty73.bin"/><Relationship Id="rId1" Type="http://schemas.openxmlformats.org/officeDocument/2006/relationships/printerSettings" Target="../printerSettings/printerSettings37.bin"/><Relationship Id="rId5" Type="http://schemas.openxmlformats.org/officeDocument/2006/relationships/vmlDrawing" Target="../drawings/vmlDrawing38.vml"/><Relationship Id="rId4"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6.bin"/><Relationship Id="rId2" Type="http://schemas.openxmlformats.org/officeDocument/2006/relationships/customProperty" Target="../customProperty75.bin"/><Relationship Id="rId1" Type="http://schemas.openxmlformats.org/officeDocument/2006/relationships/printerSettings" Target="../printerSettings/printerSettings38.bin"/><Relationship Id="rId4" Type="http://schemas.openxmlformats.org/officeDocument/2006/relationships/vmlDrawing" Target="../drawings/vmlDrawing39.vml"/></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78.bin"/><Relationship Id="rId2" Type="http://schemas.openxmlformats.org/officeDocument/2006/relationships/customProperty" Target="../customProperty77.bin"/><Relationship Id="rId1" Type="http://schemas.openxmlformats.org/officeDocument/2006/relationships/printerSettings" Target="../printerSettings/printerSettings39.bin"/><Relationship Id="rId4" Type="http://schemas.openxmlformats.org/officeDocument/2006/relationships/vmlDrawing" Target="../drawings/vmlDrawing40.v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80.bin"/><Relationship Id="rId2" Type="http://schemas.openxmlformats.org/officeDocument/2006/relationships/customProperty" Target="../customProperty79.bin"/><Relationship Id="rId1" Type="http://schemas.openxmlformats.org/officeDocument/2006/relationships/printerSettings" Target="../printerSettings/printerSettings40.bin"/><Relationship Id="rId4" Type="http://schemas.openxmlformats.org/officeDocument/2006/relationships/vmlDrawing" Target="../drawings/vmlDrawing41.vml"/></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82.bin"/><Relationship Id="rId2" Type="http://schemas.openxmlformats.org/officeDocument/2006/relationships/customProperty" Target="../customProperty81.bin"/><Relationship Id="rId1" Type="http://schemas.openxmlformats.org/officeDocument/2006/relationships/printerSettings" Target="../printerSettings/printerSettings41.bin"/><Relationship Id="rId4" Type="http://schemas.openxmlformats.org/officeDocument/2006/relationships/vmlDrawing" Target="../drawings/vmlDrawing42.vml"/></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84.bin"/><Relationship Id="rId2" Type="http://schemas.openxmlformats.org/officeDocument/2006/relationships/customProperty" Target="../customProperty83.bin"/><Relationship Id="rId1" Type="http://schemas.openxmlformats.org/officeDocument/2006/relationships/printerSettings" Target="../printerSettings/printerSettings42.bin"/><Relationship Id="rId4" Type="http://schemas.openxmlformats.org/officeDocument/2006/relationships/vmlDrawing" Target="../drawings/vmlDrawing43.vml"/></Relationships>
</file>

<file path=xl/worksheets/_rels/sheet43.xml.rels><?xml version="1.0" encoding="UTF-8" standalone="yes"?>
<Relationships xmlns="http://schemas.openxmlformats.org/package/2006/relationships"><Relationship Id="rId3" Type="http://schemas.openxmlformats.org/officeDocument/2006/relationships/customProperty" Target="../customProperty86.bin"/><Relationship Id="rId2" Type="http://schemas.openxmlformats.org/officeDocument/2006/relationships/customProperty" Target="../customProperty85.bin"/><Relationship Id="rId1" Type="http://schemas.openxmlformats.org/officeDocument/2006/relationships/printerSettings" Target="../printerSettings/printerSettings43.bin"/><Relationship Id="rId4" Type="http://schemas.openxmlformats.org/officeDocument/2006/relationships/vmlDrawing" Target="../drawings/vmlDrawing44.vml"/></Relationships>
</file>

<file path=xl/worksheets/_rels/sheet44.xml.rels><?xml version="1.0" encoding="UTF-8" standalone="yes"?>
<Relationships xmlns="http://schemas.openxmlformats.org/package/2006/relationships"><Relationship Id="rId3" Type="http://schemas.openxmlformats.org/officeDocument/2006/relationships/customProperty" Target="../customProperty88.bin"/><Relationship Id="rId2" Type="http://schemas.openxmlformats.org/officeDocument/2006/relationships/customProperty" Target="../customProperty87.bin"/><Relationship Id="rId1" Type="http://schemas.openxmlformats.org/officeDocument/2006/relationships/printerSettings" Target="../printerSettings/printerSettings44.bin"/><Relationship Id="rId4" Type="http://schemas.openxmlformats.org/officeDocument/2006/relationships/vmlDrawing" Target="../drawings/vmlDrawing45.vml"/></Relationships>
</file>

<file path=xl/worksheets/_rels/sheet45.xml.rels><?xml version="1.0" encoding="UTF-8" standalone="yes"?>
<Relationships xmlns="http://schemas.openxmlformats.org/package/2006/relationships"><Relationship Id="rId3" Type="http://schemas.openxmlformats.org/officeDocument/2006/relationships/customProperty" Target="../customProperty90.bin"/><Relationship Id="rId2" Type="http://schemas.openxmlformats.org/officeDocument/2006/relationships/customProperty" Target="../customProperty89.bin"/><Relationship Id="rId1" Type="http://schemas.openxmlformats.org/officeDocument/2006/relationships/printerSettings" Target="../printerSettings/printerSettings45.bin"/><Relationship Id="rId4" Type="http://schemas.openxmlformats.org/officeDocument/2006/relationships/vmlDrawing" Target="../drawings/vmlDrawing46.vml"/></Relationships>
</file>

<file path=xl/worksheets/_rels/sheet46.xml.rels><?xml version="1.0" encoding="UTF-8" standalone="yes"?>
<Relationships xmlns="http://schemas.openxmlformats.org/package/2006/relationships"><Relationship Id="rId3" Type="http://schemas.openxmlformats.org/officeDocument/2006/relationships/customProperty" Target="../customProperty92.bin"/><Relationship Id="rId2" Type="http://schemas.openxmlformats.org/officeDocument/2006/relationships/customProperty" Target="../customProperty91.bin"/><Relationship Id="rId1" Type="http://schemas.openxmlformats.org/officeDocument/2006/relationships/printerSettings" Target="../printerSettings/printerSettings46.bin"/><Relationship Id="rId4" Type="http://schemas.openxmlformats.org/officeDocument/2006/relationships/vmlDrawing" Target="../drawings/vmlDrawing47.vml"/></Relationships>
</file>

<file path=xl/worksheets/_rels/sheet47.xml.rels><?xml version="1.0" encoding="UTF-8" standalone="yes"?>
<Relationships xmlns="http://schemas.openxmlformats.org/package/2006/relationships"><Relationship Id="rId3" Type="http://schemas.openxmlformats.org/officeDocument/2006/relationships/customProperty" Target="../customProperty94.bin"/><Relationship Id="rId2" Type="http://schemas.openxmlformats.org/officeDocument/2006/relationships/customProperty" Target="../customProperty93.bin"/><Relationship Id="rId1" Type="http://schemas.openxmlformats.org/officeDocument/2006/relationships/printerSettings" Target="../printerSettings/printerSettings47.bin"/><Relationship Id="rId4" Type="http://schemas.openxmlformats.org/officeDocument/2006/relationships/vmlDrawing" Target="../drawings/vmlDrawing48.vml"/></Relationships>
</file>

<file path=xl/worksheets/_rels/sheet48.xml.rels><?xml version="1.0" encoding="UTF-8" standalone="yes"?>
<Relationships xmlns="http://schemas.openxmlformats.org/package/2006/relationships"><Relationship Id="rId3" Type="http://schemas.openxmlformats.org/officeDocument/2006/relationships/customProperty" Target="../customProperty96.bin"/><Relationship Id="rId2" Type="http://schemas.openxmlformats.org/officeDocument/2006/relationships/customProperty" Target="../customProperty95.bin"/><Relationship Id="rId1" Type="http://schemas.openxmlformats.org/officeDocument/2006/relationships/printerSettings" Target="../printerSettings/printerSettings48.bin"/><Relationship Id="rId4" Type="http://schemas.openxmlformats.org/officeDocument/2006/relationships/vmlDrawing" Target="../drawings/vmlDrawing49.vml"/></Relationships>
</file>

<file path=xl/worksheets/_rels/sheet49.xml.rels><?xml version="1.0" encoding="UTF-8" standalone="yes"?>
<Relationships xmlns="http://schemas.openxmlformats.org/package/2006/relationships"><Relationship Id="rId3" Type="http://schemas.openxmlformats.org/officeDocument/2006/relationships/customProperty" Target="../customProperty98.bin"/><Relationship Id="rId2" Type="http://schemas.openxmlformats.org/officeDocument/2006/relationships/customProperty" Target="../customProperty97.bin"/><Relationship Id="rId1" Type="http://schemas.openxmlformats.org/officeDocument/2006/relationships/printerSettings" Target="../printerSettings/printerSettings49.bin"/><Relationship Id="rId4" Type="http://schemas.openxmlformats.org/officeDocument/2006/relationships/vmlDrawing" Target="../drawings/vmlDrawing50.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customProperty" Target="../customProperty100.bin"/><Relationship Id="rId2" Type="http://schemas.openxmlformats.org/officeDocument/2006/relationships/customProperty" Target="../customProperty99.bin"/><Relationship Id="rId1" Type="http://schemas.openxmlformats.org/officeDocument/2006/relationships/printerSettings" Target="../printerSettings/printerSettings50.bin"/><Relationship Id="rId4" Type="http://schemas.openxmlformats.org/officeDocument/2006/relationships/vmlDrawing" Target="../drawings/vmlDrawing51.vml"/></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102.bin"/><Relationship Id="rId2" Type="http://schemas.openxmlformats.org/officeDocument/2006/relationships/customProperty" Target="../customProperty101.bin"/><Relationship Id="rId1" Type="http://schemas.openxmlformats.org/officeDocument/2006/relationships/printerSettings" Target="../printerSettings/printerSettings51.bin"/><Relationship Id="rId4" Type="http://schemas.openxmlformats.org/officeDocument/2006/relationships/vmlDrawing" Target="../drawings/vmlDrawing52.vml"/></Relationships>
</file>

<file path=xl/worksheets/_rels/sheet52.xml.rels><?xml version="1.0" encoding="UTF-8" standalone="yes"?>
<Relationships xmlns="http://schemas.openxmlformats.org/package/2006/relationships"><Relationship Id="rId3" Type="http://schemas.openxmlformats.org/officeDocument/2006/relationships/customProperty" Target="../customProperty104.bin"/><Relationship Id="rId2" Type="http://schemas.openxmlformats.org/officeDocument/2006/relationships/customProperty" Target="../customProperty103.bin"/><Relationship Id="rId1" Type="http://schemas.openxmlformats.org/officeDocument/2006/relationships/printerSettings" Target="../printerSettings/printerSettings52.bin"/><Relationship Id="rId4" Type="http://schemas.openxmlformats.org/officeDocument/2006/relationships/vmlDrawing" Target="../drawings/vmlDrawing53.vml"/></Relationships>
</file>

<file path=xl/worksheets/_rels/sheet53.xml.rels><?xml version="1.0" encoding="UTF-8" standalone="yes"?>
<Relationships xmlns="http://schemas.openxmlformats.org/package/2006/relationships"><Relationship Id="rId3" Type="http://schemas.openxmlformats.org/officeDocument/2006/relationships/customProperty" Target="../customProperty106.bin"/><Relationship Id="rId2" Type="http://schemas.openxmlformats.org/officeDocument/2006/relationships/customProperty" Target="../customProperty105.bin"/><Relationship Id="rId1" Type="http://schemas.openxmlformats.org/officeDocument/2006/relationships/printerSettings" Target="../printerSettings/printerSettings53.bin"/><Relationship Id="rId4" Type="http://schemas.openxmlformats.org/officeDocument/2006/relationships/vmlDrawing" Target="../drawings/vmlDrawing54.vml"/></Relationships>
</file>

<file path=xl/worksheets/_rels/sheet54.xml.rels><?xml version="1.0" encoding="UTF-8" standalone="yes"?>
<Relationships xmlns="http://schemas.openxmlformats.org/package/2006/relationships"><Relationship Id="rId3" Type="http://schemas.openxmlformats.org/officeDocument/2006/relationships/customProperty" Target="../customProperty108.bin"/><Relationship Id="rId2" Type="http://schemas.openxmlformats.org/officeDocument/2006/relationships/customProperty" Target="../customProperty107.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ustomProperty" Target="../customProperty110.bin"/><Relationship Id="rId2" Type="http://schemas.openxmlformats.org/officeDocument/2006/relationships/customProperty" Target="../customProperty109.bin"/><Relationship Id="rId1" Type="http://schemas.openxmlformats.org/officeDocument/2006/relationships/printerSettings" Target="../printerSettings/printerSettings55.bin"/><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customProperty" Target="../customProperty112.bin"/><Relationship Id="rId2" Type="http://schemas.openxmlformats.org/officeDocument/2006/relationships/customProperty" Target="../customProperty111.bin"/><Relationship Id="rId1" Type="http://schemas.openxmlformats.org/officeDocument/2006/relationships/printerSettings" Target="../printerSettings/printerSettings56.bin"/><Relationship Id="rId5" Type="http://schemas.openxmlformats.org/officeDocument/2006/relationships/comments" Target="../comments2.xml"/><Relationship Id="rId4" Type="http://schemas.openxmlformats.org/officeDocument/2006/relationships/vmlDrawing" Target="../drawings/vmlDrawing56.vml"/></Relationships>
</file>

<file path=xl/worksheets/_rels/sheet57.xml.rels><?xml version="1.0" encoding="UTF-8" standalone="yes"?>
<Relationships xmlns="http://schemas.openxmlformats.org/package/2006/relationships"><Relationship Id="rId3" Type="http://schemas.openxmlformats.org/officeDocument/2006/relationships/customProperty" Target="../customProperty114.bin"/><Relationship Id="rId2" Type="http://schemas.openxmlformats.org/officeDocument/2006/relationships/customProperty" Target="../customProperty113.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ustomProperty" Target="../customProperty116.bin"/><Relationship Id="rId2" Type="http://schemas.openxmlformats.org/officeDocument/2006/relationships/customProperty" Target="../customProperty115.bin"/><Relationship Id="rId1" Type="http://schemas.openxmlformats.org/officeDocument/2006/relationships/printerSettings" Target="../printerSettings/printerSettings58.bin"/><Relationship Id="rId6" Type="http://schemas.openxmlformats.org/officeDocument/2006/relationships/comments" Target="../comments3.xml"/><Relationship Id="rId5" Type="http://schemas.openxmlformats.org/officeDocument/2006/relationships/vmlDrawing" Target="../drawings/vmlDrawing58.vml"/><Relationship Id="rId4" Type="http://schemas.openxmlformats.org/officeDocument/2006/relationships/vmlDrawing" Target="../drawings/vmlDrawing57.vml"/></Relationships>
</file>

<file path=xl/worksheets/_rels/sheet59.xml.rels><?xml version="1.0" encoding="UTF-8" standalone="yes"?>
<Relationships xmlns="http://schemas.openxmlformats.org/package/2006/relationships"><Relationship Id="rId3" Type="http://schemas.openxmlformats.org/officeDocument/2006/relationships/customProperty" Target="../customProperty118.bin"/><Relationship Id="rId2" Type="http://schemas.openxmlformats.org/officeDocument/2006/relationships/customProperty" Target="../customProperty117.bin"/><Relationship Id="rId1" Type="http://schemas.openxmlformats.org/officeDocument/2006/relationships/printerSettings" Target="../printerSettings/printerSettings59.bin"/><Relationship Id="rId5" Type="http://schemas.openxmlformats.org/officeDocument/2006/relationships/comments" Target="../comments4.xm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customProperty" Target="../customProperty120.bin"/><Relationship Id="rId2" Type="http://schemas.openxmlformats.org/officeDocument/2006/relationships/customProperty" Target="../customProperty119.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ustomProperty" Target="../customProperty122.bin"/><Relationship Id="rId2" Type="http://schemas.openxmlformats.org/officeDocument/2006/relationships/customProperty" Target="../customProperty121.bin"/><Relationship Id="rId1" Type="http://schemas.openxmlformats.org/officeDocument/2006/relationships/printerSettings" Target="../printerSettings/printerSettings61.bin"/><Relationship Id="rId4" Type="http://schemas.openxmlformats.org/officeDocument/2006/relationships/vmlDrawing" Target="../drawings/vmlDrawing60.vml"/></Relationships>
</file>

<file path=xl/worksheets/_rels/sheet62.xml.rels><?xml version="1.0" encoding="UTF-8" standalone="yes"?>
<Relationships xmlns="http://schemas.openxmlformats.org/package/2006/relationships"><Relationship Id="rId3" Type="http://schemas.openxmlformats.org/officeDocument/2006/relationships/customProperty" Target="../customProperty124.bin"/><Relationship Id="rId2" Type="http://schemas.openxmlformats.org/officeDocument/2006/relationships/customProperty" Target="../customProperty123.bin"/><Relationship Id="rId1" Type="http://schemas.openxmlformats.org/officeDocument/2006/relationships/printerSettings" Target="../printerSettings/printerSettings62.bin"/><Relationship Id="rId4" Type="http://schemas.openxmlformats.org/officeDocument/2006/relationships/vmlDrawing" Target="../drawings/vmlDrawing61.vml"/></Relationships>
</file>

<file path=xl/worksheets/_rels/sheet63.xml.rels><?xml version="1.0" encoding="UTF-8" standalone="yes"?>
<Relationships xmlns="http://schemas.openxmlformats.org/package/2006/relationships"><Relationship Id="rId3" Type="http://schemas.openxmlformats.org/officeDocument/2006/relationships/customProperty" Target="../customProperty126.bin"/><Relationship Id="rId2" Type="http://schemas.openxmlformats.org/officeDocument/2006/relationships/customProperty" Target="../customProperty125.bin"/><Relationship Id="rId1" Type="http://schemas.openxmlformats.org/officeDocument/2006/relationships/printerSettings" Target="../printerSettings/printerSettings63.bin"/><Relationship Id="rId4" Type="http://schemas.openxmlformats.org/officeDocument/2006/relationships/vmlDrawing" Target="../drawings/vmlDrawing62.vml"/></Relationships>
</file>

<file path=xl/worksheets/_rels/sheet64.xml.rels><?xml version="1.0" encoding="UTF-8" standalone="yes"?>
<Relationships xmlns="http://schemas.openxmlformats.org/package/2006/relationships"><Relationship Id="rId3" Type="http://schemas.openxmlformats.org/officeDocument/2006/relationships/customProperty" Target="../customProperty128.bin"/><Relationship Id="rId2" Type="http://schemas.openxmlformats.org/officeDocument/2006/relationships/customProperty" Target="../customProperty127.bin"/><Relationship Id="rId1" Type="http://schemas.openxmlformats.org/officeDocument/2006/relationships/printerSettings" Target="../printerSettings/printerSettings64.bin"/><Relationship Id="rId4" Type="http://schemas.openxmlformats.org/officeDocument/2006/relationships/vmlDrawing" Target="../drawings/vmlDrawing63.vml"/></Relationships>
</file>

<file path=xl/worksheets/_rels/sheet65.xml.rels><?xml version="1.0" encoding="UTF-8" standalone="yes"?>
<Relationships xmlns="http://schemas.openxmlformats.org/package/2006/relationships"><Relationship Id="rId3" Type="http://schemas.openxmlformats.org/officeDocument/2006/relationships/customProperty" Target="../customProperty130.bin"/><Relationship Id="rId2" Type="http://schemas.openxmlformats.org/officeDocument/2006/relationships/customProperty" Target="../customProperty129.bin"/><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479"/>
    <pageSetUpPr fitToPage="1"/>
  </sheetPr>
  <dimension ref="A1:C36"/>
  <sheetViews>
    <sheetView workbookViewId="0">
      <selection activeCell="B21" sqref="B21"/>
    </sheetView>
  </sheetViews>
  <sheetFormatPr defaultColWidth="9" defaultRowHeight="14.25"/>
  <cols>
    <col min="1" max="1" width="2.125" style="2" customWidth="1"/>
    <col min="2" max="2" width="104" style="8" customWidth="1"/>
    <col min="3" max="3" width="2.125" style="2" customWidth="1"/>
    <col min="4" max="4" width="8.125" style="2" customWidth="1"/>
    <col min="5" max="16384" width="9" style="2"/>
  </cols>
  <sheetData>
    <row r="1" spans="1:3" ht="20.25">
      <c r="A1" s="6" t="s">
        <v>0</v>
      </c>
      <c r="B1" s="6"/>
      <c r="C1" s="6"/>
    </row>
    <row r="2" spans="1:3" ht="21">
      <c r="A2" s="3"/>
      <c r="B2" s="2"/>
    </row>
    <row r="3" spans="1:3" ht="15">
      <c r="A3" s="408" t="s">
        <v>1</v>
      </c>
      <c r="B3" s="408"/>
      <c r="C3" s="408"/>
    </row>
    <row r="4" spans="1:3">
      <c r="A4" s="4"/>
      <c r="B4" s="2"/>
    </row>
    <row r="5" spans="1:3" ht="51">
      <c r="B5" s="409" t="s">
        <v>2</v>
      </c>
    </row>
    <row r="6" spans="1:3">
      <c r="B6" s="409"/>
    </row>
    <row r="7" spans="1:3">
      <c r="B7" s="2970" t="s">
        <v>3</v>
      </c>
    </row>
    <row r="8" spans="1:3">
      <c r="B8" s="409"/>
    </row>
    <row r="9" spans="1:3" ht="15">
      <c r="A9" s="408" t="s">
        <v>4</v>
      </c>
      <c r="B9" s="408"/>
      <c r="C9" s="408"/>
    </row>
    <row r="10" spans="1:3">
      <c r="B10" s="409"/>
    </row>
    <row r="11" spans="1:3">
      <c r="B11" s="409" t="s">
        <v>5</v>
      </c>
    </row>
    <row r="12" spans="1:3">
      <c r="B12" s="409"/>
    </row>
    <row r="13" spans="1:3">
      <c r="B13" s="409" t="s">
        <v>6</v>
      </c>
    </row>
    <row r="14" spans="1:3">
      <c r="B14" s="409"/>
    </row>
    <row r="15" spans="1:3">
      <c r="B15" s="409" t="s">
        <v>7</v>
      </c>
    </row>
    <row r="16" spans="1:3">
      <c r="B16" s="409"/>
    </row>
    <row r="17" spans="1:3" ht="25.5">
      <c r="B17" s="409" t="s">
        <v>8</v>
      </c>
    </row>
    <row r="18" spans="1:3">
      <c r="B18" s="409"/>
    </row>
    <row r="19" spans="1:3">
      <c r="B19" s="409" t="s">
        <v>9</v>
      </c>
    </row>
    <row r="20" spans="1:3">
      <c r="B20" s="409"/>
    </row>
    <row r="21" spans="1:3" ht="51" customHeight="1">
      <c r="B21" s="679" t="s">
        <v>10</v>
      </c>
    </row>
    <row r="22" spans="1:3">
      <c r="B22" s="679"/>
    </row>
    <row r="23" spans="1:3">
      <c r="B23" s="409"/>
    </row>
    <row r="24" spans="1:3" ht="15">
      <c r="A24" s="408" t="s">
        <v>11</v>
      </c>
      <c r="B24" s="408"/>
      <c r="C24" s="408"/>
    </row>
    <row r="25" spans="1:3">
      <c r="B25" s="409"/>
    </row>
    <row r="26" spans="1:3">
      <c r="B26" s="409" t="s">
        <v>12</v>
      </c>
    </row>
    <row r="27" spans="1:3">
      <c r="B27" s="409"/>
    </row>
    <row r="28" spans="1:3" ht="25.5">
      <c r="B28" s="409" t="s">
        <v>13</v>
      </c>
    </row>
    <row r="29" spans="1:3">
      <c r="B29" s="409"/>
    </row>
    <row r="30" spans="1:3" ht="25.5">
      <c r="B30" s="409" t="s">
        <v>14</v>
      </c>
    </row>
    <row r="31" spans="1:3">
      <c r="B31" s="409"/>
    </row>
    <row r="32" spans="1:3" ht="25.5">
      <c r="B32" s="409" t="s">
        <v>15</v>
      </c>
    </row>
    <row r="33" spans="1:3">
      <c r="B33" s="2968" t="s">
        <v>16</v>
      </c>
    </row>
    <row r="34" spans="1:3">
      <c r="A34" s="4"/>
      <c r="B34" s="2"/>
    </row>
    <row r="35" spans="1:3" ht="15">
      <c r="A35" s="408" t="s">
        <v>17</v>
      </c>
      <c r="B35" s="408"/>
      <c r="C35" s="408"/>
    </row>
    <row r="36" spans="1:3">
      <c r="B36" s="2969" t="s">
        <v>18</v>
      </c>
    </row>
  </sheetData>
  <hyperlinks>
    <hyperlink ref="B33" r:id="rId1" xr:uid="{00000000-0004-0000-0000-000000000000}"/>
    <hyperlink ref="B36"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&amp;K8573622019-20 annual performance report tables&amp;R&amp;G</oddHeader>
    <oddFooter>&amp;L&amp;9&amp;K857362&amp;A&amp;R&amp;9&amp;K857362Printed: &amp;D &amp;T</oddFooter>
  </headerFooter>
  <customProperties>
    <customPr name="_pios_id" r:id="rId5"/>
    <customPr name="EpmWorksheetKeyString_GUID" r:id="rId6"/>
  </customProperties>
  <legacyDrawingHF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3479"/>
    <pageSetUpPr fitToPage="1"/>
  </sheetPr>
  <dimension ref="A1:L16"/>
  <sheetViews>
    <sheetView topLeftCell="A1048576" workbookViewId="0"/>
  </sheetViews>
  <sheetFormatPr defaultColWidth="0" defaultRowHeight="14.25" customHeight="1" zeroHeight="1"/>
  <cols>
    <col min="1" max="1" width="0.5" style="8" customWidth="1"/>
    <col min="2" max="8" width="8.5" style="8" hidden="1" customWidth="1"/>
    <col min="9" max="16384" width="8.5" style="8" hidden="1"/>
  </cols>
  <sheetData>
    <row r="1" spans="12:12" hidden="1">
      <c r="L1" s="479"/>
    </row>
    <row r="2" spans="12:12" hidden="1">
      <c r="L2" s="479"/>
    </row>
    <row r="3" spans="12:12" hidden="1">
      <c r="L3" s="479"/>
    </row>
    <row r="4" spans="12:12" hidden="1">
      <c r="L4" s="479"/>
    </row>
    <row r="5" spans="12:12" hidden="1">
      <c r="L5" s="479"/>
    </row>
    <row r="6" spans="12:12" hidden="1">
      <c r="L6" s="479">
        <f>IF(Validation!$H$3=1,0,IF(ISNUMBER(#REF!),0,1))</f>
        <v>1</v>
      </c>
    </row>
    <row r="7" spans="12:12" hidden="1">
      <c r="L7" s="479"/>
    </row>
    <row r="8" spans="12:12" hidden="1">
      <c r="L8" s="479"/>
    </row>
    <row r="9" spans="12:12" hidden="1">
      <c r="L9" s="479"/>
    </row>
    <row r="10" spans="12:12" hidden="1">
      <c r="L10" s="479"/>
    </row>
    <row r="11" spans="12:12" hidden="1">
      <c r="L11" s="479"/>
    </row>
    <row r="12" spans="12:12" hidden="1">
      <c r="L12" s="479"/>
    </row>
    <row r="13" spans="12:12" hidden="1">
      <c r="L13" s="479"/>
    </row>
    <row r="14" spans="12:12" hidden="1">
      <c r="L14" s="479"/>
    </row>
    <row r="15" spans="12:12" hidden="1">
      <c r="L15" s="479"/>
    </row>
    <row r="16" spans="12:12" hidden="1">
      <c r="L16" s="479"/>
    </row>
  </sheetData>
  <sheetProtection algorithmName="SHA-512" hashValue="ZCB2RBw8SBzKqeHGKVqKYnc8UwHh8aEMWIjV9naQ7aOQ9ult5ExNyLKFjz7wrVwsNoTsZEqhxY9kaK074UCGNQ==" saltValue="HRlC5QpmZsE0WvvZMEk7W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BV46"/>
  <sheetViews>
    <sheetView workbookViewId="0">
      <selection activeCell="L11" sqref="L11"/>
    </sheetView>
  </sheetViews>
  <sheetFormatPr defaultColWidth="0" defaultRowHeight="14.25" zeroHeight="1"/>
  <cols>
    <col min="1" max="1" width="0.5" style="74" customWidth="1"/>
    <col min="2" max="2" width="4.125" style="74" customWidth="1"/>
    <col min="3" max="3" width="34.5" style="74" bestFit="1" customWidth="1"/>
    <col min="4" max="4" width="5.5" style="74" hidden="1" customWidth="1"/>
    <col min="5" max="6" width="5.125" style="74" customWidth="1"/>
    <col min="7" max="16" width="12.5" style="74" customWidth="1"/>
    <col min="17" max="17" width="2.5" style="74" customWidth="1"/>
    <col min="18" max="18" width="42.5" style="74" customWidth="1"/>
    <col min="19" max="19" width="25.5" style="74" customWidth="1"/>
    <col min="20" max="20" width="1.5" style="70" customWidth="1"/>
    <col min="21" max="21" width="1.5" style="71" hidden="1" customWidth="1"/>
    <col min="22" max="31" width="4.5" style="70" hidden="1" customWidth="1"/>
    <col min="32" max="32" width="1.5" style="71" hidden="1" customWidth="1"/>
    <col min="33" max="37" width="8" style="74" hidden="1" customWidth="1"/>
    <col min="38" max="38" width="1.5" style="71" hidden="1" customWidth="1"/>
    <col min="39" max="39" width="8.125" style="74" hidden="1" customWidth="1"/>
    <col min="40" max="40" width="7" style="74" hidden="1" customWidth="1"/>
    <col min="41" max="41" width="42.5" style="74" hidden="1" customWidth="1"/>
    <col min="42" max="43" width="5.5" style="74" hidden="1" customWidth="1"/>
    <col min="44" max="44" width="54.5" style="74" hidden="1" customWidth="1"/>
    <col min="45" max="45" width="5.5" style="74" hidden="1" customWidth="1"/>
    <col min="46" max="46" width="5.125" style="74" hidden="1" customWidth="1"/>
    <col min="47" max="47" width="35.5" style="74" hidden="1" customWidth="1"/>
    <col min="48" max="48" width="5.5" style="74" hidden="1" customWidth="1"/>
    <col min="49" max="49" width="5.125" style="74" hidden="1" customWidth="1"/>
    <col min="50" max="50" width="39.5" style="74" hidden="1" customWidth="1"/>
    <col min="51" max="52" width="5.125" style="74" hidden="1" customWidth="1"/>
    <col min="53" max="53" width="39.5" style="74" hidden="1" customWidth="1"/>
    <col min="54" max="54" width="1.5" style="71" hidden="1" customWidth="1"/>
    <col min="55" max="57" width="8.5" style="74" hidden="1" customWidth="1"/>
    <col min="58" max="58" width="8" style="74" customWidth="1"/>
    <col min="59" max="59" width="4.125" style="74" customWidth="1"/>
    <col min="60" max="60" width="34.5" style="74" bestFit="1" customWidth="1"/>
    <col min="61" max="61" width="5.5" style="74" hidden="1" customWidth="1"/>
    <col min="62" max="63" width="5.125" style="74" customWidth="1"/>
    <col min="64" max="73" width="12.5" style="74" customWidth="1"/>
    <col min="74" max="74" width="3.125" style="74" customWidth="1"/>
    <col min="75" max="16384" width="8" style="74" hidden="1"/>
  </cols>
  <sheetData>
    <row r="1" spans="2:73" s="70" customFormat="1" ht="20.25">
      <c r="B1" s="66" t="s">
        <v>901</v>
      </c>
      <c r="C1" s="66"/>
      <c r="D1" s="66"/>
      <c r="E1" s="66"/>
      <c r="F1" s="66"/>
      <c r="G1" s="66"/>
      <c r="H1" s="66"/>
      <c r="I1" s="68"/>
      <c r="J1" s="68"/>
      <c r="K1" s="68"/>
      <c r="L1" s="68"/>
      <c r="M1" s="68"/>
      <c r="N1" s="66"/>
      <c r="O1" s="66"/>
      <c r="P1" s="68" t="str">
        <f>Validation!B3</f>
        <v>Yorkshire Water</v>
      </c>
      <c r="Q1" s="69"/>
      <c r="R1" s="69"/>
      <c r="S1" s="69" t="s">
        <v>34</v>
      </c>
      <c r="U1" s="71"/>
      <c r="AF1" s="71"/>
      <c r="AL1" s="71"/>
      <c r="BB1" s="71"/>
      <c r="BG1" s="66" t="s">
        <v>35</v>
      </c>
      <c r="BH1" s="66"/>
      <c r="BI1" s="66"/>
      <c r="BJ1" s="66"/>
      <c r="BK1" s="66"/>
      <c r="BL1" s="66"/>
      <c r="BM1" s="66"/>
      <c r="BN1" s="68"/>
      <c r="BO1" s="68"/>
      <c r="BP1" s="68"/>
      <c r="BQ1" s="68"/>
      <c r="BR1" s="68"/>
      <c r="BS1" s="66"/>
      <c r="BT1" s="66"/>
      <c r="BU1" s="68"/>
    </row>
    <row r="2" spans="2:73" s="70" customFormat="1" ht="15" thickBot="1">
      <c r="B2" s="73" t="str">
        <f>'1F'!B2</f>
        <v>For the 12 months ended 31 March 2020</v>
      </c>
      <c r="U2" s="71"/>
      <c r="AF2" s="71"/>
      <c r="AL2" s="71"/>
      <c r="BB2" s="71"/>
      <c r="BG2" s="73" t="str">
        <f>+B2</f>
        <v>For the 12 months ended 31 March 2020</v>
      </c>
    </row>
    <row r="3" spans="2:73" ht="13.7" customHeight="1">
      <c r="B3" s="3106" t="s">
        <v>36</v>
      </c>
      <c r="C3" s="3107"/>
      <c r="D3" s="2995" t="s">
        <v>37</v>
      </c>
      <c r="E3" s="3110" t="s">
        <v>38</v>
      </c>
      <c r="F3" s="3112" t="s">
        <v>39</v>
      </c>
      <c r="G3" s="3114" t="s">
        <v>902</v>
      </c>
      <c r="H3" s="3115"/>
      <c r="I3" s="3116" t="s">
        <v>903</v>
      </c>
      <c r="J3" s="3117"/>
      <c r="K3" s="3117"/>
      <c r="L3" s="3117"/>
      <c r="M3" s="3117"/>
      <c r="N3" s="3117"/>
      <c r="O3" s="3118"/>
      <c r="P3" s="3104" t="s">
        <v>710</v>
      </c>
      <c r="R3" s="3067" t="s">
        <v>705</v>
      </c>
      <c r="S3" s="3069" t="s">
        <v>43</v>
      </c>
      <c r="V3" s="3072" t="s">
        <v>47</v>
      </c>
      <c r="W3" s="3072"/>
      <c r="X3" s="3072"/>
      <c r="Y3" s="3072"/>
      <c r="Z3" s="3072"/>
      <c r="AA3" s="3072"/>
      <c r="AB3" s="3072"/>
      <c r="AC3" s="3072"/>
      <c r="AD3" s="3072"/>
      <c r="AE3" s="3072"/>
      <c r="AG3" s="3072" t="s">
        <v>26</v>
      </c>
      <c r="AH3" s="2987"/>
      <c r="AI3" s="2987"/>
      <c r="AJ3" s="2987"/>
      <c r="AK3" s="2987"/>
      <c r="AM3" s="3119" t="s">
        <v>904</v>
      </c>
      <c r="AN3" s="3119"/>
      <c r="AO3" s="3119"/>
      <c r="AP3" s="3119"/>
      <c r="AQ3" s="3119"/>
      <c r="AR3" s="3119"/>
      <c r="AS3" s="3119"/>
      <c r="AT3" s="3119"/>
      <c r="AU3" s="3119"/>
      <c r="AV3" s="3119"/>
      <c r="AW3" s="3119"/>
      <c r="AX3" s="3119"/>
      <c r="AY3" s="2992"/>
      <c r="AZ3" s="2992"/>
      <c r="BA3" s="2992"/>
      <c r="BG3" s="3106" t="s">
        <v>36</v>
      </c>
      <c r="BH3" s="3107"/>
      <c r="BI3" s="2995" t="s">
        <v>37</v>
      </c>
      <c r="BJ3" s="3110" t="s">
        <v>38</v>
      </c>
      <c r="BK3" s="3112" t="s">
        <v>39</v>
      </c>
      <c r="BL3" s="3114" t="s">
        <v>902</v>
      </c>
      <c r="BM3" s="3115"/>
      <c r="BN3" s="3116" t="s">
        <v>903</v>
      </c>
      <c r="BO3" s="3117"/>
      <c r="BP3" s="3117"/>
      <c r="BQ3" s="3117"/>
      <c r="BR3" s="3117"/>
      <c r="BS3" s="3117"/>
      <c r="BT3" s="3118"/>
      <c r="BU3" s="3104" t="s">
        <v>710</v>
      </c>
    </row>
    <row r="4" spans="2:73" ht="28.5" customHeight="1" thickBot="1">
      <c r="B4" s="3108"/>
      <c r="C4" s="3109"/>
      <c r="D4" s="2996"/>
      <c r="E4" s="3111"/>
      <c r="F4" s="3113"/>
      <c r="G4" s="259" t="s">
        <v>905</v>
      </c>
      <c r="H4" s="260" t="s">
        <v>906</v>
      </c>
      <c r="I4" s="491" t="s">
        <v>907</v>
      </c>
      <c r="J4" s="492" t="s">
        <v>908</v>
      </c>
      <c r="K4" s="492" t="s">
        <v>909</v>
      </c>
      <c r="L4" s="491" t="s">
        <v>910</v>
      </c>
      <c r="M4" s="492" t="s">
        <v>911</v>
      </c>
      <c r="N4" s="1960" t="s">
        <v>912</v>
      </c>
      <c r="O4" s="260" t="s">
        <v>913</v>
      </c>
      <c r="P4" s="3105"/>
      <c r="R4" s="3120"/>
      <c r="S4" s="3121"/>
      <c r="T4" s="79"/>
      <c r="V4" s="3072"/>
      <c r="W4" s="3072"/>
      <c r="X4" s="3072"/>
      <c r="Y4" s="3072"/>
      <c r="Z4" s="3072"/>
      <c r="AA4" s="3072"/>
      <c r="AB4" s="3072"/>
      <c r="AC4" s="3072"/>
      <c r="AD4" s="3072"/>
      <c r="AE4" s="3072"/>
      <c r="AG4" s="3072"/>
      <c r="AH4" s="2987"/>
      <c r="AI4" s="2987"/>
      <c r="AJ4" s="2987"/>
      <c r="AK4" s="2987"/>
      <c r="AM4" s="3119"/>
      <c r="AN4" s="3119"/>
      <c r="AO4" s="3119"/>
      <c r="AP4" s="3119"/>
      <c r="AQ4" s="3119"/>
      <c r="AR4" s="3119"/>
      <c r="AS4" s="3119"/>
      <c r="AT4" s="3119"/>
      <c r="AU4" s="3119"/>
      <c r="AV4" s="3119"/>
      <c r="AW4" s="3119"/>
      <c r="AX4" s="3119"/>
      <c r="AY4" s="2992"/>
      <c r="AZ4" s="2992"/>
      <c r="BA4" s="2992"/>
      <c r="BG4" s="3108"/>
      <c r="BH4" s="3109"/>
      <c r="BI4" s="2996"/>
      <c r="BJ4" s="3111"/>
      <c r="BK4" s="3113"/>
      <c r="BL4" s="259" t="s">
        <v>905</v>
      </c>
      <c r="BM4" s="260" t="s">
        <v>906</v>
      </c>
      <c r="BN4" s="491" t="s">
        <v>907</v>
      </c>
      <c r="BO4" s="492" t="s">
        <v>908</v>
      </c>
      <c r="BP4" s="492" t="s">
        <v>909</v>
      </c>
      <c r="BQ4" s="491" t="s">
        <v>910</v>
      </c>
      <c r="BR4" s="492" t="s">
        <v>911</v>
      </c>
      <c r="BS4" s="260" t="s">
        <v>912</v>
      </c>
      <c r="BT4" s="260" t="s">
        <v>913</v>
      </c>
      <c r="BU4" s="3105"/>
    </row>
    <row r="5" spans="2:73" ht="15" thickBot="1">
      <c r="B5" s="262"/>
      <c r="C5" s="262"/>
      <c r="D5" s="262"/>
      <c r="V5" s="85" t="s">
        <v>48</v>
      </c>
      <c r="BG5" s="262"/>
      <c r="BH5" s="262"/>
      <c r="BI5" s="262"/>
    </row>
    <row r="6" spans="2:73" ht="22.5">
      <c r="B6" s="288" t="s">
        <v>914</v>
      </c>
      <c r="C6" s="29" t="s">
        <v>915</v>
      </c>
      <c r="D6" s="29"/>
      <c r="E6" s="300" t="s">
        <v>51</v>
      </c>
      <c r="F6" s="275">
        <v>3</v>
      </c>
      <c r="G6" s="456">
        <v>66.055000000000007</v>
      </c>
      <c r="H6" s="452">
        <v>7.7789999999999999</v>
      </c>
      <c r="J6" s="595">
        <v>437.77800000000002</v>
      </c>
      <c r="K6" s="379">
        <f xml:space="preserve"> J6</f>
        <v>437.77800000000002</v>
      </c>
      <c r="L6" s="670">
        <v>543.43100000000004</v>
      </c>
      <c r="N6" s="682">
        <f xml:space="preserve"> L6</f>
        <v>543.43100000000004</v>
      </c>
      <c r="O6" s="1984">
        <v>0</v>
      </c>
      <c r="P6" s="379">
        <f xml:space="preserve"> G6 + H6 + K6 + N6 + O6</f>
        <v>1055.0430000000001</v>
      </c>
      <c r="R6" s="1370">
        <f xml:space="preserve"> IF( SUM( AF6:AL6 ) = 0, 0, IF(AG6=1,AO6,"") &amp; IF(AH6=1,AR6,"") &amp; IF(AI6=1,AU6,"") &amp; IF(AJ6=1,AX6,"") &amp; IF(AK6=1,BA6,""))</f>
        <v>0</v>
      </c>
      <c r="S6" s="24">
        <f xml:space="preserve"> IF( SUM( U6:AF6 ) = 0, 0, $V$5 )</f>
        <v>0</v>
      </c>
      <c r="V6" s="93">
        <f xml:space="preserve"> IF( ISNUMBER( G6 ), 0, 1 )</f>
        <v>0</v>
      </c>
      <c r="W6" s="93">
        <f xml:space="preserve"> IF( ISNUMBER( H6 ), 0, 1 )</f>
        <v>0</v>
      </c>
      <c r="X6" s="127"/>
      <c r="Y6" s="93">
        <f xml:space="preserve"> IF( ISNUMBER( J6 ), 0, 1 )</f>
        <v>0</v>
      </c>
      <c r="Z6" s="127"/>
      <c r="AA6" s="93">
        <f xml:space="preserve"> IF( Validation!$H$3 = 1, 0, ( IF( ISNUMBER( L6 ), 0, 1 )))</f>
        <v>0</v>
      </c>
      <c r="AB6" s="127"/>
      <c r="AC6" s="127"/>
      <c r="AD6" s="93">
        <f>IF( Validation!$H$3 = 1, 0, IF(Validation!$B$3 &lt;&gt; "Thames Water",0, (IF(ISNUMBER(O6),0,1))))</f>
        <v>0</v>
      </c>
      <c r="AG6" s="93">
        <f xml:space="preserve"> IF( (AM6 - AN6) = 0, 0, 1 )</f>
        <v>0</v>
      </c>
      <c r="AH6" s="93">
        <f xml:space="preserve"> IF( (AP6 - AQ6) = 0, 0, 1 )</f>
        <v>0</v>
      </c>
      <c r="AI6" s="93">
        <f xml:space="preserve"> IF( (AS6 - AT6) = 0, 0, 1 )</f>
        <v>0</v>
      </c>
      <c r="AJ6" s="93">
        <f xml:space="preserve"> IF( (AV6 - AW6) = 0, 0, 1 )</f>
        <v>0</v>
      </c>
      <c r="AK6" s="93">
        <f xml:space="preserve"> IF( (AY6 - AZ6) = 0, 0, 1 )</f>
        <v>0</v>
      </c>
      <c r="AM6" s="165">
        <f xml:space="preserve"> ROUND( G6, 3)</f>
        <v>66.055000000000007</v>
      </c>
      <c r="AN6" s="165">
        <f xml:space="preserve"> ROUND( '2I'!G29, 3 )</f>
        <v>66.055000000000007</v>
      </c>
      <c r="AO6" s="1371" t="s">
        <v>916</v>
      </c>
      <c r="AP6" s="165">
        <f xml:space="preserve"> ROUND( H6, 3)</f>
        <v>7.7789999999999999</v>
      </c>
      <c r="AQ6" s="165">
        <f xml:space="preserve"> ROUND( '2I'!H29, 3 )</f>
        <v>7.7789999999999999</v>
      </c>
      <c r="AR6" s="1371" t="s">
        <v>917</v>
      </c>
      <c r="AS6" s="165">
        <f xml:space="preserve"> ROUND( K6, 3)</f>
        <v>437.77800000000002</v>
      </c>
      <c r="AT6" s="165">
        <f xml:space="preserve"> ROUND( '2I'!I9, 3 )</f>
        <v>437.77800000000002</v>
      </c>
      <c r="AU6" s="1371" t="s">
        <v>918</v>
      </c>
      <c r="AV6" s="165">
        <f xml:space="preserve"> ROUND( N6, 3)</f>
        <v>543.43100000000004</v>
      </c>
      <c r="AW6" s="165">
        <f xml:space="preserve"> ROUND( '2I'!I15, 3 )</f>
        <v>543.43100000000004</v>
      </c>
      <c r="AX6" s="1371" t="s">
        <v>919</v>
      </c>
      <c r="AY6" s="165">
        <f xml:space="preserve"> ROUND( O6, 3)</f>
        <v>0</v>
      </c>
      <c r="AZ6" s="165">
        <f xml:space="preserve"> ROUND( '2I'!I21, 3 )</f>
        <v>0</v>
      </c>
      <c r="BA6" s="1371" t="s">
        <v>920</v>
      </c>
      <c r="BG6" s="288" t="s">
        <v>914</v>
      </c>
      <c r="BH6" s="29" t="s">
        <v>915</v>
      </c>
      <c r="BI6" s="29"/>
      <c r="BJ6" s="300" t="s">
        <v>51</v>
      </c>
      <c r="BK6" s="275">
        <v>3</v>
      </c>
      <c r="BL6" s="2553" t="s">
        <v>921</v>
      </c>
      <c r="BM6" s="2554" t="s">
        <v>922</v>
      </c>
      <c r="BO6" s="2555" t="s">
        <v>923</v>
      </c>
      <c r="BP6" s="379" t="s">
        <v>924</v>
      </c>
      <c r="BQ6" s="1940" t="s">
        <v>925</v>
      </c>
      <c r="BS6" s="682" t="s">
        <v>926</v>
      </c>
      <c r="BT6" s="1940" t="s">
        <v>927</v>
      </c>
      <c r="BU6" s="379" t="s">
        <v>928</v>
      </c>
    </row>
    <row r="7" spans="2:73" ht="14.25" customHeight="1" thickBot="1">
      <c r="B7" s="289" t="s">
        <v>929</v>
      </c>
      <c r="C7" s="30" t="s">
        <v>930</v>
      </c>
      <c r="D7" s="30"/>
      <c r="E7" s="301" t="s">
        <v>51</v>
      </c>
      <c r="F7" s="279">
        <v>3</v>
      </c>
      <c r="G7" s="457">
        <v>0</v>
      </c>
      <c r="H7" s="453">
        <v>0</v>
      </c>
      <c r="J7" s="494">
        <v>1.377</v>
      </c>
      <c r="K7" s="380">
        <f xml:space="preserve"> J7</f>
        <v>1.377</v>
      </c>
      <c r="L7" s="671">
        <v>0.79300000000000004</v>
      </c>
      <c r="N7" s="683">
        <f xml:space="preserve"> L7</f>
        <v>0.79300000000000004</v>
      </c>
      <c r="O7" s="453">
        <v>0</v>
      </c>
      <c r="P7" s="380">
        <f xml:space="preserve"> G7 + H7 + K7 + N7 + O7</f>
        <v>2.17</v>
      </c>
      <c r="R7" s="1370">
        <f xml:space="preserve"> IF( SUM( AF7:AL7 ) = 0, 0, AO7 )</f>
        <v>0</v>
      </c>
      <c r="S7" s="24">
        <f t="shared" ref="S7:S20" si="0" xml:space="preserve"> IF( SUM( U7:AF7 ) = 0, 0, $V$5 )</f>
        <v>0</v>
      </c>
      <c r="V7" s="93">
        <f xml:space="preserve"> IF( ISNUMBER( G7 ), 0, 1 )</f>
        <v>0</v>
      </c>
      <c r="W7" s="93">
        <f xml:space="preserve"> IF( ISNUMBER( H7 ), 0, 1 )</f>
        <v>0</v>
      </c>
      <c r="X7" s="127"/>
      <c r="Y7" s="93">
        <f xml:space="preserve"> IF( ISNUMBER( J7 ), 0, 1 )</f>
        <v>0</v>
      </c>
      <c r="Z7" s="127"/>
      <c r="AA7" s="93">
        <f xml:space="preserve"> IF( Validation!$H$3 = 1, 0, ( IF( ISNUMBER( L7 ), 0, 1 )))</f>
        <v>0</v>
      </c>
      <c r="AB7" s="127"/>
      <c r="AC7" s="127"/>
      <c r="AD7" s="93">
        <f>IF( Validation!$H$3 = 1, 0, IF(Validation!$B$3 &lt;&gt; "Thames Water",0, (IF(ISNUMBER(O7),0,1))))</f>
        <v>0</v>
      </c>
      <c r="AG7" s="93">
        <f xml:space="preserve"> IF( (AM7 - AN7) = 0, 0, 1 )</f>
        <v>0</v>
      </c>
      <c r="AM7" s="165">
        <f xml:space="preserve"> ROUND( P6 + P7, 3)</f>
        <v>1057.213</v>
      </c>
      <c r="AN7" s="165">
        <f xml:space="preserve"> ROUND( '1A'!K6, 3 )</f>
        <v>1057.213</v>
      </c>
      <c r="AO7" s="1371" t="s">
        <v>931</v>
      </c>
      <c r="AP7" s="165"/>
      <c r="AQ7" s="165"/>
      <c r="AR7" s="1371"/>
      <c r="AS7" s="165"/>
      <c r="AT7" s="165"/>
      <c r="AU7" s="1371"/>
      <c r="AV7" s="165"/>
      <c r="AW7" s="165"/>
      <c r="AX7" s="1371"/>
      <c r="AY7" s="1371"/>
      <c r="AZ7" s="1371"/>
      <c r="BA7" s="1371"/>
      <c r="BG7" s="289" t="s">
        <v>929</v>
      </c>
      <c r="BH7" s="30" t="s">
        <v>930</v>
      </c>
      <c r="BI7" s="30"/>
      <c r="BJ7" s="301" t="s">
        <v>51</v>
      </c>
      <c r="BK7" s="279">
        <v>3</v>
      </c>
      <c r="BL7" s="2556" t="s">
        <v>932</v>
      </c>
      <c r="BM7" s="2557" t="s">
        <v>933</v>
      </c>
      <c r="BO7" s="2558" t="s">
        <v>934</v>
      </c>
      <c r="BP7" s="380" t="s">
        <v>935</v>
      </c>
      <c r="BQ7" s="1941" t="s">
        <v>936</v>
      </c>
      <c r="BS7" s="683" t="s">
        <v>937</v>
      </c>
      <c r="BT7" s="1941" t="s">
        <v>938</v>
      </c>
      <c r="BU7" s="380" t="s">
        <v>939</v>
      </c>
    </row>
    <row r="8" spans="2:73" ht="14.25" customHeight="1">
      <c r="B8" s="289" t="s">
        <v>940</v>
      </c>
      <c r="C8" s="30" t="s">
        <v>941</v>
      </c>
      <c r="D8" s="30"/>
      <c r="E8" s="301" t="s">
        <v>51</v>
      </c>
      <c r="F8" s="279">
        <v>3</v>
      </c>
      <c r="G8" s="388">
        <f xml:space="preserve"> -1 * ( '2C'!G14 )</f>
        <v>-65.615000000000009</v>
      </c>
      <c r="H8" s="332">
        <f xml:space="preserve"> -1 * ( '2C'!H14 )</f>
        <v>-14.362</v>
      </c>
      <c r="I8" s="741">
        <f xml:space="preserve"> -1 * ( '2B'!G17 )</f>
        <v>-28.827000000000005</v>
      </c>
      <c r="J8" s="332">
        <f xml:space="preserve"> -1 * ( '2B'!H17 )</f>
        <v>-219.07599999999999</v>
      </c>
      <c r="K8" s="380">
        <f t="shared" ref="K8:K11" si="1" xml:space="preserve"> I8 + J8</f>
        <v>-247.90299999999999</v>
      </c>
      <c r="L8" s="680">
        <f xml:space="preserve"> -1 * ( '2B'!I17 )</f>
        <v>-181.00399999999999</v>
      </c>
      <c r="M8" s="681">
        <f xml:space="preserve"> -1 * ( '2B'!J17 )</f>
        <v>-32.452999999999996</v>
      </c>
      <c r="N8" s="684">
        <f t="shared" ref="N8:N15" si="2" xml:space="preserve"> L8 + M8</f>
        <v>-213.45699999999999</v>
      </c>
      <c r="O8" s="332">
        <f xml:space="preserve"> -1 * ( '2B'!K17 )</f>
        <v>0</v>
      </c>
      <c r="P8" s="380">
        <f t="shared" ref="P8:P12" si="3" xml:space="preserve"> G8 + H8 + K8 + N8 + O8</f>
        <v>-541.33699999999999</v>
      </c>
      <c r="R8" s="1370">
        <f xml:space="preserve"> IF( SUM( AF8:AL8 ) = 0, 0, AO8 )</f>
        <v>0</v>
      </c>
      <c r="S8" s="24">
        <f xml:space="preserve"> IF( SUM( U8:AF8 ) = 0, 0, $V$5 )</f>
        <v>0</v>
      </c>
      <c r="V8" s="127"/>
      <c r="W8" s="127"/>
      <c r="X8" s="127"/>
      <c r="Y8" s="127"/>
      <c r="Z8" s="127"/>
      <c r="AA8" s="127"/>
      <c r="AB8" s="127"/>
      <c r="AC8" s="127"/>
      <c r="AD8" s="127"/>
      <c r="AG8" s="93">
        <f xml:space="preserve"> IF( (AM8 - AN8) = 0, 0, 1 )</f>
        <v>0</v>
      </c>
      <c r="AM8" s="165">
        <f xml:space="preserve"> ROUND( P8 + P9 + P10, 3)</f>
        <v>-863.83699999999999</v>
      </c>
      <c r="AN8" s="165">
        <f xml:space="preserve"> ROUND( '1A'!K7, 3 )</f>
        <v>-863.83699999999999</v>
      </c>
      <c r="AO8" s="1371" t="s">
        <v>942</v>
      </c>
      <c r="AP8" s="165"/>
      <c r="AQ8" s="165"/>
      <c r="AR8" s="1371"/>
      <c r="AS8" s="165"/>
      <c r="AT8" s="165"/>
      <c r="AU8" s="1371"/>
      <c r="AV8" s="165"/>
      <c r="AW8" s="165"/>
      <c r="AX8" s="1371"/>
      <c r="AY8" s="1371"/>
      <c r="AZ8" s="1371"/>
      <c r="BA8" s="1371"/>
      <c r="BG8" s="289" t="s">
        <v>940</v>
      </c>
      <c r="BH8" s="30" t="s">
        <v>941</v>
      </c>
      <c r="BI8" s="30"/>
      <c r="BJ8" s="301" t="s">
        <v>51</v>
      </c>
      <c r="BK8" s="279">
        <v>3</v>
      </c>
      <c r="BL8" s="388" t="s">
        <v>943</v>
      </c>
      <c r="BM8" s="332" t="s">
        <v>944</v>
      </c>
      <c r="BN8" s="741" t="s">
        <v>945</v>
      </c>
      <c r="BO8" s="332" t="s">
        <v>946</v>
      </c>
      <c r="BP8" s="380" t="s">
        <v>947</v>
      </c>
      <c r="BQ8" s="680" t="s">
        <v>948</v>
      </c>
      <c r="BR8" s="681" t="s">
        <v>949</v>
      </c>
      <c r="BS8" s="684" t="s">
        <v>950</v>
      </c>
      <c r="BT8" s="684" t="s">
        <v>951</v>
      </c>
      <c r="BU8" s="380" t="s">
        <v>952</v>
      </c>
    </row>
    <row r="9" spans="2:73" ht="14.25" customHeight="1">
      <c r="B9" s="289" t="s">
        <v>953</v>
      </c>
      <c r="C9" s="30" t="s">
        <v>954</v>
      </c>
      <c r="D9" s="30"/>
      <c r="E9" s="301" t="s">
        <v>51</v>
      </c>
      <c r="F9" s="279">
        <v>3</v>
      </c>
      <c r="G9" s="2161">
        <f>'2D'!L18</f>
        <v>-2.2240000000000002</v>
      </c>
      <c r="H9" s="2160">
        <f>'2D'!M18</f>
        <v>-1.851</v>
      </c>
      <c r="I9" s="2156">
        <f>'2D'!G18</f>
        <v>-9.282</v>
      </c>
      <c r="J9" s="2157">
        <f>'2D'!H18</f>
        <v>-112.372</v>
      </c>
      <c r="K9" s="380">
        <f xml:space="preserve"> I9 + J9</f>
        <v>-121.654</v>
      </c>
      <c r="L9" s="2158">
        <f>'2D'!I18</f>
        <v>-163.01499999999999</v>
      </c>
      <c r="M9" s="2159">
        <f>'2D'!J18</f>
        <v>-18.677</v>
      </c>
      <c r="N9" s="684">
        <f t="shared" si="2"/>
        <v>-181.69199999999998</v>
      </c>
      <c r="O9" s="2160">
        <f>'2D'!K18</f>
        <v>0</v>
      </c>
      <c r="P9" s="380">
        <f t="shared" si="3"/>
        <v>-307.42099999999999</v>
      </c>
      <c r="R9" s="1370">
        <f xml:space="preserve"> IF( SUM( AF9:AL9 ) = 0, 0, AO9 )</f>
        <v>0</v>
      </c>
      <c r="S9" s="24">
        <f t="shared" ref="S9:S10" si="4" xml:space="preserve"> IF( SUM( U9:AF9 ) = 0, 0, $V$5 )</f>
        <v>0</v>
      </c>
      <c r="V9" s="127"/>
      <c r="W9" s="127"/>
      <c r="X9" s="127"/>
      <c r="Y9" s="127"/>
      <c r="Z9" s="127"/>
      <c r="AA9" s="127"/>
      <c r="AB9" s="127"/>
      <c r="AC9" s="127"/>
      <c r="AD9" s="127"/>
      <c r="AG9" s="93">
        <f xml:space="preserve"> IF( (AM9 - AN9) = 0, 0, 1 )</f>
        <v>0</v>
      </c>
      <c r="AM9" s="165">
        <f xml:space="preserve"> ROUND( P9, 3)</f>
        <v>-307.42099999999999</v>
      </c>
      <c r="AN9" s="223">
        <f xml:space="preserve"> ROUND( '2D'!N18, 3)</f>
        <v>-307.42099999999999</v>
      </c>
      <c r="AO9" s="1371" t="s">
        <v>955</v>
      </c>
      <c r="AP9" s="165"/>
      <c r="AQ9" s="223"/>
      <c r="AR9" s="1371"/>
      <c r="AS9" s="165"/>
      <c r="AT9" s="223"/>
      <c r="AU9" s="1371"/>
      <c r="AV9" s="165"/>
      <c r="AW9" s="223"/>
      <c r="AX9" s="1371"/>
      <c r="AY9" s="1371"/>
      <c r="AZ9" s="1371"/>
      <c r="BA9" s="1371"/>
      <c r="BG9" s="289" t="s">
        <v>953</v>
      </c>
      <c r="BH9" s="30" t="s">
        <v>954</v>
      </c>
      <c r="BI9" s="30"/>
      <c r="BJ9" s="301" t="s">
        <v>51</v>
      </c>
      <c r="BK9" s="279">
        <v>3</v>
      </c>
      <c r="BL9" s="747" t="str">
        <f>'2D'!BK18</f>
        <v>BM4046H</v>
      </c>
      <c r="BM9" s="748" t="str">
        <f>'2D'!BL18</f>
        <v>BM4046NH</v>
      </c>
      <c r="BN9" s="749" t="str">
        <f>'2D'!BF18</f>
        <v>BM4046WR</v>
      </c>
      <c r="BO9" s="750" t="str">
        <f>'2D'!BG18</f>
        <v>BM4046WN</v>
      </c>
      <c r="BP9" s="380" t="s">
        <v>956</v>
      </c>
      <c r="BQ9" s="751" t="str">
        <f>'2D'!BH18</f>
        <v>BM4046WNK</v>
      </c>
      <c r="BR9" s="732" t="str">
        <f>'2D'!BI18</f>
        <v>BM4046SG</v>
      </c>
      <c r="BS9" s="684" t="s">
        <v>957</v>
      </c>
      <c r="BT9" s="684" t="s">
        <v>958</v>
      </c>
      <c r="BU9" s="380" t="s">
        <v>959</v>
      </c>
    </row>
    <row r="10" spans="2:73" ht="14.25" customHeight="1">
      <c r="B10" s="289" t="s">
        <v>960</v>
      </c>
      <c r="C10" s="30" t="s">
        <v>961</v>
      </c>
      <c r="D10" s="30"/>
      <c r="E10" s="301" t="s">
        <v>51</v>
      </c>
      <c r="F10" s="279">
        <v>3</v>
      </c>
      <c r="G10" s="457">
        <v>-0.55700000000000005</v>
      </c>
      <c r="H10" s="453">
        <v>0</v>
      </c>
      <c r="I10" s="651">
        <v>-8.4000000000000005E-2</v>
      </c>
      <c r="J10" s="493">
        <v>-0.57599999999999996</v>
      </c>
      <c r="K10" s="380">
        <f t="shared" si="1"/>
        <v>-0.65999999999999992</v>
      </c>
      <c r="L10" s="667">
        <v>-13.862</v>
      </c>
      <c r="M10" s="668">
        <v>0</v>
      </c>
      <c r="N10" s="684">
        <f t="shared" si="2"/>
        <v>-13.862</v>
      </c>
      <c r="O10" s="453"/>
      <c r="P10" s="380">
        <f t="shared" si="3"/>
        <v>-15.079000000000001</v>
      </c>
      <c r="R10" s="126"/>
      <c r="S10" s="24">
        <f t="shared" si="4"/>
        <v>0</v>
      </c>
      <c r="V10" s="93">
        <f t="shared" ref="V10" si="5" xml:space="preserve"> IF( ISNUMBER( G10 ), 0, 1 )</f>
        <v>0</v>
      </c>
      <c r="W10" s="93">
        <f t="shared" ref="W10" si="6" xml:space="preserve"> IF( ISNUMBER( H10 ), 0, 1 )</f>
        <v>0</v>
      </c>
      <c r="X10" s="93">
        <f t="shared" ref="X10:X11" si="7" xml:space="preserve"> IF( ISNUMBER( I10 ), 0, 1 )</f>
        <v>0</v>
      </c>
      <c r="Y10" s="93">
        <f t="shared" ref="Y10:Y11" si="8" xml:space="preserve"> IF( ISNUMBER( J10 ), 0, 1 )</f>
        <v>0</v>
      </c>
      <c r="Z10" s="127"/>
      <c r="AA10" s="93">
        <f xml:space="preserve"> IF( Validation!$H$3 = 1, 0, ( IF( ISNUMBER( L10 ), 0, 1 )))</f>
        <v>0</v>
      </c>
      <c r="AB10" s="93">
        <f xml:space="preserve"> IF( Validation!$H$3 = 1, 0, ( IF( ISNUMBER( M10 ), 0, 1 )))</f>
        <v>0</v>
      </c>
      <c r="AC10" s="127"/>
      <c r="AD10" s="93">
        <f>IF( Validation!$H$3 = 1, 0, IF(Validation!$B$3 &lt;&gt; "Thames Water",0, (IF(ISNUMBER(O10),0,1))))</f>
        <v>0</v>
      </c>
      <c r="AG10" s="127"/>
      <c r="AM10" s="165"/>
      <c r="AN10" s="165"/>
      <c r="AO10" s="1371"/>
      <c r="AP10" s="165"/>
      <c r="AQ10" s="165"/>
      <c r="AR10" s="1371"/>
      <c r="AS10" s="165"/>
      <c r="AT10" s="165"/>
      <c r="AU10" s="1371"/>
      <c r="AV10" s="165"/>
      <c r="AW10" s="165"/>
      <c r="AX10" s="1371"/>
      <c r="AY10" s="1371"/>
      <c r="AZ10" s="1371"/>
      <c r="BA10" s="1371"/>
      <c r="BG10" s="289" t="s">
        <v>960</v>
      </c>
      <c r="BH10" s="30" t="s">
        <v>961</v>
      </c>
      <c r="BI10" s="30"/>
      <c r="BJ10" s="301" t="s">
        <v>51</v>
      </c>
      <c r="BK10" s="279">
        <v>3</v>
      </c>
      <c r="BL10" s="2556" t="s">
        <v>962</v>
      </c>
      <c r="BM10" s="2557" t="s">
        <v>963</v>
      </c>
      <c r="BN10" s="2559" t="s">
        <v>964</v>
      </c>
      <c r="BO10" s="2560" t="s">
        <v>965</v>
      </c>
      <c r="BP10" s="380" t="s">
        <v>966</v>
      </c>
      <c r="BQ10" s="2561" t="s">
        <v>967</v>
      </c>
      <c r="BR10" s="2562" t="s">
        <v>968</v>
      </c>
      <c r="BS10" s="684" t="s">
        <v>969</v>
      </c>
      <c r="BT10" s="1942" t="s">
        <v>970</v>
      </c>
      <c r="BU10" s="380" t="s">
        <v>971</v>
      </c>
    </row>
    <row r="11" spans="2:73" ht="14.25" customHeight="1" thickBot="1">
      <c r="B11" s="289" t="s">
        <v>972</v>
      </c>
      <c r="C11" s="30" t="s">
        <v>65</v>
      </c>
      <c r="D11" s="30"/>
      <c r="E11" s="301" t="s">
        <v>51</v>
      </c>
      <c r="F11" s="279">
        <v>3</v>
      </c>
      <c r="G11" s="457">
        <v>0</v>
      </c>
      <c r="H11" s="453">
        <v>3.4420000000000002</v>
      </c>
      <c r="I11" s="652">
        <v>0</v>
      </c>
      <c r="J11" s="454">
        <v>1.333</v>
      </c>
      <c r="K11" s="380">
        <f t="shared" si="1"/>
        <v>1.333</v>
      </c>
      <c r="L11" s="676">
        <v>3.012</v>
      </c>
      <c r="M11" s="677">
        <v>0</v>
      </c>
      <c r="N11" s="684">
        <f t="shared" si="2"/>
        <v>3.012</v>
      </c>
      <c r="O11" s="453"/>
      <c r="P11" s="380">
        <f t="shared" si="3"/>
        <v>7.7870000000000008</v>
      </c>
      <c r="R11" s="1370">
        <f xml:space="preserve"> IF( SUM( AF11:AL11 ) = 0, 0, AO11 )</f>
        <v>0</v>
      </c>
      <c r="S11" s="24">
        <f t="shared" si="0"/>
        <v>0</v>
      </c>
      <c r="V11" s="93">
        <f xml:space="preserve"> IF( ISNUMBER( G11 ), 0, 1 )</f>
        <v>0</v>
      </c>
      <c r="W11" s="93">
        <f xml:space="preserve"> IF( ISNUMBER( H11 ), 0, 1 )</f>
        <v>0</v>
      </c>
      <c r="X11" s="93">
        <f t="shared" si="7"/>
        <v>0</v>
      </c>
      <c r="Y11" s="93">
        <f t="shared" si="8"/>
        <v>0</v>
      </c>
      <c r="Z11" s="127"/>
      <c r="AA11" s="93">
        <f xml:space="preserve"> IF( Validation!$H$3 = 1, 0, ( IF( ISNUMBER( L11 ), 0, 1 )))</f>
        <v>0</v>
      </c>
      <c r="AB11" s="93">
        <f xml:space="preserve"> IF( Validation!$H$3 = 1, 0, ( IF( ISNUMBER( M11 ), 0, 1 )))</f>
        <v>0</v>
      </c>
      <c r="AC11" s="127"/>
      <c r="AD11" s="93">
        <f>IF( Validation!$H$3 = 1, 0, IF(Validation!$B$3 &lt;&gt; "Thames Water",0, (IF(ISNUMBER(O11),0,1))))</f>
        <v>0</v>
      </c>
      <c r="AG11" s="93">
        <f xml:space="preserve"> IF( (AM11 - AN11) = 0, 0, 1 )</f>
        <v>0</v>
      </c>
      <c r="AM11" s="165">
        <f xml:space="preserve"> ROUND( P11, 3)</f>
        <v>7.7869999999999999</v>
      </c>
      <c r="AN11" s="165">
        <f xml:space="preserve"> ROUND( '1A'!K8, 3 )</f>
        <v>7.7869999999999999</v>
      </c>
      <c r="AO11" s="1371" t="s">
        <v>973</v>
      </c>
      <c r="AP11" s="165"/>
      <c r="AQ11" s="165"/>
      <c r="AR11" s="1371"/>
      <c r="AS11" s="165"/>
      <c r="AT11" s="165"/>
      <c r="AU11" s="1371"/>
      <c r="AV11" s="165"/>
      <c r="AW11" s="165"/>
      <c r="AX11" s="1371"/>
      <c r="AY11" s="1371"/>
      <c r="AZ11" s="1371"/>
      <c r="BA11" s="1371"/>
      <c r="BG11" s="289" t="s">
        <v>972</v>
      </c>
      <c r="BH11" s="30" t="s">
        <v>65</v>
      </c>
      <c r="BI11" s="30"/>
      <c r="BJ11" s="301" t="s">
        <v>51</v>
      </c>
      <c r="BK11" s="279">
        <v>3</v>
      </c>
      <c r="BL11" s="2556" t="s">
        <v>974</v>
      </c>
      <c r="BM11" s="2557" t="s">
        <v>975</v>
      </c>
      <c r="BN11" s="2563" t="s">
        <v>976</v>
      </c>
      <c r="BO11" s="2564" t="s">
        <v>977</v>
      </c>
      <c r="BP11" s="380" t="s">
        <v>978</v>
      </c>
      <c r="BQ11" s="2565" t="s">
        <v>979</v>
      </c>
      <c r="BR11" s="2566" t="s">
        <v>980</v>
      </c>
      <c r="BS11" s="191" t="s">
        <v>981</v>
      </c>
      <c r="BT11" s="1942" t="s">
        <v>982</v>
      </c>
      <c r="BU11" s="380" t="s">
        <v>983</v>
      </c>
    </row>
    <row r="12" spans="2:73" ht="14.25" customHeight="1" thickBot="1">
      <c r="B12" s="290" t="s">
        <v>984</v>
      </c>
      <c r="C12" s="31" t="s">
        <v>985</v>
      </c>
      <c r="D12" s="31"/>
      <c r="E12" s="283" t="s">
        <v>51</v>
      </c>
      <c r="F12" s="284">
        <v>3</v>
      </c>
      <c r="G12" s="389">
        <f>SUM(G6:G11)</f>
        <v>-2.3410000000000024</v>
      </c>
      <c r="H12" s="335">
        <f>SUM(H6:H11)</f>
        <v>-4.9920000000000009</v>
      </c>
      <c r="K12" s="344">
        <f>SUM(K6:K11)</f>
        <v>70.271000000000043</v>
      </c>
      <c r="N12" s="685">
        <f>SUM(N6:N11)</f>
        <v>138.22500000000008</v>
      </c>
      <c r="O12" s="335">
        <f>SUM(O6:O11)</f>
        <v>0</v>
      </c>
      <c r="P12" s="344">
        <f t="shared" si="3"/>
        <v>201.16300000000012</v>
      </c>
      <c r="R12" s="126"/>
      <c r="S12" s="126"/>
      <c r="Z12" s="192"/>
      <c r="AC12" s="192"/>
      <c r="BG12" s="290" t="s">
        <v>984</v>
      </c>
      <c r="BH12" s="31" t="s">
        <v>985</v>
      </c>
      <c r="BI12" s="31"/>
      <c r="BJ12" s="283" t="s">
        <v>51</v>
      </c>
      <c r="BK12" s="284">
        <v>3</v>
      </c>
      <c r="BL12" s="389" t="s">
        <v>986</v>
      </c>
      <c r="BM12" s="335" t="s">
        <v>987</v>
      </c>
      <c r="BP12" s="344" t="s">
        <v>988</v>
      </c>
      <c r="BS12" s="685" t="s">
        <v>989</v>
      </c>
      <c r="BT12" s="685" t="s">
        <v>990</v>
      </c>
      <c r="BU12" s="344" t="s">
        <v>991</v>
      </c>
    </row>
    <row r="13" spans="2:73" s="110" customFormat="1" ht="15" thickBot="1">
      <c r="C13" s="152"/>
      <c r="D13" s="152"/>
      <c r="H13" s="163"/>
      <c r="N13" s="118"/>
      <c r="O13" s="118"/>
      <c r="P13" s="118"/>
      <c r="Q13" s="118"/>
      <c r="R13" s="126"/>
      <c r="S13" s="120"/>
      <c r="T13" s="70"/>
      <c r="U13" s="71"/>
      <c r="V13" s="70"/>
      <c r="W13" s="70"/>
      <c r="X13" s="70"/>
      <c r="Y13" s="70"/>
      <c r="Z13" s="70"/>
      <c r="AA13" s="70"/>
      <c r="AB13" s="70"/>
      <c r="AC13" s="70"/>
      <c r="AD13" s="70"/>
      <c r="AE13" s="70"/>
      <c r="AF13" s="71"/>
      <c r="AL13" s="71"/>
      <c r="BB13" s="71"/>
      <c r="BH13" s="152"/>
      <c r="BI13" s="152"/>
      <c r="BM13" s="163"/>
      <c r="BS13" s="118"/>
      <c r="BT13" s="118"/>
      <c r="BU13" s="118"/>
    </row>
    <row r="14" spans="2:73" ht="14.25" customHeight="1" thickBot="1">
      <c r="B14" s="3036" t="s">
        <v>155</v>
      </c>
      <c r="C14" s="83" t="s">
        <v>992</v>
      </c>
      <c r="D14" s="1505"/>
      <c r="E14" s="110"/>
      <c r="F14" s="110"/>
      <c r="G14" s="110"/>
      <c r="H14" s="110"/>
      <c r="I14" s="110"/>
      <c r="J14" s="110"/>
      <c r="K14" s="110"/>
      <c r="L14" s="110"/>
      <c r="M14" s="110"/>
      <c r="N14" s="110"/>
      <c r="O14" s="110"/>
      <c r="P14" s="110"/>
      <c r="Q14" s="110"/>
      <c r="R14" s="126"/>
      <c r="S14" s="126"/>
      <c r="Z14" s="192"/>
      <c r="AC14" s="192"/>
      <c r="BG14" s="3036" t="s">
        <v>155</v>
      </c>
      <c r="BH14" s="83" t="s">
        <v>992</v>
      </c>
      <c r="BI14" s="1505"/>
      <c r="BJ14" s="110"/>
      <c r="BK14" s="110"/>
      <c r="BL14" s="110"/>
      <c r="BM14" s="110"/>
      <c r="BN14" s="110"/>
      <c r="BO14" s="110"/>
      <c r="BP14" s="110"/>
      <c r="BQ14" s="110"/>
      <c r="BR14" s="110"/>
      <c r="BS14" s="110"/>
      <c r="BT14" s="110"/>
      <c r="BU14" s="110"/>
    </row>
    <row r="15" spans="2:73" ht="14.25" customHeight="1">
      <c r="B15" s="289" t="s">
        <v>993</v>
      </c>
      <c r="C15" s="30" t="s">
        <v>994</v>
      </c>
      <c r="D15" s="1524"/>
      <c r="E15" s="300" t="s">
        <v>51</v>
      </c>
      <c r="F15" s="275">
        <v>3</v>
      </c>
      <c r="G15" s="456">
        <v>-2.0659999999999998</v>
      </c>
      <c r="H15" s="452">
        <v>0</v>
      </c>
      <c r="I15" s="597">
        <v>-0.57199999999999995</v>
      </c>
      <c r="J15" s="452">
        <v>-11.983000000000001</v>
      </c>
      <c r="K15" s="379">
        <f xml:space="preserve"> I15 + J15</f>
        <v>-12.555</v>
      </c>
      <c r="L15" s="455">
        <v>-12.95</v>
      </c>
      <c r="M15" s="672">
        <v>-1.8919999999999999</v>
      </c>
      <c r="N15" s="752">
        <f t="shared" si="2"/>
        <v>-14.841999999999999</v>
      </c>
      <c r="O15" s="2966"/>
      <c r="P15" s="379">
        <f xml:space="preserve"> G15 + H15 + K15 + N15 + O15</f>
        <v>-29.462999999999997</v>
      </c>
      <c r="R15" s="126"/>
      <c r="S15" s="24">
        <f t="shared" si="0"/>
        <v>0</v>
      </c>
      <c r="V15" s="93">
        <f t="shared" ref="V15:Y16" si="9" xml:space="preserve"> IF( ISNUMBER( G15 ), 0, 1 )</f>
        <v>0</v>
      </c>
      <c r="W15" s="93">
        <f t="shared" si="9"/>
        <v>0</v>
      </c>
      <c r="X15" s="93">
        <f t="shared" si="9"/>
        <v>0</v>
      </c>
      <c r="Y15" s="93">
        <f t="shared" si="9"/>
        <v>0</v>
      </c>
      <c r="Z15" s="127"/>
      <c r="AA15" s="93">
        <f xml:space="preserve"> IF( Validation!$H$3 = 1, 0, ( IF( ISNUMBER( L15 ), 0, 1 )))</f>
        <v>0</v>
      </c>
      <c r="AB15" s="93">
        <f xml:space="preserve"> IF( Validation!$H$3 = 1, 0, ( IF( ISNUMBER( M15 ), 0, 1 )))</f>
        <v>0</v>
      </c>
      <c r="AC15" s="127"/>
      <c r="AD15" s="93">
        <f>IF( Validation!$H$3 = 1, 0, IF(Validation!$B$3 &lt;&gt; "Thames Water",0, (IF(ISNUMBER(O15),0,1))))</f>
        <v>0</v>
      </c>
      <c r="BG15" s="289" t="s">
        <v>993</v>
      </c>
      <c r="BH15" s="30" t="s">
        <v>994</v>
      </c>
      <c r="BI15" s="1524"/>
      <c r="BJ15" s="300" t="s">
        <v>51</v>
      </c>
      <c r="BK15" s="275">
        <v>3</v>
      </c>
      <c r="BL15" s="2553" t="s">
        <v>995</v>
      </c>
      <c r="BM15" s="2554" t="s">
        <v>996</v>
      </c>
      <c r="BN15" s="2567" t="s">
        <v>997</v>
      </c>
      <c r="BO15" s="2554" t="s">
        <v>998</v>
      </c>
      <c r="BP15" s="379" t="s">
        <v>999</v>
      </c>
      <c r="BQ15" s="2568" t="s">
        <v>1000</v>
      </c>
      <c r="BR15" s="1949" t="s">
        <v>1001</v>
      </c>
      <c r="BS15" s="752" t="s">
        <v>1002</v>
      </c>
      <c r="BT15" s="1943" t="s">
        <v>1003</v>
      </c>
      <c r="BU15" s="379" t="s">
        <v>1004</v>
      </c>
    </row>
    <row r="16" spans="2:73" ht="14.25" customHeight="1" thickBot="1">
      <c r="B16" s="290" t="s">
        <v>1005</v>
      </c>
      <c r="C16" s="31" t="s">
        <v>1006</v>
      </c>
      <c r="D16" s="31"/>
      <c r="E16" s="283" t="s">
        <v>51</v>
      </c>
      <c r="F16" s="284">
        <v>3</v>
      </c>
      <c r="G16" s="755">
        <v>0</v>
      </c>
      <c r="H16" s="454">
        <v>0</v>
      </c>
      <c r="I16" s="596">
        <v>0</v>
      </c>
      <c r="J16" s="454">
        <v>0</v>
      </c>
      <c r="K16" s="344">
        <f xml:space="preserve"> I16 + J16</f>
        <v>0</v>
      </c>
      <c r="L16" s="676">
        <v>29.451000000000001</v>
      </c>
      <c r="M16" s="677">
        <v>0</v>
      </c>
      <c r="N16" s="685">
        <f t="shared" ref="N16" si="10" xml:space="preserve"> L16 + M16</f>
        <v>29.451000000000001</v>
      </c>
      <c r="O16" s="2967"/>
      <c r="P16" s="344">
        <f xml:space="preserve"> G16 + H16 + K16 + N16 + O16</f>
        <v>29.451000000000001</v>
      </c>
      <c r="R16" s="126"/>
      <c r="S16" s="24">
        <f t="shared" si="0"/>
        <v>0</v>
      </c>
      <c r="V16" s="93">
        <f t="shared" si="9"/>
        <v>0</v>
      </c>
      <c r="W16" s="93">
        <f t="shared" si="9"/>
        <v>0</v>
      </c>
      <c r="X16" s="93">
        <f t="shared" si="9"/>
        <v>0</v>
      </c>
      <c r="Y16" s="93">
        <f t="shared" si="9"/>
        <v>0</v>
      </c>
      <c r="Z16" s="127"/>
      <c r="AA16" s="93">
        <f xml:space="preserve"> IF( Validation!$H$3 = 1, 0, ( IF( ISNUMBER( L16 ), 0, 1 )))</f>
        <v>0</v>
      </c>
      <c r="AB16" s="93">
        <f xml:space="preserve"> IF( Validation!$H$3 = 1, 0, ( IF( ISNUMBER( M16 ), 0, 1 )))</f>
        <v>0</v>
      </c>
      <c r="AC16" s="127"/>
      <c r="AD16" s="93">
        <f>IF( Validation!$H$3 = 1, 0, IF(Validation!$B$3 &lt;&gt; "Thames Water",0, (IF(ISNUMBER(O16),0,1))))</f>
        <v>0</v>
      </c>
      <c r="BG16" s="290" t="s">
        <v>1005</v>
      </c>
      <c r="BH16" s="31" t="s">
        <v>1006</v>
      </c>
      <c r="BI16" s="31"/>
      <c r="BJ16" s="283" t="s">
        <v>51</v>
      </c>
      <c r="BK16" s="284">
        <v>3</v>
      </c>
      <c r="BL16" s="2569" t="s">
        <v>1007</v>
      </c>
      <c r="BM16" s="2564" t="s">
        <v>1008</v>
      </c>
      <c r="BN16" s="2570" t="s">
        <v>1009</v>
      </c>
      <c r="BO16" s="2564" t="s">
        <v>1010</v>
      </c>
      <c r="BP16" s="344" t="s">
        <v>1011</v>
      </c>
      <c r="BQ16" s="2565" t="s">
        <v>1012</v>
      </c>
      <c r="BR16" s="2566" t="s">
        <v>1013</v>
      </c>
      <c r="BS16" s="685" t="s">
        <v>1014</v>
      </c>
      <c r="BT16" s="1944" t="s">
        <v>1015</v>
      </c>
      <c r="BU16" s="344" t="s">
        <v>1016</v>
      </c>
    </row>
    <row r="17" spans="1:73" s="110" customFormat="1" ht="15" thickBot="1">
      <c r="C17" s="152"/>
      <c r="D17" s="152"/>
      <c r="H17" s="163"/>
      <c r="N17" s="118"/>
      <c r="O17" s="118"/>
      <c r="P17" s="118"/>
      <c r="Q17" s="118"/>
      <c r="R17" s="126"/>
      <c r="S17" s="120"/>
      <c r="T17" s="70"/>
      <c r="U17" s="71"/>
      <c r="V17" s="70"/>
      <c r="W17" s="70"/>
      <c r="X17" s="70"/>
      <c r="Y17" s="70"/>
      <c r="Z17" s="70"/>
      <c r="AA17" s="70"/>
      <c r="AB17" s="70"/>
      <c r="AC17" s="70"/>
      <c r="AD17" s="70"/>
      <c r="AE17" s="70"/>
      <c r="AF17" s="71"/>
      <c r="AL17" s="71"/>
      <c r="BB17" s="71"/>
      <c r="BH17" s="152"/>
      <c r="BI17" s="152"/>
      <c r="BM17" s="163"/>
      <c r="BS17" s="118"/>
      <c r="BT17" s="118"/>
      <c r="BU17" s="118"/>
    </row>
    <row r="18" spans="1:73" ht="14.25" customHeight="1" thickBot="1">
      <c r="B18" s="338" t="s">
        <v>1017</v>
      </c>
      <c r="C18" s="28" t="s">
        <v>72</v>
      </c>
      <c r="D18" s="28"/>
      <c r="E18" s="339" t="s">
        <v>51</v>
      </c>
      <c r="F18" s="266">
        <v>3</v>
      </c>
      <c r="G18" s="340">
        <f xml:space="preserve"> G12 + SUM(G15:G16)</f>
        <v>-4.4070000000000018</v>
      </c>
      <c r="H18" s="342">
        <f xml:space="preserve"> H12 + SUM(H15:H16)</f>
        <v>-4.9920000000000009</v>
      </c>
      <c r="K18" s="617">
        <f xml:space="preserve"> K12 + SUM(K15:K16)</f>
        <v>57.716000000000044</v>
      </c>
      <c r="N18" s="754">
        <f xml:space="preserve"> N12 + SUM(N15:N16)</f>
        <v>152.83400000000009</v>
      </c>
      <c r="O18" s="754">
        <f xml:space="preserve"> O12 + SUM(O15:O16)</f>
        <v>0</v>
      </c>
      <c r="P18" s="617">
        <f xml:space="preserve"> G18 + H18 + K18 + N18 + O18</f>
        <v>201.15100000000012</v>
      </c>
      <c r="R18" s="126"/>
      <c r="S18" s="126"/>
      <c r="BG18" s="338" t="s">
        <v>1017</v>
      </c>
      <c r="BH18" s="28" t="s">
        <v>72</v>
      </c>
      <c r="BI18" s="28"/>
      <c r="BJ18" s="339" t="s">
        <v>51</v>
      </c>
      <c r="BK18" s="266">
        <v>3</v>
      </c>
      <c r="BL18" s="340" t="s">
        <v>1018</v>
      </c>
      <c r="BM18" s="342" t="s">
        <v>1019</v>
      </c>
      <c r="BP18" s="617" t="s">
        <v>1020</v>
      </c>
      <c r="BS18" s="754" t="s">
        <v>1021</v>
      </c>
      <c r="BT18" s="754" t="s">
        <v>1022</v>
      </c>
      <c r="BU18" s="617" t="s">
        <v>1023</v>
      </c>
    </row>
    <row r="19" spans="1:73" s="110" customFormat="1" ht="15" thickBot="1">
      <c r="C19" s="152"/>
      <c r="D19" s="152"/>
      <c r="H19" s="163"/>
      <c r="N19" s="118"/>
      <c r="O19" s="118"/>
      <c r="P19" s="118"/>
      <c r="Q19" s="118"/>
      <c r="R19" s="126"/>
      <c r="S19" s="120"/>
      <c r="T19" s="70"/>
      <c r="U19" s="71"/>
      <c r="V19" s="70"/>
      <c r="W19" s="70"/>
      <c r="X19" s="70"/>
      <c r="Y19" s="70"/>
      <c r="Z19" s="70"/>
      <c r="AA19" s="70"/>
      <c r="AB19" s="70"/>
      <c r="AC19" s="70"/>
      <c r="AD19" s="70"/>
      <c r="AE19" s="70"/>
      <c r="AF19" s="71"/>
      <c r="AL19" s="71"/>
      <c r="BB19" s="71"/>
      <c r="BH19" s="152"/>
      <c r="BI19" s="152"/>
      <c r="BM19" s="163"/>
      <c r="BS19" s="118"/>
      <c r="BT19" s="118"/>
      <c r="BU19" s="118"/>
    </row>
    <row r="20" spans="1:73" ht="14.25" customHeight="1" thickBot="1">
      <c r="B20" s="338" t="s">
        <v>1024</v>
      </c>
      <c r="C20" s="28" t="s">
        <v>1025</v>
      </c>
      <c r="D20" s="28"/>
      <c r="E20" s="339" t="s">
        <v>51</v>
      </c>
      <c r="F20" s="266">
        <v>3</v>
      </c>
      <c r="G20" s="390"/>
      <c r="H20" s="390"/>
      <c r="I20" s="390"/>
      <c r="J20" s="390"/>
      <c r="K20" s="390"/>
      <c r="L20" s="390"/>
      <c r="M20" s="390"/>
      <c r="N20" s="390"/>
      <c r="O20" s="390"/>
      <c r="P20" s="753">
        <v>0.313</v>
      </c>
      <c r="R20" s="126"/>
      <c r="S20" s="24">
        <f t="shared" si="0"/>
        <v>0</v>
      </c>
      <c r="AE20" s="93">
        <f t="shared" ref="AE20" si="11" xml:space="preserve"> IF( ISNUMBER( P20 ), 0, 1 )</f>
        <v>0</v>
      </c>
      <c r="BG20" s="338" t="s">
        <v>1024</v>
      </c>
      <c r="BH20" s="28" t="s">
        <v>1025</v>
      </c>
      <c r="BI20" s="28"/>
      <c r="BJ20" s="339" t="s">
        <v>51</v>
      </c>
      <c r="BK20" s="266">
        <v>3</v>
      </c>
      <c r="BL20" s="390"/>
      <c r="BM20" s="390"/>
      <c r="BN20" s="390"/>
      <c r="BO20" s="390"/>
      <c r="BP20" s="390"/>
      <c r="BQ20" s="390"/>
      <c r="BR20" s="390"/>
      <c r="BS20" s="390"/>
      <c r="BT20" s="390"/>
      <c r="BU20" s="2571" t="s">
        <v>1026</v>
      </c>
    </row>
    <row r="21" spans="1:73" s="110" customFormat="1">
      <c r="C21" s="152"/>
      <c r="D21" s="152"/>
      <c r="H21" s="163"/>
      <c r="N21" s="118"/>
      <c r="O21" s="118"/>
      <c r="P21" s="118"/>
      <c r="Q21" s="118"/>
      <c r="R21" s="126"/>
      <c r="S21" s="120"/>
      <c r="T21" s="70"/>
      <c r="U21" s="71"/>
      <c r="V21" s="70"/>
      <c r="W21" s="70"/>
      <c r="X21" s="70"/>
      <c r="Y21" s="70"/>
      <c r="Z21" s="70"/>
      <c r="AA21" s="70"/>
      <c r="AB21" s="70"/>
      <c r="AC21" s="70"/>
      <c r="AD21" s="70"/>
      <c r="AE21" s="70"/>
      <c r="AF21" s="71"/>
      <c r="AL21" s="71"/>
      <c r="BB21" s="71"/>
      <c r="BH21" s="152"/>
      <c r="BI21" s="152"/>
      <c r="BM21" s="163"/>
      <c r="BS21" s="118"/>
      <c r="BT21" s="118"/>
      <c r="BU21" s="118"/>
    </row>
    <row r="22" spans="1:73" s="163" customFormat="1">
      <c r="B22" s="3077" t="s">
        <v>243</v>
      </c>
      <c r="C22" s="3077"/>
      <c r="D22" s="2988"/>
      <c r="N22" s="126"/>
      <c r="O22" s="126"/>
      <c r="P22" s="126"/>
      <c r="Q22" s="126"/>
      <c r="R22" s="126"/>
      <c r="S22" s="126"/>
      <c r="T22" s="70"/>
      <c r="U22" s="71"/>
      <c r="V22" s="70"/>
      <c r="W22" s="70"/>
      <c r="X22" s="70"/>
      <c r="Y22" s="70"/>
      <c r="Z22" s="70"/>
      <c r="AA22" s="70"/>
      <c r="AB22" s="70"/>
      <c r="AC22" s="70"/>
      <c r="AD22" s="70"/>
      <c r="AE22" s="70"/>
      <c r="AF22" s="71"/>
      <c r="AL22" s="71"/>
      <c r="BB22" s="71"/>
    </row>
    <row r="23" spans="1:73" s="163" customFormat="1">
      <c r="B23" s="141"/>
      <c r="C23" s="142"/>
      <c r="D23" s="142"/>
      <c r="N23" s="126"/>
      <c r="O23" s="126"/>
      <c r="P23" s="126"/>
      <c r="Q23" s="126"/>
      <c r="R23" s="126"/>
      <c r="S23" s="126"/>
      <c r="T23" s="70"/>
      <c r="U23" s="71"/>
      <c r="V23" s="70"/>
      <c r="W23" s="70"/>
      <c r="X23" s="70"/>
      <c r="Y23" s="70"/>
      <c r="Z23" s="70"/>
      <c r="AA23" s="70"/>
      <c r="AB23" s="70"/>
      <c r="AC23" s="70"/>
      <c r="AD23" s="70"/>
      <c r="AE23" s="70"/>
      <c r="AF23" s="71"/>
      <c r="AL23" s="71"/>
      <c r="BB23" s="71"/>
    </row>
    <row r="24" spans="1:73" s="163" customFormat="1">
      <c r="B24" s="25"/>
      <c r="C24" s="143" t="s">
        <v>190</v>
      </c>
      <c r="D24" s="143"/>
      <c r="N24" s="126"/>
      <c r="O24" s="126"/>
      <c r="P24" s="126"/>
      <c r="Q24" s="126"/>
      <c r="R24" s="126"/>
      <c r="S24" s="126"/>
      <c r="T24" s="70"/>
      <c r="U24" s="71"/>
      <c r="V24" s="70"/>
      <c r="W24" s="70"/>
      <c r="X24" s="70"/>
      <c r="Y24" s="70"/>
      <c r="Z24" s="70"/>
      <c r="AA24" s="70"/>
      <c r="AB24" s="70"/>
      <c r="AC24" s="70"/>
      <c r="AD24" s="70"/>
      <c r="AE24" s="70"/>
      <c r="AF24" s="71"/>
      <c r="AL24" s="71"/>
      <c r="BB24" s="71"/>
    </row>
    <row r="25" spans="1:73" s="163" customFormat="1">
      <c r="B25" s="141"/>
      <c r="C25" s="142"/>
      <c r="D25" s="142"/>
      <c r="N25" s="126"/>
      <c r="O25" s="126"/>
      <c r="P25" s="126"/>
      <c r="Q25" s="126"/>
      <c r="R25" s="126"/>
      <c r="S25" s="126"/>
      <c r="T25" s="70"/>
      <c r="U25" s="71"/>
      <c r="V25" s="70"/>
      <c r="W25" s="70"/>
      <c r="X25" s="70"/>
      <c r="Y25" s="70"/>
      <c r="Z25" s="70"/>
      <c r="AA25" s="70"/>
      <c r="AB25" s="70"/>
      <c r="AC25" s="70"/>
      <c r="AD25" s="70"/>
      <c r="AE25" s="70"/>
      <c r="AF25" s="71"/>
      <c r="AL25" s="71"/>
      <c r="BB25" s="71"/>
    </row>
    <row r="26" spans="1:73" s="163" customFormat="1">
      <c r="B26" s="144"/>
      <c r="C26" s="143" t="s">
        <v>191</v>
      </c>
      <c r="D26" s="143"/>
      <c r="N26" s="126"/>
      <c r="O26" s="126"/>
      <c r="P26" s="126"/>
      <c r="Q26" s="126"/>
      <c r="R26" s="126"/>
      <c r="S26" s="126"/>
      <c r="T26" s="70"/>
      <c r="U26" s="71"/>
      <c r="V26" s="70"/>
      <c r="W26" s="70"/>
      <c r="X26" s="70"/>
      <c r="Y26" s="70"/>
      <c r="Z26" s="70"/>
      <c r="AA26" s="70"/>
      <c r="AB26" s="70"/>
      <c r="AC26" s="70"/>
      <c r="AD26" s="70"/>
      <c r="AE26" s="70"/>
      <c r="AF26" s="71"/>
      <c r="AL26" s="71"/>
      <c r="BB26" s="71"/>
    </row>
    <row r="27" spans="1:73" s="163" customFormat="1">
      <c r="B27" s="143"/>
      <c r="C27" s="143"/>
      <c r="D27" s="143"/>
      <c r="N27" s="126"/>
      <c r="O27" s="126"/>
      <c r="P27" s="126"/>
      <c r="Q27" s="126"/>
      <c r="R27" s="126"/>
      <c r="S27" s="126"/>
      <c r="T27" s="70"/>
      <c r="U27" s="71"/>
      <c r="V27" s="70"/>
      <c r="W27" s="70"/>
      <c r="X27" s="70"/>
      <c r="Y27" s="70"/>
      <c r="Z27" s="70"/>
      <c r="AA27" s="70"/>
      <c r="AB27" s="70"/>
      <c r="AC27" s="70"/>
      <c r="AD27" s="70"/>
      <c r="AE27" s="70"/>
      <c r="AF27" s="71"/>
      <c r="AL27" s="71"/>
      <c r="BB27" s="71"/>
    </row>
    <row r="28" spans="1:73" s="163" customFormat="1">
      <c r="B28" s="2324"/>
      <c r="C28" s="179" t="s">
        <v>244</v>
      </c>
      <c r="D28" s="143"/>
      <c r="N28" s="126"/>
      <c r="O28" s="126"/>
      <c r="P28" s="126"/>
      <c r="Q28" s="126"/>
      <c r="R28" s="126"/>
      <c r="S28" s="126"/>
      <c r="T28" s="70"/>
      <c r="U28" s="71"/>
      <c r="V28" s="70"/>
      <c r="W28" s="70"/>
      <c r="X28" s="70"/>
      <c r="Y28" s="70"/>
      <c r="Z28" s="70"/>
      <c r="AA28" s="70"/>
      <c r="AB28" s="70"/>
      <c r="AC28" s="70"/>
      <c r="AD28" s="70"/>
      <c r="AE28" s="70"/>
      <c r="AF28" s="71"/>
      <c r="AL28" s="71"/>
      <c r="BB28" s="71"/>
    </row>
    <row r="29" spans="1:73" s="178" customFormat="1" ht="13.5" thickBot="1">
      <c r="C29" s="179"/>
      <c r="D29" s="179"/>
      <c r="N29" s="130"/>
      <c r="O29" s="130"/>
      <c r="P29" s="130"/>
      <c r="Q29" s="130"/>
      <c r="R29" s="126"/>
      <c r="S29" s="126"/>
      <c r="T29" s="126"/>
      <c r="U29" s="119"/>
      <c r="V29" s="126"/>
      <c r="W29" s="126"/>
      <c r="X29" s="126"/>
      <c r="Y29" s="126"/>
      <c r="Z29" s="126"/>
      <c r="AA29" s="203"/>
      <c r="AB29" s="203"/>
      <c r="AC29" s="203"/>
      <c r="AD29" s="203"/>
      <c r="AE29" s="163"/>
      <c r="AF29" s="119"/>
      <c r="AL29" s="119"/>
      <c r="BB29" s="119"/>
    </row>
    <row r="30" spans="1:73" s="178" customFormat="1" ht="21" thickBot="1">
      <c r="B30" s="3053" t="s">
        <v>192</v>
      </c>
      <c r="C30" s="147"/>
      <c r="D30" s="147"/>
      <c r="E30" s="148"/>
      <c r="F30" s="148"/>
      <c r="G30" s="148"/>
      <c r="H30" s="148"/>
      <c r="I30" s="148"/>
      <c r="J30" s="148"/>
      <c r="K30" s="148"/>
      <c r="L30" s="148"/>
      <c r="M30" s="148"/>
      <c r="N30" s="148"/>
      <c r="O30" s="148"/>
      <c r="P30" s="154"/>
      <c r="Q30" s="130"/>
      <c r="R30" s="126"/>
      <c r="S30" s="126"/>
      <c r="T30" s="126"/>
      <c r="U30" s="119"/>
      <c r="V30" s="126"/>
      <c r="W30" s="126"/>
      <c r="X30" s="126"/>
      <c r="Y30" s="126"/>
      <c r="Z30" s="126"/>
      <c r="AA30" s="203"/>
      <c r="AB30" s="203"/>
      <c r="AC30" s="203"/>
      <c r="AD30" s="203"/>
      <c r="AE30" s="163"/>
      <c r="AF30" s="119"/>
      <c r="AL30" s="119"/>
      <c r="BB30" s="119"/>
    </row>
    <row r="31" spans="1:73" s="178" customFormat="1" ht="12.75">
      <c r="C31" s="179"/>
      <c r="D31" s="179"/>
      <c r="N31" s="130"/>
      <c r="O31" s="130"/>
      <c r="P31" s="130"/>
      <c r="Q31" s="130"/>
      <c r="R31" s="126"/>
      <c r="S31" s="126"/>
      <c r="T31" s="126"/>
      <c r="U31" s="119"/>
      <c r="V31" s="126"/>
      <c r="W31" s="126"/>
      <c r="X31" s="126"/>
      <c r="Y31" s="126"/>
      <c r="Z31" s="126"/>
      <c r="AA31" s="203"/>
      <c r="AB31" s="203"/>
      <c r="AC31" s="203"/>
      <c r="AD31" s="203"/>
      <c r="AE31" s="163"/>
      <c r="AF31" s="119"/>
      <c r="AL31" s="119"/>
      <c r="BB31" s="119"/>
    </row>
    <row r="32" spans="1:73" s="110" customFormat="1" ht="21" hidden="1" thickBot="1">
      <c r="A32" s="1560"/>
      <c r="B32" s="146" t="str">
        <f ca="1" xml:space="preserve"> RIGHT(CELL("filename", $A$1), LEN(CELL("filename", $A$1)) - SEARCH("]", CELL("filename", $A$1)))&amp;" - Line definitions"</f>
        <v>2A - Line definitions</v>
      </c>
      <c r="C32" s="147"/>
      <c r="D32" s="147"/>
      <c r="E32" s="148"/>
      <c r="F32" s="148"/>
      <c r="G32" s="148"/>
      <c r="H32" s="148"/>
      <c r="I32" s="148"/>
      <c r="J32" s="148"/>
      <c r="K32" s="148"/>
      <c r="L32" s="148"/>
      <c r="M32" s="148"/>
      <c r="N32" s="148"/>
      <c r="O32" s="148"/>
      <c r="P32" s="154"/>
      <c r="Q32" s="118"/>
      <c r="R32" s="120"/>
      <c r="S32" s="120"/>
      <c r="T32" s="126"/>
      <c r="U32" s="119"/>
      <c r="V32" s="126"/>
      <c r="W32" s="126"/>
      <c r="X32" s="126"/>
      <c r="Y32" s="126"/>
      <c r="Z32" s="126"/>
      <c r="AA32" s="203"/>
      <c r="AB32" s="203"/>
      <c r="AC32" s="203"/>
      <c r="AD32" s="203"/>
      <c r="AE32" s="163"/>
      <c r="AF32" s="119"/>
      <c r="AL32" s="119"/>
      <c r="BB32" s="119"/>
    </row>
    <row r="33" spans="1:54" s="110" customFormat="1" ht="15" hidden="1" thickBot="1">
      <c r="A33" s="1560"/>
      <c r="B33" s="74"/>
      <c r="C33" s="155"/>
      <c r="D33" s="155"/>
      <c r="E33" s="74"/>
      <c r="F33" s="74"/>
      <c r="G33" s="74"/>
      <c r="N33" s="118"/>
      <c r="O33" s="118"/>
      <c r="P33" s="118"/>
      <c r="Q33" s="118"/>
      <c r="R33" s="120"/>
      <c r="S33" s="120"/>
      <c r="T33" s="126"/>
      <c r="U33" s="119"/>
      <c r="W33" s="126"/>
      <c r="X33" s="126"/>
      <c r="Y33" s="126"/>
      <c r="Z33" s="126"/>
      <c r="AA33" s="203"/>
      <c r="AB33" s="203"/>
      <c r="AC33" s="203"/>
      <c r="AD33" s="203"/>
      <c r="AE33" s="163"/>
      <c r="AF33" s="119"/>
      <c r="AL33" s="119"/>
      <c r="BB33" s="119"/>
    </row>
    <row r="34" spans="1:54" s="178" customFormat="1" hidden="1" thickBot="1">
      <c r="A34" s="1561"/>
      <c r="B34" s="367" t="s">
        <v>193</v>
      </c>
      <c r="C34" s="368" t="s">
        <v>194</v>
      </c>
      <c r="D34" s="369"/>
      <c r="E34" s="369"/>
      <c r="F34" s="369"/>
      <c r="G34" s="369"/>
      <c r="H34" s="369"/>
      <c r="I34" s="369"/>
      <c r="J34" s="369"/>
      <c r="K34" s="369"/>
      <c r="L34" s="369"/>
      <c r="M34" s="369"/>
      <c r="N34" s="369"/>
      <c r="O34" s="369"/>
      <c r="P34" s="370"/>
      <c r="Q34" s="346"/>
      <c r="R34" s="130"/>
      <c r="S34" s="130"/>
      <c r="T34" s="126"/>
      <c r="U34" s="119"/>
      <c r="V34" s="85" t="s">
        <v>195</v>
      </c>
      <c r="W34" s="126"/>
      <c r="X34" s="126"/>
      <c r="Y34" s="126"/>
      <c r="Z34" s="126"/>
      <c r="AA34" s="203"/>
      <c r="AB34" s="203"/>
      <c r="AC34" s="203"/>
      <c r="AD34" s="203"/>
      <c r="AE34" s="163"/>
      <c r="AF34" s="119"/>
      <c r="AL34" s="119"/>
      <c r="BB34" s="119"/>
    </row>
    <row r="35" spans="1:54" s="110" customFormat="1" ht="23.25" hidden="1" customHeight="1">
      <c r="A35" s="1560"/>
      <c r="B35" s="181" t="s">
        <v>914</v>
      </c>
      <c r="C35" s="3073" t="s">
        <v>1027</v>
      </c>
      <c r="D35" s="3073"/>
      <c r="E35" s="3073"/>
      <c r="F35" s="3073"/>
      <c r="G35" s="3073"/>
      <c r="H35" s="3073"/>
      <c r="I35" s="3073"/>
      <c r="J35" s="3073"/>
      <c r="K35" s="3073"/>
      <c r="L35" s="3073"/>
      <c r="M35" s="3073"/>
      <c r="N35" s="3073"/>
      <c r="O35" s="3091"/>
      <c r="P35" s="3074"/>
      <c r="Q35" s="348"/>
      <c r="R35" s="120"/>
      <c r="S35" s="120"/>
      <c r="T35" s="126"/>
      <c r="U35" s="119"/>
      <c r="V35" s="161" t="s">
        <v>197</v>
      </c>
      <c r="W35" s="126"/>
      <c r="X35" s="126"/>
      <c r="Y35" s="126"/>
      <c r="Z35" s="126"/>
      <c r="AA35" s="203"/>
      <c r="AB35" s="203"/>
      <c r="AC35" s="203"/>
      <c r="AD35" s="203"/>
      <c r="AE35" s="163"/>
      <c r="AF35" s="119"/>
      <c r="AL35" s="119"/>
      <c r="BB35" s="119"/>
    </row>
    <row r="36" spans="1:54" s="110" customFormat="1" ht="23.25" hidden="1" customHeight="1">
      <c r="A36" s="1560"/>
      <c r="B36" s="159" t="s">
        <v>929</v>
      </c>
      <c r="C36" s="3055" t="s">
        <v>1028</v>
      </c>
      <c r="D36" s="3055"/>
      <c r="E36" s="3055"/>
      <c r="F36" s="3055"/>
      <c r="G36" s="3055"/>
      <c r="H36" s="3055"/>
      <c r="I36" s="3055"/>
      <c r="J36" s="3055"/>
      <c r="K36" s="3055"/>
      <c r="L36" s="3055"/>
      <c r="M36" s="3055"/>
      <c r="N36" s="3055"/>
      <c r="O36" s="3082"/>
      <c r="P36" s="3056"/>
      <c r="Q36" s="348"/>
      <c r="R36" s="120"/>
      <c r="S36" s="120"/>
      <c r="T36" s="126"/>
      <c r="U36" s="119"/>
      <c r="V36" s="161" t="s">
        <v>197</v>
      </c>
      <c r="W36" s="126"/>
      <c r="X36" s="126"/>
      <c r="Y36" s="126"/>
      <c r="Z36" s="126"/>
      <c r="AA36" s="203"/>
      <c r="AB36" s="203"/>
      <c r="AC36" s="203"/>
      <c r="AD36" s="203"/>
      <c r="AE36" s="163"/>
      <c r="AF36" s="119"/>
      <c r="AL36" s="119"/>
      <c r="BB36" s="119"/>
    </row>
    <row r="37" spans="1:54" s="110" customFormat="1" ht="23.25" hidden="1" customHeight="1">
      <c r="A37" s="1560"/>
      <c r="B37" s="159" t="s">
        <v>940</v>
      </c>
      <c r="C37" s="3055" t="s">
        <v>1029</v>
      </c>
      <c r="D37" s="3055"/>
      <c r="E37" s="3055"/>
      <c r="F37" s="3055"/>
      <c r="G37" s="3055"/>
      <c r="H37" s="3055"/>
      <c r="I37" s="3055"/>
      <c r="J37" s="3055"/>
      <c r="K37" s="3055"/>
      <c r="L37" s="3055"/>
      <c r="M37" s="3055"/>
      <c r="N37" s="3055"/>
      <c r="O37" s="3082"/>
      <c r="P37" s="3056"/>
      <c r="Q37" s="348"/>
      <c r="R37" s="120"/>
      <c r="S37" s="120"/>
      <c r="T37" s="126"/>
      <c r="U37" s="119"/>
      <c r="V37" s="161" t="s">
        <v>197</v>
      </c>
      <c r="W37" s="126"/>
      <c r="X37" s="126"/>
      <c r="Y37" s="126"/>
      <c r="Z37" s="126"/>
      <c r="AA37" s="302"/>
      <c r="AB37" s="302"/>
      <c r="AC37" s="302"/>
      <c r="AD37" s="302"/>
      <c r="AE37" s="178"/>
      <c r="AF37" s="119"/>
      <c r="AL37" s="119"/>
      <c r="BB37" s="119"/>
    </row>
    <row r="38" spans="1:54" s="110" customFormat="1" ht="13.7" hidden="1" customHeight="1">
      <c r="A38" s="1560"/>
      <c r="B38" s="159" t="s">
        <v>953</v>
      </c>
      <c r="C38" s="3055" t="s">
        <v>1030</v>
      </c>
      <c r="D38" s="3055"/>
      <c r="E38" s="3055"/>
      <c r="F38" s="3055"/>
      <c r="G38" s="3055"/>
      <c r="H38" s="3055"/>
      <c r="I38" s="3055"/>
      <c r="J38" s="3055"/>
      <c r="K38" s="3055"/>
      <c r="L38" s="3055"/>
      <c r="M38" s="3055"/>
      <c r="N38" s="3055"/>
      <c r="O38" s="3082"/>
      <c r="P38" s="3056"/>
      <c r="Q38" s="348"/>
      <c r="R38" s="120"/>
      <c r="S38" s="120"/>
      <c r="T38" s="126"/>
      <c r="U38" s="119"/>
      <c r="V38" s="161">
        <v>1</v>
      </c>
      <c r="W38" s="126"/>
      <c r="X38" s="126"/>
      <c r="Y38" s="126"/>
      <c r="Z38" s="126"/>
      <c r="AA38" s="302"/>
      <c r="AB38" s="302"/>
      <c r="AC38" s="302"/>
      <c r="AD38" s="302"/>
      <c r="AE38" s="178"/>
      <c r="AF38" s="119"/>
      <c r="AL38" s="119"/>
      <c r="BB38" s="119"/>
    </row>
    <row r="39" spans="1:54" s="110" customFormat="1" ht="13.7" hidden="1" customHeight="1">
      <c r="A39" s="1560"/>
      <c r="B39" s="159" t="s">
        <v>960</v>
      </c>
      <c r="C39" s="3055" t="s">
        <v>1031</v>
      </c>
      <c r="D39" s="3055"/>
      <c r="E39" s="3055"/>
      <c r="F39" s="3055"/>
      <c r="G39" s="3055"/>
      <c r="H39" s="3055"/>
      <c r="I39" s="3055"/>
      <c r="J39" s="3055"/>
      <c r="K39" s="3055"/>
      <c r="L39" s="3055"/>
      <c r="M39" s="3055"/>
      <c r="N39" s="3055"/>
      <c r="O39" s="3082"/>
      <c r="P39" s="3056"/>
      <c r="Q39" s="348"/>
      <c r="R39" s="120"/>
      <c r="S39" s="120"/>
      <c r="T39" s="126"/>
      <c r="U39" s="119"/>
      <c r="V39" s="161">
        <v>1</v>
      </c>
      <c r="W39" s="126"/>
      <c r="X39" s="126"/>
      <c r="Y39" s="126"/>
      <c r="Z39" s="126"/>
      <c r="AA39" s="302"/>
      <c r="AB39" s="302"/>
      <c r="AC39" s="302"/>
      <c r="AD39" s="302"/>
      <c r="AE39" s="178"/>
      <c r="AF39" s="119"/>
      <c r="AL39" s="119"/>
      <c r="BB39" s="119"/>
    </row>
    <row r="40" spans="1:54" s="110" customFormat="1" ht="13.7" hidden="1" customHeight="1">
      <c r="A40" s="1560"/>
      <c r="B40" s="159" t="s">
        <v>972</v>
      </c>
      <c r="C40" s="3055" t="s">
        <v>1032</v>
      </c>
      <c r="D40" s="3055"/>
      <c r="E40" s="3055"/>
      <c r="F40" s="3055"/>
      <c r="G40" s="3055"/>
      <c r="H40" s="3055"/>
      <c r="I40" s="3055"/>
      <c r="J40" s="3055"/>
      <c r="K40" s="3055"/>
      <c r="L40" s="3055"/>
      <c r="M40" s="3055"/>
      <c r="N40" s="3055"/>
      <c r="O40" s="3082"/>
      <c r="P40" s="3056"/>
      <c r="Q40" s="348"/>
      <c r="R40" s="120"/>
      <c r="S40" s="120"/>
      <c r="T40" s="126"/>
      <c r="U40" s="119"/>
      <c r="V40" s="161">
        <v>1</v>
      </c>
      <c r="W40" s="126"/>
      <c r="X40" s="126"/>
      <c r="Y40" s="126"/>
      <c r="Z40" s="126"/>
      <c r="AA40" s="302"/>
      <c r="AB40" s="302"/>
      <c r="AC40" s="302"/>
      <c r="AD40" s="302"/>
      <c r="AE40" s="178"/>
      <c r="AF40" s="119"/>
      <c r="AL40" s="119"/>
      <c r="BB40" s="119"/>
    </row>
    <row r="41" spans="1:54" s="110" customFormat="1" ht="13.7" hidden="1" customHeight="1">
      <c r="A41" s="1560"/>
      <c r="B41" s="159" t="s">
        <v>984</v>
      </c>
      <c r="C41" s="3055" t="s">
        <v>1033</v>
      </c>
      <c r="D41" s="3055"/>
      <c r="E41" s="3055"/>
      <c r="F41" s="3055"/>
      <c r="G41" s="3055"/>
      <c r="H41" s="3055"/>
      <c r="I41" s="3055"/>
      <c r="J41" s="3055"/>
      <c r="K41" s="3055"/>
      <c r="L41" s="3055"/>
      <c r="M41" s="3055"/>
      <c r="N41" s="3055"/>
      <c r="O41" s="3082"/>
      <c r="P41" s="3056"/>
      <c r="Q41" s="348"/>
      <c r="R41" s="120"/>
      <c r="S41" s="120"/>
      <c r="T41" s="118"/>
      <c r="U41" s="119"/>
      <c r="V41" s="161">
        <v>1</v>
      </c>
      <c r="W41" s="118"/>
      <c r="X41" s="118"/>
      <c r="Y41" s="118"/>
      <c r="Z41" s="118"/>
      <c r="AA41" s="280"/>
      <c r="AB41" s="280"/>
      <c r="AC41" s="280"/>
      <c r="AD41" s="280"/>
      <c r="AF41" s="119"/>
      <c r="AL41" s="119"/>
      <c r="BB41" s="119"/>
    </row>
    <row r="42" spans="1:54" s="110" customFormat="1" ht="13.7" hidden="1" customHeight="1">
      <c r="A42" s="1560"/>
      <c r="B42" s="159" t="s">
        <v>993</v>
      </c>
      <c r="C42" s="3055" t="s">
        <v>1034</v>
      </c>
      <c r="D42" s="3055"/>
      <c r="E42" s="3055"/>
      <c r="F42" s="3055"/>
      <c r="G42" s="3055"/>
      <c r="H42" s="3055"/>
      <c r="I42" s="3055"/>
      <c r="J42" s="3055"/>
      <c r="K42" s="3055"/>
      <c r="L42" s="3055"/>
      <c r="M42" s="3055"/>
      <c r="N42" s="3055"/>
      <c r="O42" s="3082"/>
      <c r="P42" s="3056"/>
      <c r="Q42" s="348"/>
      <c r="R42" s="120"/>
      <c r="S42" s="120"/>
      <c r="T42" s="118"/>
      <c r="U42" s="124"/>
      <c r="V42" s="161">
        <v>1</v>
      </c>
      <c r="W42" s="118"/>
      <c r="X42" s="118"/>
      <c r="Y42" s="118"/>
      <c r="Z42" s="118"/>
      <c r="AA42" s="280"/>
      <c r="AB42" s="280"/>
      <c r="AC42" s="280"/>
      <c r="AD42" s="280"/>
      <c r="AF42" s="124"/>
      <c r="AL42" s="124"/>
      <c r="BB42" s="124"/>
    </row>
    <row r="43" spans="1:54" s="110" customFormat="1" ht="13.7" hidden="1" customHeight="1">
      <c r="A43" s="1560"/>
      <c r="B43" s="159" t="s">
        <v>1005</v>
      </c>
      <c r="C43" s="3055" t="s">
        <v>1035</v>
      </c>
      <c r="D43" s="3055"/>
      <c r="E43" s="3055"/>
      <c r="F43" s="3055"/>
      <c r="G43" s="3055"/>
      <c r="H43" s="3055"/>
      <c r="I43" s="3055"/>
      <c r="J43" s="3055"/>
      <c r="K43" s="3055"/>
      <c r="L43" s="3055"/>
      <c r="M43" s="3055"/>
      <c r="N43" s="3055"/>
      <c r="O43" s="3082"/>
      <c r="P43" s="3056"/>
      <c r="Q43" s="348"/>
      <c r="R43" s="120"/>
      <c r="S43" s="120"/>
      <c r="T43" s="118"/>
      <c r="U43" s="124"/>
      <c r="V43" s="161">
        <v>1</v>
      </c>
      <c r="W43" s="118"/>
      <c r="X43" s="118"/>
      <c r="Y43" s="118"/>
      <c r="Z43" s="118"/>
      <c r="AA43" s="178"/>
      <c r="AB43" s="178"/>
      <c r="AC43" s="178"/>
      <c r="AD43" s="178"/>
      <c r="AE43" s="178"/>
      <c r="AF43" s="124"/>
      <c r="AL43" s="124"/>
      <c r="BB43" s="124"/>
    </row>
    <row r="44" spans="1:54" s="110" customFormat="1" hidden="1">
      <c r="A44" s="1560"/>
      <c r="B44" s="159" t="s">
        <v>1017</v>
      </c>
      <c r="C44" s="3055" t="s">
        <v>1036</v>
      </c>
      <c r="D44" s="3055"/>
      <c r="E44" s="3055"/>
      <c r="F44" s="3055"/>
      <c r="G44" s="3055"/>
      <c r="H44" s="3055"/>
      <c r="I44" s="3055"/>
      <c r="J44" s="3055"/>
      <c r="K44" s="3055"/>
      <c r="L44" s="3055"/>
      <c r="M44" s="3055"/>
      <c r="N44" s="3055"/>
      <c r="O44" s="3082"/>
      <c r="P44" s="3056"/>
      <c r="Q44" s="348"/>
      <c r="R44" s="120"/>
      <c r="S44" s="120"/>
      <c r="T44" s="118"/>
      <c r="U44" s="124"/>
      <c r="V44" s="158">
        <v>1</v>
      </c>
      <c r="W44" s="118"/>
      <c r="X44" s="118"/>
      <c r="Y44" s="118"/>
      <c r="Z44" s="118"/>
      <c r="AA44" s="280"/>
      <c r="AB44" s="280"/>
      <c r="AC44" s="280"/>
      <c r="AD44" s="280"/>
      <c r="AF44" s="124"/>
      <c r="AL44" s="124"/>
      <c r="BB44" s="124"/>
    </row>
    <row r="45" spans="1:54" s="110" customFormat="1" ht="14.25" hidden="1" customHeight="1" thickBot="1">
      <c r="A45" s="1560"/>
      <c r="B45" s="183" t="s">
        <v>1024</v>
      </c>
      <c r="C45" s="3075" t="s">
        <v>1037</v>
      </c>
      <c r="D45" s="3075"/>
      <c r="E45" s="3075"/>
      <c r="F45" s="3075"/>
      <c r="G45" s="3075"/>
      <c r="H45" s="3075"/>
      <c r="I45" s="3075"/>
      <c r="J45" s="3075"/>
      <c r="K45" s="3075"/>
      <c r="L45" s="3075"/>
      <c r="M45" s="3075"/>
      <c r="N45" s="3075"/>
      <c r="O45" s="3085"/>
      <c r="P45" s="3076"/>
      <c r="Q45" s="348"/>
      <c r="R45" s="120"/>
      <c r="S45" s="120"/>
      <c r="U45" s="124"/>
      <c r="V45" s="158">
        <v>1</v>
      </c>
      <c r="AF45" s="124"/>
      <c r="AL45" s="124"/>
      <c r="BB45" s="124"/>
    </row>
    <row r="46" spans="1:54" hidden="1">
      <c r="A46" s="1564"/>
      <c r="C46" s="177"/>
      <c r="D46" s="177"/>
      <c r="T46" s="110"/>
      <c r="U46" s="124"/>
      <c r="V46" s="158"/>
      <c r="W46" s="110"/>
      <c r="X46" s="110"/>
      <c r="Y46" s="110"/>
      <c r="Z46" s="110"/>
      <c r="AA46" s="110"/>
      <c r="AB46" s="110"/>
      <c r="AC46" s="110"/>
      <c r="AD46" s="110"/>
      <c r="AE46" s="110"/>
      <c r="AF46" s="124"/>
      <c r="AL46" s="124"/>
      <c r="BB46" s="124"/>
    </row>
  </sheetData>
  <sheetProtection algorithmName="SHA-512" hashValue="VJsK/jRYe4pMHGOkvfkiJmtiUaHUR9SDXmnz78yuXEuAOXjiXELnUDP0icltWJD16fY1tCxQSDOHb6u5CNnvbg==" saltValue="fp7RxWSp+q+N5ZsDi42ZCw==" spinCount="100000" sheet="1" objects="1" scenarios="1"/>
  <mergeCells count="32">
    <mergeCell ref="C42:P42"/>
    <mergeCell ref="C43:P43"/>
    <mergeCell ref="C44:P44"/>
    <mergeCell ref="C45:P45"/>
    <mergeCell ref="B22:C22"/>
    <mergeCell ref="C35:P35"/>
    <mergeCell ref="C36:P36"/>
    <mergeCell ref="C37:P37"/>
    <mergeCell ref="C40:P40"/>
    <mergeCell ref="C41:P41"/>
    <mergeCell ref="C38:P38"/>
    <mergeCell ref="C39:P39"/>
    <mergeCell ref="AP3:AR4"/>
    <mergeCell ref="AS3:AU4"/>
    <mergeCell ref="AV3:AX4"/>
    <mergeCell ref="B3:C4"/>
    <mergeCell ref="E3:E4"/>
    <mergeCell ref="F3:F4"/>
    <mergeCell ref="G3:H3"/>
    <mergeCell ref="P3:P4"/>
    <mergeCell ref="R3:R4"/>
    <mergeCell ref="S3:S4"/>
    <mergeCell ref="V3:AE4"/>
    <mergeCell ref="AG3:AG4"/>
    <mergeCell ref="AM3:AO4"/>
    <mergeCell ref="I3:O3"/>
    <mergeCell ref="BU3:BU4"/>
    <mergeCell ref="BG3:BH4"/>
    <mergeCell ref="BJ3:BJ4"/>
    <mergeCell ref="BK3:BK4"/>
    <mergeCell ref="BL3:BM3"/>
    <mergeCell ref="BN3:BT3"/>
  </mergeCells>
  <conditionalFormatting sqref="R5 S15:S16 S20 R11:S11 S9:S10 S6 R7:S8">
    <cfRule type="cellIs" dxfId="1360" priority="30" operator="equal">
      <formula>0</formula>
    </cfRule>
  </conditionalFormatting>
  <conditionalFormatting sqref="R9">
    <cfRule type="cellIs" dxfId="1359" priority="26" operator="equal">
      <formula>0</formula>
    </cfRule>
  </conditionalFormatting>
  <conditionalFormatting sqref="R6">
    <cfRule type="cellIs" dxfId="1358" priority="23" operator="equal">
      <formula>0</formula>
    </cfRule>
  </conditionalFormatting>
  <conditionalFormatting sqref="O6:O12 O15:O16 O18">
    <cfRule type="expression" dxfId="1357" priority="1">
      <formula>$P$1&lt;&gt;"Thames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ignoredErrors>
    <ignoredError sqref="O12 O18" unlockedFormula="1"/>
  </ignoredErrors>
  <legacyDrawingHF r:id="rId4"/>
  <extLst>
    <ext xmlns:x14="http://schemas.microsoft.com/office/spreadsheetml/2009/9/main" uri="{78C0D931-6437-407d-A8EE-F0AAD7539E65}">
      <x14:conditionalFormattings>
        <x14:conditionalFormatting xmlns:xm="http://schemas.microsoft.com/office/excel/2006/main">
          <x14:cfRule type="expression" priority="25"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24" id="{6904E0D7-9B3E-41DF-90CE-7925EE91B07E}">
            <xm:f>Validation!$H$3=1</xm:f>
            <x14:dxf>
              <fill>
                <patternFill>
                  <bgColor rgb="FFE0DCD8"/>
                </patternFill>
              </fill>
            </x14:dxf>
          </x14:cfRule>
          <xm:sqref>N6:N12 L7:L11 M8:M11 L15:N16 N18</xm:sqref>
        </x14:conditionalFormatting>
        <x14:conditionalFormatting xmlns:xm="http://schemas.microsoft.com/office/excel/2006/main">
          <x14:cfRule type="expression" priority="14"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13"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12"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11"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10" id="{BEEFB7F5-B07B-4922-AF41-F4E2347AD7EB}">
            <xm:f>Validation!$H$3=1</xm:f>
            <x14:dxf>
              <fill>
                <patternFill>
                  <bgColor rgb="FFE0DCD8"/>
                </patternFill>
              </fill>
            </x14:dxf>
          </x14:cfRule>
          <xm:sqref>BS11</xm:sqref>
        </x14:conditionalFormatting>
        <x14:conditionalFormatting xmlns:xm="http://schemas.microsoft.com/office/excel/2006/main">
          <x14:cfRule type="expression" priority="3" id="{6C46E87B-FE5B-4277-8427-066A31956255}">
            <xm:f>Validation!$H$3=1</xm:f>
            <x14:dxf>
              <fill>
                <patternFill>
                  <bgColor rgb="FFE0DCD8"/>
                </patternFill>
              </fill>
            </x14:dxf>
          </x14:cfRule>
          <xm:sqref>O18</xm:sqref>
        </x14:conditionalFormatting>
        <x14:conditionalFormatting xmlns:xm="http://schemas.microsoft.com/office/excel/2006/main">
          <x14:cfRule type="expression" priority="2" id="{DDE0EA24-BA33-4199-9555-5843A86121B0}">
            <xm:f>Validation!$H$3=1</xm:f>
            <x14:dxf>
              <fill>
                <patternFill>
                  <bgColor rgb="FFE0DCD8"/>
                </patternFill>
              </fill>
            </x14:dxf>
          </x14:cfRule>
          <xm:sqref>O6:O12 O15:O16 O18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BL79"/>
  <sheetViews>
    <sheetView workbookViewId="0">
      <selection activeCell="G25" sqref="G25"/>
    </sheetView>
  </sheetViews>
  <sheetFormatPr defaultColWidth="0" defaultRowHeight="14.25" zeroHeight="1"/>
  <cols>
    <col min="1" max="1" width="0.5" style="82" customWidth="1"/>
    <col min="2" max="2" width="6.125" style="82" customWidth="1"/>
    <col min="3" max="3" width="58.125" style="82" bestFit="1" customWidth="1"/>
    <col min="4" max="4" width="5.5" style="82" hidden="1" customWidth="1"/>
    <col min="5" max="6" width="5.125" style="82" customWidth="1"/>
    <col min="7" max="12" width="12.5" style="162" customWidth="1"/>
    <col min="13" max="13" width="2.5" style="162" customWidth="1"/>
    <col min="14" max="14" width="35.5" style="74" customWidth="1"/>
    <col min="15" max="15" width="24.5" style="74" customWidth="1"/>
    <col min="16" max="16" width="1.5" style="70" customWidth="1"/>
    <col min="17" max="17" width="1.5" style="71" hidden="1" customWidth="1"/>
    <col min="18" max="21" width="5.125" style="70" hidden="1" customWidth="1"/>
    <col min="22" max="22" width="1.5" style="71" hidden="1" customWidth="1"/>
    <col min="23" max="23" width="8" style="74" hidden="1" customWidth="1"/>
    <col min="24" max="24" width="1.5" style="71" hidden="1" customWidth="1"/>
    <col min="25" max="28" width="6.5" style="74" hidden="1" customWidth="1"/>
    <col min="29" max="29" width="66.5" style="74" hidden="1" customWidth="1"/>
    <col min="30" max="30" width="1.5" style="71" hidden="1" customWidth="1"/>
    <col min="31" max="51" width="8.5" style="82" hidden="1" customWidth="1"/>
    <col min="52" max="52" width="9" style="82" customWidth="1"/>
    <col min="53" max="53" width="6.125" style="82" customWidth="1"/>
    <col min="54" max="54" width="58.125" style="82" bestFit="1" customWidth="1"/>
    <col min="55" max="55" width="5.5" style="82" hidden="1" customWidth="1"/>
    <col min="56" max="57" width="5.125" style="82" customWidth="1"/>
    <col min="58" max="63" width="12.5" style="162" customWidth="1"/>
    <col min="64" max="64" width="2.5" style="82" customWidth="1"/>
    <col min="65" max="16384" width="9" style="82" hidden="1"/>
  </cols>
  <sheetData>
    <row r="1" spans="2:63" s="70" customFormat="1" ht="20.25">
      <c r="B1" s="66" t="s">
        <v>1038</v>
      </c>
      <c r="C1" s="66"/>
      <c r="D1" s="66"/>
      <c r="E1" s="66"/>
      <c r="F1" s="66"/>
      <c r="G1" s="66"/>
      <c r="H1" s="66"/>
      <c r="I1" s="66"/>
      <c r="J1" s="66"/>
      <c r="K1" s="66"/>
      <c r="L1" s="68" t="str">
        <f>Validation!B3</f>
        <v>Yorkshire Water</v>
      </c>
      <c r="M1" s="66"/>
      <c r="N1" s="69"/>
      <c r="O1" s="69" t="s">
        <v>34</v>
      </c>
      <c r="Q1" s="71"/>
      <c r="V1" s="71"/>
      <c r="X1" s="71"/>
      <c r="AD1" s="71"/>
      <c r="BA1" s="66" t="s">
        <v>35</v>
      </c>
      <c r="BB1" s="66"/>
      <c r="BC1" s="66"/>
      <c r="BD1" s="66"/>
      <c r="BE1" s="66"/>
      <c r="BF1" s="66"/>
      <c r="BG1" s="66"/>
      <c r="BH1" s="66"/>
      <c r="BI1" s="66"/>
      <c r="BJ1" s="66"/>
      <c r="BK1" s="68"/>
    </row>
    <row r="2" spans="2:63" s="2" customFormat="1" ht="15.75" customHeight="1" thickBot="1">
      <c r="B2" s="73" t="str">
        <f>'2A'!B2</f>
        <v>For the 12 months ended 31 March 2020</v>
      </c>
      <c r="C2" s="383"/>
      <c r="D2" s="383"/>
      <c r="E2" s="74"/>
      <c r="F2" s="74"/>
      <c r="G2" s="74"/>
      <c r="H2" s="74"/>
      <c r="I2" s="74"/>
      <c r="J2" s="74"/>
      <c r="K2" s="74"/>
      <c r="L2" s="74"/>
      <c r="M2" s="74"/>
      <c r="N2" s="70"/>
      <c r="O2" s="70"/>
      <c r="P2" s="70"/>
      <c r="Q2" s="71"/>
      <c r="R2" s="70"/>
      <c r="S2" s="70"/>
      <c r="T2" s="70"/>
      <c r="U2" s="70"/>
      <c r="V2" s="71"/>
      <c r="W2" s="70"/>
      <c r="X2" s="71"/>
      <c r="Y2" s="70"/>
      <c r="Z2" s="70"/>
      <c r="AA2" s="70"/>
      <c r="AB2" s="70"/>
      <c r="AC2" s="70"/>
      <c r="AD2" s="71"/>
      <c r="BA2" s="73" t="str">
        <f>+B2</f>
        <v>For the 12 months ended 31 March 2020</v>
      </c>
      <c r="BB2" s="383"/>
      <c r="BC2" s="383"/>
      <c r="BD2" s="74"/>
      <c r="BE2" s="74"/>
      <c r="BF2" s="74"/>
      <c r="BG2" s="74"/>
      <c r="BH2" s="74"/>
      <c r="BI2" s="74"/>
      <c r="BJ2" s="74"/>
      <c r="BK2" s="74"/>
    </row>
    <row r="3" spans="2:63" s="602" customFormat="1" ht="29.25" customHeight="1" thickBot="1">
      <c r="B3" s="3122" t="s">
        <v>36</v>
      </c>
      <c r="C3" s="3123"/>
      <c r="D3" s="3003" t="s">
        <v>37</v>
      </c>
      <c r="E3" s="307" t="s">
        <v>38</v>
      </c>
      <c r="F3" s="297" t="s">
        <v>39</v>
      </c>
      <c r="G3" s="296" t="s">
        <v>1039</v>
      </c>
      <c r="H3" s="297" t="s">
        <v>908</v>
      </c>
      <c r="I3" s="598" t="s">
        <v>1040</v>
      </c>
      <c r="J3" s="1969" t="s">
        <v>911</v>
      </c>
      <c r="K3" s="297" t="s">
        <v>913</v>
      </c>
      <c r="L3" s="350" t="s">
        <v>710</v>
      </c>
      <c r="M3" s="599"/>
      <c r="N3" s="2990" t="s">
        <v>705</v>
      </c>
      <c r="O3" s="2990" t="s">
        <v>43</v>
      </c>
      <c r="P3" s="600"/>
      <c r="Q3" s="601"/>
      <c r="R3" s="3072" t="s">
        <v>47</v>
      </c>
      <c r="S3" s="3072"/>
      <c r="T3" s="3072"/>
      <c r="U3" s="3072"/>
      <c r="V3" s="601"/>
      <c r="W3" s="3072" t="s">
        <v>26</v>
      </c>
      <c r="X3" s="71"/>
      <c r="Y3" s="3119" t="s">
        <v>904</v>
      </c>
      <c r="Z3" s="3119"/>
      <c r="AA3" s="3119"/>
      <c r="AB3" s="3119"/>
      <c r="AC3" s="3119"/>
      <c r="AD3" s="71"/>
      <c r="BA3" s="3122" t="s">
        <v>36</v>
      </c>
      <c r="BB3" s="3123"/>
      <c r="BC3" s="3003" t="s">
        <v>37</v>
      </c>
      <c r="BD3" s="307" t="s">
        <v>38</v>
      </c>
      <c r="BE3" s="297" t="s">
        <v>39</v>
      </c>
      <c r="BF3" s="296" t="s">
        <v>1039</v>
      </c>
      <c r="BG3" s="297" t="s">
        <v>908</v>
      </c>
      <c r="BH3" s="598" t="s">
        <v>1040</v>
      </c>
      <c r="BI3" s="297" t="s">
        <v>911</v>
      </c>
      <c r="BJ3" s="1945" t="s">
        <v>913</v>
      </c>
      <c r="BK3" s="350" t="s">
        <v>710</v>
      </c>
    </row>
    <row r="4" spans="2:63" s="2" customFormat="1" ht="15" thickBot="1">
      <c r="B4" s="74"/>
      <c r="C4" s="330"/>
      <c r="D4" s="330"/>
      <c r="E4" s="74"/>
      <c r="F4" s="74"/>
      <c r="G4" s="74"/>
      <c r="H4" s="74"/>
      <c r="I4" s="74"/>
      <c r="J4" s="74"/>
      <c r="K4" s="74"/>
      <c r="L4" s="74"/>
      <c r="M4" s="74"/>
      <c r="N4" s="74"/>
      <c r="O4" s="74"/>
      <c r="P4" s="79"/>
      <c r="Q4" s="71"/>
      <c r="R4" s="3072"/>
      <c r="S4" s="3072"/>
      <c r="T4" s="3072"/>
      <c r="U4" s="3072"/>
      <c r="V4" s="71"/>
      <c r="W4" s="3072"/>
      <c r="X4" s="71"/>
      <c r="Y4" s="3119"/>
      <c r="Z4" s="3119"/>
      <c r="AA4" s="3119"/>
      <c r="AB4" s="3119"/>
      <c r="AC4" s="3119"/>
      <c r="AD4" s="71"/>
      <c r="BA4" s="74"/>
      <c r="BB4" s="330"/>
      <c r="BC4" s="330"/>
      <c r="BD4" s="74"/>
      <c r="BE4" s="74"/>
      <c r="BF4" s="74"/>
      <c r="BG4" s="74"/>
      <c r="BH4" s="74"/>
      <c r="BI4" s="74"/>
      <c r="BJ4" s="74"/>
      <c r="BK4" s="74"/>
    </row>
    <row r="5" spans="2:63" s="2" customFormat="1" ht="15" thickBot="1">
      <c r="B5" s="3018" t="s">
        <v>155</v>
      </c>
      <c r="C5" s="298" t="s">
        <v>941</v>
      </c>
      <c r="D5" s="1508"/>
      <c r="E5" s="262"/>
      <c r="F5" s="262"/>
      <c r="G5" s="262"/>
      <c r="H5" s="262"/>
      <c r="I5" s="262"/>
      <c r="J5" s="262"/>
      <c r="K5" s="262"/>
      <c r="L5" s="262"/>
      <c r="M5" s="74"/>
      <c r="N5" s="130"/>
      <c r="O5" s="130"/>
      <c r="P5" s="70"/>
      <c r="Q5" s="71"/>
      <c r="R5" s="85" t="s">
        <v>48</v>
      </c>
      <c r="S5" s="85"/>
      <c r="T5" s="85"/>
      <c r="U5" s="70"/>
      <c r="V5" s="71"/>
      <c r="W5" s="74"/>
      <c r="X5" s="71"/>
      <c r="Y5" s="74"/>
      <c r="Z5" s="74"/>
      <c r="AA5" s="74"/>
      <c r="AB5" s="74"/>
      <c r="AC5" s="74"/>
      <c r="AD5" s="71"/>
      <c r="BA5" s="3018" t="s">
        <v>155</v>
      </c>
      <c r="BB5" s="298" t="s">
        <v>941</v>
      </c>
      <c r="BC5" s="1508"/>
      <c r="BD5" s="262"/>
      <c r="BE5" s="262"/>
      <c r="BF5" s="262"/>
      <c r="BG5" s="262"/>
      <c r="BH5" s="262"/>
      <c r="BI5" s="262"/>
      <c r="BJ5" s="262"/>
      <c r="BK5" s="262"/>
    </row>
    <row r="6" spans="2:63" s="2" customFormat="1">
      <c r="B6" s="288" t="s">
        <v>1041</v>
      </c>
      <c r="C6" s="273" t="s">
        <v>1042</v>
      </c>
      <c r="D6" s="273"/>
      <c r="E6" s="300" t="s">
        <v>51</v>
      </c>
      <c r="F6" s="275">
        <v>3</v>
      </c>
      <c r="G6" s="728">
        <f xml:space="preserve"> SUM( '4D'!G7:H7 )</f>
        <v>2.2200000000000002</v>
      </c>
      <c r="H6" s="729">
        <f xml:space="preserve"> SUM( '4D'!I7:L7 )</f>
        <v>25.837000000000003</v>
      </c>
      <c r="I6" s="728">
        <f xml:space="preserve"> SUM( '4E'!G7:K7 )</f>
        <v>33.242000000000004</v>
      </c>
      <c r="J6" s="1970">
        <f xml:space="preserve"> SUM( '4E'!L7:N7 )</f>
        <v>-3.0710000000000002</v>
      </c>
      <c r="K6" s="1984"/>
      <c r="L6" s="379">
        <f xml:space="preserve"> SUM( G6:K6 )</f>
        <v>58.228000000000009</v>
      </c>
      <c r="M6" s="74"/>
      <c r="N6" s="130"/>
      <c r="O6" s="24">
        <f xml:space="preserve"> IF( SUM( Q6:V6 ) = 0, 0, $R$5 )</f>
        <v>0</v>
      </c>
      <c r="P6" s="70"/>
      <c r="Q6" s="71"/>
      <c r="R6" s="127"/>
      <c r="S6" s="127"/>
      <c r="T6" s="127"/>
      <c r="U6" s="93">
        <f>IF( Validation!$H$3=1, 0, IF(Validation!$B$3 &lt;&gt; "Thames Water", 0, (IF(ISNUMBER(K6), 0, 1))))</f>
        <v>0</v>
      </c>
      <c r="V6" s="71"/>
      <c r="W6" s="127"/>
      <c r="X6" s="71"/>
      <c r="Y6" s="223"/>
      <c r="Z6" s="223"/>
      <c r="AA6" s="223"/>
      <c r="AB6" s="223"/>
      <c r="AC6" s="3124"/>
      <c r="AD6" s="71"/>
      <c r="BA6" s="288" t="s">
        <v>1041</v>
      </c>
      <c r="BB6" s="273" t="s">
        <v>1042</v>
      </c>
      <c r="BC6" s="273"/>
      <c r="BD6" s="300" t="s">
        <v>51</v>
      </c>
      <c r="BE6" s="275">
        <v>3</v>
      </c>
      <c r="BF6" s="728" t="s">
        <v>1043</v>
      </c>
      <c r="BG6" s="729" t="s">
        <v>1044</v>
      </c>
      <c r="BH6" s="728" t="s">
        <v>1045</v>
      </c>
      <c r="BI6" s="729" t="s">
        <v>1046</v>
      </c>
      <c r="BJ6" s="1949" t="s">
        <v>1047</v>
      </c>
      <c r="BK6" s="379" t="s">
        <v>1048</v>
      </c>
    </row>
    <row r="7" spans="2:63" s="2" customFormat="1">
      <c r="B7" s="289" t="s">
        <v>1049</v>
      </c>
      <c r="C7" s="277" t="s">
        <v>1050</v>
      </c>
      <c r="D7" s="277"/>
      <c r="E7" s="301" t="s">
        <v>51</v>
      </c>
      <c r="F7" s="279">
        <v>3</v>
      </c>
      <c r="G7" s="730">
        <f xml:space="preserve"> SUM( '4D'!G8:H8 )</f>
        <v>0</v>
      </c>
      <c r="H7" s="731">
        <f xml:space="preserve"> SUM( '4D'!I8:L8 )</f>
        <v>0</v>
      </c>
      <c r="I7" s="730">
        <f xml:space="preserve"> SUM( '4E'!G8:K8 )</f>
        <v>0</v>
      </c>
      <c r="J7" s="1971">
        <f xml:space="preserve"> SUM( '4E'!L8:N8 )</f>
        <v>-2.262</v>
      </c>
      <c r="K7" s="1985"/>
      <c r="L7" s="380">
        <f t="shared" ref="L7:L13" si="0" xml:space="preserve"> SUM( G7:K7 )</f>
        <v>-2.262</v>
      </c>
      <c r="M7" s="74"/>
      <c r="N7" s="130"/>
      <c r="O7" s="24">
        <f t="shared" ref="O7:O13" si="1" xml:space="preserve"> IF( SUM( Q7:V7 ) = 0, 0, $R$5 )</f>
        <v>0</v>
      </c>
      <c r="P7" s="70"/>
      <c r="Q7" s="71"/>
      <c r="R7" s="127"/>
      <c r="S7" s="127"/>
      <c r="T7" s="127"/>
      <c r="U7" s="93">
        <f>IF( Validation!$H$3=1, 0, IF(Validation!$B$3 &lt;&gt; "Thames Water", 0, (IF(ISNUMBER(K7), 0, 1))))</f>
        <v>0</v>
      </c>
      <c r="V7" s="71"/>
      <c r="W7" s="74"/>
      <c r="X7" s="71"/>
      <c r="Y7" s="74"/>
      <c r="Z7" s="74"/>
      <c r="AA7" s="74"/>
      <c r="AB7" s="74"/>
      <c r="AC7" s="3124"/>
      <c r="AD7" s="71"/>
      <c r="BA7" s="289" t="s">
        <v>1049</v>
      </c>
      <c r="BB7" s="277" t="s">
        <v>1050</v>
      </c>
      <c r="BC7" s="277"/>
      <c r="BD7" s="301" t="s">
        <v>51</v>
      </c>
      <c r="BE7" s="279">
        <v>3</v>
      </c>
      <c r="BF7" s="730" t="s">
        <v>1051</v>
      </c>
      <c r="BG7" s="731" t="s">
        <v>1052</v>
      </c>
      <c r="BH7" s="730" t="s">
        <v>1053</v>
      </c>
      <c r="BI7" s="731" t="s">
        <v>1054</v>
      </c>
      <c r="BJ7" s="1950" t="s">
        <v>1055</v>
      </c>
      <c r="BK7" s="380" t="s">
        <v>1056</v>
      </c>
    </row>
    <row r="8" spans="2:63" s="2" customFormat="1">
      <c r="B8" s="289" t="s">
        <v>1057</v>
      </c>
      <c r="C8" s="277" t="s">
        <v>1058</v>
      </c>
      <c r="D8" s="277"/>
      <c r="E8" s="301" t="s">
        <v>51</v>
      </c>
      <c r="F8" s="279">
        <v>3</v>
      </c>
      <c r="G8" s="730">
        <f xml:space="preserve"> SUM( '4D'!G9:H9 )</f>
        <v>5.5490000000000004</v>
      </c>
      <c r="H8" s="731">
        <f xml:space="preserve"> SUM( '4D'!I9:L9 )</f>
        <v>4.0000000000000001E-3</v>
      </c>
      <c r="I8" s="730">
        <f xml:space="preserve"> SUM( '4E'!G9:K9 )</f>
        <v>6.2639999999999993</v>
      </c>
      <c r="J8" s="1971">
        <f xml:space="preserve"> SUM( '4E'!L9:N9 )</f>
        <v>0</v>
      </c>
      <c r="K8" s="1985"/>
      <c r="L8" s="380">
        <f t="shared" si="0"/>
        <v>11.817</v>
      </c>
      <c r="M8" s="92"/>
      <c r="N8" s="130"/>
      <c r="O8" s="24">
        <f t="shared" si="1"/>
        <v>0</v>
      </c>
      <c r="P8" s="70"/>
      <c r="Q8" s="71"/>
      <c r="R8" s="127"/>
      <c r="S8" s="127"/>
      <c r="T8" s="127"/>
      <c r="U8" s="93">
        <f>IF( Validation!$H$3=1, 0, IF(Validation!$B$3 &lt;&gt; "Thames Water", 0, (IF(ISNUMBER(K8), 0, 1))))</f>
        <v>0</v>
      </c>
      <c r="V8" s="71"/>
      <c r="W8" s="127"/>
      <c r="X8" s="71"/>
      <c r="Y8" s="223"/>
      <c r="Z8" s="223"/>
      <c r="AA8" s="223"/>
      <c r="AB8" s="223"/>
      <c r="AC8" s="3004"/>
      <c r="AD8" s="71"/>
      <c r="BA8" s="289" t="s">
        <v>1057</v>
      </c>
      <c r="BB8" s="277" t="s">
        <v>1058</v>
      </c>
      <c r="BC8" s="277"/>
      <c r="BD8" s="301" t="s">
        <v>51</v>
      </c>
      <c r="BE8" s="279">
        <v>3</v>
      </c>
      <c r="BF8" s="730" t="s">
        <v>1059</v>
      </c>
      <c r="BG8" s="731" t="s">
        <v>1060</v>
      </c>
      <c r="BH8" s="730" t="s">
        <v>1061</v>
      </c>
      <c r="BI8" s="731" t="s">
        <v>1062</v>
      </c>
      <c r="BJ8" s="1950" t="s">
        <v>1063</v>
      </c>
      <c r="BK8" s="380" t="s">
        <v>1064</v>
      </c>
    </row>
    <row r="9" spans="2:63" s="2" customFormat="1" ht="14.25" customHeight="1">
      <c r="B9" s="289" t="s">
        <v>1065</v>
      </c>
      <c r="C9" s="277" t="s">
        <v>1066</v>
      </c>
      <c r="D9" s="277"/>
      <c r="E9" s="301" t="s">
        <v>51</v>
      </c>
      <c r="F9" s="279">
        <v>3</v>
      </c>
      <c r="G9" s="730">
        <f xml:space="preserve"> SUM( '4D'!G10:H10 )</f>
        <v>3.8039999999999998</v>
      </c>
      <c r="H9" s="731">
        <f xml:space="preserve"> SUM( '4D'!I10:L10 )</f>
        <v>0</v>
      </c>
      <c r="I9" s="730">
        <f xml:space="preserve"> SUM( '4E'!G10:K10 )</f>
        <v>0</v>
      </c>
      <c r="J9" s="1971">
        <f xml:space="preserve"> SUM( '4E'!L10:N10 )</f>
        <v>0</v>
      </c>
      <c r="K9" s="1985"/>
      <c r="L9" s="380">
        <f t="shared" si="0"/>
        <v>3.8039999999999998</v>
      </c>
      <c r="M9" s="92"/>
      <c r="N9" s="130"/>
      <c r="O9" s="24">
        <f t="shared" si="1"/>
        <v>0</v>
      </c>
      <c r="P9" s="70"/>
      <c r="Q9" s="71"/>
      <c r="R9" s="127"/>
      <c r="S9" s="127"/>
      <c r="T9" s="127"/>
      <c r="U9" s="93">
        <f>IF( Validation!$H$3=1, 0, IF(Validation!$B$3 &lt;&gt; "Thames Water", 0, (IF(ISNUMBER(K9), 0, 1))))</f>
        <v>0</v>
      </c>
      <c r="V9" s="71"/>
      <c r="W9" s="127"/>
      <c r="X9" s="71"/>
      <c r="Y9" s="223"/>
      <c r="Z9" s="223"/>
      <c r="AA9" s="223"/>
      <c r="AB9" s="223"/>
      <c r="AC9" s="3004"/>
      <c r="AD9" s="71"/>
      <c r="BA9" s="289" t="s">
        <v>1065</v>
      </c>
      <c r="BB9" s="277" t="s">
        <v>1066</v>
      </c>
      <c r="BC9" s="277"/>
      <c r="BD9" s="301" t="s">
        <v>51</v>
      </c>
      <c r="BE9" s="279">
        <v>3</v>
      </c>
      <c r="BF9" s="730" t="s">
        <v>1067</v>
      </c>
      <c r="BG9" s="731" t="s">
        <v>1068</v>
      </c>
      <c r="BH9" s="730" t="s">
        <v>1069</v>
      </c>
      <c r="BI9" s="731" t="s">
        <v>1070</v>
      </c>
      <c r="BJ9" s="1950" t="s">
        <v>1071</v>
      </c>
      <c r="BK9" s="380" t="s">
        <v>1072</v>
      </c>
    </row>
    <row r="10" spans="2:63" s="2" customFormat="1">
      <c r="B10" s="289" t="s">
        <v>1073</v>
      </c>
      <c r="C10" s="277" t="s">
        <v>1074</v>
      </c>
      <c r="D10" s="277"/>
      <c r="E10" s="301" t="s">
        <v>51</v>
      </c>
      <c r="F10" s="279">
        <v>3</v>
      </c>
      <c r="G10" s="730">
        <f xml:space="preserve"> SUM( '4D'!G11:H11 )</f>
        <v>0</v>
      </c>
      <c r="H10" s="731">
        <f xml:space="preserve"> SUM( '4D'!I11:L11 )</f>
        <v>0</v>
      </c>
      <c r="I10" s="730">
        <f xml:space="preserve"> SUM( '4E'!G11:K11 )</f>
        <v>0</v>
      </c>
      <c r="J10" s="1971">
        <f xml:space="preserve"> SUM( '4E'!L11:N11 )</f>
        <v>0</v>
      </c>
      <c r="K10" s="1985"/>
      <c r="L10" s="380">
        <f t="shared" si="0"/>
        <v>0</v>
      </c>
      <c r="M10" s="92"/>
      <c r="N10" s="130"/>
      <c r="O10" s="24">
        <f t="shared" si="1"/>
        <v>0</v>
      </c>
      <c r="P10" s="70"/>
      <c r="Q10" s="71"/>
      <c r="R10" s="127"/>
      <c r="S10" s="127"/>
      <c r="T10" s="127"/>
      <c r="U10" s="93">
        <f>IF( Validation!$H$3=1, 0, IF(Validation!$B$3 &lt;&gt; "Thames Water", 0, (IF(ISNUMBER(K10), 0, 1))))</f>
        <v>0</v>
      </c>
      <c r="V10" s="71"/>
      <c r="W10" s="127"/>
      <c r="X10" s="71"/>
      <c r="Y10" s="165"/>
      <c r="Z10" s="165"/>
      <c r="AA10" s="165"/>
      <c r="AB10" s="165"/>
      <c r="AC10" s="3004"/>
      <c r="AD10" s="71"/>
      <c r="BA10" s="289" t="s">
        <v>1073</v>
      </c>
      <c r="BB10" s="277" t="s">
        <v>1074</v>
      </c>
      <c r="BC10" s="277"/>
      <c r="BD10" s="301" t="s">
        <v>51</v>
      </c>
      <c r="BE10" s="279">
        <v>3</v>
      </c>
      <c r="BF10" s="730" t="s">
        <v>1075</v>
      </c>
      <c r="BG10" s="731" t="s">
        <v>1076</v>
      </c>
      <c r="BH10" s="730" t="s">
        <v>1077</v>
      </c>
      <c r="BI10" s="731" t="s">
        <v>1078</v>
      </c>
      <c r="BJ10" s="1950" t="s">
        <v>1079</v>
      </c>
      <c r="BK10" s="380" t="s">
        <v>1080</v>
      </c>
    </row>
    <row r="11" spans="2:63" s="2" customFormat="1">
      <c r="B11" s="289" t="s">
        <v>1081</v>
      </c>
      <c r="C11" s="277" t="s">
        <v>1082</v>
      </c>
      <c r="D11" s="277"/>
      <c r="E11" s="301" t="s">
        <v>51</v>
      </c>
      <c r="F11" s="279">
        <v>3</v>
      </c>
      <c r="G11" s="730">
        <f xml:space="preserve"> SUM( '4D'!G12:H12 )</f>
        <v>0</v>
      </c>
      <c r="H11" s="731">
        <f xml:space="preserve"> SUM( '4D'!I12:L12 )</f>
        <v>0</v>
      </c>
      <c r="I11" s="730">
        <f xml:space="preserve"> SUM( '4E'!G12:K12 )</f>
        <v>0</v>
      </c>
      <c r="J11" s="1971">
        <f xml:space="preserve"> SUM( '4E'!L12:N12 )</f>
        <v>0</v>
      </c>
      <c r="K11" s="1985"/>
      <c r="L11" s="380">
        <f t="shared" si="0"/>
        <v>0</v>
      </c>
      <c r="M11" s="92"/>
      <c r="N11" s="130"/>
      <c r="O11" s="24">
        <f t="shared" si="1"/>
        <v>0</v>
      </c>
      <c r="P11" s="70"/>
      <c r="Q11" s="71"/>
      <c r="R11" s="127"/>
      <c r="S11" s="127"/>
      <c r="T11" s="127"/>
      <c r="U11" s="93">
        <f>IF( Validation!$H$3=1, 0, IF(Validation!$B$3 &lt;&gt; "Thames Water", 0, (IF(ISNUMBER(K11), 0, 1))))</f>
        <v>0</v>
      </c>
      <c r="V11" s="71"/>
      <c r="W11" s="127"/>
      <c r="X11" s="71"/>
      <c r="Y11" s="165"/>
      <c r="Z11" s="165"/>
      <c r="AA11" s="165"/>
      <c r="AB11" s="165"/>
      <c r="AC11" s="3004"/>
      <c r="AD11" s="71"/>
      <c r="BA11" s="289" t="s">
        <v>1081</v>
      </c>
      <c r="BB11" s="277" t="s">
        <v>1082</v>
      </c>
      <c r="BC11" s="277"/>
      <c r="BD11" s="301" t="s">
        <v>51</v>
      </c>
      <c r="BE11" s="279">
        <v>3</v>
      </c>
      <c r="BF11" s="730" t="s">
        <v>1083</v>
      </c>
      <c r="BG11" s="731" t="s">
        <v>1084</v>
      </c>
      <c r="BH11" s="730" t="s">
        <v>1085</v>
      </c>
      <c r="BI11" s="731" t="s">
        <v>1086</v>
      </c>
      <c r="BJ11" s="1950" t="s">
        <v>1087</v>
      </c>
      <c r="BK11" s="380" t="s">
        <v>1088</v>
      </c>
    </row>
    <row r="12" spans="2:63" s="2" customFormat="1">
      <c r="B12" s="289" t="s">
        <v>1089</v>
      </c>
      <c r="C12" s="277" t="s">
        <v>1090</v>
      </c>
      <c r="D12" s="277"/>
      <c r="E12" s="301" t="s">
        <v>51</v>
      </c>
      <c r="F12" s="279">
        <v>3</v>
      </c>
      <c r="G12" s="730">
        <f xml:space="preserve"> SUM( '4D'!G13:H13 )</f>
        <v>9.3310000000000013</v>
      </c>
      <c r="H12" s="731">
        <f xml:space="preserve"> SUM( '4D'!I13:L13 )</f>
        <v>158.90199999999999</v>
      </c>
      <c r="I12" s="730">
        <f xml:space="preserve"> SUM( '4E'!G13:K13 )</f>
        <v>121.46299999999998</v>
      </c>
      <c r="J12" s="1971">
        <f xml:space="preserve"> SUM( '4E'!L13:N13 )</f>
        <v>36.372999999999998</v>
      </c>
      <c r="K12" s="1985"/>
      <c r="L12" s="380">
        <f t="shared" si="0"/>
        <v>326.06899999999996</v>
      </c>
      <c r="M12" s="92"/>
      <c r="N12" s="130"/>
      <c r="O12" s="24">
        <f t="shared" si="1"/>
        <v>0</v>
      </c>
      <c r="P12" s="70"/>
      <c r="Q12" s="71"/>
      <c r="R12" s="127"/>
      <c r="S12" s="127"/>
      <c r="T12" s="127"/>
      <c r="U12" s="93">
        <f>IF( Validation!$H$3=1, 0, IF(Validation!$B$3 &lt;&gt; "Thames Water", 0, (IF(ISNUMBER(K12), 0, 1))))</f>
        <v>0</v>
      </c>
      <c r="V12" s="71"/>
      <c r="W12" s="127"/>
      <c r="X12" s="71"/>
      <c r="Y12" s="165"/>
      <c r="Z12" s="165"/>
      <c r="AA12" s="165"/>
      <c r="AB12" s="165"/>
      <c r="AC12" s="3004"/>
      <c r="AD12" s="71"/>
      <c r="BA12" s="289" t="s">
        <v>1089</v>
      </c>
      <c r="BB12" s="277" t="s">
        <v>1090</v>
      </c>
      <c r="BC12" s="277"/>
      <c r="BD12" s="301" t="s">
        <v>51</v>
      </c>
      <c r="BE12" s="279">
        <v>3</v>
      </c>
      <c r="BF12" s="730" t="s">
        <v>1091</v>
      </c>
      <c r="BG12" s="731" t="s">
        <v>1092</v>
      </c>
      <c r="BH12" s="730" t="s">
        <v>1093</v>
      </c>
      <c r="BI12" s="731" t="s">
        <v>1094</v>
      </c>
      <c r="BJ12" s="1950" t="s">
        <v>1095</v>
      </c>
      <c r="BK12" s="380" t="s">
        <v>1096</v>
      </c>
    </row>
    <row r="13" spans="2:63" s="2" customFormat="1">
      <c r="B13" s="289" t="s">
        <v>1097</v>
      </c>
      <c r="C13" s="277" t="s">
        <v>1098</v>
      </c>
      <c r="D13" s="277"/>
      <c r="E13" s="301" t="s">
        <v>51</v>
      </c>
      <c r="F13" s="279">
        <v>3</v>
      </c>
      <c r="G13" s="730">
        <f xml:space="preserve"> SUM( '4D'!G14:H14 )</f>
        <v>7.923</v>
      </c>
      <c r="H13" s="731">
        <f xml:space="preserve"> SUM( '4D'!I14:L14 )</f>
        <v>32.878</v>
      </c>
      <c r="I13" s="730">
        <f xml:space="preserve"> SUM( '4E'!G14:K14 )</f>
        <v>20.035</v>
      </c>
      <c r="J13" s="1971">
        <f xml:space="preserve"> SUM( '4E'!L14:N14 )</f>
        <v>1.4129999999999998</v>
      </c>
      <c r="K13" s="1985"/>
      <c r="L13" s="380">
        <f t="shared" si="0"/>
        <v>62.248999999999995</v>
      </c>
      <c r="M13" s="92"/>
      <c r="N13" s="130"/>
      <c r="O13" s="24">
        <f t="shared" si="1"/>
        <v>0</v>
      </c>
      <c r="P13" s="70"/>
      <c r="Q13" s="71"/>
      <c r="R13" s="127"/>
      <c r="S13" s="127"/>
      <c r="T13" s="127"/>
      <c r="U13" s="93">
        <f>IF( Validation!$H$3=1, 0, IF(Validation!$B$3 &lt;&gt; "Thames Water", 0, (IF(ISNUMBER(K13), 0, 1))))</f>
        <v>0</v>
      </c>
      <c r="V13" s="71"/>
      <c r="W13" s="127"/>
      <c r="X13" s="71"/>
      <c r="Y13" s="165"/>
      <c r="Z13" s="165"/>
      <c r="AA13" s="165"/>
      <c r="AB13" s="165"/>
      <c r="AC13" s="3004"/>
      <c r="AD13" s="71"/>
      <c r="BA13" s="289" t="s">
        <v>1097</v>
      </c>
      <c r="BB13" s="277" t="s">
        <v>1098</v>
      </c>
      <c r="BC13" s="277"/>
      <c r="BD13" s="301" t="s">
        <v>51</v>
      </c>
      <c r="BE13" s="279">
        <v>3</v>
      </c>
      <c r="BF13" s="730" t="s">
        <v>1099</v>
      </c>
      <c r="BG13" s="731" t="s">
        <v>1100</v>
      </c>
      <c r="BH13" s="730" t="s">
        <v>1101</v>
      </c>
      <c r="BI13" s="731" t="s">
        <v>1102</v>
      </c>
      <c r="BJ13" s="1950" t="s">
        <v>1103</v>
      </c>
      <c r="BK13" s="380" t="s">
        <v>1104</v>
      </c>
    </row>
    <row r="14" spans="2:63" s="2" customFormat="1" ht="15" thickBot="1">
      <c r="B14" s="290" t="s">
        <v>1105</v>
      </c>
      <c r="C14" s="282" t="s">
        <v>1106</v>
      </c>
      <c r="D14" s="282"/>
      <c r="E14" s="283" t="s">
        <v>51</v>
      </c>
      <c r="F14" s="284">
        <v>3</v>
      </c>
      <c r="G14" s="333">
        <f t="shared" ref="G14:L14" si="2" xml:space="preserve"> SUM( G6:G13 )</f>
        <v>28.827000000000005</v>
      </c>
      <c r="H14" s="335">
        <f t="shared" si="2"/>
        <v>217.62099999999998</v>
      </c>
      <c r="I14" s="389">
        <f t="shared" si="2"/>
        <v>181.00399999999999</v>
      </c>
      <c r="J14" s="1972">
        <f t="shared" si="2"/>
        <v>32.452999999999996</v>
      </c>
      <c r="K14" s="335">
        <f t="shared" si="2"/>
        <v>0</v>
      </c>
      <c r="L14" s="344">
        <f t="shared" si="2"/>
        <v>459.90499999999997</v>
      </c>
      <c r="M14" s="92"/>
      <c r="N14" s="130"/>
      <c r="O14" s="130"/>
      <c r="P14" s="70"/>
      <c r="Q14" s="71"/>
      <c r="R14" s="192"/>
      <c r="S14" s="192"/>
      <c r="T14" s="192"/>
      <c r="U14" s="192"/>
      <c r="V14" s="71"/>
      <c r="W14" s="74"/>
      <c r="X14" s="71"/>
      <c r="Y14" s="74"/>
      <c r="Z14" s="74"/>
      <c r="AA14" s="74"/>
      <c r="AB14" s="74"/>
      <c r="AC14" s="74"/>
      <c r="AD14" s="71"/>
      <c r="BA14" s="290" t="s">
        <v>1105</v>
      </c>
      <c r="BB14" s="282" t="s">
        <v>1106</v>
      </c>
      <c r="BC14" s="282"/>
      <c r="BD14" s="283" t="s">
        <v>51</v>
      </c>
      <c r="BE14" s="284">
        <v>3</v>
      </c>
      <c r="BF14" s="333" t="s">
        <v>1107</v>
      </c>
      <c r="BG14" s="335" t="s">
        <v>1108</v>
      </c>
      <c r="BH14" s="389" t="s">
        <v>1109</v>
      </c>
      <c r="BI14" s="335" t="s">
        <v>1110</v>
      </c>
      <c r="BJ14" s="1946" t="s">
        <v>1111</v>
      </c>
      <c r="BK14" s="344" t="s">
        <v>1112</v>
      </c>
    </row>
    <row r="15" spans="2:63" s="2" customFormat="1" ht="15" thickBot="1">
      <c r="E15" s="5"/>
      <c r="F15" s="5"/>
      <c r="G15" s="760"/>
      <c r="H15" s="760"/>
      <c r="I15" s="760"/>
      <c r="J15" s="760"/>
      <c r="K15" s="760"/>
      <c r="L15" s="760"/>
      <c r="N15" s="126"/>
      <c r="O15" s="126"/>
      <c r="P15" s="70"/>
      <c r="Q15" s="71"/>
      <c r="R15" s="192"/>
      <c r="S15" s="192"/>
      <c r="T15" s="192"/>
      <c r="U15" s="192"/>
      <c r="V15" s="71"/>
      <c r="W15" s="74"/>
      <c r="X15" s="71"/>
      <c r="Y15" s="74"/>
      <c r="Z15" s="74"/>
      <c r="AA15" s="74"/>
      <c r="AB15" s="74"/>
      <c r="AC15" s="74"/>
      <c r="AD15" s="71"/>
      <c r="BD15" s="5"/>
      <c r="BE15" s="5"/>
      <c r="BF15" s="760"/>
      <c r="BG15" s="760"/>
      <c r="BH15" s="760"/>
      <c r="BI15" s="760"/>
      <c r="BJ15" s="760"/>
      <c r="BK15" s="760"/>
    </row>
    <row r="16" spans="2:63" s="2" customFormat="1">
      <c r="B16" s="288" t="s">
        <v>1113</v>
      </c>
      <c r="C16" s="29" t="s">
        <v>1114</v>
      </c>
      <c r="D16" s="29"/>
      <c r="E16" s="300" t="s">
        <v>51</v>
      </c>
      <c r="F16" s="275">
        <v>3</v>
      </c>
      <c r="G16" s="728">
        <f xml:space="preserve"> SUM( '4D'!G17:H17 )</f>
        <v>0</v>
      </c>
      <c r="H16" s="681">
        <f xml:space="preserve"> SUM( '4D'!I17:L17 )</f>
        <v>1.4550000000000001</v>
      </c>
      <c r="I16" s="728">
        <f xml:space="preserve"> SUM( '4E'!G17:K17 )</f>
        <v>0</v>
      </c>
      <c r="J16" s="1970">
        <f xml:space="preserve"> SUM( '4E'!L17:N17 )</f>
        <v>0</v>
      </c>
      <c r="K16" s="1984"/>
      <c r="L16" s="379">
        <f xml:space="preserve"> SUM( G16:K16 )</f>
        <v>1.4550000000000001</v>
      </c>
      <c r="M16" s="92"/>
      <c r="N16" s="126"/>
      <c r="O16" s="24">
        <f xml:space="preserve"> IF( SUM( Q16:V16 ) = 0, 0, $R$5 )</f>
        <v>0</v>
      </c>
      <c r="P16" s="70"/>
      <c r="Q16" s="71"/>
      <c r="R16" s="127"/>
      <c r="S16" s="127"/>
      <c r="T16" s="127"/>
      <c r="U16" s="93">
        <f>IF( Validation!$H$3=1, 0, IF(Validation!$B$3 &lt;&gt; "Thames Water", 0, (IF(ISNUMBER(K16), 0, 1))))</f>
        <v>0</v>
      </c>
      <c r="V16" s="71"/>
      <c r="W16" s="74"/>
      <c r="X16" s="71"/>
      <c r="Y16" s="74"/>
      <c r="Z16" s="74"/>
      <c r="AA16" s="74"/>
      <c r="AB16" s="74"/>
      <c r="AC16" s="74"/>
      <c r="AD16" s="71"/>
      <c r="BA16" s="288" t="s">
        <v>1113</v>
      </c>
      <c r="BB16" s="29" t="s">
        <v>1114</v>
      </c>
      <c r="BC16" s="29"/>
      <c r="BD16" s="300" t="s">
        <v>51</v>
      </c>
      <c r="BE16" s="275">
        <v>3</v>
      </c>
      <c r="BF16" s="728" t="s">
        <v>1115</v>
      </c>
      <c r="BG16" s="681" t="s">
        <v>1116</v>
      </c>
      <c r="BH16" s="728" t="s">
        <v>1117</v>
      </c>
      <c r="BI16" s="729" t="s">
        <v>1118</v>
      </c>
      <c r="BJ16" s="1949" t="s">
        <v>1119</v>
      </c>
      <c r="BK16" s="379" t="s">
        <v>1120</v>
      </c>
    </row>
    <row r="17" spans="2:63" s="2" customFormat="1" ht="15" thickBot="1">
      <c r="B17" s="290" t="s">
        <v>1121</v>
      </c>
      <c r="C17" s="31" t="s">
        <v>1122</v>
      </c>
      <c r="D17" s="31"/>
      <c r="E17" s="283" t="s">
        <v>51</v>
      </c>
      <c r="F17" s="284">
        <v>3</v>
      </c>
      <c r="G17" s="333">
        <f xml:space="preserve"> G14 + G16</f>
        <v>28.827000000000005</v>
      </c>
      <c r="H17" s="335">
        <f t="shared" ref="H17:J17" si="3" xml:space="preserve"> H14 + H16</f>
        <v>219.07599999999999</v>
      </c>
      <c r="I17" s="389">
        <f t="shared" si="3"/>
        <v>181.00399999999999</v>
      </c>
      <c r="J17" s="1972">
        <f t="shared" si="3"/>
        <v>32.452999999999996</v>
      </c>
      <c r="K17" s="335">
        <f xml:space="preserve"> K14 + K16</f>
        <v>0</v>
      </c>
      <c r="L17" s="344">
        <f t="shared" ref="L17" si="4" xml:space="preserve"> L14 + L16</f>
        <v>461.35999999999996</v>
      </c>
      <c r="M17" s="92"/>
      <c r="N17" s="126"/>
      <c r="O17" s="126"/>
      <c r="P17" s="70"/>
      <c r="Q17" s="71"/>
      <c r="R17" s="192"/>
      <c r="S17" s="192"/>
      <c r="T17" s="192"/>
      <c r="U17" s="192"/>
      <c r="V17" s="71"/>
      <c r="W17" s="74"/>
      <c r="X17" s="71"/>
      <c r="Y17" s="74"/>
      <c r="Z17" s="74"/>
      <c r="AA17" s="74"/>
      <c r="AB17" s="74"/>
      <c r="AC17" s="74"/>
      <c r="AD17" s="71"/>
      <c r="BA17" s="290" t="s">
        <v>1121</v>
      </c>
      <c r="BB17" s="31" t="s">
        <v>1122</v>
      </c>
      <c r="BC17" s="31"/>
      <c r="BD17" s="283" t="s">
        <v>51</v>
      </c>
      <c r="BE17" s="284">
        <v>3</v>
      </c>
      <c r="BF17" s="333" t="s">
        <v>1123</v>
      </c>
      <c r="BG17" s="335" t="s">
        <v>1124</v>
      </c>
      <c r="BH17" s="389" t="s">
        <v>1125</v>
      </c>
      <c r="BI17" s="335" t="s">
        <v>1126</v>
      </c>
      <c r="BJ17" s="1946" t="s">
        <v>1127</v>
      </c>
      <c r="BK17" s="344" t="s">
        <v>1128</v>
      </c>
    </row>
    <row r="18" spans="2:63" s="2" customFormat="1" ht="15" thickBot="1">
      <c r="E18" s="5"/>
      <c r="F18" s="5"/>
      <c r="G18" s="760"/>
      <c r="H18" s="760"/>
      <c r="I18" s="760"/>
      <c r="J18" s="760"/>
      <c r="K18" s="760"/>
      <c r="L18" s="760"/>
      <c r="N18" s="126"/>
      <c r="O18" s="126"/>
      <c r="P18" s="70"/>
      <c r="Q18" s="71"/>
      <c r="R18" s="192"/>
      <c r="S18" s="192"/>
      <c r="T18" s="192"/>
      <c r="U18" s="192"/>
      <c r="V18" s="71"/>
      <c r="W18" s="74"/>
      <c r="X18" s="71"/>
      <c r="Y18" s="74"/>
      <c r="Z18" s="74"/>
      <c r="AA18" s="74"/>
      <c r="AB18" s="74"/>
      <c r="AC18" s="74"/>
      <c r="AD18" s="71"/>
      <c r="BD18" s="5"/>
      <c r="BE18" s="5"/>
      <c r="BF18" s="760"/>
      <c r="BG18" s="760"/>
      <c r="BH18" s="760"/>
      <c r="BI18" s="760"/>
      <c r="BJ18" s="760"/>
      <c r="BK18" s="760"/>
    </row>
    <row r="19" spans="2:63" s="2" customFormat="1" ht="15" thickBot="1">
      <c r="B19" s="3018" t="s">
        <v>177</v>
      </c>
      <c r="C19" s="298" t="s">
        <v>1129</v>
      </c>
      <c r="D19" s="1508"/>
      <c r="E19" s="5"/>
      <c r="F19" s="5"/>
      <c r="G19" s="760"/>
      <c r="H19" s="760"/>
      <c r="I19" s="760"/>
      <c r="J19" s="760"/>
      <c r="K19" s="760"/>
      <c r="L19" s="760"/>
      <c r="N19" s="126"/>
      <c r="O19" s="126"/>
      <c r="P19" s="70"/>
      <c r="Q19" s="71"/>
      <c r="R19" s="192"/>
      <c r="S19" s="192"/>
      <c r="T19" s="192"/>
      <c r="U19" s="192"/>
      <c r="V19" s="71"/>
      <c r="W19" s="110"/>
      <c r="X19" s="71"/>
      <c r="Y19" s="110"/>
      <c r="Z19" s="110"/>
      <c r="AA19" s="110"/>
      <c r="AB19" s="110"/>
      <c r="AC19" s="110"/>
      <c r="AD19" s="71"/>
      <c r="BA19" s="3018" t="s">
        <v>177</v>
      </c>
      <c r="BB19" s="298" t="s">
        <v>1129</v>
      </c>
      <c r="BC19" s="1508"/>
      <c r="BD19" s="5"/>
      <c r="BE19" s="5"/>
      <c r="BF19" s="760"/>
      <c r="BG19" s="760"/>
      <c r="BH19" s="760"/>
      <c r="BI19" s="760"/>
      <c r="BJ19" s="760"/>
      <c r="BK19" s="760"/>
    </row>
    <row r="20" spans="2:63" s="2" customFormat="1">
      <c r="B20" s="288" t="s">
        <v>1130</v>
      </c>
      <c r="C20" s="273" t="s">
        <v>1131</v>
      </c>
      <c r="D20" s="273"/>
      <c r="E20" s="300" t="s">
        <v>51</v>
      </c>
      <c r="F20" s="275">
        <v>3</v>
      </c>
      <c r="G20" s="728">
        <f xml:space="preserve"> SUM( '4D'!G21:H21 )</f>
        <v>7.7869999999999999</v>
      </c>
      <c r="H20" s="729">
        <f xml:space="preserve"> SUM( '4D'!I21:L21 )</f>
        <v>29.044</v>
      </c>
      <c r="I20" s="728">
        <f xml:space="preserve"> SUM( '4E'!G21:K21 )</f>
        <v>34.314999999999998</v>
      </c>
      <c r="J20" s="1970">
        <f xml:space="preserve"> SUM( '4E'!L21:N21 )</f>
        <v>0</v>
      </c>
      <c r="K20" s="1984"/>
      <c r="L20" s="379">
        <f t="shared" ref="L20:L24" si="5" xml:space="preserve"> SUM( G20:K20 )</f>
        <v>71.146000000000001</v>
      </c>
      <c r="M20" s="92"/>
      <c r="N20" s="126"/>
      <c r="O20" s="24">
        <f t="shared" ref="O20:O24" si="6" xml:space="preserve"> IF( SUM( Q20:V20 ) = 0, 0, $R$5 )</f>
        <v>0</v>
      </c>
      <c r="P20" s="70"/>
      <c r="Q20" s="71"/>
      <c r="R20" s="127"/>
      <c r="S20" s="127"/>
      <c r="T20" s="127"/>
      <c r="U20" s="93">
        <f>IF( Validation!$H$3=1, 0, IF(Validation!$B$3 &lt;&gt; "Thames Water", 0, (IF(ISNUMBER(K20), 0, 1))))</f>
        <v>0</v>
      </c>
      <c r="V20" s="71"/>
      <c r="W20" s="163"/>
      <c r="X20" s="71"/>
      <c r="Y20" s="163"/>
      <c r="Z20" s="163"/>
      <c r="AA20" s="163"/>
      <c r="AB20" s="163"/>
      <c r="AC20" s="163"/>
      <c r="AD20" s="71"/>
      <c r="BA20" s="288" t="s">
        <v>1130</v>
      </c>
      <c r="BB20" s="273" t="s">
        <v>1131</v>
      </c>
      <c r="BC20" s="273"/>
      <c r="BD20" s="300" t="s">
        <v>51</v>
      </c>
      <c r="BE20" s="275">
        <v>3</v>
      </c>
      <c r="BF20" s="728" t="s">
        <v>1132</v>
      </c>
      <c r="BG20" s="729" t="s">
        <v>1133</v>
      </c>
      <c r="BH20" s="728" t="s">
        <v>1134</v>
      </c>
      <c r="BI20" s="729" t="s">
        <v>1135</v>
      </c>
      <c r="BJ20" s="1949" t="s">
        <v>1136</v>
      </c>
      <c r="BK20" s="379" t="s">
        <v>1137</v>
      </c>
    </row>
    <row r="21" spans="2:63" s="2" customFormat="1">
      <c r="B21" s="289" t="s">
        <v>1138</v>
      </c>
      <c r="C21" s="277" t="s">
        <v>1139</v>
      </c>
      <c r="D21" s="277"/>
      <c r="E21" s="301" t="s">
        <v>51</v>
      </c>
      <c r="F21" s="279">
        <v>3</v>
      </c>
      <c r="G21" s="730">
        <f xml:space="preserve"> SUM( '4D'!G22:H22 )</f>
        <v>1.3879999999999999</v>
      </c>
      <c r="H21" s="731">
        <f xml:space="preserve"> SUM( '4D'!I22:L22 )</f>
        <v>73.923000000000002</v>
      </c>
      <c r="I21" s="730">
        <f xml:space="preserve"> SUM( '4E'!G22:K22 )</f>
        <v>83.926999999999992</v>
      </c>
      <c r="J21" s="1971">
        <f xml:space="preserve"> SUM( '4E'!L22:N22 )</f>
        <v>79.53</v>
      </c>
      <c r="K21" s="1985"/>
      <c r="L21" s="380">
        <f t="shared" si="5"/>
        <v>238.768</v>
      </c>
      <c r="M21" s="92"/>
      <c r="N21" s="126"/>
      <c r="O21" s="24">
        <f t="shared" si="6"/>
        <v>0</v>
      </c>
      <c r="P21" s="70"/>
      <c r="Q21" s="71"/>
      <c r="R21" s="127"/>
      <c r="S21" s="127"/>
      <c r="T21" s="127"/>
      <c r="U21" s="93">
        <f>IF( Validation!$H$3=1, 0, IF(Validation!$B$3 &lt;&gt; "Thames Water", 0, (IF(ISNUMBER(K21), 0, 1))))</f>
        <v>0</v>
      </c>
      <c r="V21" s="71"/>
      <c r="W21" s="163"/>
      <c r="X21" s="71"/>
      <c r="Y21" s="163"/>
      <c r="Z21" s="163"/>
      <c r="AA21" s="163"/>
      <c r="AB21" s="163"/>
      <c r="AC21" s="163"/>
      <c r="AD21" s="71"/>
      <c r="BA21" s="289" t="s">
        <v>1138</v>
      </c>
      <c r="BB21" s="277" t="s">
        <v>1139</v>
      </c>
      <c r="BC21" s="277"/>
      <c r="BD21" s="301" t="s">
        <v>51</v>
      </c>
      <c r="BE21" s="279">
        <v>3</v>
      </c>
      <c r="BF21" s="730" t="s">
        <v>1140</v>
      </c>
      <c r="BG21" s="731" t="s">
        <v>1141</v>
      </c>
      <c r="BH21" s="730" t="s">
        <v>1142</v>
      </c>
      <c r="BI21" s="731" t="s">
        <v>1143</v>
      </c>
      <c r="BJ21" s="1950" t="s">
        <v>1144</v>
      </c>
      <c r="BK21" s="380" t="s">
        <v>1145</v>
      </c>
    </row>
    <row r="22" spans="2:63" s="2" customFormat="1">
      <c r="B22" s="289" t="s">
        <v>1146</v>
      </c>
      <c r="C22" s="384" t="s">
        <v>1147</v>
      </c>
      <c r="D22" s="384"/>
      <c r="E22" s="301" t="s">
        <v>51</v>
      </c>
      <c r="F22" s="279">
        <v>3</v>
      </c>
      <c r="G22" s="730">
        <f xml:space="preserve"> SUM( '4D'!G23:H23 )</f>
        <v>0.71799999999999997</v>
      </c>
      <c r="H22" s="731">
        <f xml:space="preserve"> SUM( '4D'!I23:L23 )</f>
        <v>40.755000000000003</v>
      </c>
      <c r="I22" s="730">
        <f xml:space="preserve"> SUM( '4E'!G23:K23 )</f>
        <v>44.420999999999999</v>
      </c>
      <c r="J22" s="1971">
        <f xml:space="preserve"> SUM( '4E'!L23:N23 )</f>
        <v>0</v>
      </c>
      <c r="K22" s="1985"/>
      <c r="L22" s="380">
        <f t="shared" si="5"/>
        <v>85.894000000000005</v>
      </c>
      <c r="M22" s="92"/>
      <c r="N22" s="126"/>
      <c r="O22" s="24">
        <f t="shared" si="6"/>
        <v>0</v>
      </c>
      <c r="P22" s="70"/>
      <c r="Q22" s="71"/>
      <c r="R22" s="127"/>
      <c r="S22" s="127"/>
      <c r="T22" s="127"/>
      <c r="U22" s="93">
        <f>IF( Validation!$H$3=1, 0, IF(Validation!$B$3 &lt;&gt; "Thames Water", 0, (IF(ISNUMBER(K22), 0, 1))))</f>
        <v>0</v>
      </c>
      <c r="V22" s="71"/>
      <c r="W22" s="163"/>
      <c r="X22" s="71"/>
      <c r="Y22" s="163"/>
      <c r="Z22" s="163"/>
      <c r="AA22" s="163"/>
      <c r="AB22" s="163"/>
      <c r="AC22" s="163"/>
      <c r="AD22" s="71"/>
      <c r="BA22" s="289" t="s">
        <v>1146</v>
      </c>
      <c r="BB22" s="384" t="s">
        <v>1147</v>
      </c>
      <c r="BC22" s="384"/>
      <c r="BD22" s="301" t="s">
        <v>51</v>
      </c>
      <c r="BE22" s="279">
        <v>3</v>
      </c>
      <c r="BF22" s="730" t="s">
        <v>1148</v>
      </c>
      <c r="BG22" s="731" t="s">
        <v>1149</v>
      </c>
      <c r="BH22" s="730" t="s">
        <v>1150</v>
      </c>
      <c r="BI22" s="731" t="s">
        <v>1151</v>
      </c>
      <c r="BJ22" s="1950" t="s">
        <v>1152</v>
      </c>
      <c r="BK22" s="380" t="s">
        <v>1153</v>
      </c>
    </row>
    <row r="23" spans="2:63" s="2" customFormat="1">
      <c r="B23" s="289" t="s">
        <v>1154</v>
      </c>
      <c r="C23" s="384" t="s">
        <v>1155</v>
      </c>
      <c r="D23" s="384"/>
      <c r="E23" s="301" t="s">
        <v>51</v>
      </c>
      <c r="F23" s="279">
        <v>3</v>
      </c>
      <c r="G23" s="730">
        <f xml:space="preserve"> SUM( '4D'!G24:H24 )</f>
        <v>3.3130000000000002</v>
      </c>
      <c r="H23" s="731">
        <f xml:space="preserve"> SUM( '4D'!I24:L24 )</f>
        <v>42.965000000000003</v>
      </c>
      <c r="I23" s="730">
        <f xml:space="preserve"> SUM( '4E'!G24:K24 )</f>
        <v>63.903000000000006</v>
      </c>
      <c r="J23" s="1971">
        <f xml:space="preserve"> SUM( '4E'!L24:N24 )</f>
        <v>2.3260000000000001</v>
      </c>
      <c r="K23" s="1985"/>
      <c r="L23" s="380">
        <f t="shared" si="5"/>
        <v>112.50700000000001</v>
      </c>
      <c r="M23" s="92"/>
      <c r="N23" s="126"/>
      <c r="O23" s="24">
        <f t="shared" si="6"/>
        <v>0</v>
      </c>
      <c r="P23" s="70"/>
      <c r="Q23" s="71"/>
      <c r="R23" s="127"/>
      <c r="S23" s="127"/>
      <c r="T23" s="127"/>
      <c r="U23" s="93">
        <f>IF( Validation!$H$3=1, 0, IF(Validation!$B$3 &lt;&gt; "Thames Water", 0, (IF(ISNUMBER(K23), 0, 1))))</f>
        <v>0</v>
      </c>
      <c r="V23" s="71"/>
      <c r="W23" s="163"/>
      <c r="X23" s="71"/>
      <c r="Y23" s="163"/>
      <c r="Z23" s="163"/>
      <c r="AA23" s="163"/>
      <c r="AB23" s="163"/>
      <c r="AC23" s="163"/>
      <c r="AD23" s="71"/>
      <c r="BA23" s="289" t="s">
        <v>1154</v>
      </c>
      <c r="BB23" s="384" t="s">
        <v>1155</v>
      </c>
      <c r="BC23" s="384"/>
      <c r="BD23" s="301" t="s">
        <v>51</v>
      </c>
      <c r="BE23" s="279">
        <v>3</v>
      </c>
      <c r="BF23" s="730" t="s">
        <v>1156</v>
      </c>
      <c r="BG23" s="731" t="s">
        <v>1157</v>
      </c>
      <c r="BH23" s="730" t="s">
        <v>1158</v>
      </c>
      <c r="BI23" s="731" t="s">
        <v>1159</v>
      </c>
      <c r="BJ23" s="1950" t="s">
        <v>1160</v>
      </c>
      <c r="BK23" s="380" t="s">
        <v>1161</v>
      </c>
    </row>
    <row r="24" spans="2:63" s="2" customFormat="1">
      <c r="B24" s="289" t="s">
        <v>1162</v>
      </c>
      <c r="C24" s="384" t="s">
        <v>1163</v>
      </c>
      <c r="D24" s="384"/>
      <c r="E24" s="301" t="s">
        <v>51</v>
      </c>
      <c r="F24" s="279">
        <v>3</v>
      </c>
      <c r="G24" s="730">
        <f xml:space="preserve"> SUM( '4D'!G25:H25 )</f>
        <v>0</v>
      </c>
      <c r="H24" s="731">
        <f xml:space="preserve"> SUM( '4D'!I25:L25 )</f>
        <v>4.4180000000000001</v>
      </c>
      <c r="I24" s="730">
        <f xml:space="preserve"> SUM( '4E'!G25:K25 )</f>
        <v>2.7670000000000003</v>
      </c>
      <c r="J24" s="1971">
        <f xml:space="preserve"> SUM( '4E'!L25:N25 )</f>
        <v>0</v>
      </c>
      <c r="K24" s="1985"/>
      <c r="L24" s="380">
        <f t="shared" si="5"/>
        <v>7.1850000000000005</v>
      </c>
      <c r="M24" s="92"/>
      <c r="N24" s="126"/>
      <c r="O24" s="24">
        <f t="shared" si="6"/>
        <v>0</v>
      </c>
      <c r="P24" s="70"/>
      <c r="Q24" s="71"/>
      <c r="R24" s="127"/>
      <c r="S24" s="127"/>
      <c r="T24" s="127"/>
      <c r="U24" s="93">
        <f>IF( Validation!$H$3=1, 0, IF(Validation!$B$3 &lt;&gt; "Thames Water", 0, (IF(ISNUMBER(K24), 0, 1))))</f>
        <v>0</v>
      </c>
      <c r="V24" s="71"/>
      <c r="W24" s="163"/>
      <c r="X24" s="71"/>
      <c r="Y24" s="163"/>
      <c r="Z24" s="163"/>
      <c r="AA24" s="163"/>
      <c r="AB24" s="163"/>
      <c r="AC24" s="163"/>
      <c r="AD24" s="71"/>
      <c r="BA24" s="289" t="s">
        <v>1162</v>
      </c>
      <c r="BB24" s="384" t="s">
        <v>1163</v>
      </c>
      <c r="BC24" s="384"/>
      <c r="BD24" s="301" t="s">
        <v>51</v>
      </c>
      <c r="BE24" s="279">
        <v>3</v>
      </c>
      <c r="BF24" s="730" t="s">
        <v>1164</v>
      </c>
      <c r="BG24" s="731" t="s">
        <v>1165</v>
      </c>
      <c r="BH24" s="730" t="s">
        <v>1166</v>
      </c>
      <c r="BI24" s="731" t="s">
        <v>1167</v>
      </c>
      <c r="BJ24" s="1950" t="s">
        <v>1168</v>
      </c>
      <c r="BK24" s="380" t="s">
        <v>1169</v>
      </c>
    </row>
    <row r="25" spans="2:63" s="2" customFormat="1">
      <c r="B25" s="289" t="s">
        <v>1170</v>
      </c>
      <c r="C25" s="277" t="s">
        <v>1171</v>
      </c>
      <c r="D25" s="277"/>
      <c r="E25" s="301" t="s">
        <v>51</v>
      </c>
      <c r="F25" s="279">
        <v>3</v>
      </c>
      <c r="G25" s="347">
        <f t="shared" ref="G25:L25" si="7" xml:space="preserve"> SUM( G20:G24 )</f>
        <v>13.206000000000001</v>
      </c>
      <c r="H25" s="332">
        <f t="shared" si="7"/>
        <v>191.10500000000002</v>
      </c>
      <c r="I25" s="388">
        <f t="shared" si="7"/>
        <v>229.33299999999997</v>
      </c>
      <c r="J25" s="1973">
        <f t="shared" si="7"/>
        <v>81.855999999999995</v>
      </c>
      <c r="K25" s="332">
        <f t="shared" si="7"/>
        <v>0</v>
      </c>
      <c r="L25" s="380">
        <f t="shared" si="7"/>
        <v>515.5</v>
      </c>
      <c r="M25" s="92"/>
      <c r="N25" s="126"/>
      <c r="O25" s="126"/>
      <c r="P25" s="118"/>
      <c r="Q25" s="71"/>
      <c r="R25" s="192"/>
      <c r="S25" s="192"/>
      <c r="T25" s="192"/>
      <c r="U25" s="192"/>
      <c r="V25" s="71"/>
      <c r="W25" s="163"/>
      <c r="X25" s="71"/>
      <c r="Y25" s="163"/>
      <c r="Z25" s="163"/>
      <c r="AA25" s="163"/>
      <c r="AB25" s="163"/>
      <c r="AC25" s="163"/>
      <c r="AD25" s="71"/>
      <c r="BA25" s="289" t="s">
        <v>1170</v>
      </c>
      <c r="BB25" s="277" t="s">
        <v>1171</v>
      </c>
      <c r="BC25" s="277"/>
      <c r="BD25" s="301" t="s">
        <v>51</v>
      </c>
      <c r="BE25" s="279">
        <v>3</v>
      </c>
      <c r="BF25" s="347" t="s">
        <v>1172</v>
      </c>
      <c r="BG25" s="332" t="s">
        <v>1173</v>
      </c>
      <c r="BH25" s="388" t="s">
        <v>1174</v>
      </c>
      <c r="BI25" s="332" t="s">
        <v>1175</v>
      </c>
      <c r="BJ25" s="1947" t="s">
        <v>1176</v>
      </c>
      <c r="BK25" s="380" t="s">
        <v>1177</v>
      </c>
    </row>
    <row r="26" spans="2:63" s="2" customFormat="1">
      <c r="B26" s="289" t="s">
        <v>1178</v>
      </c>
      <c r="C26" s="277" t="s">
        <v>1114</v>
      </c>
      <c r="D26" s="277"/>
      <c r="E26" s="301" t="s">
        <v>51</v>
      </c>
      <c r="F26" s="279">
        <v>3</v>
      </c>
      <c r="G26" s="730">
        <f xml:space="preserve"> SUM( '4D'!G27:H27 )</f>
        <v>0</v>
      </c>
      <c r="H26" s="731">
        <f xml:space="preserve"> SUM( '4D'!I27:L27 )</f>
        <v>0</v>
      </c>
      <c r="I26" s="730">
        <f xml:space="preserve"> SUM( '4E'!G27:K27 )</f>
        <v>0</v>
      </c>
      <c r="J26" s="1971">
        <f xml:space="preserve"> SUM( '4E'!L27:N27 )</f>
        <v>0</v>
      </c>
      <c r="K26" s="1985"/>
      <c r="L26" s="380">
        <f xml:space="preserve"> SUM( G26:K26 )</f>
        <v>0</v>
      </c>
      <c r="M26" s="92"/>
      <c r="N26" s="126"/>
      <c r="O26" s="24">
        <f xml:space="preserve"> IF( SUM( Q26:V26 ) = 0, 0, $R$5 )</f>
        <v>0</v>
      </c>
      <c r="P26" s="126"/>
      <c r="Q26" s="124"/>
      <c r="R26" s="127"/>
      <c r="S26" s="127"/>
      <c r="T26" s="127"/>
      <c r="U26" s="93">
        <f>IF( Validation!$H$3=1, 0, IF(Validation!$B$3 &lt;&gt; "Thames Water", 0, (IF(ISNUMBER(K26), 0, 1))))</f>
        <v>0</v>
      </c>
      <c r="V26" s="124"/>
      <c r="W26" s="163"/>
      <c r="X26" s="71"/>
      <c r="Y26" s="163"/>
      <c r="Z26" s="163"/>
      <c r="AA26" s="163"/>
      <c r="AB26" s="163"/>
      <c r="AC26" s="163"/>
      <c r="AD26" s="71"/>
      <c r="BA26" s="289" t="s">
        <v>1178</v>
      </c>
      <c r="BB26" s="277" t="s">
        <v>1114</v>
      </c>
      <c r="BC26" s="277"/>
      <c r="BD26" s="301" t="s">
        <v>51</v>
      </c>
      <c r="BE26" s="279">
        <v>3</v>
      </c>
      <c r="BF26" s="730" t="s">
        <v>1179</v>
      </c>
      <c r="BG26" s="731" t="s">
        <v>1180</v>
      </c>
      <c r="BH26" s="730" t="s">
        <v>1181</v>
      </c>
      <c r="BI26" s="731" t="s">
        <v>1182</v>
      </c>
      <c r="BJ26" s="1950" t="s">
        <v>1183</v>
      </c>
      <c r="BK26" s="380" t="s">
        <v>1184</v>
      </c>
    </row>
    <row r="27" spans="2:63" s="2" customFormat="1" ht="15" thickBot="1">
      <c r="B27" s="290" t="s">
        <v>1185</v>
      </c>
      <c r="C27" s="282" t="s">
        <v>1186</v>
      </c>
      <c r="D27" s="282"/>
      <c r="E27" s="283" t="s">
        <v>51</v>
      </c>
      <c r="F27" s="284">
        <v>3</v>
      </c>
      <c r="G27" s="333">
        <f xml:space="preserve"> G25 + G26</f>
        <v>13.206000000000001</v>
      </c>
      <c r="H27" s="335">
        <f t="shared" ref="H27:K27" si="8" xml:space="preserve"> H25 + H26</f>
        <v>191.10500000000002</v>
      </c>
      <c r="I27" s="756">
        <f t="shared" si="8"/>
        <v>229.33299999999997</v>
      </c>
      <c r="J27" s="1974">
        <f t="shared" si="8"/>
        <v>81.855999999999995</v>
      </c>
      <c r="K27" s="757">
        <f t="shared" si="8"/>
        <v>0</v>
      </c>
      <c r="L27" s="344">
        <f t="shared" ref="L27" si="9" xml:space="preserve"> L25 + L26</f>
        <v>515.5</v>
      </c>
      <c r="M27" s="92"/>
      <c r="N27" s="126"/>
      <c r="O27" s="126"/>
      <c r="P27" s="126"/>
      <c r="Q27" s="119"/>
      <c r="R27" s="239"/>
      <c r="S27" s="239"/>
      <c r="T27" s="239"/>
      <c r="U27" s="239"/>
      <c r="V27" s="119"/>
      <c r="W27" s="163"/>
      <c r="X27" s="71"/>
      <c r="Y27" s="163"/>
      <c r="Z27" s="163"/>
      <c r="AA27" s="163"/>
      <c r="AB27" s="163"/>
      <c r="AC27" s="163"/>
      <c r="AD27" s="71"/>
      <c r="BA27" s="290" t="s">
        <v>1185</v>
      </c>
      <c r="BB27" s="282" t="s">
        <v>1186</v>
      </c>
      <c r="BC27" s="282"/>
      <c r="BD27" s="283" t="s">
        <v>51</v>
      </c>
      <c r="BE27" s="284">
        <v>3</v>
      </c>
      <c r="BF27" s="333" t="s">
        <v>1187</v>
      </c>
      <c r="BG27" s="335" t="s">
        <v>1188</v>
      </c>
      <c r="BH27" s="756" t="s">
        <v>1189</v>
      </c>
      <c r="BI27" s="757" t="s">
        <v>1190</v>
      </c>
      <c r="BJ27" s="1948" t="s">
        <v>1191</v>
      </c>
      <c r="BK27" s="344" t="s">
        <v>1192</v>
      </c>
    </row>
    <row r="28" spans="2:63" s="2" customFormat="1" ht="15" thickBot="1">
      <c r="B28" s="385"/>
      <c r="E28" s="5"/>
      <c r="F28" s="5"/>
      <c r="G28" s="760"/>
      <c r="H28" s="760"/>
      <c r="I28" s="760"/>
      <c r="J28" s="760"/>
      <c r="K28" s="760"/>
      <c r="L28" s="760"/>
      <c r="N28" s="120"/>
      <c r="O28" s="120"/>
      <c r="P28" s="126"/>
      <c r="Q28" s="119"/>
      <c r="R28" s="239"/>
      <c r="S28" s="239"/>
      <c r="T28" s="239"/>
      <c r="U28" s="239"/>
      <c r="V28" s="119"/>
      <c r="W28" s="110"/>
      <c r="X28" s="119"/>
      <c r="Y28" s="110"/>
      <c r="Z28" s="110"/>
      <c r="AA28" s="110"/>
      <c r="AB28" s="110"/>
      <c r="AC28" s="110"/>
      <c r="AD28" s="119"/>
      <c r="BA28" s="385"/>
      <c r="BD28" s="5"/>
      <c r="BE28" s="5"/>
      <c r="BF28" s="760"/>
      <c r="BG28" s="760"/>
      <c r="BH28" s="760"/>
      <c r="BI28" s="760"/>
      <c r="BJ28" s="760"/>
      <c r="BK28" s="760"/>
    </row>
    <row r="29" spans="2:63" s="2" customFormat="1" ht="15" thickBot="1">
      <c r="B29" s="3018" t="s">
        <v>335</v>
      </c>
      <c r="C29" s="298" t="s">
        <v>1193</v>
      </c>
      <c r="D29" s="1508"/>
      <c r="E29" s="5"/>
      <c r="F29" s="5"/>
      <c r="G29" s="760"/>
      <c r="H29" s="760"/>
      <c r="I29" s="760"/>
      <c r="J29" s="760"/>
      <c r="K29" s="760"/>
      <c r="L29" s="760"/>
      <c r="N29" s="126"/>
      <c r="O29" s="126"/>
      <c r="P29" s="70"/>
      <c r="Q29" s="71"/>
      <c r="R29" s="192"/>
      <c r="S29" s="192"/>
      <c r="T29" s="192"/>
      <c r="U29" s="192"/>
      <c r="V29" s="71"/>
      <c r="W29" s="110"/>
      <c r="X29" s="71"/>
      <c r="Y29" s="110"/>
      <c r="Z29" s="110"/>
      <c r="AA29" s="110"/>
      <c r="AB29" s="110"/>
      <c r="AC29" s="110"/>
      <c r="AD29" s="71"/>
      <c r="BA29" s="3018" t="s">
        <v>335</v>
      </c>
      <c r="BB29" s="298" t="s">
        <v>1193</v>
      </c>
      <c r="BC29" s="1508"/>
      <c r="BD29" s="5"/>
      <c r="BE29" s="5"/>
      <c r="BF29" s="760"/>
      <c r="BG29" s="760"/>
      <c r="BH29" s="760"/>
      <c r="BI29" s="760"/>
      <c r="BJ29" s="760"/>
      <c r="BK29" s="760"/>
    </row>
    <row r="30" spans="2:63" s="2" customFormat="1" ht="24" customHeight="1" thickBot="1">
      <c r="B30" s="338" t="s">
        <v>1194</v>
      </c>
      <c r="C30" s="264" t="s">
        <v>1193</v>
      </c>
      <c r="D30" s="264"/>
      <c r="E30" s="339" t="s">
        <v>51</v>
      </c>
      <c r="F30" s="266">
        <v>3</v>
      </c>
      <c r="G30" s="758">
        <f xml:space="preserve"> SUM( '4D'!G31:H31 )</f>
        <v>0.23300000000000001</v>
      </c>
      <c r="H30" s="759">
        <f xml:space="preserve"> SUM( '4D'!I31:L31 )</f>
        <v>15.95</v>
      </c>
      <c r="I30" s="758">
        <f xml:space="preserve"> SUM( '4E'!G31:K31 )</f>
        <v>10.59</v>
      </c>
      <c r="J30" s="1975">
        <f xml:space="preserve"> SUM( '4E'!L31:N31 )</f>
        <v>0</v>
      </c>
      <c r="K30" s="1986"/>
      <c r="L30" s="617">
        <f xml:space="preserve"> SUM( G30:K30 )</f>
        <v>26.773</v>
      </c>
      <c r="M30" s="92"/>
      <c r="N30" s="1370">
        <f xml:space="preserve"> IF( SUM( V30:X30 ) = 0, 0, AC30 )</f>
        <v>0</v>
      </c>
      <c r="O30" s="24">
        <f xml:space="preserve"> IF( SUM( Q30:V30 ) = 0, 0, $R$5 )</f>
        <v>0</v>
      </c>
      <c r="P30" s="126"/>
      <c r="Q30" s="119"/>
      <c r="R30" s="127"/>
      <c r="S30" s="127"/>
      <c r="T30" s="127"/>
      <c r="U30" s="93">
        <f>IF( Validation!$H$3=1, 0, IF(Validation!$B$3 &lt;&gt; "Thames Water", 0, (IF(ISNUMBER(K30), 0, 1))))</f>
        <v>0</v>
      </c>
      <c r="V30" s="119"/>
      <c r="W30" s="93">
        <f xml:space="preserve"> IF(L1 ="Bazalgette Tunnel Ltd (Tideway)",IF( (Y30 - Z30 - AA30 - AB30 ) = 0, 0, 1 ),0)</f>
        <v>0</v>
      </c>
      <c r="X30" s="71"/>
      <c r="Y30" s="165">
        <f xml:space="preserve"> ROUND( L30, 3)</f>
        <v>26.773</v>
      </c>
      <c r="Z30" s="165">
        <f xml:space="preserve"> ROUND( '2E'!J13, 3 )</f>
        <v>16.183</v>
      </c>
      <c r="AA30" s="165">
        <f xml:space="preserve"> ROUND( '2E'!J24, 3 )</f>
        <v>10.59</v>
      </c>
      <c r="AB30" s="165">
        <f xml:space="preserve"> ROUND( '2E'!J35, 3 )</f>
        <v>0</v>
      </c>
      <c r="AC30" s="3004" t="s">
        <v>1195</v>
      </c>
      <c r="AD30" s="124"/>
      <c r="BA30" s="338" t="s">
        <v>1194</v>
      </c>
      <c r="BB30" s="264" t="s">
        <v>1193</v>
      </c>
      <c r="BC30" s="264"/>
      <c r="BD30" s="339" t="s">
        <v>51</v>
      </c>
      <c r="BE30" s="266">
        <v>3</v>
      </c>
      <c r="BF30" s="758" t="s">
        <v>1196</v>
      </c>
      <c r="BG30" s="759" t="s">
        <v>1197</v>
      </c>
      <c r="BH30" s="758" t="s">
        <v>1198</v>
      </c>
      <c r="BI30" s="759" t="s">
        <v>1199</v>
      </c>
      <c r="BJ30" s="1951" t="s">
        <v>1200</v>
      </c>
      <c r="BK30" s="617" t="s">
        <v>1201</v>
      </c>
    </row>
    <row r="31" spans="2:63" s="2" customFormat="1" ht="15" thickBot="1">
      <c r="B31" s="385"/>
      <c r="E31" s="5"/>
      <c r="F31" s="5"/>
      <c r="G31" s="760"/>
      <c r="H31" s="760"/>
      <c r="I31" s="760"/>
      <c r="J31" s="760"/>
      <c r="K31" s="760"/>
      <c r="L31" s="760"/>
      <c r="N31" s="120"/>
      <c r="O31" s="120"/>
      <c r="P31" s="126"/>
      <c r="Q31" s="119"/>
      <c r="R31" s="239"/>
      <c r="S31" s="239"/>
      <c r="T31" s="239"/>
      <c r="U31" s="239"/>
      <c r="V31" s="119"/>
      <c r="W31" s="110"/>
      <c r="X31" s="119"/>
      <c r="Y31" s="110"/>
      <c r="Z31" s="110"/>
      <c r="AA31" s="110"/>
      <c r="AB31" s="110"/>
      <c r="AC31" s="110"/>
      <c r="AD31" s="119"/>
      <c r="BA31" s="385"/>
      <c r="BD31" s="5"/>
      <c r="BE31" s="5"/>
      <c r="BF31" s="760"/>
      <c r="BG31" s="760"/>
      <c r="BH31" s="760"/>
      <c r="BI31" s="760"/>
      <c r="BJ31" s="760"/>
      <c r="BK31" s="760"/>
    </row>
    <row r="32" spans="2:63" s="2" customFormat="1" ht="15" thickBot="1">
      <c r="B32" s="338" t="s">
        <v>1202</v>
      </c>
      <c r="C32" s="264" t="s">
        <v>1203</v>
      </c>
      <c r="D32" s="264"/>
      <c r="E32" s="339" t="s">
        <v>51</v>
      </c>
      <c r="F32" s="266">
        <v>3</v>
      </c>
      <c r="G32" s="340">
        <f xml:space="preserve"> G17 + G27 - G30</f>
        <v>41.800000000000011</v>
      </c>
      <c r="H32" s="342">
        <f t="shared" ref="H32:K32" si="10" xml:space="preserve"> H17 + H27 - H30</f>
        <v>394.23100000000005</v>
      </c>
      <c r="I32" s="761">
        <f t="shared" si="10"/>
        <v>399.74700000000001</v>
      </c>
      <c r="J32" s="1976">
        <f t="shared" si="10"/>
        <v>114.309</v>
      </c>
      <c r="K32" s="342">
        <f t="shared" si="10"/>
        <v>0</v>
      </c>
      <c r="L32" s="617">
        <f xml:space="preserve"> SUM( G32:K32 )</f>
        <v>950.08699999999999</v>
      </c>
      <c r="M32" s="92"/>
      <c r="N32" s="126"/>
      <c r="O32" s="126"/>
      <c r="P32" s="126"/>
      <c r="Q32" s="119"/>
      <c r="R32" s="239"/>
      <c r="S32" s="239"/>
      <c r="T32" s="239"/>
      <c r="U32" s="239"/>
      <c r="V32" s="119"/>
      <c r="W32" s="178"/>
      <c r="X32" s="119"/>
      <c r="Y32" s="178"/>
      <c r="Z32" s="178"/>
      <c r="AA32" s="178"/>
      <c r="AB32" s="178"/>
      <c r="AC32" s="178"/>
      <c r="AD32" s="119"/>
      <c r="BA32" s="338" t="s">
        <v>1202</v>
      </c>
      <c r="BB32" s="264" t="s">
        <v>1203</v>
      </c>
      <c r="BC32" s="264"/>
      <c r="BD32" s="339" t="s">
        <v>51</v>
      </c>
      <c r="BE32" s="266">
        <v>3</v>
      </c>
      <c r="BF32" s="340" t="s">
        <v>1204</v>
      </c>
      <c r="BG32" s="342" t="s">
        <v>1205</v>
      </c>
      <c r="BH32" s="761" t="s">
        <v>1206</v>
      </c>
      <c r="BI32" s="342" t="s">
        <v>1207</v>
      </c>
      <c r="BJ32" s="342" t="s">
        <v>1208</v>
      </c>
      <c r="BK32" s="617" t="s">
        <v>1209</v>
      </c>
    </row>
    <row r="33" spans="2:63" s="2" customFormat="1" ht="15" thickBot="1">
      <c r="B33" s="385"/>
      <c r="E33" s="5"/>
      <c r="F33" s="5"/>
      <c r="G33" s="760"/>
      <c r="H33" s="760"/>
      <c r="I33" s="760"/>
      <c r="J33" s="760"/>
      <c r="K33" s="760"/>
      <c r="L33" s="760"/>
      <c r="N33" s="120"/>
      <c r="O33" s="120"/>
      <c r="P33" s="126"/>
      <c r="Q33" s="119"/>
      <c r="R33" s="239"/>
      <c r="S33" s="239"/>
      <c r="T33" s="239"/>
      <c r="U33" s="239"/>
      <c r="V33" s="119"/>
      <c r="W33" s="110"/>
      <c r="X33" s="119"/>
      <c r="Y33" s="110"/>
      <c r="Z33" s="110"/>
      <c r="AA33" s="110"/>
      <c r="AB33" s="110"/>
      <c r="AC33" s="110"/>
      <c r="AD33" s="119"/>
      <c r="BA33" s="385"/>
      <c r="BD33" s="5"/>
      <c r="BE33" s="5"/>
      <c r="BF33" s="760"/>
      <c r="BG33" s="760"/>
      <c r="BH33" s="760"/>
      <c r="BI33" s="760"/>
      <c r="BJ33" s="760"/>
      <c r="BK33" s="760"/>
    </row>
    <row r="34" spans="2:63" s="2" customFormat="1" ht="15" thickBot="1">
      <c r="B34" s="3018" t="s">
        <v>392</v>
      </c>
      <c r="C34" s="298" t="s">
        <v>1210</v>
      </c>
      <c r="D34" s="1508"/>
      <c r="E34" s="5"/>
      <c r="F34" s="5"/>
      <c r="G34" s="760"/>
      <c r="H34" s="760"/>
      <c r="I34" s="760"/>
      <c r="J34" s="760"/>
      <c r="K34" s="760"/>
      <c r="L34" s="760"/>
      <c r="N34" s="120"/>
      <c r="O34" s="120"/>
      <c r="P34" s="126"/>
      <c r="Q34" s="119"/>
      <c r="R34" s="239"/>
      <c r="S34" s="239"/>
      <c r="T34" s="239"/>
      <c r="U34" s="239"/>
      <c r="V34" s="119"/>
      <c r="W34" s="110"/>
      <c r="X34" s="119"/>
      <c r="Y34" s="110"/>
      <c r="Z34" s="110"/>
      <c r="AA34" s="110"/>
      <c r="AB34" s="110"/>
      <c r="AC34" s="110"/>
      <c r="AD34" s="119"/>
      <c r="BA34" s="3018" t="s">
        <v>392</v>
      </c>
      <c r="BB34" s="298" t="s">
        <v>1210</v>
      </c>
      <c r="BC34" s="1508"/>
      <c r="BD34" s="5"/>
      <c r="BE34" s="5"/>
      <c r="BF34" s="760"/>
      <c r="BG34" s="760"/>
      <c r="BH34" s="760"/>
      <c r="BI34" s="760"/>
      <c r="BJ34" s="760"/>
      <c r="BK34" s="760"/>
    </row>
    <row r="35" spans="2:63" s="2" customFormat="1">
      <c r="B35" s="288" t="s">
        <v>1211</v>
      </c>
      <c r="C35" s="273" t="s">
        <v>1212</v>
      </c>
      <c r="D35" s="273"/>
      <c r="E35" s="300" t="s">
        <v>51</v>
      </c>
      <c r="F35" s="275">
        <v>3</v>
      </c>
      <c r="G35" s="733">
        <f xml:space="preserve"> SUM( '4D'!G36:H36 )</f>
        <v>0</v>
      </c>
      <c r="H35" s="734">
        <f xml:space="preserve"> SUM( '4D'!I36:L36 )</f>
        <v>0</v>
      </c>
      <c r="I35" s="733">
        <f xml:space="preserve"> SUM( '4E'!G36:K36 )</f>
        <v>0</v>
      </c>
      <c r="J35" s="1977">
        <f xml:space="preserve"> SUM( '4E'!L36:N36 )</f>
        <v>0</v>
      </c>
      <c r="K35" s="1987"/>
      <c r="L35" s="379">
        <f t="shared" ref="L35:L36" si="11" xml:space="preserve"> SUM( G35:K35 )</f>
        <v>0</v>
      </c>
      <c r="M35" s="92"/>
      <c r="N35" s="130"/>
      <c r="O35" s="24">
        <f t="shared" ref="O35:O36" si="12" xml:space="preserve"> IF( SUM( Q35:V35 ) = 0, 0, $R$5 )</f>
        <v>0</v>
      </c>
      <c r="P35" s="126"/>
      <c r="Q35" s="119"/>
      <c r="R35" s="127"/>
      <c r="S35" s="127"/>
      <c r="T35" s="127"/>
      <c r="U35" s="93">
        <f>IF( Validation!$H$3=1, 0, IF(Validation!$B$3 &lt;&gt; "Thames Water", 0, (IF(ISNUMBER(K35), 0, 1))))</f>
        <v>0</v>
      </c>
      <c r="V35" s="119"/>
      <c r="W35" s="178"/>
      <c r="X35" s="119"/>
      <c r="Y35" s="178"/>
      <c r="Z35" s="178"/>
      <c r="AA35" s="178"/>
      <c r="AB35" s="178"/>
      <c r="AC35" s="178"/>
      <c r="AD35" s="119"/>
      <c r="BA35" s="288" t="s">
        <v>1211</v>
      </c>
      <c r="BB35" s="273" t="s">
        <v>1212</v>
      </c>
      <c r="BC35" s="273"/>
      <c r="BD35" s="300" t="s">
        <v>51</v>
      </c>
      <c r="BE35" s="275">
        <v>3</v>
      </c>
      <c r="BF35" s="733" t="s">
        <v>1213</v>
      </c>
      <c r="BG35" s="734" t="s">
        <v>1214</v>
      </c>
      <c r="BH35" s="733" t="s">
        <v>1215</v>
      </c>
      <c r="BI35" s="734" t="s">
        <v>1216</v>
      </c>
      <c r="BJ35" s="1952" t="s">
        <v>1217</v>
      </c>
      <c r="BK35" s="379" t="s">
        <v>1218</v>
      </c>
    </row>
    <row r="36" spans="2:63" s="2" customFormat="1" ht="15" thickBot="1">
      <c r="B36" s="290" t="s">
        <v>1219</v>
      </c>
      <c r="C36" s="282" t="s">
        <v>1220</v>
      </c>
      <c r="D36" s="282"/>
      <c r="E36" s="283" t="s">
        <v>51</v>
      </c>
      <c r="F36" s="284">
        <v>3</v>
      </c>
      <c r="G36" s="735">
        <f xml:space="preserve"> SUM( '4D'!G37:H37 )</f>
        <v>0</v>
      </c>
      <c r="H36" s="736">
        <f xml:space="preserve"> SUM( '4D'!I37:L37 )</f>
        <v>0</v>
      </c>
      <c r="I36" s="735">
        <f xml:space="preserve"> SUM( '4E'!G37:K37 )</f>
        <v>0</v>
      </c>
      <c r="J36" s="1978">
        <f xml:space="preserve"> SUM( '4E'!L37:N37 )</f>
        <v>0</v>
      </c>
      <c r="K36" s="1988"/>
      <c r="L36" s="344">
        <f t="shared" si="11"/>
        <v>0</v>
      </c>
      <c r="M36" s="92"/>
      <c r="N36" s="120"/>
      <c r="O36" s="24">
        <f t="shared" si="12"/>
        <v>0</v>
      </c>
      <c r="P36" s="126"/>
      <c r="Q36" s="119"/>
      <c r="R36" s="127"/>
      <c r="S36" s="127"/>
      <c r="T36" s="127"/>
      <c r="U36" s="93">
        <f>IF( Validation!$H$3=1, 0, IF(Validation!$B$3 &lt;&gt; "Thames Water", 0, (IF(ISNUMBER(K36), 0, 1))))</f>
        <v>0</v>
      </c>
      <c r="V36" s="119"/>
      <c r="W36" s="110"/>
      <c r="X36" s="119"/>
      <c r="Y36" s="110"/>
      <c r="Z36" s="110"/>
      <c r="AA36" s="110"/>
      <c r="AB36" s="110"/>
      <c r="AC36" s="110"/>
      <c r="AD36" s="119"/>
      <c r="BA36" s="290" t="s">
        <v>1219</v>
      </c>
      <c r="BB36" s="282" t="s">
        <v>1220</v>
      </c>
      <c r="BC36" s="282"/>
      <c r="BD36" s="283" t="s">
        <v>51</v>
      </c>
      <c r="BE36" s="284">
        <v>3</v>
      </c>
      <c r="BF36" s="735" t="s">
        <v>1221</v>
      </c>
      <c r="BG36" s="736" t="s">
        <v>1222</v>
      </c>
      <c r="BH36" s="735" t="s">
        <v>1223</v>
      </c>
      <c r="BI36" s="736" t="s">
        <v>1224</v>
      </c>
      <c r="BJ36" s="1953" t="s">
        <v>1225</v>
      </c>
      <c r="BK36" s="344" t="s">
        <v>1226</v>
      </c>
    </row>
    <row r="37" spans="2:63" s="2" customFormat="1" ht="15" thickBot="1">
      <c r="B37" s="270"/>
      <c r="C37" s="267"/>
      <c r="D37" s="267"/>
      <c r="E37" s="269"/>
      <c r="F37" s="269"/>
      <c r="G37" s="386"/>
      <c r="H37" s="386"/>
      <c r="I37" s="386"/>
      <c r="J37" s="386"/>
      <c r="K37" s="760"/>
      <c r="L37" s="390"/>
      <c r="M37" s="92"/>
      <c r="N37" s="120"/>
      <c r="O37" s="120"/>
      <c r="P37" s="126"/>
      <c r="Q37" s="119"/>
      <c r="R37" s="126"/>
      <c r="S37" s="126"/>
      <c r="T37" s="126"/>
      <c r="U37" s="126"/>
      <c r="V37" s="119"/>
      <c r="W37" s="110"/>
      <c r="X37" s="119"/>
      <c r="Y37" s="110"/>
      <c r="Z37" s="110"/>
      <c r="AA37" s="110"/>
      <c r="AB37" s="110"/>
      <c r="AC37" s="110"/>
      <c r="AD37" s="119"/>
      <c r="BA37" s="270"/>
      <c r="BB37" s="267"/>
      <c r="BC37" s="267"/>
      <c r="BD37" s="269"/>
      <c r="BE37" s="269"/>
      <c r="BF37" s="386"/>
      <c r="BG37" s="386"/>
      <c r="BH37" s="386"/>
      <c r="BI37" s="386"/>
      <c r="BJ37" s="386"/>
      <c r="BK37" s="390"/>
    </row>
    <row r="38" spans="2:63" s="2" customFormat="1" ht="15" thickBot="1">
      <c r="B38" s="261" t="s">
        <v>466</v>
      </c>
      <c r="C38" s="27" t="s">
        <v>710</v>
      </c>
      <c r="D38" s="1508"/>
      <c r="E38" s="269"/>
      <c r="F38" s="269"/>
      <c r="G38" s="386"/>
      <c r="H38" s="386"/>
      <c r="I38" s="386"/>
      <c r="J38" s="386"/>
      <c r="K38" s="760"/>
      <c r="L38" s="390"/>
      <c r="M38" s="92"/>
      <c r="N38" s="120"/>
      <c r="O38" s="120"/>
      <c r="P38" s="118"/>
      <c r="Q38" s="119"/>
      <c r="R38" s="120"/>
      <c r="S38" s="120"/>
      <c r="T38" s="120"/>
      <c r="U38" s="118"/>
      <c r="V38" s="119"/>
      <c r="W38" s="110"/>
      <c r="X38" s="119"/>
      <c r="Y38" s="110"/>
      <c r="Z38" s="110"/>
      <c r="AA38" s="110"/>
      <c r="AB38" s="110"/>
      <c r="AC38" s="110"/>
      <c r="AD38" s="119"/>
      <c r="BA38" s="261" t="s">
        <v>466</v>
      </c>
      <c r="BB38" s="27" t="s">
        <v>710</v>
      </c>
      <c r="BC38" s="1508"/>
      <c r="BD38" s="269"/>
      <c r="BE38" s="269"/>
      <c r="BF38" s="386"/>
      <c r="BG38" s="386"/>
      <c r="BH38" s="386"/>
      <c r="BI38" s="386"/>
      <c r="BJ38" s="386"/>
      <c r="BK38" s="390"/>
    </row>
    <row r="39" spans="2:63" s="2" customFormat="1" ht="15" thickBot="1">
      <c r="B39" s="338" t="s">
        <v>1227</v>
      </c>
      <c r="C39" s="264" t="s">
        <v>1228</v>
      </c>
      <c r="D39" s="264"/>
      <c r="E39" s="339" t="s">
        <v>51</v>
      </c>
      <c r="F39" s="266">
        <v>3</v>
      </c>
      <c r="G39" s="340">
        <f xml:space="preserve"> G32 + SUM( G35:G36 )</f>
        <v>41.800000000000011</v>
      </c>
      <c r="H39" s="342">
        <f t="shared" ref="H39:K39" si="13" xml:space="preserve"> H32 + SUM( H35:H36 )</f>
        <v>394.23100000000005</v>
      </c>
      <c r="I39" s="761">
        <f xml:space="preserve"> I32 + SUM( I35:I36 )</f>
        <v>399.74700000000001</v>
      </c>
      <c r="J39" s="1976">
        <f t="shared" si="13"/>
        <v>114.309</v>
      </c>
      <c r="K39" s="342">
        <f t="shared" si="13"/>
        <v>0</v>
      </c>
      <c r="L39" s="617">
        <f t="shared" ref="L39" si="14" xml:space="preserve"> L32 + SUM( L35:L36 )</f>
        <v>950.08699999999999</v>
      </c>
      <c r="M39" s="92"/>
      <c r="N39" s="120"/>
      <c r="O39" s="120"/>
      <c r="P39" s="118"/>
      <c r="Q39" s="124"/>
      <c r="R39" s="120"/>
      <c r="S39" s="120"/>
      <c r="T39" s="120"/>
      <c r="U39" s="118"/>
      <c r="V39" s="124"/>
      <c r="W39" s="110"/>
      <c r="X39" s="119"/>
      <c r="Y39" s="110"/>
      <c r="Z39" s="110"/>
      <c r="AA39" s="110"/>
      <c r="AB39" s="110"/>
      <c r="AC39" s="110"/>
      <c r="AD39" s="119"/>
      <c r="BA39" s="338" t="s">
        <v>1227</v>
      </c>
      <c r="BB39" s="264" t="s">
        <v>1228</v>
      </c>
      <c r="BC39" s="264"/>
      <c r="BD39" s="339" t="s">
        <v>51</v>
      </c>
      <c r="BE39" s="266">
        <v>3</v>
      </c>
      <c r="BF39" s="340" t="s">
        <v>1229</v>
      </c>
      <c r="BG39" s="342" t="s">
        <v>1230</v>
      </c>
      <c r="BH39" s="761" t="s">
        <v>1231</v>
      </c>
      <c r="BI39" s="342" t="s">
        <v>1232</v>
      </c>
      <c r="BJ39" s="1966" t="s">
        <v>1233</v>
      </c>
      <c r="BK39" s="617" t="s">
        <v>1234</v>
      </c>
    </row>
    <row r="40" spans="2:63" s="110" customFormat="1">
      <c r="C40" s="152"/>
      <c r="D40" s="152"/>
      <c r="J40" s="163"/>
      <c r="K40" s="163"/>
      <c r="M40" s="118"/>
      <c r="N40" s="120"/>
      <c r="O40" s="120"/>
      <c r="P40" s="118"/>
      <c r="Q40" s="124"/>
      <c r="R40" s="130"/>
      <c r="S40" s="130"/>
      <c r="T40" s="130"/>
      <c r="U40" s="118"/>
      <c r="V40" s="124"/>
      <c r="X40" s="119"/>
      <c r="AD40" s="119"/>
      <c r="BB40" s="152"/>
      <c r="BC40" s="152"/>
      <c r="BI40" s="163"/>
      <c r="BJ40" s="163"/>
    </row>
    <row r="41" spans="2:63" s="163" customFormat="1">
      <c r="B41" s="3077" t="s">
        <v>243</v>
      </c>
      <c r="C41" s="3077"/>
      <c r="D41" s="2988"/>
      <c r="M41" s="126"/>
      <c r="N41" s="120"/>
      <c r="O41" s="120"/>
      <c r="P41" s="118"/>
      <c r="Q41" s="124"/>
      <c r="R41" s="120"/>
      <c r="S41" s="120"/>
      <c r="T41" s="120"/>
      <c r="U41" s="118"/>
      <c r="V41" s="124"/>
      <c r="W41" s="110"/>
      <c r="X41" s="119"/>
      <c r="Y41" s="110"/>
      <c r="Z41" s="110"/>
      <c r="AA41" s="110"/>
      <c r="AB41" s="110"/>
      <c r="AC41" s="110"/>
      <c r="AD41" s="119"/>
    </row>
    <row r="42" spans="2:63" s="163" customFormat="1">
      <c r="B42" s="141"/>
      <c r="C42" s="142"/>
      <c r="D42" s="142"/>
      <c r="M42" s="126"/>
      <c r="N42" s="120"/>
      <c r="O42" s="120"/>
      <c r="P42" s="110"/>
      <c r="Q42" s="124"/>
      <c r="R42" s="110"/>
      <c r="S42" s="110"/>
      <c r="T42" s="110"/>
      <c r="U42" s="110"/>
      <c r="V42" s="124"/>
      <c r="W42" s="110"/>
      <c r="X42" s="119"/>
      <c r="Y42" s="110"/>
      <c r="Z42" s="110"/>
      <c r="AA42" s="110"/>
      <c r="AB42" s="110"/>
      <c r="AC42" s="110"/>
      <c r="AD42" s="119"/>
    </row>
    <row r="43" spans="2:63" s="163" customFormat="1">
      <c r="B43" s="25"/>
      <c r="C43" s="143" t="s">
        <v>190</v>
      </c>
      <c r="D43" s="143"/>
      <c r="M43" s="126"/>
      <c r="N43" s="120"/>
      <c r="O43" s="120"/>
      <c r="P43" s="110"/>
      <c r="Q43" s="124"/>
      <c r="R43" s="110"/>
      <c r="S43" s="110"/>
      <c r="T43" s="110"/>
      <c r="U43" s="110"/>
      <c r="V43" s="124"/>
      <c r="W43" s="110"/>
      <c r="X43" s="124"/>
      <c r="Y43" s="110"/>
      <c r="Z43" s="110"/>
      <c r="AA43" s="110"/>
      <c r="AB43" s="110"/>
      <c r="AC43" s="110"/>
      <c r="AD43" s="124"/>
    </row>
    <row r="44" spans="2:63" s="163" customFormat="1">
      <c r="B44" s="141"/>
      <c r="C44" s="142"/>
      <c r="D44" s="142"/>
      <c r="M44" s="126"/>
      <c r="N44" s="120"/>
      <c r="O44" s="120"/>
      <c r="P44" s="120"/>
      <c r="Q44" s="124"/>
      <c r="R44" s="120"/>
      <c r="S44" s="120"/>
      <c r="T44" s="120"/>
      <c r="U44" s="120"/>
      <c r="V44" s="124"/>
      <c r="W44" s="110"/>
      <c r="X44" s="124"/>
      <c r="Y44" s="110"/>
      <c r="Z44" s="110"/>
      <c r="AA44" s="110"/>
      <c r="AB44" s="110"/>
      <c r="AC44" s="110"/>
      <c r="AD44" s="124"/>
    </row>
    <row r="45" spans="2:63" s="163" customFormat="1">
      <c r="B45" s="144"/>
      <c r="C45" s="143" t="s">
        <v>191</v>
      </c>
      <c r="D45" s="143"/>
      <c r="M45" s="126"/>
      <c r="N45" s="120"/>
      <c r="O45" s="120"/>
      <c r="P45" s="120"/>
      <c r="Q45" s="124"/>
      <c r="R45" s="120"/>
      <c r="S45" s="120"/>
      <c r="T45" s="120"/>
      <c r="U45" s="120"/>
      <c r="V45" s="124"/>
      <c r="W45" s="110"/>
      <c r="X45" s="124"/>
      <c r="Y45" s="110"/>
      <c r="Z45" s="110"/>
      <c r="AA45" s="110"/>
      <c r="AB45" s="110"/>
      <c r="AC45" s="110"/>
      <c r="AD45" s="124"/>
    </row>
    <row r="46" spans="2:63" s="163" customFormat="1">
      <c r="B46" s="145"/>
      <c r="C46" s="143"/>
      <c r="D46" s="143"/>
      <c r="M46" s="126"/>
      <c r="N46" s="120"/>
      <c r="O46" s="120"/>
      <c r="P46" s="120"/>
      <c r="Q46" s="124"/>
      <c r="R46" s="120"/>
      <c r="S46" s="120"/>
      <c r="T46" s="120"/>
      <c r="U46" s="120"/>
      <c r="V46" s="124"/>
      <c r="W46" s="110"/>
      <c r="X46" s="124"/>
      <c r="Y46" s="110"/>
      <c r="Z46" s="110"/>
      <c r="AA46" s="110"/>
      <c r="AB46" s="110"/>
      <c r="AC46" s="110"/>
      <c r="AD46" s="124"/>
    </row>
    <row r="47" spans="2:63" s="178" customFormat="1" ht="15" thickBot="1">
      <c r="C47" s="179"/>
      <c r="D47" s="179"/>
      <c r="M47" s="130"/>
      <c r="N47" s="74"/>
      <c r="O47" s="74"/>
      <c r="P47" s="70"/>
      <c r="Q47" s="71"/>
      <c r="R47" s="70"/>
      <c r="S47" s="70"/>
      <c r="T47" s="70"/>
      <c r="U47" s="70"/>
      <c r="V47" s="71"/>
      <c r="W47" s="74"/>
      <c r="X47" s="124"/>
      <c r="Y47" s="74"/>
      <c r="Z47" s="74"/>
      <c r="AA47" s="74"/>
      <c r="AB47" s="74"/>
      <c r="AC47" s="74"/>
      <c r="AD47" s="124"/>
    </row>
    <row r="48" spans="2:63" s="178" customFormat="1" ht="16.5" thickBot="1">
      <c r="B48" s="3053" t="str">
        <f>'2A'!B30</f>
        <v>Please refer to RAG 4.08 - Guideline for the table definitions in the annual performance report for the reporting year 2019-20</v>
      </c>
      <c r="C48" s="147"/>
      <c r="D48" s="147"/>
      <c r="E48" s="148"/>
      <c r="F48" s="148"/>
      <c r="G48" s="148"/>
      <c r="H48" s="148"/>
      <c r="I48" s="148"/>
      <c r="J48" s="148"/>
      <c r="K48" s="148"/>
      <c r="L48" s="251"/>
      <c r="M48" s="130"/>
      <c r="N48" s="74"/>
      <c r="O48" s="74"/>
      <c r="P48" s="70"/>
      <c r="Q48" s="71"/>
      <c r="R48" s="70"/>
      <c r="S48" s="70"/>
      <c r="T48" s="70"/>
      <c r="U48" s="70"/>
      <c r="V48" s="71"/>
      <c r="W48" s="74"/>
      <c r="X48" s="124"/>
      <c r="Y48" s="74"/>
      <c r="Z48" s="74"/>
      <c r="AA48" s="74"/>
      <c r="AB48" s="74"/>
      <c r="AC48" s="74"/>
      <c r="AD48" s="124"/>
    </row>
    <row r="49" spans="1:30" s="178" customFormat="1">
      <c r="C49" s="179"/>
      <c r="D49" s="179"/>
      <c r="M49" s="130"/>
      <c r="N49" s="74"/>
      <c r="O49" s="74"/>
      <c r="P49" s="70"/>
      <c r="Q49" s="71"/>
      <c r="R49" s="70"/>
      <c r="S49" s="70"/>
      <c r="T49" s="70"/>
      <c r="U49" s="70"/>
      <c r="V49" s="71"/>
      <c r="W49" s="74"/>
      <c r="X49" s="124"/>
      <c r="Y49" s="74"/>
      <c r="Z49" s="74"/>
      <c r="AA49" s="74"/>
      <c r="AB49" s="74"/>
      <c r="AC49" s="74"/>
      <c r="AD49" s="124"/>
    </row>
    <row r="50" spans="1:30" s="110" customFormat="1" ht="16.5" hidden="1" thickBot="1">
      <c r="A50" s="1560"/>
      <c r="B50" s="146" t="str">
        <f ca="1" xml:space="preserve"> RIGHT(CELL("filename", $A$1), LEN(CELL("filename", $A$1)) - SEARCH("]", CELL("filename", $A$1)))&amp;" - Line definitions"</f>
        <v>2B - Line definitions</v>
      </c>
      <c r="C50" s="147"/>
      <c r="D50" s="147"/>
      <c r="E50" s="148"/>
      <c r="F50" s="148"/>
      <c r="G50" s="148"/>
      <c r="H50" s="148"/>
      <c r="I50" s="148"/>
      <c r="J50" s="148"/>
      <c r="K50" s="148"/>
      <c r="L50" s="251"/>
      <c r="M50" s="130"/>
      <c r="N50" s="74"/>
      <c r="O50" s="74"/>
      <c r="P50" s="70"/>
      <c r="Q50" s="71"/>
      <c r="R50" s="70"/>
      <c r="S50" s="70"/>
      <c r="T50" s="70"/>
      <c r="U50" s="70"/>
      <c r="V50" s="71"/>
      <c r="W50" s="74"/>
      <c r="X50" s="124"/>
      <c r="Y50" s="74"/>
      <c r="Z50" s="74"/>
      <c r="AA50" s="74"/>
      <c r="AB50" s="74"/>
      <c r="AC50" s="74"/>
      <c r="AD50" s="124"/>
    </row>
    <row r="51" spans="1:30" s="110" customFormat="1" ht="15" hidden="1" thickBot="1">
      <c r="A51" s="1560"/>
      <c r="B51" s="74"/>
      <c r="C51" s="155"/>
      <c r="D51" s="155"/>
      <c r="E51" s="74"/>
      <c r="F51" s="74"/>
      <c r="G51" s="74"/>
      <c r="H51" s="74"/>
      <c r="I51" s="74"/>
      <c r="M51" s="130"/>
      <c r="N51" s="74"/>
      <c r="O51" s="74"/>
      <c r="P51" s="70"/>
      <c r="Q51" s="71"/>
      <c r="U51" s="70"/>
      <c r="V51" s="71"/>
      <c r="W51" s="74"/>
      <c r="X51" s="124"/>
      <c r="Y51" s="74"/>
      <c r="Z51" s="74"/>
      <c r="AA51" s="74"/>
      <c r="AB51" s="74"/>
      <c r="AC51" s="74"/>
      <c r="AD51" s="124"/>
    </row>
    <row r="52" spans="1:30" s="178" customFormat="1" ht="15" hidden="1" thickBot="1">
      <c r="A52" s="1561"/>
      <c r="B52" s="367" t="s">
        <v>193</v>
      </c>
      <c r="C52" s="368" t="s">
        <v>194</v>
      </c>
      <c r="D52" s="369"/>
      <c r="E52" s="369"/>
      <c r="F52" s="369"/>
      <c r="G52" s="369"/>
      <c r="H52" s="369"/>
      <c r="I52" s="369"/>
      <c r="J52" s="369"/>
      <c r="K52" s="369"/>
      <c r="L52" s="387"/>
      <c r="M52" s="2"/>
      <c r="N52" s="74"/>
      <c r="O52" s="74"/>
      <c r="P52" s="70"/>
      <c r="Q52" s="71"/>
      <c r="R52" s="85" t="s">
        <v>195</v>
      </c>
      <c r="S52" s="85"/>
      <c r="T52" s="85"/>
      <c r="U52" s="70"/>
      <c r="V52" s="71"/>
      <c r="W52" s="74"/>
      <c r="X52" s="71"/>
      <c r="Y52" s="74"/>
      <c r="Z52" s="74"/>
      <c r="AA52" s="74"/>
      <c r="AB52" s="74"/>
      <c r="AC52" s="74"/>
      <c r="AD52" s="71"/>
    </row>
    <row r="53" spans="1:30" s="110" customFormat="1" ht="23.25" hidden="1" customHeight="1">
      <c r="A53" s="1560"/>
      <c r="B53" s="181" t="s">
        <v>1041</v>
      </c>
      <c r="C53" s="3128" t="s">
        <v>1235</v>
      </c>
      <c r="D53" s="3129"/>
      <c r="E53" s="3129"/>
      <c r="F53" s="3129"/>
      <c r="G53" s="3129"/>
      <c r="H53" s="3129"/>
      <c r="I53" s="3129"/>
      <c r="J53" s="3129"/>
      <c r="K53" s="3129"/>
      <c r="L53" s="3130"/>
      <c r="M53" s="2"/>
      <c r="N53" s="74"/>
      <c r="O53" s="74"/>
      <c r="P53" s="70"/>
      <c r="Q53" s="71"/>
      <c r="R53" s="161" t="s">
        <v>197</v>
      </c>
      <c r="S53" s="158"/>
      <c r="T53" s="158"/>
      <c r="U53" s="70"/>
      <c r="V53" s="71"/>
      <c r="W53" s="74"/>
      <c r="X53" s="71"/>
      <c r="Y53" s="74"/>
      <c r="Z53" s="74"/>
      <c r="AA53" s="74"/>
      <c r="AB53" s="74"/>
      <c r="AC53" s="74"/>
      <c r="AD53" s="71"/>
    </row>
    <row r="54" spans="1:30" s="110" customFormat="1" ht="64.5" hidden="1" customHeight="1">
      <c r="A54" s="1560"/>
      <c r="B54" s="159" t="s">
        <v>1049</v>
      </c>
      <c r="C54" s="3125" t="s">
        <v>1236</v>
      </c>
      <c r="D54" s="3126"/>
      <c r="E54" s="3126"/>
      <c r="F54" s="3126"/>
      <c r="G54" s="3126"/>
      <c r="H54" s="3126"/>
      <c r="I54" s="3126"/>
      <c r="J54" s="3126"/>
      <c r="K54" s="3126"/>
      <c r="L54" s="3127"/>
      <c r="M54" s="2"/>
      <c r="N54" s="74"/>
      <c r="O54" s="74"/>
      <c r="P54" s="70"/>
      <c r="Q54" s="71"/>
      <c r="R54" s="161" t="s">
        <v>789</v>
      </c>
      <c r="S54" s="161"/>
      <c r="T54" s="161"/>
      <c r="U54" s="70"/>
      <c r="V54" s="71"/>
      <c r="W54" s="74"/>
      <c r="X54" s="71"/>
      <c r="Y54" s="74"/>
      <c r="Z54" s="74"/>
      <c r="AA54" s="74"/>
      <c r="AB54" s="74"/>
      <c r="AC54" s="74"/>
      <c r="AD54" s="71"/>
    </row>
    <row r="55" spans="1:30" s="110" customFormat="1" ht="13.7" hidden="1" customHeight="1">
      <c r="A55" s="1560"/>
      <c r="B55" s="159" t="s">
        <v>1057</v>
      </c>
      <c r="C55" s="3125" t="s">
        <v>1237</v>
      </c>
      <c r="D55" s="3126"/>
      <c r="E55" s="3126"/>
      <c r="F55" s="3126"/>
      <c r="G55" s="3126"/>
      <c r="H55" s="3126"/>
      <c r="I55" s="3126"/>
      <c r="J55" s="3126"/>
      <c r="K55" s="3126"/>
      <c r="L55" s="3127"/>
      <c r="M55" s="2"/>
      <c r="N55" s="74"/>
      <c r="O55" s="74"/>
      <c r="P55" s="70"/>
      <c r="Q55" s="71"/>
      <c r="R55" s="158">
        <v>1</v>
      </c>
      <c r="S55" s="158"/>
      <c r="T55" s="158"/>
      <c r="U55" s="70"/>
      <c r="V55" s="71"/>
      <c r="W55" s="74"/>
      <c r="X55" s="71"/>
      <c r="Y55" s="74"/>
      <c r="Z55" s="74"/>
      <c r="AA55" s="74"/>
      <c r="AB55" s="74"/>
      <c r="AC55" s="74"/>
      <c r="AD55" s="71"/>
    </row>
    <row r="56" spans="1:30" s="110" customFormat="1" ht="16.5" hidden="1" customHeight="1">
      <c r="A56" s="1560"/>
      <c r="B56" s="159" t="s">
        <v>1065</v>
      </c>
      <c r="C56" s="3125" t="s">
        <v>1238</v>
      </c>
      <c r="D56" s="3126"/>
      <c r="E56" s="3126"/>
      <c r="F56" s="3126"/>
      <c r="G56" s="3126"/>
      <c r="H56" s="3126"/>
      <c r="I56" s="3126"/>
      <c r="J56" s="3126"/>
      <c r="K56" s="3126"/>
      <c r="L56" s="3127"/>
      <c r="M56" s="2"/>
      <c r="N56" s="74"/>
      <c r="O56" s="74"/>
      <c r="P56" s="70"/>
      <c r="Q56" s="71"/>
      <c r="R56" s="161" t="s">
        <v>197</v>
      </c>
      <c r="S56" s="161"/>
      <c r="T56" s="161"/>
      <c r="U56" s="70"/>
      <c r="V56" s="71"/>
      <c r="W56" s="74"/>
      <c r="X56" s="71"/>
      <c r="Y56" s="74"/>
      <c r="Z56" s="74"/>
      <c r="AA56" s="74"/>
      <c r="AB56" s="74"/>
      <c r="AC56" s="74"/>
      <c r="AD56" s="71"/>
    </row>
    <row r="57" spans="1:30" s="110" customFormat="1" ht="23.25" hidden="1" customHeight="1">
      <c r="A57" s="1560"/>
      <c r="B57" s="159" t="s">
        <v>1073</v>
      </c>
      <c r="C57" s="3125" t="s">
        <v>1239</v>
      </c>
      <c r="D57" s="3126"/>
      <c r="E57" s="3126"/>
      <c r="F57" s="3126"/>
      <c r="G57" s="3126"/>
      <c r="H57" s="3126"/>
      <c r="I57" s="3126"/>
      <c r="J57" s="3126"/>
      <c r="K57" s="3126"/>
      <c r="L57" s="3127"/>
      <c r="M57" s="2"/>
      <c r="N57" s="74"/>
      <c r="O57" s="74"/>
      <c r="P57" s="70"/>
      <c r="Q57" s="71"/>
      <c r="R57" s="161" t="s">
        <v>197</v>
      </c>
      <c r="S57" s="158"/>
      <c r="T57" s="158"/>
      <c r="U57" s="70"/>
      <c r="V57" s="71"/>
      <c r="W57" s="74"/>
      <c r="X57" s="71"/>
      <c r="Y57" s="74"/>
      <c r="Z57" s="74"/>
      <c r="AA57" s="74"/>
      <c r="AB57" s="74"/>
      <c r="AC57" s="74"/>
      <c r="AD57" s="71"/>
    </row>
    <row r="58" spans="1:30" s="110" customFormat="1" ht="23.25" hidden="1" customHeight="1">
      <c r="A58" s="1560"/>
      <c r="B58" s="159" t="s">
        <v>1081</v>
      </c>
      <c r="C58" s="3125" t="s">
        <v>1240</v>
      </c>
      <c r="D58" s="3126"/>
      <c r="E58" s="3126"/>
      <c r="F58" s="3126"/>
      <c r="G58" s="3126"/>
      <c r="H58" s="3126"/>
      <c r="I58" s="3126"/>
      <c r="J58" s="3126"/>
      <c r="K58" s="3126"/>
      <c r="L58" s="3127"/>
      <c r="M58" s="2"/>
      <c r="N58" s="74"/>
      <c r="O58" s="74"/>
      <c r="P58" s="70"/>
      <c r="Q58" s="71"/>
      <c r="R58" s="161" t="s">
        <v>197</v>
      </c>
      <c r="S58" s="158"/>
      <c r="T58" s="158"/>
      <c r="U58" s="70"/>
      <c r="V58" s="71"/>
      <c r="W58" s="74"/>
      <c r="X58" s="71"/>
      <c r="Y58" s="74"/>
      <c r="Z58" s="74"/>
      <c r="AA58" s="74"/>
      <c r="AB58" s="74"/>
      <c r="AC58" s="74"/>
      <c r="AD58" s="71"/>
    </row>
    <row r="59" spans="1:30" s="110" customFormat="1" hidden="1">
      <c r="A59" s="1560"/>
      <c r="B59" s="159" t="s">
        <v>1089</v>
      </c>
      <c r="C59" s="3125" t="s">
        <v>1241</v>
      </c>
      <c r="D59" s="3126"/>
      <c r="E59" s="3126"/>
      <c r="F59" s="3126"/>
      <c r="G59" s="3126"/>
      <c r="H59" s="3126"/>
      <c r="I59" s="3126"/>
      <c r="J59" s="3126"/>
      <c r="K59" s="3126"/>
      <c r="L59" s="3127"/>
      <c r="M59" s="2"/>
      <c r="N59" s="74"/>
      <c r="O59" s="74"/>
      <c r="P59" s="70"/>
      <c r="Q59" s="71"/>
      <c r="R59" s="158">
        <v>1</v>
      </c>
      <c r="S59" s="158"/>
      <c r="T59" s="158"/>
      <c r="U59" s="70"/>
      <c r="V59" s="71"/>
      <c r="W59" s="74"/>
      <c r="X59" s="71"/>
      <c r="Y59" s="74"/>
      <c r="Z59" s="74"/>
      <c r="AA59" s="74"/>
      <c r="AB59" s="74"/>
      <c r="AC59" s="74"/>
      <c r="AD59" s="71"/>
    </row>
    <row r="60" spans="1:30" s="110" customFormat="1" ht="16.5" hidden="1" customHeight="1">
      <c r="A60" s="1560"/>
      <c r="B60" s="159" t="s">
        <v>1097</v>
      </c>
      <c r="C60" s="3125" t="s">
        <v>1242</v>
      </c>
      <c r="D60" s="3126"/>
      <c r="E60" s="3126"/>
      <c r="F60" s="3126"/>
      <c r="G60" s="3126"/>
      <c r="H60" s="3126"/>
      <c r="I60" s="3126"/>
      <c r="J60" s="3126"/>
      <c r="K60" s="3126"/>
      <c r="L60" s="3127"/>
      <c r="M60" s="2"/>
      <c r="N60" s="74"/>
      <c r="O60" s="74"/>
      <c r="P60" s="70"/>
      <c r="Q60" s="71"/>
      <c r="R60" s="161" t="s">
        <v>197</v>
      </c>
      <c r="S60" s="161"/>
      <c r="T60" s="161"/>
      <c r="U60" s="70"/>
      <c r="V60" s="71"/>
      <c r="W60" s="74"/>
      <c r="X60" s="71"/>
      <c r="Y60" s="74"/>
      <c r="Z60" s="74"/>
      <c r="AA60" s="74"/>
      <c r="AB60" s="74"/>
      <c r="AC60" s="74"/>
      <c r="AD60" s="71"/>
    </row>
    <row r="61" spans="1:30" s="110" customFormat="1" ht="13.7" hidden="1" customHeight="1">
      <c r="A61" s="1560"/>
      <c r="B61" s="159" t="s">
        <v>1105</v>
      </c>
      <c r="C61" s="3125" t="s">
        <v>1243</v>
      </c>
      <c r="D61" s="3126"/>
      <c r="E61" s="3126"/>
      <c r="F61" s="3126"/>
      <c r="G61" s="3126"/>
      <c r="H61" s="3126"/>
      <c r="I61" s="3126"/>
      <c r="J61" s="3126"/>
      <c r="K61" s="3126"/>
      <c r="L61" s="3127"/>
      <c r="M61" s="2"/>
      <c r="N61" s="74"/>
      <c r="O61" s="74"/>
      <c r="P61" s="70"/>
      <c r="Q61" s="71"/>
      <c r="R61" s="158">
        <v>1</v>
      </c>
      <c r="S61" s="158"/>
      <c r="T61" s="158"/>
      <c r="U61" s="70"/>
      <c r="V61" s="71"/>
      <c r="W61" s="74"/>
      <c r="X61" s="71"/>
      <c r="Y61" s="74"/>
      <c r="Z61" s="74"/>
      <c r="AA61" s="74"/>
      <c r="AB61" s="74"/>
      <c r="AC61" s="74"/>
      <c r="AD61" s="71"/>
    </row>
    <row r="62" spans="1:30" s="110" customFormat="1" ht="17.850000000000001" hidden="1" customHeight="1">
      <c r="A62" s="1560"/>
      <c r="B62" s="159" t="s">
        <v>1113</v>
      </c>
      <c r="C62" s="3125" t="s">
        <v>1244</v>
      </c>
      <c r="D62" s="3126"/>
      <c r="E62" s="3126"/>
      <c r="F62" s="3126"/>
      <c r="G62" s="3126"/>
      <c r="H62" s="3126"/>
      <c r="I62" s="3126"/>
      <c r="J62" s="3126"/>
      <c r="K62" s="3126"/>
      <c r="L62" s="3127"/>
      <c r="M62" s="2"/>
      <c r="N62" s="74"/>
      <c r="O62" s="74"/>
      <c r="P62" s="70"/>
      <c r="Q62" s="71"/>
      <c r="R62" s="161" t="s">
        <v>197</v>
      </c>
      <c r="S62" s="161"/>
      <c r="T62" s="161"/>
      <c r="U62" s="70"/>
      <c r="V62" s="71"/>
      <c r="W62" s="74"/>
      <c r="X62" s="71"/>
      <c r="Y62" s="74"/>
      <c r="Z62" s="74"/>
      <c r="AA62" s="74"/>
      <c r="AB62" s="74"/>
      <c r="AC62" s="74"/>
      <c r="AD62" s="71"/>
    </row>
    <row r="63" spans="1:30" s="110" customFormat="1" ht="18.75" hidden="1" customHeight="1">
      <c r="A63" s="1560"/>
      <c r="B63" s="159" t="s">
        <v>1121</v>
      </c>
      <c r="C63" s="3125" t="s">
        <v>1245</v>
      </c>
      <c r="D63" s="3126"/>
      <c r="E63" s="3126"/>
      <c r="F63" s="3126"/>
      <c r="G63" s="3126"/>
      <c r="H63" s="3126"/>
      <c r="I63" s="3126"/>
      <c r="J63" s="3126"/>
      <c r="K63" s="3126"/>
      <c r="L63" s="3127"/>
      <c r="M63" s="2"/>
      <c r="N63" s="74"/>
      <c r="O63" s="74"/>
      <c r="P63" s="70"/>
      <c r="Q63" s="71"/>
      <c r="R63" s="161" t="s">
        <v>197</v>
      </c>
      <c r="S63" s="161"/>
      <c r="T63" s="161"/>
      <c r="U63" s="70"/>
      <c r="V63" s="71"/>
      <c r="W63" s="74"/>
      <c r="X63" s="71"/>
      <c r="Y63" s="74"/>
      <c r="Z63" s="74"/>
      <c r="AA63" s="74"/>
      <c r="AB63" s="74"/>
      <c r="AC63" s="74"/>
      <c r="AD63" s="71"/>
    </row>
    <row r="64" spans="1:30" s="110" customFormat="1" ht="23.25" hidden="1" customHeight="1">
      <c r="A64" s="1560"/>
      <c r="B64" s="159" t="s">
        <v>1130</v>
      </c>
      <c r="C64" s="3125" t="s">
        <v>1246</v>
      </c>
      <c r="D64" s="3126"/>
      <c r="E64" s="3126"/>
      <c r="F64" s="3126"/>
      <c r="G64" s="3126"/>
      <c r="H64" s="3126"/>
      <c r="I64" s="3126"/>
      <c r="J64" s="3126"/>
      <c r="K64" s="3126"/>
      <c r="L64" s="3127"/>
      <c r="M64" s="2"/>
      <c r="N64" s="74"/>
      <c r="O64" s="74"/>
      <c r="P64" s="70"/>
      <c r="Q64" s="71"/>
      <c r="R64" s="161" t="s">
        <v>197</v>
      </c>
      <c r="S64" s="161"/>
      <c r="T64" s="161"/>
      <c r="U64" s="70"/>
      <c r="V64" s="71"/>
      <c r="W64" s="74"/>
      <c r="X64" s="71"/>
      <c r="Y64" s="74"/>
      <c r="Z64" s="74"/>
      <c r="AA64" s="74"/>
      <c r="AB64" s="74"/>
      <c r="AC64" s="74"/>
      <c r="AD64" s="71"/>
    </row>
    <row r="65" spans="1:63" s="110" customFormat="1" ht="23.25" hidden="1" customHeight="1">
      <c r="A65" s="1560"/>
      <c r="B65" s="159" t="s">
        <v>1138</v>
      </c>
      <c r="C65" s="3125" t="s">
        <v>1247</v>
      </c>
      <c r="D65" s="3126"/>
      <c r="E65" s="3126"/>
      <c r="F65" s="3126"/>
      <c r="G65" s="3126"/>
      <c r="H65" s="3126"/>
      <c r="I65" s="3126"/>
      <c r="J65" s="3126"/>
      <c r="K65" s="3126"/>
      <c r="L65" s="3127"/>
      <c r="M65" s="2"/>
      <c r="N65" s="74"/>
      <c r="O65" s="74"/>
      <c r="P65" s="70"/>
      <c r="Q65" s="71"/>
      <c r="R65" s="161" t="s">
        <v>197</v>
      </c>
      <c r="S65" s="161"/>
      <c r="T65" s="161"/>
      <c r="U65" s="70"/>
      <c r="V65" s="71"/>
      <c r="W65" s="74"/>
      <c r="X65" s="71"/>
      <c r="Y65" s="74"/>
      <c r="Z65" s="74"/>
      <c r="AA65" s="74"/>
      <c r="AB65" s="74"/>
      <c r="AC65" s="74"/>
      <c r="AD65" s="71"/>
    </row>
    <row r="66" spans="1:63" s="110" customFormat="1" ht="13.7" hidden="1" customHeight="1">
      <c r="A66" s="1560"/>
      <c r="B66" s="159" t="s">
        <v>1146</v>
      </c>
      <c r="C66" s="3125" t="s">
        <v>1248</v>
      </c>
      <c r="D66" s="3126"/>
      <c r="E66" s="3126"/>
      <c r="F66" s="3126"/>
      <c r="G66" s="3126"/>
      <c r="H66" s="3126"/>
      <c r="I66" s="3126"/>
      <c r="J66" s="3126"/>
      <c r="K66" s="3126"/>
      <c r="L66" s="3127"/>
      <c r="M66" s="2"/>
      <c r="N66" s="74"/>
      <c r="O66" s="74"/>
      <c r="P66" s="70"/>
      <c r="Q66" s="71"/>
      <c r="R66" s="158">
        <v>1</v>
      </c>
      <c r="S66" s="158"/>
      <c r="T66" s="158"/>
      <c r="U66" s="70"/>
      <c r="V66" s="71"/>
      <c r="W66" s="74"/>
      <c r="X66" s="71"/>
      <c r="Y66" s="74"/>
      <c r="Z66" s="74"/>
      <c r="AA66" s="74"/>
      <c r="AB66" s="74"/>
      <c r="AC66" s="74"/>
      <c r="AD66" s="71"/>
    </row>
    <row r="67" spans="1:63" s="110" customFormat="1" ht="13.7" hidden="1" customHeight="1">
      <c r="A67" s="1560"/>
      <c r="B67" s="159" t="s">
        <v>1154</v>
      </c>
      <c r="C67" s="3125" t="s">
        <v>1249</v>
      </c>
      <c r="D67" s="3126"/>
      <c r="E67" s="3126"/>
      <c r="F67" s="3126"/>
      <c r="G67" s="3126"/>
      <c r="H67" s="3126"/>
      <c r="I67" s="3126"/>
      <c r="J67" s="3126"/>
      <c r="K67" s="3126"/>
      <c r="L67" s="3127"/>
      <c r="M67" s="2"/>
      <c r="N67" s="74"/>
      <c r="O67" s="74"/>
      <c r="P67" s="70"/>
      <c r="Q67" s="71"/>
      <c r="R67" s="158">
        <v>1</v>
      </c>
      <c r="S67" s="158"/>
      <c r="T67" s="158"/>
      <c r="U67" s="70"/>
      <c r="V67" s="71"/>
      <c r="W67" s="74"/>
      <c r="X67" s="71"/>
      <c r="Y67" s="74"/>
      <c r="Z67" s="74"/>
      <c r="AA67" s="74"/>
      <c r="AB67" s="74"/>
      <c r="AC67" s="74"/>
      <c r="AD67" s="71"/>
    </row>
    <row r="68" spans="1:63" s="110" customFormat="1" ht="65.849999999999994" hidden="1" customHeight="1">
      <c r="A68" s="1560"/>
      <c r="B68" s="159" t="s">
        <v>1162</v>
      </c>
      <c r="C68" s="3125" t="s">
        <v>1250</v>
      </c>
      <c r="D68" s="3126"/>
      <c r="E68" s="3126"/>
      <c r="F68" s="3126"/>
      <c r="G68" s="3126"/>
      <c r="H68" s="3126"/>
      <c r="I68" s="3126"/>
      <c r="J68" s="3126"/>
      <c r="K68" s="3126"/>
      <c r="L68" s="3127"/>
      <c r="M68" s="2"/>
      <c r="N68" s="74"/>
      <c r="O68" s="74"/>
      <c r="P68" s="70"/>
      <c r="Q68" s="71"/>
      <c r="R68" s="161" t="s">
        <v>784</v>
      </c>
      <c r="S68" s="158"/>
      <c r="T68" s="158"/>
      <c r="U68" s="70"/>
      <c r="V68" s="71"/>
      <c r="W68" s="74"/>
      <c r="X68" s="71"/>
      <c r="Y68" s="74"/>
      <c r="Z68" s="74"/>
      <c r="AA68" s="74"/>
      <c r="AB68" s="74"/>
      <c r="AC68" s="74"/>
      <c r="AD68" s="71"/>
    </row>
    <row r="69" spans="1:63" s="110" customFormat="1" ht="13.7" hidden="1" customHeight="1">
      <c r="A69" s="1560"/>
      <c r="B69" s="159" t="s">
        <v>1170</v>
      </c>
      <c r="C69" s="3125" t="s">
        <v>1251</v>
      </c>
      <c r="D69" s="3126"/>
      <c r="E69" s="3126"/>
      <c r="F69" s="3126"/>
      <c r="G69" s="3126"/>
      <c r="H69" s="3126"/>
      <c r="I69" s="3126"/>
      <c r="J69" s="3126"/>
      <c r="K69" s="3126"/>
      <c r="L69" s="3127"/>
      <c r="M69" s="2"/>
      <c r="N69" s="74"/>
      <c r="O69" s="74"/>
      <c r="P69" s="70"/>
      <c r="Q69" s="71"/>
      <c r="R69" s="158">
        <v>1</v>
      </c>
      <c r="S69" s="158"/>
      <c r="T69" s="158"/>
      <c r="U69" s="70"/>
      <c r="V69" s="71"/>
      <c r="W69" s="74"/>
      <c r="X69" s="71"/>
      <c r="Y69" s="74"/>
      <c r="Z69" s="74"/>
      <c r="AA69" s="74"/>
      <c r="AB69" s="74"/>
      <c r="AC69" s="74"/>
      <c r="AD69" s="71"/>
    </row>
    <row r="70" spans="1:63" s="110" customFormat="1" ht="13.7" hidden="1" customHeight="1">
      <c r="A70" s="1560"/>
      <c r="B70" s="159" t="s">
        <v>1178</v>
      </c>
      <c r="C70" s="3125" t="s">
        <v>1252</v>
      </c>
      <c r="D70" s="3126"/>
      <c r="E70" s="3126"/>
      <c r="F70" s="3126"/>
      <c r="G70" s="3126"/>
      <c r="H70" s="3126"/>
      <c r="I70" s="3126"/>
      <c r="J70" s="3126"/>
      <c r="K70" s="3126"/>
      <c r="L70" s="3127"/>
      <c r="M70" s="2"/>
      <c r="N70" s="74"/>
      <c r="O70" s="74"/>
      <c r="P70" s="70"/>
      <c r="Q70" s="71"/>
      <c r="R70" s="158">
        <v>1</v>
      </c>
      <c r="S70" s="161"/>
      <c r="T70" s="161"/>
      <c r="U70" s="70"/>
      <c r="V70" s="71"/>
      <c r="W70" s="74"/>
      <c r="X70" s="71"/>
      <c r="Y70" s="74"/>
      <c r="Z70" s="74"/>
      <c r="AA70" s="74"/>
      <c r="AB70" s="74"/>
      <c r="AC70" s="74"/>
      <c r="AD70" s="71"/>
    </row>
    <row r="71" spans="1:63" s="110" customFormat="1" hidden="1">
      <c r="A71" s="1560"/>
      <c r="B71" s="159" t="s">
        <v>1185</v>
      </c>
      <c r="C71" s="3125" t="s">
        <v>1253</v>
      </c>
      <c r="D71" s="3126"/>
      <c r="E71" s="3126"/>
      <c r="F71" s="3126"/>
      <c r="G71" s="3126"/>
      <c r="H71" s="3126"/>
      <c r="I71" s="3126"/>
      <c r="J71" s="3126"/>
      <c r="K71" s="3126"/>
      <c r="L71" s="3127"/>
      <c r="M71" s="2"/>
      <c r="N71" s="74"/>
      <c r="O71" s="74"/>
      <c r="P71" s="70"/>
      <c r="Q71" s="71"/>
      <c r="R71" s="158">
        <v>1</v>
      </c>
      <c r="S71" s="158"/>
      <c r="T71" s="158"/>
      <c r="U71" s="70"/>
      <c r="V71" s="71"/>
      <c r="W71" s="74"/>
      <c r="X71" s="71"/>
      <c r="Y71" s="74"/>
      <c r="Z71" s="74"/>
      <c r="AA71" s="74"/>
      <c r="AB71" s="74"/>
      <c r="AC71" s="74"/>
      <c r="AD71" s="71"/>
    </row>
    <row r="72" spans="1:63" s="110" customFormat="1" ht="23.25" hidden="1" customHeight="1">
      <c r="A72" s="1560"/>
      <c r="B72" s="159" t="s">
        <v>1194</v>
      </c>
      <c r="C72" s="3125" t="s">
        <v>1254</v>
      </c>
      <c r="D72" s="3126"/>
      <c r="E72" s="3126"/>
      <c r="F72" s="3126"/>
      <c r="G72" s="3126"/>
      <c r="H72" s="3126"/>
      <c r="I72" s="3126"/>
      <c r="J72" s="3126"/>
      <c r="K72" s="3126"/>
      <c r="L72" s="3127"/>
      <c r="M72" s="2"/>
      <c r="N72" s="74"/>
      <c r="O72" s="74"/>
      <c r="P72" s="70"/>
      <c r="Q72" s="71"/>
      <c r="R72" s="161" t="s">
        <v>197</v>
      </c>
      <c r="S72" s="161"/>
      <c r="T72" s="161"/>
      <c r="U72" s="70"/>
      <c r="V72" s="71"/>
      <c r="W72" s="74"/>
      <c r="X72" s="71"/>
      <c r="Y72" s="74"/>
      <c r="Z72" s="74"/>
      <c r="AA72" s="74"/>
      <c r="AB72" s="74"/>
      <c r="AC72" s="74"/>
      <c r="AD72" s="71"/>
    </row>
    <row r="73" spans="1:63" s="110" customFormat="1" hidden="1">
      <c r="A73" s="1560"/>
      <c r="B73" s="159" t="s">
        <v>1202</v>
      </c>
      <c r="C73" s="3125" t="s">
        <v>1255</v>
      </c>
      <c r="D73" s="3126"/>
      <c r="E73" s="3126"/>
      <c r="F73" s="3126"/>
      <c r="G73" s="3126"/>
      <c r="H73" s="3126"/>
      <c r="I73" s="3126"/>
      <c r="J73" s="3126"/>
      <c r="K73" s="3126"/>
      <c r="L73" s="3127"/>
      <c r="M73" s="2"/>
      <c r="N73" s="74"/>
      <c r="O73" s="74"/>
      <c r="P73" s="70"/>
      <c r="Q73" s="71"/>
      <c r="R73" s="158">
        <v>1</v>
      </c>
      <c r="S73" s="158"/>
      <c r="T73" s="158"/>
      <c r="U73" s="70"/>
      <c r="V73" s="71"/>
      <c r="W73" s="74"/>
      <c r="X73" s="71"/>
      <c r="Y73" s="74"/>
      <c r="Z73" s="74"/>
      <c r="AA73" s="74"/>
      <c r="AB73" s="74"/>
      <c r="AC73" s="74"/>
      <c r="AD73" s="71"/>
    </row>
    <row r="74" spans="1:63" s="110" customFormat="1" ht="13.7" hidden="1" customHeight="1">
      <c r="A74" s="1560"/>
      <c r="B74" s="159" t="s">
        <v>1211</v>
      </c>
      <c r="C74" s="3125" t="s">
        <v>1256</v>
      </c>
      <c r="D74" s="3126"/>
      <c r="E74" s="3126"/>
      <c r="F74" s="3126"/>
      <c r="G74" s="3126"/>
      <c r="H74" s="3126"/>
      <c r="I74" s="3126"/>
      <c r="J74" s="3126"/>
      <c r="K74" s="3126"/>
      <c r="L74" s="3127"/>
      <c r="M74" s="2"/>
      <c r="N74" s="74"/>
      <c r="O74" s="74"/>
      <c r="P74" s="70"/>
      <c r="Q74" s="71"/>
      <c r="R74" s="158">
        <v>1</v>
      </c>
      <c r="S74" s="158"/>
      <c r="T74" s="158"/>
      <c r="U74" s="70"/>
      <c r="V74" s="71"/>
      <c r="W74" s="74"/>
      <c r="X74" s="71"/>
      <c r="Y74" s="74"/>
      <c r="Z74" s="74"/>
      <c r="AA74" s="74"/>
      <c r="AB74" s="74"/>
      <c r="AC74" s="74"/>
      <c r="AD74" s="71"/>
    </row>
    <row r="75" spans="1:63" s="110" customFormat="1" hidden="1">
      <c r="A75" s="1560"/>
      <c r="B75" s="159" t="s">
        <v>1219</v>
      </c>
      <c r="C75" s="3125" t="s">
        <v>1257</v>
      </c>
      <c r="D75" s="3126"/>
      <c r="E75" s="3126"/>
      <c r="F75" s="3126"/>
      <c r="G75" s="3126"/>
      <c r="H75" s="3126"/>
      <c r="I75" s="3126"/>
      <c r="J75" s="3126"/>
      <c r="K75" s="3126"/>
      <c r="L75" s="3127"/>
      <c r="M75" s="2"/>
      <c r="N75" s="74"/>
      <c r="O75" s="74"/>
      <c r="P75" s="70"/>
      <c r="Q75" s="71"/>
      <c r="R75" s="158">
        <v>1</v>
      </c>
      <c r="S75" s="158"/>
      <c r="T75" s="158"/>
      <c r="U75" s="70"/>
      <c r="V75" s="71"/>
      <c r="W75" s="74"/>
      <c r="X75" s="71"/>
      <c r="Y75" s="74"/>
      <c r="Z75" s="74"/>
      <c r="AA75" s="74"/>
      <c r="AB75" s="74"/>
      <c r="AC75" s="74"/>
      <c r="AD75" s="71"/>
    </row>
    <row r="76" spans="1:63" s="110" customFormat="1" ht="15" hidden="1" thickBot="1">
      <c r="A76" s="1560"/>
      <c r="B76" s="183" t="s">
        <v>1227</v>
      </c>
      <c r="C76" s="3131" t="s">
        <v>1258</v>
      </c>
      <c r="D76" s="3132"/>
      <c r="E76" s="3132"/>
      <c r="F76" s="3132"/>
      <c r="G76" s="3132"/>
      <c r="H76" s="3132"/>
      <c r="I76" s="3132"/>
      <c r="J76" s="3132"/>
      <c r="K76" s="3132"/>
      <c r="L76" s="3133"/>
      <c r="M76" s="2"/>
      <c r="N76" s="74"/>
      <c r="O76" s="74"/>
      <c r="P76" s="70"/>
      <c r="Q76" s="71"/>
      <c r="R76" s="158">
        <v>1</v>
      </c>
      <c r="S76" s="158"/>
      <c r="T76" s="158"/>
      <c r="U76" s="70"/>
      <c r="V76" s="71"/>
      <c r="W76" s="74"/>
      <c r="X76" s="71"/>
      <c r="Y76" s="74"/>
      <c r="Z76" s="74"/>
      <c r="AA76" s="74"/>
      <c r="AB76" s="74"/>
      <c r="AC76" s="74"/>
      <c r="AD76" s="71"/>
    </row>
    <row r="77" spans="1:63" s="2" customFormat="1" hidden="1">
      <c r="A77" s="1565"/>
      <c r="N77" s="74"/>
      <c r="O77" s="74"/>
      <c r="P77" s="70"/>
      <c r="Q77" s="71"/>
      <c r="R77" s="70"/>
      <c r="S77" s="70"/>
      <c r="T77" s="70"/>
      <c r="U77" s="70"/>
      <c r="V77" s="71"/>
      <c r="W77" s="74"/>
      <c r="X77" s="71"/>
      <c r="Y77" s="74"/>
      <c r="Z77" s="74"/>
      <c r="AA77" s="74"/>
      <c r="AB77" s="74"/>
      <c r="AC77" s="74"/>
      <c r="AD77" s="71"/>
    </row>
    <row r="78" spans="1:63" hidden="1">
      <c r="A78" s="1566"/>
      <c r="BF78" s="82"/>
      <c r="BG78" s="82"/>
      <c r="BH78" s="82"/>
      <c r="BI78" s="82"/>
      <c r="BJ78" s="82"/>
      <c r="BK78" s="82"/>
    </row>
    <row r="79" spans="1:63" hidden="1">
      <c r="A79" s="1566"/>
      <c r="BF79" s="82"/>
      <c r="BG79" s="82"/>
      <c r="BH79" s="82"/>
      <c r="BI79" s="82"/>
      <c r="BJ79" s="82"/>
      <c r="BK79" s="82"/>
    </row>
  </sheetData>
  <sheetProtection algorithmName="SHA-512" hashValue="tYpVrJTMsUdr7QeaHQ5TIhgXfkimxKv1vNSp4DxRHeZZO28PSQ/EBPwpI6YFDZs2y8iQvKR5Im5GQFgJGMCt5g==" saltValue="Sg2TPbYqnrMlV28MsPI+bw==" spinCount="100000" sheet="1" objects="1" scenarios="1"/>
  <mergeCells count="31">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s>
  <conditionalFormatting sqref="N30 O6:O13">
    <cfRule type="cellIs" dxfId="1347" priority="47" operator="equal">
      <formula>0</formula>
    </cfRule>
  </conditionalFormatting>
  <conditionalFormatting sqref="O35:O36">
    <cfRule type="cellIs" dxfId="1346" priority="2" operator="equal">
      <formula>0</formula>
    </cfRule>
  </conditionalFormatting>
  <conditionalFormatting sqref="O16">
    <cfRule type="cellIs" dxfId="1345" priority="6" operator="equal">
      <formula>0</formula>
    </cfRule>
  </conditionalFormatting>
  <conditionalFormatting sqref="O20:O24">
    <cfRule type="cellIs" dxfId="1344" priority="5" operator="equal">
      <formula>0</formula>
    </cfRule>
  </conditionalFormatting>
  <conditionalFormatting sqref="O26">
    <cfRule type="cellIs" dxfId="1343" priority="4" operator="equal">
      <formula>0</formula>
    </cfRule>
  </conditionalFormatting>
  <conditionalFormatting sqref="O30">
    <cfRule type="cellIs" dxfId="1342" priority="3" operator="equal">
      <formula>0</formula>
    </cfRule>
  </conditionalFormatting>
  <conditionalFormatting sqref="K6:K14 K16:K17 K20:K27 K30 K35:K36 K39 K32">
    <cfRule type="expression" dxfId="1341"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I48"/>
  <sheetViews>
    <sheetView workbookViewId="0">
      <selection activeCell="H17" sqref="H17"/>
    </sheetView>
  </sheetViews>
  <sheetFormatPr defaultColWidth="0" defaultRowHeight="14.25" zeroHeight="1"/>
  <cols>
    <col min="1" max="1" width="0.5" style="74" customWidth="1"/>
    <col min="2" max="2" width="5.125" style="74" customWidth="1"/>
    <col min="3" max="3" width="47.125" style="74" customWidth="1"/>
    <col min="4" max="4" width="5.5" style="74" hidden="1" customWidth="1"/>
    <col min="5" max="6" width="5.125" style="74" customWidth="1"/>
    <col min="7" max="9" width="13.5" style="74" customWidth="1"/>
    <col min="10" max="10" width="2.5" style="70" customWidth="1"/>
    <col min="11" max="11" width="18.5" style="70" bestFit="1" customWidth="1"/>
    <col min="12" max="12" width="1.5" style="70" customWidth="1"/>
    <col min="13" max="13" width="1.5" style="71" hidden="1" customWidth="1"/>
    <col min="14" max="15" width="8.5" style="70" hidden="1" customWidth="1"/>
    <col min="16" max="16" width="1.5" style="71" hidden="1" customWidth="1"/>
    <col min="17" max="25" width="0" style="74" hidden="1" customWidth="1"/>
    <col min="26" max="26" width="8" style="74" customWidth="1"/>
    <col min="27" max="27" width="5.125" style="74" customWidth="1"/>
    <col min="28" max="28" width="47.125" style="74" customWidth="1"/>
    <col min="29" max="29" width="5.5" style="74" hidden="1" customWidth="1"/>
    <col min="30" max="31" width="5.125" style="74" customWidth="1"/>
    <col min="32" max="34" width="13.5" style="74" customWidth="1"/>
    <col min="35" max="35" width="2.5" style="74" customWidth="1"/>
    <col min="36" max="16384" width="8" style="74" hidden="1"/>
  </cols>
  <sheetData>
    <row r="1" spans="2:34" s="70" customFormat="1" ht="20.25">
      <c r="B1" s="66" t="s">
        <v>1259</v>
      </c>
      <c r="C1" s="66"/>
      <c r="D1" s="66"/>
      <c r="E1" s="66"/>
      <c r="F1" s="66"/>
      <c r="G1" s="67"/>
      <c r="H1" s="66"/>
      <c r="I1" s="68" t="str">
        <f>Validation!B3</f>
        <v>Yorkshire Water</v>
      </c>
      <c r="J1" s="66"/>
      <c r="K1" s="69" t="s">
        <v>34</v>
      </c>
      <c r="M1" s="71"/>
      <c r="P1" s="71"/>
      <c r="AA1" s="66" t="s">
        <v>35</v>
      </c>
      <c r="AB1" s="66"/>
      <c r="AC1" s="66"/>
      <c r="AD1" s="66"/>
      <c r="AE1" s="66"/>
      <c r="AF1" s="67"/>
      <c r="AG1" s="66"/>
      <c r="AH1" s="68"/>
    </row>
    <row r="2" spans="2:34" ht="19.5" thickBot="1">
      <c r="B2" s="73" t="str">
        <f>'2B'!B2</f>
        <v>For the 12 months ended 31 March 2020</v>
      </c>
      <c r="C2" s="304"/>
      <c r="D2" s="304"/>
      <c r="AA2" s="73" t="str">
        <f>+B2</f>
        <v>For the 12 months ended 31 March 2020</v>
      </c>
      <c r="AB2" s="304"/>
      <c r="AC2" s="304"/>
    </row>
    <row r="3" spans="2:34" ht="15" customHeight="1" thickBot="1">
      <c r="B3" s="3134" t="s">
        <v>36</v>
      </c>
      <c r="C3" s="3135"/>
      <c r="D3" s="3006" t="s">
        <v>37</v>
      </c>
      <c r="E3" s="376" t="s">
        <v>38</v>
      </c>
      <c r="F3" s="377" t="s">
        <v>39</v>
      </c>
      <c r="G3" s="296" t="s">
        <v>905</v>
      </c>
      <c r="H3" s="297" t="s">
        <v>1260</v>
      </c>
      <c r="I3" s="378" t="s">
        <v>710</v>
      </c>
      <c r="J3" s="371"/>
      <c r="K3" s="2990" t="s">
        <v>43</v>
      </c>
      <c r="N3" s="3072" t="s">
        <v>47</v>
      </c>
      <c r="O3" s="3072"/>
      <c r="AA3" s="3134" t="s">
        <v>36</v>
      </c>
      <c r="AB3" s="3135"/>
      <c r="AC3" s="3006" t="s">
        <v>37</v>
      </c>
      <c r="AD3" s="376" t="s">
        <v>38</v>
      </c>
      <c r="AE3" s="377" t="s">
        <v>39</v>
      </c>
      <c r="AF3" s="296" t="s">
        <v>905</v>
      </c>
      <c r="AG3" s="297" t="s">
        <v>1260</v>
      </c>
      <c r="AH3" s="378" t="s">
        <v>710</v>
      </c>
    </row>
    <row r="4" spans="2:34" ht="15" thickBot="1">
      <c r="C4" s="330"/>
      <c r="D4" s="330"/>
      <c r="J4" s="74"/>
      <c r="K4" s="74"/>
      <c r="L4" s="79"/>
      <c r="N4" s="3072"/>
      <c r="O4" s="3072"/>
      <c r="AB4" s="330"/>
      <c r="AC4" s="330"/>
    </row>
    <row r="5" spans="2:34" ht="15" customHeight="1" thickBot="1">
      <c r="B5" s="3134" t="s">
        <v>941</v>
      </c>
      <c r="C5" s="3136"/>
      <c r="D5" s="1523"/>
      <c r="E5" s="262"/>
      <c r="F5" s="262"/>
      <c r="G5" s="262"/>
      <c r="H5" s="262"/>
      <c r="I5" s="262"/>
      <c r="N5" s="85" t="s">
        <v>48</v>
      </c>
      <c r="AA5" s="3134" t="s">
        <v>941</v>
      </c>
      <c r="AB5" s="3136"/>
      <c r="AC5" s="1523"/>
      <c r="AD5" s="262"/>
      <c r="AE5" s="262"/>
      <c r="AF5" s="262"/>
      <c r="AG5" s="262"/>
      <c r="AH5" s="262"/>
    </row>
    <row r="6" spans="2:34" ht="14.25" customHeight="1">
      <c r="B6" s="288" t="s">
        <v>1261</v>
      </c>
      <c r="C6" s="273" t="s">
        <v>1262</v>
      </c>
      <c r="D6" s="273"/>
      <c r="E6" s="300" t="s">
        <v>51</v>
      </c>
      <c r="F6" s="275">
        <v>3</v>
      </c>
      <c r="G6" s="782">
        <f xml:space="preserve"> '4F'!O7</f>
        <v>27.207000000000001</v>
      </c>
      <c r="H6" s="452">
        <v>1.9059999999999999</v>
      </c>
      <c r="I6" s="379">
        <f xml:space="preserve"> G6 + H6</f>
        <v>29.113</v>
      </c>
      <c r="K6" s="24">
        <f xml:space="preserve"> IF( SUM( M6:P6 ) = 0, 0, $N$5 )</f>
        <v>0</v>
      </c>
      <c r="N6" s="127"/>
      <c r="O6" s="93">
        <f t="shared" ref="O6:O11" si="0" xml:space="preserve"> IF( ISNUMBER( H6 ), 0, 1 )</f>
        <v>0</v>
      </c>
      <c r="AA6" s="288" t="s">
        <v>1261</v>
      </c>
      <c r="AB6" s="273" t="s">
        <v>1262</v>
      </c>
      <c r="AC6" s="273"/>
      <c r="AD6" s="300" t="s">
        <v>51</v>
      </c>
      <c r="AE6" s="275">
        <v>3</v>
      </c>
      <c r="AF6" s="782" t="str">
        <f xml:space="preserve"> '4F'!BN7</f>
        <v>BM9030</v>
      </c>
      <c r="AG6" s="2554" t="s">
        <v>1263</v>
      </c>
      <c r="AH6" s="379" t="s">
        <v>1264</v>
      </c>
    </row>
    <row r="7" spans="2:34" ht="14.25" customHeight="1">
      <c r="B7" s="289" t="s">
        <v>1265</v>
      </c>
      <c r="C7" s="277" t="s">
        <v>1266</v>
      </c>
      <c r="D7" s="277"/>
      <c r="E7" s="301" t="s">
        <v>51</v>
      </c>
      <c r="F7" s="279">
        <v>3</v>
      </c>
      <c r="G7" s="783">
        <f xml:space="preserve"> '4F'!O8</f>
        <v>4.0289999999999999</v>
      </c>
      <c r="H7" s="453">
        <v>0</v>
      </c>
      <c r="I7" s="380">
        <f t="shared" ref="I7:I17" si="1" xml:space="preserve"> G7 + H7</f>
        <v>4.0289999999999999</v>
      </c>
      <c r="K7" s="24">
        <f t="shared" ref="K7:K17" si="2" xml:space="preserve"> IF( SUM( M7:P7 ) = 0, 0, $N$5 )</f>
        <v>0</v>
      </c>
      <c r="N7" s="127"/>
      <c r="O7" s="93">
        <f t="shared" si="0"/>
        <v>0</v>
      </c>
      <c r="AA7" s="289" t="s">
        <v>1265</v>
      </c>
      <c r="AB7" s="277" t="s">
        <v>1266</v>
      </c>
      <c r="AC7" s="277"/>
      <c r="AD7" s="301" t="s">
        <v>51</v>
      </c>
      <c r="AE7" s="279">
        <v>3</v>
      </c>
      <c r="AF7" s="783" t="str">
        <f xml:space="preserve"> '4F'!BN8</f>
        <v>BM9002</v>
      </c>
      <c r="AG7" s="2557" t="s">
        <v>1267</v>
      </c>
      <c r="AH7" s="380" t="s">
        <v>1268</v>
      </c>
    </row>
    <row r="8" spans="2:34" ht="14.25" customHeight="1">
      <c r="B8" s="289" t="s">
        <v>1269</v>
      </c>
      <c r="C8" s="277" t="s">
        <v>1270</v>
      </c>
      <c r="D8" s="277"/>
      <c r="E8" s="301" t="s">
        <v>51</v>
      </c>
      <c r="F8" s="279">
        <v>3</v>
      </c>
      <c r="G8" s="783">
        <f xml:space="preserve"> '4F'!O9</f>
        <v>24.080000000000002</v>
      </c>
      <c r="H8" s="453">
        <v>6.1550000000000002</v>
      </c>
      <c r="I8" s="380">
        <f t="shared" si="1"/>
        <v>30.235000000000003</v>
      </c>
      <c r="K8" s="24">
        <f t="shared" si="2"/>
        <v>0</v>
      </c>
      <c r="N8" s="127"/>
      <c r="O8" s="93">
        <f t="shared" si="0"/>
        <v>0</v>
      </c>
      <c r="AA8" s="289" t="s">
        <v>1269</v>
      </c>
      <c r="AB8" s="277" t="s">
        <v>1270</v>
      </c>
      <c r="AC8" s="277"/>
      <c r="AD8" s="301" t="s">
        <v>51</v>
      </c>
      <c r="AE8" s="279">
        <v>3</v>
      </c>
      <c r="AF8" s="783" t="str">
        <f xml:space="preserve"> '4F'!BN9</f>
        <v>BM9003</v>
      </c>
      <c r="AG8" s="2557" t="s">
        <v>1271</v>
      </c>
      <c r="AH8" s="380" t="s">
        <v>1272</v>
      </c>
    </row>
    <row r="9" spans="2:34" ht="14.25" customHeight="1" thickBot="1">
      <c r="B9" s="289" t="s">
        <v>1273</v>
      </c>
      <c r="C9" s="277" t="s">
        <v>1274</v>
      </c>
      <c r="D9" s="277"/>
      <c r="E9" s="301" t="s">
        <v>51</v>
      </c>
      <c r="F9" s="279">
        <v>3</v>
      </c>
      <c r="G9" s="783">
        <f xml:space="preserve"> '4F'!O10</f>
        <v>1.524</v>
      </c>
      <c r="H9" s="453">
        <v>5.5E-2</v>
      </c>
      <c r="I9" s="380">
        <f t="shared" si="1"/>
        <v>1.579</v>
      </c>
      <c r="K9" s="24">
        <f t="shared" si="2"/>
        <v>0</v>
      </c>
      <c r="N9" s="127"/>
      <c r="O9" s="93">
        <f t="shared" si="0"/>
        <v>0</v>
      </c>
      <c r="AA9" s="289" t="s">
        <v>1273</v>
      </c>
      <c r="AB9" s="277" t="s">
        <v>1274</v>
      </c>
      <c r="AC9" s="277"/>
      <c r="AD9" s="301" t="s">
        <v>51</v>
      </c>
      <c r="AE9" s="279">
        <v>3</v>
      </c>
      <c r="AF9" s="783" t="str">
        <f xml:space="preserve"> '4F'!BN10</f>
        <v>BM9007</v>
      </c>
      <c r="AG9" s="2557" t="s">
        <v>1275</v>
      </c>
      <c r="AH9" s="380" t="s">
        <v>1276</v>
      </c>
    </row>
    <row r="10" spans="2:34" ht="14.25" customHeight="1" thickBot="1">
      <c r="B10" s="289" t="s">
        <v>1277</v>
      </c>
      <c r="C10" s="277" t="s">
        <v>1278</v>
      </c>
      <c r="D10" s="277"/>
      <c r="E10" s="301" t="s">
        <v>51</v>
      </c>
      <c r="F10" s="279">
        <v>3</v>
      </c>
      <c r="G10" s="737"/>
      <c r="H10" s="662">
        <v>1.0089999999999999</v>
      </c>
      <c r="I10" s="380">
        <f xml:space="preserve"> H10</f>
        <v>1.0089999999999999</v>
      </c>
      <c r="K10" s="24">
        <f t="shared" si="2"/>
        <v>0</v>
      </c>
      <c r="N10" s="127"/>
      <c r="O10" s="93">
        <f t="shared" si="0"/>
        <v>0</v>
      </c>
      <c r="AA10" s="289" t="s">
        <v>1277</v>
      </c>
      <c r="AB10" s="277" t="s">
        <v>1278</v>
      </c>
      <c r="AC10" s="277"/>
      <c r="AD10" s="301" t="s">
        <v>51</v>
      </c>
      <c r="AE10" s="279">
        <v>3</v>
      </c>
      <c r="AF10" s="1644"/>
      <c r="AG10" s="2572" t="s">
        <v>1279</v>
      </c>
      <c r="AH10" s="380" t="s">
        <v>1280</v>
      </c>
    </row>
    <row r="11" spans="2:34" ht="14.25" customHeight="1">
      <c r="B11" s="289" t="s">
        <v>1281</v>
      </c>
      <c r="C11" s="277" t="s">
        <v>1282</v>
      </c>
      <c r="D11" s="277"/>
      <c r="E11" s="301" t="s">
        <v>51</v>
      </c>
      <c r="F11" s="279">
        <v>3</v>
      </c>
      <c r="G11" s="783">
        <f xml:space="preserve"> '4F'!O11</f>
        <v>8.7750000000000004</v>
      </c>
      <c r="H11" s="453">
        <v>5.2370000000000001</v>
      </c>
      <c r="I11" s="380">
        <f xml:space="preserve"> G11 + H11</f>
        <v>14.012</v>
      </c>
      <c r="K11" s="24">
        <f t="shared" si="2"/>
        <v>0</v>
      </c>
      <c r="N11" s="127"/>
      <c r="O11" s="93">
        <f t="shared" si="0"/>
        <v>0</v>
      </c>
      <c r="AA11" s="289" t="s">
        <v>1281</v>
      </c>
      <c r="AB11" s="277" t="s">
        <v>1282</v>
      </c>
      <c r="AC11" s="277"/>
      <c r="AD11" s="301" t="s">
        <v>51</v>
      </c>
      <c r="AE11" s="279">
        <v>3</v>
      </c>
      <c r="AF11" s="783" t="str">
        <f xml:space="preserve"> '4F'!BN11</f>
        <v>BM9033</v>
      </c>
      <c r="AG11" s="2557" t="s">
        <v>1283</v>
      </c>
      <c r="AH11" s="380" t="s">
        <v>1284</v>
      </c>
    </row>
    <row r="12" spans="2:34" ht="14.25" customHeight="1">
      <c r="B12" s="289" t="s">
        <v>1285</v>
      </c>
      <c r="C12" s="277" t="s">
        <v>1106</v>
      </c>
      <c r="D12" s="277"/>
      <c r="E12" s="301" t="s">
        <v>51</v>
      </c>
      <c r="F12" s="279">
        <v>3</v>
      </c>
      <c r="G12" s="347">
        <f xml:space="preserve"> SUM( G6:G9 ) + G11</f>
        <v>65.615000000000009</v>
      </c>
      <c r="H12" s="332">
        <f xml:space="preserve"> SUM( H6:H11 )</f>
        <v>14.362</v>
      </c>
      <c r="I12" s="380">
        <f xml:space="preserve"> SUM( I6:I11 )</f>
        <v>79.97699999999999</v>
      </c>
      <c r="K12" s="224"/>
      <c r="N12" s="192"/>
      <c r="AA12" s="289" t="s">
        <v>1285</v>
      </c>
      <c r="AB12" s="277" t="s">
        <v>1106</v>
      </c>
      <c r="AC12" s="277"/>
      <c r="AD12" s="301" t="s">
        <v>51</v>
      </c>
      <c r="AE12" s="279">
        <v>3</v>
      </c>
      <c r="AF12" s="347" t="str">
        <f xml:space="preserve"> '4F'!BN12</f>
        <v>BM9021</v>
      </c>
      <c r="AG12" s="332" t="s">
        <v>1286</v>
      </c>
      <c r="AH12" s="380" t="s">
        <v>1287</v>
      </c>
    </row>
    <row r="13" spans="2:34" ht="14.25" customHeight="1">
      <c r="B13" s="289" t="s">
        <v>1288</v>
      </c>
      <c r="C13" s="277" t="s">
        <v>1289</v>
      </c>
      <c r="D13" s="277"/>
      <c r="E13" s="301" t="s">
        <v>51</v>
      </c>
      <c r="F13" s="279">
        <v>3</v>
      </c>
      <c r="G13" s="783">
        <f xml:space="preserve"> '4F'!O14</f>
        <v>0</v>
      </c>
      <c r="H13" s="453">
        <v>0</v>
      </c>
      <c r="I13" s="380">
        <f t="shared" si="1"/>
        <v>0</v>
      </c>
      <c r="K13" s="24">
        <f t="shared" si="2"/>
        <v>0</v>
      </c>
      <c r="N13" s="127"/>
      <c r="O13" s="93">
        <f t="shared" ref="N13:O21" si="3" xml:space="preserve"> IF( ISNUMBER( H13 ), 0, 1 )</f>
        <v>0</v>
      </c>
      <c r="AA13" s="289" t="s">
        <v>1288</v>
      </c>
      <c r="AB13" s="277" t="s">
        <v>1289</v>
      </c>
      <c r="AC13" s="277"/>
      <c r="AD13" s="301" t="s">
        <v>51</v>
      </c>
      <c r="AE13" s="279">
        <v>3</v>
      </c>
      <c r="AF13" s="783" t="str">
        <f xml:space="preserve"> '4F'!BN14</f>
        <v>BM9022</v>
      </c>
      <c r="AG13" s="2557" t="s">
        <v>1290</v>
      </c>
      <c r="AH13" s="380" t="s">
        <v>1291</v>
      </c>
    </row>
    <row r="14" spans="2:34" ht="14.25" customHeight="1" thickBot="1">
      <c r="B14" s="290" t="s">
        <v>1292</v>
      </c>
      <c r="C14" s="282" t="s">
        <v>1122</v>
      </c>
      <c r="D14" s="282"/>
      <c r="E14" s="283" t="s">
        <v>51</v>
      </c>
      <c r="F14" s="284">
        <v>3</v>
      </c>
      <c r="G14" s="333">
        <f xml:space="preserve"> SUM( G12:G13 )</f>
        <v>65.615000000000009</v>
      </c>
      <c r="H14" s="335">
        <f xml:space="preserve"> SUM( H12:H13 )</f>
        <v>14.362</v>
      </c>
      <c r="I14" s="344">
        <f xml:space="preserve"> SUM( I12:I13 )</f>
        <v>79.97699999999999</v>
      </c>
      <c r="K14" s="224"/>
      <c r="N14" s="192"/>
      <c r="AA14" s="290" t="s">
        <v>1292</v>
      </c>
      <c r="AB14" s="282" t="s">
        <v>1122</v>
      </c>
      <c r="AC14" s="282"/>
      <c r="AD14" s="283" t="s">
        <v>51</v>
      </c>
      <c r="AE14" s="284">
        <v>3</v>
      </c>
      <c r="AF14" s="333" t="str">
        <f xml:space="preserve"> '4F'!BN15</f>
        <v>BM9023</v>
      </c>
      <c r="AG14" s="335" t="s">
        <v>1293</v>
      </c>
      <c r="AH14" s="344" t="s">
        <v>1294</v>
      </c>
    </row>
    <row r="15" spans="2:34" s="110" customFormat="1" ht="15" thickBot="1">
      <c r="C15" s="152"/>
      <c r="D15" s="152"/>
      <c r="H15" s="163"/>
      <c r="J15" s="70"/>
      <c r="K15" s="70"/>
      <c r="L15" s="70"/>
      <c r="M15" s="71"/>
      <c r="N15" s="70"/>
      <c r="O15" s="70"/>
      <c r="P15" s="71"/>
      <c r="AB15" s="152"/>
      <c r="AC15" s="152"/>
      <c r="AF15" s="1645"/>
      <c r="AG15" s="163"/>
    </row>
    <row r="16" spans="2:34" ht="14.25" customHeight="1">
      <c r="B16" s="288" t="s">
        <v>1295</v>
      </c>
      <c r="C16" s="273" t="s">
        <v>954</v>
      </c>
      <c r="D16" s="273"/>
      <c r="E16" s="300" t="s">
        <v>51</v>
      </c>
      <c r="F16" s="275">
        <v>3</v>
      </c>
      <c r="G16" s="782">
        <f xml:space="preserve"> '4F'!O17 + '4F'!O18</f>
        <v>2.2240000000000002</v>
      </c>
      <c r="H16" s="452">
        <v>1.851</v>
      </c>
      <c r="I16" s="379">
        <f t="shared" si="1"/>
        <v>4.0750000000000002</v>
      </c>
      <c r="K16" s="24">
        <f t="shared" si="2"/>
        <v>0</v>
      </c>
      <c r="N16" s="127"/>
      <c r="O16" s="93">
        <f t="shared" si="3"/>
        <v>0</v>
      </c>
      <c r="AA16" s="288" t="s">
        <v>1295</v>
      </c>
      <c r="AB16" s="273" t="s">
        <v>954</v>
      </c>
      <c r="AC16" s="273"/>
      <c r="AD16" s="300" t="s">
        <v>51</v>
      </c>
      <c r="AE16" s="275">
        <v>3</v>
      </c>
      <c r="AF16" s="782" t="s">
        <v>1296</v>
      </c>
      <c r="AG16" s="2554" t="s">
        <v>1297</v>
      </c>
      <c r="AH16" s="379" t="s">
        <v>1298</v>
      </c>
    </row>
    <row r="17" spans="1:34" ht="14.25" customHeight="1" thickBot="1">
      <c r="B17" s="290" t="s">
        <v>1299</v>
      </c>
      <c r="C17" s="282" t="s">
        <v>961</v>
      </c>
      <c r="D17" s="282"/>
      <c r="E17" s="283" t="s">
        <v>51</v>
      </c>
      <c r="F17" s="284">
        <v>3</v>
      </c>
      <c r="G17" s="784">
        <f xml:space="preserve"> '4F'!O19 + '4F'!O20</f>
        <v>0</v>
      </c>
      <c r="H17" s="454">
        <v>1.9830000000000001</v>
      </c>
      <c r="I17" s="344">
        <f t="shared" si="1"/>
        <v>1.9830000000000001</v>
      </c>
      <c r="K17" s="24">
        <f t="shared" si="2"/>
        <v>0</v>
      </c>
      <c r="N17" s="127"/>
      <c r="O17" s="93">
        <f t="shared" ref="O17" si="4" xml:space="preserve"> IF( ISNUMBER( H17 ), 0, 1 )</f>
        <v>0</v>
      </c>
      <c r="AA17" s="290" t="s">
        <v>1299</v>
      </c>
      <c r="AB17" s="282" t="s">
        <v>961</v>
      </c>
      <c r="AC17" s="282"/>
      <c r="AD17" s="283" t="s">
        <v>51</v>
      </c>
      <c r="AE17" s="284">
        <v>3</v>
      </c>
      <c r="AF17" s="784" t="s">
        <v>1300</v>
      </c>
      <c r="AG17" s="2564" t="s">
        <v>1301</v>
      </c>
      <c r="AH17" s="344" t="s">
        <v>1302</v>
      </c>
    </row>
    <row r="18" spans="1:34" s="110" customFormat="1" ht="15" thickBot="1">
      <c r="C18" s="152"/>
      <c r="D18" s="152"/>
      <c r="H18" s="163"/>
      <c r="J18" s="70"/>
      <c r="K18" s="70"/>
      <c r="L18" s="70"/>
      <c r="M18" s="71"/>
      <c r="N18" s="70"/>
      <c r="O18" s="70"/>
      <c r="P18" s="71"/>
      <c r="AB18" s="152"/>
      <c r="AC18" s="152"/>
      <c r="AF18" s="1645"/>
      <c r="AG18" s="163"/>
    </row>
    <row r="19" spans="1:34" ht="14.25" customHeight="1" thickBot="1">
      <c r="B19" s="338" t="s">
        <v>1303</v>
      </c>
      <c r="C19" s="264" t="s">
        <v>1304</v>
      </c>
      <c r="D19" s="264"/>
      <c r="E19" s="339" t="s">
        <v>51</v>
      </c>
      <c r="F19" s="266">
        <v>3</v>
      </c>
      <c r="G19" s="340">
        <f xml:space="preserve"> G14 + SUM( G16:G17 )</f>
        <v>67.839000000000013</v>
      </c>
      <c r="H19" s="342">
        <f xml:space="preserve"> H14 + SUM( H16:H17 )</f>
        <v>18.196000000000002</v>
      </c>
      <c r="I19" s="617">
        <f xml:space="preserve"> I14 + SUM( I16:I17 )</f>
        <v>86.034999999999997</v>
      </c>
      <c r="K19" s="224"/>
      <c r="AA19" s="338" t="s">
        <v>1303</v>
      </c>
      <c r="AB19" s="264" t="s">
        <v>1304</v>
      </c>
      <c r="AC19" s="264"/>
      <c r="AD19" s="339" t="s">
        <v>51</v>
      </c>
      <c r="AE19" s="266">
        <v>3</v>
      </c>
      <c r="AF19" s="340" t="str">
        <f xml:space="preserve"> '4F'!BN21</f>
        <v>BM9029</v>
      </c>
      <c r="AG19" s="342" t="s">
        <v>1305</v>
      </c>
      <c r="AH19" s="617" t="s">
        <v>1306</v>
      </c>
    </row>
    <row r="20" spans="1:34" s="110" customFormat="1" ht="15" thickBot="1">
      <c r="C20" s="152"/>
      <c r="D20" s="152"/>
      <c r="H20" s="163"/>
      <c r="J20" s="70"/>
      <c r="K20" s="70"/>
      <c r="L20" s="70"/>
      <c r="M20" s="71"/>
      <c r="N20" s="70"/>
      <c r="O20" s="70"/>
      <c r="P20" s="71"/>
      <c r="AB20" s="152"/>
      <c r="AC20" s="152"/>
      <c r="AG20" s="163"/>
    </row>
    <row r="21" spans="1:34" ht="14.25" customHeight="1" thickBot="1">
      <c r="B21" s="338" t="s">
        <v>1307</v>
      </c>
      <c r="C21" s="264" t="s">
        <v>1308</v>
      </c>
      <c r="D21" s="264"/>
      <c r="E21" s="339" t="s">
        <v>51</v>
      </c>
      <c r="F21" s="266">
        <v>3</v>
      </c>
      <c r="G21" s="780">
        <v>17.707999999999998</v>
      </c>
      <c r="H21" s="781">
        <v>3.0019999999999998</v>
      </c>
      <c r="I21" s="617">
        <f xml:space="preserve"> G21 + H21</f>
        <v>20.709999999999997</v>
      </c>
      <c r="K21" s="24">
        <f xml:space="preserve"> IF( SUM( M21:P21 ) = 0, 0, $N$5 )</f>
        <v>0</v>
      </c>
      <c r="N21" s="93">
        <f t="shared" si="3"/>
        <v>0</v>
      </c>
      <c r="O21" s="93">
        <f t="shared" si="3"/>
        <v>0</v>
      </c>
      <c r="AA21" s="338" t="s">
        <v>1307</v>
      </c>
      <c r="AB21" s="264" t="s">
        <v>1308</v>
      </c>
      <c r="AC21" s="264"/>
      <c r="AD21" s="339" t="s">
        <v>51</v>
      </c>
      <c r="AE21" s="266">
        <v>3</v>
      </c>
      <c r="AF21" s="2573" t="s">
        <v>1309</v>
      </c>
      <c r="AG21" s="2574" t="s">
        <v>1310</v>
      </c>
      <c r="AH21" s="617" t="s">
        <v>1311</v>
      </c>
    </row>
    <row r="22" spans="1:34" s="110" customFormat="1">
      <c r="C22" s="152"/>
      <c r="D22" s="152"/>
      <c r="H22" s="163"/>
      <c r="J22" s="70"/>
      <c r="K22" s="70"/>
      <c r="L22" s="70"/>
      <c r="M22" s="71"/>
      <c r="N22" s="70"/>
      <c r="O22" s="70"/>
      <c r="P22" s="71"/>
      <c r="AB22" s="152"/>
      <c r="AC22" s="152"/>
      <c r="AG22" s="163"/>
    </row>
    <row r="23" spans="1:34" s="163" customFormat="1">
      <c r="B23" s="3077" t="s">
        <v>243</v>
      </c>
      <c r="C23" s="3077"/>
      <c r="D23" s="2988"/>
      <c r="J23" s="70"/>
      <c r="K23" s="70"/>
      <c r="L23" s="70"/>
      <c r="M23" s="71"/>
      <c r="N23" s="70"/>
      <c r="O23" s="70"/>
      <c r="P23" s="71"/>
    </row>
    <row r="24" spans="1:34" s="163" customFormat="1">
      <c r="B24" s="141"/>
      <c r="C24" s="142"/>
      <c r="D24" s="142"/>
      <c r="J24" s="70"/>
      <c r="K24" s="70"/>
      <c r="L24" s="70"/>
      <c r="M24" s="71"/>
      <c r="N24" s="70"/>
      <c r="O24" s="70"/>
      <c r="P24" s="71"/>
    </row>
    <row r="25" spans="1:34" s="163" customFormat="1">
      <c r="B25" s="25"/>
      <c r="C25" s="143" t="s">
        <v>190</v>
      </c>
      <c r="D25" s="143"/>
      <c r="J25" s="70"/>
      <c r="K25" s="70"/>
      <c r="L25" s="70"/>
      <c r="M25" s="71"/>
      <c r="N25" s="70"/>
      <c r="O25" s="70"/>
      <c r="P25" s="71"/>
    </row>
    <row r="26" spans="1:34" s="163" customFormat="1">
      <c r="B26" s="141"/>
      <c r="C26" s="142"/>
      <c r="D26" s="142"/>
      <c r="J26" s="118"/>
      <c r="K26" s="120"/>
      <c r="L26" s="118"/>
      <c r="M26" s="71"/>
      <c r="N26" s="70"/>
      <c r="O26" s="70"/>
      <c r="P26" s="71"/>
    </row>
    <row r="27" spans="1:34" s="163" customFormat="1" ht="12">
      <c r="B27" s="144"/>
      <c r="C27" s="143" t="s">
        <v>191</v>
      </c>
      <c r="D27" s="143"/>
      <c r="J27" s="126"/>
      <c r="K27" s="126"/>
      <c r="L27" s="126"/>
      <c r="M27" s="124"/>
      <c r="N27" s="126"/>
      <c r="O27" s="126"/>
      <c r="P27" s="124"/>
    </row>
    <row r="28" spans="1:34" s="163" customFormat="1" ht="12">
      <c r="B28" s="145"/>
      <c r="C28" s="143"/>
      <c r="D28" s="143"/>
      <c r="J28" s="126"/>
      <c r="K28" s="126"/>
      <c r="L28" s="126"/>
      <c r="M28" s="119"/>
      <c r="N28" s="126"/>
      <c r="O28" s="126"/>
      <c r="P28" s="119"/>
    </row>
    <row r="29" spans="1:34" s="178" customFormat="1" ht="13.5" thickBot="1">
      <c r="C29" s="179"/>
      <c r="D29" s="179"/>
      <c r="J29" s="126"/>
      <c r="K29" s="126"/>
      <c r="L29" s="126"/>
      <c r="M29" s="119"/>
      <c r="N29" s="126"/>
      <c r="O29" s="126"/>
      <c r="P29" s="119"/>
    </row>
    <row r="30" spans="1:34" s="178" customFormat="1" ht="16.5" thickBot="1">
      <c r="B30" s="3053" t="str">
        <f>'2B'!B48</f>
        <v>Please refer to RAG 4.08 - Guideline for the table definitions in the annual performance report for the reporting year 2019-20</v>
      </c>
      <c r="C30" s="147"/>
      <c r="D30" s="147"/>
      <c r="E30" s="148"/>
      <c r="F30" s="148"/>
      <c r="G30" s="148"/>
      <c r="H30" s="148"/>
      <c r="I30" s="251"/>
      <c r="J30" s="126"/>
      <c r="K30" s="126"/>
      <c r="L30" s="126"/>
      <c r="M30" s="119"/>
      <c r="N30" s="126"/>
      <c r="O30" s="126"/>
      <c r="P30" s="119"/>
    </row>
    <row r="31" spans="1:34" s="178" customFormat="1" ht="12.75">
      <c r="C31" s="179"/>
      <c r="D31" s="179"/>
      <c r="J31" s="126"/>
      <c r="K31" s="126"/>
      <c r="L31" s="126"/>
      <c r="M31" s="119"/>
      <c r="N31" s="126"/>
      <c r="O31" s="126"/>
      <c r="P31" s="119"/>
    </row>
    <row r="32" spans="1:34" s="110" customFormat="1" ht="16.5" hidden="1" thickBot="1">
      <c r="A32" s="1560"/>
      <c r="B32" s="146" t="str">
        <f ca="1" xml:space="preserve"> RIGHT(CELL("filename", $A$1), LEN(CELL("filename", $A$1)) - SEARCH("]", CELL("filename", $A$1)))&amp;" - Line definitions"</f>
        <v>2C - Line definitions</v>
      </c>
      <c r="C32" s="147"/>
      <c r="D32" s="147"/>
      <c r="E32" s="148"/>
      <c r="F32" s="148"/>
      <c r="G32" s="148"/>
      <c r="H32" s="148"/>
      <c r="I32" s="251"/>
      <c r="J32" s="126"/>
      <c r="K32" s="126"/>
      <c r="L32" s="126"/>
      <c r="M32" s="119"/>
      <c r="N32" s="126"/>
      <c r="O32" s="126"/>
      <c r="P32" s="119"/>
    </row>
    <row r="33" spans="1:16" s="110" customFormat="1" ht="15" hidden="1" thickBot="1">
      <c r="A33" s="1560"/>
      <c r="B33" s="74"/>
      <c r="C33" s="155"/>
      <c r="D33" s="155"/>
      <c r="E33" s="74"/>
      <c r="F33" s="74"/>
      <c r="G33" s="74"/>
      <c r="J33" s="126"/>
      <c r="K33" s="126"/>
      <c r="L33" s="126"/>
      <c r="M33" s="119"/>
      <c r="N33" s="126"/>
      <c r="O33" s="126"/>
      <c r="P33" s="119"/>
    </row>
    <row r="34" spans="1:16" s="319" customFormat="1" ht="14.25" hidden="1" customHeight="1" thickBot="1">
      <c r="A34" s="1567"/>
      <c r="B34" s="156" t="s">
        <v>193</v>
      </c>
      <c r="C34" s="3007" t="s">
        <v>905</v>
      </c>
      <c r="D34" s="3007"/>
      <c r="E34" s="3137" t="s">
        <v>1260</v>
      </c>
      <c r="F34" s="3137"/>
      <c r="G34" s="3137"/>
      <c r="H34" s="3137"/>
      <c r="I34" s="3138"/>
      <c r="J34" s="130"/>
      <c r="K34" s="126"/>
      <c r="L34" s="126"/>
      <c r="M34" s="119"/>
      <c r="N34" s="126"/>
      <c r="O34" s="126"/>
      <c r="P34" s="119"/>
    </row>
    <row r="35" spans="1:16" ht="154.35" hidden="1" customHeight="1" thickBot="1">
      <c r="A35" s="1564"/>
      <c r="B35" s="381" t="s">
        <v>1261</v>
      </c>
      <c r="C35" s="785" t="s">
        <v>1312</v>
      </c>
      <c r="D35" s="785"/>
      <c r="E35" s="3073" t="s">
        <v>1313</v>
      </c>
      <c r="F35" s="3073"/>
      <c r="G35" s="3073"/>
      <c r="H35" s="3073"/>
      <c r="I35" s="3074"/>
      <c r="J35" s="130"/>
      <c r="K35" s="126"/>
      <c r="L35" s="126"/>
      <c r="M35" s="119"/>
      <c r="N35" s="202" t="s">
        <v>1314</v>
      </c>
      <c r="O35" s="126"/>
      <c r="P35" s="119"/>
    </row>
    <row r="36" spans="1:16" ht="117" hidden="1" customHeight="1" thickBot="1">
      <c r="A36" s="1564"/>
      <c r="B36" s="381" t="s">
        <v>1265</v>
      </c>
      <c r="C36" s="3008" t="s">
        <v>1315</v>
      </c>
      <c r="D36" s="3008"/>
      <c r="E36" s="3055" t="s">
        <v>1316</v>
      </c>
      <c r="F36" s="3055"/>
      <c r="G36" s="3055"/>
      <c r="H36" s="3055"/>
      <c r="I36" s="3056"/>
      <c r="J36" s="118"/>
      <c r="K36" s="120"/>
      <c r="L36" s="118"/>
      <c r="M36" s="119"/>
      <c r="N36" s="202" t="s">
        <v>202</v>
      </c>
      <c r="O36" s="118"/>
      <c r="P36" s="119"/>
    </row>
    <row r="37" spans="1:16" ht="37.5" hidden="1" customHeight="1" thickBot="1">
      <c r="A37" s="1564"/>
      <c r="B37" s="381" t="s">
        <v>1269</v>
      </c>
      <c r="C37" s="3008" t="s">
        <v>1317</v>
      </c>
      <c r="D37" s="3008"/>
      <c r="E37" s="3055" t="s">
        <v>1318</v>
      </c>
      <c r="F37" s="3055"/>
      <c r="G37" s="3055"/>
      <c r="H37" s="3055"/>
      <c r="I37" s="3056"/>
      <c r="J37" s="118"/>
      <c r="K37" s="120"/>
      <c r="L37" s="118"/>
      <c r="M37" s="124"/>
      <c r="N37" s="374" t="s">
        <v>780</v>
      </c>
      <c r="O37" s="118"/>
      <c r="P37" s="124"/>
    </row>
    <row r="38" spans="1:16" ht="95.25" hidden="1" customHeight="1" thickBot="1">
      <c r="A38" s="1564"/>
      <c r="B38" s="381" t="s">
        <v>1273</v>
      </c>
      <c r="C38" s="3008" t="s">
        <v>1319</v>
      </c>
      <c r="D38" s="3008"/>
      <c r="E38" s="3055" t="s">
        <v>1320</v>
      </c>
      <c r="F38" s="3055"/>
      <c r="G38" s="3055"/>
      <c r="H38" s="3055"/>
      <c r="I38" s="3056"/>
      <c r="J38" s="346"/>
      <c r="K38" s="130"/>
      <c r="L38" s="118"/>
      <c r="M38" s="124"/>
      <c r="N38" s="202" t="s">
        <v>789</v>
      </c>
      <c r="O38" s="118"/>
      <c r="P38" s="124"/>
    </row>
    <row r="39" spans="1:16" ht="84.75" hidden="1" customHeight="1" thickBot="1">
      <c r="A39" s="1564"/>
      <c r="B39" s="381" t="s">
        <v>1277</v>
      </c>
      <c r="C39" s="3008" t="s">
        <v>1321</v>
      </c>
      <c r="D39" s="3008"/>
      <c r="E39" s="3139" t="s">
        <v>1322</v>
      </c>
      <c r="F39" s="3139"/>
      <c r="G39" s="3139"/>
      <c r="H39" s="3139"/>
      <c r="I39" s="3140"/>
      <c r="J39" s="348"/>
      <c r="K39" s="120"/>
      <c r="L39" s="118"/>
      <c r="M39" s="124"/>
      <c r="N39" s="374" t="s">
        <v>1323</v>
      </c>
      <c r="O39" s="118"/>
      <c r="P39" s="124"/>
    </row>
    <row r="40" spans="1:16" ht="140.25" hidden="1" customHeight="1" thickBot="1">
      <c r="A40" s="1564"/>
      <c r="B40" s="381" t="s">
        <v>1281</v>
      </c>
      <c r="C40" s="3008" t="s">
        <v>1324</v>
      </c>
      <c r="D40" s="3008"/>
      <c r="E40" s="3055" t="s">
        <v>1325</v>
      </c>
      <c r="F40" s="3055"/>
      <c r="G40" s="3055"/>
      <c r="H40" s="3055"/>
      <c r="I40" s="3056"/>
      <c r="J40" s="348"/>
      <c r="K40" s="110"/>
      <c r="L40" s="110"/>
      <c r="M40" s="124"/>
      <c r="N40" s="202" t="s">
        <v>1326</v>
      </c>
      <c r="O40" s="110"/>
      <c r="P40" s="124"/>
    </row>
    <row r="41" spans="1:16" ht="14.25" hidden="1" customHeight="1" thickBot="1">
      <c r="A41" s="1564"/>
      <c r="B41" s="381" t="s">
        <v>1285</v>
      </c>
      <c r="C41" s="3008" t="s">
        <v>1327</v>
      </c>
      <c r="D41" s="3008"/>
      <c r="E41" s="3055" t="s">
        <v>1327</v>
      </c>
      <c r="F41" s="3055"/>
      <c r="G41" s="3055"/>
      <c r="H41" s="3055"/>
      <c r="I41" s="3056"/>
      <c r="J41" s="348"/>
      <c r="K41" s="110"/>
      <c r="L41" s="110"/>
      <c r="M41" s="124"/>
      <c r="N41" s="253">
        <v>1</v>
      </c>
      <c r="O41" s="110"/>
      <c r="P41" s="124"/>
    </row>
    <row r="42" spans="1:16" ht="25.5" hidden="1" customHeight="1" thickBot="1">
      <c r="A42" s="1564"/>
      <c r="B42" s="381" t="s">
        <v>1288</v>
      </c>
      <c r="C42" s="3008" t="s">
        <v>1328</v>
      </c>
      <c r="D42" s="3008"/>
      <c r="E42" s="3055" t="s">
        <v>1329</v>
      </c>
      <c r="F42" s="3055"/>
      <c r="G42" s="3055"/>
      <c r="H42" s="3055"/>
      <c r="I42" s="3056"/>
      <c r="J42" s="348"/>
      <c r="K42" s="120"/>
      <c r="L42" s="120"/>
      <c r="M42" s="124"/>
      <c r="N42" s="374" t="s">
        <v>197</v>
      </c>
      <c r="O42" s="120"/>
      <c r="P42" s="124"/>
    </row>
    <row r="43" spans="1:16" ht="35.450000000000003" hidden="1" customHeight="1" thickBot="1">
      <c r="A43" s="1564"/>
      <c r="B43" s="381" t="s">
        <v>1292</v>
      </c>
      <c r="C43" s="3008" t="s">
        <v>1330</v>
      </c>
      <c r="D43" s="3008"/>
      <c r="E43" s="3055" t="s">
        <v>1331</v>
      </c>
      <c r="F43" s="3055"/>
      <c r="G43" s="3055"/>
      <c r="H43" s="3055"/>
      <c r="I43" s="3056"/>
      <c r="J43" s="348"/>
      <c r="K43" s="120"/>
      <c r="L43" s="120"/>
      <c r="M43" s="124"/>
      <c r="N43" s="374" t="s">
        <v>780</v>
      </c>
      <c r="O43" s="120"/>
      <c r="P43" s="124"/>
    </row>
    <row r="44" spans="1:16" ht="25.5" hidden="1" customHeight="1" thickBot="1">
      <c r="A44" s="1564"/>
      <c r="B44" s="381" t="s">
        <v>1295</v>
      </c>
      <c r="C44" s="3008" t="s">
        <v>1332</v>
      </c>
      <c r="D44" s="3008"/>
      <c r="E44" s="3055" t="s">
        <v>1333</v>
      </c>
      <c r="F44" s="3055"/>
      <c r="G44" s="3055"/>
      <c r="H44" s="3055"/>
      <c r="I44" s="3056"/>
      <c r="J44" s="348"/>
      <c r="K44" s="120"/>
      <c r="L44" s="120"/>
      <c r="M44" s="124"/>
      <c r="N44" s="374" t="s">
        <v>197</v>
      </c>
      <c r="O44" s="120"/>
      <c r="P44" s="124"/>
    </row>
    <row r="45" spans="1:16" ht="25.5" hidden="1" customHeight="1" thickBot="1">
      <c r="A45" s="1564"/>
      <c r="B45" s="381" t="s">
        <v>1299</v>
      </c>
      <c r="C45" s="3008" t="s">
        <v>1334</v>
      </c>
      <c r="D45" s="3008"/>
      <c r="E45" s="3055" t="s">
        <v>1335</v>
      </c>
      <c r="F45" s="3055"/>
      <c r="G45" s="3055"/>
      <c r="H45" s="3055"/>
      <c r="I45" s="3056"/>
      <c r="J45" s="348"/>
      <c r="K45" s="120"/>
      <c r="L45" s="120"/>
      <c r="M45" s="124"/>
      <c r="N45" s="161" t="s">
        <v>197</v>
      </c>
      <c r="O45" s="120"/>
      <c r="P45" s="124"/>
    </row>
    <row r="46" spans="1:16" ht="25.5" hidden="1" customHeight="1">
      <c r="A46" s="1564"/>
      <c r="B46" s="381" t="s">
        <v>1303</v>
      </c>
      <c r="C46" s="3008" t="s">
        <v>1336</v>
      </c>
      <c r="D46" s="3008"/>
      <c r="E46" s="3055" t="s">
        <v>1337</v>
      </c>
      <c r="F46" s="3055"/>
      <c r="G46" s="3055"/>
      <c r="H46" s="3055"/>
      <c r="I46" s="3056"/>
      <c r="J46" s="348"/>
      <c r="M46" s="124"/>
      <c r="N46" s="161" t="s">
        <v>197</v>
      </c>
      <c r="P46" s="124"/>
    </row>
    <row r="47" spans="1:16" ht="61.5" hidden="1" customHeight="1" thickBot="1">
      <c r="A47" s="1564"/>
      <c r="B47" s="382" t="s">
        <v>1307</v>
      </c>
      <c r="C47" s="3012" t="s">
        <v>1338</v>
      </c>
      <c r="D47" s="3012"/>
      <c r="E47" s="3075" t="s">
        <v>1339</v>
      </c>
      <c r="F47" s="3075"/>
      <c r="G47" s="3075"/>
      <c r="H47" s="3075"/>
      <c r="I47" s="3076"/>
      <c r="J47" s="348"/>
      <c r="N47" s="202" t="s">
        <v>1340</v>
      </c>
    </row>
    <row r="48" spans="1:16" hidden="1">
      <c r="A48" s="1564"/>
      <c r="G48" s="479"/>
      <c r="H48" s="479"/>
      <c r="J48" s="348"/>
      <c r="N48" s="254"/>
    </row>
  </sheetData>
  <sheetProtection algorithmName="SHA-512" hashValue="hBzqsqJ5NFOZBKjfikPefENBFaF22yTsjiITFeWBUxWL/jnqGoIT7aLYnwEXlNcYP/O8ItO6mx0AtwzfuZz1gw==" saltValue="TGulfzIIxxHrvsVfpNUy0A==" spinCount="100000" sheet="1" objects="1" scenarios="1"/>
  <mergeCells count="20">
    <mergeCell ref="E42:I42"/>
    <mergeCell ref="E43:I43"/>
    <mergeCell ref="E44:I44"/>
    <mergeCell ref="E46:I46"/>
    <mergeCell ref="E47:I47"/>
    <mergeCell ref="E45:I45"/>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s>
  <conditionalFormatting sqref="K6:K11">
    <cfRule type="cellIs" dxfId="1337" priority="5" operator="equal">
      <formula>0</formula>
    </cfRule>
  </conditionalFormatting>
  <conditionalFormatting sqref="K24:K25">
    <cfRule type="cellIs" dxfId="1336" priority="4" operator="equal">
      <formula>2</formula>
    </cfRule>
  </conditionalFormatting>
  <conditionalFormatting sqref="K13">
    <cfRule type="cellIs" dxfId="1335" priority="3" operator="equal">
      <formula>0</formula>
    </cfRule>
  </conditionalFormatting>
  <conditionalFormatting sqref="K16:K17">
    <cfRule type="cellIs" dxfId="1334" priority="2" operator="equal">
      <formula>0</formula>
    </cfRule>
  </conditionalFormatting>
  <conditionalFormatting sqref="K21">
    <cfRule type="cellIs" dxfId="133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1" max="17" man="1"/>
  </rowBreaks>
  <customProperties>
    <customPr name="_pios_id" r:id="rId2"/>
    <customPr name="EpmWorksheetKeyString_GUID"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BN58"/>
  <sheetViews>
    <sheetView workbookViewId="0">
      <selection activeCell="H28" sqref="H28"/>
    </sheetView>
  </sheetViews>
  <sheetFormatPr defaultColWidth="0" defaultRowHeight="14.25" zeroHeight="1"/>
  <cols>
    <col min="1" max="1" width="0.5" style="70" customWidth="1"/>
    <col min="2" max="2" width="5.125" style="70" customWidth="1"/>
    <col min="3" max="3" width="38.125" style="70" customWidth="1"/>
    <col min="4" max="4" width="5.5" style="70" hidden="1" customWidth="1"/>
    <col min="5" max="6" width="5.125" style="70" customWidth="1"/>
    <col min="7" max="14" width="12.5" style="70" customWidth="1"/>
    <col min="15" max="15" width="2.5" style="70" customWidth="1"/>
    <col min="16" max="16" width="36.5" style="74" customWidth="1"/>
    <col min="17" max="17" width="18.5" style="70" bestFit="1" customWidth="1"/>
    <col min="18" max="18" width="1.5" style="70" customWidth="1"/>
    <col min="19" max="19" width="1.5" style="71" hidden="1" customWidth="1"/>
    <col min="20" max="26" width="4.5" style="70" hidden="1" customWidth="1"/>
    <col min="27" max="27" width="1.5" style="71" hidden="1" customWidth="1"/>
    <col min="28" max="35" width="5.125" style="74" hidden="1" customWidth="1"/>
    <col min="36" max="36" width="1.5" style="71" hidden="1" customWidth="1"/>
    <col min="37" max="51" width="0" style="70" hidden="1" customWidth="1"/>
    <col min="52" max="52" width="9" style="70" customWidth="1"/>
    <col min="53" max="53" width="5.125" style="70" customWidth="1"/>
    <col min="54" max="54" width="38.125" style="70" customWidth="1"/>
    <col min="55" max="55" width="5.5" style="70" hidden="1" customWidth="1"/>
    <col min="56" max="57" width="5.125" style="70" customWidth="1"/>
    <col min="58" max="65" width="12.5" style="70" customWidth="1"/>
    <col min="66" max="66" width="3" style="70" customWidth="1"/>
    <col min="67" max="16384" width="9" style="70" hidden="1"/>
  </cols>
  <sheetData>
    <row r="1" spans="2:65" ht="20.25">
      <c r="B1" s="66" t="s">
        <v>1341</v>
      </c>
      <c r="C1" s="66"/>
      <c r="D1" s="66"/>
      <c r="E1" s="66"/>
      <c r="F1" s="66"/>
      <c r="G1" s="66"/>
      <c r="H1" s="66"/>
      <c r="I1" s="66"/>
      <c r="J1" s="66"/>
      <c r="K1" s="66"/>
      <c r="L1" s="66"/>
      <c r="M1" s="66"/>
      <c r="N1" s="68" t="str">
        <f>Validation!B3</f>
        <v>Yorkshire Water</v>
      </c>
      <c r="O1" s="66"/>
      <c r="P1" s="69"/>
      <c r="Q1" s="69" t="s">
        <v>34</v>
      </c>
      <c r="AB1" s="70"/>
      <c r="AC1" s="70"/>
      <c r="AD1" s="70"/>
      <c r="AE1" s="70"/>
      <c r="AF1" s="70"/>
      <c r="AG1" s="70"/>
      <c r="AH1" s="70"/>
      <c r="AI1" s="70"/>
      <c r="BA1" s="66" t="s">
        <v>35</v>
      </c>
      <c r="BB1" s="66"/>
      <c r="BC1" s="66"/>
      <c r="BD1" s="66"/>
      <c r="BE1" s="66"/>
      <c r="BF1" s="66"/>
      <c r="BG1" s="66"/>
      <c r="BH1" s="66"/>
      <c r="BI1" s="66"/>
      <c r="BJ1" s="66"/>
      <c r="BK1" s="66"/>
      <c r="BL1" s="66"/>
      <c r="BM1" s="68"/>
    </row>
    <row r="2" spans="2:65" ht="15" thickBot="1">
      <c r="B2" s="73" t="str">
        <f>'2C'!B2</f>
        <v>For the 12 months ended 31 March 2020</v>
      </c>
      <c r="P2" s="70"/>
      <c r="AB2" s="70"/>
      <c r="AC2" s="70"/>
      <c r="AD2" s="70"/>
      <c r="AE2" s="70"/>
      <c r="AF2" s="70"/>
      <c r="AG2" s="70"/>
      <c r="AH2" s="70"/>
      <c r="AI2" s="70"/>
      <c r="BA2" s="73" t="str">
        <f>+B2</f>
        <v>For the 12 months ended 31 March 2020</v>
      </c>
    </row>
    <row r="3" spans="2:65" ht="15" customHeight="1">
      <c r="B3" s="3057" t="s">
        <v>36</v>
      </c>
      <c r="C3" s="3058"/>
      <c r="D3" s="2985" t="s">
        <v>37</v>
      </c>
      <c r="E3" s="3061" t="s">
        <v>38</v>
      </c>
      <c r="F3" s="3063" t="s">
        <v>39</v>
      </c>
      <c r="G3" s="3067" t="s">
        <v>903</v>
      </c>
      <c r="H3" s="3089"/>
      <c r="I3" s="3089"/>
      <c r="J3" s="3089"/>
      <c r="K3" s="3069"/>
      <c r="L3" s="3089" t="s">
        <v>902</v>
      </c>
      <c r="M3" s="3090"/>
      <c r="N3" s="3070" t="s">
        <v>710</v>
      </c>
      <c r="O3" s="371"/>
      <c r="P3" s="3070" t="s">
        <v>705</v>
      </c>
      <c r="Q3" s="3070" t="s">
        <v>43</v>
      </c>
      <c r="T3" s="3072" t="s">
        <v>47</v>
      </c>
      <c r="U3" s="3072"/>
      <c r="V3" s="3072"/>
      <c r="W3" s="3072"/>
      <c r="X3" s="3072"/>
      <c r="Y3" s="3143"/>
      <c r="Z3" s="3143"/>
      <c r="AB3" s="3141" t="s">
        <v>26</v>
      </c>
      <c r="AC3" s="3142"/>
      <c r="AD3" s="3142"/>
      <c r="AE3" s="3142"/>
      <c r="AF3" s="3142"/>
      <c r="AG3" s="3142"/>
      <c r="AH3" s="3142"/>
      <c r="AI3" s="3142"/>
      <c r="BA3" s="3057" t="s">
        <v>36</v>
      </c>
      <c r="BB3" s="3058"/>
      <c r="BC3" s="2985" t="s">
        <v>37</v>
      </c>
      <c r="BD3" s="3061" t="s">
        <v>38</v>
      </c>
      <c r="BE3" s="3063" t="s">
        <v>39</v>
      </c>
      <c r="BF3" s="3067" t="s">
        <v>903</v>
      </c>
      <c r="BG3" s="3089"/>
      <c r="BH3" s="3089"/>
      <c r="BI3" s="3089"/>
      <c r="BJ3" s="3069"/>
      <c r="BK3" s="3089" t="s">
        <v>902</v>
      </c>
      <c r="BL3" s="3090"/>
      <c r="BM3" s="3070" t="s">
        <v>710</v>
      </c>
    </row>
    <row r="4" spans="2:65" ht="27.75" thickBot="1">
      <c r="B4" s="3059"/>
      <c r="C4" s="3060"/>
      <c r="D4" s="2986"/>
      <c r="E4" s="3062"/>
      <c r="F4" s="3064"/>
      <c r="G4" s="1386" t="s">
        <v>1039</v>
      </c>
      <c r="H4" s="78" t="s">
        <v>908</v>
      </c>
      <c r="I4" s="3020" t="s">
        <v>1040</v>
      </c>
      <c r="J4" s="882" t="s">
        <v>911</v>
      </c>
      <c r="K4" s="2998" t="s">
        <v>913</v>
      </c>
      <c r="L4" s="373" t="s">
        <v>905</v>
      </c>
      <c r="M4" s="2998" t="s">
        <v>906</v>
      </c>
      <c r="N4" s="3071"/>
      <c r="O4" s="371"/>
      <c r="P4" s="3071"/>
      <c r="Q4" s="3071"/>
      <c r="R4" s="79"/>
      <c r="T4" s="3072"/>
      <c r="U4" s="3072"/>
      <c r="V4" s="3072"/>
      <c r="W4" s="3072"/>
      <c r="X4" s="3072"/>
      <c r="Y4" s="3143"/>
      <c r="Z4" s="3143"/>
      <c r="AB4" s="3141"/>
      <c r="AC4" s="3142"/>
      <c r="AD4" s="3142"/>
      <c r="AE4" s="3142"/>
      <c r="AF4" s="3142"/>
      <c r="AG4" s="3142"/>
      <c r="AH4" s="3142"/>
      <c r="AI4" s="3142"/>
      <c r="BA4" s="3059"/>
      <c r="BB4" s="3060"/>
      <c r="BC4" s="2986"/>
      <c r="BD4" s="3062"/>
      <c r="BE4" s="3064"/>
      <c r="BF4" s="1386" t="s">
        <v>1039</v>
      </c>
      <c r="BG4" s="78" t="s">
        <v>908</v>
      </c>
      <c r="BH4" s="3020" t="s">
        <v>1040</v>
      </c>
      <c r="BI4" s="372" t="s">
        <v>911</v>
      </c>
      <c r="BJ4" s="372" t="s">
        <v>913</v>
      </c>
      <c r="BK4" s="373" t="s">
        <v>905</v>
      </c>
      <c r="BL4" s="2998" t="s">
        <v>906</v>
      </c>
      <c r="BM4" s="3071"/>
    </row>
    <row r="5" spans="2:65" ht="15" thickBot="1">
      <c r="P5" s="130"/>
      <c r="T5" s="85" t="s">
        <v>48</v>
      </c>
      <c r="U5" s="85"/>
      <c r="V5" s="85"/>
      <c r="W5" s="85"/>
      <c r="AB5" s="85" t="s">
        <v>1342</v>
      </c>
    </row>
    <row r="6" spans="2:65" ht="15" thickBot="1">
      <c r="B6" s="3036" t="s">
        <v>155</v>
      </c>
      <c r="C6" s="83" t="s">
        <v>1343</v>
      </c>
      <c r="D6" s="1505"/>
      <c r="P6" s="130"/>
      <c r="AB6" s="127"/>
      <c r="AC6" s="127"/>
      <c r="AD6" s="127"/>
      <c r="AE6" s="127"/>
      <c r="AF6" s="127"/>
      <c r="AG6" s="127"/>
      <c r="AH6" s="127"/>
      <c r="AI6" s="127"/>
      <c r="BA6" s="3036" t="s">
        <v>155</v>
      </c>
      <c r="BB6" s="83" t="s">
        <v>1343</v>
      </c>
      <c r="BC6" s="1505"/>
    </row>
    <row r="7" spans="2:65">
      <c r="B7" s="86" t="s">
        <v>1344</v>
      </c>
      <c r="C7" s="117" t="s">
        <v>1345</v>
      </c>
      <c r="D7" s="117"/>
      <c r="E7" s="88" t="s">
        <v>51</v>
      </c>
      <c r="F7" s="89">
        <v>3</v>
      </c>
      <c r="G7" s="413">
        <v>382.12900000000002</v>
      </c>
      <c r="H7" s="465">
        <v>4717.09</v>
      </c>
      <c r="I7" s="424">
        <v>5290.098</v>
      </c>
      <c r="J7" s="424">
        <v>570.88199999999995</v>
      </c>
      <c r="K7" s="469"/>
      <c r="L7" s="423">
        <v>45.412999999999997</v>
      </c>
      <c r="M7" s="448">
        <v>12.518000000000001</v>
      </c>
      <c r="N7" s="199">
        <f>SUM(G7:M7)</f>
        <v>11018.13</v>
      </c>
      <c r="P7" s="130"/>
      <c r="Q7" s="24">
        <f xml:space="preserve"> IF( SUM( S7:AA7 ) = 0, 0, $T$5 )</f>
        <v>0</v>
      </c>
      <c r="T7" s="93">
        <f t="shared" ref="T7:U9" si="0" xml:space="preserve"> IF( ISNUMBER( G7 ), 0, 1 )</f>
        <v>0</v>
      </c>
      <c r="U7" s="93">
        <f t="shared" si="0"/>
        <v>0</v>
      </c>
      <c r="V7" s="93">
        <f>IF(Validation!$H$3=1,0,IF(ISNUMBER(I7),0,1))</f>
        <v>0</v>
      </c>
      <c r="W7" s="93">
        <f>IF(Validation!$H$3=1,0,IF(ISNUMBER(J7),0,1))</f>
        <v>0</v>
      </c>
      <c r="X7" s="93">
        <f>IF( Validation!$H$3=1, 0, IF(Validation!$B$3 &lt;&gt; "Thames Water", 0, (IF(ISNUMBER(K7), 0, 1))))</f>
        <v>0</v>
      </c>
      <c r="Y7" s="93">
        <f t="shared" ref="Y7:Z9" si="1" xml:space="preserve"> IF( ISNUMBER( L7 ), 0, 1 )</f>
        <v>0</v>
      </c>
      <c r="Z7" s="93">
        <f t="shared" si="1"/>
        <v>0</v>
      </c>
      <c r="BA7" s="86" t="s">
        <v>1344</v>
      </c>
      <c r="BB7" s="117" t="s">
        <v>1345</v>
      </c>
      <c r="BC7" s="117"/>
      <c r="BD7" s="88" t="s">
        <v>51</v>
      </c>
      <c r="BE7" s="89">
        <v>3</v>
      </c>
      <c r="BF7" s="2516" t="s">
        <v>1346</v>
      </c>
      <c r="BG7" s="2521" t="s">
        <v>1347</v>
      </c>
      <c r="BH7" s="2517" t="s">
        <v>1348</v>
      </c>
      <c r="BI7" s="2515" t="s">
        <v>1349</v>
      </c>
      <c r="BJ7" s="2515" t="s">
        <v>1350</v>
      </c>
      <c r="BK7" s="2575" t="s">
        <v>1351</v>
      </c>
      <c r="BL7" s="2576" t="s">
        <v>1352</v>
      </c>
      <c r="BM7" s="199" t="s">
        <v>1353</v>
      </c>
    </row>
    <row r="8" spans="2:65">
      <c r="B8" s="94" t="s">
        <v>1354</v>
      </c>
      <c r="C8" s="87" t="s">
        <v>1355</v>
      </c>
      <c r="D8" s="87"/>
      <c r="E8" s="95" t="s">
        <v>51</v>
      </c>
      <c r="F8" s="96">
        <v>3</v>
      </c>
      <c r="G8" s="411">
        <v>-6.8810000000000002</v>
      </c>
      <c r="H8" s="461">
        <v>-133.71899999999999</v>
      </c>
      <c r="I8" s="412">
        <v>-166.023</v>
      </c>
      <c r="J8" s="412">
        <v>-51.665999999999997</v>
      </c>
      <c r="K8" s="470"/>
      <c r="L8" s="425">
        <v>-2.282</v>
      </c>
      <c r="M8" s="449">
        <v>-0.104</v>
      </c>
      <c r="N8" s="241">
        <f t="shared" ref="N8:N12" si="2">SUM(G8:M8)</f>
        <v>-360.67499999999995</v>
      </c>
      <c r="P8" s="130"/>
      <c r="Q8" s="24">
        <f t="shared" ref="Q8:Q11" si="3" xml:space="preserve"> IF( SUM( S8:AA8 ) = 0, 0, $T$5 )</f>
        <v>0</v>
      </c>
      <c r="T8" s="93">
        <f t="shared" si="0"/>
        <v>0</v>
      </c>
      <c r="U8" s="93">
        <f t="shared" si="0"/>
        <v>0</v>
      </c>
      <c r="V8" s="93">
        <f>IF(Validation!$H$3=1,0,IF(ISNUMBER(I8),0,1))</f>
        <v>0</v>
      </c>
      <c r="W8" s="93">
        <f>IF(Validation!$H$3=1,0,IF(ISNUMBER(J8),0,1))</f>
        <v>0</v>
      </c>
      <c r="X8" s="93">
        <f>IF( Validation!$H$3=1, 0, IF(Validation!$B$3 &lt;&gt; "Thames Water", 0, (IF(ISNUMBER(K8), 0, 1))))</f>
        <v>0</v>
      </c>
      <c r="Y8" s="93">
        <f t="shared" si="1"/>
        <v>0</v>
      </c>
      <c r="Z8" s="93">
        <f t="shared" si="1"/>
        <v>0</v>
      </c>
      <c r="AB8" s="127"/>
      <c r="AC8" s="127"/>
      <c r="AD8" s="127"/>
      <c r="AE8" s="127"/>
      <c r="AF8" s="127"/>
      <c r="AG8" s="127"/>
      <c r="AH8" s="127"/>
      <c r="AI8" s="127"/>
      <c r="BA8" s="94" t="s">
        <v>1354</v>
      </c>
      <c r="BB8" s="87" t="s">
        <v>1355</v>
      </c>
      <c r="BC8" s="87"/>
      <c r="BD8" s="95" t="s">
        <v>51</v>
      </c>
      <c r="BE8" s="96">
        <v>3</v>
      </c>
      <c r="BF8" s="2519" t="s">
        <v>1356</v>
      </c>
      <c r="BG8" s="2522" t="s">
        <v>1357</v>
      </c>
      <c r="BH8" s="2520" t="s">
        <v>1358</v>
      </c>
      <c r="BI8" s="2518" t="s">
        <v>1359</v>
      </c>
      <c r="BJ8" s="2518" t="s">
        <v>1360</v>
      </c>
      <c r="BK8" s="2532" t="s">
        <v>1361</v>
      </c>
      <c r="BL8" s="2577" t="s">
        <v>1362</v>
      </c>
      <c r="BM8" s="241" t="s">
        <v>1363</v>
      </c>
    </row>
    <row r="9" spans="2:65">
      <c r="B9" s="94" t="s">
        <v>1364</v>
      </c>
      <c r="C9" s="87" t="s">
        <v>1365</v>
      </c>
      <c r="D9" s="87"/>
      <c r="E9" s="95" t="s">
        <v>51</v>
      </c>
      <c r="F9" s="96">
        <v>3</v>
      </c>
      <c r="G9" s="411">
        <v>10.696</v>
      </c>
      <c r="H9" s="461">
        <v>168.11</v>
      </c>
      <c r="I9" s="412">
        <v>214.10900000000001</v>
      </c>
      <c r="J9" s="412">
        <v>61.960999999999999</v>
      </c>
      <c r="K9" s="470"/>
      <c r="L9" s="425">
        <v>1.831</v>
      </c>
      <c r="M9" s="449">
        <v>2.7E-2</v>
      </c>
      <c r="N9" s="241">
        <f t="shared" si="2"/>
        <v>456.73400000000004</v>
      </c>
      <c r="P9" s="130"/>
      <c r="Q9" s="24">
        <f t="shared" si="3"/>
        <v>0</v>
      </c>
      <c r="T9" s="93">
        <f t="shared" si="0"/>
        <v>0</v>
      </c>
      <c r="U9" s="93">
        <f t="shared" si="0"/>
        <v>0</v>
      </c>
      <c r="V9" s="93">
        <f>IF(Validation!$H$3=1,0,IF(ISNUMBER(I9),0,1))</f>
        <v>0</v>
      </c>
      <c r="W9" s="93">
        <f>IF(Validation!$H$3=1,0,IF(ISNUMBER(J9),0,1))</f>
        <v>0</v>
      </c>
      <c r="X9" s="93">
        <f>IF( Validation!$H$3=1, 0, IF(Validation!$B$3 &lt;&gt; "Thames Water", 0, (IF(ISNUMBER(K9), 0, 1))))</f>
        <v>0</v>
      </c>
      <c r="Y9" s="93">
        <f t="shared" si="1"/>
        <v>0</v>
      </c>
      <c r="Z9" s="93">
        <f t="shared" si="1"/>
        <v>0</v>
      </c>
      <c r="AB9" s="127"/>
      <c r="AC9" s="127"/>
      <c r="AD9" s="127"/>
      <c r="AE9" s="127"/>
      <c r="AF9" s="127"/>
      <c r="AG9" s="127"/>
      <c r="AH9" s="127"/>
      <c r="AI9" s="127"/>
      <c r="BA9" s="94" t="s">
        <v>1364</v>
      </c>
      <c r="BB9" s="87" t="s">
        <v>1365</v>
      </c>
      <c r="BC9" s="87"/>
      <c r="BD9" s="95" t="s">
        <v>51</v>
      </c>
      <c r="BE9" s="96">
        <v>3</v>
      </c>
      <c r="BF9" s="2519" t="s">
        <v>1366</v>
      </c>
      <c r="BG9" s="2522" t="s">
        <v>1367</v>
      </c>
      <c r="BH9" s="2520" t="s">
        <v>1368</v>
      </c>
      <c r="BI9" s="2518" t="s">
        <v>1369</v>
      </c>
      <c r="BJ9" s="2518" t="s">
        <v>1370</v>
      </c>
      <c r="BK9" s="2532" t="s">
        <v>1371</v>
      </c>
      <c r="BL9" s="2577" t="s">
        <v>1372</v>
      </c>
      <c r="BM9" s="241" t="s">
        <v>1373</v>
      </c>
    </row>
    <row r="10" spans="2:65">
      <c r="B10" s="94" t="s">
        <v>1374</v>
      </c>
      <c r="C10" s="219" t="s">
        <v>41</v>
      </c>
      <c r="D10" s="219"/>
      <c r="E10" s="95" t="s">
        <v>51</v>
      </c>
      <c r="F10" s="96">
        <v>3</v>
      </c>
      <c r="G10" s="463">
        <v>-6.641</v>
      </c>
      <c r="H10" s="462">
        <v>-81.120999999999995</v>
      </c>
      <c r="I10" s="464">
        <v>-90.691000000000003</v>
      </c>
      <c r="J10" s="464">
        <v>0</v>
      </c>
      <c r="K10" s="669"/>
      <c r="L10" s="604">
        <v>0</v>
      </c>
      <c r="M10" s="605">
        <v>0</v>
      </c>
      <c r="N10" s="241">
        <f t="shared" si="2"/>
        <v>-178.453</v>
      </c>
      <c r="P10" s="130"/>
      <c r="Q10" s="24">
        <f t="shared" ref="Q10" si="4" xml:space="preserve"> IF( SUM( S10:AA10 ) = 0, 0, $T$5 )</f>
        <v>0</v>
      </c>
      <c r="T10" s="93">
        <f t="shared" ref="T10" si="5" xml:space="preserve"> IF( ISNUMBER( G10 ), 0, 1 )</f>
        <v>0</v>
      </c>
      <c r="U10" s="93">
        <f t="shared" ref="U10" si="6" xml:space="preserve"> IF( ISNUMBER( H10 ), 0, 1 )</f>
        <v>0</v>
      </c>
      <c r="V10" s="93">
        <f>IF(Validation!$H$3=1,0,IF(ISNUMBER(I10),0,1))</f>
        <v>0</v>
      </c>
      <c r="W10" s="93">
        <f>IF(Validation!$H$3=1,0,IF(ISNUMBER(J10),0,1))</f>
        <v>0</v>
      </c>
      <c r="X10" s="93">
        <f>IF( Validation!$H$3=1, 0, IF(Validation!$B$3 &lt;&gt; "Thames Water", 0, (IF(ISNUMBER(K10), 0, 1))))</f>
        <v>0</v>
      </c>
      <c r="Y10" s="93">
        <f t="shared" ref="Y10" si="7" xml:space="preserve"> IF( ISNUMBER( L10 ), 0, 1 )</f>
        <v>0</v>
      </c>
      <c r="Z10" s="93">
        <f t="shared" ref="Z10" si="8" xml:space="preserve"> IF( ISNUMBER( M10 ), 0, 1 )</f>
        <v>0</v>
      </c>
      <c r="AB10" s="127"/>
      <c r="AC10" s="127"/>
      <c r="AD10" s="127"/>
      <c r="AE10" s="127"/>
      <c r="AF10" s="127"/>
      <c r="AG10" s="127"/>
      <c r="AH10" s="127"/>
      <c r="AI10" s="127"/>
      <c r="BA10" s="94" t="s">
        <v>1374</v>
      </c>
      <c r="BB10" s="219" t="s">
        <v>41</v>
      </c>
      <c r="BC10" s="219"/>
      <c r="BD10" s="95" t="s">
        <v>51</v>
      </c>
      <c r="BE10" s="96">
        <v>3</v>
      </c>
      <c r="BF10" s="2578" t="s">
        <v>1375</v>
      </c>
      <c r="BG10" s="2579" t="s">
        <v>1376</v>
      </c>
      <c r="BH10" s="2580" t="s">
        <v>1377</v>
      </c>
      <c r="BI10" s="2581" t="s">
        <v>1378</v>
      </c>
      <c r="BJ10" s="2581" t="s">
        <v>1379</v>
      </c>
      <c r="BK10" s="2582" t="s">
        <v>1380</v>
      </c>
      <c r="BL10" s="2583" t="s">
        <v>1381</v>
      </c>
      <c r="BM10" s="2095" t="s">
        <v>1382</v>
      </c>
    </row>
    <row r="11" spans="2:65">
      <c r="B11" s="94" t="s">
        <v>1383</v>
      </c>
      <c r="C11" s="219" t="s">
        <v>1384</v>
      </c>
      <c r="D11" s="219"/>
      <c r="E11" s="95" t="s">
        <v>51</v>
      </c>
      <c r="F11" s="96">
        <v>3</v>
      </c>
      <c r="G11" s="463">
        <v>0</v>
      </c>
      <c r="H11" s="462">
        <v>0</v>
      </c>
      <c r="I11" s="464">
        <v>11.657</v>
      </c>
      <c r="J11" s="464">
        <v>0</v>
      </c>
      <c r="K11" s="669"/>
      <c r="L11" s="604">
        <v>0</v>
      </c>
      <c r="M11" s="605">
        <v>0</v>
      </c>
      <c r="N11" s="241">
        <f t="shared" si="2"/>
        <v>11.657</v>
      </c>
      <c r="P11" s="130"/>
      <c r="Q11" s="24">
        <f t="shared" si="3"/>
        <v>0</v>
      </c>
      <c r="T11" s="93">
        <f xml:space="preserve"> IF( ISNUMBER( G11 ), 0, 1 )</f>
        <v>0</v>
      </c>
      <c r="U11" s="93">
        <f xml:space="preserve"> IF( ISNUMBER( H11 ), 0, 1 )</f>
        <v>0</v>
      </c>
      <c r="V11" s="93">
        <f>IF(Validation!$H$3=1,0,IF(ISNUMBER(I11),0,1))</f>
        <v>0</v>
      </c>
      <c r="W11" s="93">
        <f>IF(Validation!$H$3=1,0,IF(ISNUMBER(J11),0,1))</f>
        <v>0</v>
      </c>
      <c r="X11" s="93">
        <f>IF( Validation!$H$3=1, 0, IF(Validation!$B$3 &lt;&gt; "Thames Water", 0, (IF(ISNUMBER(K11), 0, 1))))</f>
        <v>0</v>
      </c>
      <c r="Y11" s="93">
        <f xml:space="preserve"> IF( ISNUMBER( L11 ), 0, 1 )</f>
        <v>0</v>
      </c>
      <c r="Z11" s="93">
        <f xml:space="preserve"> IF( ISNUMBER( M11 ), 0, 1 )</f>
        <v>0</v>
      </c>
      <c r="AB11" s="127"/>
      <c r="AC11" s="127"/>
      <c r="AD11" s="127"/>
      <c r="AE11" s="127"/>
      <c r="AF11" s="127"/>
      <c r="AG11" s="127"/>
      <c r="AH11" s="127"/>
      <c r="AI11" s="127"/>
      <c r="BA11" s="94" t="s">
        <v>1383</v>
      </c>
      <c r="BB11" s="219" t="s">
        <v>1384</v>
      </c>
      <c r="BC11" s="219"/>
      <c r="BD11" s="95" t="s">
        <v>51</v>
      </c>
      <c r="BE11" s="96">
        <v>3</v>
      </c>
      <c r="BF11" s="2578" t="s">
        <v>1385</v>
      </c>
      <c r="BG11" s="2579" t="s">
        <v>1386</v>
      </c>
      <c r="BH11" s="2580" t="s">
        <v>1387</v>
      </c>
      <c r="BI11" s="2581" t="s">
        <v>1388</v>
      </c>
      <c r="BJ11" s="2581" t="s">
        <v>1389</v>
      </c>
      <c r="BK11" s="2582" t="s">
        <v>1390</v>
      </c>
      <c r="BL11" s="2583" t="s">
        <v>1391</v>
      </c>
      <c r="BM11" s="2095" t="s">
        <v>1392</v>
      </c>
    </row>
    <row r="12" spans="2:65" ht="15" thickBot="1">
      <c r="B12" s="101" t="s">
        <v>1393</v>
      </c>
      <c r="C12" s="102" t="s">
        <v>1394</v>
      </c>
      <c r="D12" s="102"/>
      <c r="E12" s="103" t="s">
        <v>51</v>
      </c>
      <c r="F12" s="100">
        <v>3</v>
      </c>
      <c r="G12" s="193">
        <f>SUM(G7:G11)</f>
        <v>379.30300000000005</v>
      </c>
      <c r="H12" s="603">
        <f t="shared" ref="H12:M12" si="9">SUM(H7:H11)</f>
        <v>4670.3599999999997</v>
      </c>
      <c r="I12" s="194">
        <f t="shared" si="9"/>
        <v>5259.1500000000005</v>
      </c>
      <c r="J12" s="194">
        <f t="shared" ref="J12" si="10">SUM(J7:J11)</f>
        <v>581.17699999999991</v>
      </c>
      <c r="K12" s="198">
        <f t="shared" si="9"/>
        <v>0</v>
      </c>
      <c r="L12" s="242">
        <f t="shared" si="9"/>
        <v>44.962000000000003</v>
      </c>
      <c r="M12" s="365">
        <f t="shared" si="9"/>
        <v>12.441000000000001</v>
      </c>
      <c r="N12" s="200">
        <f t="shared" si="2"/>
        <v>10947.393</v>
      </c>
      <c r="P12" s="130"/>
      <c r="AB12" s="127"/>
      <c r="AC12" s="127"/>
      <c r="AD12" s="127"/>
      <c r="AE12" s="127"/>
      <c r="AF12" s="127"/>
      <c r="AG12" s="127"/>
      <c r="AH12" s="127"/>
      <c r="AI12" s="127"/>
      <c r="BA12" s="101" t="s">
        <v>1393</v>
      </c>
      <c r="BB12" s="102" t="s">
        <v>1394</v>
      </c>
      <c r="BC12" s="102"/>
      <c r="BD12" s="103" t="s">
        <v>51</v>
      </c>
      <c r="BE12" s="100">
        <v>3</v>
      </c>
      <c r="BF12" s="2096" t="s">
        <v>1395</v>
      </c>
      <c r="BG12" s="2097" t="s">
        <v>1396</v>
      </c>
      <c r="BH12" s="2011" t="s">
        <v>1397</v>
      </c>
      <c r="BI12" s="2012" t="s">
        <v>1398</v>
      </c>
      <c r="BJ12" s="2012" t="s">
        <v>1399</v>
      </c>
      <c r="BK12" s="2098" t="s">
        <v>1400</v>
      </c>
      <c r="BL12" s="2099" t="s">
        <v>1401</v>
      </c>
      <c r="BM12" s="2013" t="s">
        <v>1402</v>
      </c>
    </row>
    <row r="13" spans="2:65" ht="15" thickBot="1">
      <c r="P13" s="130"/>
      <c r="BF13" s="2100"/>
      <c r="BG13" s="2100"/>
      <c r="BH13" s="2100"/>
      <c r="BI13" s="2100"/>
      <c r="BJ13" s="2100"/>
      <c r="BK13" s="2100"/>
      <c r="BL13" s="2100"/>
      <c r="BM13" s="2100"/>
    </row>
    <row r="14" spans="2:65" ht="15" thickBot="1">
      <c r="B14" s="3036" t="s">
        <v>177</v>
      </c>
      <c r="C14" s="83" t="s">
        <v>533</v>
      </c>
      <c r="D14" s="1505"/>
      <c r="P14" s="126"/>
      <c r="BA14" s="3036" t="s">
        <v>177</v>
      </c>
      <c r="BB14" s="83" t="s">
        <v>533</v>
      </c>
      <c r="BC14" s="1505"/>
      <c r="BF14" s="2100"/>
      <c r="BG14" s="2100"/>
      <c r="BH14" s="2100"/>
      <c r="BI14" s="2100"/>
      <c r="BJ14" s="2100"/>
      <c r="BK14" s="2100"/>
      <c r="BL14" s="2100"/>
      <c r="BM14" s="2100"/>
    </row>
    <row r="15" spans="2:65">
      <c r="B15" s="86" t="s">
        <v>1403</v>
      </c>
      <c r="C15" s="117" t="s">
        <v>1345</v>
      </c>
      <c r="D15" s="117"/>
      <c r="E15" s="88" t="s">
        <v>51</v>
      </c>
      <c r="F15" s="89">
        <v>3</v>
      </c>
      <c r="G15" s="413">
        <v>-76.575000000000003</v>
      </c>
      <c r="H15" s="423">
        <v>-1664.289</v>
      </c>
      <c r="I15" s="424">
        <v>-1308.1389999999999</v>
      </c>
      <c r="J15" s="424">
        <v>-208.49799999999999</v>
      </c>
      <c r="K15" s="469"/>
      <c r="L15" s="423">
        <v>-30.167999999999999</v>
      </c>
      <c r="M15" s="448">
        <v>-5.7220000000000004</v>
      </c>
      <c r="N15" s="199">
        <f>SUM(G15:M15)</f>
        <v>-3293.3910000000001</v>
      </c>
      <c r="P15" s="126"/>
      <c r="Q15" s="24">
        <f t="shared" ref="Q15:Q18" si="11" xml:space="preserve"> IF( SUM( S15:AA15 ) = 0, 0, $T$5 )</f>
        <v>0</v>
      </c>
      <c r="T15" s="93">
        <f xml:space="preserve"> IF( ISNUMBER( G15 ), 0, 1 )</f>
        <v>0</v>
      </c>
      <c r="U15" s="93">
        <f xml:space="preserve"> IF( ISNUMBER( H15 ), 0, 1 )</f>
        <v>0</v>
      </c>
      <c r="V15" s="93">
        <f>IF(Validation!$H$3=1,0,IF(ISNUMBER(I15),0,1))</f>
        <v>0</v>
      </c>
      <c r="W15" s="93">
        <f>IF(Validation!$H$3=1,0,IF(ISNUMBER(J15),0,1))</f>
        <v>0</v>
      </c>
      <c r="X15" s="93">
        <f>IF( Validation!$H$3=1, 0, IF(Validation!$B$3 &lt;&gt; "Thames Water", 0, (IF(ISNUMBER(K15), 0, 1))))</f>
        <v>0</v>
      </c>
      <c r="Y15" s="93">
        <f xml:space="preserve"> IF( ISNUMBER( L15 ), 0, 1 )</f>
        <v>0</v>
      </c>
      <c r="Z15" s="93">
        <f xml:space="preserve"> IF( ISNUMBER( M15 ), 0, 1 )</f>
        <v>0</v>
      </c>
      <c r="BA15" s="86" t="s">
        <v>1403</v>
      </c>
      <c r="BB15" s="117" t="s">
        <v>1345</v>
      </c>
      <c r="BC15" s="117"/>
      <c r="BD15" s="88" t="s">
        <v>51</v>
      </c>
      <c r="BE15" s="89">
        <v>3</v>
      </c>
      <c r="BF15" s="2353" t="s">
        <v>1404</v>
      </c>
      <c r="BG15" s="2584" t="s">
        <v>1405</v>
      </c>
      <c r="BH15" s="2527" t="s">
        <v>1406</v>
      </c>
      <c r="BI15" s="2585" t="s">
        <v>1407</v>
      </c>
      <c r="BJ15" s="2585" t="s">
        <v>1408</v>
      </c>
      <c r="BK15" s="2584" t="s">
        <v>1409</v>
      </c>
      <c r="BL15" s="2586" t="s">
        <v>1410</v>
      </c>
      <c r="BM15" s="2101" t="s">
        <v>1411</v>
      </c>
    </row>
    <row r="16" spans="2:65">
      <c r="B16" s="94" t="s">
        <v>1412</v>
      </c>
      <c r="C16" s="87" t="s">
        <v>1355</v>
      </c>
      <c r="D16" s="87"/>
      <c r="E16" s="95" t="s">
        <v>51</v>
      </c>
      <c r="F16" s="96">
        <v>3</v>
      </c>
      <c r="G16" s="411">
        <v>6.8810000000000002</v>
      </c>
      <c r="H16" s="425">
        <v>133.71899999999999</v>
      </c>
      <c r="I16" s="412">
        <v>165.92400000000001</v>
      </c>
      <c r="J16" s="412">
        <v>51.665999999999997</v>
      </c>
      <c r="K16" s="470"/>
      <c r="L16" s="425">
        <v>2.282</v>
      </c>
      <c r="M16" s="449">
        <v>0.104</v>
      </c>
      <c r="N16" s="241">
        <f>SUM(G16:M16)</f>
        <v>360.57599999999996</v>
      </c>
      <c r="P16" s="126"/>
      <c r="Q16" s="24">
        <f t="shared" si="11"/>
        <v>0</v>
      </c>
      <c r="T16" s="93">
        <f xml:space="preserve"> IF( ISNUMBER( G16 ), 0, 1 )</f>
        <v>0</v>
      </c>
      <c r="U16" s="93">
        <f xml:space="preserve"> IF( ISNUMBER( H16 ), 0, 1 )</f>
        <v>0</v>
      </c>
      <c r="V16" s="93">
        <f>IF(Validation!$H$3=1,0,IF(ISNUMBER(I16),0,1))</f>
        <v>0</v>
      </c>
      <c r="W16" s="93">
        <f>IF(Validation!$H$3=1,0,IF(ISNUMBER(J16),0,1))</f>
        <v>0</v>
      </c>
      <c r="X16" s="93">
        <f>IF( Validation!$H$3=1, 0, IF(Validation!$B$3 &lt;&gt; "Thames Water", 0, (IF(ISNUMBER(K16), 0, 1))))</f>
        <v>0</v>
      </c>
      <c r="Y16" s="93">
        <f xml:space="preserve"> IF( ISNUMBER( L16 ), 0, 1 )</f>
        <v>0</v>
      </c>
      <c r="Z16" s="93">
        <f xml:space="preserve"> IF( ISNUMBER( M16 ), 0, 1 )</f>
        <v>0</v>
      </c>
      <c r="BA16" s="94" t="s">
        <v>1412</v>
      </c>
      <c r="BB16" s="87" t="s">
        <v>1355</v>
      </c>
      <c r="BC16" s="87"/>
      <c r="BD16" s="95" t="s">
        <v>51</v>
      </c>
      <c r="BE16" s="96">
        <v>3</v>
      </c>
      <c r="BF16" s="2355" t="s">
        <v>1413</v>
      </c>
      <c r="BG16" s="2587" t="s">
        <v>1414</v>
      </c>
      <c r="BH16" s="2529" t="s">
        <v>1415</v>
      </c>
      <c r="BI16" s="2588" t="s">
        <v>1416</v>
      </c>
      <c r="BJ16" s="2588" t="s">
        <v>1417</v>
      </c>
      <c r="BK16" s="2587" t="s">
        <v>1418</v>
      </c>
      <c r="BL16" s="2589" t="s">
        <v>1419</v>
      </c>
      <c r="BM16" s="2095" t="s">
        <v>1420</v>
      </c>
    </row>
    <row r="17" spans="2:65">
      <c r="B17" s="94" t="s">
        <v>1421</v>
      </c>
      <c r="C17" s="219" t="s">
        <v>41</v>
      </c>
      <c r="D17" s="219"/>
      <c r="E17" s="95" t="s">
        <v>51</v>
      </c>
      <c r="F17" s="96">
        <v>3</v>
      </c>
      <c r="G17" s="411">
        <v>0</v>
      </c>
      <c r="H17" s="425">
        <v>0</v>
      </c>
      <c r="I17" s="412">
        <v>0</v>
      </c>
      <c r="J17" s="412">
        <v>0</v>
      </c>
      <c r="K17" s="470"/>
      <c r="L17" s="425">
        <v>0</v>
      </c>
      <c r="M17" s="449">
        <v>0</v>
      </c>
      <c r="N17" s="241">
        <f>SUM(G17:M17)</f>
        <v>0</v>
      </c>
      <c r="P17" s="126"/>
      <c r="Q17" s="24">
        <f t="shared" ref="Q17" si="12" xml:space="preserve"> IF( SUM( S17:AA17 ) = 0, 0, $T$5 )</f>
        <v>0</v>
      </c>
      <c r="T17" s="93">
        <f t="shared" ref="T17" si="13" xml:space="preserve"> IF( ISNUMBER( G17 ), 0, 1 )</f>
        <v>0</v>
      </c>
      <c r="U17" s="93">
        <f t="shared" ref="U17" si="14" xml:space="preserve"> IF( ISNUMBER( H17 ), 0, 1 )</f>
        <v>0</v>
      </c>
      <c r="V17" s="93">
        <f>IF(Validation!$H$3=1,0,IF(ISNUMBER(I17),0,1))</f>
        <v>0</v>
      </c>
      <c r="W17" s="93">
        <f>IF(Validation!$H$3=1,0,IF(ISNUMBER(J17),0,1))</f>
        <v>0</v>
      </c>
      <c r="X17" s="93">
        <f>IF( Validation!$H$3=1, 0, IF(Validation!$B$3 &lt;&gt; "Thames Water", 0, (IF(ISNUMBER(K17), 0, 1))))</f>
        <v>0</v>
      </c>
      <c r="Y17" s="93">
        <f t="shared" ref="Y17" si="15" xml:space="preserve"> IF( ISNUMBER( L17 ), 0, 1 )</f>
        <v>0</v>
      </c>
      <c r="Z17" s="93">
        <f t="shared" ref="Z17" si="16" xml:space="preserve"> IF( ISNUMBER( M17 ), 0, 1 )</f>
        <v>0</v>
      </c>
      <c r="BA17" s="94" t="s">
        <v>1421</v>
      </c>
      <c r="BB17" s="219" t="s">
        <v>41</v>
      </c>
      <c r="BC17" s="219"/>
      <c r="BD17" s="95" t="s">
        <v>51</v>
      </c>
      <c r="BE17" s="96">
        <v>3</v>
      </c>
      <c r="BF17" s="2355" t="s">
        <v>1422</v>
      </c>
      <c r="BG17" s="2587" t="s">
        <v>1423</v>
      </c>
      <c r="BH17" s="2529" t="s">
        <v>1424</v>
      </c>
      <c r="BI17" s="2588" t="s">
        <v>1425</v>
      </c>
      <c r="BJ17" s="2588" t="s">
        <v>1426</v>
      </c>
      <c r="BK17" s="2587" t="s">
        <v>1427</v>
      </c>
      <c r="BL17" s="2589" t="s">
        <v>1428</v>
      </c>
      <c r="BM17" s="2095" t="s">
        <v>1429</v>
      </c>
    </row>
    <row r="18" spans="2:65">
      <c r="B18" s="94" t="s">
        <v>1430</v>
      </c>
      <c r="C18" s="87" t="s">
        <v>1431</v>
      </c>
      <c r="D18" s="87"/>
      <c r="E18" s="95" t="s">
        <v>51</v>
      </c>
      <c r="F18" s="96">
        <v>3</v>
      </c>
      <c r="G18" s="411">
        <v>-9.282</v>
      </c>
      <c r="H18" s="425">
        <v>-112.372</v>
      </c>
      <c r="I18" s="412">
        <v>-163.01499999999999</v>
      </c>
      <c r="J18" s="412">
        <v>-18.677</v>
      </c>
      <c r="K18" s="470"/>
      <c r="L18" s="425">
        <v>-2.2240000000000002</v>
      </c>
      <c r="M18" s="449">
        <v>-1.851</v>
      </c>
      <c r="N18" s="241">
        <f>SUM(G18:M18)</f>
        <v>-307.42099999999999</v>
      </c>
      <c r="P18" s="126"/>
      <c r="Q18" s="24">
        <f t="shared" si="11"/>
        <v>0</v>
      </c>
      <c r="T18" s="93">
        <f xml:space="preserve"> IF( ISNUMBER( G18 ), 0, 1 )</f>
        <v>0</v>
      </c>
      <c r="U18" s="93">
        <f xml:space="preserve"> IF( ISNUMBER( H18 ), 0, 1 )</f>
        <v>0</v>
      </c>
      <c r="V18" s="93">
        <f>IF(Validation!$H$3=1,0,IF(ISNUMBER(I18),0,1))</f>
        <v>0</v>
      </c>
      <c r="W18" s="93">
        <f>IF(Validation!$H$3=1,0,IF(ISNUMBER(J18),0,1))</f>
        <v>0</v>
      </c>
      <c r="X18" s="93">
        <f>IF( Validation!$H$3=1, 0, IF(Validation!$B$3 &lt;&gt; "Thames Water", 0, (IF(ISNUMBER(K18), 0, 1))))</f>
        <v>0</v>
      </c>
      <c r="Y18" s="93">
        <f t="shared" ref="Y18" si="17" xml:space="preserve"> IF( ISNUMBER( L18 ), 0, 1 )</f>
        <v>0</v>
      </c>
      <c r="Z18" s="93">
        <f t="shared" ref="Z18" si="18" xml:space="preserve"> IF( ISNUMBER( M18 ), 0, 1 )</f>
        <v>0</v>
      </c>
      <c r="BA18" s="94" t="s">
        <v>1430</v>
      </c>
      <c r="BB18" s="87" t="s">
        <v>1431</v>
      </c>
      <c r="BC18" s="87"/>
      <c r="BD18" s="95" t="s">
        <v>51</v>
      </c>
      <c r="BE18" s="96">
        <v>3</v>
      </c>
      <c r="BF18" s="2519" t="s">
        <v>1432</v>
      </c>
      <c r="BG18" s="2532" t="s">
        <v>1433</v>
      </c>
      <c r="BH18" s="2520" t="s">
        <v>1434</v>
      </c>
      <c r="BI18" s="2518" t="s">
        <v>1435</v>
      </c>
      <c r="BJ18" s="2518" t="s">
        <v>958</v>
      </c>
      <c r="BK18" s="2532" t="s">
        <v>1436</v>
      </c>
      <c r="BL18" s="2577" t="s">
        <v>1437</v>
      </c>
      <c r="BM18" s="241" t="s">
        <v>1438</v>
      </c>
    </row>
    <row r="19" spans="2:65" ht="15" thickBot="1">
      <c r="B19" s="101" t="s">
        <v>1439</v>
      </c>
      <c r="C19" s="102" t="s">
        <v>1394</v>
      </c>
      <c r="D19" s="102"/>
      <c r="E19" s="103" t="s">
        <v>51</v>
      </c>
      <c r="F19" s="100">
        <v>3</v>
      </c>
      <c r="G19" s="193">
        <f t="shared" ref="G19:M19" si="19">SUM(G15:G18)</f>
        <v>-78.975999999999999</v>
      </c>
      <c r="H19" s="242">
        <f t="shared" si="19"/>
        <v>-1642.942</v>
      </c>
      <c r="I19" s="194">
        <f t="shared" si="19"/>
        <v>-1305.23</v>
      </c>
      <c r="J19" s="194">
        <f t="shared" ref="J19" si="20">SUM(J15:J18)</f>
        <v>-175.50899999999999</v>
      </c>
      <c r="K19" s="198">
        <f t="shared" si="19"/>
        <v>0</v>
      </c>
      <c r="L19" s="242">
        <f t="shared" si="19"/>
        <v>-30.11</v>
      </c>
      <c r="M19" s="365">
        <f t="shared" si="19"/>
        <v>-7.4690000000000003</v>
      </c>
      <c r="N19" s="200">
        <f>SUM(G19:M19)</f>
        <v>-3240.2360000000003</v>
      </c>
      <c r="P19" s="126"/>
      <c r="AB19" s="110"/>
      <c r="AC19" s="110"/>
      <c r="AD19" s="110"/>
      <c r="AE19" s="110"/>
      <c r="AF19" s="110"/>
      <c r="AG19" s="110"/>
      <c r="AH19" s="110"/>
      <c r="AI19" s="110"/>
      <c r="BA19" s="101" t="s">
        <v>1439</v>
      </c>
      <c r="BB19" s="102" t="s">
        <v>1394</v>
      </c>
      <c r="BC19" s="102"/>
      <c r="BD19" s="103" t="s">
        <v>51</v>
      </c>
      <c r="BE19" s="100">
        <v>3</v>
      </c>
      <c r="BF19" s="193" t="s">
        <v>1440</v>
      </c>
      <c r="BG19" s="242" t="s">
        <v>1441</v>
      </c>
      <c r="BH19" s="194" t="s">
        <v>1442</v>
      </c>
      <c r="BI19" s="198" t="s">
        <v>1443</v>
      </c>
      <c r="BJ19" s="198" t="s">
        <v>1444</v>
      </c>
      <c r="BK19" s="242" t="s">
        <v>1445</v>
      </c>
      <c r="BL19" s="365" t="s">
        <v>1446</v>
      </c>
      <c r="BM19" s="200" t="s">
        <v>1447</v>
      </c>
    </row>
    <row r="20" spans="2:65" ht="15" thickBot="1">
      <c r="P20" s="126"/>
      <c r="AB20" s="163"/>
      <c r="AC20" s="163"/>
      <c r="AD20" s="163"/>
      <c r="AE20" s="163"/>
      <c r="AF20" s="163"/>
      <c r="AG20" s="163"/>
      <c r="AH20" s="163"/>
      <c r="AI20" s="163"/>
    </row>
    <row r="21" spans="2:65">
      <c r="B21" s="86" t="s">
        <v>1448</v>
      </c>
      <c r="C21" s="117" t="s">
        <v>1449</v>
      </c>
      <c r="D21" s="117"/>
      <c r="E21" s="88" t="s">
        <v>51</v>
      </c>
      <c r="F21" s="215">
        <v>3</v>
      </c>
      <c r="G21" s="188">
        <f xml:space="preserve"> G12 + G19</f>
        <v>300.32700000000006</v>
      </c>
      <c r="H21" s="189">
        <f t="shared" ref="H21:I21" si="21" xml:space="preserve"> H12 + H19</f>
        <v>3027.4179999999997</v>
      </c>
      <c r="I21" s="189">
        <f t="shared" si="21"/>
        <v>3953.9200000000005</v>
      </c>
      <c r="J21" s="189">
        <f t="shared" ref="J21" si="22" xml:space="preserve"> J12 + J19</f>
        <v>405.66799999999989</v>
      </c>
      <c r="K21" s="196">
        <f t="shared" ref="K21:M21" si="23" xml:space="preserve"> K12 + K19</f>
        <v>0</v>
      </c>
      <c r="L21" s="188">
        <f t="shared" si="23"/>
        <v>14.852000000000004</v>
      </c>
      <c r="M21" s="190">
        <f t="shared" si="23"/>
        <v>4.9720000000000004</v>
      </c>
      <c r="N21" s="199">
        <f xml:space="preserve"> N12 + N19</f>
        <v>7707.1569999999992</v>
      </c>
      <c r="P21" s="126"/>
      <c r="AB21" s="163"/>
      <c r="AC21" s="163"/>
      <c r="AD21" s="163"/>
      <c r="AE21" s="163"/>
      <c r="AF21" s="163"/>
      <c r="AG21" s="163"/>
      <c r="AH21" s="163"/>
      <c r="AI21" s="163"/>
      <c r="BA21" s="86" t="s">
        <v>1448</v>
      </c>
      <c r="BB21" s="117" t="s">
        <v>1449</v>
      </c>
      <c r="BC21" s="117"/>
      <c r="BD21" s="88" t="s">
        <v>51</v>
      </c>
      <c r="BE21" s="215">
        <v>3</v>
      </c>
      <c r="BF21" s="188" t="s">
        <v>1450</v>
      </c>
      <c r="BG21" s="189" t="s">
        <v>1451</v>
      </c>
      <c r="BH21" s="189" t="s">
        <v>1452</v>
      </c>
      <c r="BI21" s="196" t="s">
        <v>1453</v>
      </c>
      <c r="BJ21" s="196" t="s">
        <v>1454</v>
      </c>
      <c r="BK21" s="188" t="s">
        <v>1455</v>
      </c>
      <c r="BL21" s="190" t="s">
        <v>1456</v>
      </c>
      <c r="BM21" s="199" t="s">
        <v>1457</v>
      </c>
    </row>
    <row r="22" spans="2:65" ht="15" thickBot="1">
      <c r="B22" s="101" t="s">
        <v>1458</v>
      </c>
      <c r="C22" s="102" t="s">
        <v>1459</v>
      </c>
      <c r="D22" s="102"/>
      <c r="E22" s="103" t="s">
        <v>51</v>
      </c>
      <c r="F22" s="225">
        <v>3</v>
      </c>
      <c r="G22" s="193">
        <f t="shared" ref="G22:N22" si="24" xml:space="preserve"> G7 + G15</f>
        <v>305.55400000000003</v>
      </c>
      <c r="H22" s="194">
        <f t="shared" si="24"/>
        <v>3052.8010000000004</v>
      </c>
      <c r="I22" s="194">
        <f t="shared" si="24"/>
        <v>3981.9589999999998</v>
      </c>
      <c r="J22" s="194">
        <f t="shared" ref="J22" si="25" xml:space="preserve"> J7 + J15</f>
        <v>362.38399999999996</v>
      </c>
      <c r="K22" s="198">
        <f t="shared" si="24"/>
        <v>0</v>
      </c>
      <c r="L22" s="193">
        <f t="shared" si="24"/>
        <v>15.244999999999997</v>
      </c>
      <c r="M22" s="195">
        <f t="shared" si="24"/>
        <v>6.7960000000000003</v>
      </c>
      <c r="N22" s="200">
        <f t="shared" si="24"/>
        <v>7724.7389999999996</v>
      </c>
      <c r="P22" s="126"/>
      <c r="AB22" s="163"/>
      <c r="AC22" s="163"/>
      <c r="AD22" s="163"/>
      <c r="AE22" s="163"/>
      <c r="AF22" s="163"/>
      <c r="AG22" s="163"/>
      <c r="AH22" s="163"/>
      <c r="AI22" s="163"/>
      <c r="BA22" s="101" t="s">
        <v>1458</v>
      </c>
      <c r="BB22" s="102" t="s">
        <v>1459</v>
      </c>
      <c r="BC22" s="102"/>
      <c r="BD22" s="103" t="s">
        <v>51</v>
      </c>
      <c r="BE22" s="225">
        <v>3</v>
      </c>
      <c r="BF22" s="193" t="s">
        <v>1460</v>
      </c>
      <c r="BG22" s="194" t="s">
        <v>1461</v>
      </c>
      <c r="BH22" s="194" t="s">
        <v>1462</v>
      </c>
      <c r="BI22" s="198" t="s">
        <v>1463</v>
      </c>
      <c r="BJ22" s="198" t="s">
        <v>1464</v>
      </c>
      <c r="BK22" s="193" t="s">
        <v>1465</v>
      </c>
      <c r="BL22" s="195" t="s">
        <v>1466</v>
      </c>
      <c r="BM22" s="200" t="s">
        <v>1467</v>
      </c>
    </row>
    <row r="23" spans="2:65" ht="15" thickBot="1">
      <c r="B23" s="110"/>
      <c r="C23" s="152"/>
      <c r="D23" s="152"/>
      <c r="E23" s="110"/>
      <c r="F23" s="110"/>
      <c r="G23" s="163"/>
      <c r="H23" s="163"/>
      <c r="I23" s="163"/>
      <c r="L23" s="110"/>
      <c r="M23" s="118"/>
      <c r="N23" s="118"/>
      <c r="P23" s="126"/>
      <c r="AB23" s="163"/>
      <c r="AC23" s="163"/>
      <c r="AD23" s="163"/>
      <c r="AE23" s="163"/>
      <c r="AF23" s="163"/>
      <c r="AG23" s="163"/>
      <c r="AH23" s="163"/>
      <c r="AI23" s="163"/>
      <c r="BA23" s="110"/>
      <c r="BB23" s="152"/>
      <c r="BC23" s="152"/>
      <c r="BD23" s="110"/>
      <c r="BE23" s="110"/>
      <c r="BF23" s="163"/>
      <c r="BG23" s="163"/>
      <c r="BH23" s="163"/>
      <c r="BI23" s="163"/>
      <c r="BJ23" s="163"/>
      <c r="BK23" s="110"/>
      <c r="BL23" s="118"/>
      <c r="BM23" s="118"/>
    </row>
    <row r="24" spans="2:65">
      <c r="B24" s="3036" t="s">
        <v>392</v>
      </c>
      <c r="C24" s="83" t="s">
        <v>1468</v>
      </c>
      <c r="D24" s="1505"/>
      <c r="P24" s="126"/>
      <c r="AB24" s="163"/>
      <c r="AC24" s="163"/>
      <c r="AD24" s="163"/>
      <c r="AE24" s="163"/>
      <c r="AF24" s="163"/>
      <c r="AG24" s="163"/>
      <c r="AH24" s="163"/>
      <c r="AI24" s="163"/>
      <c r="BA24" s="3036" t="s">
        <v>392</v>
      </c>
      <c r="BB24" s="83" t="s">
        <v>1468</v>
      </c>
      <c r="BC24" s="1505"/>
    </row>
    <row r="25" spans="2:65">
      <c r="B25" s="86" t="s">
        <v>1469</v>
      </c>
      <c r="C25" s="117" t="s">
        <v>1470</v>
      </c>
      <c r="D25" s="117"/>
      <c r="E25" s="88" t="s">
        <v>51</v>
      </c>
      <c r="F25" s="89">
        <v>3</v>
      </c>
      <c r="G25" s="413">
        <v>-9.282</v>
      </c>
      <c r="H25" s="423">
        <v>-112.372</v>
      </c>
      <c r="I25" s="412">
        <v>-163.01499999999999</v>
      </c>
      <c r="J25" s="412">
        <v>-18.677</v>
      </c>
      <c r="K25" s="469"/>
      <c r="L25" s="423">
        <v>-2.2240000000000002</v>
      </c>
      <c r="M25" s="448">
        <v>-1.851</v>
      </c>
      <c r="N25" s="199">
        <f>SUM(G25:M25)</f>
        <v>-307.42099999999999</v>
      </c>
      <c r="P25" s="126"/>
      <c r="Q25" s="24">
        <f xml:space="preserve"> IF( SUM( S25:AA25 ) = 0, 0, $T$5 )</f>
        <v>0</v>
      </c>
      <c r="T25" s="93">
        <f xml:space="preserve"> IF( ISNUMBER( G25 ), 0, 1 )</f>
        <v>0</v>
      </c>
      <c r="U25" s="93">
        <f xml:space="preserve"> IF( ISNUMBER( H25 ), 0, 1 )</f>
        <v>0</v>
      </c>
      <c r="V25" s="93">
        <f>IF(Validation!$H$3=1,0,IF(ISNUMBER(I25),0,1))</f>
        <v>0</v>
      </c>
      <c r="W25" s="93">
        <f>IF(Validation!$H$3=1,0,IF(ISNUMBER(J25),0,1))</f>
        <v>0</v>
      </c>
      <c r="X25" s="93">
        <f>IF( Validation!$H$3=1, 0, IF(Validation!$B$3 &lt;&gt; "Thames Water", 0, (IF(ISNUMBER(K25), 0, 1))))</f>
        <v>0</v>
      </c>
      <c r="Y25" s="93">
        <f t="shared" ref="Y25:Y26" si="26" xml:space="preserve"> IF( ISNUMBER( L25 ), 0, 1 )</f>
        <v>0</v>
      </c>
      <c r="Z25" s="93">
        <f t="shared" ref="Z25:Z26" si="27" xml:space="preserve"> IF( ISNUMBER( M25 ), 0, 1 )</f>
        <v>0</v>
      </c>
      <c r="AB25" s="163"/>
      <c r="AC25" s="163"/>
      <c r="AD25" s="163"/>
      <c r="AE25" s="163"/>
      <c r="AF25" s="163"/>
      <c r="AG25" s="163"/>
      <c r="AH25" s="163"/>
      <c r="AI25" s="163"/>
      <c r="BA25" s="86" t="s">
        <v>1469</v>
      </c>
      <c r="BB25" s="117" t="s">
        <v>1470</v>
      </c>
      <c r="BC25" s="117"/>
      <c r="BD25" s="88" t="s">
        <v>51</v>
      </c>
      <c r="BE25" s="89">
        <v>3</v>
      </c>
      <c r="BF25" s="2516" t="s">
        <v>1471</v>
      </c>
      <c r="BG25" s="2575" t="s">
        <v>1472</v>
      </c>
      <c r="BH25" s="2517" t="s">
        <v>1473</v>
      </c>
      <c r="BI25" s="2515" t="s">
        <v>1474</v>
      </c>
      <c r="BJ25" s="2515" t="s">
        <v>1475</v>
      </c>
      <c r="BK25" s="2575" t="s">
        <v>1476</v>
      </c>
      <c r="BL25" s="2576" t="s">
        <v>1477</v>
      </c>
      <c r="BM25" s="199" t="s">
        <v>1478</v>
      </c>
    </row>
    <row r="26" spans="2:65">
      <c r="B26" s="94" t="s">
        <v>1479</v>
      </c>
      <c r="C26" s="87" t="s">
        <v>1114</v>
      </c>
      <c r="D26" s="87"/>
      <c r="E26" s="95" t="s">
        <v>51</v>
      </c>
      <c r="F26" s="96">
        <v>3</v>
      </c>
      <c r="G26" s="411">
        <v>0</v>
      </c>
      <c r="H26" s="425">
        <v>0</v>
      </c>
      <c r="I26" s="412">
        <v>0</v>
      </c>
      <c r="J26" s="412">
        <v>0</v>
      </c>
      <c r="K26" s="470"/>
      <c r="L26" s="425">
        <v>0</v>
      </c>
      <c r="M26" s="449">
        <v>0</v>
      </c>
      <c r="N26" s="241">
        <f>SUM(G26:M26)</f>
        <v>0</v>
      </c>
      <c r="P26" s="126"/>
      <c r="Q26" s="24">
        <f xml:space="preserve"> IF( SUM( S26:AA26 ) = 0, 0, $T$5 )</f>
        <v>0</v>
      </c>
      <c r="T26" s="93">
        <f xml:space="preserve"> IF( ISNUMBER( G26 ), 0, 1 )</f>
        <v>0</v>
      </c>
      <c r="U26" s="93">
        <f xml:space="preserve"> IF( ISNUMBER( H26 ), 0, 1 )</f>
        <v>0</v>
      </c>
      <c r="V26" s="93">
        <f>IF(Validation!$H$3=1,0,IF(ISNUMBER(I26),0,1))</f>
        <v>0</v>
      </c>
      <c r="W26" s="93">
        <f>IF(Validation!$H$3=1,0,IF(ISNUMBER(J26),0,1))</f>
        <v>0</v>
      </c>
      <c r="X26" s="93">
        <f>IF( Validation!$H$3=1, 0, IF(Validation!$B$3 &lt;&gt; "Thames Water", 0, (IF(ISNUMBER(K26), 0, 1))))</f>
        <v>0</v>
      </c>
      <c r="Y26" s="93">
        <f t="shared" si="26"/>
        <v>0</v>
      </c>
      <c r="Z26" s="93">
        <f t="shared" si="27"/>
        <v>0</v>
      </c>
      <c r="AB26" s="163"/>
      <c r="AC26" s="163"/>
      <c r="AD26" s="163"/>
      <c r="AE26" s="163"/>
      <c r="AF26" s="163"/>
      <c r="AG26" s="163"/>
      <c r="AH26" s="163"/>
      <c r="AI26" s="163"/>
      <c r="BA26" s="94" t="s">
        <v>1479</v>
      </c>
      <c r="BB26" s="87" t="s">
        <v>1114</v>
      </c>
      <c r="BC26" s="87"/>
      <c r="BD26" s="95" t="s">
        <v>51</v>
      </c>
      <c r="BE26" s="96">
        <v>3</v>
      </c>
      <c r="BF26" s="2519" t="s">
        <v>1480</v>
      </c>
      <c r="BG26" s="2532" t="s">
        <v>1481</v>
      </c>
      <c r="BH26" s="2520" t="s">
        <v>1482</v>
      </c>
      <c r="BI26" s="2518" t="s">
        <v>1483</v>
      </c>
      <c r="BJ26" s="2518" t="s">
        <v>1484</v>
      </c>
      <c r="BK26" s="2532" t="s">
        <v>1485</v>
      </c>
      <c r="BL26" s="2577" t="s">
        <v>1486</v>
      </c>
      <c r="BM26" s="241" t="s">
        <v>1487</v>
      </c>
    </row>
    <row r="27" spans="2:65" ht="15" thickBot="1">
      <c r="B27" s="101" t="s">
        <v>1488</v>
      </c>
      <c r="C27" s="102" t="s">
        <v>710</v>
      </c>
      <c r="D27" s="102"/>
      <c r="E27" s="103" t="s">
        <v>51</v>
      </c>
      <c r="F27" s="225">
        <v>3</v>
      </c>
      <c r="G27" s="193">
        <f>G25+G26</f>
        <v>-9.282</v>
      </c>
      <c r="H27" s="194">
        <f t="shared" ref="H27:M27" si="28">H25+H26</f>
        <v>-112.372</v>
      </c>
      <c r="I27" s="194">
        <f t="shared" si="28"/>
        <v>-163.01499999999999</v>
      </c>
      <c r="J27" s="194">
        <f t="shared" ref="J27" si="29">J25+J26</f>
        <v>-18.677</v>
      </c>
      <c r="K27" s="198">
        <f t="shared" si="28"/>
        <v>0</v>
      </c>
      <c r="L27" s="242">
        <f t="shared" si="28"/>
        <v>-2.2240000000000002</v>
      </c>
      <c r="M27" s="195">
        <f t="shared" si="28"/>
        <v>-1.851</v>
      </c>
      <c r="N27" s="200">
        <f>SUM(G27:M27)</f>
        <v>-307.42099999999999</v>
      </c>
      <c r="P27" s="1370">
        <f xml:space="preserve"> IF( SUM( AA27:AJ27 ) = 0, 0, AB5 )</f>
        <v>0</v>
      </c>
      <c r="T27" s="127"/>
      <c r="U27" s="127"/>
      <c r="V27" s="127"/>
      <c r="W27" s="127"/>
      <c r="X27" s="127"/>
      <c r="Y27" s="127"/>
      <c r="Z27" s="127"/>
      <c r="AB27" s="93">
        <f xml:space="preserve"> IF( (ROUND( G27, 3) - ROUND( G18, 3)) = 0, 0, 1 )</f>
        <v>0</v>
      </c>
      <c r="AC27" s="93">
        <f xml:space="preserve"> IF( (ROUND( H27, 3) - ROUND( H18, 3)) = 0, 0, 1 )</f>
        <v>0</v>
      </c>
      <c r="AD27" s="93">
        <f xml:space="preserve"> IF( (ROUND( I27, 3) - ROUND( I18, 3)) = 0, 0, 1 )</f>
        <v>0</v>
      </c>
      <c r="AE27" s="93">
        <f t="shared" ref="AE27:AH27" si="30" xml:space="preserve"> IF( (ROUND( J27, 3) - ROUND( J18, 3)) = 0, 0, 1 )</f>
        <v>0</v>
      </c>
      <c r="AF27" s="93">
        <f t="shared" si="30"/>
        <v>0</v>
      </c>
      <c r="AG27" s="93">
        <f t="shared" si="30"/>
        <v>0</v>
      </c>
      <c r="AH27" s="93">
        <f t="shared" si="30"/>
        <v>0</v>
      </c>
      <c r="AI27" s="93">
        <f xml:space="preserve"> IF( (ROUND( N27, 3) - ROUND( N18, 3)) = 0, 0, 1 )</f>
        <v>0</v>
      </c>
      <c r="BA27" s="101" t="s">
        <v>1488</v>
      </c>
      <c r="BB27" s="102" t="s">
        <v>710</v>
      </c>
      <c r="BC27" s="102"/>
      <c r="BD27" s="103" t="s">
        <v>51</v>
      </c>
      <c r="BE27" s="225">
        <v>3</v>
      </c>
      <c r="BF27" s="193" t="s">
        <v>1489</v>
      </c>
      <c r="BG27" s="194" t="s">
        <v>1490</v>
      </c>
      <c r="BH27" s="194" t="s">
        <v>1491</v>
      </c>
      <c r="BI27" s="198" t="s">
        <v>1492</v>
      </c>
      <c r="BJ27" s="198" t="s">
        <v>1493</v>
      </c>
      <c r="BK27" s="242" t="s">
        <v>1494</v>
      </c>
      <c r="BL27" s="195" t="s">
        <v>1495</v>
      </c>
      <c r="BM27" s="200" t="s">
        <v>1496</v>
      </c>
    </row>
    <row r="28" spans="2:65">
      <c r="B28" s="110"/>
      <c r="C28" s="152"/>
      <c r="D28" s="152"/>
      <c r="E28" s="110"/>
      <c r="F28" s="110"/>
      <c r="G28" s="163"/>
      <c r="H28" s="163"/>
      <c r="I28" s="163"/>
      <c r="J28" s="163"/>
      <c r="K28" s="163"/>
      <c r="L28" s="110"/>
      <c r="M28" s="118"/>
      <c r="N28" s="118"/>
      <c r="P28" s="130"/>
      <c r="AB28" s="178"/>
      <c r="AC28" s="178"/>
      <c r="AD28" s="178"/>
      <c r="AE28" s="178"/>
      <c r="AF28" s="178"/>
      <c r="AG28" s="178"/>
      <c r="AH28" s="178"/>
      <c r="AI28" s="178"/>
      <c r="AJ28" s="119"/>
    </row>
    <row r="29" spans="2:65">
      <c r="B29" s="3077" t="s">
        <v>243</v>
      </c>
      <c r="C29" s="3077"/>
      <c r="D29" s="2988"/>
      <c r="E29" s="163"/>
      <c r="F29" s="163"/>
      <c r="G29" s="163"/>
      <c r="H29" s="163"/>
      <c r="I29" s="163"/>
      <c r="J29" s="163"/>
      <c r="K29" s="163"/>
      <c r="L29" s="163"/>
      <c r="M29" s="126"/>
      <c r="N29" s="126"/>
      <c r="P29" s="120"/>
      <c r="AB29" s="110"/>
      <c r="AC29" s="110"/>
      <c r="AD29" s="110"/>
      <c r="AE29" s="110"/>
      <c r="AF29" s="110"/>
      <c r="AG29" s="110"/>
      <c r="AH29" s="110"/>
      <c r="AI29" s="110"/>
      <c r="AJ29" s="119"/>
    </row>
    <row r="30" spans="2:65">
      <c r="B30" s="141"/>
      <c r="C30" s="142"/>
      <c r="D30" s="142"/>
      <c r="E30" s="163"/>
      <c r="F30" s="163"/>
      <c r="G30" s="163"/>
      <c r="H30" s="163"/>
      <c r="I30" s="163"/>
      <c r="J30" s="163"/>
      <c r="K30" s="163"/>
      <c r="L30" s="163"/>
      <c r="M30" s="126"/>
      <c r="N30" s="126"/>
      <c r="O30" s="118"/>
      <c r="P30" s="120"/>
      <c r="Q30" s="120"/>
      <c r="R30" s="118"/>
      <c r="AB30" s="110"/>
      <c r="AC30" s="110"/>
      <c r="AD30" s="110"/>
      <c r="AE30" s="110"/>
      <c r="AF30" s="110"/>
      <c r="AG30" s="110"/>
      <c r="AH30" s="110"/>
      <c r="AI30" s="110"/>
      <c r="AJ30" s="119"/>
    </row>
    <row r="31" spans="2:65">
      <c r="B31" s="25"/>
      <c r="C31" s="143" t="s">
        <v>190</v>
      </c>
      <c r="D31" s="143"/>
      <c r="E31" s="163"/>
      <c r="F31" s="163"/>
      <c r="G31" s="163"/>
      <c r="H31" s="163"/>
      <c r="I31" s="163"/>
      <c r="J31" s="163"/>
      <c r="K31" s="163"/>
      <c r="L31" s="163"/>
      <c r="M31" s="126"/>
      <c r="N31" s="126"/>
      <c r="O31" s="126"/>
      <c r="P31" s="120"/>
      <c r="Q31" s="126"/>
      <c r="R31" s="126"/>
      <c r="S31" s="124"/>
      <c r="T31" s="126"/>
      <c r="U31" s="126"/>
      <c r="V31" s="126"/>
      <c r="W31" s="126"/>
      <c r="X31" s="126"/>
      <c r="Y31" s="126"/>
      <c r="Z31" s="126"/>
      <c r="AA31" s="124"/>
      <c r="AB31" s="110"/>
      <c r="AC31" s="110"/>
      <c r="AD31" s="110"/>
      <c r="AE31" s="110"/>
      <c r="AF31" s="110"/>
      <c r="AG31" s="110"/>
      <c r="AH31" s="110"/>
      <c r="AI31" s="110"/>
      <c r="AJ31" s="119"/>
    </row>
    <row r="32" spans="2:65">
      <c r="B32" s="141"/>
      <c r="C32" s="142"/>
      <c r="D32" s="142"/>
      <c r="E32" s="163"/>
      <c r="F32" s="163"/>
      <c r="G32" s="163"/>
      <c r="H32" s="163"/>
      <c r="I32" s="163"/>
      <c r="J32" s="163"/>
      <c r="K32" s="163"/>
      <c r="L32" s="163"/>
      <c r="M32" s="126"/>
      <c r="N32" s="126"/>
      <c r="O32" s="126"/>
      <c r="P32" s="120"/>
      <c r="Q32" s="126"/>
      <c r="R32" s="126"/>
      <c r="S32" s="119"/>
      <c r="T32" s="126"/>
      <c r="U32" s="126"/>
      <c r="V32" s="126"/>
      <c r="W32" s="126"/>
      <c r="X32" s="126"/>
      <c r="Y32" s="126"/>
      <c r="Z32" s="126"/>
      <c r="AA32" s="119"/>
      <c r="AB32" s="110"/>
      <c r="AC32" s="110"/>
      <c r="AD32" s="110"/>
      <c r="AE32" s="110"/>
      <c r="AF32" s="110"/>
      <c r="AG32" s="110"/>
      <c r="AH32" s="110"/>
      <c r="AI32" s="110"/>
      <c r="AJ32" s="119"/>
    </row>
    <row r="33" spans="1:36">
      <c r="B33" s="144"/>
      <c r="C33" s="143" t="s">
        <v>191</v>
      </c>
      <c r="D33" s="143"/>
      <c r="E33" s="163"/>
      <c r="F33" s="163"/>
      <c r="G33" s="163"/>
      <c r="H33" s="163"/>
      <c r="I33" s="163"/>
      <c r="J33" s="163"/>
      <c r="K33" s="163"/>
      <c r="L33" s="163"/>
      <c r="M33" s="126"/>
      <c r="N33" s="126"/>
      <c r="O33" s="126"/>
      <c r="P33" s="120"/>
      <c r="Q33" s="126"/>
      <c r="R33" s="126"/>
      <c r="S33" s="119"/>
      <c r="T33" s="126"/>
      <c r="U33" s="126"/>
      <c r="V33" s="126"/>
      <c r="W33" s="126"/>
      <c r="X33" s="126"/>
      <c r="Y33" s="126"/>
      <c r="Z33" s="126"/>
      <c r="AA33" s="119"/>
      <c r="AB33" s="110"/>
      <c r="AC33" s="110"/>
      <c r="AD33" s="110"/>
      <c r="AE33" s="110"/>
      <c r="AF33" s="110"/>
      <c r="AG33" s="110"/>
      <c r="AH33" s="110"/>
      <c r="AI33" s="110"/>
      <c r="AJ33" s="119"/>
    </row>
    <row r="34" spans="1:36">
      <c r="B34" s="145"/>
      <c r="C34" s="143"/>
      <c r="D34" s="143"/>
      <c r="E34" s="163"/>
      <c r="F34" s="163"/>
      <c r="G34" s="163"/>
      <c r="H34" s="163"/>
      <c r="I34" s="163"/>
      <c r="J34" s="163"/>
      <c r="K34" s="163"/>
      <c r="L34" s="163"/>
      <c r="M34" s="126"/>
      <c r="N34" s="126"/>
      <c r="O34" s="126"/>
      <c r="P34" s="120"/>
      <c r="Q34" s="126"/>
      <c r="R34" s="126"/>
      <c r="S34" s="119"/>
      <c r="T34" s="126"/>
      <c r="U34" s="126"/>
      <c r="V34" s="126"/>
      <c r="W34" s="126"/>
      <c r="X34" s="126"/>
      <c r="Y34" s="126"/>
      <c r="Z34" s="126"/>
      <c r="AA34" s="119"/>
      <c r="AB34" s="110"/>
      <c r="AC34" s="110"/>
      <c r="AD34" s="110"/>
      <c r="AE34" s="110"/>
      <c r="AF34" s="110"/>
      <c r="AG34" s="110"/>
      <c r="AH34" s="110"/>
      <c r="AI34" s="110"/>
      <c r="AJ34" s="119"/>
    </row>
    <row r="35" spans="1:36" ht="15" thickBot="1">
      <c r="B35" s="178"/>
      <c r="C35" s="179"/>
      <c r="D35" s="179"/>
      <c r="E35" s="178"/>
      <c r="F35" s="178"/>
      <c r="G35" s="178"/>
      <c r="H35" s="178"/>
      <c r="I35" s="178"/>
      <c r="J35" s="178"/>
      <c r="K35" s="178"/>
      <c r="L35" s="178"/>
      <c r="M35" s="130"/>
      <c r="N35" s="130"/>
      <c r="O35" s="126"/>
      <c r="P35" s="120"/>
      <c r="Q35" s="126"/>
      <c r="R35" s="126"/>
      <c r="S35" s="119"/>
      <c r="T35" s="126"/>
      <c r="U35" s="126"/>
      <c r="V35" s="126"/>
      <c r="W35" s="126"/>
      <c r="X35" s="126"/>
      <c r="Y35" s="126"/>
      <c r="Z35" s="126"/>
      <c r="AA35" s="119"/>
      <c r="AB35" s="110"/>
      <c r="AC35" s="110"/>
      <c r="AD35" s="110"/>
      <c r="AE35" s="110"/>
      <c r="AF35" s="110"/>
      <c r="AG35" s="110"/>
      <c r="AH35" s="110"/>
      <c r="AI35" s="110"/>
      <c r="AJ35" s="124"/>
    </row>
    <row r="36" spans="1:36" ht="21" thickBot="1">
      <c r="B36" s="3053" t="str">
        <f>'2C'!B30</f>
        <v>Please refer to RAG 4.08 - Guideline for the table definitions in the annual performance report for the reporting year 2019-20</v>
      </c>
      <c r="C36" s="147"/>
      <c r="D36" s="147"/>
      <c r="E36" s="148"/>
      <c r="F36" s="148"/>
      <c r="G36" s="148"/>
      <c r="H36" s="148"/>
      <c r="I36" s="148"/>
      <c r="J36" s="148"/>
      <c r="K36" s="148"/>
      <c r="L36" s="148"/>
      <c r="M36" s="148"/>
      <c r="N36" s="154"/>
      <c r="O36" s="126"/>
      <c r="P36" s="120"/>
      <c r="Q36" s="126"/>
      <c r="R36" s="126"/>
      <c r="S36" s="119"/>
      <c r="T36" s="126"/>
      <c r="U36" s="126"/>
      <c r="V36" s="126"/>
      <c r="W36" s="126"/>
      <c r="X36" s="126"/>
      <c r="Y36" s="126"/>
      <c r="Z36" s="126"/>
      <c r="AA36" s="119"/>
      <c r="AB36" s="110"/>
      <c r="AC36" s="110"/>
      <c r="AD36" s="110"/>
      <c r="AE36" s="110"/>
      <c r="AF36" s="110"/>
      <c r="AG36" s="110"/>
      <c r="AH36" s="110"/>
      <c r="AI36" s="110"/>
      <c r="AJ36" s="124"/>
    </row>
    <row r="37" spans="1:36">
      <c r="B37" s="178"/>
      <c r="C37" s="179"/>
      <c r="D37" s="179"/>
      <c r="E37" s="178"/>
      <c r="F37" s="178"/>
      <c r="G37" s="178"/>
      <c r="H37" s="178"/>
      <c r="I37" s="178"/>
      <c r="J37" s="178"/>
      <c r="K37" s="178"/>
      <c r="L37" s="178"/>
      <c r="M37" s="130"/>
      <c r="N37" s="130"/>
      <c r="O37" s="126"/>
      <c r="P37" s="120"/>
      <c r="Q37" s="126"/>
      <c r="R37" s="126"/>
      <c r="S37" s="119"/>
      <c r="T37" s="126"/>
      <c r="U37" s="126"/>
      <c r="V37" s="126"/>
      <c r="W37" s="126"/>
      <c r="X37" s="126"/>
      <c r="Y37" s="126"/>
      <c r="Z37" s="126"/>
      <c r="AA37" s="119"/>
      <c r="AB37" s="110"/>
      <c r="AC37" s="110"/>
      <c r="AD37" s="110"/>
      <c r="AE37" s="110"/>
      <c r="AF37" s="110"/>
      <c r="AG37" s="110"/>
      <c r="AH37" s="110"/>
      <c r="AI37" s="110"/>
      <c r="AJ37" s="124"/>
    </row>
    <row r="38" spans="1:36" s="110" customFormat="1" ht="21.2" hidden="1" customHeight="1" thickBot="1">
      <c r="A38" s="1560"/>
      <c r="B38" s="146" t="str">
        <f ca="1" xml:space="preserve"> RIGHT(CELL("filename", $A$1), LEN(CELL("filename", $A$1)) - SEARCH("]", CELL("filename", $A$1)))&amp;" - Line definitions"</f>
        <v>2D - Line definitions</v>
      </c>
      <c r="C38" s="147"/>
      <c r="D38" s="147"/>
      <c r="E38" s="148"/>
      <c r="F38" s="148"/>
      <c r="G38" s="148"/>
      <c r="H38" s="148"/>
      <c r="I38" s="148"/>
      <c r="J38" s="148"/>
      <c r="K38" s="148"/>
      <c r="L38" s="148"/>
      <c r="M38" s="148"/>
      <c r="N38" s="154"/>
      <c r="O38" s="130"/>
      <c r="P38" s="120"/>
      <c r="Q38" s="126"/>
      <c r="R38" s="126"/>
      <c r="S38" s="119"/>
      <c r="T38" s="126"/>
      <c r="U38" s="126"/>
      <c r="V38" s="126"/>
      <c r="W38" s="126"/>
      <c r="X38" s="126"/>
      <c r="Y38" s="126"/>
      <c r="Z38" s="126"/>
      <c r="AA38" s="119"/>
      <c r="AJ38" s="124"/>
    </row>
    <row r="39" spans="1:36" s="163" customFormat="1" ht="15" hidden="1" customHeight="1" thickBot="1">
      <c r="A39" s="1568"/>
      <c r="B39" s="74"/>
      <c r="C39" s="155"/>
      <c r="D39" s="155"/>
      <c r="E39" s="74"/>
      <c r="F39" s="74"/>
      <c r="G39" s="110"/>
      <c r="H39" s="110"/>
      <c r="I39" s="110"/>
      <c r="J39" s="110"/>
      <c r="K39" s="110"/>
      <c r="L39" s="110"/>
      <c r="M39" s="118"/>
      <c r="N39" s="118"/>
      <c r="O39" s="130"/>
      <c r="P39" s="120"/>
      <c r="Q39" s="126"/>
      <c r="R39" s="126"/>
      <c r="S39" s="119"/>
      <c r="T39" s="126"/>
      <c r="U39" s="126"/>
      <c r="V39" s="126"/>
      <c r="W39" s="126"/>
      <c r="X39" s="126"/>
      <c r="Y39" s="126"/>
      <c r="Z39" s="126"/>
      <c r="AA39" s="119"/>
      <c r="AB39" s="110"/>
      <c r="AC39" s="110"/>
      <c r="AD39" s="110"/>
      <c r="AE39" s="110"/>
      <c r="AF39" s="110"/>
      <c r="AG39" s="110"/>
      <c r="AH39" s="110"/>
      <c r="AI39" s="110"/>
      <c r="AJ39" s="124"/>
    </row>
    <row r="40" spans="1:36" s="163" customFormat="1" ht="15" hidden="1" thickBot="1">
      <c r="A40" s="1568"/>
      <c r="B40" s="367" t="s">
        <v>193</v>
      </c>
      <c r="C40" s="368" t="s">
        <v>194</v>
      </c>
      <c r="D40" s="369"/>
      <c r="E40" s="369"/>
      <c r="F40" s="369"/>
      <c r="G40" s="369"/>
      <c r="H40" s="369"/>
      <c r="I40" s="369"/>
      <c r="J40" s="369"/>
      <c r="K40" s="369"/>
      <c r="L40" s="369"/>
      <c r="M40" s="369"/>
      <c r="N40" s="370"/>
      <c r="O40" s="118"/>
      <c r="P40" s="74"/>
      <c r="Q40" s="120"/>
      <c r="R40" s="118"/>
      <c r="S40" s="119"/>
      <c r="T40" s="85" t="s">
        <v>195</v>
      </c>
      <c r="U40" s="85"/>
      <c r="V40" s="85"/>
      <c r="W40" s="85"/>
      <c r="X40" s="118"/>
      <c r="Y40" s="118"/>
      <c r="Z40" s="118"/>
      <c r="AA40" s="119"/>
      <c r="AB40" s="74"/>
      <c r="AC40" s="74"/>
      <c r="AD40" s="74"/>
      <c r="AE40" s="74"/>
      <c r="AF40" s="74"/>
      <c r="AG40" s="74"/>
      <c r="AH40" s="74"/>
      <c r="AI40" s="74"/>
      <c r="AJ40" s="124"/>
    </row>
    <row r="41" spans="1:36" s="163" customFormat="1" ht="14.25" hidden="1" customHeight="1">
      <c r="A41" s="1568"/>
      <c r="B41" s="181" t="str">
        <f t="shared" ref="B41:B46" si="31">B7</f>
        <v>2D.1</v>
      </c>
      <c r="C41" s="3073" t="s">
        <v>1497</v>
      </c>
      <c r="D41" s="3073"/>
      <c r="E41" s="3073"/>
      <c r="F41" s="3073"/>
      <c r="G41" s="3073"/>
      <c r="H41" s="3073"/>
      <c r="I41" s="3073"/>
      <c r="J41" s="3073"/>
      <c r="K41" s="3073"/>
      <c r="L41" s="3073"/>
      <c r="M41" s="3073"/>
      <c r="N41" s="3074"/>
      <c r="O41" s="118"/>
      <c r="P41" s="74"/>
      <c r="Q41" s="120"/>
      <c r="R41" s="118"/>
      <c r="S41" s="124"/>
      <c r="T41" s="202">
        <v>1</v>
      </c>
      <c r="U41" s="202"/>
      <c r="V41" s="202"/>
      <c r="W41" s="202"/>
      <c r="X41" s="253"/>
      <c r="Y41" s="118"/>
      <c r="Z41" s="118"/>
      <c r="AA41" s="124"/>
      <c r="AB41" s="74"/>
      <c r="AC41" s="74"/>
      <c r="AD41" s="74"/>
      <c r="AE41" s="74"/>
      <c r="AF41" s="74"/>
      <c r="AG41" s="74"/>
      <c r="AH41" s="74"/>
      <c r="AI41" s="74"/>
      <c r="AJ41" s="124"/>
    </row>
    <row r="42" spans="1:36" s="163" customFormat="1" ht="14.25" hidden="1" customHeight="1">
      <c r="A42" s="1568"/>
      <c r="B42" s="159" t="str">
        <f t="shared" si="31"/>
        <v>2D.2</v>
      </c>
      <c r="C42" s="3055" t="s">
        <v>1498</v>
      </c>
      <c r="D42" s="3055"/>
      <c r="E42" s="3055"/>
      <c r="F42" s="3055"/>
      <c r="G42" s="3055"/>
      <c r="H42" s="3055"/>
      <c r="I42" s="3055"/>
      <c r="J42" s="3055"/>
      <c r="K42" s="3055"/>
      <c r="L42" s="3055"/>
      <c r="M42" s="3055"/>
      <c r="N42" s="3056"/>
      <c r="O42" s="346"/>
      <c r="P42" s="74"/>
      <c r="Q42" s="130"/>
      <c r="R42" s="118"/>
      <c r="S42" s="124"/>
      <c r="T42" s="253">
        <v>1</v>
      </c>
      <c r="U42" s="253"/>
      <c r="V42" s="253"/>
      <c r="W42" s="253"/>
      <c r="X42" s="253"/>
      <c r="Y42" s="118"/>
      <c r="Z42" s="118"/>
      <c r="AA42" s="124"/>
      <c r="AB42" s="74"/>
      <c r="AC42" s="74"/>
      <c r="AD42" s="74"/>
      <c r="AE42" s="74"/>
      <c r="AF42" s="74"/>
      <c r="AG42" s="74"/>
      <c r="AH42" s="74"/>
      <c r="AI42" s="74"/>
      <c r="AJ42" s="124"/>
    </row>
    <row r="43" spans="1:36" s="163" customFormat="1" ht="14.25" hidden="1" customHeight="1">
      <c r="A43" s="1568"/>
      <c r="B43" s="159" t="str">
        <f t="shared" si="31"/>
        <v>2D.3</v>
      </c>
      <c r="C43" s="3055" t="s">
        <v>1499</v>
      </c>
      <c r="D43" s="3055"/>
      <c r="E43" s="3055"/>
      <c r="F43" s="3055"/>
      <c r="G43" s="3055"/>
      <c r="H43" s="3055"/>
      <c r="I43" s="3055"/>
      <c r="J43" s="3055"/>
      <c r="K43" s="3055"/>
      <c r="L43" s="3055"/>
      <c r="M43" s="3055"/>
      <c r="N43" s="3056"/>
      <c r="O43" s="348"/>
      <c r="P43" s="74"/>
      <c r="Q43" s="120"/>
      <c r="R43" s="118"/>
      <c r="S43" s="124"/>
      <c r="T43" s="253">
        <v>1</v>
      </c>
      <c r="U43" s="253"/>
      <c r="V43" s="253"/>
      <c r="W43" s="253"/>
      <c r="X43" s="253"/>
      <c r="Y43" s="118"/>
      <c r="Z43" s="118"/>
      <c r="AA43" s="124"/>
      <c r="AB43" s="74"/>
      <c r="AC43" s="74"/>
      <c r="AD43" s="74"/>
      <c r="AE43" s="74"/>
      <c r="AF43" s="74"/>
      <c r="AG43" s="74"/>
      <c r="AH43" s="74"/>
      <c r="AI43" s="74"/>
      <c r="AJ43" s="124"/>
    </row>
    <row r="44" spans="1:36" s="163" customFormat="1" ht="14.25" hidden="1" customHeight="1">
      <c r="A44" s="1568"/>
      <c r="B44" s="159" t="str">
        <f t="shared" si="31"/>
        <v>2D.4</v>
      </c>
      <c r="C44" s="3055" t="s">
        <v>1500</v>
      </c>
      <c r="D44" s="3055"/>
      <c r="E44" s="3055"/>
      <c r="F44" s="3055"/>
      <c r="G44" s="3055"/>
      <c r="H44" s="3055"/>
      <c r="I44" s="3055"/>
      <c r="J44" s="3055"/>
      <c r="K44" s="3055"/>
      <c r="L44" s="3055"/>
      <c r="M44" s="3055"/>
      <c r="N44" s="3056"/>
      <c r="O44" s="348"/>
      <c r="P44" s="74"/>
      <c r="Q44" s="120"/>
      <c r="R44" s="118"/>
      <c r="S44" s="124"/>
      <c r="T44" s="253"/>
      <c r="U44" s="253"/>
      <c r="V44" s="253"/>
      <c r="W44" s="253"/>
      <c r="X44" s="253"/>
      <c r="Y44" s="118"/>
      <c r="Z44" s="118"/>
      <c r="AA44" s="124"/>
      <c r="AB44" s="74"/>
      <c r="AC44" s="74"/>
      <c r="AD44" s="74"/>
      <c r="AE44" s="74"/>
      <c r="AF44" s="74"/>
      <c r="AG44" s="74"/>
      <c r="AH44" s="74"/>
      <c r="AI44" s="74"/>
      <c r="AJ44" s="124"/>
    </row>
    <row r="45" spans="1:36" s="163" customFormat="1" ht="14.25" hidden="1" customHeight="1">
      <c r="A45" s="1568"/>
      <c r="B45" s="159" t="str">
        <f t="shared" si="31"/>
        <v>2D.5</v>
      </c>
      <c r="C45" s="3055" t="s">
        <v>1501</v>
      </c>
      <c r="D45" s="3055"/>
      <c r="E45" s="3055"/>
      <c r="F45" s="3055"/>
      <c r="G45" s="3055"/>
      <c r="H45" s="3055"/>
      <c r="I45" s="3055"/>
      <c r="J45" s="3055"/>
      <c r="K45" s="3055"/>
      <c r="L45" s="3055"/>
      <c r="M45" s="3055"/>
      <c r="N45" s="3056"/>
      <c r="O45" s="348"/>
      <c r="P45" s="74"/>
      <c r="Q45" s="120"/>
      <c r="R45" s="118"/>
      <c r="S45" s="124"/>
      <c r="T45" s="253">
        <v>1</v>
      </c>
      <c r="U45" s="253"/>
      <c r="V45" s="253"/>
      <c r="W45" s="253"/>
      <c r="X45" s="253"/>
      <c r="Y45" s="118"/>
      <c r="Z45" s="118"/>
      <c r="AA45" s="124"/>
      <c r="AB45" s="74"/>
      <c r="AC45" s="74"/>
      <c r="AD45" s="74"/>
      <c r="AE45" s="74"/>
      <c r="AF45" s="74"/>
      <c r="AG45" s="74"/>
      <c r="AH45" s="74"/>
      <c r="AI45" s="74"/>
      <c r="AJ45" s="124"/>
    </row>
    <row r="46" spans="1:36" s="163" customFormat="1" ht="13.7" hidden="1" customHeight="1">
      <c r="A46" s="1568"/>
      <c r="B46" s="159" t="str">
        <f t="shared" si="31"/>
        <v>2D.6</v>
      </c>
      <c r="C46" s="3055" t="s">
        <v>1502</v>
      </c>
      <c r="D46" s="3055"/>
      <c r="E46" s="3055"/>
      <c r="F46" s="3055"/>
      <c r="G46" s="3055"/>
      <c r="H46" s="3055"/>
      <c r="I46" s="3055"/>
      <c r="J46" s="3055"/>
      <c r="K46" s="3055"/>
      <c r="L46" s="3055"/>
      <c r="M46" s="3055"/>
      <c r="N46" s="3056"/>
      <c r="O46" s="348"/>
      <c r="P46" s="74"/>
      <c r="Q46" s="110"/>
      <c r="R46" s="110"/>
      <c r="S46" s="124"/>
      <c r="T46" s="253">
        <v>1</v>
      </c>
      <c r="U46" s="253"/>
      <c r="V46" s="253"/>
      <c r="W46" s="253"/>
      <c r="X46" s="291"/>
      <c r="Y46" s="110"/>
      <c r="Z46" s="110"/>
      <c r="AA46" s="124"/>
      <c r="AB46" s="74"/>
      <c r="AC46" s="74"/>
      <c r="AD46" s="74"/>
      <c r="AE46" s="74"/>
      <c r="AF46" s="74"/>
      <c r="AG46" s="74"/>
      <c r="AH46" s="74"/>
      <c r="AI46" s="74"/>
      <c r="AJ46" s="71"/>
    </row>
    <row r="47" spans="1:36" s="163" customFormat="1" ht="13.7" hidden="1" customHeight="1">
      <c r="A47" s="1568"/>
      <c r="B47" s="159" t="str">
        <f>B15</f>
        <v>2D.7</v>
      </c>
      <c r="C47" s="3055" t="s">
        <v>1503</v>
      </c>
      <c r="D47" s="3055"/>
      <c r="E47" s="3055"/>
      <c r="F47" s="3055"/>
      <c r="G47" s="3055"/>
      <c r="H47" s="3055"/>
      <c r="I47" s="3055"/>
      <c r="J47" s="3055"/>
      <c r="K47" s="3055"/>
      <c r="L47" s="3055"/>
      <c r="M47" s="3055"/>
      <c r="N47" s="3056"/>
      <c r="O47" s="348"/>
      <c r="P47" s="74"/>
      <c r="Q47" s="110"/>
      <c r="R47" s="110"/>
      <c r="S47" s="124"/>
      <c r="T47" s="253">
        <v>1</v>
      </c>
      <c r="U47" s="374"/>
      <c r="V47" s="374"/>
      <c r="W47" s="374"/>
      <c r="X47" s="291"/>
      <c r="Y47" s="110"/>
      <c r="Z47" s="110"/>
      <c r="AA47" s="124"/>
      <c r="AB47" s="74"/>
      <c r="AC47" s="74"/>
      <c r="AD47" s="74"/>
      <c r="AE47" s="74"/>
      <c r="AF47" s="74"/>
      <c r="AG47" s="74"/>
      <c r="AH47" s="74"/>
      <c r="AI47" s="74"/>
      <c r="AJ47" s="71"/>
    </row>
    <row r="48" spans="1:36" s="178" customFormat="1" ht="13.7" hidden="1" customHeight="1">
      <c r="A48" s="1569"/>
      <c r="B48" s="159" t="str">
        <f>B16</f>
        <v>2D.8</v>
      </c>
      <c r="C48" s="3055" t="s">
        <v>1504</v>
      </c>
      <c r="D48" s="3055"/>
      <c r="E48" s="3055"/>
      <c r="F48" s="3055"/>
      <c r="G48" s="3055"/>
      <c r="H48" s="3055"/>
      <c r="I48" s="3055"/>
      <c r="J48" s="3055"/>
      <c r="K48" s="3055"/>
      <c r="L48" s="3055"/>
      <c r="M48" s="3055"/>
      <c r="N48" s="3056"/>
      <c r="O48" s="348"/>
      <c r="P48" s="74"/>
      <c r="Q48" s="120"/>
      <c r="R48" s="120"/>
      <c r="S48" s="124"/>
      <c r="T48" s="253">
        <v>1</v>
      </c>
      <c r="U48" s="253"/>
      <c r="V48" s="253"/>
      <c r="W48" s="253"/>
      <c r="X48" s="253"/>
      <c r="Y48" s="120"/>
      <c r="Z48" s="120"/>
      <c r="AA48" s="124"/>
      <c r="AB48" s="74"/>
      <c r="AC48" s="74"/>
      <c r="AD48" s="74"/>
      <c r="AE48" s="74"/>
      <c r="AF48" s="74"/>
      <c r="AG48" s="74"/>
      <c r="AH48" s="74"/>
      <c r="AI48" s="74"/>
      <c r="AJ48" s="71"/>
    </row>
    <row r="49" spans="1:36" s="178" customFormat="1" ht="13.7" hidden="1" customHeight="1">
      <c r="A49" s="1569"/>
      <c r="B49" s="159" t="str">
        <f>B17</f>
        <v>2D.9</v>
      </c>
      <c r="C49" s="3055" t="s">
        <v>1505</v>
      </c>
      <c r="D49" s="3055"/>
      <c r="E49" s="3055"/>
      <c r="F49" s="3055"/>
      <c r="G49" s="3055"/>
      <c r="H49" s="3055"/>
      <c r="I49" s="3055"/>
      <c r="J49" s="3055"/>
      <c r="K49" s="3055"/>
      <c r="L49" s="3055"/>
      <c r="M49" s="3055"/>
      <c r="N49" s="3056"/>
      <c r="O49" s="348"/>
      <c r="P49" s="74"/>
      <c r="Q49" s="120"/>
      <c r="R49" s="120"/>
      <c r="S49" s="124"/>
      <c r="T49" s="253"/>
      <c r="U49" s="253"/>
      <c r="V49" s="253"/>
      <c r="W49" s="253"/>
      <c r="X49" s="253"/>
      <c r="Y49" s="120"/>
      <c r="Z49" s="120"/>
      <c r="AA49" s="124"/>
      <c r="AB49" s="74"/>
      <c r="AC49" s="74"/>
      <c r="AD49" s="74"/>
      <c r="AE49" s="74"/>
      <c r="AF49" s="74"/>
      <c r="AG49" s="74"/>
      <c r="AH49" s="74"/>
      <c r="AI49" s="74"/>
      <c r="AJ49" s="71"/>
    </row>
    <row r="50" spans="1:36" s="178" customFormat="1" ht="14.25" hidden="1" customHeight="1">
      <c r="A50" s="1561"/>
      <c r="B50" s="159" t="str">
        <f>B18</f>
        <v>2D.10</v>
      </c>
      <c r="C50" s="3055" t="s">
        <v>1506</v>
      </c>
      <c r="D50" s="3055"/>
      <c r="E50" s="3055"/>
      <c r="F50" s="3055"/>
      <c r="G50" s="3055"/>
      <c r="H50" s="3055"/>
      <c r="I50" s="3055"/>
      <c r="J50" s="3055"/>
      <c r="K50" s="3055"/>
      <c r="L50" s="3055"/>
      <c r="M50" s="3055"/>
      <c r="N50" s="3056"/>
      <c r="O50" s="348"/>
      <c r="P50" s="74"/>
      <c r="Q50" s="120"/>
      <c r="R50" s="120"/>
      <c r="S50" s="124"/>
      <c r="T50" s="253">
        <v>1</v>
      </c>
      <c r="U50" s="253"/>
      <c r="V50" s="253"/>
      <c r="W50" s="253"/>
      <c r="X50" s="253"/>
      <c r="Y50" s="120"/>
      <c r="Z50" s="120"/>
      <c r="AA50" s="124"/>
      <c r="AB50" s="74"/>
      <c r="AC50" s="74"/>
      <c r="AD50" s="74"/>
      <c r="AE50" s="74"/>
      <c r="AF50" s="74"/>
      <c r="AG50" s="74"/>
      <c r="AH50" s="74"/>
      <c r="AI50" s="74"/>
      <c r="AJ50" s="71"/>
    </row>
    <row r="51" spans="1:36" s="110" customFormat="1" ht="14.25" hidden="1" customHeight="1">
      <c r="A51" s="1560"/>
      <c r="B51" s="159" t="str">
        <f>B19</f>
        <v>2D.11</v>
      </c>
      <c r="C51" s="3055" t="s">
        <v>1507</v>
      </c>
      <c r="D51" s="3055"/>
      <c r="E51" s="3055"/>
      <c r="F51" s="3055"/>
      <c r="G51" s="3055"/>
      <c r="H51" s="3055"/>
      <c r="I51" s="3055"/>
      <c r="J51" s="3055"/>
      <c r="K51" s="3055"/>
      <c r="L51" s="3055"/>
      <c r="M51" s="3055"/>
      <c r="N51" s="3056"/>
      <c r="O51" s="348"/>
      <c r="P51" s="74"/>
      <c r="Q51" s="120"/>
      <c r="R51" s="120"/>
      <c r="S51" s="124"/>
      <c r="T51" s="253">
        <v>1</v>
      </c>
      <c r="U51" s="253"/>
      <c r="V51" s="253"/>
      <c r="W51" s="253"/>
      <c r="X51" s="253"/>
      <c r="Y51" s="120"/>
      <c r="Z51" s="120"/>
      <c r="AA51" s="124"/>
      <c r="AB51" s="74"/>
      <c r="AC51" s="74"/>
      <c r="AD51" s="74"/>
      <c r="AE51" s="74"/>
      <c r="AF51" s="74"/>
      <c r="AG51" s="74"/>
      <c r="AH51" s="74"/>
      <c r="AI51" s="74"/>
      <c r="AJ51" s="71"/>
    </row>
    <row r="52" spans="1:36" s="110" customFormat="1" ht="13.7" hidden="1" customHeight="1">
      <c r="A52" s="1560"/>
      <c r="B52" s="159" t="str">
        <f>B21</f>
        <v>2D.12</v>
      </c>
      <c r="C52" s="3055" t="s">
        <v>1508</v>
      </c>
      <c r="D52" s="3055"/>
      <c r="E52" s="3055"/>
      <c r="F52" s="3055"/>
      <c r="G52" s="3055"/>
      <c r="H52" s="3055"/>
      <c r="I52" s="3055"/>
      <c r="J52" s="3055"/>
      <c r="K52" s="3055"/>
      <c r="L52" s="3055"/>
      <c r="M52" s="3055"/>
      <c r="N52" s="3056"/>
      <c r="O52" s="348"/>
      <c r="P52" s="74"/>
      <c r="Q52" s="70"/>
      <c r="R52" s="70"/>
      <c r="S52" s="124"/>
      <c r="T52" s="253">
        <v>1</v>
      </c>
      <c r="U52" s="161"/>
      <c r="V52" s="161"/>
      <c r="W52" s="161"/>
      <c r="X52" s="375"/>
      <c r="Y52" s="70"/>
      <c r="Z52" s="70"/>
      <c r="AA52" s="124"/>
      <c r="AB52" s="74"/>
      <c r="AC52" s="74"/>
      <c r="AD52" s="74"/>
      <c r="AE52" s="74"/>
      <c r="AF52" s="74"/>
      <c r="AG52" s="74"/>
      <c r="AH52" s="74"/>
      <c r="AI52" s="74"/>
      <c r="AJ52" s="71"/>
    </row>
    <row r="53" spans="1:36" s="110" customFormat="1" ht="14.25" hidden="1" customHeight="1">
      <c r="A53" s="1560"/>
      <c r="B53" s="159" t="str">
        <f>B22</f>
        <v>2D.13</v>
      </c>
      <c r="C53" s="3055" t="s">
        <v>1509</v>
      </c>
      <c r="D53" s="3055"/>
      <c r="E53" s="3055"/>
      <c r="F53" s="3055"/>
      <c r="G53" s="3055"/>
      <c r="H53" s="3055"/>
      <c r="I53" s="3055"/>
      <c r="J53" s="3055"/>
      <c r="K53" s="3055"/>
      <c r="L53" s="3055"/>
      <c r="M53" s="3055"/>
      <c r="N53" s="3056"/>
      <c r="O53" s="348"/>
      <c r="P53" s="74"/>
      <c r="Q53" s="70"/>
      <c r="R53" s="70"/>
      <c r="S53" s="71"/>
      <c r="T53" s="253">
        <v>1</v>
      </c>
      <c r="U53" s="158"/>
      <c r="V53" s="158"/>
      <c r="W53" s="158"/>
      <c r="X53" s="375"/>
      <c r="Y53" s="70"/>
      <c r="Z53" s="70"/>
      <c r="AA53" s="71"/>
      <c r="AB53" s="74"/>
      <c r="AC53" s="74"/>
      <c r="AD53" s="74"/>
      <c r="AE53" s="74"/>
      <c r="AF53" s="74"/>
      <c r="AG53" s="74"/>
      <c r="AH53" s="74"/>
      <c r="AI53" s="74"/>
      <c r="AJ53" s="71"/>
    </row>
    <row r="54" spans="1:36" s="110" customFormat="1" ht="14.25" hidden="1" customHeight="1">
      <c r="A54" s="1560"/>
      <c r="B54" s="159" t="str">
        <f>B25</f>
        <v>2D.14</v>
      </c>
      <c r="C54" s="3055" t="s">
        <v>1510</v>
      </c>
      <c r="D54" s="3055"/>
      <c r="E54" s="3055"/>
      <c r="F54" s="3055"/>
      <c r="G54" s="3055"/>
      <c r="H54" s="3055"/>
      <c r="I54" s="3055"/>
      <c r="J54" s="3055"/>
      <c r="K54" s="3055"/>
      <c r="L54" s="3055"/>
      <c r="M54" s="3055"/>
      <c r="N54" s="3056"/>
      <c r="O54" s="348"/>
      <c r="P54" s="74"/>
      <c r="Q54" s="70"/>
      <c r="R54" s="70"/>
      <c r="S54" s="71"/>
      <c r="T54" s="253">
        <v>1</v>
      </c>
      <c r="U54" s="158"/>
      <c r="V54" s="158"/>
      <c r="W54" s="158"/>
      <c r="X54" s="375"/>
      <c r="Y54" s="70"/>
      <c r="Z54" s="70"/>
      <c r="AA54" s="71"/>
      <c r="AB54" s="74"/>
      <c r="AC54" s="74"/>
      <c r="AD54" s="74"/>
      <c r="AE54" s="74"/>
      <c r="AF54" s="74"/>
      <c r="AG54" s="74"/>
      <c r="AH54" s="74"/>
      <c r="AI54" s="74"/>
      <c r="AJ54" s="71"/>
    </row>
    <row r="55" spans="1:36" s="110" customFormat="1" ht="14.25" hidden="1" customHeight="1">
      <c r="A55" s="1560"/>
      <c r="B55" s="159" t="str">
        <f t="shared" ref="B55:B56" si="32">B26</f>
        <v>2D.15</v>
      </c>
      <c r="C55" s="3055" t="s">
        <v>1511</v>
      </c>
      <c r="D55" s="3055"/>
      <c r="E55" s="3055"/>
      <c r="F55" s="3055"/>
      <c r="G55" s="3055"/>
      <c r="H55" s="3055"/>
      <c r="I55" s="3055"/>
      <c r="J55" s="3055"/>
      <c r="K55" s="3055"/>
      <c r="L55" s="3055"/>
      <c r="M55" s="3055"/>
      <c r="N55" s="3056"/>
      <c r="O55" s="348"/>
      <c r="P55" s="74"/>
      <c r="Q55" s="70"/>
      <c r="R55" s="70"/>
      <c r="S55" s="71"/>
      <c r="T55" s="253">
        <v>1</v>
      </c>
      <c r="U55" s="254"/>
      <c r="V55" s="254"/>
      <c r="W55" s="254"/>
      <c r="X55" s="70"/>
      <c r="Y55" s="70"/>
      <c r="Z55" s="70"/>
      <c r="AA55" s="71"/>
      <c r="AB55" s="74"/>
      <c r="AC55" s="74"/>
      <c r="AD55" s="74"/>
      <c r="AE55" s="74"/>
      <c r="AF55" s="74"/>
      <c r="AG55" s="74"/>
      <c r="AH55" s="74"/>
      <c r="AI55" s="74"/>
      <c r="AJ55" s="71"/>
    </row>
    <row r="56" spans="1:36" s="110" customFormat="1" ht="14.25" hidden="1" customHeight="1" thickBot="1">
      <c r="A56" s="1560"/>
      <c r="B56" s="183" t="str">
        <f t="shared" si="32"/>
        <v>2D.16</v>
      </c>
      <c r="C56" s="3075" t="s">
        <v>1512</v>
      </c>
      <c r="D56" s="3075"/>
      <c r="E56" s="3075"/>
      <c r="F56" s="3075"/>
      <c r="G56" s="3075"/>
      <c r="H56" s="3075"/>
      <c r="I56" s="3075"/>
      <c r="J56" s="3075"/>
      <c r="K56" s="3075"/>
      <c r="L56" s="3075"/>
      <c r="M56" s="3075"/>
      <c r="N56" s="3076"/>
      <c r="O56" s="348"/>
      <c r="P56" s="74"/>
      <c r="Q56" s="70"/>
      <c r="R56" s="70"/>
      <c r="S56" s="71"/>
      <c r="T56" s="253">
        <v>1</v>
      </c>
      <c r="U56" s="254"/>
      <c r="V56" s="254"/>
      <c r="W56" s="254"/>
      <c r="X56" s="70"/>
      <c r="Y56" s="70"/>
      <c r="Z56" s="70"/>
      <c r="AA56" s="71"/>
      <c r="AB56" s="74"/>
      <c r="AC56" s="74"/>
      <c r="AD56" s="74"/>
      <c r="AE56" s="74"/>
      <c r="AF56" s="74"/>
      <c r="AG56" s="74"/>
      <c r="AH56" s="74"/>
      <c r="AI56" s="74"/>
      <c r="AJ56" s="71"/>
    </row>
    <row r="57" spans="1:36" s="110" customFormat="1" hidden="1">
      <c r="A57" s="1560"/>
      <c r="B57" s="70"/>
      <c r="C57" s="70"/>
      <c r="D57" s="70"/>
      <c r="E57" s="70"/>
      <c r="F57" s="70"/>
      <c r="G57" s="70"/>
      <c r="H57" s="70"/>
      <c r="I57" s="70"/>
      <c r="J57" s="70"/>
      <c r="K57" s="70"/>
      <c r="L57" s="70"/>
      <c r="M57" s="70"/>
      <c r="N57" s="70"/>
      <c r="O57" s="348"/>
      <c r="P57" s="74"/>
      <c r="Q57" s="70"/>
      <c r="R57" s="70"/>
      <c r="S57" s="71"/>
      <c r="T57" s="254"/>
      <c r="U57" s="254"/>
      <c r="V57" s="254"/>
      <c r="W57" s="254"/>
      <c r="X57" s="70"/>
      <c r="Y57" s="70"/>
      <c r="Z57" s="70"/>
      <c r="AA57" s="71"/>
      <c r="AB57" s="74"/>
      <c r="AC57" s="74"/>
      <c r="AD57" s="74"/>
      <c r="AE57" s="74"/>
      <c r="AF57" s="74"/>
      <c r="AG57" s="74"/>
      <c r="AH57" s="74"/>
      <c r="AI57" s="74"/>
      <c r="AJ57" s="71"/>
    </row>
    <row r="58" spans="1:36" s="178" customFormat="1" hidden="1">
      <c r="A58" s="1561"/>
      <c r="B58" s="70"/>
      <c r="C58" s="70"/>
      <c r="D58" s="70"/>
      <c r="E58" s="70"/>
      <c r="F58" s="70"/>
      <c r="G58" s="70"/>
      <c r="H58" s="70"/>
      <c r="I58" s="70"/>
      <c r="J58" s="70"/>
      <c r="K58" s="70"/>
      <c r="L58" s="70"/>
      <c r="M58" s="70"/>
      <c r="N58" s="70"/>
      <c r="O58" s="70"/>
      <c r="P58" s="74"/>
      <c r="Q58" s="70"/>
      <c r="R58" s="70"/>
      <c r="S58" s="71"/>
      <c r="T58" s="254"/>
      <c r="U58" s="254"/>
      <c r="V58" s="254"/>
      <c r="W58" s="254"/>
      <c r="X58" s="70"/>
      <c r="Y58" s="70"/>
      <c r="Z58" s="70"/>
      <c r="AA58" s="71"/>
      <c r="AB58" s="74"/>
      <c r="AC58" s="74"/>
      <c r="AD58" s="74"/>
      <c r="AE58" s="74"/>
      <c r="AF58" s="74"/>
      <c r="AG58" s="74"/>
      <c r="AH58" s="74"/>
      <c r="AI58" s="74"/>
      <c r="AJ58" s="71"/>
    </row>
  </sheetData>
  <sheetProtection algorithmName="SHA-512" hashValue="U5GXraIEC34XD0DBymuiVCX7sOYdpuKAqy5l2qKlh8Tl3HCvso3UGbeluhLjDOcRCTQq12JqHr+yqyyutSrbkA==" saltValue="QCu1VmiG78OcC+0kwcMkAQ==" spinCount="100000" sheet="1" objects="1" scenarios="1"/>
  <mergeCells count="33">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 ref="AB3:AI4"/>
    <mergeCell ref="C54:N54"/>
    <mergeCell ref="C55:N55"/>
    <mergeCell ref="Q3:Q4"/>
    <mergeCell ref="T3:Z4"/>
    <mergeCell ref="F3:F4"/>
    <mergeCell ref="G3:K3"/>
    <mergeCell ref="L3:M3"/>
    <mergeCell ref="P3:P4"/>
    <mergeCell ref="C44:N44"/>
    <mergeCell ref="C49:N49"/>
    <mergeCell ref="BM3:BM4"/>
    <mergeCell ref="BA3:BB4"/>
    <mergeCell ref="BD3:BD4"/>
    <mergeCell ref="BE3:BE4"/>
    <mergeCell ref="BK3:BL3"/>
    <mergeCell ref="BF3:BJ3"/>
  </mergeCells>
  <conditionalFormatting sqref="Q7:Q9 Q11">
    <cfRule type="cellIs" dxfId="1332" priority="35" operator="equal">
      <formula>0</formula>
    </cfRule>
  </conditionalFormatting>
  <conditionalFormatting sqref="Q28:Q29">
    <cfRule type="cellIs" dxfId="1331" priority="34" operator="equal">
      <formula>2</formula>
    </cfRule>
  </conditionalFormatting>
  <conditionalFormatting sqref="Q15:Q16 Q18">
    <cfRule type="cellIs" dxfId="1330" priority="31" operator="equal">
      <formula>0</formula>
    </cfRule>
  </conditionalFormatting>
  <conditionalFormatting sqref="Q25:Q26">
    <cfRule type="cellIs" dxfId="1329" priority="27" operator="equal">
      <formula>0</formula>
    </cfRule>
  </conditionalFormatting>
  <conditionalFormatting sqref="Q27">
    <cfRule type="cellIs" dxfId="1328" priority="25" operator="equal">
      <formula>2</formula>
    </cfRule>
  </conditionalFormatting>
  <conditionalFormatting sqref="Q19:Q24">
    <cfRule type="cellIs" dxfId="1327" priority="24" operator="equal">
      <formula>2</formula>
    </cfRule>
  </conditionalFormatting>
  <conditionalFormatting sqref="Q12:Q14">
    <cfRule type="cellIs" dxfId="1326" priority="23" operator="equal">
      <formula>2</formula>
    </cfRule>
  </conditionalFormatting>
  <conditionalFormatting sqref="P27">
    <cfRule type="cellIs" dxfId="1325" priority="21" operator="equal">
      <formula>0</formula>
    </cfRule>
  </conditionalFormatting>
  <conditionalFormatting sqref="Q10">
    <cfRule type="cellIs" dxfId="1324" priority="17" operator="equal">
      <formula>0</formula>
    </cfRule>
  </conditionalFormatting>
  <conditionalFormatting sqref="Q17">
    <cfRule type="cellIs" dxfId="1323" priority="16" operator="equal">
      <formula>0</formula>
    </cfRule>
  </conditionalFormatting>
  <conditionalFormatting sqref="K7:K12 K15:K19 K21:K22 K25:K27">
    <cfRule type="expression" dxfId="1322" priority="3">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9"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8"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2"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20"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9" id="{FCF1DD5F-F4C5-486A-8413-71C66E6BB291}">
            <xm:f>Validation!$H$3=1</xm:f>
            <x14:dxf>
              <fill>
                <patternFill>
                  <bgColor rgb="FFE0DCD8"/>
                </patternFill>
              </fill>
            </x14:dxf>
          </x14:cfRule>
          <xm:sqref>I26</xm:sqref>
        </x14:conditionalFormatting>
        <x14:conditionalFormatting xmlns:xm="http://schemas.microsoft.com/office/excel/2006/main">
          <x14:cfRule type="expression" priority="18"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10"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5"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4"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3"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2"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11"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9"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8" id="{C0DB6C7F-AB0D-4692-AB47-31904C19E905}">
            <xm:f>Validation!$H$3=1</xm:f>
            <x14:dxf>
              <fill>
                <patternFill>
                  <bgColor rgb="FFE0DCD8"/>
                </patternFill>
              </fill>
            </x14:dxf>
          </x14:cfRule>
          <xm:sqref>J26</xm:sqref>
        </x14:conditionalFormatting>
        <x14:conditionalFormatting xmlns:xm="http://schemas.microsoft.com/office/excel/2006/main">
          <x14:cfRule type="expression" priority="7"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6"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5"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4" id="{35CEE39D-1884-4D05-9D63-475DDE41023E}">
            <xm:f>Validation!$H$3=1</xm:f>
            <x14:dxf>
              <fill>
                <patternFill>
                  <bgColor rgb="FFE0DCD8"/>
                </patternFill>
              </fill>
            </x14:dxf>
          </x14:cfRule>
          <xm:sqref>BJ27</xm:sqref>
        </x14:conditionalFormatting>
        <x14:conditionalFormatting xmlns:xm="http://schemas.microsoft.com/office/excel/2006/main">
          <x14:cfRule type="expression" priority="2" id="{43A9834F-4EAD-454D-8787-03F54B0A8332}">
            <xm:f>Validation!$H$3=1</xm:f>
            <x14:dxf>
              <fill>
                <patternFill>
                  <bgColor rgb="FFE0DCD8"/>
                </patternFill>
              </fill>
            </x14:dxf>
          </x14:cfRule>
          <xm:sqref>I25</xm:sqref>
        </x14:conditionalFormatting>
        <x14:conditionalFormatting xmlns:xm="http://schemas.microsoft.com/office/excel/2006/main">
          <x14:cfRule type="expression" priority="1" id="{48892062-A870-45C3-B43C-AB96BFC382E0}">
            <xm:f>Validation!$H$3=1</xm:f>
            <x14:dxf>
              <fill>
                <patternFill>
                  <bgColor rgb="FFE0DCD8"/>
                </patternFill>
              </fill>
            </x14:dxf>
          </x14:cfRule>
          <xm:sqref>J25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AJ86"/>
  <sheetViews>
    <sheetView zoomScale="40" zoomScaleNormal="40" workbookViewId="0">
      <selection activeCell="H12" sqref="H12"/>
    </sheetView>
  </sheetViews>
  <sheetFormatPr defaultColWidth="0" defaultRowHeight="14.25" zeroHeight="1"/>
  <cols>
    <col min="1" max="1" width="0.5" style="70" customWidth="1"/>
    <col min="2" max="2" width="5.125" style="70" customWidth="1"/>
    <col min="3" max="3" width="38.125" style="70" customWidth="1"/>
    <col min="4" max="4" width="5.5" style="70" hidden="1" customWidth="1"/>
    <col min="5" max="6" width="5.125" style="70" customWidth="1"/>
    <col min="7" max="10" width="14.5" style="70" customWidth="1"/>
    <col min="11" max="11" width="2.5" style="70" customWidth="1"/>
    <col min="12" max="12" width="18.5" style="70" bestFit="1" customWidth="1"/>
    <col min="13" max="13" width="1.5" style="70" customWidth="1"/>
    <col min="14" max="14" width="1.5" style="71" hidden="1" customWidth="1"/>
    <col min="15" max="17" width="5.5" style="70" hidden="1" customWidth="1"/>
    <col min="18" max="18" width="1.5" style="71" hidden="1" customWidth="1"/>
    <col min="19" max="25" width="0" style="8" hidden="1" customWidth="1"/>
    <col min="26" max="26" width="8.5" style="8" customWidth="1"/>
    <col min="27" max="27" width="5.125" style="70" customWidth="1"/>
    <col min="28" max="28" width="38.125" style="70" customWidth="1"/>
    <col min="29" max="29" width="5.5" style="70" hidden="1" customWidth="1"/>
    <col min="30" max="31" width="5.125" style="70" customWidth="1"/>
    <col min="32" max="32" width="16.375" style="70" customWidth="1"/>
    <col min="33" max="35" width="14.5" style="70" customWidth="1"/>
    <col min="36" max="36" width="2.5" style="8" customWidth="1"/>
    <col min="37" max="16384" width="8.5" style="8" hidden="1"/>
  </cols>
  <sheetData>
    <row r="1" spans="1:35" ht="20.25">
      <c r="B1" s="66" t="s">
        <v>1513</v>
      </c>
      <c r="C1" s="66"/>
      <c r="D1" s="66"/>
      <c r="E1" s="66"/>
      <c r="F1" s="66"/>
      <c r="G1" s="66"/>
      <c r="H1" s="66"/>
      <c r="I1" s="66"/>
      <c r="J1" s="68" t="str">
        <f>Validation!B3</f>
        <v>Yorkshire Water</v>
      </c>
      <c r="K1" s="66"/>
      <c r="L1" s="69" t="s">
        <v>34</v>
      </c>
      <c r="S1" s="479"/>
      <c r="T1" s="479"/>
      <c r="U1" s="479"/>
      <c r="V1" s="479"/>
      <c r="W1" s="479"/>
      <c r="X1" s="479"/>
      <c r="Y1" s="479"/>
      <c r="Z1" s="479"/>
      <c r="AA1" s="66" t="s">
        <v>35</v>
      </c>
      <c r="AB1" s="66"/>
      <c r="AC1" s="66"/>
      <c r="AD1" s="66"/>
      <c r="AE1" s="66"/>
      <c r="AF1" s="66"/>
      <c r="AG1" s="66"/>
      <c r="AH1" s="66"/>
      <c r="AI1" s="68"/>
    </row>
    <row r="2" spans="1:35" ht="15" thickBot="1">
      <c r="B2" s="73" t="str">
        <f>'2D'!B2</f>
        <v>For the 12 months ended 31 March 2020</v>
      </c>
      <c r="S2" s="479"/>
      <c r="T2" s="479"/>
      <c r="U2" s="479"/>
      <c r="V2" s="479"/>
      <c r="W2" s="479"/>
      <c r="X2" s="479"/>
      <c r="Y2" s="479"/>
      <c r="Z2" s="479"/>
      <c r="AA2" s="73" t="str">
        <f>+B2</f>
        <v>For the 12 months ended 31 March 2020</v>
      </c>
    </row>
    <row r="3" spans="1:35" ht="15" customHeight="1">
      <c r="B3" s="3144" t="s">
        <v>36</v>
      </c>
      <c r="C3" s="3145"/>
      <c r="D3" s="3010" t="s">
        <v>37</v>
      </c>
      <c r="E3" s="3148" t="s">
        <v>38</v>
      </c>
      <c r="F3" s="3150" t="s">
        <v>39</v>
      </c>
      <c r="G3" s="3067" t="s">
        <v>158</v>
      </c>
      <c r="H3" s="3068"/>
      <c r="I3" s="3068"/>
      <c r="J3" s="3069"/>
      <c r="L3" s="3070" t="s">
        <v>43</v>
      </c>
      <c r="O3" s="3072" t="s">
        <v>47</v>
      </c>
      <c r="P3" s="3072"/>
      <c r="Q3" s="3143"/>
      <c r="S3" s="479"/>
      <c r="T3" s="479"/>
      <c r="U3" s="479"/>
      <c r="V3" s="479"/>
      <c r="W3" s="479"/>
      <c r="X3" s="479"/>
      <c r="Y3" s="479"/>
      <c r="Z3" s="479"/>
      <c r="AA3" s="3144" t="s">
        <v>36</v>
      </c>
      <c r="AB3" s="3145"/>
      <c r="AC3" s="3010" t="s">
        <v>37</v>
      </c>
      <c r="AD3" s="3148" t="s">
        <v>38</v>
      </c>
      <c r="AE3" s="3150" t="s">
        <v>39</v>
      </c>
      <c r="AF3" s="3067" t="s">
        <v>158</v>
      </c>
      <c r="AG3" s="3068"/>
      <c r="AH3" s="3068"/>
      <c r="AI3" s="3069"/>
    </row>
    <row r="4" spans="1:35" ht="54.75" thickBot="1">
      <c r="B4" s="3146"/>
      <c r="C4" s="3147"/>
      <c r="D4" s="3011"/>
      <c r="E4" s="3149"/>
      <c r="F4" s="3151"/>
      <c r="G4" s="2997" t="s">
        <v>1514</v>
      </c>
      <c r="H4" s="78" t="s">
        <v>1515</v>
      </c>
      <c r="I4" s="78" t="s">
        <v>1516</v>
      </c>
      <c r="J4" s="2998" t="s">
        <v>710</v>
      </c>
      <c r="L4" s="3071"/>
      <c r="M4" s="79"/>
      <c r="O4" s="3072"/>
      <c r="P4" s="3072"/>
      <c r="Q4" s="3143"/>
      <c r="S4" s="479"/>
      <c r="T4" s="479"/>
      <c r="U4" s="479"/>
      <c r="V4" s="479"/>
      <c r="W4" s="479"/>
      <c r="X4" s="479"/>
      <c r="Y4" s="479"/>
      <c r="Z4" s="479"/>
      <c r="AA4" s="3146"/>
      <c r="AB4" s="3147"/>
      <c r="AC4" s="3011"/>
      <c r="AD4" s="3149"/>
      <c r="AE4" s="3151"/>
      <c r="AF4" s="2997" t="s">
        <v>1514</v>
      </c>
      <c r="AG4" s="78" t="s">
        <v>1515</v>
      </c>
      <c r="AH4" s="78" t="s">
        <v>1516</v>
      </c>
      <c r="AI4" s="2998" t="s">
        <v>710</v>
      </c>
    </row>
    <row r="5" spans="1:35" ht="15" thickBot="1">
      <c r="O5" s="85" t="s">
        <v>48</v>
      </c>
      <c r="S5" s="479"/>
      <c r="T5" s="479"/>
      <c r="U5" s="479"/>
      <c r="V5" s="479"/>
      <c r="W5" s="479"/>
      <c r="X5" s="479"/>
      <c r="Y5" s="479"/>
      <c r="Z5" s="479"/>
    </row>
    <row r="6" spans="1:35" ht="15" thickBot="1">
      <c r="B6" s="3036" t="s">
        <v>155</v>
      </c>
      <c r="C6" s="83" t="s">
        <v>1517</v>
      </c>
      <c r="D6" s="1505"/>
      <c r="S6" s="479"/>
      <c r="T6" s="479"/>
      <c r="U6" s="479"/>
      <c r="V6" s="479"/>
      <c r="W6" s="479"/>
      <c r="X6" s="479"/>
      <c r="Y6" s="479"/>
      <c r="Z6" s="479"/>
      <c r="AA6" s="3036" t="s">
        <v>155</v>
      </c>
      <c r="AB6" s="83" t="s">
        <v>1517</v>
      </c>
      <c r="AC6" s="1505"/>
    </row>
    <row r="7" spans="1:35">
      <c r="B7" s="86" t="s">
        <v>1518</v>
      </c>
      <c r="C7" s="117" t="s">
        <v>1519</v>
      </c>
      <c r="D7" s="117"/>
      <c r="E7" s="88" t="s">
        <v>51</v>
      </c>
      <c r="F7" s="89">
        <v>3</v>
      </c>
      <c r="G7" s="413">
        <v>0</v>
      </c>
      <c r="H7" s="424">
        <v>5.2050000000000001</v>
      </c>
      <c r="I7" s="448">
        <v>0</v>
      </c>
      <c r="J7" s="190">
        <f>SUM(G7:I7)</f>
        <v>5.2050000000000001</v>
      </c>
      <c r="L7" s="24">
        <f xml:space="preserve"> IF( SUM( N7:R7 ) = 0, 0, $O$5 )</f>
        <v>0</v>
      </c>
      <c r="O7" s="93">
        <f t="shared" ref="O7:Q12" si="0" xml:space="preserve"> IF( ISNUMBER( G7 ), 0, 1 )</f>
        <v>0</v>
      </c>
      <c r="P7" s="93">
        <f t="shared" si="0"/>
        <v>0</v>
      </c>
      <c r="Q7" s="93">
        <f t="shared" si="0"/>
        <v>0</v>
      </c>
      <c r="S7" s="479"/>
      <c r="T7" s="479"/>
      <c r="U7" s="479"/>
      <c r="V7" s="479"/>
      <c r="W7" s="479"/>
      <c r="X7" s="479"/>
      <c r="Y7" s="479"/>
      <c r="Z7" s="479"/>
      <c r="AA7" s="86" t="s">
        <v>1518</v>
      </c>
      <c r="AB7" s="117" t="s">
        <v>1519</v>
      </c>
      <c r="AC7" s="117"/>
      <c r="AD7" s="88" t="s">
        <v>51</v>
      </c>
      <c r="AE7" s="89">
        <v>3</v>
      </c>
      <c r="AF7" s="2516" t="s">
        <v>1520</v>
      </c>
      <c r="AG7" s="2517" t="s">
        <v>1521</v>
      </c>
      <c r="AH7" s="2576" t="s">
        <v>1522</v>
      </c>
      <c r="AI7" s="190" t="s">
        <v>1523</v>
      </c>
    </row>
    <row r="8" spans="1:35">
      <c r="B8" s="94" t="s">
        <v>1524</v>
      </c>
      <c r="C8" s="87" t="s">
        <v>1525</v>
      </c>
      <c r="D8" s="87"/>
      <c r="E8" s="95" t="s">
        <v>51</v>
      </c>
      <c r="F8" s="96">
        <v>3</v>
      </c>
      <c r="G8" s="411">
        <v>0</v>
      </c>
      <c r="H8" s="412">
        <v>3.113</v>
      </c>
      <c r="I8" s="449">
        <v>0</v>
      </c>
      <c r="J8" s="191">
        <f t="shared" ref="J8:J13" si="1">SUM(G8:I8)</f>
        <v>3.113</v>
      </c>
      <c r="L8" s="24">
        <f t="shared" ref="L8:L12" si="2" xml:space="preserve"> IF( SUM( N8:R8 ) = 0, 0, $O$5 )</f>
        <v>0</v>
      </c>
      <c r="O8" s="93">
        <f t="shared" si="0"/>
        <v>0</v>
      </c>
      <c r="P8" s="93">
        <f t="shared" si="0"/>
        <v>0</v>
      </c>
      <c r="Q8" s="93">
        <f t="shared" si="0"/>
        <v>0</v>
      </c>
      <c r="S8" s="479"/>
      <c r="T8" s="479"/>
      <c r="U8" s="479"/>
      <c r="V8" s="479"/>
      <c r="W8" s="479"/>
      <c r="X8" s="479"/>
      <c r="Y8" s="479"/>
      <c r="Z8" s="479"/>
      <c r="AA8" s="94" t="s">
        <v>1524</v>
      </c>
      <c r="AB8" s="87" t="s">
        <v>1525</v>
      </c>
      <c r="AC8" s="87"/>
      <c r="AD8" s="95" t="s">
        <v>51</v>
      </c>
      <c r="AE8" s="96">
        <v>3</v>
      </c>
      <c r="AF8" s="2519" t="s">
        <v>1526</v>
      </c>
      <c r="AG8" s="2520" t="s">
        <v>1527</v>
      </c>
      <c r="AH8" s="2577" t="s">
        <v>1528</v>
      </c>
      <c r="AI8" s="191" t="s">
        <v>1529</v>
      </c>
    </row>
    <row r="9" spans="1:35">
      <c r="B9" s="94" t="s">
        <v>1530</v>
      </c>
      <c r="C9" s="87" t="s">
        <v>1531</v>
      </c>
      <c r="D9" s="87"/>
      <c r="E9" s="95" t="s">
        <v>51</v>
      </c>
      <c r="F9" s="96">
        <v>3</v>
      </c>
      <c r="G9" s="411">
        <v>0</v>
      </c>
      <c r="H9" s="412">
        <v>4.9349999999999996</v>
      </c>
      <c r="I9" s="449">
        <v>0</v>
      </c>
      <c r="J9" s="191">
        <f t="shared" si="1"/>
        <v>4.9349999999999996</v>
      </c>
      <c r="L9" s="24">
        <f t="shared" si="2"/>
        <v>0</v>
      </c>
      <c r="O9" s="93">
        <f t="shared" si="0"/>
        <v>0</v>
      </c>
      <c r="P9" s="93">
        <f t="shared" si="0"/>
        <v>0</v>
      </c>
      <c r="Q9" s="93">
        <f t="shared" si="0"/>
        <v>0</v>
      </c>
      <c r="S9" s="479"/>
      <c r="T9" s="479"/>
      <c r="U9" s="479"/>
      <c r="V9" s="479"/>
      <c r="W9" s="479"/>
      <c r="X9" s="479"/>
      <c r="Y9" s="479"/>
      <c r="Z9" s="479"/>
      <c r="AA9" s="94" t="s">
        <v>1530</v>
      </c>
      <c r="AB9" s="87" t="s">
        <v>1531</v>
      </c>
      <c r="AC9" s="87"/>
      <c r="AD9" s="95" t="s">
        <v>51</v>
      </c>
      <c r="AE9" s="96">
        <v>3</v>
      </c>
      <c r="AF9" s="2519" t="s">
        <v>1532</v>
      </c>
      <c r="AG9" s="2520" t="s">
        <v>1533</v>
      </c>
      <c r="AH9" s="2577" t="s">
        <v>1534</v>
      </c>
      <c r="AI9" s="191" t="s">
        <v>1535</v>
      </c>
    </row>
    <row r="10" spans="1:35" s="479" customFormat="1">
      <c r="A10" s="70"/>
      <c r="B10" s="94" t="s">
        <v>1536</v>
      </c>
      <c r="C10" s="87" t="s">
        <v>1537</v>
      </c>
      <c r="D10" s="87"/>
      <c r="E10" s="95" t="s">
        <v>51</v>
      </c>
      <c r="F10" s="96">
        <v>3</v>
      </c>
      <c r="G10" s="411">
        <v>0</v>
      </c>
      <c r="H10" s="412">
        <v>0.39700000000000002</v>
      </c>
      <c r="I10" s="449">
        <v>0</v>
      </c>
      <c r="J10" s="191">
        <f t="shared" si="1"/>
        <v>0.39700000000000002</v>
      </c>
      <c r="K10" s="70"/>
      <c r="L10" s="24">
        <f t="shared" si="2"/>
        <v>0</v>
      </c>
      <c r="M10" s="70"/>
      <c r="N10" s="71"/>
      <c r="O10" s="93">
        <f t="shared" ref="O10" si="3" xml:space="preserve"> IF( ISNUMBER( G10 ), 0, 1 )</f>
        <v>0</v>
      </c>
      <c r="P10" s="93">
        <f t="shared" ref="P10" si="4" xml:space="preserve"> IF( ISNUMBER( H10 ), 0, 1 )</f>
        <v>0</v>
      </c>
      <c r="Q10" s="93">
        <f t="shared" ref="Q10" si="5" xml:space="preserve"> IF( ISNUMBER( I10 ), 0, 1 )</f>
        <v>0</v>
      </c>
      <c r="R10" s="71"/>
      <c r="AA10" s="94" t="s">
        <v>1536</v>
      </c>
      <c r="AB10" s="87" t="s">
        <v>1537</v>
      </c>
      <c r="AC10" s="87"/>
      <c r="AD10" s="95" t="s">
        <v>51</v>
      </c>
      <c r="AE10" s="96">
        <v>3</v>
      </c>
      <c r="AF10" s="2355" t="s">
        <v>1538</v>
      </c>
      <c r="AG10" s="2529" t="s">
        <v>1539</v>
      </c>
      <c r="AH10" s="2589" t="s">
        <v>1540</v>
      </c>
      <c r="AI10" s="2007" t="s">
        <v>1541</v>
      </c>
    </row>
    <row r="11" spans="1:35">
      <c r="B11" s="94" t="s">
        <v>1542</v>
      </c>
      <c r="C11" s="87" t="s">
        <v>1543</v>
      </c>
      <c r="D11" s="87"/>
      <c r="E11" s="95" t="s">
        <v>51</v>
      </c>
      <c r="F11" s="96">
        <v>3</v>
      </c>
      <c r="G11" s="411">
        <v>0</v>
      </c>
      <c r="H11" s="412">
        <v>2.5329999999999999</v>
      </c>
      <c r="I11" s="449">
        <v>0</v>
      </c>
      <c r="J11" s="191">
        <f t="shared" si="1"/>
        <v>2.5329999999999999</v>
      </c>
      <c r="L11" s="24">
        <f t="shared" si="2"/>
        <v>0</v>
      </c>
      <c r="O11" s="93">
        <f t="shared" si="0"/>
        <v>0</v>
      </c>
      <c r="P11" s="93">
        <f t="shared" si="0"/>
        <v>0</v>
      </c>
      <c r="Q11" s="93">
        <f t="shared" si="0"/>
        <v>0</v>
      </c>
      <c r="S11" s="479"/>
      <c r="T11" s="479"/>
      <c r="U11" s="479"/>
      <c r="V11" s="479"/>
      <c r="W11" s="479"/>
      <c r="X11" s="479"/>
      <c r="Y11" s="479"/>
      <c r="Z11" s="479"/>
      <c r="AA11" s="94" t="s">
        <v>1542</v>
      </c>
      <c r="AB11" s="87" t="s">
        <v>1543</v>
      </c>
      <c r="AC11" s="87"/>
      <c r="AD11" s="95" t="s">
        <v>51</v>
      </c>
      <c r="AE11" s="96">
        <v>3</v>
      </c>
      <c r="AF11" s="2355" t="s">
        <v>1544</v>
      </c>
      <c r="AG11" s="2529" t="s">
        <v>1545</v>
      </c>
      <c r="AH11" s="2589" t="s">
        <v>1546</v>
      </c>
      <c r="AI11" s="2007" t="s">
        <v>1547</v>
      </c>
    </row>
    <row r="12" spans="1:35">
      <c r="B12" s="94" t="s">
        <v>1548</v>
      </c>
      <c r="C12" s="87" t="s">
        <v>1549</v>
      </c>
      <c r="D12" s="87"/>
      <c r="E12" s="95" t="s">
        <v>51</v>
      </c>
      <c r="F12" s="96">
        <v>3</v>
      </c>
      <c r="G12" s="411">
        <v>0</v>
      </c>
      <c r="H12" s="412">
        <v>0</v>
      </c>
      <c r="I12" s="449">
        <v>0</v>
      </c>
      <c r="J12" s="191">
        <f t="shared" si="1"/>
        <v>0</v>
      </c>
      <c r="L12" s="24">
        <f t="shared" si="2"/>
        <v>0</v>
      </c>
      <c r="O12" s="93">
        <f t="shared" si="0"/>
        <v>0</v>
      </c>
      <c r="P12" s="93">
        <f t="shared" si="0"/>
        <v>0</v>
      </c>
      <c r="Q12" s="93">
        <f t="shared" si="0"/>
        <v>0</v>
      </c>
      <c r="S12" s="479"/>
      <c r="T12" s="479"/>
      <c r="U12" s="479"/>
      <c r="V12" s="479"/>
      <c r="W12" s="479"/>
      <c r="X12" s="479"/>
      <c r="Y12" s="479"/>
      <c r="Z12" s="479"/>
      <c r="AA12" s="94" t="s">
        <v>1548</v>
      </c>
      <c r="AB12" s="87" t="s">
        <v>1549</v>
      </c>
      <c r="AC12" s="87"/>
      <c r="AD12" s="95" t="s">
        <v>51</v>
      </c>
      <c r="AE12" s="96">
        <v>3</v>
      </c>
      <c r="AF12" s="2355" t="s">
        <v>1550</v>
      </c>
      <c r="AG12" s="2529" t="s">
        <v>1551</v>
      </c>
      <c r="AH12" s="2589" t="s">
        <v>1552</v>
      </c>
      <c r="AI12" s="2007" t="s">
        <v>1553</v>
      </c>
    </row>
    <row r="13" spans="1:35" ht="15" thickBot="1">
      <c r="B13" s="101" t="s">
        <v>1554</v>
      </c>
      <c r="C13" s="102" t="s">
        <v>710</v>
      </c>
      <c r="D13" s="102"/>
      <c r="E13" s="103" t="s">
        <v>51</v>
      </c>
      <c r="F13" s="100">
        <v>3</v>
      </c>
      <c r="G13" s="193">
        <f>SUM(G7:G12)</f>
        <v>0</v>
      </c>
      <c r="H13" s="194">
        <f>SUM(H7:H12)</f>
        <v>16.183</v>
      </c>
      <c r="I13" s="365">
        <f>SUM(I7:I12)</f>
        <v>0</v>
      </c>
      <c r="J13" s="195">
        <f t="shared" si="1"/>
        <v>16.183</v>
      </c>
      <c r="L13" s="130"/>
      <c r="S13" s="479"/>
      <c r="T13" s="479"/>
      <c r="U13" s="479"/>
      <c r="V13" s="479"/>
      <c r="W13" s="479"/>
      <c r="X13" s="479"/>
      <c r="Y13" s="479"/>
      <c r="Z13" s="479"/>
      <c r="AA13" s="101" t="s">
        <v>1554</v>
      </c>
      <c r="AB13" s="102" t="s">
        <v>710</v>
      </c>
      <c r="AC13" s="102"/>
      <c r="AD13" s="103" t="s">
        <v>51</v>
      </c>
      <c r="AE13" s="100">
        <v>3</v>
      </c>
      <c r="AF13" s="2096" t="s">
        <v>1555</v>
      </c>
      <c r="AG13" s="2011" t="s">
        <v>1556</v>
      </c>
      <c r="AH13" s="2099" t="s">
        <v>1557</v>
      </c>
      <c r="AI13" s="2009" t="s">
        <v>1558</v>
      </c>
    </row>
    <row r="14" spans="1:35" s="479" customFormat="1" ht="15" thickBot="1">
      <c r="A14" s="70"/>
      <c r="B14" s="121"/>
      <c r="C14" s="122"/>
      <c r="D14" s="122"/>
      <c r="E14" s="115"/>
      <c r="F14" s="115"/>
      <c r="G14" s="238"/>
      <c r="H14" s="238"/>
      <c r="I14" s="238"/>
      <c r="J14" s="238"/>
      <c r="K14" s="192"/>
      <c r="L14" s="130"/>
      <c r="M14" s="70"/>
      <c r="N14" s="71"/>
      <c r="O14" s="70"/>
      <c r="P14" s="70"/>
      <c r="Q14" s="70"/>
      <c r="R14" s="71"/>
      <c r="AA14" s="121"/>
      <c r="AB14" s="122"/>
      <c r="AC14" s="122"/>
      <c r="AD14" s="115"/>
      <c r="AE14" s="115"/>
      <c r="AF14" s="2102"/>
      <c r="AG14" s="2102"/>
      <c r="AH14" s="2102"/>
      <c r="AI14" s="2102"/>
    </row>
    <row r="15" spans="1:35" s="479" customFormat="1" ht="15" thickBot="1">
      <c r="A15" s="70"/>
      <c r="B15" s="131" t="s">
        <v>1559</v>
      </c>
      <c r="C15" s="132" t="s">
        <v>1560</v>
      </c>
      <c r="D15" s="132"/>
      <c r="E15" s="133" t="s">
        <v>51</v>
      </c>
      <c r="F15" s="134">
        <v>3</v>
      </c>
      <c r="G15" s="450">
        <v>0</v>
      </c>
      <c r="H15" s="766">
        <v>0</v>
      </c>
      <c r="I15" s="238"/>
      <c r="J15" s="486">
        <f xml:space="preserve"> +G15+H15</f>
        <v>0</v>
      </c>
      <c r="K15" s="70"/>
      <c r="L15" s="24">
        <f xml:space="preserve"> IF( SUM( N15:R15 ) = 0, 0, $O$5 )</f>
        <v>0</v>
      </c>
      <c r="M15" s="70"/>
      <c r="N15" s="71"/>
      <c r="O15" s="93">
        <f xml:space="preserve"> IF( ISNUMBER( G15 ), 0, 1 )</f>
        <v>0</v>
      </c>
      <c r="P15" s="93">
        <f xml:space="preserve"> IF( ISNUMBER( H15 ), 0, 1 )</f>
        <v>0</v>
      </c>
      <c r="Q15" s="70"/>
      <c r="R15" s="71"/>
      <c r="AA15" s="131" t="s">
        <v>1559</v>
      </c>
      <c r="AB15" s="132" t="s">
        <v>1560</v>
      </c>
      <c r="AC15" s="132"/>
      <c r="AD15" s="133" t="s">
        <v>51</v>
      </c>
      <c r="AE15" s="134">
        <v>3</v>
      </c>
      <c r="AF15" s="2590" t="s">
        <v>1561</v>
      </c>
      <c r="AG15" s="2591" t="s">
        <v>1562</v>
      </c>
      <c r="AH15" s="2102"/>
      <c r="AI15" s="2103" t="s">
        <v>1563</v>
      </c>
    </row>
    <row r="16" spans="1:35" s="479" customFormat="1">
      <c r="A16" s="70"/>
      <c r="B16" s="121"/>
      <c r="C16" s="122"/>
      <c r="D16" s="122"/>
      <c r="E16" s="115"/>
      <c r="F16" s="115"/>
      <c r="G16" s="238"/>
      <c r="H16" s="238"/>
      <c r="I16" s="238"/>
      <c r="J16" s="238"/>
      <c r="K16" s="192"/>
      <c r="L16" s="130"/>
      <c r="M16" s="70"/>
      <c r="N16" s="71"/>
      <c r="O16" s="70"/>
      <c r="P16" s="70"/>
      <c r="Q16" s="70"/>
      <c r="R16" s="71"/>
      <c r="AA16" s="121"/>
      <c r="AB16" s="122"/>
      <c r="AC16" s="122"/>
      <c r="AD16" s="115"/>
      <c r="AE16" s="115"/>
      <c r="AF16" s="2102"/>
      <c r="AG16" s="2102"/>
      <c r="AH16" s="2102"/>
      <c r="AI16" s="2102"/>
    </row>
    <row r="17" spans="1:35" ht="15" thickBot="1">
      <c r="L17" s="130"/>
      <c r="S17" s="479"/>
      <c r="T17" s="479"/>
      <c r="U17" s="479"/>
      <c r="V17" s="479"/>
      <c r="W17" s="479"/>
      <c r="X17" s="479"/>
      <c r="Y17" s="479"/>
      <c r="Z17" s="479"/>
      <c r="AF17" s="2100"/>
      <c r="AG17" s="2100"/>
      <c r="AH17" s="2100"/>
      <c r="AI17" s="2100"/>
    </row>
    <row r="18" spans="1:35" ht="15" thickBot="1">
      <c r="B18" s="3036" t="s">
        <v>177</v>
      </c>
      <c r="C18" s="83" t="s">
        <v>1564</v>
      </c>
      <c r="D18" s="1505"/>
      <c r="L18" s="130"/>
      <c r="S18" s="479"/>
      <c r="T18" s="479"/>
      <c r="U18" s="479"/>
      <c r="V18" s="479"/>
      <c r="W18" s="479"/>
      <c r="X18" s="479"/>
      <c r="Y18" s="479"/>
      <c r="Z18" s="479"/>
      <c r="AA18" s="3036" t="s">
        <v>177</v>
      </c>
      <c r="AB18" s="83" t="s">
        <v>1564</v>
      </c>
      <c r="AC18" s="1505"/>
      <c r="AF18" s="2100"/>
      <c r="AG18" s="2100"/>
      <c r="AH18" s="2100"/>
      <c r="AI18" s="2100"/>
    </row>
    <row r="19" spans="1:35">
      <c r="B19" s="86" t="s">
        <v>1565</v>
      </c>
      <c r="C19" s="117" t="s">
        <v>1525</v>
      </c>
      <c r="D19" s="117"/>
      <c r="E19" s="88" t="s">
        <v>51</v>
      </c>
      <c r="F19" s="89">
        <v>3</v>
      </c>
      <c r="G19" s="413">
        <v>0</v>
      </c>
      <c r="H19" s="424">
        <v>5.63</v>
      </c>
      <c r="I19" s="448">
        <v>0</v>
      </c>
      <c r="J19" s="190">
        <f t="shared" ref="J19:J24" si="6">SUM(G19:I19)</f>
        <v>5.63</v>
      </c>
      <c r="L19" s="24">
        <f t="shared" ref="L19:L23" si="7" xml:space="preserve"> IF( SUM( N19:R19 ) = 0, 0, $O$5 )</f>
        <v>0</v>
      </c>
      <c r="O19" s="93">
        <f>IF(Validation!$H$3=1,0,IF(ISNUMBER(G19),0,1))</f>
        <v>0</v>
      </c>
      <c r="P19" s="93">
        <f>IF(Validation!$H$3=1,0,IF(ISNUMBER(H19),0,1))</f>
        <v>0</v>
      </c>
      <c r="Q19" s="93">
        <f>IF(Validation!$H$3=1,0,IF(ISNUMBER(I19),0,1))</f>
        <v>0</v>
      </c>
      <c r="S19" s="479"/>
      <c r="T19" s="479"/>
      <c r="U19" s="479"/>
      <c r="V19" s="479"/>
      <c r="W19" s="479"/>
      <c r="X19" s="479"/>
      <c r="Y19" s="479"/>
      <c r="Z19" s="479"/>
      <c r="AA19" s="86" t="s">
        <v>1565</v>
      </c>
      <c r="AB19" s="117" t="s">
        <v>1525</v>
      </c>
      <c r="AC19" s="117"/>
      <c r="AD19" s="88" t="s">
        <v>51</v>
      </c>
      <c r="AE19" s="89">
        <v>3</v>
      </c>
      <c r="AF19" s="2353" t="s">
        <v>1566</v>
      </c>
      <c r="AG19" s="2527" t="s">
        <v>1567</v>
      </c>
      <c r="AH19" s="2586" t="s">
        <v>1568</v>
      </c>
      <c r="AI19" s="2005" t="s">
        <v>1569</v>
      </c>
    </row>
    <row r="20" spans="1:35">
      <c r="B20" s="94" t="s">
        <v>1570</v>
      </c>
      <c r="C20" s="87" t="s">
        <v>1571</v>
      </c>
      <c r="D20" s="87"/>
      <c r="E20" s="95" t="s">
        <v>51</v>
      </c>
      <c r="F20" s="96">
        <v>3</v>
      </c>
      <c r="G20" s="411">
        <v>0</v>
      </c>
      <c r="H20" s="412">
        <v>1.2909999999999999</v>
      </c>
      <c r="I20" s="449">
        <v>0</v>
      </c>
      <c r="J20" s="191">
        <f t="shared" si="6"/>
        <v>1.2909999999999999</v>
      </c>
      <c r="L20" s="24">
        <f t="shared" si="7"/>
        <v>0</v>
      </c>
      <c r="O20" s="93">
        <f>IF(Validation!$H$3=1,0,IF(ISNUMBER(G20),0,1))</f>
        <v>0</v>
      </c>
      <c r="P20" s="93">
        <f>IF(Validation!$H$3=1,0,IF(ISNUMBER(H20),0,1))</f>
        <v>0</v>
      </c>
      <c r="Q20" s="93">
        <f>IF(Validation!$H$3=1,0,IF(ISNUMBER(I20),0,1))</f>
        <v>0</v>
      </c>
      <c r="S20" s="479"/>
      <c r="T20" s="479"/>
      <c r="U20" s="479"/>
      <c r="V20" s="479"/>
      <c r="W20" s="479"/>
      <c r="X20" s="479"/>
      <c r="Y20" s="479"/>
      <c r="Z20" s="479"/>
      <c r="AA20" s="94" t="s">
        <v>1570</v>
      </c>
      <c r="AB20" s="87" t="s">
        <v>1571</v>
      </c>
      <c r="AC20" s="87"/>
      <c r="AD20" s="95" t="s">
        <v>51</v>
      </c>
      <c r="AE20" s="96">
        <v>3</v>
      </c>
      <c r="AF20" s="2355" t="s">
        <v>1572</v>
      </c>
      <c r="AG20" s="2529" t="s">
        <v>1573</v>
      </c>
      <c r="AH20" s="2589" t="s">
        <v>1574</v>
      </c>
      <c r="AI20" s="2007" t="s">
        <v>1575</v>
      </c>
    </row>
    <row r="21" spans="1:35" s="479" customFormat="1">
      <c r="A21" s="70"/>
      <c r="B21" s="94" t="s">
        <v>1576</v>
      </c>
      <c r="C21" s="87" t="s">
        <v>1537</v>
      </c>
      <c r="D21" s="87"/>
      <c r="E21" s="95" t="s">
        <v>51</v>
      </c>
      <c r="F21" s="96">
        <v>3</v>
      </c>
      <c r="G21" s="411">
        <v>0</v>
      </c>
      <c r="H21" s="412">
        <v>1.347</v>
      </c>
      <c r="I21" s="449">
        <v>0</v>
      </c>
      <c r="J21" s="191">
        <f t="shared" ref="J21" si="8">SUM(G21:I21)</f>
        <v>1.347</v>
      </c>
      <c r="K21" s="70"/>
      <c r="L21" s="24">
        <f t="shared" si="7"/>
        <v>0</v>
      </c>
      <c r="M21" s="70"/>
      <c r="N21" s="71"/>
      <c r="O21" s="93">
        <f>IF(Validation!$H$3=1,0,IF(ISNUMBER(G21),0,1))</f>
        <v>0</v>
      </c>
      <c r="P21" s="93">
        <f>IF(Validation!$H$3=1,0,IF(ISNUMBER(H21),0,1))</f>
        <v>0</v>
      </c>
      <c r="Q21" s="93">
        <f>IF(Validation!$H$3=1,0,IF(ISNUMBER(I21),0,1))</f>
        <v>0</v>
      </c>
      <c r="R21" s="71"/>
      <c r="AA21" s="94" t="s">
        <v>1576</v>
      </c>
      <c r="AB21" s="87" t="s">
        <v>1537</v>
      </c>
      <c r="AC21" s="87"/>
      <c r="AD21" s="95" t="s">
        <v>51</v>
      </c>
      <c r="AE21" s="96">
        <v>3</v>
      </c>
      <c r="AF21" s="2355" t="s">
        <v>1577</v>
      </c>
      <c r="AG21" s="2529" t="s">
        <v>1578</v>
      </c>
      <c r="AH21" s="2589" t="s">
        <v>1579</v>
      </c>
      <c r="AI21" s="2007" t="s">
        <v>1580</v>
      </c>
    </row>
    <row r="22" spans="1:35">
      <c r="B22" s="94" t="s">
        <v>1581</v>
      </c>
      <c r="C22" s="87" t="s">
        <v>1543</v>
      </c>
      <c r="D22" s="87"/>
      <c r="E22" s="95" t="s">
        <v>51</v>
      </c>
      <c r="F22" s="96">
        <v>3</v>
      </c>
      <c r="G22" s="411">
        <v>0</v>
      </c>
      <c r="H22" s="412">
        <v>2.3220000000000001</v>
      </c>
      <c r="I22" s="449">
        <v>0</v>
      </c>
      <c r="J22" s="191">
        <f t="shared" si="6"/>
        <v>2.3220000000000001</v>
      </c>
      <c r="L22" s="24">
        <f t="shared" si="7"/>
        <v>0</v>
      </c>
      <c r="O22" s="93">
        <f>IF(Validation!$H$3=1,0,IF(ISNUMBER(G22),0,1))</f>
        <v>0</v>
      </c>
      <c r="P22" s="93">
        <f>IF(Validation!$H$3=1,0,IF(ISNUMBER(H22),0,1))</f>
        <v>0</v>
      </c>
      <c r="Q22" s="93">
        <f>IF(Validation!$H$3=1,0,IF(ISNUMBER(I22),0,1))</f>
        <v>0</v>
      </c>
      <c r="S22" s="479"/>
      <c r="T22" s="479"/>
      <c r="U22" s="479"/>
      <c r="V22" s="479"/>
      <c r="W22" s="479"/>
      <c r="X22" s="479"/>
      <c r="Y22" s="479"/>
      <c r="Z22" s="479"/>
      <c r="AA22" s="94" t="s">
        <v>1581</v>
      </c>
      <c r="AB22" s="87" t="s">
        <v>1543</v>
      </c>
      <c r="AC22" s="87"/>
      <c r="AD22" s="95" t="s">
        <v>51</v>
      </c>
      <c r="AE22" s="96">
        <v>3</v>
      </c>
      <c r="AF22" s="2355" t="s">
        <v>1582</v>
      </c>
      <c r="AG22" s="2529" t="s">
        <v>1583</v>
      </c>
      <c r="AH22" s="2589" t="s">
        <v>1584</v>
      </c>
      <c r="AI22" s="2007" t="s">
        <v>1585</v>
      </c>
    </row>
    <row r="23" spans="1:35">
      <c r="B23" s="94" t="s">
        <v>1586</v>
      </c>
      <c r="C23" s="87" t="s">
        <v>1549</v>
      </c>
      <c r="D23" s="87"/>
      <c r="E23" s="95" t="s">
        <v>51</v>
      </c>
      <c r="F23" s="96">
        <v>3</v>
      </c>
      <c r="G23" s="411">
        <v>0</v>
      </c>
      <c r="H23" s="412">
        <v>0</v>
      </c>
      <c r="I23" s="449">
        <v>0</v>
      </c>
      <c r="J23" s="191">
        <f t="shared" si="6"/>
        <v>0</v>
      </c>
      <c r="L23" s="24">
        <f t="shared" si="7"/>
        <v>0</v>
      </c>
      <c r="O23" s="93">
        <f>IF(Validation!$H$3=1,0,IF(ISNUMBER(G23),0,1))</f>
        <v>0</v>
      </c>
      <c r="P23" s="93">
        <f>IF(Validation!$H$3=1,0,IF(ISNUMBER(H23),0,1))</f>
        <v>0</v>
      </c>
      <c r="Q23" s="93">
        <f>IF(Validation!$H$3=1,0,IF(ISNUMBER(I23),0,1))</f>
        <v>0</v>
      </c>
      <c r="S23" s="479"/>
      <c r="T23" s="479"/>
      <c r="U23" s="479"/>
      <c r="V23" s="479"/>
      <c r="W23" s="479"/>
      <c r="X23" s="479"/>
      <c r="Y23" s="479"/>
      <c r="Z23" s="479"/>
      <c r="AA23" s="94" t="s">
        <v>1586</v>
      </c>
      <c r="AB23" s="87" t="s">
        <v>1549</v>
      </c>
      <c r="AC23" s="87"/>
      <c r="AD23" s="95" t="s">
        <v>51</v>
      </c>
      <c r="AE23" s="96">
        <v>3</v>
      </c>
      <c r="AF23" s="2355" t="s">
        <v>1587</v>
      </c>
      <c r="AG23" s="2529" t="s">
        <v>1588</v>
      </c>
      <c r="AH23" s="2589" t="s">
        <v>1589</v>
      </c>
      <c r="AI23" s="2007" t="s">
        <v>1590</v>
      </c>
    </row>
    <row r="24" spans="1:35" ht="15" thickBot="1">
      <c r="B24" s="101" t="s">
        <v>1591</v>
      </c>
      <c r="C24" s="102" t="s">
        <v>710</v>
      </c>
      <c r="D24" s="102"/>
      <c r="E24" s="103" t="s">
        <v>51</v>
      </c>
      <c r="F24" s="100">
        <v>3</v>
      </c>
      <c r="G24" s="193">
        <f>SUM(G19:G23)</f>
        <v>0</v>
      </c>
      <c r="H24" s="194">
        <f>SUM(H19:H23)</f>
        <v>10.59</v>
      </c>
      <c r="I24" s="365">
        <f>SUM(I19:I23)</f>
        <v>0</v>
      </c>
      <c r="J24" s="195">
        <f t="shared" si="6"/>
        <v>10.59</v>
      </c>
      <c r="L24" s="130"/>
      <c r="S24" s="479"/>
      <c r="T24" s="479"/>
      <c r="U24" s="479"/>
      <c r="V24" s="479"/>
      <c r="W24" s="479"/>
      <c r="X24" s="479"/>
      <c r="Y24" s="479"/>
      <c r="Z24" s="479"/>
      <c r="AA24" s="101" t="s">
        <v>1591</v>
      </c>
      <c r="AB24" s="102" t="s">
        <v>710</v>
      </c>
      <c r="AC24" s="102"/>
      <c r="AD24" s="103" t="s">
        <v>51</v>
      </c>
      <c r="AE24" s="100">
        <v>3</v>
      </c>
      <c r="AF24" s="2096" t="s">
        <v>1592</v>
      </c>
      <c r="AG24" s="2011" t="s">
        <v>1593</v>
      </c>
      <c r="AH24" s="2099" t="s">
        <v>1594</v>
      </c>
      <c r="AI24" s="2009" t="s">
        <v>1595</v>
      </c>
    </row>
    <row r="25" spans="1:35" s="479" customFormat="1" ht="15" thickBot="1">
      <c r="A25" s="70"/>
      <c r="B25" s="121"/>
      <c r="C25" s="122"/>
      <c r="D25" s="122"/>
      <c r="E25" s="115"/>
      <c r="F25" s="115"/>
      <c r="G25" s="238"/>
      <c r="H25" s="238"/>
      <c r="I25" s="238"/>
      <c r="J25" s="238"/>
      <c r="K25" s="192"/>
      <c r="L25" s="130"/>
      <c r="M25" s="70"/>
      <c r="N25" s="71"/>
      <c r="O25" s="70"/>
      <c r="P25" s="70"/>
      <c r="Q25" s="70"/>
      <c r="R25" s="71"/>
      <c r="AA25" s="121"/>
      <c r="AB25" s="122"/>
      <c r="AC25" s="122"/>
      <c r="AD25" s="115"/>
      <c r="AE25" s="115"/>
      <c r="AF25" s="2102"/>
      <c r="AG25" s="2102"/>
      <c r="AH25" s="2102"/>
      <c r="AI25" s="2102"/>
    </row>
    <row r="26" spans="1:35" s="479" customFormat="1" ht="15" thickBot="1">
      <c r="A26" s="70"/>
      <c r="B26" s="131" t="s">
        <v>1596</v>
      </c>
      <c r="C26" s="132" t="s">
        <v>1560</v>
      </c>
      <c r="D26" s="132"/>
      <c r="E26" s="133" t="s">
        <v>51</v>
      </c>
      <c r="F26" s="134">
        <v>3</v>
      </c>
      <c r="G26" s="450">
        <v>0</v>
      </c>
      <c r="H26" s="766">
        <v>11.657</v>
      </c>
      <c r="I26" s="238"/>
      <c r="J26" s="486">
        <f xml:space="preserve"> +G26+H26</f>
        <v>11.657</v>
      </c>
      <c r="K26" s="70"/>
      <c r="L26" s="24">
        <f xml:space="preserve"> IF( SUM( N26:R26 ) = 0, 0, $O$5 )</f>
        <v>0</v>
      </c>
      <c r="M26" s="70"/>
      <c r="N26" s="71"/>
      <c r="O26" s="93">
        <f xml:space="preserve"> IF( ISNUMBER( G26 ), 0, 1 )</f>
        <v>0</v>
      </c>
      <c r="P26" s="93">
        <f>IF(Validation!$H$3=1,0,IF(ISNUMBER(H26),0,1))</f>
        <v>0</v>
      </c>
      <c r="Q26" s="70"/>
      <c r="R26" s="71"/>
      <c r="AA26" s="131" t="s">
        <v>1596</v>
      </c>
      <c r="AB26" s="132" t="s">
        <v>1560</v>
      </c>
      <c r="AC26" s="132"/>
      <c r="AD26" s="133" t="s">
        <v>51</v>
      </c>
      <c r="AE26" s="134">
        <v>3</v>
      </c>
      <c r="AF26" s="2590" t="s">
        <v>1597</v>
      </c>
      <c r="AG26" s="2591" t="s">
        <v>1598</v>
      </c>
      <c r="AH26" s="2102"/>
      <c r="AI26" s="2103" t="s">
        <v>1599</v>
      </c>
    </row>
    <row r="27" spans="1:35">
      <c r="L27" s="130"/>
      <c r="S27" s="479"/>
      <c r="T27" s="479"/>
      <c r="U27" s="479"/>
      <c r="V27" s="479"/>
      <c r="W27" s="479"/>
      <c r="X27" s="479"/>
      <c r="Y27" s="479"/>
      <c r="Z27" s="479"/>
      <c r="AF27" s="2100"/>
      <c r="AG27" s="2100"/>
      <c r="AH27" s="2100"/>
      <c r="AI27" s="2100"/>
    </row>
    <row r="28" spans="1:35" s="479" customFormat="1" ht="15" thickBot="1">
      <c r="A28" s="70"/>
      <c r="B28" s="70"/>
      <c r="C28" s="70"/>
      <c r="D28" s="70"/>
      <c r="E28" s="70"/>
      <c r="F28" s="70"/>
      <c r="G28" s="70"/>
      <c r="H28" s="70"/>
      <c r="I28" s="70"/>
      <c r="J28" s="70"/>
      <c r="K28" s="70"/>
      <c r="L28" s="130"/>
      <c r="M28" s="70"/>
      <c r="N28" s="71"/>
      <c r="O28" s="70"/>
      <c r="P28" s="70"/>
      <c r="Q28" s="70"/>
      <c r="R28" s="71"/>
      <c r="AA28" s="70"/>
      <c r="AB28" s="70"/>
      <c r="AC28" s="70"/>
      <c r="AD28" s="70"/>
      <c r="AE28" s="70"/>
      <c r="AF28" s="2100"/>
      <c r="AG28" s="2100"/>
      <c r="AH28" s="2100"/>
      <c r="AI28" s="2100"/>
    </row>
    <row r="29" spans="1:35" s="479" customFormat="1" ht="15" thickBot="1">
      <c r="A29" s="70"/>
      <c r="B29" s="3036" t="s">
        <v>177</v>
      </c>
      <c r="C29" s="83" t="s">
        <v>1600</v>
      </c>
      <c r="D29" s="1505"/>
      <c r="E29" s="70"/>
      <c r="F29" s="70"/>
      <c r="G29" s="70"/>
      <c r="H29" s="70"/>
      <c r="I29" s="70"/>
      <c r="J29" s="70"/>
      <c r="K29" s="70"/>
      <c r="L29" s="130"/>
      <c r="M29" s="70"/>
      <c r="N29" s="71"/>
      <c r="O29" s="70"/>
      <c r="P29" s="70"/>
      <c r="Q29" s="70"/>
      <c r="R29" s="71"/>
      <c r="AA29" s="3036" t="s">
        <v>177</v>
      </c>
      <c r="AB29" s="83" t="s">
        <v>1600</v>
      </c>
      <c r="AC29" s="1505"/>
      <c r="AD29" s="70"/>
      <c r="AE29" s="70"/>
      <c r="AF29" s="2100"/>
      <c r="AG29" s="2100"/>
      <c r="AH29" s="2100"/>
      <c r="AI29" s="2100"/>
    </row>
    <row r="30" spans="1:35" s="479" customFormat="1">
      <c r="A30" s="70"/>
      <c r="B30" s="86" t="s">
        <v>1565</v>
      </c>
      <c r="C30" s="117" t="s">
        <v>1525</v>
      </c>
      <c r="D30" s="117"/>
      <c r="E30" s="88" t="s">
        <v>51</v>
      </c>
      <c r="F30" s="89">
        <v>3</v>
      </c>
      <c r="G30" s="413"/>
      <c r="H30" s="424"/>
      <c r="I30" s="448"/>
      <c r="J30" s="190">
        <f t="shared" ref="J30:J31" si="9">SUM(G30:I30)</f>
        <v>0</v>
      </c>
      <c r="K30" s="70"/>
      <c r="L30" s="24">
        <f t="shared" ref="L30:L31" si="10" xml:space="preserve"> IF( SUM( N30:R30 ) = 0, 0, $O$5 )</f>
        <v>0</v>
      </c>
      <c r="M30" s="70"/>
      <c r="N30" s="71"/>
      <c r="O30" s="93">
        <f>IF( Validation!$H$3=1, 0, IF(Validation!$B$3 &lt;&gt; "Thames Water", 0, (IF(ISNUMBER(G30), 0, 1))))</f>
        <v>0</v>
      </c>
      <c r="P30" s="93">
        <f>IF( Validation!$H$3=1, 0, IF(Validation!$B$3 &lt;&gt; "Thames Water", 0, (IF(ISNUMBER(H30), 0, 1))))</f>
        <v>0</v>
      </c>
      <c r="Q30" s="93">
        <f>IF( Validation!$H$3=1, 0, IF(Validation!$B$3 &lt;&gt; "Thames Water", 0, (IF(ISNUMBER(I30), 0, 1))))</f>
        <v>0</v>
      </c>
      <c r="R30" s="71"/>
      <c r="AA30" s="86" t="s">
        <v>1565</v>
      </c>
      <c r="AB30" s="117" t="s">
        <v>1525</v>
      </c>
      <c r="AC30" s="117"/>
      <c r="AD30" s="88" t="s">
        <v>51</v>
      </c>
      <c r="AE30" s="89">
        <v>3</v>
      </c>
      <c r="AF30" s="2353" t="s">
        <v>1601</v>
      </c>
      <c r="AG30" s="2527" t="s">
        <v>1602</v>
      </c>
      <c r="AH30" s="2586" t="s">
        <v>1603</v>
      </c>
      <c r="AI30" s="2005" t="s">
        <v>1604</v>
      </c>
    </row>
    <row r="31" spans="1:35" s="479" customFormat="1">
      <c r="A31" s="70"/>
      <c r="B31" s="94" t="s">
        <v>1570</v>
      </c>
      <c r="C31" s="87" t="s">
        <v>1571</v>
      </c>
      <c r="D31" s="87"/>
      <c r="E31" s="95" t="s">
        <v>51</v>
      </c>
      <c r="F31" s="96">
        <v>3</v>
      </c>
      <c r="G31" s="411"/>
      <c r="H31" s="412"/>
      <c r="I31" s="449"/>
      <c r="J31" s="191">
        <f t="shared" si="9"/>
        <v>0</v>
      </c>
      <c r="K31" s="70"/>
      <c r="L31" s="24">
        <f t="shared" si="10"/>
        <v>0</v>
      </c>
      <c r="M31" s="70"/>
      <c r="N31" s="71"/>
      <c r="O31" s="93">
        <f>IF( Validation!$H$3=1, 0, IF(Validation!$B$3 &lt;&gt; "Thames Water", 0, (IF(ISNUMBER(G31), 0, 1))))</f>
        <v>0</v>
      </c>
      <c r="P31" s="93">
        <f>IF( Validation!$H$3=1, 0, IF(Validation!$B$3 &lt;&gt; "Thames Water", 0, (IF(ISNUMBER(H31), 0, 1))))</f>
        <v>0</v>
      </c>
      <c r="Q31" s="93">
        <f>IF( Validation!$H$3=1, 0, IF(Validation!$B$3 &lt;&gt; "Thames Water", 0, (IF(ISNUMBER(I31), 0, 1))))</f>
        <v>0</v>
      </c>
      <c r="R31" s="71"/>
      <c r="AA31" s="94" t="s">
        <v>1570</v>
      </c>
      <c r="AB31" s="87" t="s">
        <v>1571</v>
      </c>
      <c r="AC31" s="87"/>
      <c r="AD31" s="95" t="s">
        <v>51</v>
      </c>
      <c r="AE31" s="96">
        <v>3</v>
      </c>
      <c r="AF31" s="2355" t="s">
        <v>1605</v>
      </c>
      <c r="AG31" s="2529" t="s">
        <v>1606</v>
      </c>
      <c r="AH31" s="2589" t="s">
        <v>1607</v>
      </c>
      <c r="AI31" s="2007" t="s">
        <v>1608</v>
      </c>
    </row>
    <row r="32" spans="1:35" s="479" customFormat="1">
      <c r="A32" s="70"/>
      <c r="B32" s="94" t="s">
        <v>1576</v>
      </c>
      <c r="C32" s="87" t="s">
        <v>1537</v>
      </c>
      <c r="D32" s="87"/>
      <c r="E32" s="95" t="s">
        <v>51</v>
      </c>
      <c r="F32" s="96">
        <v>3</v>
      </c>
      <c r="G32" s="411"/>
      <c r="H32" s="412"/>
      <c r="I32" s="449"/>
      <c r="J32" s="191">
        <f t="shared" ref="J32" si="11">SUM(G32:I32)</f>
        <v>0</v>
      </c>
      <c r="K32" s="70"/>
      <c r="L32" s="24">
        <f t="shared" ref="L32" si="12" xml:space="preserve"> IF( SUM( N32:R32 ) = 0, 0, $O$5 )</f>
        <v>0</v>
      </c>
      <c r="M32" s="70"/>
      <c r="N32" s="71"/>
      <c r="O32" s="93">
        <f>IF( Validation!$H$3=1, 0, IF(Validation!$B$3 &lt;&gt; "Thames Water", 0, (IF(ISNUMBER(G32), 0, 1))))</f>
        <v>0</v>
      </c>
      <c r="P32" s="93">
        <f>IF( Validation!$H$3=1, 0, IF(Validation!$B$3 &lt;&gt; "Thames Water", 0, (IF(ISNUMBER(H32), 0, 1))))</f>
        <v>0</v>
      </c>
      <c r="Q32" s="93">
        <f>IF( Validation!$H$3=1, 0, IF(Validation!$B$3 &lt;&gt; "Thames Water", 0, (IF(ISNUMBER(I32), 0, 1))))</f>
        <v>0</v>
      </c>
      <c r="R32" s="71"/>
      <c r="AA32" s="94" t="s">
        <v>1576</v>
      </c>
      <c r="AB32" s="87" t="s">
        <v>1537</v>
      </c>
      <c r="AC32" s="87"/>
      <c r="AD32" s="95" t="s">
        <v>51</v>
      </c>
      <c r="AE32" s="96">
        <v>3</v>
      </c>
      <c r="AF32" s="2355" t="s">
        <v>1609</v>
      </c>
      <c r="AG32" s="2529" t="s">
        <v>1610</v>
      </c>
      <c r="AH32" s="2589" t="s">
        <v>1611</v>
      </c>
      <c r="AI32" s="2007" t="s">
        <v>1612</v>
      </c>
    </row>
    <row r="33" spans="1:35" s="479" customFormat="1">
      <c r="A33" s="70"/>
      <c r="B33" s="94" t="s">
        <v>1581</v>
      </c>
      <c r="C33" s="87" t="s">
        <v>1543</v>
      </c>
      <c r="D33" s="87"/>
      <c r="E33" s="95" t="s">
        <v>51</v>
      </c>
      <c r="F33" s="96">
        <v>3</v>
      </c>
      <c r="G33" s="411"/>
      <c r="H33" s="412"/>
      <c r="I33" s="449"/>
      <c r="J33" s="191">
        <f t="shared" ref="J33:J35" si="13">SUM(G33:I33)</f>
        <v>0</v>
      </c>
      <c r="K33" s="70"/>
      <c r="L33" s="24">
        <f t="shared" ref="L33:L34" si="14" xml:space="preserve"> IF( SUM( N33:R33 ) = 0, 0, $O$5 )</f>
        <v>0</v>
      </c>
      <c r="M33" s="70"/>
      <c r="N33" s="71"/>
      <c r="O33" s="93">
        <f>IF( Validation!$H$3=1, 0, IF(Validation!$B$3 &lt;&gt; "Thames Water", 0, (IF(ISNUMBER(G33), 0, 1))))</f>
        <v>0</v>
      </c>
      <c r="P33" s="93">
        <f>IF( Validation!$H$3=1, 0, IF(Validation!$B$3 &lt;&gt; "Thames Water", 0, (IF(ISNUMBER(H33), 0, 1))))</f>
        <v>0</v>
      </c>
      <c r="Q33" s="93">
        <f>IF( Validation!$H$3=1, 0, IF(Validation!$B$3 &lt;&gt; "Thames Water", 0, (IF(ISNUMBER(I33), 0, 1))))</f>
        <v>0</v>
      </c>
      <c r="R33" s="71"/>
      <c r="AA33" s="94" t="s">
        <v>1581</v>
      </c>
      <c r="AB33" s="87" t="s">
        <v>1543</v>
      </c>
      <c r="AC33" s="87"/>
      <c r="AD33" s="95" t="s">
        <v>51</v>
      </c>
      <c r="AE33" s="96">
        <v>3</v>
      </c>
      <c r="AF33" s="2355" t="s">
        <v>1613</v>
      </c>
      <c r="AG33" s="2529" t="s">
        <v>1614</v>
      </c>
      <c r="AH33" s="2589" t="s">
        <v>1615</v>
      </c>
      <c r="AI33" s="2007" t="s">
        <v>1616</v>
      </c>
    </row>
    <row r="34" spans="1:35" s="479" customFormat="1">
      <c r="A34" s="70"/>
      <c r="B34" s="94" t="s">
        <v>1586</v>
      </c>
      <c r="C34" s="87" t="s">
        <v>1549</v>
      </c>
      <c r="D34" s="87"/>
      <c r="E34" s="95" t="s">
        <v>51</v>
      </c>
      <c r="F34" s="96">
        <v>3</v>
      </c>
      <c r="G34" s="411"/>
      <c r="H34" s="412"/>
      <c r="I34" s="449"/>
      <c r="J34" s="191">
        <f t="shared" si="13"/>
        <v>0</v>
      </c>
      <c r="K34" s="70"/>
      <c r="L34" s="24">
        <f t="shared" si="14"/>
        <v>0</v>
      </c>
      <c r="M34" s="70"/>
      <c r="N34" s="71"/>
      <c r="O34" s="93">
        <f>IF( Validation!$H$3=1, 0, IF(Validation!$B$3 &lt;&gt; "Thames Water", 0, (IF(ISNUMBER(G34), 0, 1))))</f>
        <v>0</v>
      </c>
      <c r="P34" s="93">
        <f>IF( Validation!$H$3=1, 0, IF(Validation!$B$3 &lt;&gt; "Thames Water", 0, (IF(ISNUMBER(H34), 0, 1))))</f>
        <v>0</v>
      </c>
      <c r="Q34" s="93">
        <f>IF( Validation!$H$3=1, 0, IF(Validation!$B$3 &lt;&gt; "Thames Water", 0, (IF(ISNUMBER(I34), 0, 1))))</f>
        <v>0</v>
      </c>
      <c r="R34" s="71"/>
      <c r="AA34" s="94" t="s">
        <v>1586</v>
      </c>
      <c r="AB34" s="87" t="s">
        <v>1549</v>
      </c>
      <c r="AC34" s="87"/>
      <c r="AD34" s="95" t="s">
        <v>51</v>
      </c>
      <c r="AE34" s="96">
        <v>3</v>
      </c>
      <c r="AF34" s="2355" t="s">
        <v>1617</v>
      </c>
      <c r="AG34" s="2529" t="s">
        <v>1618</v>
      </c>
      <c r="AH34" s="2589" t="s">
        <v>1619</v>
      </c>
      <c r="AI34" s="2007" t="s">
        <v>1620</v>
      </c>
    </row>
    <row r="35" spans="1:35" s="479" customFormat="1" ht="15" thickBot="1">
      <c r="A35" s="70"/>
      <c r="B35" s="101" t="s">
        <v>1591</v>
      </c>
      <c r="C35" s="102" t="s">
        <v>710</v>
      </c>
      <c r="D35" s="102"/>
      <c r="E35" s="103" t="s">
        <v>51</v>
      </c>
      <c r="F35" s="100">
        <v>3</v>
      </c>
      <c r="G35" s="193">
        <f>SUM(G30:G34)</f>
        <v>0</v>
      </c>
      <c r="H35" s="194">
        <f>SUM(H30:H34)</f>
        <v>0</v>
      </c>
      <c r="I35" s="365">
        <f>SUM(I30:I34)</f>
        <v>0</v>
      </c>
      <c r="J35" s="195">
        <f t="shared" si="13"/>
        <v>0</v>
      </c>
      <c r="K35" s="70"/>
      <c r="L35" s="130"/>
      <c r="M35" s="70"/>
      <c r="N35" s="71"/>
      <c r="O35" s="70"/>
      <c r="P35" s="70"/>
      <c r="Q35" s="70"/>
      <c r="R35" s="71"/>
      <c r="AA35" s="101" t="s">
        <v>1591</v>
      </c>
      <c r="AB35" s="102" t="s">
        <v>710</v>
      </c>
      <c r="AC35" s="102"/>
      <c r="AD35" s="103" t="s">
        <v>51</v>
      </c>
      <c r="AE35" s="100">
        <v>3</v>
      </c>
      <c r="AF35" s="2096" t="s">
        <v>1621</v>
      </c>
      <c r="AG35" s="2011" t="s">
        <v>1622</v>
      </c>
      <c r="AH35" s="2099" t="s">
        <v>1623</v>
      </c>
      <c r="AI35" s="2009" t="s">
        <v>1624</v>
      </c>
    </row>
    <row r="36" spans="1:35" s="479" customFormat="1" ht="15" thickBot="1">
      <c r="A36" s="70"/>
      <c r="B36" s="121"/>
      <c r="C36" s="122"/>
      <c r="D36" s="122"/>
      <c r="E36" s="115"/>
      <c r="F36" s="115"/>
      <c r="G36" s="238"/>
      <c r="H36" s="238"/>
      <c r="I36" s="238"/>
      <c r="J36" s="238"/>
      <c r="K36" s="192"/>
      <c r="L36" s="130"/>
      <c r="M36" s="70"/>
      <c r="N36" s="71"/>
      <c r="O36" s="70"/>
      <c r="P36" s="70"/>
      <c r="Q36" s="70"/>
      <c r="R36" s="71"/>
      <c r="AA36" s="121"/>
      <c r="AB36" s="122"/>
      <c r="AC36" s="122"/>
      <c r="AD36" s="115"/>
      <c r="AE36" s="115"/>
      <c r="AF36" s="238"/>
      <c r="AG36" s="238"/>
      <c r="AH36" s="238"/>
      <c r="AI36" s="238"/>
    </row>
    <row r="37" spans="1:35" s="479" customFormat="1" ht="15" thickBot="1">
      <c r="A37" s="70"/>
      <c r="B37" s="131" t="s">
        <v>1596</v>
      </c>
      <c r="C37" s="132" t="s">
        <v>1560</v>
      </c>
      <c r="D37" s="132"/>
      <c r="E37" s="133" t="s">
        <v>51</v>
      </c>
      <c r="F37" s="134">
        <v>3</v>
      </c>
      <c r="G37" s="450">
        <v>0</v>
      </c>
      <c r="H37" s="766">
        <v>0</v>
      </c>
      <c r="I37" s="238"/>
      <c r="J37" s="486">
        <f xml:space="preserve"> +G37+H37</f>
        <v>0</v>
      </c>
      <c r="K37" s="70"/>
      <c r="L37" s="24">
        <f xml:space="preserve"> IF( SUM( N37:R37 ) = 0, 0, $O$5 )</f>
        <v>0</v>
      </c>
      <c r="M37" s="70"/>
      <c r="N37" s="71"/>
      <c r="O37" s="93">
        <f xml:space="preserve"> IF( ISNUMBER( G37 ), 0, 1 )</f>
        <v>0</v>
      </c>
      <c r="P37" s="93">
        <f>IF( Validation!$H$3=1, 0, IF(Validation!$B$3 &lt;&gt; "Thames Water", 0, (IF(ISNUMBER(H37), 0, 1))))</f>
        <v>0</v>
      </c>
      <c r="Q37" s="70"/>
      <c r="R37" s="71"/>
      <c r="AA37" s="131" t="s">
        <v>1596</v>
      </c>
      <c r="AB37" s="132" t="s">
        <v>1560</v>
      </c>
      <c r="AC37" s="132"/>
      <c r="AD37" s="133" t="s">
        <v>51</v>
      </c>
      <c r="AE37" s="134">
        <v>3</v>
      </c>
      <c r="AF37" s="2590" t="s">
        <v>1625</v>
      </c>
      <c r="AG37" s="2592" t="s">
        <v>1626</v>
      </c>
      <c r="AH37" s="238"/>
      <c r="AI37" s="2103" t="s">
        <v>1627</v>
      </c>
    </row>
    <row r="38" spans="1:35" s="479" customFormat="1">
      <c r="A38" s="70"/>
      <c r="B38" s="70"/>
      <c r="C38" s="70"/>
      <c r="D38" s="70"/>
      <c r="E38" s="70"/>
      <c r="F38" s="70"/>
      <c r="G38" s="70"/>
      <c r="H38" s="70"/>
      <c r="I38" s="70"/>
      <c r="J38" s="70"/>
      <c r="K38" s="70"/>
      <c r="L38" s="130"/>
      <c r="M38" s="70"/>
      <c r="N38" s="71"/>
      <c r="O38" s="70"/>
      <c r="P38" s="70"/>
      <c r="Q38" s="70"/>
      <c r="R38" s="71"/>
      <c r="AA38" s="70"/>
      <c r="AB38" s="70"/>
      <c r="AC38" s="70"/>
      <c r="AD38" s="70"/>
      <c r="AE38" s="70"/>
      <c r="AF38" s="70"/>
      <c r="AG38" s="70"/>
      <c r="AH38" s="70"/>
      <c r="AI38" s="70"/>
    </row>
    <row r="39" spans="1:35" s="479" customFormat="1" ht="15" thickBot="1">
      <c r="A39" s="70"/>
      <c r="B39" s="70"/>
      <c r="C39" s="70"/>
      <c r="D39" s="70"/>
      <c r="E39" s="70"/>
      <c r="F39" s="70"/>
      <c r="G39" s="70"/>
      <c r="H39" s="70"/>
      <c r="I39" s="70"/>
      <c r="J39" s="70"/>
      <c r="K39" s="70"/>
      <c r="L39" s="130"/>
      <c r="M39" s="70"/>
      <c r="N39" s="71"/>
      <c r="O39" s="70"/>
      <c r="P39" s="70"/>
      <c r="Q39" s="70"/>
      <c r="R39" s="71"/>
      <c r="AA39" s="70"/>
      <c r="AB39" s="70"/>
      <c r="AC39" s="70"/>
      <c r="AD39" s="70"/>
      <c r="AE39" s="70"/>
      <c r="AF39" s="70"/>
      <c r="AG39" s="70"/>
      <c r="AH39" s="70"/>
      <c r="AI39" s="70"/>
    </row>
    <row r="40" spans="1:35">
      <c r="G40" s="3088" t="str">
        <f>G3</f>
        <v>Current year</v>
      </c>
      <c r="H40" s="3089"/>
      <c r="I40" s="3089"/>
      <c r="J40" s="3090"/>
      <c r="K40" s="118"/>
      <c r="L40" s="130"/>
      <c r="M40" s="118"/>
      <c r="S40" s="479"/>
      <c r="T40" s="479"/>
      <c r="U40" s="479"/>
      <c r="V40" s="479"/>
      <c r="W40" s="479"/>
      <c r="X40" s="479"/>
      <c r="Y40" s="479"/>
      <c r="Z40" s="479"/>
      <c r="AF40" s="3088" t="str">
        <f>AF3</f>
        <v>Current year</v>
      </c>
      <c r="AG40" s="3089"/>
      <c r="AH40" s="3089"/>
      <c r="AI40" s="3090"/>
    </row>
    <row r="41" spans="1:35" ht="15" thickBot="1">
      <c r="G41" s="2997" t="s">
        <v>1628</v>
      </c>
      <c r="H41" s="78" t="s">
        <v>1629</v>
      </c>
      <c r="I41" s="78" t="s">
        <v>913</v>
      </c>
      <c r="J41" s="2998" t="s">
        <v>710</v>
      </c>
      <c r="K41" s="126"/>
      <c r="L41" s="130"/>
      <c r="M41" s="126"/>
      <c r="N41" s="124"/>
      <c r="O41" s="126"/>
      <c r="P41" s="126"/>
      <c r="Q41" s="126"/>
      <c r="R41" s="124"/>
      <c r="S41" s="479"/>
      <c r="T41" s="479"/>
      <c r="U41" s="479"/>
      <c r="V41" s="479"/>
      <c r="W41" s="479"/>
      <c r="X41" s="479"/>
      <c r="Y41" s="479"/>
      <c r="Z41" s="479"/>
      <c r="AF41" s="2997" t="s">
        <v>1628</v>
      </c>
      <c r="AG41" s="78" t="s">
        <v>1629</v>
      </c>
      <c r="AH41" s="78" t="s">
        <v>913</v>
      </c>
      <c r="AI41" s="2998" t="s">
        <v>710</v>
      </c>
    </row>
    <row r="42" spans="1:35" ht="15" thickBot="1">
      <c r="B42" s="113" t="s">
        <v>335</v>
      </c>
      <c r="C42" s="114" t="s">
        <v>1630</v>
      </c>
      <c r="D42" s="1505"/>
      <c r="K42" s="126"/>
      <c r="L42" s="130"/>
      <c r="M42" s="126"/>
      <c r="N42" s="119"/>
      <c r="O42" s="126"/>
      <c r="P42" s="126"/>
      <c r="Q42" s="126"/>
      <c r="R42" s="119"/>
      <c r="S42" s="479"/>
      <c r="T42" s="479"/>
      <c r="U42" s="479"/>
      <c r="V42" s="479"/>
      <c r="W42" s="479"/>
      <c r="X42" s="479"/>
      <c r="Y42" s="479"/>
      <c r="Z42" s="479"/>
      <c r="AA42" s="113" t="s">
        <v>335</v>
      </c>
      <c r="AB42" s="114" t="s">
        <v>1630</v>
      </c>
      <c r="AC42" s="1505"/>
    </row>
    <row r="43" spans="1:35">
      <c r="B43" s="86" t="s">
        <v>1631</v>
      </c>
      <c r="C43" s="117" t="s">
        <v>1632</v>
      </c>
      <c r="D43" s="117"/>
      <c r="E43" s="88" t="s">
        <v>51</v>
      </c>
      <c r="F43" s="89">
        <v>3</v>
      </c>
      <c r="G43" s="413">
        <v>168.21600000000001</v>
      </c>
      <c r="H43" s="424">
        <v>280.79599999999999</v>
      </c>
      <c r="I43" s="424"/>
      <c r="J43" s="190">
        <f>SUM(G43:I43)</f>
        <v>449.012</v>
      </c>
      <c r="K43" s="126"/>
      <c r="L43" s="24">
        <f t="shared" ref="L43" si="15" xml:space="preserve"> IF( SUM( N43:R43 ) = 0, 0, $O$5 )</f>
        <v>0</v>
      </c>
      <c r="M43" s="126"/>
      <c r="N43" s="119"/>
      <c r="O43" s="93">
        <f xml:space="preserve"> IF( ISNUMBER( G43 ), 0, 1 )</f>
        <v>0</v>
      </c>
      <c r="P43" s="93">
        <f>IF(Validation!$H$3=1,0,IF(ISNUMBER(H43),0,1))</f>
        <v>0</v>
      </c>
      <c r="Q43" s="93">
        <f>IF( Validation!$H$3=1, 0, IF(Validation!$B$3 &lt;&gt; "Thames Water", 0, (IF(ISNUMBER(I43), 0, 1))))</f>
        <v>0</v>
      </c>
      <c r="R43" s="119"/>
      <c r="S43" s="479"/>
      <c r="T43" s="479"/>
      <c r="U43" s="479"/>
      <c r="V43" s="479"/>
      <c r="W43" s="479"/>
      <c r="X43" s="479"/>
      <c r="Y43" s="479"/>
      <c r="Z43" s="479"/>
      <c r="AA43" s="86" t="s">
        <v>1631</v>
      </c>
      <c r="AB43" s="117" t="s">
        <v>1632</v>
      </c>
      <c r="AC43" s="117"/>
      <c r="AD43" s="88" t="s">
        <v>51</v>
      </c>
      <c r="AE43" s="89">
        <v>3</v>
      </c>
      <c r="AF43" s="2516" t="s">
        <v>1633</v>
      </c>
      <c r="AG43" s="2517" t="s">
        <v>1634</v>
      </c>
      <c r="AH43" s="2517" t="s">
        <v>1635</v>
      </c>
      <c r="AI43" s="190" t="s">
        <v>1636</v>
      </c>
    </row>
    <row r="44" spans="1:35">
      <c r="B44" s="94" t="s">
        <v>1637</v>
      </c>
      <c r="C44" s="87" t="s">
        <v>1638</v>
      </c>
      <c r="D44" s="87"/>
      <c r="E44" s="95" t="s">
        <v>51</v>
      </c>
      <c r="F44" s="96">
        <v>3</v>
      </c>
      <c r="G44" s="2162">
        <f>H13</f>
        <v>16.183</v>
      </c>
      <c r="H44" s="2163">
        <f>H24</f>
        <v>10.59</v>
      </c>
      <c r="I44" s="2163">
        <f>H35</f>
        <v>0</v>
      </c>
      <c r="J44" s="191">
        <f t="shared" ref="J44:J45" si="16">SUM(G44:I44)</f>
        <v>26.773</v>
      </c>
      <c r="K44" s="126"/>
      <c r="L44" s="130"/>
      <c r="M44" s="126"/>
      <c r="N44" s="119"/>
      <c r="O44" s="127"/>
      <c r="P44" s="127"/>
      <c r="Q44" s="127"/>
      <c r="R44" s="119"/>
      <c r="S44" s="479"/>
      <c r="T44" s="479"/>
      <c r="U44" s="479"/>
      <c r="V44" s="479"/>
      <c r="W44" s="479"/>
      <c r="X44" s="479"/>
      <c r="Y44" s="479"/>
      <c r="Z44" s="479"/>
      <c r="AA44" s="94" t="s">
        <v>1637</v>
      </c>
      <c r="AB44" s="87" t="s">
        <v>1638</v>
      </c>
      <c r="AC44" s="87"/>
      <c r="AD44" s="95" t="s">
        <v>51</v>
      </c>
      <c r="AE44" s="96">
        <v>3</v>
      </c>
      <c r="AF44" s="2162" t="str">
        <f>AG13</f>
        <v>BA1091CAP</v>
      </c>
      <c r="AG44" s="2163" t="str">
        <f>AG24</f>
        <v>BA2091CAP</v>
      </c>
      <c r="AH44" s="2163" t="str">
        <f>+AG35</f>
        <v>BA2091TTTCAP</v>
      </c>
      <c r="AI44" s="191" t="s">
        <v>1639</v>
      </c>
    </row>
    <row r="45" spans="1:35">
      <c r="B45" s="94" t="s">
        <v>1640</v>
      </c>
      <c r="C45" s="87" t="s">
        <v>1641</v>
      </c>
      <c r="D45" s="87"/>
      <c r="E45" s="95" t="s">
        <v>51</v>
      </c>
      <c r="F45" s="96">
        <v>3</v>
      </c>
      <c r="G45" s="411">
        <v>-4.681</v>
      </c>
      <c r="H45" s="412">
        <v>-3.8330000000000002</v>
      </c>
      <c r="I45" s="412"/>
      <c r="J45" s="191">
        <f t="shared" si="16"/>
        <v>-8.5139999999999993</v>
      </c>
      <c r="K45" s="126"/>
      <c r="L45" s="24">
        <f t="shared" ref="L45" si="17" xml:space="preserve"> IF( SUM( N45:R45 ) = 0, 0, $O$5 )</f>
        <v>0</v>
      </c>
      <c r="M45" s="126"/>
      <c r="N45" s="119"/>
      <c r="O45" s="93">
        <f xml:space="preserve"> IF( ISNUMBER( G45 ), 0, 1 )</f>
        <v>0</v>
      </c>
      <c r="P45" s="93">
        <f>IF(Validation!$H$3=1,0,IF(ISNUMBER(H45),0,1))</f>
        <v>0</v>
      </c>
      <c r="Q45" s="93">
        <f>IF( Validation!$H$3=1, 0, IF(Validation!$B$3 &lt;&gt; "Thames Water", 0, (IF(ISNUMBER(I45), 0, 1))))</f>
        <v>0</v>
      </c>
      <c r="R45" s="119"/>
      <c r="S45" s="479"/>
      <c r="T45" s="479"/>
      <c r="U45" s="479"/>
      <c r="V45" s="479"/>
      <c r="W45" s="479"/>
      <c r="X45" s="479"/>
      <c r="Y45" s="479"/>
      <c r="Z45" s="479"/>
      <c r="AA45" s="94" t="s">
        <v>1640</v>
      </c>
      <c r="AB45" s="87" t="s">
        <v>1641</v>
      </c>
      <c r="AC45" s="87"/>
      <c r="AD45" s="95" t="s">
        <v>51</v>
      </c>
      <c r="AE45" s="96">
        <v>3</v>
      </c>
      <c r="AF45" s="2519" t="s">
        <v>1642</v>
      </c>
      <c r="AG45" s="2520" t="s">
        <v>1643</v>
      </c>
      <c r="AH45" s="2520" t="s">
        <v>1644</v>
      </c>
      <c r="AI45" s="191" t="s">
        <v>1645</v>
      </c>
    </row>
    <row r="46" spans="1:35" ht="15" thickBot="1">
      <c r="B46" s="101" t="s">
        <v>1646</v>
      </c>
      <c r="C46" s="102" t="s">
        <v>1647</v>
      </c>
      <c r="D46" s="102"/>
      <c r="E46" s="103" t="s">
        <v>51</v>
      </c>
      <c r="F46" s="100">
        <v>3</v>
      </c>
      <c r="G46" s="193">
        <f>SUM(G43:G45)</f>
        <v>179.71799999999999</v>
      </c>
      <c r="H46" s="194">
        <f>SUM(H43:H45)</f>
        <v>287.55299999999994</v>
      </c>
      <c r="I46" s="194">
        <f>SUM(I43:I45)</f>
        <v>0</v>
      </c>
      <c r="J46" s="195">
        <f>SUM(G46:I46)</f>
        <v>467.27099999999996</v>
      </c>
      <c r="K46" s="126"/>
      <c r="L46" s="130"/>
      <c r="M46" s="126"/>
      <c r="N46" s="119"/>
      <c r="O46" s="126"/>
      <c r="P46" s="126"/>
      <c r="Q46" s="126"/>
      <c r="R46" s="119"/>
      <c r="S46" s="479"/>
      <c r="T46" s="479"/>
      <c r="U46" s="479"/>
      <c r="V46" s="479"/>
      <c r="W46" s="479"/>
      <c r="X46" s="479"/>
      <c r="Y46" s="479"/>
      <c r="Z46" s="479"/>
      <c r="AA46" s="101" t="s">
        <v>1646</v>
      </c>
      <c r="AB46" s="102" t="s">
        <v>1647</v>
      </c>
      <c r="AC46" s="102"/>
      <c r="AD46" s="103" t="s">
        <v>51</v>
      </c>
      <c r="AE46" s="100">
        <v>3</v>
      </c>
      <c r="AF46" s="193" t="s">
        <v>1648</v>
      </c>
      <c r="AG46" s="194" t="s">
        <v>1649</v>
      </c>
      <c r="AH46" s="194" t="s">
        <v>1650</v>
      </c>
      <c r="AI46" s="195" t="s">
        <v>1651</v>
      </c>
    </row>
    <row r="47" spans="1:35" ht="15" thickBot="1">
      <c r="B47" s="110"/>
      <c r="C47" s="152"/>
      <c r="D47" s="152"/>
      <c r="E47" s="110"/>
      <c r="F47" s="110"/>
      <c r="G47" s="163"/>
      <c r="H47" s="163"/>
      <c r="I47" s="163"/>
      <c r="J47" s="118"/>
      <c r="K47" s="126"/>
      <c r="L47" s="130"/>
      <c r="M47" s="126"/>
      <c r="N47" s="119"/>
      <c r="O47" s="126"/>
      <c r="P47" s="126"/>
      <c r="Q47" s="126"/>
      <c r="R47" s="119"/>
      <c r="S47" s="479"/>
      <c r="T47" s="479"/>
      <c r="U47" s="479"/>
      <c r="V47" s="479"/>
      <c r="W47" s="479"/>
      <c r="X47" s="479"/>
      <c r="Y47" s="479"/>
      <c r="Z47" s="479"/>
      <c r="AA47" s="110"/>
      <c r="AB47" s="152"/>
      <c r="AC47" s="152"/>
      <c r="AD47" s="110"/>
      <c r="AE47" s="110"/>
      <c r="AF47" s="163"/>
      <c r="AG47" s="163"/>
      <c r="AH47" s="163"/>
      <c r="AI47" s="118"/>
    </row>
    <row r="48" spans="1:35" ht="15" thickBot="1">
      <c r="B48" s="3036" t="s">
        <v>392</v>
      </c>
      <c r="C48" s="83" t="s">
        <v>1652</v>
      </c>
      <c r="D48" s="1505"/>
      <c r="K48" s="130"/>
      <c r="L48" s="130"/>
      <c r="M48" s="126"/>
      <c r="N48" s="119"/>
      <c r="O48" s="126"/>
      <c r="P48" s="126"/>
      <c r="Q48" s="126"/>
      <c r="R48" s="119"/>
      <c r="S48" s="479"/>
      <c r="T48" s="479"/>
      <c r="U48" s="479"/>
      <c r="V48" s="479"/>
      <c r="W48" s="479"/>
      <c r="X48" s="479"/>
      <c r="Y48" s="479"/>
      <c r="Z48" s="479"/>
      <c r="AA48" s="3036" t="s">
        <v>392</v>
      </c>
      <c r="AB48" s="83" t="s">
        <v>1652</v>
      </c>
      <c r="AC48" s="1505"/>
    </row>
    <row r="49" spans="1:35" ht="15" thickBot="1">
      <c r="B49" s="131" t="s">
        <v>1653</v>
      </c>
      <c r="C49" s="132" t="s">
        <v>1654</v>
      </c>
      <c r="D49" s="132"/>
      <c r="E49" s="1528" t="s">
        <v>1655</v>
      </c>
      <c r="F49" s="134">
        <v>3</v>
      </c>
      <c r="G49" s="450">
        <v>64.41</v>
      </c>
      <c r="H49" s="451">
        <v>648.26099999999997</v>
      </c>
      <c r="I49" s="451"/>
      <c r="J49" s="247">
        <f>G49+H49+I49</f>
        <v>712.67099999999994</v>
      </c>
      <c r="K49" s="130"/>
      <c r="L49" s="24">
        <f t="shared" ref="L49" si="18" xml:space="preserve"> IF( SUM( N49:R49 ) = 0, 0, $O$5 )</f>
        <v>0</v>
      </c>
      <c r="M49" s="126"/>
      <c r="N49" s="119"/>
      <c r="O49" s="93">
        <f t="shared" ref="O49" si="19" xml:space="preserve"> IF( ISNUMBER( G49 ), 0, 1 )</f>
        <v>0</v>
      </c>
      <c r="P49" s="93">
        <f>IF(Validation!$H$3=1,0,IF(ISNUMBER(H49),0,1))</f>
        <v>0</v>
      </c>
      <c r="Q49" s="93">
        <f>IF( Validation!$H$3=1, 0, IF(Validation!$B$3 &lt;&gt; "Thames Water", 0, (IF(ISNUMBER(I49), 0, 1))))</f>
        <v>0</v>
      </c>
      <c r="R49" s="119"/>
      <c r="S49" s="479"/>
      <c r="T49" s="479"/>
      <c r="U49" s="479"/>
      <c r="V49" s="479"/>
      <c r="W49" s="479"/>
      <c r="X49" s="479"/>
      <c r="Y49" s="479"/>
      <c r="Z49" s="479"/>
      <c r="AA49" s="131" t="s">
        <v>1653</v>
      </c>
      <c r="AB49" s="132" t="s">
        <v>1654</v>
      </c>
      <c r="AC49" s="132"/>
      <c r="AD49" s="1528" t="s">
        <v>1655</v>
      </c>
      <c r="AE49" s="134">
        <v>3</v>
      </c>
      <c r="AF49" s="2524" t="s">
        <v>1656</v>
      </c>
      <c r="AG49" s="2593" t="s">
        <v>1657</v>
      </c>
      <c r="AH49" s="2525" t="s">
        <v>1658</v>
      </c>
      <c r="AI49" s="247" t="s">
        <v>1659</v>
      </c>
    </row>
    <row r="50" spans="1:35">
      <c r="B50" s="110"/>
      <c r="C50" s="152"/>
      <c r="D50" s="152"/>
      <c r="E50" s="110"/>
      <c r="F50" s="110"/>
      <c r="H50" s="163"/>
      <c r="I50" s="163"/>
      <c r="J50" s="118"/>
      <c r="K50" s="118"/>
      <c r="L50" s="120"/>
      <c r="M50" s="118"/>
      <c r="N50" s="119"/>
      <c r="O50" s="120"/>
      <c r="P50" s="118"/>
      <c r="Q50" s="118"/>
      <c r="R50" s="119"/>
      <c r="S50" s="479"/>
      <c r="T50" s="479"/>
      <c r="U50" s="479"/>
      <c r="V50" s="479"/>
      <c r="W50" s="479"/>
      <c r="X50" s="479"/>
      <c r="Y50" s="479"/>
      <c r="Z50" s="479"/>
      <c r="AA50" s="110"/>
      <c r="AB50" s="152"/>
      <c r="AC50" s="152"/>
      <c r="AD50" s="110"/>
      <c r="AE50" s="110"/>
      <c r="AG50" s="163"/>
      <c r="AH50" s="163"/>
      <c r="AI50" s="118"/>
    </row>
    <row r="51" spans="1:35">
      <c r="B51" s="3077" t="s">
        <v>243</v>
      </c>
      <c r="C51" s="3077"/>
      <c r="D51" s="2988"/>
      <c r="E51" s="163"/>
      <c r="F51" s="163"/>
      <c r="G51" s="163"/>
      <c r="H51" s="163"/>
      <c r="I51" s="163"/>
      <c r="J51" s="126"/>
      <c r="K51" s="118"/>
      <c r="L51" s="120"/>
      <c r="M51" s="118"/>
      <c r="N51" s="124"/>
      <c r="O51" s="120"/>
      <c r="P51" s="118"/>
      <c r="Q51" s="118"/>
      <c r="R51" s="124"/>
      <c r="S51" s="479"/>
      <c r="T51" s="479"/>
      <c r="U51" s="479"/>
      <c r="V51" s="479"/>
      <c r="W51" s="479"/>
      <c r="X51" s="479"/>
      <c r="Y51" s="479"/>
      <c r="Z51" s="479"/>
      <c r="AA51" s="479"/>
      <c r="AB51" s="479"/>
      <c r="AC51" s="479"/>
      <c r="AD51" s="479"/>
      <c r="AE51" s="479"/>
      <c r="AF51" s="479"/>
      <c r="AG51" s="479"/>
      <c r="AH51" s="479"/>
      <c r="AI51" s="479"/>
    </row>
    <row r="52" spans="1:35">
      <c r="B52" s="141"/>
      <c r="C52" s="142"/>
      <c r="D52" s="142"/>
      <c r="E52" s="163"/>
      <c r="F52" s="163"/>
      <c r="G52" s="163"/>
      <c r="H52" s="163"/>
      <c r="I52" s="163"/>
      <c r="J52" s="126"/>
      <c r="K52" s="346"/>
      <c r="L52" s="130"/>
      <c r="M52" s="118"/>
      <c r="N52" s="124"/>
      <c r="O52" s="130"/>
      <c r="P52" s="118"/>
      <c r="Q52" s="118"/>
      <c r="R52" s="124"/>
      <c r="S52" s="479"/>
      <c r="T52" s="479"/>
      <c r="U52" s="479"/>
      <c r="V52" s="479"/>
      <c r="W52" s="479"/>
      <c r="X52" s="479"/>
      <c r="Y52" s="479"/>
      <c r="Z52" s="479"/>
      <c r="AA52" s="479"/>
      <c r="AB52" s="479"/>
      <c r="AC52" s="479"/>
      <c r="AD52" s="479"/>
      <c r="AE52" s="479"/>
      <c r="AF52" s="479"/>
      <c r="AG52" s="479"/>
      <c r="AH52" s="479"/>
      <c r="AI52" s="479"/>
    </row>
    <row r="53" spans="1:35">
      <c r="B53" s="25"/>
      <c r="C53" s="143" t="s">
        <v>190</v>
      </c>
      <c r="D53" s="143"/>
      <c r="E53" s="163"/>
      <c r="F53" s="163"/>
      <c r="G53" s="163"/>
      <c r="H53" s="163"/>
      <c r="I53" s="163"/>
      <c r="J53" s="126"/>
      <c r="K53" s="348"/>
      <c r="L53" s="120"/>
      <c r="M53" s="118"/>
      <c r="N53" s="124"/>
      <c r="O53" s="120"/>
      <c r="P53" s="118"/>
      <c r="Q53" s="118"/>
      <c r="R53" s="124"/>
      <c r="S53" s="479"/>
      <c r="T53" s="479"/>
      <c r="U53" s="479"/>
      <c r="V53" s="479"/>
      <c r="W53" s="479"/>
      <c r="X53" s="479"/>
      <c r="Y53" s="479"/>
      <c r="Z53" s="479"/>
      <c r="AA53" s="479"/>
      <c r="AB53" s="479"/>
      <c r="AC53" s="479"/>
      <c r="AD53" s="479"/>
      <c r="AE53" s="479"/>
      <c r="AF53" s="479"/>
      <c r="AG53" s="479"/>
      <c r="AH53" s="479"/>
      <c r="AI53" s="479"/>
    </row>
    <row r="54" spans="1:35">
      <c r="B54" s="141"/>
      <c r="C54" s="142"/>
      <c r="D54" s="142"/>
      <c r="E54" s="163"/>
      <c r="F54" s="163"/>
      <c r="G54" s="163"/>
      <c r="H54" s="163"/>
      <c r="I54" s="163"/>
      <c r="J54" s="126"/>
      <c r="K54" s="348"/>
      <c r="L54" s="110"/>
      <c r="M54" s="110"/>
      <c r="N54" s="124"/>
      <c r="O54" s="110"/>
      <c r="P54" s="110"/>
      <c r="Q54" s="110"/>
      <c r="R54" s="124"/>
      <c r="S54" s="479"/>
      <c r="T54" s="479"/>
      <c r="U54" s="479"/>
      <c r="V54" s="479"/>
      <c r="W54" s="479"/>
      <c r="X54" s="479"/>
      <c r="Y54" s="479"/>
      <c r="Z54" s="479"/>
      <c r="AA54" s="479"/>
      <c r="AB54" s="479"/>
      <c r="AC54" s="479"/>
      <c r="AD54" s="479"/>
      <c r="AE54" s="479"/>
      <c r="AF54" s="479"/>
      <c r="AG54" s="479"/>
      <c r="AH54" s="479"/>
      <c r="AI54" s="479"/>
    </row>
    <row r="55" spans="1:35">
      <c r="B55" s="144"/>
      <c r="C55" s="143" t="s">
        <v>191</v>
      </c>
      <c r="D55" s="143"/>
      <c r="E55" s="163"/>
      <c r="F55" s="163"/>
      <c r="G55" s="163"/>
      <c r="H55" s="163"/>
      <c r="I55" s="163"/>
      <c r="J55" s="126"/>
      <c r="K55" s="348"/>
      <c r="L55" s="110"/>
      <c r="M55" s="110"/>
      <c r="N55" s="124"/>
      <c r="O55" s="110"/>
      <c r="P55" s="110"/>
      <c r="Q55" s="110"/>
      <c r="R55" s="124"/>
      <c r="S55" s="479"/>
      <c r="T55" s="479"/>
      <c r="U55" s="479"/>
      <c r="V55" s="479"/>
      <c r="W55" s="479"/>
      <c r="X55" s="479"/>
      <c r="Y55" s="479"/>
      <c r="Z55" s="479"/>
      <c r="AA55" s="479"/>
      <c r="AB55" s="479"/>
      <c r="AC55" s="479"/>
      <c r="AD55" s="479"/>
      <c r="AE55" s="479"/>
      <c r="AF55" s="479"/>
      <c r="AG55" s="479"/>
      <c r="AH55" s="479"/>
      <c r="AI55" s="479"/>
    </row>
    <row r="56" spans="1:35">
      <c r="B56" s="145"/>
      <c r="C56" s="143"/>
      <c r="D56" s="143"/>
      <c r="E56" s="163"/>
      <c r="F56" s="163"/>
      <c r="G56" s="163"/>
      <c r="H56" s="163"/>
      <c r="I56" s="163"/>
      <c r="J56" s="126"/>
      <c r="K56" s="348"/>
      <c r="L56" s="120"/>
      <c r="M56" s="120"/>
      <c r="N56" s="124"/>
      <c r="O56" s="120"/>
      <c r="P56" s="120"/>
      <c r="Q56" s="120"/>
      <c r="R56" s="124"/>
      <c r="S56" s="479"/>
      <c r="T56" s="479"/>
      <c r="U56" s="479"/>
      <c r="V56" s="479"/>
      <c r="W56" s="479"/>
      <c r="X56" s="479"/>
      <c r="Y56" s="479"/>
      <c r="Z56" s="479"/>
      <c r="AA56" s="479"/>
      <c r="AB56" s="479"/>
      <c r="AC56" s="479"/>
      <c r="AD56" s="479"/>
      <c r="AE56" s="479"/>
      <c r="AF56" s="479"/>
      <c r="AG56" s="479"/>
      <c r="AH56" s="479"/>
      <c r="AI56" s="479"/>
    </row>
    <row r="57" spans="1:35" s="479" customFormat="1">
      <c r="A57" s="70"/>
      <c r="B57" s="2324"/>
      <c r="C57" s="179" t="s">
        <v>244</v>
      </c>
      <c r="D57" s="143"/>
      <c r="E57" s="163"/>
      <c r="F57" s="163"/>
      <c r="G57" s="163"/>
      <c r="H57" s="163"/>
      <c r="I57" s="163"/>
      <c r="J57" s="126"/>
      <c r="K57" s="348"/>
      <c r="L57" s="120"/>
      <c r="M57" s="120"/>
      <c r="N57" s="124"/>
      <c r="O57" s="120"/>
      <c r="P57" s="120"/>
      <c r="Q57" s="120"/>
      <c r="R57" s="124"/>
    </row>
    <row r="58" spans="1:35" ht="15" thickBot="1">
      <c r="A58" s="163"/>
      <c r="B58" s="178"/>
      <c r="C58" s="179"/>
      <c r="D58" s="179"/>
      <c r="E58" s="178"/>
      <c r="F58" s="178"/>
      <c r="G58" s="178"/>
      <c r="H58" s="178"/>
      <c r="I58" s="178"/>
      <c r="J58" s="130"/>
      <c r="K58" s="348"/>
      <c r="N58" s="124"/>
      <c r="R58" s="124"/>
      <c r="S58" s="479"/>
      <c r="T58" s="479"/>
      <c r="U58" s="479"/>
      <c r="V58" s="479"/>
      <c r="W58" s="479"/>
      <c r="X58" s="479"/>
      <c r="Y58" s="479"/>
      <c r="Z58" s="479"/>
      <c r="AA58" s="479"/>
      <c r="AB58" s="479"/>
      <c r="AC58" s="479"/>
      <c r="AD58" s="479"/>
      <c r="AE58" s="479"/>
      <c r="AF58" s="479"/>
      <c r="AG58" s="479"/>
      <c r="AH58" s="479"/>
      <c r="AI58" s="479"/>
    </row>
    <row r="59" spans="1:35" s="479" customFormat="1" ht="16.5" thickBot="1">
      <c r="A59" s="163"/>
      <c r="B59" s="3053" t="str">
        <f>'2D'!B36</f>
        <v>Please refer to RAG 4.08 - Guideline for the table definitions in the annual performance report for the reporting year 2019-20</v>
      </c>
      <c r="C59" s="147"/>
      <c r="D59" s="147"/>
      <c r="E59" s="148"/>
      <c r="F59" s="148"/>
      <c r="G59" s="148"/>
      <c r="H59" s="148"/>
      <c r="I59" s="148"/>
      <c r="J59" s="251"/>
      <c r="K59" s="348"/>
      <c r="L59" s="70"/>
      <c r="M59" s="70"/>
      <c r="N59" s="124"/>
      <c r="O59" s="70"/>
      <c r="P59" s="70"/>
      <c r="Q59" s="70"/>
      <c r="R59" s="124"/>
    </row>
    <row r="60" spans="1:35" s="479" customFormat="1">
      <c r="A60" s="163"/>
      <c r="B60" s="178"/>
      <c r="C60" s="179"/>
      <c r="D60" s="179"/>
      <c r="E60" s="178"/>
      <c r="F60" s="178"/>
      <c r="G60" s="178"/>
      <c r="H60" s="178"/>
      <c r="I60" s="178"/>
      <c r="J60" s="130"/>
      <c r="K60" s="348"/>
      <c r="L60" s="70"/>
      <c r="M60" s="70"/>
      <c r="N60" s="124"/>
      <c r="O60" s="70"/>
      <c r="P60" s="70"/>
      <c r="Q60" s="70"/>
      <c r="R60" s="124"/>
    </row>
    <row r="61" spans="1:35" ht="21.2" hidden="1" customHeight="1" thickBot="1">
      <c r="A61" s="1569"/>
      <c r="B61" s="146" t="str">
        <f ca="1" xml:space="preserve"> RIGHT(CELL("filename", $A$1), LEN(CELL("filename", $A$1)) - SEARCH("]", CELL("filename", $A$1)))&amp;" - Line definitions"</f>
        <v>2E - Line definitions</v>
      </c>
      <c r="C61" s="147"/>
      <c r="D61" s="147"/>
      <c r="E61" s="148"/>
      <c r="F61" s="148"/>
      <c r="G61" s="148"/>
      <c r="H61" s="148"/>
      <c r="I61" s="148"/>
      <c r="J61" s="251"/>
      <c r="K61" s="348"/>
      <c r="S61" s="479"/>
      <c r="T61" s="479"/>
      <c r="U61" s="479"/>
      <c r="V61" s="479"/>
      <c r="W61" s="479"/>
      <c r="X61" s="479"/>
      <c r="Y61" s="479"/>
      <c r="Z61" s="479"/>
      <c r="AA61" s="479"/>
      <c r="AB61" s="479"/>
      <c r="AC61" s="479"/>
      <c r="AD61" s="479"/>
      <c r="AE61" s="479"/>
      <c r="AF61" s="479"/>
      <c r="AG61" s="479"/>
      <c r="AH61" s="479"/>
      <c r="AI61" s="479"/>
    </row>
    <row r="62" spans="1:35" ht="15" hidden="1" customHeight="1" thickBot="1">
      <c r="A62" s="1561"/>
      <c r="B62" s="74"/>
      <c r="C62" s="155"/>
      <c r="D62" s="155"/>
      <c r="E62" s="74"/>
      <c r="F62" s="74"/>
      <c r="G62" s="110"/>
      <c r="H62" s="110"/>
      <c r="I62" s="110"/>
      <c r="J62" s="118"/>
      <c r="K62" s="348"/>
      <c r="S62" s="479"/>
      <c r="T62" s="479"/>
      <c r="U62" s="479"/>
      <c r="V62" s="479"/>
      <c r="W62" s="479"/>
      <c r="X62" s="479"/>
      <c r="Y62" s="479"/>
      <c r="Z62" s="479"/>
      <c r="AA62" s="479"/>
      <c r="AB62" s="479"/>
      <c r="AC62" s="479"/>
      <c r="AD62" s="479"/>
      <c r="AE62" s="479"/>
      <c r="AF62" s="479"/>
      <c r="AG62" s="479"/>
      <c r="AH62" s="479"/>
      <c r="AI62" s="479"/>
    </row>
    <row r="63" spans="1:35" ht="15" hidden="1" thickBot="1">
      <c r="A63" s="1560"/>
      <c r="B63" s="367" t="s">
        <v>193</v>
      </c>
      <c r="C63" s="368" t="s">
        <v>194</v>
      </c>
      <c r="D63" s="369"/>
      <c r="E63" s="369"/>
      <c r="F63" s="369"/>
      <c r="G63" s="369"/>
      <c r="H63" s="369"/>
      <c r="I63" s="369"/>
      <c r="J63" s="387"/>
      <c r="K63" s="348"/>
      <c r="O63" s="85" t="s">
        <v>195</v>
      </c>
      <c r="S63" s="479"/>
      <c r="T63" s="479"/>
      <c r="U63" s="479"/>
      <c r="V63" s="479"/>
      <c r="W63" s="479"/>
      <c r="X63" s="479"/>
      <c r="Y63" s="479"/>
      <c r="Z63" s="479"/>
      <c r="AA63" s="479"/>
      <c r="AB63" s="479"/>
      <c r="AC63" s="479"/>
      <c r="AD63" s="479"/>
      <c r="AE63" s="479"/>
      <c r="AF63" s="479"/>
      <c r="AG63" s="479"/>
      <c r="AH63" s="479"/>
      <c r="AI63" s="479"/>
    </row>
    <row r="64" spans="1:35" ht="14.25" hidden="1" customHeight="1">
      <c r="A64" s="1560"/>
      <c r="B64" s="786" t="str">
        <f t="shared" ref="B64:B70" si="20">B7</f>
        <v>2E.1</v>
      </c>
      <c r="C64" s="3152" t="s">
        <v>1660</v>
      </c>
      <c r="D64" s="3092"/>
      <c r="E64" s="3092"/>
      <c r="F64" s="3092"/>
      <c r="G64" s="3092"/>
      <c r="H64" s="3092"/>
      <c r="I64" s="3092"/>
      <c r="J64" s="3093"/>
      <c r="K64" s="348"/>
      <c r="O64" s="202">
        <v>1</v>
      </c>
      <c r="S64" s="479"/>
      <c r="T64" s="479"/>
      <c r="U64" s="479"/>
      <c r="V64" s="479"/>
      <c r="W64" s="479"/>
      <c r="X64" s="479"/>
      <c r="Y64" s="479"/>
      <c r="Z64" s="479"/>
      <c r="AA64" s="479"/>
      <c r="AB64" s="479"/>
      <c r="AC64" s="479"/>
      <c r="AD64" s="479"/>
      <c r="AE64" s="479"/>
      <c r="AF64" s="479"/>
      <c r="AG64" s="479"/>
      <c r="AH64" s="479"/>
      <c r="AI64" s="479"/>
    </row>
    <row r="65" spans="1:35" ht="23.25" hidden="1" customHeight="1">
      <c r="A65" s="1560"/>
      <c r="B65" s="787" t="str">
        <f t="shared" si="20"/>
        <v>2E.2</v>
      </c>
      <c r="C65" s="3153" t="s">
        <v>1661</v>
      </c>
      <c r="D65" s="3083"/>
      <c r="E65" s="3083"/>
      <c r="F65" s="3083"/>
      <c r="G65" s="3083"/>
      <c r="H65" s="3083"/>
      <c r="I65" s="3083"/>
      <c r="J65" s="3084"/>
      <c r="K65" s="348"/>
      <c r="O65" s="161" t="s">
        <v>197</v>
      </c>
      <c r="S65" s="479"/>
      <c r="T65" s="479"/>
      <c r="U65" s="479"/>
      <c r="V65" s="479"/>
      <c r="W65" s="479"/>
      <c r="X65" s="479"/>
      <c r="Y65" s="479"/>
      <c r="Z65" s="479"/>
      <c r="AA65" s="479"/>
      <c r="AB65" s="479"/>
      <c r="AC65" s="479"/>
      <c r="AD65" s="479"/>
      <c r="AE65" s="479"/>
      <c r="AF65" s="479"/>
      <c r="AG65" s="479"/>
      <c r="AH65" s="479"/>
      <c r="AI65" s="479"/>
    </row>
    <row r="66" spans="1:35" ht="14.25" hidden="1" customHeight="1">
      <c r="A66" s="1560"/>
      <c r="B66" s="787" t="str">
        <f t="shared" si="20"/>
        <v>2E.3</v>
      </c>
      <c r="C66" s="3153" t="s">
        <v>1662</v>
      </c>
      <c r="D66" s="3083"/>
      <c r="E66" s="3083"/>
      <c r="F66" s="3083"/>
      <c r="G66" s="3083"/>
      <c r="H66" s="3083"/>
      <c r="I66" s="3083"/>
      <c r="J66" s="3084"/>
      <c r="O66" s="158">
        <v>1</v>
      </c>
      <c r="S66" s="479"/>
      <c r="T66" s="479"/>
      <c r="U66" s="479"/>
      <c r="V66" s="479"/>
      <c r="W66" s="479"/>
      <c r="X66" s="479"/>
      <c r="Y66" s="479"/>
      <c r="Z66" s="479"/>
      <c r="AA66" s="479"/>
      <c r="AB66" s="479"/>
      <c r="AC66" s="479"/>
      <c r="AD66" s="479"/>
      <c r="AE66" s="479"/>
      <c r="AF66" s="479"/>
      <c r="AG66" s="479"/>
      <c r="AH66" s="479"/>
      <c r="AI66" s="479"/>
    </row>
    <row r="67" spans="1:35" s="479" customFormat="1" ht="14.25" hidden="1" customHeight="1">
      <c r="A67" s="1560"/>
      <c r="B67" s="787" t="str">
        <f t="shared" si="20"/>
        <v>2E.4</v>
      </c>
      <c r="C67" s="3153" t="s">
        <v>1663</v>
      </c>
      <c r="D67" s="3083"/>
      <c r="E67" s="3083"/>
      <c r="F67" s="3083"/>
      <c r="G67" s="3083"/>
      <c r="H67" s="3083"/>
      <c r="I67" s="3083"/>
      <c r="J67" s="3084"/>
      <c r="K67" s="70"/>
      <c r="L67" s="70"/>
      <c r="M67" s="70"/>
      <c r="N67" s="71"/>
      <c r="O67" s="158">
        <v>1</v>
      </c>
      <c r="P67" s="70"/>
      <c r="Q67" s="70"/>
      <c r="R67" s="71"/>
    </row>
    <row r="68" spans="1:35" ht="14.25" hidden="1" customHeight="1">
      <c r="A68" s="1560"/>
      <c r="B68" s="787" t="str">
        <f t="shared" si="20"/>
        <v>2E.5</v>
      </c>
      <c r="C68" s="3153" t="s">
        <v>1664</v>
      </c>
      <c r="D68" s="3083"/>
      <c r="E68" s="3083"/>
      <c r="F68" s="3083"/>
      <c r="G68" s="3083"/>
      <c r="H68" s="3083"/>
      <c r="I68" s="3083"/>
      <c r="J68" s="3084"/>
      <c r="O68" s="158">
        <v>1</v>
      </c>
      <c r="S68" s="479"/>
      <c r="T68" s="479"/>
      <c r="U68" s="479"/>
      <c r="V68" s="479"/>
      <c r="W68" s="479"/>
      <c r="X68" s="479"/>
      <c r="Y68" s="479"/>
      <c r="Z68" s="479"/>
      <c r="AA68" s="479"/>
      <c r="AB68" s="479"/>
      <c r="AC68" s="479"/>
      <c r="AD68" s="479"/>
      <c r="AE68" s="479"/>
      <c r="AF68" s="479"/>
      <c r="AG68" s="479"/>
      <c r="AH68" s="479"/>
      <c r="AI68" s="479"/>
    </row>
    <row r="69" spans="1:35" ht="13.7" hidden="1" customHeight="1">
      <c r="A69" s="1560"/>
      <c r="B69" s="787" t="str">
        <f t="shared" si="20"/>
        <v>2E.6</v>
      </c>
      <c r="C69" s="3153" t="s">
        <v>1665</v>
      </c>
      <c r="D69" s="3083"/>
      <c r="E69" s="3083"/>
      <c r="F69" s="3083"/>
      <c r="G69" s="3083"/>
      <c r="H69" s="3083"/>
      <c r="I69" s="3083"/>
      <c r="J69" s="3084"/>
      <c r="O69" s="161">
        <v>1</v>
      </c>
      <c r="S69" s="479"/>
      <c r="T69" s="479"/>
      <c r="U69" s="479"/>
      <c r="V69" s="479"/>
      <c r="W69" s="479"/>
      <c r="X69" s="479"/>
      <c r="Y69" s="479"/>
      <c r="Z69" s="479"/>
      <c r="AA69" s="479"/>
      <c r="AB69" s="479"/>
      <c r="AC69" s="479"/>
      <c r="AD69" s="479"/>
      <c r="AE69" s="479"/>
      <c r="AF69" s="479"/>
      <c r="AG69" s="479"/>
      <c r="AH69" s="479"/>
      <c r="AI69" s="479"/>
    </row>
    <row r="70" spans="1:35" ht="14.25" hidden="1" customHeight="1">
      <c r="A70" s="1560"/>
      <c r="B70" s="787" t="str">
        <f t="shared" si="20"/>
        <v>2E.7</v>
      </c>
      <c r="C70" s="3153" t="s">
        <v>1666</v>
      </c>
      <c r="D70" s="3083"/>
      <c r="E70" s="3083"/>
      <c r="F70" s="3083"/>
      <c r="G70" s="3083"/>
      <c r="H70" s="3083"/>
      <c r="I70" s="3083"/>
      <c r="J70" s="3084"/>
      <c r="O70" s="158">
        <v>1</v>
      </c>
      <c r="S70" s="479"/>
      <c r="T70" s="479"/>
      <c r="U70" s="479"/>
      <c r="V70" s="479"/>
      <c r="W70" s="479"/>
      <c r="X70" s="479"/>
      <c r="Y70" s="479"/>
      <c r="Z70" s="479"/>
      <c r="AA70" s="479"/>
      <c r="AB70" s="479"/>
      <c r="AC70" s="479"/>
      <c r="AD70" s="479"/>
      <c r="AE70" s="479"/>
      <c r="AF70" s="479"/>
      <c r="AG70" s="479"/>
      <c r="AH70" s="479"/>
      <c r="AI70" s="479"/>
    </row>
    <row r="71" spans="1:35" s="479" customFormat="1" ht="14.25" hidden="1" customHeight="1">
      <c r="A71" s="1560"/>
      <c r="B71" s="787" t="str">
        <f t="shared" ref="B71" si="21">B15</f>
        <v>2E.8</v>
      </c>
      <c r="C71" s="3153" t="s">
        <v>1667</v>
      </c>
      <c r="D71" s="3083"/>
      <c r="E71" s="3083"/>
      <c r="F71" s="3083"/>
      <c r="G71" s="3083"/>
      <c r="H71" s="3083"/>
      <c r="I71" s="3083"/>
      <c r="J71" s="3084"/>
      <c r="K71" s="70"/>
      <c r="L71" s="70"/>
      <c r="M71" s="70"/>
      <c r="N71" s="71"/>
      <c r="O71" s="158">
        <v>1</v>
      </c>
      <c r="P71" s="70"/>
      <c r="Q71" s="70"/>
      <c r="R71" s="71"/>
    </row>
    <row r="72" spans="1:35" ht="23.25" hidden="1" customHeight="1">
      <c r="A72" s="1561"/>
      <c r="B72" s="787" t="str">
        <f t="shared" ref="B72:B77" si="22">B19</f>
        <v>2E.9</v>
      </c>
      <c r="C72" s="3153" t="s">
        <v>1668</v>
      </c>
      <c r="D72" s="3083"/>
      <c r="E72" s="3083"/>
      <c r="F72" s="3083"/>
      <c r="G72" s="3083"/>
      <c r="H72" s="3083"/>
      <c r="I72" s="3083"/>
      <c r="J72" s="3084"/>
      <c r="O72" s="161" t="s">
        <v>197</v>
      </c>
      <c r="S72" s="479"/>
      <c r="T72" s="479"/>
      <c r="U72" s="479"/>
      <c r="V72" s="479"/>
      <c r="W72" s="479"/>
      <c r="X72" s="479"/>
      <c r="Y72" s="479"/>
      <c r="Z72" s="479"/>
      <c r="AA72" s="479"/>
      <c r="AB72" s="479"/>
      <c r="AC72" s="479"/>
      <c r="AD72" s="479"/>
      <c r="AE72" s="479"/>
      <c r="AF72" s="479"/>
      <c r="AG72" s="479"/>
      <c r="AH72" s="479"/>
      <c r="AI72" s="479"/>
    </row>
    <row r="73" spans="1:35" ht="14.25" hidden="1" customHeight="1">
      <c r="A73" s="1560"/>
      <c r="B73" s="787" t="str">
        <f t="shared" si="22"/>
        <v>2E.10</v>
      </c>
      <c r="C73" s="3153" t="s">
        <v>1669</v>
      </c>
      <c r="D73" s="3083"/>
      <c r="E73" s="3083"/>
      <c r="F73" s="3083"/>
      <c r="G73" s="3083"/>
      <c r="H73" s="3083"/>
      <c r="I73" s="3083"/>
      <c r="J73" s="3084"/>
      <c r="O73" s="158">
        <v>1</v>
      </c>
      <c r="S73" s="479"/>
      <c r="T73" s="479"/>
      <c r="U73" s="479"/>
      <c r="V73" s="479"/>
      <c r="W73" s="479"/>
      <c r="X73" s="479"/>
      <c r="Y73" s="479"/>
      <c r="Z73" s="479"/>
      <c r="AA73" s="479"/>
      <c r="AB73" s="479"/>
      <c r="AC73" s="479"/>
      <c r="AD73" s="479"/>
      <c r="AE73" s="479"/>
      <c r="AF73" s="479"/>
      <c r="AG73" s="479"/>
      <c r="AH73" s="479"/>
      <c r="AI73" s="479"/>
    </row>
    <row r="74" spans="1:35" s="479" customFormat="1" ht="14.25" hidden="1" customHeight="1">
      <c r="A74" s="1560"/>
      <c r="B74" s="787" t="str">
        <f t="shared" si="22"/>
        <v>2E.11</v>
      </c>
      <c r="C74" s="3153" t="s">
        <v>1670</v>
      </c>
      <c r="D74" s="3083"/>
      <c r="E74" s="3083"/>
      <c r="F74" s="3083"/>
      <c r="G74" s="3083"/>
      <c r="H74" s="3083"/>
      <c r="I74" s="3083"/>
      <c r="J74" s="3084"/>
      <c r="K74" s="70"/>
      <c r="L74" s="70"/>
      <c r="M74" s="70"/>
      <c r="N74" s="71"/>
      <c r="O74" s="158">
        <v>1</v>
      </c>
      <c r="P74" s="70"/>
      <c r="Q74" s="70"/>
      <c r="R74" s="71"/>
    </row>
    <row r="75" spans="1:35" ht="13.7" hidden="1" customHeight="1">
      <c r="A75" s="1560"/>
      <c r="B75" s="787" t="str">
        <f t="shared" si="22"/>
        <v>2E.12</v>
      </c>
      <c r="C75" s="3153" t="s">
        <v>1671</v>
      </c>
      <c r="D75" s="3083"/>
      <c r="E75" s="3083"/>
      <c r="F75" s="3083"/>
      <c r="G75" s="3083"/>
      <c r="H75" s="3083"/>
      <c r="I75" s="3083"/>
      <c r="J75" s="3084"/>
      <c r="O75" s="158">
        <v>1</v>
      </c>
      <c r="S75" s="479"/>
      <c r="T75" s="479"/>
      <c r="U75" s="479"/>
      <c r="V75" s="479"/>
      <c r="W75" s="479"/>
      <c r="X75" s="479"/>
      <c r="Y75" s="479"/>
      <c r="Z75" s="479"/>
      <c r="AA75" s="479"/>
      <c r="AB75" s="479"/>
      <c r="AC75" s="479"/>
      <c r="AD75" s="479"/>
      <c r="AE75" s="479"/>
      <c r="AF75" s="479"/>
      <c r="AG75" s="479"/>
      <c r="AH75" s="479"/>
      <c r="AI75" s="479"/>
    </row>
    <row r="76" spans="1:35" ht="13.7" hidden="1" customHeight="1">
      <c r="A76" s="1560"/>
      <c r="B76" s="787" t="str">
        <f t="shared" si="22"/>
        <v>2E.13</v>
      </c>
      <c r="C76" s="3153" t="s">
        <v>1672</v>
      </c>
      <c r="D76" s="3083"/>
      <c r="E76" s="3083"/>
      <c r="F76" s="3083"/>
      <c r="G76" s="3083"/>
      <c r="H76" s="3083"/>
      <c r="I76" s="3083"/>
      <c r="J76" s="3084"/>
      <c r="O76" s="161">
        <v>1</v>
      </c>
      <c r="S76" s="479"/>
      <c r="T76" s="479"/>
      <c r="U76" s="479"/>
      <c r="V76" s="479"/>
      <c r="W76" s="479"/>
      <c r="X76" s="479"/>
      <c r="Y76" s="479"/>
      <c r="Z76" s="479"/>
      <c r="AA76" s="479"/>
      <c r="AB76" s="479"/>
      <c r="AC76" s="479"/>
      <c r="AD76" s="479"/>
      <c r="AE76" s="479"/>
      <c r="AF76" s="479"/>
      <c r="AG76" s="479"/>
      <c r="AH76" s="479"/>
      <c r="AI76" s="479"/>
    </row>
    <row r="77" spans="1:35" hidden="1">
      <c r="A77" s="1560"/>
      <c r="B77" s="787" t="str">
        <f t="shared" si="22"/>
        <v>2E.14</v>
      </c>
      <c r="C77" s="3153" t="s">
        <v>1673</v>
      </c>
      <c r="D77" s="3083"/>
      <c r="E77" s="3083"/>
      <c r="F77" s="3083"/>
      <c r="G77" s="3083"/>
      <c r="H77" s="3083"/>
      <c r="I77" s="3083"/>
      <c r="J77" s="3084"/>
      <c r="O77" s="158">
        <v>1</v>
      </c>
      <c r="S77" s="479"/>
      <c r="T77" s="479"/>
      <c r="U77" s="479"/>
      <c r="V77" s="479"/>
      <c r="W77" s="479"/>
      <c r="X77" s="479"/>
      <c r="Y77" s="479"/>
      <c r="Z77" s="479"/>
      <c r="AA77" s="479"/>
      <c r="AB77" s="479"/>
      <c r="AC77" s="479"/>
      <c r="AD77" s="479"/>
      <c r="AE77" s="479"/>
      <c r="AF77" s="479"/>
      <c r="AG77" s="479"/>
      <c r="AH77" s="479"/>
      <c r="AI77" s="479"/>
    </row>
    <row r="78" spans="1:35" s="479" customFormat="1" hidden="1">
      <c r="A78" s="1560"/>
      <c r="B78" s="787" t="str">
        <f t="shared" ref="B78" si="23">B26</f>
        <v>2E.15</v>
      </c>
      <c r="C78" s="3153" t="s">
        <v>1674</v>
      </c>
      <c r="D78" s="3083"/>
      <c r="E78" s="3083"/>
      <c r="F78" s="3083"/>
      <c r="G78" s="3083"/>
      <c r="H78" s="3083"/>
      <c r="I78" s="3083"/>
      <c r="J78" s="3084"/>
      <c r="K78" s="70"/>
      <c r="L78" s="70"/>
      <c r="M78" s="70"/>
      <c r="N78" s="71"/>
      <c r="O78" s="158">
        <v>1</v>
      </c>
      <c r="P78" s="70"/>
      <c r="Q78" s="70"/>
      <c r="R78" s="71"/>
    </row>
    <row r="79" spans="1:35" ht="13.7" hidden="1" customHeight="1">
      <c r="A79" s="1560"/>
      <c r="B79" s="787" t="str">
        <f>B43</f>
        <v>2E.16</v>
      </c>
      <c r="C79" s="3153" t="s">
        <v>1675</v>
      </c>
      <c r="D79" s="3083"/>
      <c r="E79" s="3083"/>
      <c r="F79" s="3083"/>
      <c r="G79" s="3083"/>
      <c r="H79" s="3083"/>
      <c r="I79" s="3083"/>
      <c r="J79" s="3084"/>
      <c r="O79" s="158">
        <v>1</v>
      </c>
      <c r="S79" s="479"/>
      <c r="T79" s="479"/>
      <c r="U79" s="479"/>
      <c r="V79" s="479"/>
      <c r="W79" s="479"/>
      <c r="X79" s="479"/>
      <c r="Y79" s="479"/>
      <c r="Z79" s="479"/>
      <c r="AA79" s="479"/>
      <c r="AB79" s="479"/>
      <c r="AC79" s="479"/>
      <c r="AD79" s="479"/>
      <c r="AE79" s="479"/>
      <c r="AF79" s="479"/>
      <c r="AG79" s="479"/>
      <c r="AH79" s="479"/>
      <c r="AI79" s="479"/>
    </row>
    <row r="80" spans="1:35" ht="13.7" hidden="1" customHeight="1">
      <c r="A80" s="1560"/>
      <c r="B80" s="787" t="str">
        <f>B44</f>
        <v>2E.17</v>
      </c>
      <c r="C80" s="3153" t="s">
        <v>1676</v>
      </c>
      <c r="D80" s="3083"/>
      <c r="E80" s="3083"/>
      <c r="F80" s="3083"/>
      <c r="G80" s="3083"/>
      <c r="H80" s="3083"/>
      <c r="I80" s="3083"/>
      <c r="J80" s="3084"/>
      <c r="O80" s="158">
        <v>1</v>
      </c>
      <c r="S80" s="479"/>
      <c r="T80" s="479"/>
      <c r="U80" s="479"/>
      <c r="V80" s="479"/>
      <c r="W80" s="479"/>
      <c r="X80" s="479"/>
      <c r="Y80" s="479"/>
      <c r="Z80" s="479"/>
      <c r="AA80" s="479"/>
      <c r="AB80" s="479"/>
      <c r="AC80" s="479"/>
      <c r="AD80" s="479"/>
      <c r="AE80" s="479"/>
      <c r="AF80" s="479"/>
      <c r="AG80" s="479"/>
      <c r="AH80" s="479"/>
      <c r="AI80" s="479"/>
    </row>
    <row r="81" spans="1:35" ht="13.7" hidden="1" customHeight="1">
      <c r="A81" s="1560"/>
      <c r="B81" s="787" t="str">
        <f>B45</f>
        <v>2E.18</v>
      </c>
      <c r="C81" s="3153" t="s">
        <v>1677</v>
      </c>
      <c r="D81" s="3083"/>
      <c r="E81" s="3083"/>
      <c r="F81" s="3083"/>
      <c r="G81" s="3083"/>
      <c r="H81" s="3083"/>
      <c r="I81" s="3083"/>
      <c r="J81" s="3084"/>
      <c r="O81" s="158">
        <v>1</v>
      </c>
      <c r="S81" s="479"/>
      <c r="T81" s="479"/>
      <c r="U81" s="479"/>
      <c r="V81" s="479"/>
      <c r="W81" s="479"/>
      <c r="X81" s="479"/>
      <c r="Y81" s="479"/>
      <c r="Z81" s="479"/>
      <c r="AA81" s="479"/>
      <c r="AB81" s="479"/>
      <c r="AC81" s="479"/>
      <c r="AD81" s="479"/>
      <c r="AE81" s="479"/>
      <c r="AF81" s="479"/>
      <c r="AG81" s="479"/>
      <c r="AH81" s="479"/>
      <c r="AI81" s="479"/>
    </row>
    <row r="82" spans="1:35" ht="23.25" hidden="1" customHeight="1">
      <c r="A82" s="1560"/>
      <c r="B82" s="787" t="str">
        <f>B46</f>
        <v>2E.19</v>
      </c>
      <c r="C82" s="3153" t="s">
        <v>1678</v>
      </c>
      <c r="D82" s="3083"/>
      <c r="E82" s="3083"/>
      <c r="F82" s="3083"/>
      <c r="G82" s="3083"/>
      <c r="H82" s="3083"/>
      <c r="I82" s="3083"/>
      <c r="J82" s="3084"/>
      <c r="O82" s="161" t="s">
        <v>197</v>
      </c>
      <c r="S82" s="479"/>
      <c r="T82" s="479"/>
      <c r="U82" s="479"/>
      <c r="V82" s="479"/>
      <c r="W82" s="479"/>
      <c r="X82" s="479"/>
      <c r="Y82" s="479"/>
      <c r="Z82" s="479"/>
      <c r="AA82" s="479"/>
      <c r="AB82" s="479"/>
      <c r="AC82" s="479"/>
      <c r="AD82" s="479"/>
      <c r="AE82" s="479"/>
      <c r="AF82" s="479"/>
      <c r="AG82" s="479"/>
      <c r="AH82" s="479"/>
      <c r="AI82" s="479"/>
    </row>
    <row r="83" spans="1:35" ht="24" hidden="1" customHeight="1" thickBot="1">
      <c r="A83" s="1560"/>
      <c r="B83" s="788" t="str">
        <f>B49</f>
        <v>2E.20</v>
      </c>
      <c r="C83" s="3154" t="s">
        <v>1679</v>
      </c>
      <c r="D83" s="3086"/>
      <c r="E83" s="3086"/>
      <c r="F83" s="3086"/>
      <c r="G83" s="3086"/>
      <c r="H83" s="3086"/>
      <c r="I83" s="3086"/>
      <c r="J83" s="3087"/>
      <c r="O83" s="161" t="s">
        <v>197</v>
      </c>
      <c r="S83" s="479"/>
      <c r="T83" s="479"/>
      <c r="U83" s="479"/>
      <c r="V83" s="479"/>
      <c r="W83" s="479"/>
      <c r="X83" s="479"/>
      <c r="Y83" s="479"/>
      <c r="Z83" s="479"/>
      <c r="AA83" s="479"/>
      <c r="AB83" s="479"/>
      <c r="AC83" s="479"/>
      <c r="AD83" s="479"/>
      <c r="AE83" s="479"/>
      <c r="AF83" s="479"/>
      <c r="AG83" s="479"/>
      <c r="AH83" s="479"/>
      <c r="AI83" s="479"/>
    </row>
    <row r="84" spans="1:35" hidden="1">
      <c r="A84" s="1562"/>
      <c r="S84" s="479"/>
      <c r="T84" s="479"/>
      <c r="U84" s="479"/>
      <c r="V84" s="479"/>
      <c r="W84" s="479"/>
      <c r="X84" s="479"/>
      <c r="Y84" s="479"/>
      <c r="Z84" s="479"/>
      <c r="AA84" s="479"/>
      <c r="AB84" s="479"/>
      <c r="AC84" s="479"/>
      <c r="AD84" s="479"/>
      <c r="AE84" s="479"/>
      <c r="AF84" s="479"/>
      <c r="AG84" s="479"/>
      <c r="AH84" s="479"/>
      <c r="AI84" s="479"/>
    </row>
    <row r="85" spans="1:35" hidden="1">
      <c r="A85" s="120"/>
      <c r="S85" s="479"/>
      <c r="T85" s="479"/>
      <c r="U85" s="479"/>
      <c r="V85" s="479"/>
      <c r="W85" s="479"/>
      <c r="X85" s="479"/>
      <c r="Y85" s="479"/>
      <c r="Z85" s="479"/>
    </row>
    <row r="86" spans="1:35" hidden="1">
      <c r="A86" s="120"/>
      <c r="S86" s="479"/>
      <c r="T86" s="479"/>
      <c r="U86" s="479"/>
      <c r="V86" s="479"/>
      <c r="W86" s="479"/>
      <c r="X86" s="479"/>
      <c r="Y86" s="479"/>
      <c r="Z86" s="479"/>
    </row>
  </sheetData>
  <sheetProtection algorithmName="SHA-512" hashValue="LOX5woMlWkKRhnxAqqvwf0cD7L1yIU/BuGkzRcapnVfUuwm4Yqy7mjgJmsU6DUAotB1Sk6nx2tvKJOO4kJylfA==" saltValue="WHvVv7YlPHrJQ7LcZc8jcA==" spinCount="100000" sheet="1" objects="1" scenarios="1"/>
  <mergeCells count="33">
    <mergeCell ref="C71:J71"/>
    <mergeCell ref="C78:J78"/>
    <mergeCell ref="C74:J74"/>
    <mergeCell ref="C72:J72"/>
    <mergeCell ref="C82:J82"/>
    <mergeCell ref="C73:J73"/>
    <mergeCell ref="C83:J83"/>
    <mergeCell ref="C75:J75"/>
    <mergeCell ref="C76:J76"/>
    <mergeCell ref="C77:J77"/>
    <mergeCell ref="C79:J79"/>
    <mergeCell ref="C80:J80"/>
    <mergeCell ref="C81:J81"/>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AA3:AB4"/>
    <mergeCell ref="AD3:AD4"/>
    <mergeCell ref="AE3:AE4"/>
    <mergeCell ref="AF3:AI3"/>
    <mergeCell ref="AF40:AI40"/>
  </mergeCells>
  <conditionalFormatting sqref="L7:L9 L19:L20 L45 L49 L11:L12 L22:L23">
    <cfRule type="cellIs" dxfId="1301" priority="40" operator="equal">
      <formula>0</formula>
    </cfRule>
  </conditionalFormatting>
  <conditionalFormatting sqref="L19">
    <cfRule type="cellIs" dxfId="1300" priority="39" operator="equal">
      <formula>0</formula>
    </cfRule>
  </conditionalFormatting>
  <conditionalFormatting sqref="L22">
    <cfRule type="cellIs" dxfId="1299" priority="38" operator="equal">
      <formula>0</formula>
    </cfRule>
  </conditionalFormatting>
  <conditionalFormatting sqref="L20">
    <cfRule type="cellIs" dxfId="1298" priority="37" operator="equal">
      <formula>0</formula>
    </cfRule>
  </conditionalFormatting>
  <conditionalFormatting sqref="L45">
    <cfRule type="cellIs" dxfId="1297" priority="36" operator="equal">
      <formula>0</formula>
    </cfRule>
  </conditionalFormatting>
  <conditionalFormatting sqref="L49">
    <cfRule type="cellIs" dxfId="1296" priority="35" operator="equal">
      <formula>0</formula>
    </cfRule>
  </conditionalFormatting>
  <conditionalFormatting sqref="L43">
    <cfRule type="cellIs" dxfId="1295" priority="34" operator="equal">
      <formula>0</formula>
    </cfRule>
  </conditionalFormatting>
  <conditionalFormatting sqref="L43">
    <cfRule type="cellIs" dxfId="1294" priority="33" operator="equal">
      <formula>0</formula>
    </cfRule>
  </conditionalFormatting>
  <conditionalFormatting sqref="L15">
    <cfRule type="cellIs" dxfId="1293" priority="31" operator="equal">
      <formula>0</formula>
    </cfRule>
  </conditionalFormatting>
  <conditionalFormatting sqref="L26">
    <cfRule type="cellIs" dxfId="1292" priority="30" operator="equal">
      <formula>0</formula>
    </cfRule>
  </conditionalFormatting>
  <conditionalFormatting sqref="L30:L31 L33:L34">
    <cfRule type="cellIs" dxfId="1291" priority="21" operator="equal">
      <formula>0</formula>
    </cfRule>
  </conditionalFormatting>
  <conditionalFormatting sqref="L30">
    <cfRule type="cellIs" dxfId="1290" priority="20" operator="equal">
      <formula>0</formula>
    </cfRule>
  </conditionalFormatting>
  <conditionalFormatting sqref="L33">
    <cfRule type="cellIs" dxfId="1289" priority="19" operator="equal">
      <formula>0</formula>
    </cfRule>
  </conditionalFormatting>
  <conditionalFormatting sqref="L31">
    <cfRule type="cellIs" dxfId="1288" priority="18" operator="equal">
      <formula>0</formula>
    </cfRule>
  </conditionalFormatting>
  <conditionalFormatting sqref="L37">
    <cfRule type="cellIs" dxfId="1287" priority="17" operator="equal">
      <formula>0</formula>
    </cfRule>
  </conditionalFormatting>
  <conditionalFormatting sqref="L32">
    <cfRule type="cellIs" dxfId="1286" priority="15" operator="equal">
      <formula>0</formula>
    </cfRule>
  </conditionalFormatting>
  <conditionalFormatting sqref="L32">
    <cfRule type="cellIs" dxfId="1285" priority="14" operator="equal">
      <formula>0</formula>
    </cfRule>
  </conditionalFormatting>
  <conditionalFormatting sqref="L10">
    <cfRule type="cellIs" dxfId="1284" priority="8" operator="equal">
      <formula>0</formula>
    </cfRule>
  </conditionalFormatting>
  <conditionalFormatting sqref="L21">
    <cfRule type="cellIs" dxfId="1283" priority="6" operator="equal">
      <formula>0</formula>
    </cfRule>
  </conditionalFormatting>
  <conditionalFormatting sqref="L21">
    <cfRule type="cellIs" dxfId="1282" priority="7" operator="equal">
      <formula>0</formula>
    </cfRule>
  </conditionalFormatting>
  <conditionalFormatting sqref="I43:I46 I49 G30:J35 H37 J37">
    <cfRule type="expression" dxfId="1281" priority="5">
      <formula>$J$1 &lt;&gt; "Thames Water"</formula>
    </cfRule>
  </conditionalFormatting>
  <conditionalFormatting sqref="G37">
    <cfRule type="expression" dxfId="1280"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AI32"/>
  <sheetViews>
    <sheetView workbookViewId="0">
      <selection activeCell="H16" sqref="H16"/>
    </sheetView>
  </sheetViews>
  <sheetFormatPr defaultColWidth="0" defaultRowHeight="14.25" zeroHeight="1"/>
  <cols>
    <col min="1" max="1" width="0.5" style="8" customWidth="1"/>
    <col min="2" max="2" width="4.125" style="8" customWidth="1"/>
    <col min="3" max="3" width="38.125" style="8" customWidth="1"/>
    <col min="4" max="4" width="5.5" style="479" hidden="1" customWidth="1"/>
    <col min="5" max="9" width="14.5" style="8" customWidth="1"/>
    <col min="10" max="10" width="2.5" style="70" customWidth="1"/>
    <col min="11" max="11" width="18.5" style="70" bestFit="1" customWidth="1"/>
    <col min="12" max="12" width="1.5" style="70" customWidth="1"/>
    <col min="13" max="13" width="1.5" style="71" hidden="1" customWidth="1"/>
    <col min="14" max="17" width="5.5" style="70" hidden="1" customWidth="1"/>
    <col min="18" max="18" width="1.5" style="71" hidden="1" customWidth="1"/>
    <col min="19" max="19" width="8.5" style="70" hidden="1" customWidth="1"/>
    <col min="20" max="25" width="0" style="8" hidden="1" customWidth="1"/>
    <col min="26" max="26" width="8.5" style="8" customWidth="1"/>
    <col min="27" max="27" width="4.125" style="479" customWidth="1"/>
    <col min="28" max="28" width="38.125" style="479" customWidth="1"/>
    <col min="29" max="29" width="5.5" style="479" hidden="1" customWidth="1"/>
    <col min="30" max="34" width="14.5" style="479" customWidth="1"/>
    <col min="35" max="35" width="1.625" style="8" customWidth="1"/>
    <col min="36" max="16384" width="8.5" style="8" hidden="1"/>
  </cols>
  <sheetData>
    <row r="1" spans="2:34" ht="20.25">
      <c r="B1" s="66" t="s">
        <v>1680</v>
      </c>
      <c r="C1" s="66"/>
      <c r="D1" s="66"/>
      <c r="E1" s="66"/>
      <c r="F1" s="66"/>
      <c r="G1" s="68"/>
      <c r="H1" s="66"/>
      <c r="I1" s="68" t="str">
        <f>Validation!B3</f>
        <v>Yorkshire Water</v>
      </c>
      <c r="J1" s="66"/>
      <c r="K1" s="69" t="s">
        <v>34</v>
      </c>
      <c r="T1" s="479"/>
      <c r="U1" s="479"/>
      <c r="V1" s="479"/>
      <c r="W1" s="479"/>
      <c r="X1" s="479"/>
      <c r="Y1" s="479"/>
      <c r="Z1" s="479"/>
      <c r="AA1" s="66" t="s">
        <v>35</v>
      </c>
      <c r="AB1" s="66"/>
      <c r="AC1" s="66"/>
      <c r="AD1" s="66"/>
      <c r="AE1" s="66"/>
      <c r="AF1" s="68"/>
      <c r="AG1" s="66"/>
      <c r="AH1" s="68"/>
    </row>
    <row r="2" spans="2:34" ht="15" thickBot="1">
      <c r="B2" s="73" t="str">
        <f>'2E'!B2</f>
        <v>For the 12 months ended 31 March 2020</v>
      </c>
      <c r="C2" s="70"/>
      <c r="D2" s="70"/>
      <c r="E2" s="70"/>
      <c r="F2" s="70"/>
      <c r="G2" s="70"/>
      <c r="H2" s="70"/>
      <c r="I2" s="70"/>
      <c r="T2" s="479"/>
      <c r="U2" s="479"/>
      <c r="V2" s="479"/>
      <c r="W2" s="479"/>
      <c r="X2" s="479"/>
      <c r="Y2" s="479"/>
      <c r="Z2" s="479"/>
      <c r="AA2" s="73"/>
      <c r="AB2" s="70" t="str">
        <f>+B2</f>
        <v>For the 12 months ended 31 March 2020</v>
      </c>
      <c r="AC2" s="70"/>
      <c r="AD2" s="70"/>
      <c r="AE2" s="70"/>
      <c r="AF2" s="70"/>
      <c r="AG2" s="70"/>
      <c r="AH2" s="70"/>
    </row>
    <row r="3" spans="2:34" ht="54.75" thickBot="1">
      <c r="B3" s="3155" t="s">
        <v>36</v>
      </c>
      <c r="C3" s="3156"/>
      <c r="D3" s="1519" t="s">
        <v>37</v>
      </c>
      <c r="E3" s="186" t="s">
        <v>1681</v>
      </c>
      <c r="F3" s="361" t="s">
        <v>1682</v>
      </c>
      <c r="G3" s="187" t="s">
        <v>1683</v>
      </c>
      <c r="H3" s="2990" t="s">
        <v>1684</v>
      </c>
      <c r="I3" s="2989" t="s">
        <v>1685</v>
      </c>
      <c r="K3" s="2990" t="s">
        <v>43</v>
      </c>
      <c r="N3" s="3072" t="s">
        <v>47</v>
      </c>
      <c r="O3" s="3143"/>
      <c r="P3" s="3143"/>
      <c r="Q3" s="3143"/>
      <c r="T3" s="479"/>
      <c r="U3" s="479"/>
      <c r="V3" s="479"/>
      <c r="W3" s="479"/>
      <c r="X3" s="479"/>
      <c r="Y3" s="479"/>
      <c r="Z3" s="479"/>
      <c r="AA3" s="3155" t="s">
        <v>36</v>
      </c>
      <c r="AB3" s="3156"/>
      <c r="AC3" s="1519" t="s">
        <v>37</v>
      </c>
      <c r="AD3" s="186" t="s">
        <v>1681</v>
      </c>
      <c r="AE3" s="361" t="s">
        <v>1682</v>
      </c>
      <c r="AF3" s="187" t="s">
        <v>1683</v>
      </c>
      <c r="AG3" s="2990" t="s">
        <v>1684</v>
      </c>
      <c r="AH3" s="2989" t="s">
        <v>1685</v>
      </c>
    </row>
    <row r="4" spans="2:34" ht="15" customHeight="1" thickBot="1">
      <c r="B4" s="70"/>
      <c r="C4" s="70"/>
      <c r="D4" s="70"/>
      <c r="E4" s="70"/>
      <c r="F4" s="70"/>
      <c r="G4" s="70"/>
      <c r="H4" s="70"/>
      <c r="I4" s="70"/>
      <c r="N4" s="164" t="s">
        <v>48</v>
      </c>
      <c r="O4" s="127"/>
      <c r="P4" s="127"/>
      <c r="Q4" s="127"/>
      <c r="T4" s="479"/>
      <c r="U4" s="479"/>
      <c r="V4" s="479"/>
      <c r="W4" s="479"/>
      <c r="X4" s="479"/>
      <c r="Y4" s="479"/>
      <c r="Z4" s="479"/>
      <c r="AA4" s="70"/>
      <c r="AB4" s="70"/>
      <c r="AC4" s="70"/>
      <c r="AD4" s="70"/>
      <c r="AE4" s="70"/>
      <c r="AF4" s="70"/>
      <c r="AG4" s="70"/>
      <c r="AH4" s="70"/>
    </row>
    <row r="5" spans="2:34">
      <c r="B5" s="86" t="s">
        <v>1686</v>
      </c>
      <c r="C5" s="362" t="s">
        <v>1687</v>
      </c>
      <c r="D5" s="1520"/>
      <c r="E5" s="413">
        <v>12.795999999999999</v>
      </c>
      <c r="F5" s="424">
        <v>0.73399999999999999</v>
      </c>
      <c r="G5" s="190">
        <f>SUM(E5:F5)</f>
        <v>13.53</v>
      </c>
      <c r="H5" s="427">
        <v>54.497</v>
      </c>
      <c r="I5" s="1264">
        <f t="shared" ref="I5:I11" si="0">IF(H5=0,0,F5/H5 * 1000)</f>
        <v>13.46863130080555</v>
      </c>
      <c r="K5" s="24">
        <f t="shared" ref="K5:K10" si="1" xml:space="preserve"> IF( SUM( M5:R5 ) = 0, 0, $N$4 )</f>
        <v>0</v>
      </c>
      <c r="N5" s="93">
        <f xml:space="preserve"> IF( ISNUMBER( E5 ), 0, 1 )</f>
        <v>0</v>
      </c>
      <c r="O5" s="93">
        <f xml:space="preserve"> IF( ISNUMBER( F5 ), 0, 1 )</f>
        <v>0</v>
      </c>
      <c r="P5" s="127"/>
      <c r="Q5" s="93">
        <f xml:space="preserve"> IF( ISNUMBER( H5 ), 0, 1 )</f>
        <v>0</v>
      </c>
      <c r="T5" s="479"/>
      <c r="U5" s="479"/>
      <c r="V5" s="479"/>
      <c r="W5" s="479"/>
      <c r="X5" s="479"/>
      <c r="Y5" s="479"/>
      <c r="Z5" s="479"/>
      <c r="AA5" s="86" t="s">
        <v>1686</v>
      </c>
      <c r="AB5" s="362" t="s">
        <v>1687</v>
      </c>
      <c r="AC5" s="1520"/>
      <c r="AD5" s="2516" t="s">
        <v>1688</v>
      </c>
      <c r="AE5" s="2517" t="s">
        <v>1689</v>
      </c>
      <c r="AF5" s="190" t="s">
        <v>1690</v>
      </c>
      <c r="AG5" s="2536" t="s">
        <v>1691</v>
      </c>
      <c r="AH5" s="1264" t="s">
        <v>1692</v>
      </c>
    </row>
    <row r="6" spans="2:34">
      <c r="B6" s="94" t="s">
        <v>1693</v>
      </c>
      <c r="C6" s="363" t="s">
        <v>1694</v>
      </c>
      <c r="D6" s="1521"/>
      <c r="E6" s="411">
        <v>14.509</v>
      </c>
      <c r="F6" s="412">
        <v>0.878</v>
      </c>
      <c r="G6" s="191">
        <f t="shared" ref="G6:G10" si="2">SUM(E6:F6)</f>
        <v>15.387</v>
      </c>
      <c r="H6" s="2981">
        <v>56.83</v>
      </c>
      <c r="I6" s="1267">
        <f t="shared" si="0"/>
        <v>15.44958648601091</v>
      </c>
      <c r="K6" s="24">
        <f t="shared" si="1"/>
        <v>0</v>
      </c>
      <c r="N6" s="93">
        <f>IF(Validation!$H$3=1,0,IF(ISNUMBER(E6),0,1))</f>
        <v>0</v>
      </c>
      <c r="O6" s="93">
        <f>IF(Validation!$H$3=1,0,IF(ISNUMBER(F6),0,1))</f>
        <v>0</v>
      </c>
      <c r="P6" s="127"/>
      <c r="Q6" s="93">
        <f>IF(Validation!$H$3=1,0,IF(ISNUMBER(H6),0,1))</f>
        <v>0</v>
      </c>
      <c r="T6" s="479"/>
      <c r="U6" s="479"/>
      <c r="V6" s="479"/>
      <c r="W6" s="479"/>
      <c r="X6" s="479"/>
      <c r="Y6" s="479"/>
      <c r="Z6" s="479"/>
      <c r="AA6" s="94" t="s">
        <v>1693</v>
      </c>
      <c r="AB6" s="363" t="s">
        <v>1694</v>
      </c>
      <c r="AC6" s="1521"/>
      <c r="AD6" s="2519" t="s">
        <v>1695</v>
      </c>
      <c r="AE6" s="2520" t="s">
        <v>1696</v>
      </c>
      <c r="AF6" s="191" t="s">
        <v>1697</v>
      </c>
      <c r="AG6" s="2531" t="s">
        <v>1698</v>
      </c>
      <c r="AH6" s="1267" t="s">
        <v>1699</v>
      </c>
    </row>
    <row r="7" spans="2:34">
      <c r="B7" s="94" t="s">
        <v>1700</v>
      </c>
      <c r="C7" s="363" t="s">
        <v>1701</v>
      </c>
      <c r="D7" s="1521"/>
      <c r="E7" s="411">
        <v>365.15100000000001</v>
      </c>
      <c r="F7" s="412">
        <v>25.091000000000001</v>
      </c>
      <c r="G7" s="191">
        <f t="shared" si="2"/>
        <v>390.24200000000002</v>
      </c>
      <c r="H7" s="2981">
        <v>850.03599999999994</v>
      </c>
      <c r="I7" s="1267">
        <f t="shared" si="0"/>
        <v>29.517573373363014</v>
      </c>
      <c r="K7" s="24">
        <f t="shared" si="1"/>
        <v>0</v>
      </c>
      <c r="N7" s="93">
        <f>IF(Validation!$H$3=1,0,IF(ISNUMBER(E7),0,1))</f>
        <v>0</v>
      </c>
      <c r="O7" s="93">
        <f>IF(Validation!$H$3=1,0,IF(ISNUMBER(F7),0,1))</f>
        <v>0</v>
      </c>
      <c r="P7" s="127"/>
      <c r="Q7" s="93">
        <f>IF(Validation!$H$3=1,0,IF(ISNUMBER(H7),0,1))</f>
        <v>0</v>
      </c>
      <c r="T7" s="479"/>
      <c r="U7" s="479"/>
      <c r="V7" s="479"/>
      <c r="W7" s="479"/>
      <c r="X7" s="479"/>
      <c r="Y7" s="479"/>
      <c r="Z7" s="479"/>
      <c r="AA7" s="94" t="s">
        <v>1700</v>
      </c>
      <c r="AB7" s="363" t="s">
        <v>1701</v>
      </c>
      <c r="AC7" s="1521"/>
      <c r="AD7" s="2519" t="s">
        <v>1702</v>
      </c>
      <c r="AE7" s="2520" t="s">
        <v>1703</v>
      </c>
      <c r="AF7" s="191" t="s">
        <v>1704</v>
      </c>
      <c r="AG7" s="2531" t="s">
        <v>1705</v>
      </c>
      <c r="AH7" s="1267" t="s">
        <v>1706</v>
      </c>
    </row>
    <row r="8" spans="2:34">
      <c r="B8" s="94" t="s">
        <v>1707</v>
      </c>
      <c r="C8" s="363" t="s">
        <v>1708</v>
      </c>
      <c r="D8" s="1521"/>
      <c r="E8" s="411">
        <v>8.3049999999999997</v>
      </c>
      <c r="F8" s="412">
        <v>0.85099999999999998</v>
      </c>
      <c r="G8" s="191">
        <f t="shared" si="2"/>
        <v>9.1559999999999988</v>
      </c>
      <c r="H8" s="2981">
        <v>55.758000000000003</v>
      </c>
      <c r="I8" s="1267">
        <f t="shared" si="0"/>
        <v>15.262383873166181</v>
      </c>
      <c r="K8" s="24">
        <f t="shared" si="1"/>
        <v>0</v>
      </c>
      <c r="N8" s="93">
        <f t="shared" ref="N8:Q8" si="3" xml:space="preserve"> IF( ISNUMBER( E8 ), 0, 1 )</f>
        <v>0</v>
      </c>
      <c r="O8" s="93">
        <f t="shared" si="3"/>
        <v>0</v>
      </c>
      <c r="P8" s="127"/>
      <c r="Q8" s="93">
        <f t="shared" si="3"/>
        <v>0</v>
      </c>
      <c r="T8" s="479"/>
      <c r="U8" s="479"/>
      <c r="V8" s="479"/>
      <c r="W8" s="479"/>
      <c r="X8" s="479"/>
      <c r="Y8" s="479"/>
      <c r="Z8" s="479"/>
      <c r="AA8" s="94" t="s">
        <v>1707</v>
      </c>
      <c r="AB8" s="363" t="s">
        <v>1708</v>
      </c>
      <c r="AC8" s="1521"/>
      <c r="AD8" s="2519" t="s">
        <v>1709</v>
      </c>
      <c r="AE8" s="2520" t="s">
        <v>1710</v>
      </c>
      <c r="AF8" s="191" t="s">
        <v>1711</v>
      </c>
      <c r="AG8" s="2531" t="s">
        <v>1712</v>
      </c>
      <c r="AH8" s="1267" t="s">
        <v>1713</v>
      </c>
    </row>
    <row r="9" spans="2:34">
      <c r="B9" s="94" t="s">
        <v>1714</v>
      </c>
      <c r="C9" s="363" t="s">
        <v>1715</v>
      </c>
      <c r="D9" s="1521"/>
      <c r="E9" s="411">
        <v>9.8989999999999991</v>
      </c>
      <c r="F9" s="412">
        <v>0.78800000000000003</v>
      </c>
      <c r="G9" s="191">
        <f t="shared" si="2"/>
        <v>10.686999999999999</v>
      </c>
      <c r="H9" s="2981">
        <v>58.616</v>
      </c>
      <c r="I9" s="1267">
        <f t="shared" si="0"/>
        <v>13.443428415449707</v>
      </c>
      <c r="K9" s="24">
        <f t="shared" si="1"/>
        <v>0</v>
      </c>
      <c r="N9" s="93">
        <f>IF(Validation!$H$3=1,0,IF(ISNUMBER(E9),0,1))</f>
        <v>0</v>
      </c>
      <c r="O9" s="93">
        <f>IF(Validation!$H$3=1,0,IF(ISNUMBER(F9),0,1))</f>
        <v>0</v>
      </c>
      <c r="P9" s="127"/>
      <c r="Q9" s="93">
        <f>IF(Validation!$H$3=1,0,IF(ISNUMBER(H9),0,1))</f>
        <v>0</v>
      </c>
      <c r="T9" s="479"/>
      <c r="U9" s="479"/>
      <c r="V9" s="479"/>
      <c r="W9" s="479"/>
      <c r="X9" s="479"/>
      <c r="Y9" s="479"/>
      <c r="Z9" s="479"/>
      <c r="AA9" s="94" t="s">
        <v>1714</v>
      </c>
      <c r="AB9" s="363" t="s">
        <v>1715</v>
      </c>
      <c r="AC9" s="1521"/>
      <c r="AD9" s="2519" t="s">
        <v>1716</v>
      </c>
      <c r="AE9" s="2520" t="s">
        <v>1717</v>
      </c>
      <c r="AF9" s="191" t="s">
        <v>1718</v>
      </c>
      <c r="AG9" s="2531" t="s">
        <v>1719</v>
      </c>
      <c r="AH9" s="1267" t="s">
        <v>1720</v>
      </c>
    </row>
    <row r="10" spans="2:34">
      <c r="B10" s="94" t="s">
        <v>1721</v>
      </c>
      <c r="C10" s="363" t="s">
        <v>1722</v>
      </c>
      <c r="D10" s="1521"/>
      <c r="E10" s="411">
        <v>338.18700000000001</v>
      </c>
      <c r="F10" s="412">
        <v>37.713000000000001</v>
      </c>
      <c r="G10" s="191">
        <f t="shared" si="2"/>
        <v>375.90000000000003</v>
      </c>
      <c r="H10" s="2981">
        <v>1114.0360000000001</v>
      </c>
      <c r="I10" s="1267">
        <f t="shared" si="0"/>
        <v>33.852586451425267</v>
      </c>
      <c r="K10" s="24">
        <f t="shared" si="1"/>
        <v>0</v>
      </c>
      <c r="N10" s="93">
        <f>IF(Validation!$H$3=1,0,IF(ISNUMBER(E10),0,1))</f>
        <v>0</v>
      </c>
      <c r="O10" s="93">
        <f>IF(Validation!$H$3=1,0,IF(ISNUMBER(F10),0,1))</f>
        <v>0</v>
      </c>
      <c r="P10" s="127"/>
      <c r="Q10" s="93">
        <f>IF(Validation!$H$3=1,0,IF(ISNUMBER(H10),0,1))</f>
        <v>0</v>
      </c>
      <c r="T10" s="479"/>
      <c r="U10" s="479"/>
      <c r="V10" s="479"/>
      <c r="W10" s="479"/>
      <c r="X10" s="479"/>
      <c r="Y10" s="479"/>
      <c r="Z10" s="479"/>
      <c r="AA10" s="94" t="s">
        <v>1721</v>
      </c>
      <c r="AB10" s="363" t="s">
        <v>1722</v>
      </c>
      <c r="AC10" s="1521"/>
      <c r="AD10" s="2519" t="s">
        <v>1723</v>
      </c>
      <c r="AE10" s="2520" t="s">
        <v>1724</v>
      </c>
      <c r="AF10" s="191" t="s">
        <v>1725</v>
      </c>
      <c r="AG10" s="2531" t="s">
        <v>1726</v>
      </c>
      <c r="AH10" s="1267" t="s">
        <v>1727</v>
      </c>
    </row>
    <row r="11" spans="2:34" ht="15" thickBot="1">
      <c r="B11" s="101" t="s">
        <v>1728</v>
      </c>
      <c r="C11" s="364" t="s">
        <v>710</v>
      </c>
      <c r="D11" s="1522"/>
      <c r="E11" s="193">
        <f>SUM(E5:E10)</f>
        <v>748.84699999999998</v>
      </c>
      <c r="F11" s="194">
        <f>SUM(F5:F10)</f>
        <v>66.055000000000007</v>
      </c>
      <c r="G11" s="195">
        <f>SUM(G5:G10)</f>
        <v>814.90200000000004</v>
      </c>
      <c r="H11" s="200">
        <f>SUM(H5:H10)</f>
        <v>2189.7730000000001</v>
      </c>
      <c r="I11" s="1275">
        <f t="shared" si="0"/>
        <v>30.165227171948874</v>
      </c>
      <c r="K11" s="126"/>
      <c r="N11" s="280"/>
      <c r="O11" s="110"/>
      <c r="P11" s="110"/>
      <c r="Q11" s="110"/>
      <c r="T11" s="479"/>
      <c r="U11" s="479"/>
      <c r="V11" s="479"/>
      <c r="W11" s="479"/>
      <c r="X11" s="479"/>
      <c r="Y11" s="479"/>
      <c r="Z11" s="479"/>
      <c r="AA11" s="101" t="s">
        <v>1728</v>
      </c>
      <c r="AB11" s="364" t="s">
        <v>710</v>
      </c>
      <c r="AC11" s="1522"/>
      <c r="AD11" s="193" t="s">
        <v>1729</v>
      </c>
      <c r="AE11" s="194" t="s">
        <v>1730</v>
      </c>
      <c r="AF11" s="195" t="s">
        <v>1731</v>
      </c>
      <c r="AG11" s="200" t="s">
        <v>1732</v>
      </c>
      <c r="AH11" s="1275" t="s">
        <v>1733</v>
      </c>
    </row>
    <row r="12" spans="2:34">
      <c r="B12" s="70"/>
      <c r="C12" s="70"/>
      <c r="D12" s="70"/>
      <c r="E12" s="70"/>
      <c r="F12" s="70"/>
      <c r="G12" s="70"/>
      <c r="H12" s="70"/>
      <c r="I12" s="70"/>
      <c r="K12" s="126"/>
      <c r="N12" s="280"/>
      <c r="O12" s="110"/>
      <c r="P12" s="110"/>
      <c r="Q12" s="110"/>
      <c r="T12" s="479"/>
      <c r="U12" s="479"/>
      <c r="V12" s="479"/>
      <c r="W12" s="479"/>
      <c r="X12" s="479"/>
      <c r="Y12" s="479"/>
      <c r="Z12" s="479"/>
      <c r="AA12" s="70"/>
      <c r="AB12" s="70"/>
      <c r="AC12" s="70"/>
      <c r="AD12" s="70"/>
      <c r="AE12" s="70"/>
      <c r="AF12" s="70"/>
      <c r="AG12" s="70"/>
      <c r="AH12" s="70"/>
    </row>
    <row r="13" spans="2:34">
      <c r="B13" s="3077" t="s">
        <v>243</v>
      </c>
      <c r="C13" s="3077"/>
      <c r="D13" s="2988"/>
      <c r="E13" s="163"/>
      <c r="F13" s="163"/>
      <c r="G13" s="163"/>
      <c r="H13" s="126"/>
      <c r="I13" s="70"/>
      <c r="K13" s="126"/>
      <c r="N13" s="280"/>
      <c r="O13" s="110"/>
      <c r="P13" s="110"/>
      <c r="Q13" s="110"/>
      <c r="T13" s="479"/>
      <c r="U13" s="479"/>
      <c r="V13" s="479"/>
      <c r="W13" s="479"/>
      <c r="X13" s="479"/>
      <c r="Y13" s="479"/>
      <c r="Z13" s="479"/>
    </row>
    <row r="14" spans="2:34">
      <c r="B14" s="141"/>
      <c r="C14" s="142"/>
      <c r="D14" s="142"/>
      <c r="E14" s="163"/>
      <c r="F14" s="163"/>
      <c r="G14" s="163"/>
      <c r="H14" s="126"/>
      <c r="I14" s="70"/>
      <c r="K14" s="126"/>
      <c r="N14" s="280"/>
      <c r="O14" s="110"/>
      <c r="P14" s="110"/>
      <c r="Q14" s="110"/>
      <c r="T14" s="479"/>
      <c r="U14" s="479"/>
      <c r="V14" s="479"/>
      <c r="W14" s="479"/>
      <c r="X14" s="479"/>
      <c r="Y14" s="479"/>
      <c r="Z14" s="479"/>
    </row>
    <row r="15" spans="2:34">
      <c r="B15" s="25"/>
      <c r="C15" s="143" t="s">
        <v>190</v>
      </c>
      <c r="D15" s="143"/>
      <c r="E15" s="163"/>
      <c r="F15" s="163"/>
      <c r="G15" s="163"/>
      <c r="H15" s="126"/>
      <c r="I15" s="70"/>
      <c r="K15" s="126"/>
      <c r="N15" s="280"/>
      <c r="O15" s="110"/>
      <c r="P15" s="110"/>
      <c r="Q15" s="110"/>
      <c r="T15" s="479"/>
      <c r="U15" s="479"/>
      <c r="V15" s="479"/>
      <c r="W15" s="479"/>
      <c r="X15" s="479"/>
      <c r="Y15" s="479"/>
      <c r="Z15" s="479"/>
    </row>
    <row r="16" spans="2:34">
      <c r="B16" s="141"/>
      <c r="C16" s="142"/>
      <c r="D16" s="142"/>
      <c r="E16" s="163"/>
      <c r="F16" s="163"/>
      <c r="G16" s="163"/>
      <c r="H16" s="126"/>
      <c r="I16" s="70"/>
      <c r="K16" s="126"/>
      <c r="N16" s="280"/>
      <c r="O16" s="110"/>
      <c r="P16" s="110"/>
      <c r="Q16" s="110"/>
      <c r="T16" s="479"/>
      <c r="U16" s="479"/>
      <c r="V16" s="479"/>
      <c r="W16" s="479"/>
      <c r="X16" s="479"/>
      <c r="Y16" s="479"/>
      <c r="Z16" s="479"/>
    </row>
    <row r="17" spans="1:26">
      <c r="A17" s="479"/>
      <c r="B17" s="144"/>
      <c r="C17" s="143" t="s">
        <v>191</v>
      </c>
      <c r="D17" s="143"/>
      <c r="E17" s="163"/>
      <c r="F17" s="163"/>
      <c r="G17" s="163"/>
      <c r="H17" s="126"/>
      <c r="I17" s="70"/>
      <c r="K17" s="126"/>
      <c r="N17" s="280"/>
      <c r="O17" s="110"/>
      <c r="P17" s="110"/>
      <c r="Q17" s="110"/>
      <c r="T17" s="479"/>
      <c r="U17" s="479"/>
      <c r="V17" s="479"/>
      <c r="W17" s="479"/>
      <c r="X17" s="479"/>
      <c r="Y17" s="479"/>
      <c r="Z17" s="479"/>
    </row>
    <row r="18" spans="1:26">
      <c r="A18" s="479"/>
      <c r="B18" s="145"/>
      <c r="C18" s="143"/>
      <c r="D18" s="143"/>
      <c r="E18" s="163"/>
      <c r="F18" s="163"/>
      <c r="G18" s="163"/>
      <c r="H18" s="126"/>
      <c r="I18" s="118"/>
      <c r="K18" s="126"/>
      <c r="N18" s="280"/>
      <c r="O18" s="110"/>
      <c r="P18" s="110"/>
      <c r="Q18" s="110"/>
      <c r="T18" s="479"/>
      <c r="U18" s="479"/>
      <c r="V18" s="479"/>
      <c r="W18" s="479"/>
      <c r="X18" s="479"/>
      <c r="Y18" s="479"/>
      <c r="Z18" s="479"/>
    </row>
    <row r="19" spans="1:26" ht="15" thickBot="1">
      <c r="A19" s="479"/>
      <c r="B19" s="178"/>
      <c r="C19" s="179"/>
      <c r="D19" s="179"/>
      <c r="E19" s="178"/>
      <c r="F19" s="178"/>
      <c r="G19" s="178"/>
      <c r="H19" s="130"/>
      <c r="I19" s="126"/>
      <c r="K19" s="126"/>
      <c r="N19" s="280"/>
      <c r="O19" s="110"/>
      <c r="P19" s="110"/>
      <c r="Q19" s="110"/>
      <c r="T19" s="479"/>
      <c r="U19" s="479"/>
      <c r="V19" s="479"/>
      <c r="W19" s="479"/>
      <c r="X19" s="479"/>
      <c r="Y19" s="479"/>
      <c r="Z19" s="479"/>
    </row>
    <row r="20" spans="1:26" s="479" customFormat="1" ht="16.5" thickBot="1">
      <c r="B20" s="3053" t="str">
        <f>'2E'!B59</f>
        <v>Please refer to RAG 4.08 - Guideline for the table definitions in the annual performance report for the reporting year 2019-20</v>
      </c>
      <c r="C20" s="147"/>
      <c r="D20" s="147"/>
      <c r="E20" s="148"/>
      <c r="F20" s="148"/>
      <c r="G20" s="148"/>
      <c r="H20" s="148"/>
      <c r="I20" s="251"/>
      <c r="J20" s="70"/>
      <c r="K20" s="126"/>
      <c r="L20" s="70"/>
      <c r="M20" s="71"/>
      <c r="N20" s="280"/>
      <c r="O20" s="110"/>
      <c r="P20" s="110"/>
      <c r="Q20" s="110"/>
      <c r="R20" s="71"/>
      <c r="S20" s="70"/>
    </row>
    <row r="21" spans="1:26" s="479" customFormat="1">
      <c r="B21" s="178"/>
      <c r="C21" s="179"/>
      <c r="D21" s="179"/>
      <c r="E21" s="178"/>
      <c r="F21" s="178"/>
      <c r="G21" s="178"/>
      <c r="H21" s="130"/>
      <c r="I21" s="126"/>
      <c r="J21" s="70"/>
      <c r="K21" s="126"/>
      <c r="L21" s="70"/>
      <c r="M21" s="71"/>
      <c r="N21" s="280"/>
      <c r="O21" s="110"/>
      <c r="P21" s="110"/>
      <c r="Q21" s="110"/>
      <c r="R21" s="71"/>
      <c r="S21" s="70"/>
    </row>
    <row r="22" spans="1:26" ht="16.5" hidden="1" thickBot="1">
      <c r="A22" s="1566"/>
      <c r="B22" s="146" t="str">
        <f ca="1" xml:space="preserve"> RIGHT(CELL("filename", $A$1), LEN(CELL("filename", $A$1)) - SEARCH("]", CELL("filename", $A$1)))&amp;" - Line definitions"</f>
        <v>2F - Line definitions</v>
      </c>
      <c r="C22" s="147"/>
      <c r="D22" s="147"/>
      <c r="E22" s="148"/>
      <c r="F22" s="148"/>
      <c r="G22" s="148"/>
      <c r="H22" s="148"/>
      <c r="I22" s="251"/>
      <c r="J22" s="118"/>
      <c r="K22" s="126"/>
      <c r="L22" s="118"/>
      <c r="M22" s="124"/>
      <c r="N22" s="280"/>
      <c r="O22" s="110"/>
      <c r="P22" s="110"/>
      <c r="Q22" s="110"/>
      <c r="R22" s="124"/>
      <c r="S22" s="110"/>
      <c r="T22" s="479"/>
      <c r="U22" s="479"/>
      <c r="V22" s="479"/>
      <c r="W22" s="479"/>
      <c r="X22" s="479"/>
      <c r="Y22" s="479"/>
      <c r="Z22" s="479"/>
    </row>
    <row r="23" spans="1:26" ht="15" hidden="1" thickBot="1">
      <c r="A23" s="1566"/>
      <c r="B23" s="74"/>
      <c r="C23" s="155"/>
      <c r="D23" s="155"/>
      <c r="E23" s="110"/>
      <c r="F23" s="110"/>
      <c r="G23" s="110"/>
      <c r="H23" s="118"/>
      <c r="I23" s="110"/>
      <c r="J23" s="126"/>
      <c r="K23" s="126"/>
      <c r="L23" s="126"/>
      <c r="M23" s="119"/>
      <c r="N23" s="203"/>
      <c r="O23" s="163"/>
      <c r="P23" s="163"/>
      <c r="Q23" s="163"/>
      <c r="R23" s="119"/>
      <c r="S23" s="163"/>
      <c r="T23" s="479"/>
      <c r="U23" s="479"/>
      <c r="V23" s="479"/>
      <c r="W23" s="479"/>
      <c r="X23" s="479"/>
      <c r="Y23" s="479"/>
      <c r="Z23" s="479"/>
    </row>
    <row r="24" spans="1:26" ht="15" hidden="1" thickBot="1">
      <c r="A24" s="1566"/>
      <c r="B24" s="156" t="s">
        <v>193</v>
      </c>
      <c r="C24" s="3025" t="s">
        <v>194</v>
      </c>
      <c r="D24" s="3014"/>
      <c r="E24" s="3014"/>
      <c r="F24" s="3014"/>
      <c r="G24" s="3014"/>
      <c r="H24" s="3014"/>
      <c r="I24" s="3015"/>
      <c r="J24" s="126"/>
      <c r="K24" s="126"/>
      <c r="L24" s="126"/>
      <c r="M24" s="119"/>
      <c r="N24" s="85" t="s">
        <v>195</v>
      </c>
      <c r="O24" s="163"/>
      <c r="P24" s="163"/>
      <c r="Q24" s="163"/>
      <c r="R24" s="119"/>
      <c r="S24" s="163"/>
      <c r="T24" s="479"/>
      <c r="U24" s="479"/>
      <c r="V24" s="479"/>
      <c r="W24" s="479"/>
      <c r="X24" s="479"/>
      <c r="Y24" s="479"/>
      <c r="Z24" s="479"/>
    </row>
    <row r="25" spans="1:26" s="10" customFormat="1" ht="14.25" hidden="1" customHeight="1">
      <c r="A25" s="1570"/>
      <c r="B25" s="814" t="str">
        <f>B5</f>
        <v>2F.1</v>
      </c>
      <c r="C25" s="3157" t="s">
        <v>1734</v>
      </c>
      <c r="D25" s="3157"/>
      <c r="E25" s="3157"/>
      <c r="F25" s="3157"/>
      <c r="G25" s="3157"/>
      <c r="H25" s="3157"/>
      <c r="I25" s="3158"/>
      <c r="J25" s="126"/>
      <c r="K25" s="126"/>
      <c r="L25" s="126"/>
      <c r="M25" s="119"/>
      <c r="N25" s="202">
        <v>1</v>
      </c>
      <c r="O25" s="163"/>
      <c r="P25" s="163"/>
      <c r="Q25" s="163"/>
      <c r="R25" s="119"/>
      <c r="S25" s="163"/>
    </row>
    <row r="26" spans="1:26" s="10" customFormat="1" ht="14.25" hidden="1" customHeight="1">
      <c r="A26" s="1570"/>
      <c r="B26" s="159" t="str">
        <f t="shared" ref="B26:B31" si="4">B6</f>
        <v>2F.2</v>
      </c>
      <c r="C26" s="3055" t="s">
        <v>1735</v>
      </c>
      <c r="D26" s="3055"/>
      <c r="E26" s="3055"/>
      <c r="F26" s="3055"/>
      <c r="G26" s="3055"/>
      <c r="H26" s="3055"/>
      <c r="I26" s="3056"/>
      <c r="J26" s="126"/>
      <c r="K26" s="126"/>
      <c r="L26" s="126"/>
      <c r="M26" s="119"/>
      <c r="N26" s="202">
        <v>1</v>
      </c>
      <c r="O26" s="163"/>
      <c r="P26" s="163"/>
      <c r="Q26" s="163"/>
      <c r="R26" s="119"/>
      <c r="S26" s="163"/>
    </row>
    <row r="27" spans="1:26" s="10" customFormat="1" ht="13.7" hidden="1" customHeight="1">
      <c r="A27" s="1570"/>
      <c r="B27" s="159" t="str">
        <f t="shared" si="4"/>
        <v>2F.3</v>
      </c>
      <c r="C27" s="3055" t="s">
        <v>1736</v>
      </c>
      <c r="D27" s="3055"/>
      <c r="E27" s="3055"/>
      <c r="F27" s="3055"/>
      <c r="G27" s="3055"/>
      <c r="H27" s="3055"/>
      <c r="I27" s="3056"/>
      <c r="J27" s="126"/>
      <c r="K27" s="126"/>
      <c r="L27" s="126"/>
      <c r="M27" s="119"/>
      <c r="N27" s="202">
        <v>1</v>
      </c>
      <c r="O27" s="163"/>
      <c r="P27" s="163"/>
      <c r="Q27" s="163"/>
      <c r="R27" s="119"/>
      <c r="S27" s="163"/>
    </row>
    <row r="28" spans="1:26" s="10" customFormat="1" ht="14.25" hidden="1" customHeight="1">
      <c r="A28" s="1570"/>
      <c r="B28" s="159" t="str">
        <f t="shared" si="4"/>
        <v>2F.4</v>
      </c>
      <c r="C28" s="3055" t="s">
        <v>1737</v>
      </c>
      <c r="D28" s="3055"/>
      <c r="E28" s="3055"/>
      <c r="F28" s="3055"/>
      <c r="G28" s="3055"/>
      <c r="H28" s="3055"/>
      <c r="I28" s="3056"/>
      <c r="J28" s="126"/>
      <c r="K28" s="126"/>
      <c r="L28" s="126"/>
      <c r="M28" s="119"/>
      <c r="N28" s="202">
        <v>1</v>
      </c>
      <c r="O28" s="163"/>
      <c r="P28" s="163"/>
      <c r="Q28" s="163"/>
      <c r="R28" s="119"/>
      <c r="S28" s="163"/>
    </row>
    <row r="29" spans="1:26" s="10" customFormat="1" ht="14.25" hidden="1" customHeight="1">
      <c r="A29" s="1570"/>
      <c r="B29" s="159" t="str">
        <f t="shared" si="4"/>
        <v>2F.5</v>
      </c>
      <c r="C29" s="3055" t="s">
        <v>1738</v>
      </c>
      <c r="D29" s="3055"/>
      <c r="E29" s="3055"/>
      <c r="F29" s="3055"/>
      <c r="G29" s="3055"/>
      <c r="H29" s="3055"/>
      <c r="I29" s="3056"/>
      <c r="J29" s="126"/>
      <c r="K29" s="126"/>
      <c r="L29" s="126"/>
      <c r="M29" s="119"/>
      <c r="N29" s="202">
        <v>1</v>
      </c>
      <c r="O29" s="163"/>
      <c r="P29" s="163"/>
      <c r="Q29" s="163"/>
      <c r="R29" s="119"/>
      <c r="S29" s="163"/>
    </row>
    <row r="30" spans="1:26" s="10" customFormat="1" ht="13.7" hidden="1" customHeight="1">
      <c r="A30" s="1570"/>
      <c r="B30" s="159" t="str">
        <f t="shared" si="4"/>
        <v>2F.6</v>
      </c>
      <c r="C30" s="3055" t="s">
        <v>1739</v>
      </c>
      <c r="D30" s="3055"/>
      <c r="E30" s="3055"/>
      <c r="F30" s="3055"/>
      <c r="G30" s="3055"/>
      <c r="H30" s="3055"/>
      <c r="I30" s="3056"/>
      <c r="J30" s="130"/>
      <c r="K30" s="126"/>
      <c r="L30" s="126"/>
      <c r="M30" s="119"/>
      <c r="N30" s="202">
        <v>1</v>
      </c>
      <c r="O30" s="178"/>
      <c r="P30" s="178"/>
      <c r="Q30" s="178"/>
      <c r="R30" s="119"/>
      <c r="S30" s="178"/>
    </row>
    <row r="31" spans="1:26" s="10" customFormat="1" ht="15" hidden="1" thickBot="1">
      <c r="A31" s="1570"/>
      <c r="B31" s="183" t="str">
        <f t="shared" si="4"/>
        <v>2F.7</v>
      </c>
      <c r="C31" s="3075" t="s">
        <v>1740</v>
      </c>
      <c r="D31" s="3075"/>
      <c r="E31" s="3075"/>
      <c r="F31" s="3075"/>
      <c r="G31" s="3075"/>
      <c r="H31" s="3075"/>
      <c r="I31" s="3076"/>
      <c r="J31" s="130"/>
      <c r="K31" s="126"/>
      <c r="L31" s="126"/>
      <c r="M31" s="119"/>
      <c r="N31" s="202">
        <v>1</v>
      </c>
      <c r="O31" s="178"/>
      <c r="P31" s="178"/>
      <c r="Q31" s="178"/>
      <c r="R31" s="119"/>
      <c r="S31" s="178"/>
    </row>
    <row r="32" spans="1:26" hidden="1">
      <c r="A32" s="1566"/>
      <c r="B32" s="479"/>
      <c r="C32" s="479"/>
      <c r="E32" s="479"/>
      <c r="F32" s="479"/>
      <c r="G32" s="479"/>
      <c r="H32" s="479"/>
      <c r="I32" s="479"/>
      <c r="J32" s="118"/>
      <c r="K32" s="120"/>
      <c r="L32" s="118"/>
      <c r="M32" s="124"/>
      <c r="N32" s="256"/>
      <c r="O32" s="110"/>
      <c r="P32" s="110"/>
      <c r="Q32" s="110"/>
      <c r="R32" s="124"/>
      <c r="S32" s="110"/>
      <c r="T32" s="479"/>
      <c r="U32" s="479"/>
      <c r="V32" s="479"/>
      <c r="W32" s="479"/>
      <c r="X32" s="479"/>
      <c r="Y32" s="479"/>
      <c r="Z32" s="479"/>
    </row>
  </sheetData>
  <sheetProtection algorithmName="SHA-512" hashValue="ya18/7jzpt21vf2gF/0PuznVdVIkyjN76MrPrms0vS3MRHX7O6x9c5PxarXL1/1ZtjRkbWdOgQiYXpO55JTPKg==" saltValue="fzpNAWrE4tOq4exnAuM+gg==" spinCount="100000" sheet="1" objects="1" scenarios="1"/>
  <mergeCells count="11">
    <mergeCell ref="C27:I27"/>
    <mergeCell ref="C28:I28"/>
    <mergeCell ref="C29:I29"/>
    <mergeCell ref="C30:I30"/>
    <mergeCell ref="C31:I31"/>
    <mergeCell ref="AA3:AB3"/>
    <mergeCell ref="N3:Q3"/>
    <mergeCell ref="B13:C13"/>
    <mergeCell ref="C25:I25"/>
    <mergeCell ref="C26:I26"/>
    <mergeCell ref="B3:C3"/>
  </mergeCells>
  <conditionalFormatting sqref="K5:K10">
    <cfRule type="cellIs" dxfId="1266"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AI53"/>
  <sheetViews>
    <sheetView workbookViewId="0">
      <selection activeCell="H14" sqref="H14"/>
    </sheetView>
  </sheetViews>
  <sheetFormatPr defaultColWidth="0" defaultRowHeight="14.25" zeroHeight="1"/>
  <cols>
    <col min="1" max="1" width="0.5" style="82" customWidth="1"/>
    <col min="2" max="2" width="5.125" style="8" customWidth="1"/>
    <col min="3" max="3" width="46.5" style="8" customWidth="1"/>
    <col min="4" max="4" width="2.125" style="479" hidden="1" customWidth="1"/>
    <col min="5" max="9" width="12.5" style="8" customWidth="1"/>
    <col min="10" max="10" width="2.5" style="70" customWidth="1"/>
    <col min="11" max="11" width="33.375" style="74" customWidth="1"/>
    <col min="12" max="12" width="25.625" style="70" customWidth="1"/>
    <col min="13" max="13" width="1.5" style="70" customWidth="1"/>
    <col min="14" max="14" width="1.5" style="71" hidden="1" customWidth="1"/>
    <col min="15" max="17" width="5.5" style="70" hidden="1" customWidth="1"/>
    <col min="18" max="18" width="1.5" style="71" hidden="1" customWidth="1"/>
    <col min="19" max="19" width="8.5" style="74" hidden="1" customWidth="1"/>
    <col min="20" max="20" width="1.5" style="71" hidden="1" customWidth="1"/>
    <col min="21" max="22" width="8.5" style="74" hidden="1" customWidth="1"/>
    <col min="23" max="23" width="56.125" style="74" hidden="1" customWidth="1"/>
    <col min="24" max="24" width="1.5" style="71" hidden="1" customWidth="1"/>
    <col min="25" max="25" width="8.5" style="70" hidden="1" customWidth="1"/>
    <col min="26" max="26" width="8.5" style="8" customWidth="1"/>
    <col min="27" max="27" width="5.125" style="479" customWidth="1"/>
    <col min="28" max="28" width="44" style="479" bestFit="1" customWidth="1"/>
    <col min="29" max="29" width="5.5" style="479" hidden="1" customWidth="1"/>
    <col min="30" max="34" width="12.5" style="479" customWidth="1"/>
    <col min="35" max="35" width="2.625" style="8" customWidth="1"/>
    <col min="36" max="16384" width="8.5" style="8" hidden="1"/>
  </cols>
  <sheetData>
    <row r="1" spans="1:34" s="75" customFormat="1" ht="20.25">
      <c r="A1" s="162"/>
      <c r="B1" s="66" t="s">
        <v>1741</v>
      </c>
      <c r="C1" s="66"/>
      <c r="D1" s="66"/>
      <c r="E1" s="66"/>
      <c r="F1" s="66"/>
      <c r="G1" s="66"/>
      <c r="H1" s="66"/>
      <c r="I1" s="68" t="str">
        <f>Validation!B3</f>
        <v>Yorkshire Water</v>
      </c>
      <c r="J1" s="66"/>
      <c r="K1" s="69"/>
      <c r="L1" s="69" t="s">
        <v>34</v>
      </c>
      <c r="M1" s="70"/>
      <c r="N1" s="71"/>
      <c r="O1" s="70"/>
      <c r="P1" s="70"/>
      <c r="Q1" s="70"/>
      <c r="R1" s="71"/>
      <c r="S1" s="70"/>
      <c r="T1" s="71"/>
      <c r="U1" s="479"/>
      <c r="V1" s="479"/>
      <c r="W1" s="479"/>
      <c r="X1" s="71"/>
      <c r="Y1" s="70"/>
      <c r="AA1" s="66" t="s">
        <v>35</v>
      </c>
      <c r="AB1" s="66"/>
      <c r="AC1" s="66"/>
      <c r="AD1" s="66"/>
      <c r="AE1" s="66"/>
      <c r="AF1" s="66"/>
      <c r="AG1" s="66"/>
      <c r="AH1" s="68"/>
    </row>
    <row r="2" spans="1:34" s="75" customFormat="1" ht="15" customHeight="1" thickBot="1">
      <c r="A2" s="162"/>
      <c r="B2" s="73" t="str">
        <f>'2F'!B2</f>
        <v>For the 12 months ended 31 March 2020</v>
      </c>
      <c r="C2" s="304"/>
      <c r="D2" s="304"/>
      <c r="E2" s="162"/>
      <c r="F2" s="162"/>
      <c r="G2" s="162"/>
      <c r="H2" s="162"/>
      <c r="I2" s="162"/>
      <c r="J2" s="70"/>
      <c r="K2" s="70"/>
      <c r="L2" s="70"/>
      <c r="M2" s="70"/>
      <c r="N2" s="71"/>
      <c r="O2" s="70"/>
      <c r="P2" s="70"/>
      <c r="Q2" s="70"/>
      <c r="R2" s="71"/>
      <c r="S2" s="70"/>
      <c r="T2" s="71"/>
      <c r="U2" s="74"/>
      <c r="V2" s="74"/>
      <c r="W2" s="74"/>
      <c r="X2" s="71"/>
      <c r="Y2" s="70"/>
      <c r="AA2" s="73" t="str">
        <f>+B2</f>
        <v>For the 12 months ended 31 March 2020</v>
      </c>
      <c r="AB2" s="304"/>
      <c r="AC2" s="304"/>
      <c r="AD2" s="162"/>
      <c r="AE2" s="162"/>
      <c r="AF2" s="162"/>
      <c r="AG2" s="162"/>
      <c r="AH2" s="162"/>
    </row>
    <row r="3" spans="1:34" s="308" customFormat="1" ht="54.75" thickBot="1">
      <c r="A3" s="74"/>
      <c r="B3" s="3134" t="s">
        <v>36</v>
      </c>
      <c r="C3" s="3135"/>
      <c r="D3" s="1514" t="s">
        <v>37</v>
      </c>
      <c r="E3" s="296" t="s">
        <v>1742</v>
      </c>
      <c r="F3" s="307" t="s">
        <v>1743</v>
      </c>
      <c r="G3" s="297" t="s">
        <v>1744</v>
      </c>
      <c r="H3" s="350" t="s">
        <v>1745</v>
      </c>
      <c r="I3" s="350" t="s">
        <v>1746</v>
      </c>
      <c r="J3" s="351"/>
      <c r="K3" s="186" t="s">
        <v>705</v>
      </c>
      <c r="L3" s="2990" t="s">
        <v>43</v>
      </c>
      <c r="M3" s="70"/>
      <c r="N3" s="71"/>
      <c r="O3" s="3072" t="s">
        <v>47</v>
      </c>
      <c r="P3" s="3143"/>
      <c r="Q3" s="3143"/>
      <c r="R3" s="71"/>
      <c r="S3" s="2987" t="s">
        <v>26</v>
      </c>
      <c r="T3" s="71"/>
      <c r="U3" s="2987" t="s">
        <v>904</v>
      </c>
      <c r="V3" s="2987"/>
      <c r="W3" s="2987"/>
      <c r="X3" s="71"/>
      <c r="Y3" s="70"/>
      <c r="AA3" s="3134" t="s">
        <v>36</v>
      </c>
      <c r="AB3" s="3135"/>
      <c r="AC3" s="1514" t="s">
        <v>37</v>
      </c>
      <c r="AD3" s="296" t="s">
        <v>1742</v>
      </c>
      <c r="AE3" s="307" t="s">
        <v>1743</v>
      </c>
      <c r="AF3" s="297" t="s">
        <v>1744</v>
      </c>
      <c r="AG3" s="350" t="s">
        <v>1745</v>
      </c>
      <c r="AH3" s="350" t="s">
        <v>1746</v>
      </c>
    </row>
    <row r="4" spans="1:34" s="308" customFormat="1" ht="15" customHeight="1" thickBot="1">
      <c r="A4" s="74"/>
      <c r="B4" s="74"/>
      <c r="C4" s="352"/>
      <c r="D4" s="352"/>
      <c r="E4" s="74"/>
      <c r="F4" s="74"/>
      <c r="G4" s="74"/>
      <c r="H4" s="74"/>
      <c r="I4" s="74"/>
      <c r="J4" s="70"/>
      <c r="K4" s="70"/>
      <c r="L4" s="70"/>
      <c r="M4" s="70"/>
      <c r="N4" s="71"/>
      <c r="R4" s="71"/>
      <c r="S4" s="3022"/>
      <c r="T4" s="71"/>
      <c r="U4" s="3022"/>
      <c r="V4" s="3022"/>
      <c r="W4" s="3022"/>
      <c r="X4" s="71"/>
      <c r="Y4" s="70"/>
      <c r="AA4" s="74"/>
      <c r="AB4" s="352"/>
      <c r="AC4" s="352"/>
      <c r="AD4" s="74"/>
      <c r="AE4" s="74"/>
      <c r="AF4" s="74"/>
      <c r="AG4" s="74"/>
      <c r="AH4" s="74"/>
    </row>
    <row r="5" spans="1:34" s="315" customFormat="1" ht="17.45" customHeight="1" thickBot="1">
      <c r="A5" s="262"/>
      <c r="B5" s="261" t="s">
        <v>155</v>
      </c>
      <c r="C5" s="27" t="s">
        <v>1747</v>
      </c>
      <c r="D5" s="1508"/>
      <c r="E5" s="74"/>
      <c r="F5" s="74"/>
      <c r="G5" s="74"/>
      <c r="H5" s="74"/>
      <c r="I5" s="74"/>
      <c r="J5" s="70"/>
      <c r="K5" s="126"/>
      <c r="L5" s="70"/>
      <c r="M5" s="70"/>
      <c r="N5" s="71"/>
      <c r="O5" s="164" t="s">
        <v>48</v>
      </c>
      <c r="P5" s="127"/>
      <c r="Q5" s="127"/>
      <c r="R5" s="71"/>
      <c r="S5" s="479"/>
      <c r="T5" s="71"/>
      <c r="U5" s="74"/>
      <c r="V5" s="74"/>
      <c r="W5" s="74"/>
      <c r="X5" s="71"/>
      <c r="Y5" s="70"/>
      <c r="AA5" s="261" t="s">
        <v>155</v>
      </c>
      <c r="AB5" s="27" t="s">
        <v>1747</v>
      </c>
      <c r="AC5" s="1508"/>
      <c r="AD5" s="74"/>
      <c r="AE5" s="74"/>
      <c r="AF5" s="74"/>
      <c r="AG5" s="74"/>
      <c r="AH5" s="74"/>
    </row>
    <row r="6" spans="1:34" s="315" customFormat="1" ht="17.45" customHeight="1" thickBot="1">
      <c r="A6" s="262"/>
      <c r="B6" s="353" t="s">
        <v>1748</v>
      </c>
      <c r="C6" s="28" t="s">
        <v>1749</v>
      </c>
      <c r="D6" s="1509"/>
      <c r="E6" s="442"/>
      <c r="F6" s="443"/>
      <c r="G6" s="342">
        <f xml:space="preserve"> F6 + E6</f>
        <v>0</v>
      </c>
      <c r="H6" s="612"/>
      <c r="I6" s="607">
        <f xml:space="preserve"> IF( H6 = 0, 0, F6 / H6 * 1000 )</f>
        <v>0</v>
      </c>
      <c r="J6" s="70"/>
      <c r="K6" s="126"/>
      <c r="L6" s="24" t="str">
        <f xml:space="preserve"> IF( SUM( N6:R6 ) = 0, 0, $O$5 )</f>
        <v>Please complete all cells in row</v>
      </c>
      <c r="M6" s="70"/>
      <c r="N6" s="71"/>
      <c r="O6" s="93">
        <f>IF($C6="",0,IF(ISNUMBER(E6),0,1))</f>
        <v>1</v>
      </c>
      <c r="P6" s="93">
        <f>IF($C6="",0,IF(ISNUMBER(F6),0,1))</f>
        <v>1</v>
      </c>
      <c r="Q6" s="93">
        <f>IF($C6="",0,IF(ISNUMBER(H6),0,1))</f>
        <v>1</v>
      </c>
      <c r="R6" s="71"/>
      <c r="S6" s="479"/>
      <c r="T6" s="71"/>
      <c r="U6" s="74"/>
      <c r="V6" s="74"/>
      <c r="W6" s="74"/>
      <c r="X6" s="71"/>
      <c r="Y6" s="70"/>
      <c r="AA6" s="353">
        <v>1</v>
      </c>
      <c r="AB6" s="28" t="s">
        <v>1749</v>
      </c>
      <c r="AC6" s="1509"/>
      <c r="AD6" s="2594" t="s">
        <v>1750</v>
      </c>
      <c r="AE6" s="2595" t="s">
        <v>1751</v>
      </c>
      <c r="AF6" s="342" t="s">
        <v>1752</v>
      </c>
      <c r="AG6" s="2596" t="s">
        <v>1753</v>
      </c>
      <c r="AH6" s="607" t="s">
        <v>1754</v>
      </c>
    </row>
    <row r="7" spans="1:34" s="308" customFormat="1" ht="15" customHeight="1" thickBot="1">
      <c r="A7" s="74"/>
      <c r="B7" s="74"/>
      <c r="C7" s="360"/>
      <c r="D7" s="360"/>
      <c r="E7" s="141"/>
      <c r="F7" s="141"/>
      <c r="G7" s="141"/>
      <c r="H7" s="613"/>
      <c r="I7" s="608"/>
      <c r="J7" s="141"/>
      <c r="K7" s="126"/>
      <c r="L7" s="141"/>
      <c r="M7" s="70"/>
      <c r="N7" s="71"/>
      <c r="R7" s="71"/>
      <c r="S7" s="479"/>
      <c r="T7" s="71"/>
      <c r="U7" s="74"/>
      <c r="V7" s="74"/>
      <c r="W7" s="74"/>
      <c r="X7" s="71"/>
      <c r="Y7" s="70"/>
      <c r="AA7" s="74"/>
      <c r="AB7" s="360"/>
      <c r="AC7" s="360"/>
      <c r="AD7" s="141"/>
      <c r="AE7" s="141"/>
      <c r="AF7" s="141"/>
      <c r="AG7" s="613"/>
      <c r="AH7" s="608"/>
    </row>
    <row r="8" spans="1:34" s="308" customFormat="1" ht="15" customHeight="1" thickBot="1">
      <c r="A8" s="74"/>
      <c r="B8" s="261" t="s">
        <v>177</v>
      </c>
      <c r="C8" s="27" t="s">
        <v>1755</v>
      </c>
      <c r="D8" s="1508"/>
      <c r="E8" s="141"/>
      <c r="F8" s="141"/>
      <c r="G8" s="141"/>
      <c r="H8" s="613"/>
      <c r="I8" s="608"/>
      <c r="J8" s="141"/>
      <c r="K8" s="126"/>
      <c r="L8" s="141"/>
      <c r="M8" s="70"/>
      <c r="N8" s="71"/>
      <c r="R8" s="71"/>
      <c r="S8" s="479"/>
      <c r="T8" s="71"/>
      <c r="U8" s="74"/>
      <c r="V8" s="74"/>
      <c r="W8" s="74"/>
      <c r="X8" s="71"/>
      <c r="Y8" s="70"/>
      <c r="AA8" s="261" t="s">
        <v>177</v>
      </c>
      <c r="AB8" s="27" t="s">
        <v>1755</v>
      </c>
      <c r="AC8" s="1508"/>
      <c r="AD8" s="141"/>
      <c r="AE8" s="141"/>
      <c r="AF8" s="141"/>
      <c r="AG8" s="613"/>
      <c r="AH8" s="608"/>
    </row>
    <row r="9" spans="1:34" s="308" customFormat="1" ht="15" customHeight="1">
      <c r="A9" s="1695">
        <v>2</v>
      </c>
      <c r="B9" s="354" t="s">
        <v>1756</v>
      </c>
      <c r="C9" s="32" t="str">
        <f>IF($I$1="Select company","",IF(HLOOKUP((VLOOKUP($I$1,Lists!$B$4:$C$23,2,FALSE)),'Water PR16'!$A$1:$S$21,'2G'!A9+1,FALSE)=0,"",HLOOKUP((VLOOKUP($I$1,Lists!$B$4:$C$23,2,FALSE)),'Water PR16'!$A$1:$S$21,'2G'!A9+1,FALSE)))</f>
        <v>n/a</v>
      </c>
      <c r="D9" s="1515"/>
      <c r="E9" s="444"/>
      <c r="F9" s="434"/>
      <c r="G9" s="331">
        <f xml:space="preserve"> F9 + E9</f>
        <v>0</v>
      </c>
      <c r="H9" s="614"/>
      <c r="I9" s="609">
        <f t="shared" ref="I9:I27" si="0" xml:space="preserve"> IF( H9 = 0, 0, F9 / H9 * 1000 )</f>
        <v>0</v>
      </c>
      <c r="J9" s="70"/>
      <c r="K9" s="126"/>
      <c r="L9" s="24" t="str">
        <f xml:space="preserve"> IF( SUM( N9:R9 ) = 0, 0, $O$5 )</f>
        <v>Please complete all cells in row</v>
      </c>
      <c r="M9" s="70"/>
      <c r="N9" s="71"/>
      <c r="O9" s="93">
        <f t="shared" ref="O9:P27" si="1">IF($C9="",0,IF(ISNUMBER(E9),0,1))</f>
        <v>1</v>
      </c>
      <c r="P9" s="93">
        <f t="shared" si="1"/>
        <v>1</v>
      </c>
      <c r="Q9" s="93">
        <f t="shared" ref="Q9:Q27" si="2">IF($C9="",0,IF(ISNUMBER(H9),0,1))</f>
        <v>1</v>
      </c>
      <c r="R9" s="71"/>
      <c r="S9" s="479"/>
      <c r="T9" s="71"/>
      <c r="U9" s="74"/>
      <c r="V9" s="74"/>
      <c r="W9" s="74"/>
      <c r="X9" s="71"/>
      <c r="Y9" s="70"/>
      <c r="AA9" s="354">
        <v>2</v>
      </c>
      <c r="AB9" s="32" t="str">
        <f>C9</f>
        <v>n/a</v>
      </c>
      <c r="AC9" s="1515"/>
      <c r="AD9" s="2597" t="s">
        <v>1757</v>
      </c>
      <c r="AE9" s="2598" t="s">
        <v>1758</v>
      </c>
      <c r="AF9" s="331" t="s">
        <v>1759</v>
      </c>
      <c r="AG9" s="2599" t="s">
        <v>1760</v>
      </c>
      <c r="AH9" s="609" t="s">
        <v>1761</v>
      </c>
    </row>
    <row r="10" spans="1:34" s="308" customFormat="1" ht="15" customHeight="1">
      <c r="A10" s="1695">
        <v>3</v>
      </c>
      <c r="B10" s="355" t="s">
        <v>1762</v>
      </c>
      <c r="C10" s="33" t="str">
        <f>IF($I$1="Select company","",IF(HLOOKUP((VLOOKUP($I$1,Lists!$B$4:$C$23,2,FALSE)),'Water PR16'!$A$1:$S$21,'2G'!A10+1,FALSE)=0,"",HLOOKUP((VLOOKUP($I$1,Lists!$B$4:$C$23,2,FALSE)),'Water PR16'!$A$1:$S$21,'2G'!A10+1,FALSE)))</f>
        <v>n/a</v>
      </c>
      <c r="D10" s="1516"/>
      <c r="E10" s="445"/>
      <c r="F10" s="435"/>
      <c r="G10" s="332">
        <f t="shared" ref="G10:G27" si="3" xml:space="preserve"> F10 + E10</f>
        <v>0</v>
      </c>
      <c r="H10" s="615"/>
      <c r="I10" s="610">
        <f t="shared" si="0"/>
        <v>0</v>
      </c>
      <c r="J10" s="70"/>
      <c r="K10" s="126"/>
      <c r="L10" s="24" t="str">
        <f xml:space="preserve"> IF( SUM( N10:R10 ) = 0, 0, $O$5 )</f>
        <v>Please complete all cells in row</v>
      </c>
      <c r="M10" s="70"/>
      <c r="N10" s="71"/>
      <c r="O10" s="93">
        <f t="shared" si="1"/>
        <v>1</v>
      </c>
      <c r="P10" s="93">
        <f t="shared" si="1"/>
        <v>1</v>
      </c>
      <c r="Q10" s="93">
        <f t="shared" si="2"/>
        <v>1</v>
      </c>
      <c r="R10" s="71"/>
      <c r="S10" s="479"/>
      <c r="T10" s="71"/>
      <c r="U10" s="74"/>
      <c r="V10" s="74"/>
      <c r="W10" s="74"/>
      <c r="X10" s="71"/>
      <c r="Y10" s="70"/>
      <c r="AA10" s="355">
        <v>3</v>
      </c>
      <c r="AB10" s="33" t="str">
        <f t="shared" ref="AB10:AB27" si="4">C10</f>
        <v>n/a</v>
      </c>
      <c r="AC10" s="1516"/>
      <c r="AD10" s="2600" t="s">
        <v>1763</v>
      </c>
      <c r="AE10" s="2601" t="s">
        <v>1764</v>
      </c>
      <c r="AF10" s="332" t="s">
        <v>1765</v>
      </c>
      <c r="AG10" s="2602" t="s">
        <v>1766</v>
      </c>
      <c r="AH10" s="610" t="s">
        <v>1767</v>
      </c>
    </row>
    <row r="11" spans="1:34" s="308" customFormat="1" ht="15" customHeight="1">
      <c r="A11" s="1695">
        <v>4</v>
      </c>
      <c r="B11" s="355" t="s">
        <v>1768</v>
      </c>
      <c r="C11" s="33" t="str">
        <f>IF($I$1="Select company","",IF(HLOOKUP((VLOOKUP($I$1,Lists!$B$4:$C$23,2,FALSE)),'Water PR16'!$A$1:$S$21,'2G'!A11+1,FALSE)=0,"",HLOOKUP((VLOOKUP($I$1,Lists!$B$4:$C$23,2,FALSE)),'Water PR16'!$A$1:$S$21,'2G'!A11+1,FALSE)))</f>
        <v>n/a</v>
      </c>
      <c r="D11" s="1517"/>
      <c r="E11" s="445"/>
      <c r="F11" s="435"/>
      <c r="G11" s="332">
        <f t="shared" si="3"/>
        <v>0</v>
      </c>
      <c r="H11" s="615"/>
      <c r="I11" s="610">
        <f t="shared" si="0"/>
        <v>0</v>
      </c>
      <c r="J11" s="70"/>
      <c r="K11" s="126"/>
      <c r="L11" s="24" t="str">
        <f t="shared" ref="L11:L23" si="5" xml:space="preserve"> IF( SUM( N11:R11 ) = 0, 0, $O$5 )</f>
        <v>Please complete all cells in row</v>
      </c>
      <c r="M11" s="70"/>
      <c r="N11" s="71"/>
      <c r="O11" s="93">
        <f t="shared" si="1"/>
        <v>1</v>
      </c>
      <c r="P11" s="93">
        <f t="shared" si="1"/>
        <v>1</v>
      </c>
      <c r="Q11" s="93">
        <f t="shared" si="2"/>
        <v>1</v>
      </c>
      <c r="R11" s="71"/>
      <c r="S11" s="479"/>
      <c r="T11" s="71"/>
      <c r="U11" s="74"/>
      <c r="V11" s="74"/>
      <c r="W11" s="74"/>
      <c r="X11" s="71"/>
      <c r="Y11" s="70"/>
      <c r="AA11" s="355">
        <v>4</v>
      </c>
      <c r="AB11" s="33" t="str">
        <f t="shared" si="4"/>
        <v>n/a</v>
      </c>
      <c r="AC11" s="1517"/>
      <c r="AD11" s="2600" t="s">
        <v>1769</v>
      </c>
      <c r="AE11" s="2601" t="s">
        <v>1770</v>
      </c>
      <c r="AF11" s="332" t="s">
        <v>1771</v>
      </c>
      <c r="AG11" s="2602" t="s">
        <v>1772</v>
      </c>
      <c r="AH11" s="610" t="s">
        <v>1773</v>
      </c>
    </row>
    <row r="12" spans="1:34" s="315" customFormat="1" ht="15" customHeight="1">
      <c r="A12" s="1696">
        <v>5</v>
      </c>
      <c r="B12" s="355" t="s">
        <v>1774</v>
      </c>
      <c r="C12" s="33" t="str">
        <f>IF($I$1="Select company","",IF(HLOOKUP((VLOOKUP($I$1,Lists!$B$4:$C$23,2,FALSE)),'Water PR16'!$A$1:$S$21,'2G'!A12+1,FALSE)=0,"",HLOOKUP((VLOOKUP($I$1,Lists!$B$4:$C$23,2,FALSE)),'Water PR16'!$A$1:$S$21,'2G'!A12+1,FALSE)))</f>
        <v>n/a</v>
      </c>
      <c r="D12" s="1517"/>
      <c r="E12" s="445"/>
      <c r="F12" s="435"/>
      <c r="G12" s="332">
        <f t="shared" si="3"/>
        <v>0</v>
      </c>
      <c r="H12" s="615"/>
      <c r="I12" s="610">
        <f t="shared" si="0"/>
        <v>0</v>
      </c>
      <c r="J12" s="70"/>
      <c r="K12" s="126"/>
      <c r="L12" s="24" t="str">
        <f t="shared" si="5"/>
        <v>Please complete all cells in row</v>
      </c>
      <c r="M12" s="70"/>
      <c r="N12" s="71"/>
      <c r="O12" s="93">
        <f t="shared" si="1"/>
        <v>1</v>
      </c>
      <c r="P12" s="93">
        <f t="shared" si="1"/>
        <v>1</v>
      </c>
      <c r="Q12" s="93">
        <f t="shared" si="2"/>
        <v>1</v>
      </c>
      <c r="R12" s="71"/>
      <c r="S12" s="479"/>
      <c r="T12" s="71"/>
      <c r="U12" s="74"/>
      <c r="V12" s="74"/>
      <c r="W12" s="74"/>
      <c r="X12" s="71"/>
      <c r="Y12" s="70"/>
      <c r="AA12" s="355">
        <v>5</v>
      </c>
      <c r="AB12" s="33" t="str">
        <f t="shared" si="4"/>
        <v>n/a</v>
      </c>
      <c r="AC12" s="1517"/>
      <c r="AD12" s="2600" t="s">
        <v>1775</v>
      </c>
      <c r="AE12" s="2601" t="s">
        <v>1776</v>
      </c>
      <c r="AF12" s="332" t="s">
        <v>1777</v>
      </c>
      <c r="AG12" s="2602" t="s">
        <v>1778</v>
      </c>
      <c r="AH12" s="610" t="s">
        <v>1779</v>
      </c>
    </row>
    <row r="13" spans="1:34" s="315" customFormat="1" ht="15" customHeight="1">
      <c r="A13" s="1696">
        <v>6</v>
      </c>
      <c r="B13" s="355" t="s">
        <v>1780</v>
      </c>
      <c r="C13" s="33" t="str">
        <f>IF($I$1="Select company","",IF(HLOOKUP((VLOOKUP($I$1,Lists!$B$4:$C$23,2,FALSE)),'Water PR16'!$A$1:$S$21,'2G'!A13+1,FALSE)=0,"",HLOOKUP((VLOOKUP($I$1,Lists!$B$4:$C$23,2,FALSE)),'Water PR16'!$A$1:$S$21,'2G'!A13+1,FALSE)))</f>
        <v>water unmetered</v>
      </c>
      <c r="D13" s="1517"/>
      <c r="E13" s="445">
        <v>0.51</v>
      </c>
      <c r="F13" s="435">
        <v>0.68200000000000005</v>
      </c>
      <c r="G13" s="332">
        <f t="shared" si="3"/>
        <v>1.1920000000000002</v>
      </c>
      <c r="H13" s="615">
        <v>18.169</v>
      </c>
      <c r="I13" s="610">
        <f t="shared" si="0"/>
        <v>37.536463206560626</v>
      </c>
      <c r="J13" s="70"/>
      <c r="K13" s="126"/>
      <c r="L13" s="24">
        <f t="shared" si="5"/>
        <v>0</v>
      </c>
      <c r="M13" s="70"/>
      <c r="N13" s="71"/>
      <c r="O13" s="93">
        <f t="shared" si="1"/>
        <v>0</v>
      </c>
      <c r="P13" s="93">
        <f t="shared" si="1"/>
        <v>0</v>
      </c>
      <c r="Q13" s="93">
        <f t="shared" si="2"/>
        <v>0</v>
      </c>
      <c r="R13" s="71"/>
      <c r="S13" s="479"/>
      <c r="T13" s="71"/>
      <c r="U13" s="74"/>
      <c r="V13" s="74"/>
      <c r="W13" s="74"/>
      <c r="X13" s="71"/>
      <c r="Y13" s="70"/>
      <c r="AA13" s="355">
        <v>6</v>
      </c>
      <c r="AB13" s="33" t="str">
        <f t="shared" si="4"/>
        <v>water unmetered</v>
      </c>
      <c r="AC13" s="1517"/>
      <c r="AD13" s="2600" t="s">
        <v>1781</v>
      </c>
      <c r="AE13" s="2601" t="s">
        <v>1782</v>
      </c>
      <c r="AF13" s="332" t="s">
        <v>1783</v>
      </c>
      <c r="AG13" s="2602" t="s">
        <v>1784</v>
      </c>
      <c r="AH13" s="610" t="s">
        <v>1785</v>
      </c>
    </row>
    <row r="14" spans="1:34" s="315" customFormat="1" ht="15" customHeight="1">
      <c r="A14" s="1696">
        <v>7</v>
      </c>
      <c r="B14" s="355" t="s">
        <v>1786</v>
      </c>
      <c r="C14" s="33" t="str">
        <f>IF($I$1="Select company","",IF(HLOOKUP((VLOOKUP($I$1,Lists!$B$4:$C$23,2,FALSE)),'Water PR16'!$A$1:$S$21,'2G'!A14+1,FALSE)=0,"",HLOOKUP((VLOOKUP($I$1,Lists!$B$4:$C$23,2,FALSE)),'Water PR16'!$A$1:$S$21,'2G'!A14+1,FALSE)))</f>
        <v>Water 0 - 5 Ml</v>
      </c>
      <c r="D14" s="1517"/>
      <c r="E14" s="445">
        <v>26.04</v>
      </c>
      <c r="F14" s="435">
        <v>0.93500000000000005</v>
      </c>
      <c r="G14" s="332">
        <f t="shared" si="3"/>
        <v>26.974999999999998</v>
      </c>
      <c r="H14" s="615">
        <v>98.707999999999998</v>
      </c>
      <c r="I14" s="610">
        <f t="shared" si="0"/>
        <v>9.4723831908254663</v>
      </c>
      <c r="J14" s="70"/>
      <c r="K14" s="126"/>
      <c r="L14" s="24">
        <f t="shared" si="5"/>
        <v>0</v>
      </c>
      <c r="M14" s="70"/>
      <c r="N14" s="71"/>
      <c r="O14" s="93">
        <f t="shared" si="1"/>
        <v>0</v>
      </c>
      <c r="P14" s="93">
        <f t="shared" si="1"/>
        <v>0</v>
      </c>
      <c r="Q14" s="93">
        <f t="shared" si="2"/>
        <v>0</v>
      </c>
      <c r="R14" s="71"/>
      <c r="S14" s="479"/>
      <c r="T14" s="71"/>
      <c r="U14" s="74"/>
      <c r="V14" s="74"/>
      <c r="W14" s="74"/>
      <c r="X14" s="71"/>
      <c r="Y14" s="70"/>
      <c r="AA14" s="355">
        <v>7</v>
      </c>
      <c r="AB14" s="33" t="str">
        <f t="shared" si="4"/>
        <v>Water 0 - 5 Ml</v>
      </c>
      <c r="AC14" s="1517"/>
      <c r="AD14" s="2600" t="s">
        <v>1787</v>
      </c>
      <c r="AE14" s="2601" t="s">
        <v>1788</v>
      </c>
      <c r="AF14" s="332" t="s">
        <v>1789</v>
      </c>
      <c r="AG14" s="2602" t="s">
        <v>1790</v>
      </c>
      <c r="AH14" s="610" t="s">
        <v>1791</v>
      </c>
    </row>
    <row r="15" spans="1:34" s="315" customFormat="1" ht="15" customHeight="1">
      <c r="A15" s="1696">
        <v>8</v>
      </c>
      <c r="B15" s="355" t="s">
        <v>1792</v>
      </c>
      <c r="C15" s="33" t="str">
        <f>IF($I$1="Select company","",IF(HLOOKUP((VLOOKUP($I$1,Lists!$B$4:$C$23,2,FALSE)),'Water PR16'!$A$1:$S$21,'2G'!A15+1,FALSE)=0,"",HLOOKUP((VLOOKUP($I$1,Lists!$B$4:$C$23,2,FALSE)),'Water PR16'!$A$1:$S$21,'2G'!A15+1,FALSE)))</f>
        <v>Water supplies 5 to 50 MI</v>
      </c>
      <c r="D15" s="1517"/>
      <c r="E15" s="445">
        <v>9.7509999999999994</v>
      </c>
      <c r="F15" s="435">
        <v>0.219</v>
      </c>
      <c r="G15" s="332">
        <f t="shared" si="3"/>
        <v>9.9699999999999989</v>
      </c>
      <c r="H15" s="615">
        <v>0.58499999999999996</v>
      </c>
      <c r="I15" s="610">
        <f t="shared" si="0"/>
        <v>374.35897435897436</v>
      </c>
      <c r="J15" s="70"/>
      <c r="K15" s="126"/>
      <c r="L15" s="24">
        <f t="shared" si="5"/>
        <v>0</v>
      </c>
      <c r="M15" s="70"/>
      <c r="N15" s="71"/>
      <c r="O15" s="93">
        <f t="shared" si="1"/>
        <v>0</v>
      </c>
      <c r="P15" s="93">
        <f t="shared" si="1"/>
        <v>0</v>
      </c>
      <c r="Q15" s="93">
        <f t="shared" si="2"/>
        <v>0</v>
      </c>
      <c r="R15" s="71"/>
      <c r="S15" s="479"/>
      <c r="T15" s="71"/>
      <c r="U15" s="74"/>
      <c r="V15" s="74"/>
      <c r="W15" s="74"/>
      <c r="X15" s="71"/>
      <c r="Y15" s="70"/>
      <c r="AA15" s="355">
        <v>8</v>
      </c>
      <c r="AB15" s="33" t="str">
        <f t="shared" si="4"/>
        <v>Water supplies 5 to 50 MI</v>
      </c>
      <c r="AC15" s="1517"/>
      <c r="AD15" s="2600" t="s">
        <v>1793</v>
      </c>
      <c r="AE15" s="2601" t="s">
        <v>1794</v>
      </c>
      <c r="AF15" s="332" t="s">
        <v>1795</v>
      </c>
      <c r="AG15" s="2602" t="s">
        <v>1796</v>
      </c>
      <c r="AH15" s="610" t="s">
        <v>1797</v>
      </c>
    </row>
    <row r="16" spans="1:34" s="315" customFormat="1" ht="15" customHeight="1">
      <c r="A16" s="1696">
        <v>9</v>
      </c>
      <c r="B16" s="355" t="s">
        <v>1798</v>
      </c>
      <c r="C16" s="33" t="str">
        <f>IF($I$1="Select company","",IF(HLOOKUP((VLOOKUP($I$1,Lists!$B$4:$C$23,2,FALSE)),'Water PR16'!$A$1:$S$21,'2G'!A16+1,FALSE)=0,"",HLOOKUP((VLOOKUP($I$1,Lists!$B$4:$C$23,2,FALSE)),'Water PR16'!$A$1:$S$21,'2G'!A16+1,FALSE)))</f>
        <v>Water supplies 50 MI and over</v>
      </c>
      <c r="D16" s="1517"/>
      <c r="E16" s="445">
        <v>10.760999999999999</v>
      </c>
      <c r="F16" s="435">
        <v>1.0620000000000001</v>
      </c>
      <c r="G16" s="332">
        <f t="shared" si="3"/>
        <v>11.822999999999999</v>
      </c>
      <c r="H16" s="615">
        <v>7.0000000000000007E-2</v>
      </c>
      <c r="I16" s="610">
        <f t="shared" si="0"/>
        <v>15171.428571428571</v>
      </c>
      <c r="J16" s="70"/>
      <c r="K16" s="126"/>
      <c r="L16" s="24">
        <f t="shared" si="5"/>
        <v>0</v>
      </c>
      <c r="M16" s="70"/>
      <c r="N16" s="71"/>
      <c r="O16" s="93">
        <f t="shared" si="1"/>
        <v>0</v>
      </c>
      <c r="P16" s="93">
        <f t="shared" si="1"/>
        <v>0</v>
      </c>
      <c r="Q16" s="93">
        <f t="shared" si="2"/>
        <v>0</v>
      </c>
      <c r="R16" s="71"/>
      <c r="S16" s="479"/>
      <c r="T16" s="71"/>
      <c r="U16" s="74"/>
      <c r="V16" s="74"/>
      <c r="W16" s="74"/>
      <c r="X16" s="71"/>
      <c r="Y16" s="70"/>
      <c r="AA16" s="355">
        <v>9</v>
      </c>
      <c r="AB16" s="33" t="str">
        <f t="shared" si="4"/>
        <v>Water supplies 50 MI and over</v>
      </c>
      <c r="AC16" s="1517"/>
      <c r="AD16" s="2600" t="s">
        <v>1799</v>
      </c>
      <c r="AE16" s="2601" t="s">
        <v>1800</v>
      </c>
      <c r="AF16" s="332" t="s">
        <v>1801</v>
      </c>
      <c r="AG16" s="2602" t="s">
        <v>1802</v>
      </c>
      <c r="AH16" s="610" t="s">
        <v>1803</v>
      </c>
    </row>
    <row r="17" spans="1:34" s="315" customFormat="1" ht="15" customHeight="1">
      <c r="A17" s="1696">
        <v>10</v>
      </c>
      <c r="B17" s="355" t="s">
        <v>1804</v>
      </c>
      <c r="C17" s="33" t="str">
        <f>IF($I$1="Select company","",IF(HLOOKUP((VLOOKUP($I$1,Lists!$B$4:$C$23,2,FALSE)),'Water PR16'!$A$1:$S$21,'2G'!A17+1,FALSE)=0,"",HLOOKUP((VLOOKUP($I$1,Lists!$B$4:$C$23,2,FALSE)),'Water PR16'!$A$1:$S$21,'2G'!A17+1,FALSE)))</f>
        <v/>
      </c>
      <c r="D17" s="1517"/>
      <c r="E17" s="445"/>
      <c r="F17" s="435"/>
      <c r="G17" s="332">
        <f t="shared" si="3"/>
        <v>0</v>
      </c>
      <c r="H17" s="615"/>
      <c r="I17" s="610">
        <f t="shared" si="0"/>
        <v>0</v>
      </c>
      <c r="J17" s="70"/>
      <c r="K17" s="126"/>
      <c r="L17" s="24">
        <f t="shared" si="5"/>
        <v>0</v>
      </c>
      <c r="M17" s="70"/>
      <c r="N17" s="71"/>
      <c r="O17" s="93">
        <f t="shared" si="1"/>
        <v>0</v>
      </c>
      <c r="P17" s="93">
        <f t="shared" si="1"/>
        <v>0</v>
      </c>
      <c r="Q17" s="93">
        <f t="shared" si="2"/>
        <v>0</v>
      </c>
      <c r="R17" s="71"/>
      <c r="S17" s="479"/>
      <c r="T17" s="71"/>
      <c r="U17" s="74"/>
      <c r="V17" s="74"/>
      <c r="W17" s="74"/>
      <c r="X17" s="71"/>
      <c r="Y17" s="70"/>
      <c r="AA17" s="355">
        <v>10</v>
      </c>
      <c r="AB17" s="33" t="str">
        <f t="shared" si="4"/>
        <v/>
      </c>
      <c r="AC17" s="1517"/>
      <c r="AD17" s="2600" t="s">
        <v>1805</v>
      </c>
      <c r="AE17" s="2601" t="s">
        <v>1806</v>
      </c>
      <c r="AF17" s="332" t="s">
        <v>1807</v>
      </c>
      <c r="AG17" s="2602" t="s">
        <v>1808</v>
      </c>
      <c r="AH17" s="610" t="s">
        <v>1809</v>
      </c>
    </row>
    <row r="18" spans="1:34" s="315" customFormat="1" ht="15" customHeight="1">
      <c r="A18" s="1696">
        <v>11</v>
      </c>
      <c r="B18" s="355" t="s">
        <v>1810</v>
      </c>
      <c r="C18" s="33" t="str">
        <f>IF($I$1="Select company","",IF(HLOOKUP((VLOOKUP($I$1,Lists!$B$4:$C$23,2,FALSE)),'Water PR16'!$A$1:$S$21,'2G'!A18+1,FALSE)=0,"",HLOOKUP((VLOOKUP($I$1,Lists!$B$4:$C$23,2,FALSE)),'Water PR16'!$A$1:$S$21,'2G'!A18+1,FALSE)))</f>
        <v/>
      </c>
      <c r="D18" s="1517"/>
      <c r="E18" s="445"/>
      <c r="F18" s="435"/>
      <c r="G18" s="332">
        <f t="shared" si="3"/>
        <v>0</v>
      </c>
      <c r="H18" s="615"/>
      <c r="I18" s="610">
        <f t="shared" si="0"/>
        <v>0</v>
      </c>
      <c r="J18" s="70"/>
      <c r="K18" s="126"/>
      <c r="L18" s="24">
        <f t="shared" si="5"/>
        <v>0</v>
      </c>
      <c r="M18" s="70"/>
      <c r="N18" s="71"/>
      <c r="O18" s="93">
        <f t="shared" si="1"/>
        <v>0</v>
      </c>
      <c r="P18" s="93">
        <f t="shared" si="1"/>
        <v>0</v>
      </c>
      <c r="Q18" s="93">
        <f t="shared" si="2"/>
        <v>0</v>
      </c>
      <c r="R18" s="71"/>
      <c r="S18" s="479"/>
      <c r="T18" s="71"/>
      <c r="U18" s="74"/>
      <c r="V18" s="74"/>
      <c r="W18" s="74"/>
      <c r="X18" s="71"/>
      <c r="Y18" s="70"/>
      <c r="AA18" s="355">
        <v>11</v>
      </c>
      <c r="AB18" s="33" t="str">
        <f t="shared" si="4"/>
        <v/>
      </c>
      <c r="AC18" s="1517"/>
      <c r="AD18" s="2600" t="s">
        <v>1811</v>
      </c>
      <c r="AE18" s="2601" t="s">
        <v>1812</v>
      </c>
      <c r="AF18" s="332" t="s">
        <v>1813</v>
      </c>
      <c r="AG18" s="2602" t="s">
        <v>1814</v>
      </c>
      <c r="AH18" s="610" t="s">
        <v>1815</v>
      </c>
    </row>
    <row r="19" spans="1:34" s="315" customFormat="1" ht="15" customHeight="1">
      <c r="A19" s="1696">
        <v>12</v>
      </c>
      <c r="B19" s="355" t="s">
        <v>1816</v>
      </c>
      <c r="C19" s="33" t="str">
        <f>IF($I$1="Select company","",IF(HLOOKUP((VLOOKUP($I$1,Lists!$B$4:$C$23,2,FALSE)),'Water PR16'!$A$1:$S$21,'2G'!A19+1,FALSE)=0,"",HLOOKUP((VLOOKUP($I$1,Lists!$B$4:$C$23,2,FALSE)),'Water PR16'!$A$1:$S$21,'2G'!A19+1,FALSE)))</f>
        <v/>
      </c>
      <c r="D19" s="1517"/>
      <c r="E19" s="445"/>
      <c r="F19" s="435"/>
      <c r="G19" s="332">
        <f t="shared" si="3"/>
        <v>0</v>
      </c>
      <c r="H19" s="615"/>
      <c r="I19" s="610">
        <f t="shared" si="0"/>
        <v>0</v>
      </c>
      <c r="J19" s="70"/>
      <c r="K19" s="126"/>
      <c r="L19" s="24">
        <f t="shared" si="5"/>
        <v>0</v>
      </c>
      <c r="M19" s="70"/>
      <c r="N19" s="71"/>
      <c r="O19" s="93">
        <f t="shared" si="1"/>
        <v>0</v>
      </c>
      <c r="P19" s="93">
        <f t="shared" si="1"/>
        <v>0</v>
      </c>
      <c r="Q19" s="93">
        <f t="shared" si="2"/>
        <v>0</v>
      </c>
      <c r="R19" s="71"/>
      <c r="S19" s="479"/>
      <c r="T19" s="71"/>
      <c r="U19" s="74"/>
      <c r="V19" s="74"/>
      <c r="W19" s="74"/>
      <c r="X19" s="71"/>
      <c r="Y19" s="70"/>
      <c r="AA19" s="355">
        <v>12</v>
      </c>
      <c r="AB19" s="33" t="str">
        <f t="shared" si="4"/>
        <v/>
      </c>
      <c r="AC19" s="1517"/>
      <c r="AD19" s="2600" t="s">
        <v>1817</v>
      </c>
      <c r="AE19" s="2601" t="s">
        <v>1818</v>
      </c>
      <c r="AF19" s="332" t="s">
        <v>1819</v>
      </c>
      <c r="AG19" s="2602" t="s">
        <v>1820</v>
      </c>
      <c r="AH19" s="610" t="s">
        <v>1821</v>
      </c>
    </row>
    <row r="20" spans="1:34" s="315" customFormat="1" ht="15" customHeight="1">
      <c r="A20" s="1696">
        <v>13</v>
      </c>
      <c r="B20" s="355" t="s">
        <v>1822</v>
      </c>
      <c r="C20" s="33" t="str">
        <f>IF($I$1="Select company","",IF(HLOOKUP((VLOOKUP($I$1,Lists!$B$4:$C$23,2,FALSE)),'Water PR16'!$A$1:$S$21,'2G'!A20+1,FALSE)=0,"",HLOOKUP((VLOOKUP($I$1,Lists!$B$4:$C$23,2,FALSE)),'Water PR16'!$A$1:$S$21,'2G'!A20+1,FALSE)))</f>
        <v/>
      </c>
      <c r="D20" s="1517"/>
      <c r="E20" s="445"/>
      <c r="F20" s="435"/>
      <c r="G20" s="332">
        <f t="shared" si="3"/>
        <v>0</v>
      </c>
      <c r="H20" s="615"/>
      <c r="I20" s="610">
        <f t="shared" si="0"/>
        <v>0</v>
      </c>
      <c r="J20" s="70"/>
      <c r="K20" s="126"/>
      <c r="L20" s="24">
        <f t="shared" si="5"/>
        <v>0</v>
      </c>
      <c r="M20" s="70"/>
      <c r="N20" s="71"/>
      <c r="O20" s="93">
        <f t="shared" si="1"/>
        <v>0</v>
      </c>
      <c r="P20" s="93">
        <f t="shared" si="1"/>
        <v>0</v>
      </c>
      <c r="Q20" s="93">
        <f t="shared" si="2"/>
        <v>0</v>
      </c>
      <c r="R20" s="71"/>
      <c r="S20" s="479"/>
      <c r="T20" s="71"/>
      <c r="U20" s="74"/>
      <c r="V20" s="74"/>
      <c r="W20" s="74"/>
      <c r="X20" s="71"/>
      <c r="Y20" s="70"/>
      <c r="AA20" s="355">
        <v>13</v>
      </c>
      <c r="AB20" s="33" t="str">
        <f t="shared" si="4"/>
        <v/>
      </c>
      <c r="AC20" s="1517"/>
      <c r="AD20" s="2600" t="s">
        <v>1823</v>
      </c>
      <c r="AE20" s="2601" t="s">
        <v>1824</v>
      </c>
      <c r="AF20" s="332" t="s">
        <v>1825</v>
      </c>
      <c r="AG20" s="2602" t="s">
        <v>1826</v>
      </c>
      <c r="AH20" s="610" t="s">
        <v>1827</v>
      </c>
    </row>
    <row r="21" spans="1:34" s="315" customFormat="1" ht="15" customHeight="1">
      <c r="A21" s="1696">
        <v>14</v>
      </c>
      <c r="B21" s="355" t="s">
        <v>1828</v>
      </c>
      <c r="C21" s="33" t="str">
        <f>IF($I$1="Select company","",IF(HLOOKUP((VLOOKUP($I$1,Lists!$B$4:$C$23,2,FALSE)),'Water PR16'!$A$1:$S$21,'2G'!A21+1,FALSE)=0,"",HLOOKUP((VLOOKUP($I$1,Lists!$B$4:$C$23,2,FALSE)),'Water PR16'!$A$1:$S$21,'2G'!A21+1,FALSE)))</f>
        <v/>
      </c>
      <c r="D21" s="1517"/>
      <c r="E21" s="445"/>
      <c r="F21" s="435"/>
      <c r="G21" s="332">
        <f t="shared" si="3"/>
        <v>0</v>
      </c>
      <c r="H21" s="615"/>
      <c r="I21" s="610">
        <f t="shared" si="0"/>
        <v>0</v>
      </c>
      <c r="J21" s="70"/>
      <c r="K21" s="126"/>
      <c r="L21" s="24">
        <f t="shared" si="5"/>
        <v>0</v>
      </c>
      <c r="M21" s="70"/>
      <c r="N21" s="71"/>
      <c r="O21" s="93">
        <f t="shared" si="1"/>
        <v>0</v>
      </c>
      <c r="P21" s="93">
        <f t="shared" si="1"/>
        <v>0</v>
      </c>
      <c r="Q21" s="93">
        <f t="shared" si="2"/>
        <v>0</v>
      </c>
      <c r="R21" s="71"/>
      <c r="S21" s="479"/>
      <c r="T21" s="71"/>
      <c r="U21" s="74"/>
      <c r="V21" s="74"/>
      <c r="W21" s="74"/>
      <c r="X21" s="71"/>
      <c r="Y21" s="70"/>
      <c r="AA21" s="355">
        <v>14</v>
      </c>
      <c r="AB21" s="33" t="str">
        <f t="shared" si="4"/>
        <v/>
      </c>
      <c r="AC21" s="1517"/>
      <c r="AD21" s="2600" t="s">
        <v>1829</v>
      </c>
      <c r="AE21" s="2601" t="s">
        <v>1830</v>
      </c>
      <c r="AF21" s="332" t="s">
        <v>1831</v>
      </c>
      <c r="AG21" s="2602" t="s">
        <v>1832</v>
      </c>
      <c r="AH21" s="610" t="s">
        <v>1833</v>
      </c>
    </row>
    <row r="22" spans="1:34" s="315" customFormat="1" ht="15" customHeight="1">
      <c r="A22" s="1696">
        <v>15</v>
      </c>
      <c r="B22" s="355" t="s">
        <v>1834</v>
      </c>
      <c r="C22" s="33" t="str">
        <f>IF($I$1="Select company","",IF(HLOOKUP((VLOOKUP($I$1,Lists!$B$4:$C$23,2,FALSE)),'Water PR16'!$A$1:$S$21,'2G'!A22+1,FALSE)=0,"",HLOOKUP((VLOOKUP($I$1,Lists!$B$4:$C$23,2,FALSE)),'Water PR16'!$A$1:$S$21,'2G'!A22+1,FALSE)))</f>
        <v/>
      </c>
      <c r="D22" s="1517"/>
      <c r="E22" s="445"/>
      <c r="F22" s="435"/>
      <c r="G22" s="332">
        <f t="shared" si="3"/>
        <v>0</v>
      </c>
      <c r="H22" s="615"/>
      <c r="I22" s="610">
        <f t="shared" si="0"/>
        <v>0</v>
      </c>
      <c r="J22" s="118"/>
      <c r="K22" s="126"/>
      <c r="L22" s="24">
        <f t="shared" si="5"/>
        <v>0</v>
      </c>
      <c r="M22" s="70"/>
      <c r="N22" s="71"/>
      <c r="O22" s="93">
        <f t="shared" si="1"/>
        <v>0</v>
      </c>
      <c r="P22" s="93">
        <f t="shared" si="1"/>
        <v>0</v>
      </c>
      <c r="Q22" s="93">
        <f t="shared" si="2"/>
        <v>0</v>
      </c>
      <c r="R22" s="71"/>
      <c r="S22" s="82"/>
      <c r="T22" s="71"/>
      <c r="U22" s="74"/>
      <c r="V22" s="74"/>
      <c r="W22" s="74"/>
      <c r="X22" s="71"/>
      <c r="Y22" s="110"/>
      <c r="AA22" s="355">
        <v>15</v>
      </c>
      <c r="AB22" s="33" t="str">
        <f t="shared" si="4"/>
        <v/>
      </c>
      <c r="AC22" s="1517"/>
      <c r="AD22" s="2600" t="s">
        <v>1835</v>
      </c>
      <c r="AE22" s="2601" t="s">
        <v>1836</v>
      </c>
      <c r="AF22" s="332" t="s">
        <v>1837</v>
      </c>
      <c r="AG22" s="2602" t="s">
        <v>1838</v>
      </c>
      <c r="AH22" s="610" t="s">
        <v>1839</v>
      </c>
    </row>
    <row r="23" spans="1:34" s="315" customFormat="1" ht="15" customHeight="1">
      <c r="A23" s="1696">
        <v>16</v>
      </c>
      <c r="B23" s="355" t="s">
        <v>1840</v>
      </c>
      <c r="C23" s="33" t="str">
        <f>IF($I$1="Select company","",IF(HLOOKUP((VLOOKUP($I$1,Lists!$B$4:$C$23,2,FALSE)),'Water PR16'!$A$1:$S$21,'2G'!A23+1,FALSE)=0,"",HLOOKUP((VLOOKUP($I$1,Lists!$B$4:$C$23,2,FALSE)),'Water PR16'!$A$1:$S$21,'2G'!A23+1,FALSE)))</f>
        <v/>
      </c>
      <c r="D23" s="1517"/>
      <c r="E23" s="445"/>
      <c r="F23" s="435"/>
      <c r="G23" s="332">
        <f t="shared" si="3"/>
        <v>0</v>
      </c>
      <c r="H23" s="615"/>
      <c r="I23" s="610">
        <f t="shared" si="0"/>
        <v>0</v>
      </c>
      <c r="J23" s="126"/>
      <c r="K23" s="126"/>
      <c r="L23" s="24">
        <f t="shared" si="5"/>
        <v>0</v>
      </c>
      <c r="M23" s="70"/>
      <c r="N23" s="71"/>
      <c r="O23" s="93">
        <f t="shared" si="1"/>
        <v>0</v>
      </c>
      <c r="P23" s="93">
        <f t="shared" si="1"/>
        <v>0</v>
      </c>
      <c r="Q23" s="93">
        <f t="shared" si="2"/>
        <v>0</v>
      </c>
      <c r="R23" s="71"/>
      <c r="S23" s="127"/>
      <c r="T23" s="124"/>
      <c r="U23" s="165"/>
      <c r="V23" s="165"/>
      <c r="W23" s="74"/>
      <c r="X23" s="124"/>
      <c r="Y23" s="163"/>
      <c r="AA23" s="355">
        <v>16</v>
      </c>
      <c r="AB23" s="33" t="str">
        <f t="shared" si="4"/>
        <v/>
      </c>
      <c r="AC23" s="1517"/>
      <c r="AD23" s="2600" t="s">
        <v>1841</v>
      </c>
      <c r="AE23" s="2601" t="s">
        <v>1842</v>
      </c>
      <c r="AF23" s="332" t="s">
        <v>1843</v>
      </c>
      <c r="AG23" s="2602" t="s">
        <v>1844</v>
      </c>
      <c r="AH23" s="610" t="s">
        <v>1845</v>
      </c>
    </row>
    <row r="24" spans="1:34" s="315" customFormat="1" ht="15" customHeight="1">
      <c r="A24" s="1696">
        <v>17</v>
      </c>
      <c r="B24" s="355" t="s">
        <v>1846</v>
      </c>
      <c r="C24" s="33" t="str">
        <f>IF($I$1="Select company","",IF(HLOOKUP((VLOOKUP($I$1,Lists!$B$4:$C$23,2,FALSE)),'Water PR16'!$A$1:$S$21,'2G'!A24+1,FALSE)=0,"",HLOOKUP((VLOOKUP($I$1,Lists!$B$4:$C$23,2,FALSE)),'Water PR16'!$A$1:$S$21,'2G'!A24+1,FALSE)))</f>
        <v/>
      </c>
      <c r="D24" s="1517"/>
      <c r="E24" s="445"/>
      <c r="F24" s="435"/>
      <c r="G24" s="332">
        <f t="shared" si="3"/>
        <v>0</v>
      </c>
      <c r="H24" s="615"/>
      <c r="I24" s="610">
        <f t="shared" si="0"/>
        <v>0</v>
      </c>
      <c r="J24" s="126"/>
      <c r="K24" s="126"/>
      <c r="L24" s="24">
        <f t="shared" ref="L24:L25" si="6" xml:space="preserve"> IF( SUM( N24:R24 ) = 0, 0, $O$5 )</f>
        <v>0</v>
      </c>
      <c r="M24" s="70"/>
      <c r="N24" s="71"/>
      <c r="O24" s="93">
        <f t="shared" si="1"/>
        <v>0</v>
      </c>
      <c r="P24" s="93">
        <f t="shared" si="1"/>
        <v>0</v>
      </c>
      <c r="Q24" s="93">
        <f t="shared" si="2"/>
        <v>0</v>
      </c>
      <c r="R24" s="71"/>
      <c r="S24" s="82"/>
      <c r="T24" s="119"/>
      <c r="U24" s="74"/>
      <c r="V24" s="74"/>
      <c r="W24" s="74"/>
      <c r="X24" s="119"/>
      <c r="Y24" s="163"/>
      <c r="AA24" s="355">
        <v>17</v>
      </c>
      <c r="AB24" s="33" t="str">
        <f t="shared" si="4"/>
        <v/>
      </c>
      <c r="AC24" s="1517"/>
      <c r="AD24" s="2600" t="s">
        <v>1847</v>
      </c>
      <c r="AE24" s="2601" t="s">
        <v>1848</v>
      </c>
      <c r="AF24" s="332" t="s">
        <v>1849</v>
      </c>
      <c r="AG24" s="2602" t="s">
        <v>1850</v>
      </c>
      <c r="AH24" s="610" t="s">
        <v>1851</v>
      </c>
    </row>
    <row r="25" spans="1:34" s="315" customFormat="1" ht="15" customHeight="1">
      <c r="A25" s="1696">
        <v>18</v>
      </c>
      <c r="B25" s="355" t="s">
        <v>1852</v>
      </c>
      <c r="C25" s="33" t="str">
        <f>IF($I$1="Select company","",IF(HLOOKUP((VLOOKUP($I$1,Lists!$B$4:$C$23,2,FALSE)),'Water PR16'!$A$1:$S$21,'2G'!A25+1,FALSE)=0,"",HLOOKUP((VLOOKUP($I$1,Lists!$B$4:$C$23,2,FALSE)),'Water PR16'!$A$1:$S$21,'2G'!A25+1,FALSE)))</f>
        <v/>
      </c>
      <c r="D25" s="1516"/>
      <c r="E25" s="445"/>
      <c r="F25" s="447"/>
      <c r="G25" s="332">
        <f t="shared" si="3"/>
        <v>0</v>
      </c>
      <c r="H25" s="615"/>
      <c r="I25" s="610">
        <f t="shared" si="0"/>
        <v>0</v>
      </c>
      <c r="J25" s="126"/>
      <c r="K25" s="126"/>
      <c r="L25" s="24">
        <f t="shared" si="6"/>
        <v>0</v>
      </c>
      <c r="M25" s="70"/>
      <c r="N25" s="71"/>
      <c r="O25" s="93">
        <f t="shared" si="1"/>
        <v>0</v>
      </c>
      <c r="P25" s="93">
        <f t="shared" si="1"/>
        <v>0</v>
      </c>
      <c r="Q25" s="93">
        <f t="shared" si="2"/>
        <v>0</v>
      </c>
      <c r="R25" s="71"/>
      <c r="S25" s="82"/>
      <c r="T25" s="119"/>
      <c r="U25" s="74"/>
      <c r="V25" s="74"/>
      <c r="W25" s="74"/>
      <c r="X25" s="119"/>
      <c r="Y25" s="163"/>
      <c r="AA25" s="355">
        <v>18</v>
      </c>
      <c r="AB25" s="33" t="str">
        <f t="shared" si="4"/>
        <v/>
      </c>
      <c r="AC25" s="1516"/>
      <c r="AD25" s="2600" t="s">
        <v>1853</v>
      </c>
      <c r="AE25" s="2601" t="s">
        <v>1854</v>
      </c>
      <c r="AF25" s="332" t="s">
        <v>1855</v>
      </c>
      <c r="AG25" s="2602" t="s">
        <v>1856</v>
      </c>
      <c r="AH25" s="610" t="s">
        <v>1857</v>
      </c>
    </row>
    <row r="26" spans="1:34" s="315" customFormat="1" ht="15" customHeight="1">
      <c r="A26" s="1696">
        <v>19</v>
      </c>
      <c r="B26" s="355" t="s">
        <v>1858</v>
      </c>
      <c r="C26" s="33" t="str">
        <f>IF($I$1="Select company","",IF(HLOOKUP((VLOOKUP($I$1,Lists!$B$4:$C$23,2,FALSE)),'Water PR16'!$A$1:$S$21,'2G'!A26+1,FALSE)=0,"",HLOOKUP((VLOOKUP($I$1,Lists!$B$4:$C$23,2,FALSE)),'Water PR16'!$A$1:$S$21,'2G'!A26+1,FALSE)))</f>
        <v/>
      </c>
      <c r="D26" s="1518"/>
      <c r="E26" s="446"/>
      <c r="F26" s="447"/>
      <c r="G26" s="332">
        <f t="shared" si="3"/>
        <v>0</v>
      </c>
      <c r="H26" s="615"/>
      <c r="I26" s="610">
        <f t="shared" si="0"/>
        <v>0</v>
      </c>
      <c r="J26" s="126"/>
      <c r="K26" s="126"/>
      <c r="L26" s="24">
        <f xml:space="preserve"> IF( SUM( N26:R26 ) = 0, 0, $O$5 )</f>
        <v>0</v>
      </c>
      <c r="M26" s="70"/>
      <c r="N26" s="71"/>
      <c r="O26" s="93">
        <f t="shared" si="1"/>
        <v>0</v>
      </c>
      <c r="P26" s="93">
        <f t="shared" si="1"/>
        <v>0</v>
      </c>
      <c r="Q26" s="93">
        <f t="shared" si="2"/>
        <v>0</v>
      </c>
      <c r="R26" s="71"/>
      <c r="S26" s="82"/>
      <c r="T26" s="119"/>
      <c r="U26" s="74"/>
      <c r="V26" s="74"/>
      <c r="W26" s="74"/>
      <c r="X26" s="119"/>
      <c r="Y26" s="163"/>
      <c r="AA26" s="355">
        <v>19</v>
      </c>
      <c r="AB26" s="33" t="str">
        <f t="shared" si="4"/>
        <v/>
      </c>
      <c r="AC26" s="1518"/>
      <c r="AD26" s="2603" t="s">
        <v>1859</v>
      </c>
      <c r="AE26" s="2604" t="s">
        <v>1860</v>
      </c>
      <c r="AF26" s="332" t="s">
        <v>1861</v>
      </c>
      <c r="AG26" s="2602" t="s">
        <v>1862</v>
      </c>
      <c r="AH26" s="610" t="s">
        <v>1863</v>
      </c>
    </row>
    <row r="27" spans="1:34" s="315" customFormat="1" ht="15" customHeight="1">
      <c r="A27" s="1696">
        <v>20</v>
      </c>
      <c r="B27" s="355" t="s">
        <v>1864</v>
      </c>
      <c r="C27" s="33" t="str">
        <f>IF($I$1="Select company","",IF(HLOOKUP((VLOOKUP($I$1,Lists!$B$4:$C$23,2,FALSE)),'Water PR16'!$A$1:$S$21,'2G'!A27+1,FALSE)=0,"",HLOOKUP((VLOOKUP($I$1,Lists!$B$4:$C$23,2,FALSE)),'Water PR16'!$A$1:$S$21,'2G'!A27+1,FALSE)))</f>
        <v/>
      </c>
      <c r="D27" s="1518"/>
      <c r="E27" s="446"/>
      <c r="F27" s="447"/>
      <c r="G27" s="1979">
        <f t="shared" si="3"/>
        <v>0</v>
      </c>
      <c r="H27" s="1980"/>
      <c r="I27" s="1981">
        <f t="shared" si="0"/>
        <v>0</v>
      </c>
      <c r="J27" s="126"/>
      <c r="K27" s="126"/>
      <c r="L27" s="1982">
        <f xml:space="preserve"> IF( SUM( N27:R27 ) = 0, 0, $O$5 )</f>
        <v>0</v>
      </c>
      <c r="M27" s="70"/>
      <c r="N27" s="71"/>
      <c r="O27" s="93">
        <f t="shared" si="1"/>
        <v>0</v>
      </c>
      <c r="P27" s="93">
        <f t="shared" si="1"/>
        <v>0</v>
      </c>
      <c r="Q27" s="93">
        <f t="shared" si="2"/>
        <v>0</v>
      </c>
      <c r="R27" s="71"/>
      <c r="S27" s="82"/>
      <c r="T27" s="119"/>
      <c r="U27" s="74"/>
      <c r="V27" s="74"/>
      <c r="W27" s="74"/>
      <c r="X27" s="119"/>
      <c r="Y27" s="163"/>
      <c r="AA27" s="355">
        <v>20</v>
      </c>
      <c r="AB27" s="33" t="str">
        <f t="shared" si="4"/>
        <v/>
      </c>
      <c r="AC27" s="1518"/>
      <c r="AD27" s="2603" t="s">
        <v>1865</v>
      </c>
      <c r="AE27" s="2604" t="s">
        <v>1866</v>
      </c>
      <c r="AF27" s="332" t="s">
        <v>1867</v>
      </c>
      <c r="AG27" s="2602" t="s">
        <v>1868</v>
      </c>
      <c r="AH27" s="610" t="s">
        <v>1869</v>
      </c>
    </row>
    <row r="28" spans="1:34" s="315" customFormat="1" ht="17.45" customHeight="1" thickBot="1">
      <c r="A28" s="1696">
        <v>20</v>
      </c>
      <c r="B28" s="356" t="s">
        <v>1870</v>
      </c>
      <c r="C28" s="1983" t="s">
        <v>1871</v>
      </c>
      <c r="D28" s="1513"/>
      <c r="E28" s="333">
        <f xml:space="preserve"> SUM( E9:E27 )</f>
        <v>47.061999999999998</v>
      </c>
      <c r="F28" s="334">
        <f xml:space="preserve"> SUM( F9:F27 )</f>
        <v>2.8980000000000001</v>
      </c>
      <c r="G28" s="335">
        <f xml:space="preserve"> SUM( G9:G27 )</f>
        <v>49.96</v>
      </c>
      <c r="H28" s="344">
        <f xml:space="preserve"> SUM( H9:H27 )</f>
        <v>117.53199999999998</v>
      </c>
      <c r="I28" s="472">
        <f xml:space="preserve"> IF( H28 = 0, 0, F28 / H28 * 1000 )</f>
        <v>24.657114658135662</v>
      </c>
      <c r="J28" s="126"/>
      <c r="K28" s="126"/>
      <c r="L28" s="1982">
        <f xml:space="preserve"> IF( SUM( N28:R28 ) = 0, 0, $O$5 )</f>
        <v>0</v>
      </c>
      <c r="M28" s="70"/>
      <c r="N28" s="71"/>
      <c r="O28" s="93">
        <f t="shared" ref="O28" si="7">IF($C28="",0,IF(ISNUMBER(E28),0,1))</f>
        <v>0</v>
      </c>
      <c r="P28" s="93">
        <f t="shared" ref="P28" si="8">IF($C28="",0,IF(ISNUMBER(F28),0,1))</f>
        <v>0</v>
      </c>
      <c r="Q28" s="93">
        <f t="shared" ref="Q28" si="9">IF($C28="",0,IF(ISNUMBER(H28),0,1))</f>
        <v>0</v>
      </c>
      <c r="R28" s="71"/>
      <c r="S28" s="82"/>
      <c r="T28" s="119"/>
      <c r="U28" s="74"/>
      <c r="V28" s="74"/>
      <c r="W28" s="74"/>
      <c r="X28" s="119"/>
      <c r="Y28" s="163"/>
      <c r="AA28" s="356">
        <v>21</v>
      </c>
      <c r="AB28" s="1983" t="s">
        <v>1871</v>
      </c>
      <c r="AC28" s="1513"/>
      <c r="AD28" s="333" t="s">
        <v>1872</v>
      </c>
      <c r="AE28" s="334" t="s">
        <v>1873</v>
      </c>
      <c r="AF28" s="335" t="s">
        <v>1874</v>
      </c>
      <c r="AG28" s="344" t="s">
        <v>1875</v>
      </c>
      <c r="AH28" s="472" t="s">
        <v>1876</v>
      </c>
    </row>
    <row r="29" spans="1:34" s="70" customFormat="1" ht="15" thickBot="1">
      <c r="A29" s="192"/>
      <c r="E29" s="79"/>
      <c r="F29" s="163"/>
      <c r="G29" s="79"/>
      <c r="H29" s="616"/>
      <c r="I29" s="611"/>
      <c r="J29" s="126"/>
      <c r="K29" s="126"/>
      <c r="L29" s="126"/>
      <c r="M29" s="126"/>
      <c r="N29" s="119"/>
      <c r="O29" s="202"/>
      <c r="P29" s="163"/>
      <c r="Q29" s="163"/>
      <c r="R29" s="119"/>
      <c r="S29" s="127"/>
      <c r="T29" s="119"/>
      <c r="U29" s="165"/>
      <c r="V29" s="165"/>
      <c r="W29" s="74"/>
      <c r="X29" s="119"/>
      <c r="Y29" s="163"/>
      <c r="AD29" s="79"/>
      <c r="AE29" s="163"/>
      <c r="AF29" s="79"/>
      <c r="AG29" s="616"/>
      <c r="AH29" s="611"/>
    </row>
    <row r="30" spans="1:34" s="315" customFormat="1" ht="32.25" customHeight="1" thickBot="1">
      <c r="A30" s="262"/>
      <c r="B30" s="353" t="s">
        <v>1877</v>
      </c>
      <c r="C30" s="28" t="s">
        <v>710</v>
      </c>
      <c r="D30" s="1509"/>
      <c r="E30" s="340">
        <f xml:space="preserve"> E28 + E6</f>
        <v>47.061999999999998</v>
      </c>
      <c r="F30" s="341">
        <f xml:space="preserve"> F28 + F6</f>
        <v>2.8980000000000001</v>
      </c>
      <c r="G30" s="342">
        <f xml:space="preserve"> G28 + G6</f>
        <v>49.96</v>
      </c>
      <c r="H30" s="617">
        <f xml:space="preserve"> H28 + H6</f>
        <v>117.53199999999998</v>
      </c>
      <c r="I30" s="607">
        <f xml:space="preserve"> IF( H30 = 0, 0, F30 / H30 * 1000 )</f>
        <v>24.657114658135662</v>
      </c>
      <c r="J30" s="126"/>
      <c r="K30" s="1370" t="str">
        <f xml:space="preserve"> IF( SUM( R30:T30 ) = 0, 0, W30 )</f>
        <v>The total of column 1 should be equal to the sum of lines 2I.1 and 2I.2.</v>
      </c>
      <c r="L30" s="126"/>
      <c r="M30" s="126"/>
      <c r="N30" s="119"/>
      <c r="O30" s="202"/>
      <c r="P30" s="163"/>
      <c r="Q30" s="163"/>
      <c r="R30" s="119"/>
      <c r="S30" s="93">
        <f xml:space="preserve"> IF( (U30 - V30) = 0, 0, 1 )</f>
        <v>1</v>
      </c>
      <c r="T30" s="119"/>
      <c r="U30" s="165">
        <f xml:space="preserve"> ROUND(E30, 3)</f>
        <v>47.061999999999998</v>
      </c>
      <c r="V30" s="165">
        <f xml:space="preserve"> ROUND( SUM( '2I'!H6:H7 ), 3)</f>
        <v>108.136</v>
      </c>
      <c r="W30" s="74" t="s">
        <v>1878</v>
      </c>
      <c r="X30" s="119"/>
      <c r="Y30" s="163"/>
      <c r="AA30" s="353">
        <v>22</v>
      </c>
      <c r="AB30" s="28" t="s">
        <v>710</v>
      </c>
      <c r="AC30" s="1509"/>
      <c r="AD30" s="340" t="s">
        <v>1879</v>
      </c>
      <c r="AE30" s="341" t="s">
        <v>1880</v>
      </c>
      <c r="AF30" s="342" t="s">
        <v>1881</v>
      </c>
      <c r="AG30" s="617" t="s">
        <v>1882</v>
      </c>
      <c r="AH30" s="607" t="s">
        <v>1883</v>
      </c>
    </row>
    <row r="31" spans="1:34" s="70" customFormat="1" ht="15" thickBot="1">
      <c r="A31" s="192"/>
      <c r="F31" s="163"/>
      <c r="H31" s="126"/>
      <c r="J31" s="130"/>
      <c r="K31" s="126"/>
      <c r="L31" s="126"/>
      <c r="M31" s="126"/>
      <c r="N31" s="119"/>
      <c r="O31" s="202"/>
      <c r="P31" s="178"/>
      <c r="Q31" s="178"/>
      <c r="R31" s="119"/>
      <c r="S31" s="479"/>
      <c r="T31" s="119"/>
      <c r="U31" s="74"/>
      <c r="V31" s="74"/>
      <c r="W31" s="74"/>
      <c r="X31" s="119"/>
      <c r="Y31" s="178"/>
      <c r="AE31" s="163"/>
      <c r="AG31" s="126"/>
    </row>
    <row r="32" spans="1:34" s="70" customFormat="1" ht="54.75" thickBot="1">
      <c r="A32" s="192"/>
      <c r="F32" s="163"/>
      <c r="H32" s="350" t="s">
        <v>1884</v>
      </c>
      <c r="I32" s="350" t="s">
        <v>1885</v>
      </c>
      <c r="J32" s="130"/>
      <c r="K32" s="126"/>
      <c r="L32" s="126"/>
      <c r="M32" s="126"/>
      <c r="N32" s="119"/>
      <c r="O32" s="202"/>
      <c r="P32" s="178"/>
      <c r="Q32" s="178"/>
      <c r="R32" s="119"/>
      <c r="S32" s="479"/>
      <c r="T32" s="119"/>
      <c r="U32" s="74"/>
      <c r="V32" s="74"/>
      <c r="W32" s="74"/>
      <c r="X32" s="119"/>
      <c r="Y32" s="178"/>
      <c r="AE32" s="163"/>
      <c r="AG32" s="350" t="s">
        <v>1884</v>
      </c>
      <c r="AH32" s="350" t="s">
        <v>1885</v>
      </c>
    </row>
    <row r="33" spans="1:34" s="308" customFormat="1" ht="15" customHeight="1" thickBot="1">
      <c r="A33" s="74"/>
      <c r="B33" s="261" t="s">
        <v>335</v>
      </c>
      <c r="C33" s="27" t="s">
        <v>1886</v>
      </c>
      <c r="D33" s="1508"/>
      <c r="E33" s="141"/>
      <c r="F33" s="141"/>
      <c r="G33" s="141"/>
      <c r="H33" s="613"/>
      <c r="I33" s="608"/>
      <c r="J33" s="141"/>
      <c r="K33" s="126"/>
      <c r="L33" s="141"/>
      <c r="M33" s="70"/>
      <c r="N33" s="71"/>
      <c r="O33" s="178"/>
      <c r="P33" s="178"/>
      <c r="Q33" s="178"/>
      <c r="R33" s="71"/>
      <c r="S33" s="479"/>
      <c r="T33" s="71"/>
      <c r="U33" s="74"/>
      <c r="V33" s="74"/>
      <c r="W33" s="74"/>
      <c r="X33" s="71"/>
      <c r="Y33" s="70"/>
      <c r="AA33" s="261" t="s">
        <v>335</v>
      </c>
      <c r="AB33" s="27" t="s">
        <v>1886</v>
      </c>
      <c r="AC33" s="1508"/>
      <c r="AD33" s="141"/>
      <c r="AE33" s="141"/>
      <c r="AF33" s="141"/>
      <c r="AG33" s="613"/>
      <c r="AH33" s="608"/>
    </row>
    <row r="34" spans="1:34" s="308" customFormat="1" ht="15" customHeight="1" thickBot="1">
      <c r="A34" s="74"/>
      <c r="B34" s="618" t="s">
        <v>1887</v>
      </c>
      <c r="C34" s="619" t="s">
        <v>710</v>
      </c>
      <c r="D34" s="262"/>
      <c r="E34" s="70"/>
      <c r="F34" s="70"/>
      <c r="G34" s="70"/>
      <c r="H34" s="612">
        <v>96.918999999999997</v>
      </c>
      <c r="I34" s="607">
        <f xml:space="preserve"> IF( H34 = 0, 0, F30 / H34 * 1000 )</f>
        <v>29.901257751318113</v>
      </c>
      <c r="J34" s="70"/>
      <c r="K34" s="126"/>
      <c r="L34" s="24">
        <f xml:space="preserve"> IF( SUM( N34:R34 ) = 0, 0, $O$5 )</f>
        <v>0</v>
      </c>
      <c r="M34" s="70"/>
      <c r="N34" s="71"/>
      <c r="O34" s="127"/>
      <c r="P34" s="127"/>
      <c r="Q34" s="93">
        <f>IF( ISNUMBER( H34 ), 0, 1 )</f>
        <v>0</v>
      </c>
      <c r="R34" s="71"/>
      <c r="S34" s="479"/>
      <c r="T34" s="71"/>
      <c r="U34" s="74"/>
      <c r="V34" s="74"/>
      <c r="W34" s="74"/>
      <c r="X34" s="71"/>
      <c r="Y34" s="70"/>
      <c r="AA34" s="618">
        <f xml:space="preserve"> AA30 + 1</f>
        <v>23</v>
      </c>
      <c r="AB34" s="619" t="s">
        <v>710</v>
      </c>
      <c r="AC34" s="262"/>
      <c r="AD34" s="70"/>
      <c r="AE34" s="70"/>
      <c r="AF34" s="70"/>
      <c r="AG34" s="2596" t="s">
        <v>1888</v>
      </c>
      <c r="AH34" s="607" t="s">
        <v>1889</v>
      </c>
    </row>
    <row r="35" spans="1:34" s="70" customFormat="1">
      <c r="A35" s="192"/>
      <c r="B35" s="74"/>
      <c r="C35" s="360"/>
      <c r="D35" s="360"/>
      <c r="F35" s="163"/>
      <c r="H35" s="126"/>
      <c r="J35" s="130"/>
      <c r="K35" s="126"/>
      <c r="L35" s="126"/>
      <c r="M35" s="126"/>
      <c r="N35" s="119"/>
      <c r="O35" s="202"/>
      <c r="P35" s="178"/>
      <c r="Q35" s="178"/>
      <c r="R35" s="119"/>
      <c r="S35" s="479"/>
      <c r="T35" s="119"/>
      <c r="U35" s="74"/>
      <c r="V35" s="74"/>
      <c r="W35" s="74"/>
      <c r="X35" s="119"/>
      <c r="Y35" s="178"/>
      <c r="AA35" s="74"/>
      <c r="AB35" s="360"/>
      <c r="AC35" s="360"/>
      <c r="AE35" s="163"/>
      <c r="AG35" s="126"/>
    </row>
    <row r="36" spans="1:34" s="163" customFormat="1">
      <c r="A36" s="318"/>
      <c r="B36" s="3077" t="s">
        <v>243</v>
      </c>
      <c r="C36" s="3077"/>
      <c r="D36" s="2988"/>
      <c r="H36" s="126"/>
      <c r="I36" s="70"/>
      <c r="J36" s="130"/>
      <c r="K36" s="126"/>
      <c r="L36" s="126"/>
      <c r="M36" s="126"/>
      <c r="N36" s="119"/>
      <c r="O36" s="202"/>
      <c r="P36" s="178"/>
      <c r="Q36" s="178"/>
      <c r="R36" s="119"/>
      <c r="S36" s="479"/>
      <c r="T36" s="119"/>
      <c r="U36" s="74"/>
      <c r="V36" s="74"/>
      <c r="W36" s="74"/>
      <c r="X36" s="119"/>
      <c r="Y36" s="178"/>
    </row>
    <row r="37" spans="1:34" s="163" customFormat="1">
      <c r="A37" s="318"/>
      <c r="B37" s="141"/>
      <c r="C37" s="142"/>
      <c r="D37" s="142"/>
      <c r="H37" s="126"/>
      <c r="I37" s="70"/>
      <c r="J37" s="118"/>
      <c r="K37" s="126"/>
      <c r="L37" s="120"/>
      <c r="M37" s="118"/>
      <c r="N37" s="124"/>
      <c r="O37" s="256"/>
      <c r="P37" s="110"/>
      <c r="Q37" s="110"/>
      <c r="R37" s="124"/>
      <c r="S37" s="479"/>
      <c r="T37" s="119"/>
      <c r="U37" s="74"/>
      <c r="V37" s="74"/>
      <c r="W37" s="74"/>
      <c r="X37" s="119"/>
      <c r="Y37" s="110"/>
    </row>
    <row r="38" spans="1:34" s="163" customFormat="1">
      <c r="A38" s="318"/>
      <c r="B38" s="25"/>
      <c r="C38" s="143" t="s">
        <v>190</v>
      </c>
      <c r="D38" s="143"/>
      <c r="H38" s="126"/>
      <c r="I38" s="70"/>
      <c r="J38" s="118"/>
      <c r="K38" s="126"/>
      <c r="L38" s="120"/>
      <c r="M38" s="118"/>
      <c r="N38" s="124"/>
      <c r="O38" s="256"/>
      <c r="P38" s="110"/>
      <c r="Q38" s="110"/>
      <c r="R38" s="124"/>
      <c r="S38" s="479"/>
      <c r="T38" s="124"/>
      <c r="U38" s="74"/>
      <c r="V38" s="74"/>
      <c r="W38" s="74"/>
      <c r="X38" s="124"/>
      <c r="Y38" s="110"/>
    </row>
    <row r="39" spans="1:34" s="163" customFormat="1">
      <c r="A39" s="318"/>
      <c r="B39" s="141"/>
      <c r="C39" s="142"/>
      <c r="D39" s="142"/>
      <c r="H39" s="126"/>
      <c r="I39" s="70"/>
      <c r="J39" s="346"/>
      <c r="K39" s="126"/>
      <c r="L39" s="130"/>
      <c r="M39" s="118"/>
      <c r="N39" s="124"/>
      <c r="O39" s="178"/>
      <c r="P39" s="178"/>
      <c r="Q39" s="178"/>
      <c r="R39" s="124"/>
      <c r="S39" s="479"/>
      <c r="T39" s="124"/>
      <c r="U39" s="74"/>
      <c r="V39" s="74"/>
      <c r="W39" s="74"/>
      <c r="X39" s="124"/>
      <c r="Y39" s="178"/>
    </row>
    <row r="40" spans="1:34" s="163" customFormat="1">
      <c r="A40" s="318"/>
      <c r="B40" s="144"/>
      <c r="C40" s="143" t="s">
        <v>191</v>
      </c>
      <c r="D40" s="143"/>
      <c r="H40" s="126"/>
      <c r="I40" s="70"/>
      <c r="J40" s="348"/>
      <c r="K40" s="126"/>
      <c r="L40" s="120"/>
      <c r="M40" s="118"/>
      <c r="N40" s="124"/>
      <c r="O40" s="280"/>
      <c r="P40" s="110"/>
      <c r="Q40" s="110"/>
      <c r="R40" s="124"/>
      <c r="S40" s="479"/>
      <c r="T40" s="124"/>
      <c r="U40" s="74"/>
      <c r="V40" s="74"/>
      <c r="W40" s="74"/>
      <c r="X40" s="124"/>
      <c r="Y40" s="110"/>
    </row>
    <row r="41" spans="1:34" s="163" customFormat="1">
      <c r="A41" s="318"/>
      <c r="B41" s="145"/>
      <c r="C41" s="143"/>
      <c r="D41" s="143"/>
      <c r="H41" s="126"/>
      <c r="I41" s="118"/>
      <c r="J41" s="349"/>
      <c r="K41" s="126"/>
      <c r="L41" s="120"/>
      <c r="M41" s="118"/>
      <c r="N41" s="124"/>
      <c r="O41" s="280"/>
      <c r="P41" s="110"/>
      <c r="Q41" s="110"/>
      <c r="R41" s="124"/>
      <c r="S41" s="110"/>
      <c r="T41" s="124"/>
      <c r="U41" s="74"/>
      <c r="V41" s="74"/>
      <c r="W41" s="74"/>
      <c r="X41" s="124"/>
      <c r="Y41" s="110"/>
    </row>
    <row r="42" spans="1:34" s="178" customFormat="1" ht="15" thickBot="1">
      <c r="A42" s="357"/>
      <c r="C42" s="179"/>
      <c r="D42" s="179"/>
      <c r="H42" s="130"/>
      <c r="I42" s="126"/>
      <c r="J42" s="349"/>
      <c r="K42" s="126"/>
      <c r="L42" s="120"/>
      <c r="M42" s="118"/>
      <c r="N42" s="124"/>
      <c r="O42" s="280"/>
      <c r="P42" s="120"/>
      <c r="Q42" s="120"/>
      <c r="R42" s="124"/>
      <c r="S42" s="74"/>
      <c r="T42" s="124"/>
      <c r="U42" s="70"/>
      <c r="V42" s="70"/>
      <c r="W42" s="70"/>
      <c r="X42" s="124"/>
      <c r="Y42" s="120"/>
    </row>
    <row r="43" spans="1:34" s="178" customFormat="1" ht="16.5" thickBot="1">
      <c r="A43" s="357"/>
      <c r="B43" s="3053" t="str">
        <f>'2F'!B20</f>
        <v>Please refer to RAG 4.08 - Guideline for the table definitions in the annual performance report for the reporting year 2019-20</v>
      </c>
      <c r="C43" s="147"/>
      <c r="D43" s="147"/>
      <c r="E43" s="148"/>
      <c r="F43" s="148"/>
      <c r="G43" s="148"/>
      <c r="H43" s="148"/>
      <c r="I43" s="251"/>
      <c r="J43" s="349"/>
      <c r="K43" s="126"/>
      <c r="L43" s="120"/>
      <c r="M43" s="118"/>
      <c r="N43" s="124"/>
      <c r="O43" s="280"/>
      <c r="P43" s="120"/>
      <c r="Q43" s="120"/>
      <c r="R43" s="124"/>
      <c r="S43" s="74"/>
      <c r="T43" s="124"/>
      <c r="U43" s="70"/>
      <c r="V43" s="70"/>
      <c r="W43" s="70"/>
      <c r="X43" s="124"/>
      <c r="Y43" s="120"/>
    </row>
    <row r="44" spans="1:34" s="178" customFormat="1">
      <c r="A44" s="357"/>
      <c r="C44" s="179"/>
      <c r="D44" s="179"/>
      <c r="H44" s="130"/>
      <c r="I44" s="126"/>
      <c r="J44" s="349"/>
      <c r="K44" s="126"/>
      <c r="L44" s="120"/>
      <c r="M44" s="118"/>
      <c r="N44" s="124"/>
      <c r="O44" s="280"/>
      <c r="P44" s="120"/>
      <c r="Q44" s="120"/>
      <c r="R44" s="124"/>
      <c r="S44" s="74"/>
      <c r="T44" s="124"/>
      <c r="U44" s="70"/>
      <c r="V44" s="70"/>
      <c r="W44" s="70"/>
      <c r="X44" s="124"/>
      <c r="Y44" s="120"/>
    </row>
    <row r="45" spans="1:34" s="110" customFormat="1" ht="16.5" hidden="1" thickBot="1">
      <c r="A45" s="1560"/>
      <c r="B45" s="146" t="str">
        <f ca="1" xml:space="preserve"> RIGHT(CELL("filename", $A$1), LEN(CELL("filename", $A$1)) - SEARCH("]", CELL("filename", $A$1)))&amp;" - Line definitions"</f>
        <v>2G - Line definitions</v>
      </c>
      <c r="C45" s="147"/>
      <c r="D45" s="147"/>
      <c r="E45" s="148"/>
      <c r="F45" s="148"/>
      <c r="G45" s="148"/>
      <c r="H45" s="148"/>
      <c r="I45" s="251"/>
      <c r="J45" s="349"/>
      <c r="K45" s="74"/>
      <c r="L45" s="120"/>
      <c r="M45" s="118"/>
      <c r="N45" s="124"/>
      <c r="O45" s="280"/>
      <c r="P45" s="120"/>
      <c r="Q45" s="120"/>
      <c r="R45" s="124"/>
      <c r="S45" s="74"/>
      <c r="T45" s="124"/>
      <c r="U45" s="163"/>
      <c r="V45" s="163"/>
      <c r="W45" s="163"/>
      <c r="X45" s="124"/>
      <c r="Y45" s="120"/>
    </row>
    <row r="46" spans="1:34" s="110" customFormat="1" ht="15" hidden="1" thickBot="1">
      <c r="A46" s="1560"/>
      <c r="B46" s="358"/>
      <c r="E46" s="74"/>
      <c r="H46" s="118"/>
      <c r="I46" s="126"/>
      <c r="J46" s="321"/>
      <c r="K46" s="74"/>
      <c r="L46" s="70"/>
      <c r="M46" s="70"/>
      <c r="N46" s="71"/>
      <c r="O46" s="85" t="s">
        <v>195</v>
      </c>
      <c r="P46" s="70"/>
      <c r="Q46" s="70"/>
      <c r="R46" s="71"/>
      <c r="S46" s="74"/>
      <c r="T46" s="124"/>
      <c r="U46" s="163"/>
      <c r="V46" s="163"/>
      <c r="W46" s="163"/>
      <c r="X46" s="124"/>
      <c r="Y46" s="70"/>
    </row>
    <row r="47" spans="1:34" s="178" customFormat="1" ht="15" hidden="1" thickBot="1">
      <c r="A47" s="1561"/>
      <c r="B47" s="156" t="s">
        <v>193</v>
      </c>
      <c r="C47" s="3161" t="s">
        <v>194</v>
      </c>
      <c r="D47" s="3161"/>
      <c r="E47" s="3161"/>
      <c r="F47" s="3161"/>
      <c r="G47" s="3161"/>
      <c r="H47" s="3161"/>
      <c r="I47" s="3162"/>
      <c r="J47" s="320"/>
      <c r="K47" s="74"/>
      <c r="L47" s="70"/>
      <c r="M47" s="70"/>
      <c r="N47" s="71"/>
      <c r="O47" s="70">
        <v>1</v>
      </c>
      <c r="P47" s="70"/>
      <c r="Q47" s="70"/>
      <c r="R47" s="71"/>
      <c r="S47" s="74"/>
      <c r="T47" s="71"/>
      <c r="U47" s="163"/>
      <c r="V47" s="163"/>
      <c r="W47" s="163"/>
      <c r="X47" s="71"/>
      <c r="Y47" s="70"/>
    </row>
    <row r="48" spans="1:34" s="110" customFormat="1" ht="14.25" hidden="1" customHeight="1">
      <c r="A48" s="1560"/>
      <c r="B48" s="814">
        <v>1</v>
      </c>
      <c r="C48" s="3163" t="s">
        <v>1890</v>
      </c>
      <c r="D48" s="3163"/>
      <c r="E48" s="3163"/>
      <c r="F48" s="3163"/>
      <c r="G48" s="3163"/>
      <c r="H48" s="3163"/>
      <c r="I48" s="3164"/>
      <c r="J48" s="321"/>
      <c r="K48" s="74"/>
      <c r="L48" s="70"/>
      <c r="M48" s="70"/>
      <c r="N48" s="71"/>
      <c r="O48" s="70">
        <v>1</v>
      </c>
      <c r="P48" s="70"/>
      <c r="Q48" s="70"/>
      <c r="R48" s="71"/>
      <c r="S48" s="74"/>
      <c r="T48" s="71"/>
      <c r="U48" s="163"/>
      <c r="V48" s="163"/>
      <c r="W48" s="163"/>
      <c r="X48" s="71"/>
      <c r="Y48" s="70"/>
    </row>
    <row r="49" spans="1:26" s="110" customFormat="1" ht="14.25" hidden="1" customHeight="1">
      <c r="A49" s="1560"/>
      <c r="B49" s="856" t="s">
        <v>1891</v>
      </c>
      <c r="C49" s="3139" t="s">
        <v>1892</v>
      </c>
      <c r="D49" s="3139"/>
      <c r="E49" s="3139"/>
      <c r="F49" s="3139"/>
      <c r="G49" s="3139"/>
      <c r="H49" s="3139"/>
      <c r="I49" s="3140"/>
      <c r="J49" s="321"/>
      <c r="K49" s="74"/>
      <c r="L49" s="70"/>
      <c r="M49" s="70"/>
      <c r="N49" s="71"/>
      <c r="O49" s="70">
        <v>1</v>
      </c>
      <c r="P49" s="70"/>
      <c r="Q49" s="70"/>
      <c r="R49" s="71"/>
      <c r="S49" s="74"/>
      <c r="T49" s="71"/>
      <c r="U49" s="163"/>
      <c r="V49" s="163"/>
      <c r="W49" s="163"/>
      <c r="X49" s="71"/>
      <c r="Y49" s="70"/>
    </row>
    <row r="50" spans="1:26" s="110" customFormat="1" ht="14.25" hidden="1" customHeight="1">
      <c r="A50" s="1560"/>
      <c r="B50" s="159">
        <v>21</v>
      </c>
      <c r="C50" s="3139" t="s">
        <v>1893</v>
      </c>
      <c r="D50" s="3139"/>
      <c r="E50" s="3139"/>
      <c r="F50" s="3139"/>
      <c r="G50" s="3139"/>
      <c r="H50" s="3139"/>
      <c r="I50" s="3140"/>
      <c r="J50" s="321"/>
      <c r="K50" s="74"/>
      <c r="L50" s="70"/>
      <c r="M50" s="70"/>
      <c r="N50" s="71"/>
      <c r="O50" s="70">
        <v>1</v>
      </c>
      <c r="P50" s="70"/>
      <c r="Q50" s="70"/>
      <c r="R50" s="71"/>
      <c r="S50" s="74"/>
      <c r="T50" s="71"/>
      <c r="U50" s="163"/>
      <c r="V50" s="163"/>
      <c r="W50" s="163"/>
      <c r="X50" s="71"/>
      <c r="Y50" s="70"/>
    </row>
    <row r="51" spans="1:26" s="110" customFormat="1" ht="14.25" hidden="1" customHeight="1">
      <c r="A51" s="1560"/>
      <c r="B51" s="159">
        <v>22</v>
      </c>
      <c r="C51" s="3139" t="s">
        <v>1894</v>
      </c>
      <c r="D51" s="3139"/>
      <c r="E51" s="3139"/>
      <c r="F51" s="3139"/>
      <c r="G51" s="3139"/>
      <c r="H51" s="3139"/>
      <c r="I51" s="3140"/>
      <c r="J51" s="320"/>
      <c r="K51" s="74"/>
      <c r="L51" s="70"/>
      <c r="M51" s="70"/>
      <c r="N51" s="71"/>
      <c r="O51" s="70">
        <v>1</v>
      </c>
      <c r="P51" s="70"/>
      <c r="Q51" s="70"/>
      <c r="R51" s="71"/>
      <c r="S51" s="74"/>
      <c r="T51" s="71"/>
      <c r="U51" s="163"/>
      <c r="V51" s="163"/>
      <c r="W51" s="163"/>
      <c r="X51" s="71"/>
      <c r="Y51" s="70"/>
    </row>
    <row r="52" spans="1:26" ht="15" hidden="1" thickBot="1">
      <c r="A52" s="1566"/>
      <c r="B52" s="183">
        <v>23</v>
      </c>
      <c r="C52" s="3159" t="s">
        <v>1895</v>
      </c>
      <c r="D52" s="3159"/>
      <c r="E52" s="3159"/>
      <c r="F52" s="3159"/>
      <c r="G52" s="3159"/>
      <c r="H52" s="3159"/>
      <c r="I52" s="3160"/>
      <c r="J52" s="321"/>
      <c r="U52" s="178"/>
      <c r="V52" s="178"/>
      <c r="W52" s="178"/>
      <c r="Z52" s="479"/>
    </row>
    <row r="53" spans="1:26" hidden="1">
      <c r="A53" s="1566"/>
      <c r="B53" s="479"/>
      <c r="C53" s="479"/>
      <c r="E53" s="479"/>
      <c r="F53" s="479"/>
      <c r="G53" s="479"/>
      <c r="H53" s="479"/>
      <c r="I53" s="479"/>
      <c r="U53" s="178"/>
      <c r="V53" s="178"/>
      <c r="W53" s="178"/>
      <c r="Z53" s="479"/>
    </row>
  </sheetData>
  <sheetProtection algorithmName="SHA-512" hashValue="bmTXKAZlCLt5myB+f9rAXj4UKvs4FifXnY37JTXJSAR/tv9Ot0oPceKXhrS7sYSsUCOhc+B1lWq1Q5MbCFEFsw==" saltValue="M2BJWpDBjCJJqvvxXvjj3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1261" priority="6" operator="equal">
      <formula>0</formula>
    </cfRule>
  </conditionalFormatting>
  <conditionalFormatting sqref="K30">
    <cfRule type="cellIs" dxfId="1260" priority="4" operator="equal">
      <formula>0</formula>
    </cfRule>
  </conditionalFormatting>
  <conditionalFormatting sqref="L34">
    <cfRule type="cellIs" dxfId="1259" priority="3" operator="equal">
      <formula>0</formula>
    </cfRule>
  </conditionalFormatting>
  <conditionalFormatting sqref="L28">
    <cfRule type="cellIs" dxfId="12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AI56"/>
  <sheetViews>
    <sheetView zoomScale="70" zoomScaleNormal="70" workbookViewId="0">
      <selection activeCell="I17" sqref="I17"/>
    </sheetView>
  </sheetViews>
  <sheetFormatPr defaultColWidth="0" defaultRowHeight="14.25" zeroHeight="1"/>
  <cols>
    <col min="1" max="1" width="0.5" style="82" customWidth="1"/>
    <col min="2" max="2" width="5.125" style="8" customWidth="1"/>
    <col min="3" max="3" width="57" style="8" customWidth="1"/>
    <col min="4" max="4" width="12.5" style="479" hidden="1" customWidth="1"/>
    <col min="5" max="9" width="12.5" style="8" customWidth="1"/>
    <col min="10" max="10" width="2.5" style="70" customWidth="1"/>
    <col min="11" max="11" width="32" style="74" customWidth="1"/>
    <col min="12" max="12" width="22.125" style="70" customWidth="1"/>
    <col min="13" max="13" width="1.5" style="70" customWidth="1"/>
    <col min="14" max="14" width="1.5" style="71" hidden="1" customWidth="1"/>
    <col min="15" max="17" width="5.5" style="70" hidden="1" customWidth="1"/>
    <col min="18" max="18" width="1.5" style="71" hidden="1" customWidth="1"/>
    <col min="19" max="19" width="8.5" style="74" hidden="1" customWidth="1"/>
    <col min="20" max="20" width="1.5" style="71" hidden="1" customWidth="1"/>
    <col min="21" max="22" width="8.5" style="74" hidden="1" customWidth="1"/>
    <col min="23" max="23" width="56.125" style="74" hidden="1" customWidth="1"/>
    <col min="24" max="24" width="1.5" style="71" hidden="1" customWidth="1"/>
    <col min="25" max="25" width="8.5" style="8" hidden="1" customWidth="1"/>
    <col min="26" max="26" width="8.5" style="8" customWidth="1"/>
    <col min="27" max="27" width="5.125" style="479" customWidth="1"/>
    <col min="28" max="28" width="44" style="479" bestFit="1" customWidth="1"/>
    <col min="29" max="29" width="5.5" style="479" hidden="1" customWidth="1"/>
    <col min="30" max="34" width="12.5" style="479" customWidth="1"/>
    <col min="35" max="35" width="8.5" style="8" customWidth="1"/>
    <col min="36" max="16384" width="8.5" style="8" hidden="1"/>
  </cols>
  <sheetData>
    <row r="1" spans="1:34" s="75" customFormat="1" ht="20.25">
      <c r="A1" s="162"/>
      <c r="B1" s="66" t="s">
        <v>1896</v>
      </c>
      <c r="C1" s="66"/>
      <c r="D1" s="66"/>
      <c r="E1" s="66"/>
      <c r="F1" s="66"/>
      <c r="G1" s="66"/>
      <c r="H1" s="66"/>
      <c r="I1" s="68" t="str">
        <f>Validation!B3</f>
        <v>Yorkshire Water</v>
      </c>
      <c r="J1" s="66"/>
      <c r="K1" s="69"/>
      <c r="L1" s="69" t="s">
        <v>34</v>
      </c>
      <c r="M1" s="70"/>
      <c r="N1" s="71"/>
      <c r="O1" s="70"/>
      <c r="P1" s="70"/>
      <c r="Q1" s="70"/>
      <c r="R1" s="71"/>
      <c r="S1" s="70"/>
      <c r="T1" s="71"/>
      <c r="U1" s="479"/>
      <c r="V1" s="479"/>
      <c r="W1" s="479"/>
      <c r="X1" s="71"/>
      <c r="AA1" s="66" t="s">
        <v>35</v>
      </c>
      <c r="AB1" s="66"/>
      <c r="AC1" s="66"/>
      <c r="AD1" s="66"/>
      <c r="AE1" s="66"/>
      <c r="AF1" s="66"/>
      <c r="AG1" s="66"/>
      <c r="AH1" s="68"/>
    </row>
    <row r="2" spans="1:34" s="75" customFormat="1" ht="15" customHeight="1" thickBot="1">
      <c r="A2" s="162"/>
      <c r="B2" s="73" t="str">
        <f>'2G'!B2</f>
        <v>For the 12 months ended 31 March 2020</v>
      </c>
      <c r="C2" s="304"/>
      <c r="D2" s="304"/>
      <c r="E2" s="162"/>
      <c r="F2" s="162"/>
      <c r="G2" s="162"/>
      <c r="H2" s="162"/>
      <c r="I2" s="162"/>
      <c r="J2" s="70"/>
      <c r="K2" s="70"/>
      <c r="L2" s="70"/>
      <c r="M2" s="70"/>
      <c r="N2" s="71"/>
      <c r="O2" s="70"/>
      <c r="P2" s="70"/>
      <c r="Q2" s="70"/>
      <c r="R2" s="71"/>
      <c r="S2" s="70"/>
      <c r="T2" s="71"/>
      <c r="U2" s="74"/>
      <c r="V2" s="74"/>
      <c r="W2" s="74"/>
      <c r="X2" s="71"/>
      <c r="AA2" s="73" t="str">
        <f>+B2</f>
        <v>For the 12 months ended 31 March 2020</v>
      </c>
      <c r="AB2" s="304"/>
      <c r="AC2" s="304"/>
      <c r="AD2" s="162"/>
      <c r="AE2" s="162"/>
      <c r="AF2" s="162"/>
      <c r="AG2" s="162"/>
      <c r="AH2" s="162"/>
    </row>
    <row r="3" spans="1:34" s="308" customFormat="1" ht="54.75" thickBot="1">
      <c r="A3" s="74"/>
      <c r="B3" s="3165" t="s">
        <v>36</v>
      </c>
      <c r="C3" s="3166"/>
      <c r="D3" s="1507" t="s">
        <v>37</v>
      </c>
      <c r="E3" s="296" t="s">
        <v>1742</v>
      </c>
      <c r="F3" s="307" t="s">
        <v>1743</v>
      </c>
      <c r="G3" s="297" t="s">
        <v>1744</v>
      </c>
      <c r="H3" s="350" t="s">
        <v>1745</v>
      </c>
      <c r="I3" s="350" t="s">
        <v>1746</v>
      </c>
      <c r="J3" s="351"/>
      <c r="K3" s="186" t="s">
        <v>705</v>
      </c>
      <c r="L3" s="2990" t="s">
        <v>43</v>
      </c>
      <c r="M3" s="70"/>
      <c r="N3" s="71"/>
      <c r="O3" s="3072" t="s">
        <v>47</v>
      </c>
      <c r="P3" s="3143"/>
      <c r="Q3" s="3143"/>
      <c r="R3" s="71"/>
      <c r="S3" s="2987" t="s">
        <v>26</v>
      </c>
      <c r="T3" s="71"/>
      <c r="U3" s="2987" t="s">
        <v>904</v>
      </c>
      <c r="V3" s="2987"/>
      <c r="W3" s="2987"/>
      <c r="X3" s="71"/>
      <c r="AA3" s="3165" t="s">
        <v>36</v>
      </c>
      <c r="AB3" s="3166"/>
      <c r="AC3" s="1507" t="s">
        <v>37</v>
      </c>
      <c r="AD3" s="296" t="s">
        <v>1742</v>
      </c>
      <c r="AE3" s="307" t="s">
        <v>1743</v>
      </c>
      <c r="AF3" s="297" t="s">
        <v>1744</v>
      </c>
      <c r="AG3" s="350" t="s">
        <v>1745</v>
      </c>
      <c r="AH3" s="350" t="s">
        <v>1746</v>
      </c>
    </row>
    <row r="4" spans="1:34" s="308" customFormat="1" ht="15" customHeight="1" thickBot="1">
      <c r="A4" s="74"/>
      <c r="B4" s="74"/>
      <c r="C4" s="352"/>
      <c r="D4" s="352"/>
      <c r="E4" s="74"/>
      <c r="F4" s="74"/>
      <c r="G4" s="74"/>
      <c r="H4" s="74"/>
      <c r="I4" s="74"/>
      <c r="J4" s="70"/>
      <c r="K4" s="70"/>
      <c r="L4" s="70"/>
      <c r="M4" s="70"/>
      <c r="N4" s="71"/>
      <c r="R4" s="71"/>
      <c r="S4" s="3022"/>
      <c r="T4" s="71"/>
      <c r="U4" s="3022"/>
      <c r="V4" s="3022"/>
      <c r="W4" s="3022"/>
      <c r="X4" s="71"/>
      <c r="AA4" s="74"/>
      <c r="AB4" s="352"/>
      <c r="AC4" s="352"/>
      <c r="AD4" s="74"/>
      <c r="AE4" s="74"/>
      <c r="AF4" s="74"/>
      <c r="AG4" s="74"/>
      <c r="AH4" s="74"/>
    </row>
    <row r="5" spans="1:34" s="315" customFormat="1" ht="17.45" customHeight="1" thickBot="1">
      <c r="A5" s="262"/>
      <c r="B5" s="261" t="s">
        <v>155</v>
      </c>
      <c r="C5" s="27" t="s">
        <v>1747</v>
      </c>
      <c r="D5" s="1508"/>
      <c r="E5" s="74"/>
      <c r="F5" s="74"/>
      <c r="G5" s="74"/>
      <c r="H5" s="74"/>
      <c r="I5" s="74"/>
      <c r="J5" s="70"/>
      <c r="K5" s="74"/>
      <c r="L5" s="70"/>
      <c r="M5" s="70"/>
      <c r="N5" s="71"/>
      <c r="O5" s="164" t="s">
        <v>48</v>
      </c>
      <c r="P5" s="127"/>
      <c r="Q5" s="127"/>
      <c r="R5" s="71"/>
      <c r="S5" s="479"/>
      <c r="T5" s="71"/>
      <c r="U5" s="74"/>
      <c r="V5" s="74"/>
      <c r="W5" s="74"/>
      <c r="X5" s="71"/>
      <c r="AA5" s="261" t="s">
        <v>155</v>
      </c>
      <c r="AB5" s="27" t="s">
        <v>1747</v>
      </c>
      <c r="AC5" s="1508"/>
      <c r="AD5" s="74"/>
      <c r="AE5" s="74"/>
      <c r="AF5" s="74"/>
      <c r="AG5" s="74"/>
      <c r="AH5" s="74"/>
    </row>
    <row r="6" spans="1:34" s="315" customFormat="1" ht="17.45" customHeight="1" thickBot="1">
      <c r="A6" s="262"/>
      <c r="B6" s="353" t="s">
        <v>1897</v>
      </c>
      <c r="C6" s="28" t="s">
        <v>1749</v>
      </c>
      <c r="D6" s="1509"/>
      <c r="E6" s="442"/>
      <c r="F6" s="443"/>
      <c r="G6" s="342">
        <f xml:space="preserve"> F6 + E6</f>
        <v>0</v>
      </c>
      <c r="H6" s="612"/>
      <c r="I6" s="607">
        <f xml:space="preserve"> IF( H6 = 0, 0, F6 / H6 * 1000 )</f>
        <v>0</v>
      </c>
      <c r="J6" s="70"/>
      <c r="K6" s="74"/>
      <c r="L6" s="24">
        <f t="shared" ref="L6" si="0" xml:space="preserve"> IF( SUM( N6:R6 ) = 0, 0, $O$5 )</f>
        <v>0</v>
      </c>
      <c r="M6" s="70"/>
      <c r="N6" s="71"/>
      <c r="O6" s="93">
        <f>IF($C6&lt;&gt;"",0,IF(ISNUMBER(E6),0,1))</f>
        <v>0</v>
      </c>
      <c r="P6" s="93">
        <f t="shared" ref="P6:Q6" si="1">IF($C6&lt;&gt;"",0,IF(ISNUMBER(F6),0,1))</f>
        <v>0</v>
      </c>
      <c r="Q6" s="93">
        <f t="shared" si="1"/>
        <v>0</v>
      </c>
      <c r="R6" s="71"/>
      <c r="S6" s="479"/>
      <c r="T6" s="71"/>
      <c r="U6" s="74"/>
      <c r="V6" s="74"/>
      <c r="W6" s="74"/>
      <c r="X6" s="71"/>
      <c r="AA6" s="353">
        <v>1</v>
      </c>
      <c r="AB6" s="28" t="s">
        <v>1749</v>
      </c>
      <c r="AC6" s="1509"/>
      <c r="AD6" s="2594" t="s">
        <v>1898</v>
      </c>
      <c r="AE6" s="2595" t="s">
        <v>1899</v>
      </c>
      <c r="AF6" s="342" t="s">
        <v>1900</v>
      </c>
      <c r="AG6" s="2596" t="s">
        <v>1901</v>
      </c>
      <c r="AH6" s="607" t="s">
        <v>1902</v>
      </c>
    </row>
    <row r="7" spans="1:34" s="308" customFormat="1" ht="15" customHeight="1" thickBot="1">
      <c r="A7" s="74"/>
      <c r="B7" s="74"/>
      <c r="C7" s="352"/>
      <c r="D7" s="352"/>
      <c r="E7" s="141"/>
      <c r="F7" s="141"/>
      <c r="G7" s="141"/>
      <c r="H7" s="613"/>
      <c r="I7" s="608"/>
      <c r="J7" s="141"/>
      <c r="K7" s="74"/>
      <c r="L7" s="141"/>
      <c r="M7" s="70"/>
      <c r="N7" s="71"/>
      <c r="R7" s="71"/>
      <c r="S7" s="479"/>
      <c r="T7" s="71"/>
      <c r="U7" s="74"/>
      <c r="V7" s="74"/>
      <c r="W7" s="74"/>
      <c r="X7" s="71"/>
      <c r="AA7" s="74"/>
      <c r="AB7" s="352"/>
      <c r="AC7" s="352"/>
      <c r="AD7" s="141"/>
      <c r="AE7" s="141"/>
      <c r="AF7" s="141"/>
      <c r="AG7" s="613"/>
      <c r="AH7" s="608"/>
    </row>
    <row r="8" spans="1:34" s="308" customFormat="1" ht="15" customHeight="1" thickBot="1">
      <c r="A8" s="74"/>
      <c r="B8" s="261" t="s">
        <v>177</v>
      </c>
      <c r="C8" s="27" t="s">
        <v>1755</v>
      </c>
      <c r="D8" s="1508"/>
      <c r="E8" s="141"/>
      <c r="F8" s="141"/>
      <c r="G8" s="141"/>
      <c r="H8" s="613"/>
      <c r="I8" s="608"/>
      <c r="J8" s="70"/>
      <c r="K8" s="74"/>
      <c r="L8" s="141"/>
      <c r="M8" s="70"/>
      <c r="N8" s="71"/>
      <c r="R8" s="71"/>
      <c r="S8" s="479"/>
      <c r="T8" s="71"/>
      <c r="U8" s="74"/>
      <c r="V8" s="74"/>
      <c r="W8" s="74"/>
      <c r="X8" s="71"/>
      <c r="AA8" s="261" t="s">
        <v>177</v>
      </c>
      <c r="AB8" s="27" t="s">
        <v>1755</v>
      </c>
      <c r="AC8" s="1508"/>
      <c r="AD8" s="141"/>
      <c r="AE8" s="141"/>
      <c r="AF8" s="141"/>
      <c r="AG8" s="613"/>
      <c r="AH8" s="608"/>
    </row>
    <row r="9" spans="1:34" s="308" customFormat="1" ht="15" customHeight="1">
      <c r="A9" s="1695">
        <v>2</v>
      </c>
      <c r="B9" s="354" t="s">
        <v>1903</v>
      </c>
      <c r="C9" s="32" t="str">
        <f>IF($I$1="Select company","",IF(Validation!$H$3=1,"",(IF(HLOOKUP((VLOOKUP($I$1,Lists!$B$4:$C$23,2,FALSE)),'Sewerage PR16'!$A$1:$S$24,'2H'!A9+1,FALSE)=0,"",HLOOKUP((VLOOKUP($I$1,Lists!$B$4:$C$23,2,FALSE)),'Sewerage PR16'!$A$1:$S$25,'2H'!A9+1,FALSE)))))</f>
        <v>n/a</v>
      </c>
      <c r="D9" s="1510"/>
      <c r="E9" s="444"/>
      <c r="F9" s="434"/>
      <c r="G9" s="331">
        <f xml:space="preserve"> F9 + E9</f>
        <v>0</v>
      </c>
      <c r="H9" s="614"/>
      <c r="I9" s="609">
        <f t="shared" ref="I9:I31" si="2" xml:space="preserve"> IF( H9 = 0, 0, F9 / H9 * 1000 )</f>
        <v>0</v>
      </c>
      <c r="J9" s="70"/>
      <c r="K9" s="74"/>
      <c r="L9" s="24" t="str">
        <f t="shared" ref="L9:L28" si="3" xml:space="preserve"> IF( SUM( N9:R9 ) = 0, 0, $O$5 )</f>
        <v>Please complete all cells in row</v>
      </c>
      <c r="M9" s="70"/>
      <c r="N9" s="71"/>
      <c r="O9" s="93">
        <f t="shared" ref="O9:P28" si="4">IF($C9="",0,IF(ISNUMBER(E9),0,1))</f>
        <v>1</v>
      </c>
      <c r="P9" s="93">
        <f t="shared" si="4"/>
        <v>1</v>
      </c>
      <c r="Q9" s="93">
        <f t="shared" ref="Q9:Q28" si="5">IF($C9="",0,IF(ISNUMBER(H9),0,1))</f>
        <v>1</v>
      </c>
      <c r="R9" s="71"/>
      <c r="S9" s="479"/>
      <c r="T9" s="71"/>
      <c r="U9" s="74"/>
      <c r="V9" s="74"/>
      <c r="W9" s="74"/>
      <c r="X9" s="71"/>
      <c r="AA9" s="354">
        <f xml:space="preserve"> AA6 + 1</f>
        <v>2</v>
      </c>
      <c r="AB9" s="32" t="str">
        <f>C9</f>
        <v>n/a</v>
      </c>
      <c r="AC9" s="1510"/>
      <c r="AD9" s="2597" t="s">
        <v>1904</v>
      </c>
      <c r="AE9" s="2598" t="s">
        <v>1905</v>
      </c>
      <c r="AF9" s="331" t="s">
        <v>1906</v>
      </c>
      <c r="AG9" s="2599" t="s">
        <v>1907</v>
      </c>
      <c r="AH9" s="609" t="s">
        <v>1908</v>
      </c>
    </row>
    <row r="10" spans="1:34" s="308" customFormat="1" ht="15" customHeight="1">
      <c r="A10" s="1695">
        <v>3</v>
      </c>
      <c r="B10" s="355" t="s">
        <v>1909</v>
      </c>
      <c r="C10" s="33" t="str">
        <f>IF($I$1="Select company","",IF(Validation!$H$3=1,"",(IF(HLOOKUP((VLOOKUP($I$1,Lists!$B$4:$C$23,2,FALSE)),'Sewerage PR16'!$A$1:$S$24,'2H'!A10+1,FALSE)=0,"",HLOOKUP((VLOOKUP($I$1,Lists!$B$4:$C$23,2,FALSE)),'Sewerage PR16'!$A$1:$S$25,'2H'!A10+1,FALSE)))))</f>
        <v>n/a</v>
      </c>
      <c r="D10" s="1511"/>
      <c r="E10" s="445"/>
      <c r="F10" s="435"/>
      <c r="G10" s="332">
        <f t="shared" ref="G10:G28" si="6" xml:space="preserve"> F10 + E10</f>
        <v>0</v>
      </c>
      <c r="H10" s="615"/>
      <c r="I10" s="610">
        <f t="shared" si="2"/>
        <v>0</v>
      </c>
      <c r="J10" s="70"/>
      <c r="K10" s="74"/>
      <c r="L10" s="24" t="str">
        <f t="shared" si="3"/>
        <v>Please complete all cells in row</v>
      </c>
      <c r="M10" s="70"/>
      <c r="N10" s="71"/>
      <c r="O10" s="93">
        <f t="shared" si="4"/>
        <v>1</v>
      </c>
      <c r="P10" s="93">
        <f t="shared" si="4"/>
        <v>1</v>
      </c>
      <c r="Q10" s="93">
        <f t="shared" si="5"/>
        <v>1</v>
      </c>
      <c r="R10" s="71"/>
      <c r="S10" s="479"/>
      <c r="T10" s="71"/>
      <c r="U10" s="74"/>
      <c r="V10" s="74"/>
      <c r="W10" s="74"/>
      <c r="X10" s="71"/>
      <c r="AA10" s="355">
        <f xml:space="preserve"> AA9 + 1</f>
        <v>3</v>
      </c>
      <c r="AB10" s="33" t="str">
        <f t="shared" ref="AB10:AB30" si="7">C10</f>
        <v>n/a</v>
      </c>
      <c r="AC10" s="1511"/>
      <c r="AD10" s="2600" t="s">
        <v>1910</v>
      </c>
      <c r="AE10" s="2601" t="s">
        <v>1911</v>
      </c>
      <c r="AF10" s="332" t="s">
        <v>1912</v>
      </c>
      <c r="AG10" s="2602" t="s">
        <v>1913</v>
      </c>
      <c r="AH10" s="610" t="s">
        <v>1914</v>
      </c>
    </row>
    <row r="11" spans="1:34" s="308" customFormat="1" ht="15" customHeight="1">
      <c r="A11" s="1695">
        <v>4</v>
      </c>
      <c r="B11" s="355" t="s">
        <v>1915</v>
      </c>
      <c r="C11" s="33" t="str">
        <f>IF($I$1="Select company","",IF(Validation!$H$3=1,"",(IF(HLOOKUP((VLOOKUP($I$1,Lists!$B$4:$C$23,2,FALSE)),'Sewerage PR16'!$A$1:$S$24,'2H'!A11+1,FALSE)=0,"",HLOOKUP((VLOOKUP($I$1,Lists!$B$4:$C$23,2,FALSE)),'Sewerage PR16'!$A$1:$S$25,'2H'!A11+1,FALSE)))))</f>
        <v>n/a</v>
      </c>
      <c r="D11" s="1511"/>
      <c r="E11" s="445"/>
      <c r="F11" s="435"/>
      <c r="G11" s="332">
        <f t="shared" si="6"/>
        <v>0</v>
      </c>
      <c r="H11" s="615"/>
      <c r="I11" s="610">
        <f t="shared" si="2"/>
        <v>0</v>
      </c>
      <c r="J11" s="70"/>
      <c r="K11" s="74"/>
      <c r="L11" s="24" t="str">
        <f t="shared" si="3"/>
        <v>Please complete all cells in row</v>
      </c>
      <c r="M11" s="70"/>
      <c r="N11" s="71"/>
      <c r="O11" s="93">
        <f t="shared" si="4"/>
        <v>1</v>
      </c>
      <c r="P11" s="93">
        <f t="shared" si="4"/>
        <v>1</v>
      </c>
      <c r="Q11" s="93">
        <f t="shared" si="5"/>
        <v>1</v>
      </c>
      <c r="R11" s="71"/>
      <c r="S11" s="479"/>
      <c r="T11" s="71"/>
      <c r="U11" s="74"/>
      <c r="V11" s="74"/>
      <c r="W11" s="74"/>
      <c r="X11" s="71"/>
      <c r="AA11" s="355">
        <f t="shared" ref="AA11:AA28" si="8" xml:space="preserve"> AA10 + 1</f>
        <v>4</v>
      </c>
      <c r="AB11" s="33" t="str">
        <f t="shared" si="7"/>
        <v>n/a</v>
      </c>
      <c r="AC11" s="1511"/>
      <c r="AD11" s="2600" t="s">
        <v>1916</v>
      </c>
      <c r="AE11" s="2601" t="s">
        <v>1917</v>
      </c>
      <c r="AF11" s="332" t="s">
        <v>1918</v>
      </c>
      <c r="AG11" s="2602" t="s">
        <v>1919</v>
      </c>
      <c r="AH11" s="610" t="s">
        <v>1920</v>
      </c>
    </row>
    <row r="12" spans="1:34" s="315" customFormat="1" ht="15" customHeight="1">
      <c r="A12" s="1696">
        <v>5</v>
      </c>
      <c r="B12" s="355" t="s">
        <v>1921</v>
      </c>
      <c r="C12" s="33" t="str">
        <f>IF($I$1="Select company","",IF(Validation!$H$3=1,"",(IF(HLOOKUP((VLOOKUP($I$1,Lists!$B$4:$C$23,2,FALSE)),'Sewerage PR16'!$A$1:$S$24,'2H'!A12+1,FALSE)=0,"",HLOOKUP((VLOOKUP($I$1,Lists!$B$4:$C$23,2,FALSE)),'Sewerage PR16'!$A$1:$S$25,'2H'!A12+1,FALSE)))))</f>
        <v>n/a</v>
      </c>
      <c r="D12" s="1511"/>
      <c r="E12" s="445"/>
      <c r="F12" s="435"/>
      <c r="G12" s="332">
        <f t="shared" si="6"/>
        <v>0</v>
      </c>
      <c r="H12" s="615"/>
      <c r="I12" s="610">
        <f t="shared" si="2"/>
        <v>0</v>
      </c>
      <c r="J12" s="70"/>
      <c r="K12" s="74"/>
      <c r="L12" s="24" t="str">
        <f t="shared" si="3"/>
        <v>Please complete all cells in row</v>
      </c>
      <c r="M12" s="70"/>
      <c r="N12" s="71"/>
      <c r="O12" s="93">
        <f t="shared" si="4"/>
        <v>1</v>
      </c>
      <c r="P12" s="93">
        <f t="shared" si="4"/>
        <v>1</v>
      </c>
      <c r="Q12" s="93">
        <f t="shared" si="5"/>
        <v>1</v>
      </c>
      <c r="R12" s="71"/>
      <c r="S12" s="479"/>
      <c r="T12" s="71"/>
      <c r="U12" s="74"/>
      <c r="V12" s="74"/>
      <c r="W12" s="74"/>
      <c r="X12" s="71"/>
      <c r="AA12" s="355">
        <f t="shared" si="8"/>
        <v>5</v>
      </c>
      <c r="AB12" s="33" t="str">
        <f t="shared" si="7"/>
        <v>n/a</v>
      </c>
      <c r="AC12" s="1511"/>
      <c r="AD12" s="2600" t="s">
        <v>1922</v>
      </c>
      <c r="AE12" s="2601" t="s">
        <v>1923</v>
      </c>
      <c r="AF12" s="332" t="s">
        <v>1924</v>
      </c>
      <c r="AG12" s="2602" t="s">
        <v>1925</v>
      </c>
      <c r="AH12" s="610" t="s">
        <v>1926</v>
      </c>
    </row>
    <row r="13" spans="1:34" s="315" customFormat="1" ht="15" customHeight="1">
      <c r="A13" s="1696">
        <v>6</v>
      </c>
      <c r="B13" s="355" t="s">
        <v>1927</v>
      </c>
      <c r="C13" s="33" t="str">
        <f>IF($I$1="Select company","",IF(Validation!$H$3=1,"",(IF(HLOOKUP((VLOOKUP($I$1,Lists!$B$4:$C$23,2,FALSE)),'Sewerage PR16'!$A$1:$S$24,'2H'!A13+1,FALSE)=0,"",HLOOKUP((VLOOKUP($I$1,Lists!$B$4:$C$23,2,FALSE)),'Sewerage PR16'!$A$1:$S$25,'2H'!A13+1,FALSE)))))</f>
        <v>n/a</v>
      </c>
      <c r="D13" s="1511"/>
      <c r="E13" s="445"/>
      <c r="F13" s="435"/>
      <c r="G13" s="332">
        <f t="shared" si="6"/>
        <v>0</v>
      </c>
      <c r="H13" s="615"/>
      <c r="I13" s="610">
        <f t="shared" si="2"/>
        <v>0</v>
      </c>
      <c r="J13" s="70"/>
      <c r="K13" s="74"/>
      <c r="L13" s="24" t="str">
        <f t="shared" si="3"/>
        <v>Please complete all cells in row</v>
      </c>
      <c r="M13" s="70"/>
      <c r="N13" s="71"/>
      <c r="O13" s="93">
        <f t="shared" si="4"/>
        <v>1</v>
      </c>
      <c r="P13" s="93">
        <f t="shared" si="4"/>
        <v>1</v>
      </c>
      <c r="Q13" s="93">
        <f t="shared" si="5"/>
        <v>1</v>
      </c>
      <c r="R13" s="71"/>
      <c r="S13" s="479"/>
      <c r="T13" s="71"/>
      <c r="U13" s="74"/>
      <c r="V13" s="74"/>
      <c r="W13" s="74"/>
      <c r="X13" s="71"/>
      <c r="AA13" s="355">
        <f t="shared" si="8"/>
        <v>6</v>
      </c>
      <c r="AB13" s="33" t="str">
        <f t="shared" si="7"/>
        <v>n/a</v>
      </c>
      <c r="AC13" s="1511"/>
      <c r="AD13" s="2600" t="s">
        <v>1928</v>
      </c>
      <c r="AE13" s="2601" t="s">
        <v>1929</v>
      </c>
      <c r="AF13" s="332" t="s">
        <v>1930</v>
      </c>
      <c r="AG13" s="2602" t="s">
        <v>1931</v>
      </c>
      <c r="AH13" s="610" t="s">
        <v>1932</v>
      </c>
    </row>
    <row r="14" spans="1:34" s="315" customFormat="1" ht="15" customHeight="1">
      <c r="A14" s="1696">
        <v>7</v>
      </c>
      <c r="B14" s="355" t="s">
        <v>1933</v>
      </c>
      <c r="C14" s="33" t="str">
        <f>IF($I$1="Select company","",IF(Validation!$H$3=1,"",(IF(HLOOKUP((VLOOKUP($I$1,Lists!$B$4:$C$23,2,FALSE)),'Sewerage PR16'!$A$1:$S$24,'2H'!A14+1,FALSE)=0,"",HLOOKUP((VLOOKUP($I$1,Lists!$B$4:$C$23,2,FALSE)),'Sewerage PR16'!$A$1:$S$25,'2H'!A14+1,FALSE)))))</f>
        <v>n/a</v>
      </c>
      <c r="D14" s="1511"/>
      <c r="E14" s="445"/>
      <c r="F14" s="435"/>
      <c r="G14" s="332">
        <f t="shared" si="6"/>
        <v>0</v>
      </c>
      <c r="H14" s="615"/>
      <c r="I14" s="610">
        <f t="shared" si="2"/>
        <v>0</v>
      </c>
      <c r="J14" s="70"/>
      <c r="K14" s="74"/>
      <c r="L14" s="24" t="str">
        <f t="shared" si="3"/>
        <v>Please complete all cells in row</v>
      </c>
      <c r="M14" s="70"/>
      <c r="N14" s="71"/>
      <c r="O14" s="93">
        <f t="shared" si="4"/>
        <v>1</v>
      </c>
      <c r="P14" s="93">
        <f t="shared" si="4"/>
        <v>1</v>
      </c>
      <c r="Q14" s="93">
        <f t="shared" si="5"/>
        <v>1</v>
      </c>
      <c r="R14" s="71"/>
      <c r="S14" s="479"/>
      <c r="T14" s="71"/>
      <c r="U14" s="74"/>
      <c r="V14" s="74"/>
      <c r="W14" s="74"/>
      <c r="X14" s="71"/>
      <c r="AA14" s="355">
        <f t="shared" si="8"/>
        <v>7</v>
      </c>
      <c r="AB14" s="33" t="str">
        <f t="shared" si="7"/>
        <v>n/a</v>
      </c>
      <c r="AC14" s="1511"/>
      <c r="AD14" s="2600" t="s">
        <v>1934</v>
      </c>
      <c r="AE14" s="2601" t="s">
        <v>1935</v>
      </c>
      <c r="AF14" s="332" t="s">
        <v>1936</v>
      </c>
      <c r="AG14" s="2602" t="s">
        <v>1937</v>
      </c>
      <c r="AH14" s="610" t="s">
        <v>1938</v>
      </c>
    </row>
    <row r="15" spans="1:34" s="315" customFormat="1" ht="15" customHeight="1">
      <c r="A15" s="1696">
        <v>8</v>
      </c>
      <c r="B15" s="355" t="s">
        <v>1939</v>
      </c>
      <c r="C15" s="33" t="str">
        <f>IF($I$1="Select company","",IF(Validation!$H$3=1,"",(IF(HLOOKUP((VLOOKUP($I$1,Lists!$B$4:$C$23,2,FALSE)),'Sewerage PR16'!$A$1:$S$24,'2H'!A15+1,FALSE)=0,"",HLOOKUP((VLOOKUP($I$1,Lists!$B$4:$C$23,2,FALSE)),'Sewerage PR16'!$A$1:$S$25,'2H'!A15+1,FALSE)))))</f>
        <v>n/a</v>
      </c>
      <c r="D15" s="1511"/>
      <c r="E15" s="445"/>
      <c r="F15" s="435"/>
      <c r="G15" s="332">
        <f t="shared" si="6"/>
        <v>0</v>
      </c>
      <c r="H15" s="615"/>
      <c r="I15" s="610">
        <f t="shared" si="2"/>
        <v>0</v>
      </c>
      <c r="J15" s="70"/>
      <c r="K15" s="74"/>
      <c r="L15" s="24" t="str">
        <f t="shared" si="3"/>
        <v>Please complete all cells in row</v>
      </c>
      <c r="M15" s="70"/>
      <c r="N15" s="71"/>
      <c r="O15" s="93">
        <f t="shared" si="4"/>
        <v>1</v>
      </c>
      <c r="P15" s="93">
        <f t="shared" si="4"/>
        <v>1</v>
      </c>
      <c r="Q15" s="93">
        <f t="shared" si="5"/>
        <v>1</v>
      </c>
      <c r="R15" s="71"/>
      <c r="S15" s="479"/>
      <c r="T15" s="71"/>
      <c r="U15" s="74"/>
      <c r="V15" s="74"/>
      <c r="W15" s="74"/>
      <c r="X15" s="71"/>
      <c r="AA15" s="355">
        <f t="shared" si="8"/>
        <v>8</v>
      </c>
      <c r="AB15" s="33" t="str">
        <f t="shared" si="7"/>
        <v>n/a</v>
      </c>
      <c r="AC15" s="1511"/>
      <c r="AD15" s="2600" t="s">
        <v>1940</v>
      </c>
      <c r="AE15" s="2601" t="s">
        <v>1941</v>
      </c>
      <c r="AF15" s="332" t="s">
        <v>1942</v>
      </c>
      <c r="AG15" s="2602" t="s">
        <v>1943</v>
      </c>
      <c r="AH15" s="610" t="s">
        <v>1944</v>
      </c>
    </row>
    <row r="16" spans="1:34" s="315" customFormat="1" ht="15" customHeight="1">
      <c r="A16" s="1696">
        <v>9</v>
      </c>
      <c r="B16" s="355" t="s">
        <v>1945</v>
      </c>
      <c r="C16" s="33" t="str">
        <f>IF($I$1="Select company","",IF(Validation!$H$3=1,"",(IF(HLOOKUP((VLOOKUP($I$1,Lists!$B$4:$C$23,2,FALSE)),'Sewerage PR16'!$A$1:$S$24,'2H'!A16+1,FALSE)=0,"",HLOOKUP((VLOOKUP($I$1,Lists!$B$4:$C$23,2,FALSE)),'Sewerage PR16'!$A$1:$S$25,'2H'!A16+1,FALSE)))))</f>
        <v>sewerage unmetered</v>
      </c>
      <c r="D16" s="1511"/>
      <c r="E16" s="445">
        <v>0.876</v>
      </c>
      <c r="F16" s="435">
        <v>1.121</v>
      </c>
      <c r="G16" s="332">
        <f t="shared" si="6"/>
        <v>1.9969999999999999</v>
      </c>
      <c r="H16" s="615">
        <v>17.902000000000001</v>
      </c>
      <c r="I16" s="610">
        <f t="shared" si="2"/>
        <v>62.618701821025581</v>
      </c>
      <c r="J16" s="70"/>
      <c r="K16" s="74"/>
      <c r="L16" s="24">
        <f t="shared" si="3"/>
        <v>0</v>
      </c>
      <c r="M16" s="70"/>
      <c r="N16" s="71"/>
      <c r="O16" s="93">
        <f t="shared" si="4"/>
        <v>0</v>
      </c>
      <c r="P16" s="93">
        <f t="shared" si="4"/>
        <v>0</v>
      </c>
      <c r="Q16" s="93">
        <f t="shared" si="5"/>
        <v>0</v>
      </c>
      <c r="R16" s="71"/>
      <c r="S16" s="479"/>
      <c r="T16" s="71"/>
      <c r="U16" s="74"/>
      <c r="V16" s="74"/>
      <c r="W16" s="74"/>
      <c r="X16" s="71"/>
      <c r="AA16" s="355">
        <f t="shared" si="8"/>
        <v>9</v>
      </c>
      <c r="AB16" s="33" t="str">
        <f t="shared" si="7"/>
        <v>sewerage unmetered</v>
      </c>
      <c r="AC16" s="1511"/>
      <c r="AD16" s="2600" t="s">
        <v>1946</v>
      </c>
      <c r="AE16" s="2601" t="s">
        <v>1947</v>
      </c>
      <c r="AF16" s="332" t="s">
        <v>1948</v>
      </c>
      <c r="AG16" s="2602" t="s">
        <v>1949</v>
      </c>
      <c r="AH16" s="610" t="s">
        <v>1950</v>
      </c>
    </row>
    <row r="17" spans="1:34" s="315" customFormat="1" ht="15" customHeight="1">
      <c r="A17" s="1696">
        <v>10</v>
      </c>
      <c r="B17" s="355" t="s">
        <v>1951</v>
      </c>
      <c r="C17" s="33" t="str">
        <f>IF($I$1="Select company","",IF(Validation!$H$3=1,"",(IF(HLOOKUP((VLOOKUP($I$1,Lists!$B$4:$C$23,2,FALSE)),'Sewerage PR16'!$A$1:$S$24,'2H'!A17+1,FALSE)=0,"",HLOOKUP((VLOOKUP($I$1,Lists!$B$4:$C$23,2,FALSE)),'Sewerage PR16'!$A$1:$S$25,'2H'!A17+1,FALSE)))))</f>
        <v>Wastewater 0 - 5 Ml</v>
      </c>
      <c r="D17" s="1511"/>
      <c r="E17" s="445">
        <v>27.047999999999998</v>
      </c>
      <c r="F17" s="435">
        <v>2.516</v>
      </c>
      <c r="G17" s="332">
        <f t="shared" si="6"/>
        <v>29.564</v>
      </c>
      <c r="H17" s="615">
        <v>81.013999999999996</v>
      </c>
      <c r="I17" s="610">
        <f t="shared" si="2"/>
        <v>31.056360629027083</v>
      </c>
      <c r="J17" s="70"/>
      <c r="K17" s="74"/>
      <c r="L17" s="24">
        <f t="shared" si="3"/>
        <v>0</v>
      </c>
      <c r="M17" s="70"/>
      <c r="N17" s="71"/>
      <c r="O17" s="93">
        <f t="shared" si="4"/>
        <v>0</v>
      </c>
      <c r="P17" s="93">
        <f t="shared" si="4"/>
        <v>0</v>
      </c>
      <c r="Q17" s="93">
        <f t="shared" si="5"/>
        <v>0</v>
      </c>
      <c r="R17" s="71"/>
      <c r="S17" s="479"/>
      <c r="T17" s="71"/>
      <c r="U17" s="74"/>
      <c r="V17" s="74"/>
      <c r="W17" s="74"/>
      <c r="X17" s="71"/>
      <c r="AA17" s="355">
        <f t="shared" si="8"/>
        <v>10</v>
      </c>
      <c r="AB17" s="33" t="str">
        <f t="shared" si="7"/>
        <v>Wastewater 0 - 5 Ml</v>
      </c>
      <c r="AC17" s="1511"/>
      <c r="AD17" s="2600" t="s">
        <v>1952</v>
      </c>
      <c r="AE17" s="2601" t="s">
        <v>1953</v>
      </c>
      <c r="AF17" s="332" t="s">
        <v>1954</v>
      </c>
      <c r="AG17" s="2602" t="s">
        <v>1955</v>
      </c>
      <c r="AH17" s="610" t="s">
        <v>1956</v>
      </c>
    </row>
    <row r="18" spans="1:34" s="315" customFormat="1" ht="15" customHeight="1">
      <c r="A18" s="1696">
        <v>11</v>
      </c>
      <c r="B18" s="355" t="s">
        <v>1957</v>
      </c>
      <c r="C18" s="33" t="str">
        <f>IF($I$1="Select company","",IF(Validation!$H$3=1,"",(IF(HLOOKUP((VLOOKUP($I$1,Lists!$B$4:$C$23,2,FALSE)),'Sewerage PR16'!$A$1:$S$24,'2H'!A18+1,FALSE)=0,"",HLOOKUP((VLOOKUP($I$1,Lists!$B$4:$C$23,2,FALSE)),'Sewerage PR16'!$A$1:$S$25,'2H'!A18+1,FALSE)))))</f>
        <v>Trade Effluent 0 - 5 Ml</v>
      </c>
      <c r="D18" s="1511"/>
      <c r="E18" s="445">
        <v>1.7230000000000001</v>
      </c>
      <c r="F18" s="435">
        <v>0.13200000000000001</v>
      </c>
      <c r="G18" s="332">
        <f t="shared" si="6"/>
        <v>1.855</v>
      </c>
      <c r="H18" s="615">
        <v>1.7070000000000001</v>
      </c>
      <c r="I18" s="610">
        <f t="shared" si="2"/>
        <v>77.328646748681891</v>
      </c>
      <c r="J18" s="70"/>
      <c r="K18" s="74"/>
      <c r="L18" s="24">
        <f t="shared" si="3"/>
        <v>0</v>
      </c>
      <c r="M18" s="70"/>
      <c r="N18" s="71"/>
      <c r="O18" s="93">
        <f t="shared" si="4"/>
        <v>0</v>
      </c>
      <c r="P18" s="93">
        <f t="shared" si="4"/>
        <v>0</v>
      </c>
      <c r="Q18" s="93">
        <f t="shared" si="5"/>
        <v>0</v>
      </c>
      <c r="R18" s="71"/>
      <c r="S18" s="479"/>
      <c r="T18" s="71"/>
      <c r="U18" s="74"/>
      <c r="V18" s="74"/>
      <c r="W18" s="74"/>
      <c r="X18" s="71"/>
      <c r="AA18" s="355">
        <f t="shared" si="8"/>
        <v>11</v>
      </c>
      <c r="AB18" s="33" t="str">
        <f t="shared" si="7"/>
        <v>Trade Effluent 0 - 5 Ml</v>
      </c>
      <c r="AC18" s="1511"/>
      <c r="AD18" s="2600" t="s">
        <v>1958</v>
      </c>
      <c r="AE18" s="2601" t="s">
        <v>1959</v>
      </c>
      <c r="AF18" s="332" t="s">
        <v>1960</v>
      </c>
      <c r="AG18" s="2602" t="s">
        <v>1961</v>
      </c>
      <c r="AH18" s="610" t="s">
        <v>1962</v>
      </c>
    </row>
    <row r="19" spans="1:34" s="315" customFormat="1" ht="15" customHeight="1">
      <c r="A19" s="1696">
        <v>12</v>
      </c>
      <c r="B19" s="355" t="s">
        <v>1963</v>
      </c>
      <c r="C19" s="33" t="str">
        <f>IF($I$1="Select company","",IF(Validation!$H$3=1,"",(IF(HLOOKUP((VLOOKUP($I$1,Lists!$B$4:$C$23,2,FALSE)),'Sewerage PR16'!$A$1:$S$24,'2H'!A19+1,FALSE)=0,"",HLOOKUP((VLOOKUP($I$1,Lists!$B$4:$C$23,2,FALSE)),'Sewerage PR16'!$A$1:$S$25,'2H'!A19+1,FALSE)))))</f>
        <v>Wastewater services 5 to 50 MI</v>
      </c>
      <c r="D19" s="1511"/>
      <c r="E19" s="445">
        <v>11.884</v>
      </c>
      <c r="F19" s="435">
        <v>0.28399999999999997</v>
      </c>
      <c r="G19" s="332">
        <f t="shared" si="6"/>
        <v>12.168000000000001</v>
      </c>
      <c r="H19" s="615">
        <v>0.28899999999999998</v>
      </c>
      <c r="I19" s="610">
        <f t="shared" si="2"/>
        <v>982.69896193771626</v>
      </c>
      <c r="J19" s="70"/>
      <c r="K19" s="74"/>
      <c r="L19" s="24">
        <f t="shared" si="3"/>
        <v>0</v>
      </c>
      <c r="M19" s="70"/>
      <c r="N19" s="71"/>
      <c r="O19" s="93">
        <f t="shared" si="4"/>
        <v>0</v>
      </c>
      <c r="P19" s="93">
        <f t="shared" si="4"/>
        <v>0</v>
      </c>
      <c r="Q19" s="93">
        <f t="shared" si="5"/>
        <v>0</v>
      </c>
      <c r="R19" s="71"/>
      <c r="S19" s="479"/>
      <c r="T19" s="71"/>
      <c r="U19" s="74"/>
      <c r="V19" s="74"/>
      <c r="W19" s="74"/>
      <c r="X19" s="71"/>
      <c r="AA19" s="355">
        <f t="shared" si="8"/>
        <v>12</v>
      </c>
      <c r="AB19" s="33" t="str">
        <f t="shared" si="7"/>
        <v>Wastewater services 5 to 50 MI</v>
      </c>
      <c r="AC19" s="1511"/>
      <c r="AD19" s="2600" t="s">
        <v>1964</v>
      </c>
      <c r="AE19" s="2601" t="s">
        <v>1965</v>
      </c>
      <c r="AF19" s="332" t="s">
        <v>1966</v>
      </c>
      <c r="AG19" s="2602" t="s">
        <v>1967</v>
      </c>
      <c r="AH19" s="610" t="s">
        <v>1968</v>
      </c>
    </row>
    <row r="20" spans="1:34" s="315" customFormat="1" ht="15" customHeight="1">
      <c r="A20" s="1696">
        <v>13</v>
      </c>
      <c r="B20" s="355" t="s">
        <v>1969</v>
      </c>
      <c r="C20" s="33" t="str">
        <f>IF($I$1="Select company","",IF(Validation!$H$3=1,"",(IF(HLOOKUP((VLOOKUP($I$1,Lists!$B$4:$C$23,2,FALSE)),'Sewerage PR16'!$A$1:$S$24,'2H'!A20+1,FALSE)=0,"",HLOOKUP((VLOOKUP($I$1,Lists!$B$4:$C$23,2,FALSE)),'Sewerage PR16'!$A$1:$S$25,'2H'!A20+1,FALSE)))))</f>
        <v>Wastewater services 50 MI and over</v>
      </c>
      <c r="D20" s="1511"/>
      <c r="E20" s="445">
        <v>9.6449999999999996</v>
      </c>
      <c r="F20" s="435">
        <v>0.23100000000000001</v>
      </c>
      <c r="G20" s="332">
        <f t="shared" si="6"/>
        <v>9.8759999999999994</v>
      </c>
      <c r="H20" s="615">
        <v>1.7999999999999999E-2</v>
      </c>
      <c r="I20" s="610">
        <f t="shared" si="2"/>
        <v>12833.333333333336</v>
      </c>
      <c r="J20" s="70"/>
      <c r="K20" s="74"/>
      <c r="L20" s="24">
        <f t="shared" si="3"/>
        <v>0</v>
      </c>
      <c r="M20" s="70"/>
      <c r="N20" s="71"/>
      <c r="O20" s="93">
        <f t="shared" si="4"/>
        <v>0</v>
      </c>
      <c r="P20" s="93">
        <f t="shared" si="4"/>
        <v>0</v>
      </c>
      <c r="Q20" s="93">
        <f t="shared" si="5"/>
        <v>0</v>
      </c>
      <c r="R20" s="71"/>
      <c r="S20" s="479"/>
      <c r="T20" s="71"/>
      <c r="U20" s="74"/>
      <c r="V20" s="74"/>
      <c r="W20" s="74"/>
      <c r="X20" s="71"/>
      <c r="AA20" s="355">
        <f t="shared" si="8"/>
        <v>13</v>
      </c>
      <c r="AB20" s="33" t="str">
        <f t="shared" si="7"/>
        <v>Wastewater services 50 MI and over</v>
      </c>
      <c r="AC20" s="1511"/>
      <c r="AD20" s="2600" t="s">
        <v>1970</v>
      </c>
      <c r="AE20" s="2601" t="s">
        <v>1971</v>
      </c>
      <c r="AF20" s="332" t="s">
        <v>1972</v>
      </c>
      <c r="AG20" s="2602" t="s">
        <v>1973</v>
      </c>
      <c r="AH20" s="610" t="s">
        <v>1974</v>
      </c>
    </row>
    <row r="21" spans="1:34" s="315" customFormat="1" ht="15" customHeight="1">
      <c r="A21" s="1696">
        <v>14</v>
      </c>
      <c r="B21" s="355" t="s">
        <v>1975</v>
      </c>
      <c r="C21" s="33" t="str">
        <f>IF($I$1="Select company","",IF(Validation!$H$3=1,"",(IF(HLOOKUP((VLOOKUP($I$1,Lists!$B$4:$C$23,2,FALSE)),'Sewerage PR16'!$A$1:$S$24,'2H'!A21+1,FALSE)=0,"",HLOOKUP((VLOOKUP($I$1,Lists!$B$4:$C$23,2,FALSE)),'Sewerage PR16'!$A$1:$S$25,'2H'!A21+1,FALSE)))))</f>
        <v/>
      </c>
      <c r="D21" s="1511"/>
      <c r="E21" s="445"/>
      <c r="F21" s="435"/>
      <c r="G21" s="332">
        <f t="shared" si="6"/>
        <v>0</v>
      </c>
      <c r="H21" s="615"/>
      <c r="I21" s="610">
        <f t="shared" si="2"/>
        <v>0</v>
      </c>
      <c r="J21" s="70"/>
      <c r="K21" s="74"/>
      <c r="L21" s="24">
        <f t="shared" si="3"/>
        <v>0</v>
      </c>
      <c r="M21" s="70"/>
      <c r="N21" s="71"/>
      <c r="O21" s="93">
        <f t="shared" si="4"/>
        <v>0</v>
      </c>
      <c r="P21" s="93">
        <f t="shared" si="4"/>
        <v>0</v>
      </c>
      <c r="Q21" s="93">
        <f t="shared" si="5"/>
        <v>0</v>
      </c>
      <c r="R21" s="71"/>
      <c r="S21" s="479"/>
      <c r="T21" s="71"/>
      <c r="U21" s="74"/>
      <c r="V21" s="74"/>
      <c r="W21" s="74"/>
      <c r="X21" s="71"/>
      <c r="AA21" s="355">
        <f t="shared" si="8"/>
        <v>14</v>
      </c>
      <c r="AB21" s="33" t="str">
        <f t="shared" si="7"/>
        <v/>
      </c>
      <c r="AC21" s="1511"/>
      <c r="AD21" s="2600" t="s">
        <v>1976</v>
      </c>
      <c r="AE21" s="2601" t="s">
        <v>1977</v>
      </c>
      <c r="AF21" s="332" t="s">
        <v>1978</v>
      </c>
      <c r="AG21" s="2602" t="s">
        <v>1979</v>
      </c>
      <c r="AH21" s="610" t="s">
        <v>1980</v>
      </c>
    </row>
    <row r="22" spans="1:34" s="315" customFormat="1" ht="15" customHeight="1">
      <c r="A22" s="1696">
        <v>15</v>
      </c>
      <c r="B22" s="355" t="s">
        <v>1981</v>
      </c>
      <c r="C22" s="33" t="str">
        <f>IF($I$1="Select company","",IF(Validation!$H$3=1,"",(IF(HLOOKUP((VLOOKUP($I$1,Lists!$B$4:$C$23,2,FALSE)),'Sewerage PR16'!$A$1:$S$24,'2H'!A22+1,FALSE)=0,"",HLOOKUP((VLOOKUP($I$1,Lists!$B$4:$C$23,2,FALSE)),'Sewerage PR16'!$A$1:$S$25,'2H'!A22+1,FALSE)))))</f>
        <v/>
      </c>
      <c r="D22" s="1511"/>
      <c r="E22" s="445"/>
      <c r="F22" s="435"/>
      <c r="G22" s="332">
        <f t="shared" si="6"/>
        <v>0</v>
      </c>
      <c r="H22" s="615"/>
      <c r="I22" s="610">
        <f t="shared" si="2"/>
        <v>0</v>
      </c>
      <c r="J22" s="118"/>
      <c r="K22" s="74"/>
      <c r="L22" s="24">
        <f t="shared" si="3"/>
        <v>0</v>
      </c>
      <c r="M22" s="70"/>
      <c r="N22" s="71"/>
      <c r="O22" s="93">
        <f t="shared" si="4"/>
        <v>0</v>
      </c>
      <c r="P22" s="93">
        <f t="shared" si="4"/>
        <v>0</v>
      </c>
      <c r="Q22" s="93">
        <f t="shared" si="5"/>
        <v>0</v>
      </c>
      <c r="R22" s="71"/>
      <c r="S22" s="82"/>
      <c r="T22" s="71"/>
      <c r="U22" s="74"/>
      <c r="V22" s="74"/>
      <c r="W22" s="74"/>
      <c r="X22" s="71"/>
      <c r="AA22" s="355">
        <f t="shared" si="8"/>
        <v>15</v>
      </c>
      <c r="AB22" s="33" t="str">
        <f t="shared" si="7"/>
        <v/>
      </c>
      <c r="AC22" s="1511"/>
      <c r="AD22" s="2600" t="s">
        <v>1982</v>
      </c>
      <c r="AE22" s="2601" t="s">
        <v>1983</v>
      </c>
      <c r="AF22" s="332" t="s">
        <v>1984</v>
      </c>
      <c r="AG22" s="2602" t="s">
        <v>1985</v>
      </c>
      <c r="AH22" s="610" t="s">
        <v>1986</v>
      </c>
    </row>
    <row r="23" spans="1:34" s="315" customFormat="1" ht="15" customHeight="1">
      <c r="A23" s="1696">
        <v>16</v>
      </c>
      <c r="B23" s="355" t="s">
        <v>1987</v>
      </c>
      <c r="C23" s="33" t="str">
        <f>IF($I$1="Select company","",IF(Validation!$H$3=1,"",(IF(HLOOKUP((VLOOKUP($I$1,Lists!$B$4:$C$23,2,FALSE)),'Sewerage PR16'!$A$1:$S$24,'2H'!A23+1,FALSE)=0,"",HLOOKUP((VLOOKUP($I$1,Lists!$B$4:$C$23,2,FALSE)),'Sewerage PR16'!$A$1:$S$25,'2H'!A23+1,FALSE)))))</f>
        <v/>
      </c>
      <c r="D23" s="1511"/>
      <c r="E23" s="445"/>
      <c r="F23" s="435"/>
      <c r="G23" s="332">
        <f t="shared" si="6"/>
        <v>0</v>
      </c>
      <c r="H23" s="615"/>
      <c r="I23" s="610">
        <f t="shared" si="2"/>
        <v>0</v>
      </c>
      <c r="J23" s="126"/>
      <c r="K23" s="74"/>
      <c r="L23" s="24">
        <f t="shared" si="3"/>
        <v>0</v>
      </c>
      <c r="M23" s="70"/>
      <c r="N23" s="71"/>
      <c r="O23" s="93">
        <f t="shared" si="4"/>
        <v>0</v>
      </c>
      <c r="P23" s="93">
        <f t="shared" si="4"/>
        <v>0</v>
      </c>
      <c r="Q23" s="93">
        <f t="shared" si="5"/>
        <v>0</v>
      </c>
      <c r="R23" s="71"/>
      <c r="S23" s="127"/>
      <c r="T23" s="124"/>
      <c r="U23" s="165"/>
      <c r="V23" s="165"/>
      <c r="W23" s="74"/>
      <c r="X23" s="124"/>
      <c r="AA23" s="355">
        <f t="shared" si="8"/>
        <v>16</v>
      </c>
      <c r="AB23" s="33" t="str">
        <f t="shared" si="7"/>
        <v/>
      </c>
      <c r="AC23" s="1511"/>
      <c r="AD23" s="2600" t="s">
        <v>1988</v>
      </c>
      <c r="AE23" s="2601" t="s">
        <v>1989</v>
      </c>
      <c r="AF23" s="332" t="s">
        <v>1990</v>
      </c>
      <c r="AG23" s="2602" t="s">
        <v>1991</v>
      </c>
      <c r="AH23" s="610" t="s">
        <v>1992</v>
      </c>
    </row>
    <row r="24" spans="1:34" s="315" customFormat="1" ht="15" customHeight="1">
      <c r="A24" s="1696">
        <v>17</v>
      </c>
      <c r="B24" s="355" t="s">
        <v>1993</v>
      </c>
      <c r="C24" s="33" t="str">
        <f>IF($I$1="Select company","",IF(Validation!$H$3=1,"",(IF(HLOOKUP((VLOOKUP($I$1,Lists!$B$4:$C$23,2,FALSE)),'Sewerage PR16'!$A$1:$S$24,'2H'!A24+1,FALSE)=0,"",HLOOKUP((VLOOKUP($I$1,Lists!$B$4:$C$23,2,FALSE)),'Sewerage PR16'!$A$1:$S$25,'2H'!A24+1,FALSE)))))</f>
        <v/>
      </c>
      <c r="D24" s="1511"/>
      <c r="E24" s="445"/>
      <c r="F24" s="447"/>
      <c r="G24" s="332">
        <f t="shared" si="6"/>
        <v>0</v>
      </c>
      <c r="H24" s="615"/>
      <c r="I24" s="610">
        <f t="shared" si="2"/>
        <v>0</v>
      </c>
      <c r="J24" s="126"/>
      <c r="K24" s="74"/>
      <c r="L24" s="24">
        <f t="shared" si="3"/>
        <v>0</v>
      </c>
      <c r="M24" s="70"/>
      <c r="N24" s="71"/>
      <c r="O24" s="93">
        <f t="shared" si="4"/>
        <v>0</v>
      </c>
      <c r="P24" s="93">
        <f t="shared" si="4"/>
        <v>0</v>
      </c>
      <c r="Q24" s="93">
        <f t="shared" si="5"/>
        <v>0</v>
      </c>
      <c r="R24" s="71"/>
      <c r="S24" s="82"/>
      <c r="T24" s="119"/>
      <c r="U24" s="74"/>
      <c r="V24" s="74"/>
      <c r="W24" s="74"/>
      <c r="X24" s="119"/>
      <c r="AA24" s="355">
        <f t="shared" si="8"/>
        <v>17</v>
      </c>
      <c r="AB24" s="33" t="str">
        <f t="shared" si="7"/>
        <v/>
      </c>
      <c r="AC24" s="1511"/>
      <c r="AD24" s="2600" t="s">
        <v>1994</v>
      </c>
      <c r="AE24" s="2601" t="s">
        <v>1995</v>
      </c>
      <c r="AF24" s="332" t="s">
        <v>1996</v>
      </c>
      <c r="AG24" s="2602" t="s">
        <v>1997</v>
      </c>
      <c r="AH24" s="610" t="s">
        <v>1998</v>
      </c>
    </row>
    <row r="25" spans="1:34" s="315" customFormat="1" ht="15" customHeight="1">
      <c r="A25" s="1696">
        <v>18</v>
      </c>
      <c r="B25" s="355" t="s">
        <v>1999</v>
      </c>
      <c r="C25" s="33" t="str">
        <f>IF($I$1="Select company","",IF(Validation!$H$3=1,"",(IF(HLOOKUP((VLOOKUP($I$1,Lists!$B$4:$C$23,2,FALSE)),'Sewerage PR16'!$A$1:$S$24,'2H'!A25+1,FALSE)=0,"",HLOOKUP((VLOOKUP($I$1,Lists!$B$4:$C$23,2,FALSE)),'Sewerage PR16'!$A$1:$S$25,'2H'!A25+1,FALSE)))))</f>
        <v/>
      </c>
      <c r="D25" s="1511"/>
      <c r="E25" s="445"/>
      <c r="F25" s="447"/>
      <c r="G25" s="332">
        <f t="shared" si="6"/>
        <v>0</v>
      </c>
      <c r="H25" s="615"/>
      <c r="I25" s="610">
        <f t="shared" si="2"/>
        <v>0</v>
      </c>
      <c r="J25" s="126"/>
      <c r="K25" s="74"/>
      <c r="L25" s="24">
        <f t="shared" si="3"/>
        <v>0</v>
      </c>
      <c r="M25" s="70"/>
      <c r="N25" s="71"/>
      <c r="O25" s="93">
        <f t="shared" si="4"/>
        <v>0</v>
      </c>
      <c r="P25" s="93">
        <f t="shared" si="4"/>
        <v>0</v>
      </c>
      <c r="Q25" s="93">
        <f t="shared" si="5"/>
        <v>0</v>
      </c>
      <c r="R25" s="71"/>
      <c r="S25" s="82"/>
      <c r="T25" s="119"/>
      <c r="U25" s="74"/>
      <c r="V25" s="74"/>
      <c r="W25" s="74"/>
      <c r="X25" s="119"/>
      <c r="AA25" s="355">
        <f t="shared" si="8"/>
        <v>18</v>
      </c>
      <c r="AB25" s="33" t="str">
        <f t="shared" si="7"/>
        <v/>
      </c>
      <c r="AC25" s="1511"/>
      <c r="AD25" s="2600" t="s">
        <v>2000</v>
      </c>
      <c r="AE25" s="2601" t="s">
        <v>2001</v>
      </c>
      <c r="AF25" s="332" t="s">
        <v>2002</v>
      </c>
      <c r="AG25" s="2602" t="s">
        <v>2003</v>
      </c>
      <c r="AH25" s="610" t="s">
        <v>2004</v>
      </c>
    </row>
    <row r="26" spans="1:34" s="315" customFormat="1" ht="15" customHeight="1">
      <c r="A26" s="1696">
        <v>19</v>
      </c>
      <c r="B26" s="355" t="s">
        <v>2005</v>
      </c>
      <c r="C26" s="33" t="str">
        <f>IF($I$1="Select company","",IF(Validation!$H$3=1,"",(IF(HLOOKUP((VLOOKUP($I$1,Lists!$B$4:$C$23,2,FALSE)),'Sewerage PR16'!$A$1:$S$24,'2H'!A26+1,FALSE)=0,"",HLOOKUP((VLOOKUP($I$1,Lists!$B$4:$C$23,2,FALSE)),'Sewerage PR16'!$A$1:$S$25,'2H'!A26+1,FALSE)))))</f>
        <v/>
      </c>
      <c r="D26" s="1512"/>
      <c r="E26" s="446"/>
      <c r="F26" s="447"/>
      <c r="G26" s="332">
        <f t="shared" si="6"/>
        <v>0</v>
      </c>
      <c r="H26" s="615"/>
      <c r="I26" s="610">
        <f t="shared" si="2"/>
        <v>0</v>
      </c>
      <c r="J26" s="126"/>
      <c r="K26" s="74"/>
      <c r="L26" s="24">
        <f t="shared" si="3"/>
        <v>0</v>
      </c>
      <c r="M26" s="70"/>
      <c r="N26" s="71"/>
      <c r="O26" s="93">
        <f t="shared" si="4"/>
        <v>0</v>
      </c>
      <c r="P26" s="93">
        <f t="shared" si="4"/>
        <v>0</v>
      </c>
      <c r="Q26" s="93">
        <f t="shared" si="5"/>
        <v>0</v>
      </c>
      <c r="R26" s="71"/>
      <c r="S26" s="82"/>
      <c r="T26" s="119"/>
      <c r="U26" s="74"/>
      <c r="V26" s="74"/>
      <c r="W26" s="74"/>
      <c r="X26" s="119"/>
      <c r="AA26" s="355">
        <f t="shared" si="8"/>
        <v>19</v>
      </c>
      <c r="AB26" s="33" t="str">
        <f t="shared" si="7"/>
        <v/>
      </c>
      <c r="AC26" s="1512"/>
      <c r="AD26" s="2603" t="s">
        <v>2006</v>
      </c>
      <c r="AE26" s="2604" t="s">
        <v>2007</v>
      </c>
      <c r="AF26" s="332" t="s">
        <v>2008</v>
      </c>
      <c r="AG26" s="2602" t="s">
        <v>2009</v>
      </c>
      <c r="AH26" s="610" t="s">
        <v>2010</v>
      </c>
    </row>
    <row r="27" spans="1:34" s="315" customFormat="1" ht="15" customHeight="1">
      <c r="A27" s="1696">
        <v>20</v>
      </c>
      <c r="B27" s="355" t="s">
        <v>2011</v>
      </c>
      <c r="C27" s="33" t="str">
        <f>IF($I$1="Select company","",IF(Validation!$H$3=1,"",(IF(HLOOKUP((VLOOKUP($I$1,Lists!$B$4:$C$23,2,FALSE)),'Sewerage PR16'!$A$1:$S$24,'2H'!A27+1,FALSE)=0,"",HLOOKUP((VLOOKUP($I$1,Lists!$B$4:$C$23,2,FALSE)),'Sewerage PR16'!$A$1:$S$25,'2H'!A27+1,FALSE)))))</f>
        <v/>
      </c>
      <c r="D27" s="1512"/>
      <c r="E27" s="446"/>
      <c r="F27" s="447"/>
      <c r="G27" s="332">
        <f t="shared" si="6"/>
        <v>0</v>
      </c>
      <c r="H27" s="615"/>
      <c r="I27" s="610">
        <f t="shared" si="2"/>
        <v>0</v>
      </c>
      <c r="J27" s="126"/>
      <c r="K27" s="74"/>
      <c r="L27" s="24">
        <f t="shared" si="3"/>
        <v>0</v>
      </c>
      <c r="M27" s="70"/>
      <c r="N27" s="71"/>
      <c r="O27" s="93">
        <f t="shared" si="4"/>
        <v>0</v>
      </c>
      <c r="P27" s="93">
        <f t="shared" si="4"/>
        <v>0</v>
      </c>
      <c r="Q27" s="93">
        <f t="shared" si="5"/>
        <v>0</v>
      </c>
      <c r="R27" s="71"/>
      <c r="S27" s="82"/>
      <c r="T27" s="119"/>
      <c r="U27" s="74"/>
      <c r="V27" s="74"/>
      <c r="W27" s="74"/>
      <c r="X27" s="119"/>
      <c r="AA27" s="355">
        <f t="shared" si="8"/>
        <v>20</v>
      </c>
      <c r="AB27" s="33" t="str">
        <f t="shared" si="7"/>
        <v/>
      </c>
      <c r="AC27" s="1512"/>
      <c r="AD27" s="2603" t="s">
        <v>2012</v>
      </c>
      <c r="AE27" s="2604" t="s">
        <v>2013</v>
      </c>
      <c r="AF27" s="332" t="s">
        <v>2014</v>
      </c>
      <c r="AG27" s="2602" t="s">
        <v>2015</v>
      </c>
      <c r="AH27" s="610" t="s">
        <v>2016</v>
      </c>
    </row>
    <row r="28" spans="1:34" s="315" customFormat="1" ht="15" customHeight="1">
      <c r="A28" s="1696">
        <v>21</v>
      </c>
      <c r="B28" s="355" t="s">
        <v>2017</v>
      </c>
      <c r="C28" s="33" t="str">
        <f>IF($I$1="Select company","",IF(Validation!$H$3=1,"",(IF(HLOOKUP((VLOOKUP($I$1,Lists!$B$4:$C$23,2,FALSE)),'Sewerage PR16'!$A$1:$S$24,'2H'!A28+1,FALSE)=0,"",HLOOKUP((VLOOKUP($I$1,Lists!$B$4:$C$23,2,FALSE)),'Sewerage PR16'!$A$1:$S$25,'2H'!A28+1,FALSE)))))</f>
        <v/>
      </c>
      <c r="D28" s="1512"/>
      <c r="E28" s="446"/>
      <c r="F28" s="447"/>
      <c r="G28" s="332">
        <f t="shared" si="6"/>
        <v>0</v>
      </c>
      <c r="H28" s="615"/>
      <c r="I28" s="610">
        <f t="shared" si="2"/>
        <v>0</v>
      </c>
      <c r="J28" s="126"/>
      <c r="K28" s="74"/>
      <c r="L28" s="24">
        <f t="shared" si="3"/>
        <v>0</v>
      </c>
      <c r="M28" s="70"/>
      <c r="N28" s="71"/>
      <c r="O28" s="93">
        <f t="shared" si="4"/>
        <v>0</v>
      </c>
      <c r="P28" s="93">
        <f t="shared" si="4"/>
        <v>0</v>
      </c>
      <c r="Q28" s="93">
        <f t="shared" si="5"/>
        <v>0</v>
      </c>
      <c r="R28" s="71"/>
      <c r="S28" s="127"/>
      <c r="T28" s="119"/>
      <c r="U28" s="165"/>
      <c r="V28" s="165"/>
      <c r="W28" s="74"/>
      <c r="X28" s="119"/>
      <c r="AA28" s="355">
        <f t="shared" si="8"/>
        <v>21</v>
      </c>
      <c r="AB28" s="33" t="str">
        <f t="shared" si="7"/>
        <v/>
      </c>
      <c r="AC28" s="1512"/>
      <c r="AD28" s="2603" t="s">
        <v>2018</v>
      </c>
      <c r="AE28" s="2604" t="s">
        <v>2019</v>
      </c>
      <c r="AF28" s="332" t="s">
        <v>2020</v>
      </c>
      <c r="AG28" s="2602" t="s">
        <v>2021</v>
      </c>
      <c r="AH28" s="610" t="s">
        <v>2022</v>
      </c>
    </row>
    <row r="29" spans="1:34" s="315" customFormat="1" ht="15" customHeight="1">
      <c r="A29" s="1696">
        <v>22</v>
      </c>
      <c r="B29" s="355" t="s">
        <v>2023</v>
      </c>
      <c r="C29" s="33" t="str">
        <f>IF($I$1="Select company","",IF(Validation!$H$3=1,"",(IF(HLOOKUP((VLOOKUP($I$1,Lists!$B$4:$C$23,2,FALSE)),'Sewerage PR16'!$A$1:$S$24,'2H'!A29+1,FALSE)=0,"",HLOOKUP((VLOOKUP($I$1,Lists!$B$4:$C$23,2,FALSE)),'Sewerage PR16'!$A$1:$S$25,'2H'!A29+1,FALSE)))))</f>
        <v/>
      </c>
      <c r="D29" s="1512"/>
      <c r="E29" s="446"/>
      <c r="F29" s="447"/>
      <c r="G29" s="332">
        <f t="shared" ref="G29:G30" si="9" xml:space="preserve"> F29 + E29</f>
        <v>0</v>
      </c>
      <c r="H29" s="615"/>
      <c r="I29" s="610">
        <f t="shared" ref="I29:I30" si="10" xml:space="preserve"> IF( H29 = 0, 0, F29 / H29 * 1000 )</f>
        <v>0</v>
      </c>
      <c r="J29" s="126"/>
      <c r="K29" s="74"/>
      <c r="L29" s="24">
        <f t="shared" ref="L29:L30" si="11" xml:space="preserve"> IF( SUM( N29:R29 ) = 0, 0, $O$5 )</f>
        <v>0</v>
      </c>
      <c r="M29" s="70"/>
      <c r="N29" s="71"/>
      <c r="O29" s="93">
        <f t="shared" ref="O29:O30" si="12">IF($C29="",0,IF(ISNUMBER(E29),0,1))</f>
        <v>0</v>
      </c>
      <c r="P29" s="93">
        <f t="shared" ref="P29:P30" si="13">IF($C29="",0,IF(ISNUMBER(F29),0,1))</f>
        <v>0</v>
      </c>
      <c r="Q29" s="93">
        <f t="shared" ref="Q29:Q30" si="14">IF($C29="",0,IF(ISNUMBER(H29),0,1))</f>
        <v>0</v>
      </c>
      <c r="R29" s="71"/>
      <c r="S29" s="127"/>
      <c r="T29" s="119"/>
      <c r="U29" s="165"/>
      <c r="V29" s="165"/>
      <c r="W29" s="74"/>
      <c r="X29" s="119"/>
      <c r="AA29" s="355">
        <v>22</v>
      </c>
      <c r="AB29" s="33" t="str">
        <f t="shared" si="7"/>
        <v/>
      </c>
      <c r="AC29" s="1512"/>
      <c r="AD29" s="2603" t="s">
        <v>2024</v>
      </c>
      <c r="AE29" s="2604" t="s">
        <v>2025</v>
      </c>
      <c r="AF29" s="332" t="s">
        <v>2026</v>
      </c>
      <c r="AG29" s="2602" t="s">
        <v>2027</v>
      </c>
      <c r="AH29" s="610" t="s">
        <v>2028</v>
      </c>
    </row>
    <row r="30" spans="1:34" s="315" customFormat="1" ht="15" customHeight="1">
      <c r="A30" s="1696">
        <v>23</v>
      </c>
      <c r="B30" s="355" t="s">
        <v>2029</v>
      </c>
      <c r="C30" s="33" t="str">
        <f>IF($I$1="Select company","",IF(Validation!$H$3=1,"",(IF(HLOOKUP((VLOOKUP($I$1,Lists!$B$4:$C$23,2,FALSE)),'Sewerage PR16'!$A$1:$S$24,'2H'!A30+1,FALSE)=0,"",HLOOKUP((VLOOKUP($I$1,Lists!$B$4:$C$23,2,FALSE)),'Sewerage PR16'!$A$1:$S$25,'2H'!A30+1,FALSE)))))</f>
        <v/>
      </c>
      <c r="D30" s="1512"/>
      <c r="E30" s="446"/>
      <c r="F30" s="447"/>
      <c r="G30" s="332">
        <f t="shared" si="9"/>
        <v>0</v>
      </c>
      <c r="H30" s="615"/>
      <c r="I30" s="610">
        <f t="shared" si="10"/>
        <v>0</v>
      </c>
      <c r="J30" s="126"/>
      <c r="K30" s="74"/>
      <c r="L30" s="24">
        <f t="shared" si="11"/>
        <v>0</v>
      </c>
      <c r="M30" s="70"/>
      <c r="N30" s="71"/>
      <c r="O30" s="93">
        <f t="shared" si="12"/>
        <v>0</v>
      </c>
      <c r="P30" s="93">
        <f t="shared" si="13"/>
        <v>0</v>
      </c>
      <c r="Q30" s="93">
        <f t="shared" si="14"/>
        <v>0</v>
      </c>
      <c r="R30" s="71"/>
      <c r="S30" s="127"/>
      <c r="T30" s="119"/>
      <c r="U30" s="165"/>
      <c r="V30" s="165"/>
      <c r="W30" s="74"/>
      <c r="X30" s="119"/>
      <c r="AA30" s="355">
        <v>23</v>
      </c>
      <c r="AB30" s="33" t="str">
        <f t="shared" si="7"/>
        <v/>
      </c>
      <c r="AC30" s="1512"/>
      <c r="AD30" s="2603" t="s">
        <v>2030</v>
      </c>
      <c r="AE30" s="2604" t="s">
        <v>2031</v>
      </c>
      <c r="AF30" s="332" t="s">
        <v>2032</v>
      </c>
      <c r="AG30" s="2602" t="s">
        <v>2033</v>
      </c>
      <c r="AH30" s="610" t="s">
        <v>2034</v>
      </c>
    </row>
    <row r="31" spans="1:34" s="315" customFormat="1" ht="17.45" customHeight="1" thickBot="1">
      <c r="A31" s="1696">
        <v>22</v>
      </c>
      <c r="B31" s="356" t="s">
        <v>2035</v>
      </c>
      <c r="C31" s="1983" t="s">
        <v>1871</v>
      </c>
      <c r="D31" s="1513"/>
      <c r="E31" s="333">
        <f xml:space="preserve"> SUM( E9:E28 )</f>
        <v>51.176000000000002</v>
      </c>
      <c r="F31" s="334">
        <f xml:space="preserve"> SUM( F9:F28 )</f>
        <v>4.2839999999999998</v>
      </c>
      <c r="G31" s="335">
        <f xml:space="preserve"> SUM( G9:G28 )</f>
        <v>55.459999999999994</v>
      </c>
      <c r="H31" s="344">
        <f xml:space="preserve"> SUM( H9:H28 )</f>
        <v>100.92999999999999</v>
      </c>
      <c r="I31" s="472">
        <f t="shared" si="2"/>
        <v>42.445259090458734</v>
      </c>
      <c r="J31" s="126"/>
      <c r="K31" s="74"/>
      <c r="L31" s="126"/>
      <c r="M31" s="126"/>
      <c r="N31" s="119"/>
      <c r="O31" s="202"/>
      <c r="P31" s="163"/>
      <c r="Q31" s="163"/>
      <c r="R31" s="119"/>
      <c r="S31" s="127"/>
      <c r="T31" s="119"/>
      <c r="U31" s="165"/>
      <c r="V31" s="165"/>
      <c r="W31" s="74"/>
      <c r="X31" s="119"/>
      <c r="AA31" s="356">
        <v>24</v>
      </c>
      <c r="AB31" s="1983" t="s">
        <v>1871</v>
      </c>
      <c r="AC31" s="1513"/>
      <c r="AD31" s="333" t="s">
        <v>2036</v>
      </c>
      <c r="AE31" s="334" t="s">
        <v>2037</v>
      </c>
      <c r="AF31" s="335" t="s">
        <v>2038</v>
      </c>
      <c r="AG31" s="344" t="s">
        <v>2039</v>
      </c>
      <c r="AH31" s="472" t="s">
        <v>2040</v>
      </c>
    </row>
    <row r="32" spans="1:34" s="70" customFormat="1" ht="15" thickBot="1">
      <c r="A32" s="192"/>
      <c r="E32" s="79"/>
      <c r="F32" s="163"/>
      <c r="G32" s="79"/>
      <c r="H32" s="616"/>
      <c r="I32" s="611"/>
      <c r="J32" s="130"/>
      <c r="K32" s="74"/>
      <c r="L32" s="126"/>
      <c r="M32" s="126"/>
      <c r="N32" s="119"/>
      <c r="O32" s="202"/>
      <c r="P32" s="178"/>
      <c r="Q32" s="178"/>
      <c r="R32" s="119"/>
      <c r="S32" s="479"/>
      <c r="T32" s="119"/>
      <c r="U32" s="74"/>
      <c r="V32" s="74"/>
      <c r="W32" s="74"/>
      <c r="X32" s="119"/>
      <c r="AD32" s="79"/>
      <c r="AE32" s="163"/>
      <c r="AF32" s="79"/>
      <c r="AG32" s="616"/>
      <c r="AH32" s="611"/>
    </row>
    <row r="33" spans="1:34" s="315" customFormat="1" ht="26.45" customHeight="1" thickBot="1">
      <c r="A33" s="262"/>
      <c r="B33" s="353" t="s">
        <v>2041</v>
      </c>
      <c r="C33" s="28" t="s">
        <v>710</v>
      </c>
      <c r="D33" s="1509"/>
      <c r="E33" s="340">
        <f xml:space="preserve"> E31 + E6</f>
        <v>51.176000000000002</v>
      </c>
      <c r="F33" s="341">
        <f xml:space="preserve"> F31 + F6</f>
        <v>4.2839999999999998</v>
      </c>
      <c r="G33" s="342">
        <f xml:space="preserve"> G31 + G6</f>
        <v>55.459999999999994</v>
      </c>
      <c r="H33" s="617">
        <f xml:space="preserve"> H31 + H6</f>
        <v>100.92999999999999</v>
      </c>
      <c r="I33" s="607">
        <f xml:space="preserve"> IF( H33 = 0, 0, F33 / H33 * 1000 )</f>
        <v>42.445259090458734</v>
      </c>
      <c r="J33" s="130"/>
      <c r="K33" s="1370" t="str">
        <f xml:space="preserve"> IF( SUM( R33:T33 ) = 0, 0, W33 )</f>
        <v>The total of column 1 should be equal to the sum of lines 2I.5 and 2I.6.</v>
      </c>
      <c r="L33" s="126"/>
      <c r="M33" s="126"/>
      <c r="N33" s="119"/>
      <c r="O33" s="202"/>
      <c r="P33" s="163"/>
      <c r="Q33" s="163"/>
      <c r="R33" s="119"/>
      <c r="S33" s="93">
        <f xml:space="preserve"> IF( (U33 - V33) = 0, 0, 1 )</f>
        <v>1</v>
      </c>
      <c r="T33" s="119"/>
      <c r="U33" s="165">
        <f xml:space="preserve"> ROUND(E33, 3)</f>
        <v>51.176000000000002</v>
      </c>
      <c r="V33" s="165">
        <f xml:space="preserve"> ROUND( SUM( '2I'!H12:H13 ), 3)</f>
        <v>121.774</v>
      </c>
      <c r="W33" s="74" t="s">
        <v>2042</v>
      </c>
      <c r="X33" s="119"/>
      <c r="AA33" s="353">
        <f xml:space="preserve"> AA31 + 1</f>
        <v>25</v>
      </c>
      <c r="AB33" s="28" t="s">
        <v>710</v>
      </c>
      <c r="AC33" s="1509"/>
      <c r="AD33" s="340" t="s">
        <v>2043</v>
      </c>
      <c r="AE33" s="341" t="s">
        <v>2044</v>
      </c>
      <c r="AF33" s="342" t="s">
        <v>2045</v>
      </c>
      <c r="AG33" s="617" t="s">
        <v>2046</v>
      </c>
      <c r="AH33" s="607" t="s">
        <v>2047</v>
      </c>
    </row>
    <row r="34" spans="1:34" s="262" customFormat="1" ht="17.45" customHeight="1" thickBot="1">
      <c r="B34" s="270"/>
      <c r="E34" s="74"/>
      <c r="F34" s="74"/>
      <c r="G34" s="74"/>
      <c r="H34" s="74"/>
      <c r="I34" s="74"/>
      <c r="J34" s="621"/>
      <c r="K34" s="74"/>
      <c r="L34" s="239"/>
      <c r="M34" s="239"/>
      <c r="N34" s="119"/>
      <c r="O34" s="622"/>
      <c r="P34" s="318"/>
      <c r="Q34" s="318"/>
      <c r="R34" s="119"/>
      <c r="S34" s="127"/>
      <c r="T34" s="119"/>
      <c r="U34" s="223"/>
      <c r="V34" s="223"/>
      <c r="W34" s="74"/>
      <c r="X34" s="119"/>
      <c r="AA34" s="270"/>
      <c r="AD34" s="74"/>
      <c r="AE34" s="74"/>
      <c r="AF34" s="74"/>
      <c r="AG34" s="74"/>
      <c r="AH34" s="74"/>
    </row>
    <row r="35" spans="1:34" s="70" customFormat="1" ht="54.75" thickBot="1">
      <c r="A35" s="192"/>
      <c r="F35" s="163"/>
      <c r="H35" s="350" t="s">
        <v>1884</v>
      </c>
      <c r="I35" s="350" t="s">
        <v>1885</v>
      </c>
      <c r="J35" s="130"/>
      <c r="K35" s="74"/>
      <c r="L35" s="126"/>
      <c r="M35" s="126"/>
      <c r="N35" s="119"/>
      <c r="O35" s="202"/>
      <c r="P35" s="178"/>
      <c r="Q35" s="178"/>
      <c r="R35" s="119"/>
      <c r="S35" s="479"/>
      <c r="T35" s="119"/>
      <c r="U35" s="74"/>
      <c r="V35" s="74"/>
      <c r="W35" s="74"/>
      <c r="X35" s="119"/>
      <c r="Y35" s="178"/>
      <c r="AE35" s="163"/>
      <c r="AG35" s="350" t="s">
        <v>1884</v>
      </c>
      <c r="AH35" s="350" t="s">
        <v>1885</v>
      </c>
    </row>
    <row r="36" spans="1:34" s="308" customFormat="1" ht="15" customHeight="1" thickBot="1">
      <c r="A36" s="74"/>
      <c r="B36" s="261" t="s">
        <v>335</v>
      </c>
      <c r="C36" s="27" t="s">
        <v>1886</v>
      </c>
      <c r="D36" s="1508"/>
      <c r="E36" s="141"/>
      <c r="F36" s="141"/>
      <c r="G36" s="141"/>
      <c r="H36" s="613"/>
      <c r="I36" s="608"/>
      <c r="J36" s="141"/>
      <c r="K36" s="74"/>
      <c r="L36" s="141"/>
      <c r="M36" s="70"/>
      <c r="N36" s="71"/>
      <c r="O36" s="202"/>
      <c r="P36" s="178"/>
      <c r="Q36" s="178"/>
      <c r="R36" s="71"/>
      <c r="S36" s="479"/>
      <c r="T36" s="71"/>
      <c r="U36" s="74"/>
      <c r="V36" s="74"/>
      <c r="W36" s="74"/>
      <c r="X36" s="71"/>
      <c r="Y36" s="70"/>
      <c r="AA36" s="261" t="s">
        <v>335</v>
      </c>
      <c r="AB36" s="27" t="s">
        <v>1886</v>
      </c>
      <c r="AC36" s="1508"/>
      <c r="AD36" s="141"/>
      <c r="AE36" s="141"/>
      <c r="AF36" s="141"/>
      <c r="AG36" s="613"/>
      <c r="AH36" s="608"/>
    </row>
    <row r="37" spans="1:34" s="308" customFormat="1" ht="15" customHeight="1" thickBot="1">
      <c r="A37" s="74"/>
      <c r="B37" s="618" t="s">
        <v>2048</v>
      </c>
      <c r="C37" s="619" t="s">
        <v>710</v>
      </c>
      <c r="D37" s="262"/>
      <c r="E37" s="70"/>
      <c r="F37" s="70"/>
      <c r="G37" s="70"/>
      <c r="H37" s="612">
        <v>80.86</v>
      </c>
      <c r="I37" s="607">
        <f xml:space="preserve"> IF( H37 = 0, 0, F33 / H37 * 1000 )</f>
        <v>52.980460054415033</v>
      </c>
      <c r="J37" s="70"/>
      <c r="K37" s="74"/>
      <c r="L37" s="24">
        <f xml:space="preserve"> IF( SUM( N37:R37 ) = 0, 0, $O$5 )</f>
        <v>0</v>
      </c>
      <c r="M37" s="70"/>
      <c r="N37" s="71"/>
      <c r="O37" s="127"/>
      <c r="P37" s="127"/>
      <c r="Q37" s="93">
        <f>IF(Validation!$H$3=1,0,IF(ISNUMBER(H37),0,1))</f>
        <v>0</v>
      </c>
      <c r="R37" s="71"/>
      <c r="S37" s="479"/>
      <c r="T37" s="71"/>
      <c r="U37" s="74"/>
      <c r="V37" s="74"/>
      <c r="W37" s="74"/>
      <c r="X37" s="71"/>
      <c r="Y37" s="70"/>
      <c r="AA37" s="618">
        <f xml:space="preserve"> AA33 + 1</f>
        <v>26</v>
      </c>
      <c r="AB37" s="619" t="s">
        <v>710</v>
      </c>
      <c r="AC37" s="262"/>
      <c r="AD37" s="70"/>
      <c r="AE37" s="70"/>
      <c r="AF37" s="70"/>
      <c r="AG37" s="2596" t="s">
        <v>2049</v>
      </c>
      <c r="AH37" s="607" t="s">
        <v>2050</v>
      </c>
    </row>
    <row r="38" spans="1:34" s="308" customFormat="1" ht="15" customHeight="1">
      <c r="A38" s="74"/>
      <c r="B38" s="620"/>
      <c r="C38" s="262"/>
      <c r="D38" s="262"/>
      <c r="E38" s="70"/>
      <c r="F38" s="70"/>
      <c r="G38" s="70"/>
      <c r="H38" s="1919"/>
      <c r="I38" s="623"/>
      <c r="J38" s="70"/>
      <c r="K38" s="74"/>
      <c r="L38" s="74"/>
      <c r="M38" s="70"/>
      <c r="N38" s="71"/>
      <c r="O38" s="127"/>
      <c r="P38" s="127"/>
      <c r="Q38" s="127"/>
      <c r="R38" s="71"/>
      <c r="S38" s="479"/>
      <c r="T38" s="71"/>
      <c r="U38" s="74"/>
      <c r="V38" s="74"/>
      <c r="W38" s="74"/>
      <c r="X38" s="71"/>
      <c r="Y38" s="70"/>
      <c r="AA38" s="620"/>
      <c r="AB38" s="262"/>
      <c r="AC38" s="262"/>
      <c r="AD38" s="70"/>
      <c r="AE38" s="70"/>
      <c r="AF38" s="70"/>
      <c r="AG38" s="1919"/>
      <c r="AH38" s="623"/>
    </row>
    <row r="39" spans="1:34" s="163" customFormat="1">
      <c r="A39" s="318"/>
      <c r="B39" s="3077" t="s">
        <v>243</v>
      </c>
      <c r="C39" s="3077"/>
      <c r="D39" s="2988"/>
      <c r="H39" s="126"/>
      <c r="I39" s="70"/>
      <c r="J39" s="118"/>
      <c r="K39" s="74"/>
      <c r="L39" s="74"/>
      <c r="M39" s="118"/>
      <c r="N39" s="124"/>
      <c r="O39" s="256"/>
      <c r="P39" s="110"/>
      <c r="Q39" s="110"/>
      <c r="R39" s="124"/>
      <c r="S39" s="479"/>
      <c r="T39" s="124"/>
      <c r="U39" s="74"/>
      <c r="V39" s="74"/>
      <c r="W39" s="74"/>
      <c r="X39" s="124"/>
    </row>
    <row r="40" spans="1:34" s="163" customFormat="1">
      <c r="A40" s="318"/>
      <c r="B40" s="141"/>
      <c r="C40" s="142"/>
      <c r="D40" s="142"/>
      <c r="H40" s="126"/>
      <c r="I40" s="70"/>
      <c r="J40" s="346"/>
      <c r="K40" s="74"/>
      <c r="L40" s="74"/>
      <c r="M40" s="118"/>
      <c r="N40" s="124"/>
      <c r="O40" s="178"/>
      <c r="P40" s="178"/>
      <c r="Q40" s="178"/>
      <c r="R40" s="124"/>
      <c r="S40" s="479"/>
      <c r="T40" s="124"/>
      <c r="U40" s="74"/>
      <c r="V40" s="74"/>
      <c r="W40" s="74"/>
      <c r="X40" s="124"/>
    </row>
    <row r="41" spans="1:34" s="163" customFormat="1">
      <c r="A41" s="318"/>
      <c r="B41" s="25"/>
      <c r="C41" s="143" t="s">
        <v>190</v>
      </c>
      <c r="D41" s="143"/>
      <c r="H41" s="126"/>
      <c r="I41" s="70"/>
      <c r="J41" s="348"/>
      <c r="K41" s="74"/>
      <c r="L41" s="74"/>
      <c r="M41" s="118"/>
      <c r="N41" s="124"/>
      <c r="O41" s="280"/>
      <c r="P41" s="110"/>
      <c r="Q41" s="110"/>
      <c r="R41" s="124"/>
      <c r="S41" s="479"/>
      <c r="T41" s="124"/>
      <c r="U41" s="74"/>
      <c r="V41" s="74"/>
      <c r="W41" s="74"/>
      <c r="X41" s="124"/>
    </row>
    <row r="42" spans="1:34" s="163" customFormat="1">
      <c r="A42" s="318"/>
      <c r="B42" s="141"/>
      <c r="C42" s="142"/>
      <c r="D42" s="142"/>
      <c r="H42" s="126"/>
      <c r="I42" s="70"/>
      <c r="J42" s="349"/>
      <c r="K42" s="74"/>
      <c r="L42" s="120"/>
      <c r="M42" s="118"/>
      <c r="N42" s="124"/>
      <c r="O42" s="280"/>
      <c r="P42" s="110"/>
      <c r="Q42" s="110"/>
      <c r="R42" s="124"/>
      <c r="S42" s="110"/>
      <c r="T42" s="124"/>
      <c r="U42" s="74"/>
      <c r="V42" s="74"/>
      <c r="W42" s="74"/>
      <c r="X42" s="124"/>
    </row>
    <row r="43" spans="1:34" s="163" customFormat="1">
      <c r="A43" s="318"/>
      <c r="B43" s="144"/>
      <c r="C43" s="143" t="s">
        <v>191</v>
      </c>
      <c r="D43" s="143"/>
      <c r="H43" s="126"/>
      <c r="I43" s="70"/>
      <c r="J43" s="348"/>
      <c r="K43" s="74"/>
      <c r="L43" s="120"/>
      <c r="M43" s="118"/>
      <c r="N43" s="124"/>
      <c r="O43" s="280"/>
      <c r="P43" s="110"/>
      <c r="Q43" s="110"/>
      <c r="R43" s="124"/>
      <c r="S43" s="74"/>
      <c r="T43" s="124"/>
      <c r="U43" s="74"/>
      <c r="V43" s="74"/>
      <c r="W43" s="74"/>
      <c r="X43" s="124"/>
    </row>
    <row r="44" spans="1:34" s="163" customFormat="1">
      <c r="A44" s="318"/>
      <c r="B44" s="145"/>
      <c r="C44" s="143"/>
      <c r="D44" s="143"/>
      <c r="H44" s="126"/>
      <c r="I44" s="118"/>
      <c r="J44" s="349"/>
      <c r="K44" s="74"/>
      <c r="L44" s="120"/>
      <c r="M44" s="118"/>
      <c r="N44" s="124"/>
      <c r="O44" s="280"/>
      <c r="P44" s="120"/>
      <c r="Q44" s="120"/>
      <c r="R44" s="124"/>
      <c r="S44" s="74"/>
      <c r="T44" s="124"/>
      <c r="U44" s="74"/>
      <c r="V44" s="74"/>
      <c r="W44" s="74"/>
      <c r="X44" s="124"/>
    </row>
    <row r="45" spans="1:34" s="178" customFormat="1" ht="15" thickBot="1">
      <c r="A45" s="357"/>
      <c r="C45" s="179"/>
      <c r="D45" s="179"/>
      <c r="H45" s="130"/>
      <c r="I45" s="126"/>
      <c r="J45" s="321"/>
      <c r="K45" s="74"/>
      <c r="L45" s="70"/>
      <c r="M45" s="70"/>
      <c r="N45" s="71"/>
      <c r="O45" s="70"/>
      <c r="P45" s="70"/>
      <c r="Q45" s="70"/>
      <c r="R45" s="71"/>
      <c r="S45" s="74"/>
      <c r="T45" s="124"/>
      <c r="U45" s="163"/>
      <c r="V45" s="163"/>
      <c r="W45" s="163"/>
      <c r="X45" s="124"/>
    </row>
    <row r="46" spans="1:34" s="178" customFormat="1" ht="16.5" thickBot="1">
      <c r="A46" s="357"/>
      <c r="B46" s="3053" t="str">
        <f>'2G'!B43</f>
        <v>Please refer to RAG 4.08 - Guideline for the table definitions in the annual performance report for the reporting year 2019-20</v>
      </c>
      <c r="C46" s="147"/>
      <c r="D46" s="147"/>
      <c r="E46" s="148"/>
      <c r="F46" s="148"/>
      <c r="G46" s="148"/>
      <c r="H46" s="148"/>
      <c r="I46" s="251"/>
      <c r="J46" s="321"/>
      <c r="K46" s="74"/>
      <c r="L46" s="70"/>
      <c r="M46" s="70"/>
      <c r="N46" s="71"/>
      <c r="O46" s="70"/>
      <c r="P46" s="70"/>
      <c r="Q46" s="70"/>
      <c r="R46" s="71"/>
      <c r="S46" s="74"/>
      <c r="T46" s="124"/>
      <c r="U46" s="163"/>
      <c r="V46" s="163"/>
      <c r="W46" s="163"/>
      <c r="X46" s="124"/>
    </row>
    <row r="47" spans="1:34" s="178" customFormat="1">
      <c r="A47" s="357"/>
      <c r="C47" s="179"/>
      <c r="D47" s="179"/>
      <c r="H47" s="130"/>
      <c r="I47" s="126"/>
      <c r="J47" s="321"/>
      <c r="K47" s="74"/>
      <c r="L47" s="70"/>
      <c r="M47" s="70"/>
      <c r="N47" s="71"/>
      <c r="O47" s="70"/>
      <c r="P47" s="70"/>
      <c r="Q47" s="70"/>
      <c r="R47" s="71"/>
      <c r="S47" s="74"/>
      <c r="T47" s="124"/>
      <c r="U47" s="163"/>
      <c r="V47" s="163"/>
      <c r="W47" s="163"/>
      <c r="X47" s="124"/>
    </row>
    <row r="48" spans="1:34" s="110" customFormat="1" ht="16.5" hidden="1" thickBot="1">
      <c r="A48" s="1560"/>
      <c r="B48" s="146" t="str">
        <f ca="1" xml:space="preserve"> RIGHT(CELL("filename", $A$1), LEN(CELL("filename", $A$1)) - SEARCH("]", CELL("filename", $A$1)))&amp;" - Line definitions"</f>
        <v>2H - Line definitions</v>
      </c>
      <c r="C48" s="147"/>
      <c r="D48" s="147"/>
      <c r="E48" s="148"/>
      <c r="F48" s="148"/>
      <c r="G48" s="148"/>
      <c r="H48" s="148"/>
      <c r="I48" s="251"/>
      <c r="J48" s="320"/>
      <c r="K48" s="74"/>
      <c r="L48" s="70"/>
      <c r="M48" s="70"/>
      <c r="N48" s="71"/>
      <c r="O48" s="70"/>
      <c r="P48" s="70"/>
      <c r="Q48" s="70"/>
      <c r="R48" s="71"/>
      <c r="S48" s="74"/>
      <c r="T48" s="71"/>
      <c r="U48" s="163"/>
      <c r="V48" s="163"/>
      <c r="W48" s="163"/>
      <c r="X48" s="71"/>
    </row>
    <row r="49" spans="1:26" s="110" customFormat="1" ht="15" hidden="1" thickBot="1">
      <c r="A49" s="1560"/>
      <c r="B49" s="358"/>
      <c r="E49" s="74"/>
      <c r="H49" s="118"/>
      <c r="I49" s="126"/>
      <c r="J49" s="321"/>
      <c r="K49" s="74"/>
      <c r="L49" s="70"/>
      <c r="M49" s="70"/>
      <c r="N49" s="71"/>
      <c r="O49" s="85" t="s">
        <v>195</v>
      </c>
      <c r="P49" s="70"/>
      <c r="Q49" s="70"/>
      <c r="R49" s="71"/>
      <c r="S49" s="74"/>
      <c r="T49" s="71"/>
      <c r="U49" s="163"/>
      <c r="V49" s="163"/>
      <c r="W49" s="163"/>
      <c r="X49" s="71"/>
    </row>
    <row r="50" spans="1:26" s="178" customFormat="1" hidden="1">
      <c r="A50" s="1561"/>
      <c r="B50" s="359" t="s">
        <v>193</v>
      </c>
      <c r="C50" s="3167" t="s">
        <v>194</v>
      </c>
      <c r="D50" s="3167"/>
      <c r="E50" s="3167"/>
      <c r="F50" s="3167"/>
      <c r="G50" s="3167"/>
      <c r="H50" s="3167"/>
      <c r="I50" s="3168"/>
      <c r="J50" s="321"/>
      <c r="K50" s="74"/>
      <c r="L50" s="70"/>
      <c r="M50" s="70"/>
      <c r="N50" s="71"/>
      <c r="O50" s="70">
        <v>1</v>
      </c>
      <c r="P50" s="70"/>
      <c r="Q50" s="70"/>
      <c r="R50" s="71"/>
      <c r="S50" s="74"/>
      <c r="T50" s="71"/>
      <c r="U50" s="163"/>
      <c r="V50" s="163"/>
      <c r="W50" s="163"/>
      <c r="X50" s="71"/>
    </row>
    <row r="51" spans="1:26" s="110" customFormat="1" ht="14.25" hidden="1" customHeight="1">
      <c r="A51" s="1560"/>
      <c r="B51" s="814">
        <v>1</v>
      </c>
      <c r="C51" s="3163" t="s">
        <v>1890</v>
      </c>
      <c r="D51" s="3163"/>
      <c r="E51" s="3163"/>
      <c r="F51" s="3163"/>
      <c r="G51" s="3163"/>
      <c r="H51" s="3163"/>
      <c r="I51" s="3164"/>
      <c r="J51" s="321"/>
      <c r="K51" s="74"/>
      <c r="L51" s="70"/>
      <c r="M51" s="70"/>
      <c r="N51" s="71"/>
      <c r="O51" s="70">
        <v>1</v>
      </c>
      <c r="P51" s="70"/>
      <c r="Q51" s="70"/>
      <c r="R51" s="71"/>
      <c r="S51" s="74"/>
      <c r="T51" s="71"/>
      <c r="U51" s="163"/>
      <c r="V51" s="163"/>
      <c r="W51" s="163"/>
      <c r="X51" s="71"/>
    </row>
    <row r="52" spans="1:26" s="110" customFormat="1" ht="14.25" hidden="1" customHeight="1">
      <c r="A52" s="1560"/>
      <c r="B52" s="856" t="s">
        <v>2051</v>
      </c>
      <c r="C52" s="3139" t="s">
        <v>1892</v>
      </c>
      <c r="D52" s="3139"/>
      <c r="E52" s="3139"/>
      <c r="F52" s="3139"/>
      <c r="G52" s="3139"/>
      <c r="H52" s="3139"/>
      <c r="I52" s="3140"/>
      <c r="J52" s="320"/>
      <c r="K52" s="74"/>
      <c r="L52" s="70"/>
      <c r="M52" s="70"/>
      <c r="N52" s="71"/>
      <c r="O52" s="70">
        <v>1</v>
      </c>
      <c r="P52" s="70"/>
      <c r="Q52" s="70"/>
      <c r="R52" s="71"/>
      <c r="S52" s="74"/>
      <c r="T52" s="71"/>
      <c r="U52" s="163"/>
      <c r="V52" s="163"/>
      <c r="W52" s="163"/>
      <c r="X52" s="71"/>
    </row>
    <row r="53" spans="1:26" s="110" customFormat="1" ht="14.25" hidden="1" customHeight="1">
      <c r="A53" s="1560"/>
      <c r="B53" s="159">
        <v>24</v>
      </c>
      <c r="C53" s="3139" t="s">
        <v>1893</v>
      </c>
      <c r="D53" s="3139"/>
      <c r="E53" s="3139"/>
      <c r="F53" s="3139"/>
      <c r="G53" s="3139"/>
      <c r="H53" s="3139"/>
      <c r="I53" s="3140"/>
      <c r="J53" s="321"/>
      <c r="K53" s="74"/>
      <c r="L53" s="70"/>
      <c r="M53" s="70"/>
      <c r="N53" s="71"/>
      <c r="O53" s="70">
        <v>1</v>
      </c>
      <c r="P53" s="70"/>
      <c r="Q53" s="70"/>
      <c r="R53" s="71"/>
      <c r="S53" s="74"/>
      <c r="T53" s="71"/>
      <c r="U53" s="178"/>
      <c r="V53" s="178"/>
      <c r="W53" s="178"/>
      <c r="X53" s="71"/>
    </row>
    <row r="54" spans="1:26" s="110" customFormat="1" hidden="1">
      <c r="A54" s="1560"/>
      <c r="B54" s="159">
        <v>25</v>
      </c>
      <c r="C54" s="3139" t="s">
        <v>1894</v>
      </c>
      <c r="D54" s="3139"/>
      <c r="E54" s="3139"/>
      <c r="F54" s="3139"/>
      <c r="G54" s="3139"/>
      <c r="H54" s="3139"/>
      <c r="I54" s="3140"/>
      <c r="J54" s="70"/>
      <c r="K54" s="74"/>
      <c r="L54" s="70"/>
      <c r="M54" s="70"/>
      <c r="N54" s="71"/>
      <c r="O54" s="70">
        <v>1</v>
      </c>
      <c r="P54" s="70"/>
      <c r="Q54" s="70"/>
      <c r="R54" s="71"/>
      <c r="S54" s="74"/>
      <c r="T54" s="71"/>
      <c r="U54" s="178"/>
      <c r="V54" s="178"/>
      <c r="W54" s="178"/>
      <c r="X54" s="71"/>
    </row>
    <row r="55" spans="1:26" ht="15" hidden="1" thickBot="1">
      <c r="A55" s="1566"/>
      <c r="B55" s="183">
        <v>26</v>
      </c>
      <c r="C55" s="3159" t="s">
        <v>1895</v>
      </c>
      <c r="D55" s="3159"/>
      <c r="E55" s="3159"/>
      <c r="F55" s="3159"/>
      <c r="G55" s="3159"/>
      <c r="H55" s="3159"/>
      <c r="I55" s="3160"/>
      <c r="U55" s="110"/>
      <c r="V55" s="110"/>
      <c r="W55" s="110"/>
      <c r="Y55" s="479"/>
      <c r="Z55" s="479"/>
    </row>
    <row r="56" spans="1:26" hidden="1">
      <c r="A56" s="1566"/>
      <c r="B56" s="479"/>
      <c r="C56" s="479"/>
      <c r="E56" s="479"/>
      <c r="F56" s="479"/>
      <c r="G56" s="479"/>
      <c r="H56" s="479"/>
      <c r="I56" s="479"/>
      <c r="U56" s="110"/>
      <c r="V56" s="110"/>
      <c r="W56" s="110"/>
      <c r="Y56" s="479"/>
      <c r="Z56" s="479"/>
    </row>
  </sheetData>
  <sheetProtection algorithmName="SHA-512" hashValue="yek+yKtaXefpz1LZsKNnrCdD1lLlv+4hFQZAK7V7Py8UADs0qD9y5VUb9zrWqK3re1JFmQ2jlItq9iK/F9uwWg==" saltValue="+sOIukYpQMfKk40mgSmZRA=="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1257" priority="14" operator="equal">
      <formula>0</formula>
    </cfRule>
  </conditionalFormatting>
  <conditionalFormatting sqref="K33">
    <cfRule type="cellIs" dxfId="1256" priority="10" operator="equal">
      <formula>0</formula>
    </cfRule>
  </conditionalFormatting>
  <conditionalFormatting sqref="L37">
    <cfRule type="cellIs" dxfId="1255" priority="8" operator="equal">
      <formula>0</formula>
    </cfRule>
  </conditionalFormatting>
  <conditionalFormatting sqref="L6">
    <cfRule type="cellIs" dxfId="1254"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BM95"/>
  <sheetViews>
    <sheetView tabSelected="1" topLeftCell="A35" zoomScaleNormal="100" workbookViewId="0">
      <selection activeCell="H50" sqref="H50"/>
    </sheetView>
  </sheetViews>
  <sheetFormatPr defaultColWidth="0" defaultRowHeight="14.25" zeroHeight="1"/>
  <cols>
    <col min="1" max="1" width="0.5" style="74" customWidth="1"/>
    <col min="2" max="2" width="6.125" style="74" customWidth="1"/>
    <col min="3" max="3" width="41.5" style="74" customWidth="1"/>
    <col min="4" max="4" width="5.5" style="74" hidden="1" customWidth="1"/>
    <col min="5" max="6" width="5.125" style="74" customWidth="1"/>
    <col min="7" max="9" width="14.5" style="74" customWidth="1"/>
    <col min="10" max="10" width="14.5" style="70" customWidth="1"/>
    <col min="11" max="11" width="39.5" style="74" customWidth="1"/>
    <col min="12" max="12" width="25.5" style="70" customWidth="1"/>
    <col min="13" max="13" width="1.5" style="70" customWidth="1"/>
    <col min="14" max="14" width="1.5" style="71" hidden="1" customWidth="1"/>
    <col min="15" max="17" width="8.5" style="70" hidden="1" customWidth="1"/>
    <col min="18" max="18" width="1.5" style="71" hidden="1" customWidth="1"/>
    <col min="19" max="21" width="8" style="74" hidden="1" customWidth="1"/>
    <col min="22" max="22" width="1.5" style="71" hidden="1" customWidth="1"/>
    <col min="23" max="28" width="8" style="74" hidden="1" customWidth="1"/>
    <col min="29" max="29" width="100.5" style="74" hidden="1" customWidth="1"/>
    <col min="30" max="30" width="1.5" style="71" hidden="1" customWidth="1"/>
    <col min="31" max="54" width="8.5" style="74" hidden="1" customWidth="1"/>
    <col min="55" max="55" width="8" style="74" customWidth="1"/>
    <col min="56" max="56" width="6.125" style="74" customWidth="1"/>
    <col min="57" max="57" width="41.5" style="74" customWidth="1"/>
    <col min="58" max="58" width="5.5" style="74" hidden="1" customWidth="1"/>
    <col min="59" max="60" width="5.125" style="74" customWidth="1"/>
    <col min="61" max="63" width="14.5" style="74" customWidth="1"/>
    <col min="64" max="64" width="13.5" style="74" customWidth="1"/>
    <col min="65" max="65" width="8" style="74" customWidth="1"/>
    <col min="66" max="16384" width="8" style="74" hidden="1"/>
  </cols>
  <sheetData>
    <row r="1" spans="2:64" s="8" customFormat="1" ht="20.25">
      <c r="B1" s="66" t="s">
        <v>2052</v>
      </c>
      <c r="C1" s="66"/>
      <c r="D1" s="66"/>
      <c r="E1" s="66"/>
      <c r="F1" s="66"/>
      <c r="G1" s="66"/>
      <c r="H1" s="68"/>
      <c r="I1" s="68" t="str">
        <f>Validation!B3</f>
        <v>Yorkshire Water</v>
      </c>
      <c r="J1" s="66"/>
      <c r="K1" s="69"/>
      <c r="L1" s="69" t="s">
        <v>34</v>
      </c>
      <c r="M1" s="70"/>
      <c r="N1" s="71"/>
      <c r="O1" s="70"/>
      <c r="P1" s="70"/>
      <c r="Q1" s="70"/>
      <c r="R1" s="71"/>
      <c r="S1" s="70"/>
      <c r="T1" s="70"/>
      <c r="U1" s="70"/>
      <c r="V1" s="71"/>
      <c r="W1" s="479"/>
      <c r="X1" s="479"/>
      <c r="Y1" s="479"/>
      <c r="Z1" s="479"/>
      <c r="AA1" s="479"/>
      <c r="AB1" s="479"/>
      <c r="AC1" s="479"/>
      <c r="AD1" s="71"/>
      <c r="AE1" s="479"/>
      <c r="AF1" s="479"/>
      <c r="AG1" s="479"/>
      <c r="AH1" s="479"/>
      <c r="AI1" s="479"/>
      <c r="AJ1" s="479"/>
      <c r="AK1" s="479"/>
      <c r="AL1" s="479"/>
      <c r="AM1" s="479"/>
      <c r="AN1" s="479"/>
      <c r="AO1" s="479"/>
      <c r="AP1" s="479"/>
      <c r="AQ1" s="479"/>
      <c r="AR1" s="479"/>
      <c r="AS1" s="479"/>
      <c r="AT1" s="479"/>
      <c r="AU1" s="479"/>
      <c r="AV1" s="479"/>
      <c r="AW1" s="479"/>
      <c r="AX1" s="479"/>
      <c r="AY1" s="479"/>
      <c r="AZ1" s="479"/>
      <c r="BA1" s="479"/>
      <c r="BB1" s="479"/>
      <c r="BC1" s="479"/>
      <c r="BD1" s="66" t="s">
        <v>35</v>
      </c>
      <c r="BE1" s="66"/>
      <c r="BF1" s="66"/>
      <c r="BG1" s="66"/>
      <c r="BH1" s="66"/>
      <c r="BI1" s="66"/>
      <c r="BJ1" s="68"/>
      <c r="BK1" s="68"/>
      <c r="BL1" s="479"/>
    </row>
    <row r="2" spans="2:64" ht="15" thickBot="1">
      <c r="B2" s="73" t="str">
        <f>'2H'!B2</f>
        <v>For the 12 months ended 31 March 2020</v>
      </c>
      <c r="C2" s="257"/>
      <c r="D2" s="257"/>
      <c r="K2" s="70"/>
      <c r="S2" s="3072" t="s">
        <v>904</v>
      </c>
      <c r="T2" s="70"/>
      <c r="U2" s="70"/>
      <c r="W2" s="3072" t="s">
        <v>904</v>
      </c>
      <c r="BD2" s="73" t="str">
        <f>+B2</f>
        <v>For the 12 months ended 31 March 2020</v>
      </c>
      <c r="BE2" s="257"/>
      <c r="BF2" s="257"/>
    </row>
    <row r="3" spans="2:64" ht="15" customHeight="1" thickBot="1">
      <c r="B3" s="3169" t="s">
        <v>36</v>
      </c>
      <c r="C3" s="3170"/>
      <c r="D3" s="3016" t="s">
        <v>37</v>
      </c>
      <c r="E3" s="376" t="s">
        <v>38</v>
      </c>
      <c r="F3" s="377" t="s">
        <v>39</v>
      </c>
      <c r="G3" s="296" t="s">
        <v>905</v>
      </c>
      <c r="H3" s="307" t="s">
        <v>1260</v>
      </c>
      <c r="I3" s="377" t="s">
        <v>710</v>
      </c>
      <c r="K3" s="186" t="s">
        <v>705</v>
      </c>
      <c r="L3" s="2990" t="s">
        <v>43</v>
      </c>
      <c r="O3" s="3072" t="s">
        <v>47</v>
      </c>
      <c r="P3" s="3072"/>
      <c r="Q3" s="2987"/>
      <c r="S3" s="3072"/>
      <c r="T3" s="70"/>
      <c r="U3" s="70"/>
      <c r="W3" s="3072"/>
      <c r="BD3" s="3169" t="s">
        <v>36</v>
      </c>
      <c r="BE3" s="3170"/>
      <c r="BF3" s="3016" t="s">
        <v>37</v>
      </c>
      <c r="BG3" s="376" t="s">
        <v>38</v>
      </c>
      <c r="BH3" s="377" t="s">
        <v>39</v>
      </c>
      <c r="BI3" s="296" t="s">
        <v>905</v>
      </c>
      <c r="BJ3" s="307" t="s">
        <v>1260</v>
      </c>
      <c r="BK3" s="377" t="s">
        <v>710</v>
      </c>
    </row>
    <row r="4" spans="2:64" ht="15" thickBot="1">
      <c r="C4" s="330"/>
      <c r="D4" s="330"/>
      <c r="K4" s="70"/>
      <c r="S4" s="3072"/>
      <c r="T4" s="2987"/>
      <c r="U4" s="2987"/>
      <c r="W4" s="3072"/>
      <c r="X4" s="2987"/>
      <c r="Y4" s="2987"/>
      <c r="Z4" s="2987"/>
      <c r="AA4" s="2987"/>
      <c r="AB4" s="2987"/>
      <c r="AC4" s="2987"/>
      <c r="BE4" s="330"/>
      <c r="BF4" s="330"/>
    </row>
    <row r="5" spans="2:64" ht="15" thickBot="1">
      <c r="B5" s="3026" t="s">
        <v>155</v>
      </c>
      <c r="C5" s="83" t="s">
        <v>2053</v>
      </c>
      <c r="D5" s="1505"/>
      <c r="E5" s="262"/>
      <c r="F5" s="262"/>
      <c r="H5" s="262"/>
      <c r="I5" s="262"/>
      <c r="O5" s="164" t="s">
        <v>48</v>
      </c>
      <c r="P5" s="127"/>
      <c r="Q5" s="127"/>
      <c r="S5" s="479"/>
      <c r="T5" s="479"/>
      <c r="U5" s="479"/>
      <c r="BD5" s="3026" t="s">
        <v>155</v>
      </c>
      <c r="BE5" s="83" t="s">
        <v>2053</v>
      </c>
      <c r="BF5" s="1505"/>
      <c r="BG5" s="262"/>
      <c r="BH5" s="262"/>
      <c r="BJ5" s="262"/>
      <c r="BK5" s="262"/>
    </row>
    <row r="6" spans="2:64" ht="15" customHeight="1">
      <c r="B6" s="288" t="s">
        <v>2054</v>
      </c>
      <c r="C6" s="273" t="s">
        <v>2055</v>
      </c>
      <c r="D6" s="273"/>
      <c r="E6" s="300" t="s">
        <v>51</v>
      </c>
      <c r="F6" s="275">
        <v>3</v>
      </c>
      <c r="G6" s="436">
        <v>177.49299999999999</v>
      </c>
      <c r="H6" s="437">
        <v>1.133</v>
      </c>
      <c r="I6" s="331">
        <f>+G6+H6</f>
        <v>178.626</v>
      </c>
      <c r="L6" s="24">
        <f t="shared" ref="L6:L7" si="0" xml:space="preserve"> IF( SUM( N6:R6 ) = 0, 0, O$5 )</f>
        <v>0</v>
      </c>
      <c r="O6" s="93">
        <f xml:space="preserve"> IF( ISNUMBER( G6 ), 0, 1 )</f>
        <v>0</v>
      </c>
      <c r="P6" s="93">
        <f xml:space="preserve"> IF( ISNUMBER( H6 ), 0, 1 )</f>
        <v>0</v>
      </c>
      <c r="Q6" s="127"/>
      <c r="S6" s="479"/>
      <c r="T6" s="479"/>
      <c r="U6" s="479"/>
      <c r="BD6" s="288" t="s">
        <v>2054</v>
      </c>
      <c r="BE6" s="273" t="s">
        <v>2055</v>
      </c>
      <c r="BF6" s="273"/>
      <c r="BG6" s="300" t="s">
        <v>51</v>
      </c>
      <c r="BH6" s="275">
        <v>3</v>
      </c>
      <c r="BI6" s="2605" t="s">
        <v>2056</v>
      </c>
      <c r="BJ6" s="2606" t="s">
        <v>2057</v>
      </c>
      <c r="BK6" s="331" t="s">
        <v>2058</v>
      </c>
    </row>
    <row r="7" spans="2:64" ht="15" customHeight="1">
      <c r="B7" s="289" t="s">
        <v>2059</v>
      </c>
      <c r="C7" s="277" t="s">
        <v>2060</v>
      </c>
      <c r="D7" s="277"/>
      <c r="E7" s="301" t="s">
        <v>51</v>
      </c>
      <c r="F7" s="279">
        <v>3</v>
      </c>
      <c r="G7" s="438">
        <v>152.149</v>
      </c>
      <c r="H7" s="439">
        <v>107.003</v>
      </c>
      <c r="I7" s="332">
        <f>+G7+H7</f>
        <v>259.15199999999999</v>
      </c>
      <c r="L7" s="24">
        <f t="shared" si="0"/>
        <v>0</v>
      </c>
      <c r="O7" s="93">
        <f t="shared" ref="O7:P8" si="1" xml:space="preserve"> IF( ISNUMBER( G7 ), 0, 1 )</f>
        <v>0</v>
      </c>
      <c r="P7" s="93">
        <f t="shared" si="1"/>
        <v>0</v>
      </c>
      <c r="Q7" s="127"/>
      <c r="S7" s="479"/>
      <c r="T7" s="479"/>
      <c r="U7" s="479"/>
      <c r="BD7" s="289" t="s">
        <v>2059</v>
      </c>
      <c r="BE7" s="277" t="s">
        <v>2060</v>
      </c>
      <c r="BF7" s="277"/>
      <c r="BG7" s="301" t="s">
        <v>51</v>
      </c>
      <c r="BH7" s="279">
        <v>3</v>
      </c>
      <c r="BI7" s="2328" t="s">
        <v>2061</v>
      </c>
      <c r="BJ7" s="2607" t="s">
        <v>2062</v>
      </c>
      <c r="BK7" s="332" t="s">
        <v>2063</v>
      </c>
    </row>
    <row r="8" spans="2:64" ht="15" customHeight="1">
      <c r="B8" s="289" t="s">
        <v>2064</v>
      </c>
      <c r="C8" s="277" t="s">
        <v>2065</v>
      </c>
      <c r="D8" s="277"/>
      <c r="E8" s="301" t="s">
        <v>51</v>
      </c>
      <c r="F8" s="279">
        <v>3</v>
      </c>
      <c r="G8" s="438">
        <v>0</v>
      </c>
      <c r="H8" s="439">
        <v>0</v>
      </c>
      <c r="I8" s="332">
        <f>+G8+H8</f>
        <v>0</v>
      </c>
      <c r="L8" s="24">
        <f xml:space="preserve"> IF( SUM( N8:R8 ) = 0, 0, O$5 )</f>
        <v>0</v>
      </c>
      <c r="O8" s="93">
        <f t="shared" si="1"/>
        <v>0</v>
      </c>
      <c r="P8" s="93">
        <f t="shared" si="1"/>
        <v>0</v>
      </c>
      <c r="Q8" s="127"/>
      <c r="S8" s="479"/>
      <c r="T8" s="479"/>
      <c r="U8" s="479"/>
      <c r="BD8" s="289" t="s">
        <v>2064</v>
      </c>
      <c r="BE8" s="277" t="s">
        <v>2065</v>
      </c>
      <c r="BF8" s="277"/>
      <c r="BG8" s="301" t="s">
        <v>51</v>
      </c>
      <c r="BH8" s="279">
        <v>3</v>
      </c>
      <c r="BI8" s="2328" t="s">
        <v>2066</v>
      </c>
      <c r="BJ8" s="2607" t="s">
        <v>2067</v>
      </c>
      <c r="BK8" s="332" t="s">
        <v>2068</v>
      </c>
    </row>
    <row r="9" spans="2:64" ht="15" customHeight="1" thickBot="1">
      <c r="B9" s="290" t="s">
        <v>2069</v>
      </c>
      <c r="C9" s="282" t="s">
        <v>710</v>
      </c>
      <c r="D9" s="282"/>
      <c r="E9" s="283" t="s">
        <v>51</v>
      </c>
      <c r="F9" s="284">
        <v>3</v>
      </c>
      <c r="G9" s="333">
        <f>SUM(G6:G8)</f>
        <v>329.642</v>
      </c>
      <c r="H9" s="334">
        <f>SUM(H6:H8)</f>
        <v>108.136</v>
      </c>
      <c r="I9" s="335">
        <f t="shared" ref="I9" si="2">SUM(I6:I8)</f>
        <v>437.77800000000002</v>
      </c>
      <c r="L9" s="109"/>
      <c r="O9" s="280"/>
      <c r="P9" s="110"/>
      <c r="Q9" s="286"/>
      <c r="S9" s="479"/>
      <c r="T9" s="479"/>
      <c r="U9" s="479"/>
      <c r="BD9" s="290" t="s">
        <v>2069</v>
      </c>
      <c r="BE9" s="282" t="s">
        <v>710</v>
      </c>
      <c r="BF9" s="282"/>
      <c r="BG9" s="283" t="s">
        <v>51</v>
      </c>
      <c r="BH9" s="284">
        <v>3</v>
      </c>
      <c r="BI9" s="333" t="s">
        <v>2070</v>
      </c>
      <c r="BJ9" s="334" t="s">
        <v>2071</v>
      </c>
      <c r="BK9" s="335" t="s">
        <v>2072</v>
      </c>
    </row>
    <row r="10" spans="2:64" ht="15" thickBot="1">
      <c r="B10" s="336"/>
      <c r="C10" s="267"/>
      <c r="D10" s="267"/>
      <c r="E10" s="269"/>
      <c r="F10" s="269"/>
      <c r="G10" s="337"/>
      <c r="H10" s="337"/>
      <c r="I10" s="337"/>
      <c r="L10" s="109"/>
      <c r="O10" s="280"/>
      <c r="P10" s="110"/>
      <c r="Q10" s="286"/>
      <c r="S10" s="479"/>
      <c r="T10" s="479"/>
      <c r="U10" s="479"/>
      <c r="BD10" s="336"/>
      <c r="BE10" s="267"/>
      <c r="BF10" s="267"/>
      <c r="BG10" s="269"/>
      <c r="BH10" s="269"/>
      <c r="BI10" s="337"/>
      <c r="BJ10" s="337"/>
      <c r="BK10" s="337"/>
    </row>
    <row r="11" spans="2:64" ht="15" thickBot="1">
      <c r="B11" s="3026" t="s">
        <v>177</v>
      </c>
      <c r="C11" s="114" t="s">
        <v>2073</v>
      </c>
      <c r="D11" s="1505"/>
      <c r="E11" s="299"/>
      <c r="F11" s="299"/>
      <c r="G11" s="270"/>
      <c r="H11" s="270"/>
      <c r="I11" s="270"/>
      <c r="L11" s="109"/>
      <c r="O11" s="280"/>
      <c r="P11" s="110"/>
      <c r="Q11" s="286"/>
      <c r="S11" s="479"/>
      <c r="T11" s="479"/>
      <c r="U11" s="479"/>
      <c r="BD11" s="3026" t="s">
        <v>177</v>
      </c>
      <c r="BE11" s="114" t="s">
        <v>2073</v>
      </c>
      <c r="BF11" s="1505"/>
      <c r="BG11" s="299"/>
      <c r="BH11" s="299"/>
      <c r="BI11" s="270"/>
      <c r="BJ11" s="270"/>
      <c r="BK11" s="270"/>
    </row>
    <row r="12" spans="2:64" ht="15" customHeight="1">
      <c r="B12" s="288" t="s">
        <v>2074</v>
      </c>
      <c r="C12" s="273" t="s">
        <v>2055</v>
      </c>
      <c r="D12" s="273"/>
      <c r="E12" s="300" t="s">
        <v>51</v>
      </c>
      <c r="F12" s="275">
        <v>3</v>
      </c>
      <c r="G12" s="436">
        <v>214.964</v>
      </c>
      <c r="H12" s="437">
        <v>2.335</v>
      </c>
      <c r="I12" s="331">
        <f>+G12+H12</f>
        <v>217.29900000000001</v>
      </c>
      <c r="L12" s="24">
        <f t="shared" ref="L12:L14" si="3" xml:space="preserve"> IF( SUM( N12:R12 ) = 0, 0, O$5 )</f>
        <v>0</v>
      </c>
      <c r="O12" s="93">
        <f>IF(Validation!$H$3=1,0,IF(ISNUMBER(G12),0,1))</f>
        <v>0</v>
      </c>
      <c r="P12" s="93">
        <f>IF(Validation!$H$3=1,0,IF(ISNUMBER(H12),0,1))</f>
        <v>0</v>
      </c>
      <c r="Q12" s="127"/>
      <c r="S12" s="479"/>
      <c r="T12" s="479"/>
      <c r="U12" s="479"/>
      <c r="BD12" s="288" t="s">
        <v>2074</v>
      </c>
      <c r="BE12" s="273" t="s">
        <v>2055</v>
      </c>
      <c r="BF12" s="273"/>
      <c r="BG12" s="300" t="s">
        <v>51</v>
      </c>
      <c r="BH12" s="275">
        <v>3</v>
      </c>
      <c r="BI12" s="2605" t="s">
        <v>2075</v>
      </c>
      <c r="BJ12" s="2606" t="s">
        <v>2076</v>
      </c>
      <c r="BK12" s="331" t="s">
        <v>2077</v>
      </c>
    </row>
    <row r="13" spans="2:64" ht="15" customHeight="1">
      <c r="B13" s="289" t="s">
        <v>2078</v>
      </c>
      <c r="C13" s="277" t="s">
        <v>2060</v>
      </c>
      <c r="D13" s="277"/>
      <c r="E13" s="301" t="s">
        <v>51</v>
      </c>
      <c r="F13" s="279">
        <v>3</v>
      </c>
      <c r="G13" s="438">
        <v>204.24199999999999</v>
      </c>
      <c r="H13" s="439">
        <v>119.43899999999999</v>
      </c>
      <c r="I13" s="332">
        <f>+G13+H13</f>
        <v>323.68099999999998</v>
      </c>
      <c r="L13" s="24">
        <f t="shared" si="3"/>
        <v>0</v>
      </c>
      <c r="O13" s="93">
        <f>IF(Validation!$H$3=1,0,IF(ISNUMBER(G13),0,1))</f>
        <v>0</v>
      </c>
      <c r="P13" s="93">
        <f>IF(Validation!$H$3=1,0,IF(ISNUMBER(H13),0,1))</f>
        <v>0</v>
      </c>
      <c r="Q13" s="127"/>
      <c r="S13" s="479"/>
      <c r="T13" s="479"/>
      <c r="U13" s="479"/>
      <c r="BD13" s="289" t="s">
        <v>2078</v>
      </c>
      <c r="BE13" s="277" t="s">
        <v>2060</v>
      </c>
      <c r="BF13" s="277"/>
      <c r="BG13" s="301" t="s">
        <v>51</v>
      </c>
      <c r="BH13" s="279">
        <v>3</v>
      </c>
      <c r="BI13" s="2328" t="s">
        <v>2079</v>
      </c>
      <c r="BJ13" s="2607" t="s">
        <v>2080</v>
      </c>
      <c r="BK13" s="332" t="s">
        <v>2081</v>
      </c>
    </row>
    <row r="14" spans="2:64" ht="15" customHeight="1">
      <c r="B14" s="289" t="s">
        <v>2082</v>
      </c>
      <c r="C14" s="277" t="s">
        <v>2065</v>
      </c>
      <c r="D14" s="277"/>
      <c r="E14" s="301" t="s">
        <v>51</v>
      </c>
      <c r="F14" s="279">
        <v>3</v>
      </c>
      <c r="G14" s="438">
        <v>0</v>
      </c>
      <c r="H14" s="439">
        <v>2.4510000000000001</v>
      </c>
      <c r="I14" s="332">
        <f>+G14+H14</f>
        <v>2.4510000000000001</v>
      </c>
      <c r="L14" s="24">
        <f t="shared" si="3"/>
        <v>0</v>
      </c>
      <c r="O14" s="93">
        <f>IF(Validation!$H$3=1,0,IF(ISNUMBER(G14),0,1))</f>
        <v>0</v>
      </c>
      <c r="P14" s="93">
        <f>IF(Validation!$H$3=1,0,IF(ISNUMBER(H14),0,1))</f>
        <v>0</v>
      </c>
      <c r="Q14" s="127"/>
      <c r="S14" s="479"/>
      <c r="T14" s="479"/>
      <c r="U14" s="479"/>
      <c r="BD14" s="289" t="s">
        <v>2082</v>
      </c>
      <c r="BE14" s="277" t="s">
        <v>2065</v>
      </c>
      <c r="BF14" s="277"/>
      <c r="BG14" s="301" t="s">
        <v>51</v>
      </c>
      <c r="BH14" s="279">
        <v>3</v>
      </c>
      <c r="BI14" s="2328" t="s">
        <v>2083</v>
      </c>
      <c r="BJ14" s="2607" t="s">
        <v>2084</v>
      </c>
      <c r="BK14" s="332" t="s">
        <v>2085</v>
      </c>
    </row>
    <row r="15" spans="2:64" ht="15" customHeight="1" thickBot="1">
      <c r="B15" s="290" t="s">
        <v>2086</v>
      </c>
      <c r="C15" s="282" t="s">
        <v>710</v>
      </c>
      <c r="D15" s="282"/>
      <c r="E15" s="283" t="s">
        <v>51</v>
      </c>
      <c r="F15" s="284">
        <v>3</v>
      </c>
      <c r="G15" s="333">
        <f>SUM(G12:G14)</f>
        <v>419.20600000000002</v>
      </c>
      <c r="H15" s="334">
        <f>SUM(H12:H14)</f>
        <v>124.22499999999998</v>
      </c>
      <c r="I15" s="335">
        <f>SUM(I12:I14)</f>
        <v>543.43100000000004</v>
      </c>
      <c r="L15" s="109"/>
      <c r="O15" s="280"/>
      <c r="P15" s="110"/>
      <c r="Q15" s="286"/>
      <c r="S15" s="479"/>
      <c r="T15" s="479"/>
      <c r="U15" s="479"/>
      <c r="BD15" s="290" t="s">
        <v>2086</v>
      </c>
      <c r="BE15" s="282" t="s">
        <v>710</v>
      </c>
      <c r="BF15" s="282"/>
      <c r="BG15" s="283" t="s">
        <v>51</v>
      </c>
      <c r="BH15" s="284">
        <v>3</v>
      </c>
      <c r="BI15" s="333" t="s">
        <v>2087</v>
      </c>
      <c r="BJ15" s="334" t="s">
        <v>2088</v>
      </c>
      <c r="BK15" s="335" t="s">
        <v>2089</v>
      </c>
    </row>
    <row r="16" spans="2:64" ht="15" thickBot="1">
      <c r="B16" s="336"/>
      <c r="C16" s="267"/>
      <c r="D16" s="267"/>
      <c r="E16" s="269"/>
      <c r="F16" s="269"/>
      <c r="G16" s="337"/>
      <c r="H16" s="337"/>
      <c r="I16" s="337"/>
      <c r="L16" s="109"/>
      <c r="O16" s="280"/>
      <c r="P16" s="110"/>
      <c r="Q16" s="286"/>
      <c r="S16" s="479"/>
      <c r="T16" s="479"/>
      <c r="U16" s="479"/>
      <c r="BD16" s="336"/>
      <c r="BE16" s="267"/>
      <c r="BF16" s="267"/>
      <c r="BG16" s="269"/>
      <c r="BH16" s="269"/>
      <c r="BI16" s="337"/>
      <c r="BJ16" s="337"/>
      <c r="BK16" s="337"/>
    </row>
    <row r="17" spans="2:63" ht="15" thickBot="1">
      <c r="B17" s="3026" t="s">
        <v>177</v>
      </c>
      <c r="C17" s="114" t="s">
        <v>2090</v>
      </c>
      <c r="D17" s="1505"/>
      <c r="E17" s="299"/>
      <c r="F17" s="299"/>
      <c r="G17" s="270"/>
      <c r="H17" s="270"/>
      <c r="I17" s="270"/>
      <c r="L17" s="109"/>
      <c r="O17" s="280"/>
      <c r="P17" s="110"/>
      <c r="Q17" s="286"/>
      <c r="S17" s="479"/>
      <c r="T17" s="479"/>
      <c r="U17" s="479"/>
      <c r="BD17" s="3026" t="s">
        <v>177</v>
      </c>
      <c r="BE17" s="114" t="s">
        <v>2090</v>
      </c>
      <c r="BF17" s="1505"/>
      <c r="BG17" s="299"/>
      <c r="BH17" s="299"/>
      <c r="BI17" s="270"/>
      <c r="BJ17" s="270"/>
      <c r="BK17" s="270"/>
    </row>
    <row r="18" spans="2:63" ht="15" customHeight="1">
      <c r="B18" s="288" t="s">
        <v>2074</v>
      </c>
      <c r="C18" s="273" t="s">
        <v>2055</v>
      </c>
      <c r="D18" s="273"/>
      <c r="E18" s="300" t="s">
        <v>51</v>
      </c>
      <c r="F18" s="275">
        <v>3</v>
      </c>
      <c r="G18" s="436"/>
      <c r="H18" s="437"/>
      <c r="I18" s="331">
        <f>+G18+H18</f>
        <v>0</v>
      </c>
      <c r="L18" s="24">
        <f t="shared" ref="L18:L20" si="4" xml:space="preserve"> IF( SUM( N18:R18 ) = 0, 0, O$5 )</f>
        <v>0</v>
      </c>
      <c r="O18" s="93">
        <f>IF( Validation!$H$3=1, 0, IF(Validation!$B$3 &lt;&gt; "Thames Water", 0, (IF(ISNUMBER(G18), 0, 1))))</f>
        <v>0</v>
      </c>
      <c r="P18" s="93">
        <f>IF( Validation!$H$3=1, 0, IF(Validation!$B$3 &lt;&gt; "Thames Water", 0, (IF(ISNUMBER(H18), 0, 1))))</f>
        <v>0</v>
      </c>
      <c r="Q18" s="127"/>
      <c r="S18" s="479"/>
      <c r="T18" s="479"/>
      <c r="U18" s="479"/>
      <c r="BD18" s="288" t="s">
        <v>2074</v>
      </c>
      <c r="BE18" s="273" t="s">
        <v>2055</v>
      </c>
      <c r="BF18" s="273"/>
      <c r="BG18" s="300" t="s">
        <v>51</v>
      </c>
      <c r="BH18" s="275">
        <v>3</v>
      </c>
      <c r="BI18" s="2605" t="s">
        <v>2091</v>
      </c>
      <c r="BJ18" s="2606" t="s">
        <v>2092</v>
      </c>
      <c r="BK18" s="331" t="s">
        <v>2093</v>
      </c>
    </row>
    <row r="19" spans="2:63" ht="15" customHeight="1">
      <c r="B19" s="289" t="s">
        <v>2078</v>
      </c>
      <c r="C19" s="277" t="s">
        <v>2060</v>
      </c>
      <c r="D19" s="277"/>
      <c r="E19" s="301" t="s">
        <v>51</v>
      </c>
      <c r="F19" s="279">
        <v>3</v>
      </c>
      <c r="G19" s="438"/>
      <c r="H19" s="439"/>
      <c r="I19" s="332">
        <f>+G19+H19</f>
        <v>0</v>
      </c>
      <c r="L19" s="24">
        <f t="shared" si="4"/>
        <v>0</v>
      </c>
      <c r="O19" s="93">
        <f>IF( Validation!$H$3=1, 0, IF(Validation!$B$3 &lt;&gt; "Thames Water", 0, (IF(ISNUMBER(G19), 0, 1))))</f>
        <v>0</v>
      </c>
      <c r="P19" s="93">
        <f>IF( Validation!$H$3=1, 0, IF(Validation!$B$3 &lt;&gt; "Thames Water", 0, (IF(ISNUMBER(H19), 0, 1))))</f>
        <v>0</v>
      </c>
      <c r="Q19" s="127"/>
      <c r="S19" s="479"/>
      <c r="T19" s="479"/>
      <c r="U19" s="479"/>
      <c r="BD19" s="289" t="s">
        <v>2078</v>
      </c>
      <c r="BE19" s="277" t="s">
        <v>2060</v>
      </c>
      <c r="BF19" s="277"/>
      <c r="BG19" s="301" t="s">
        <v>51</v>
      </c>
      <c r="BH19" s="279">
        <v>3</v>
      </c>
      <c r="BI19" s="2328" t="s">
        <v>2094</v>
      </c>
      <c r="BJ19" s="2607" t="s">
        <v>2095</v>
      </c>
      <c r="BK19" s="332" t="s">
        <v>2096</v>
      </c>
    </row>
    <row r="20" spans="2:63" ht="15" customHeight="1">
      <c r="B20" s="289" t="s">
        <v>2082</v>
      </c>
      <c r="C20" s="277" t="s">
        <v>2065</v>
      </c>
      <c r="D20" s="277"/>
      <c r="E20" s="301" t="s">
        <v>51</v>
      </c>
      <c r="F20" s="279">
        <v>3</v>
      </c>
      <c r="G20" s="438"/>
      <c r="H20" s="439"/>
      <c r="I20" s="332">
        <f>+G20+H20</f>
        <v>0</v>
      </c>
      <c r="L20" s="24">
        <f t="shared" si="4"/>
        <v>0</v>
      </c>
      <c r="O20" s="93">
        <f>IF( Validation!$H$3=1, 0, IF(Validation!$B$3 &lt;&gt; "Thames Water", 0, (IF(ISNUMBER(G20), 0, 1))))</f>
        <v>0</v>
      </c>
      <c r="P20" s="93">
        <f>IF( Validation!$H$3=1, 0, IF(Validation!$B$3 &lt;&gt; "Thames Water", 0, (IF(ISNUMBER(H20), 0, 1))))</f>
        <v>0</v>
      </c>
      <c r="Q20" s="127"/>
      <c r="S20" s="479"/>
      <c r="T20" s="479"/>
      <c r="U20" s="479"/>
      <c r="BD20" s="289" t="s">
        <v>2082</v>
      </c>
      <c r="BE20" s="277" t="s">
        <v>2065</v>
      </c>
      <c r="BF20" s="277"/>
      <c r="BG20" s="301" t="s">
        <v>51</v>
      </c>
      <c r="BH20" s="279">
        <v>3</v>
      </c>
      <c r="BI20" s="2328" t="s">
        <v>2097</v>
      </c>
      <c r="BJ20" s="2607" t="s">
        <v>2098</v>
      </c>
      <c r="BK20" s="332" t="s">
        <v>2099</v>
      </c>
    </row>
    <row r="21" spans="2:63" ht="15" customHeight="1" thickBot="1">
      <c r="B21" s="290" t="s">
        <v>2086</v>
      </c>
      <c r="C21" s="282" t="s">
        <v>710</v>
      </c>
      <c r="D21" s="282"/>
      <c r="E21" s="283" t="s">
        <v>51</v>
      </c>
      <c r="F21" s="284">
        <v>3</v>
      </c>
      <c r="G21" s="333">
        <f>SUM(G18:G20)</f>
        <v>0</v>
      </c>
      <c r="H21" s="334">
        <f>SUM(H18:H20)</f>
        <v>0</v>
      </c>
      <c r="I21" s="335">
        <f>SUM(I18:I20)</f>
        <v>0</v>
      </c>
      <c r="L21" s="109"/>
      <c r="O21" s="280"/>
      <c r="P21" s="110"/>
      <c r="Q21" s="286"/>
      <c r="S21" s="479"/>
      <c r="T21" s="479"/>
      <c r="U21" s="479"/>
      <c r="BD21" s="290" t="s">
        <v>2086</v>
      </c>
      <c r="BE21" s="282" t="s">
        <v>710</v>
      </c>
      <c r="BF21" s="282"/>
      <c r="BG21" s="283" t="s">
        <v>51</v>
      </c>
      <c r="BH21" s="284">
        <v>3</v>
      </c>
      <c r="BI21" s="333" t="s">
        <v>2100</v>
      </c>
      <c r="BJ21" s="334" t="s">
        <v>2101</v>
      </c>
      <c r="BK21" s="335" t="s">
        <v>2102</v>
      </c>
    </row>
    <row r="22" spans="2:63" ht="15" thickBot="1">
      <c r="B22" s="336"/>
      <c r="C22" s="267"/>
      <c r="D22" s="267"/>
      <c r="E22" s="269"/>
      <c r="F22" s="269"/>
      <c r="G22" s="337"/>
      <c r="H22" s="337"/>
      <c r="I22" s="337"/>
      <c r="L22" s="109"/>
      <c r="O22" s="280"/>
      <c r="P22" s="110"/>
      <c r="Q22" s="286"/>
      <c r="S22" s="479"/>
      <c r="T22" s="479"/>
      <c r="U22" s="479"/>
      <c r="BD22" s="336"/>
      <c r="BE22" s="267"/>
      <c r="BF22" s="267"/>
      <c r="BG22" s="269"/>
      <c r="BH22" s="269"/>
      <c r="BI22" s="337"/>
      <c r="BJ22" s="337"/>
      <c r="BK22" s="337"/>
    </row>
    <row r="23" spans="2:63" ht="15" customHeight="1" thickBot="1">
      <c r="B23" s="338" t="s">
        <v>2103</v>
      </c>
      <c r="C23" s="264" t="s">
        <v>2104</v>
      </c>
      <c r="D23" s="264"/>
      <c r="E23" s="339" t="s">
        <v>51</v>
      </c>
      <c r="F23" s="266">
        <v>3</v>
      </c>
      <c r="G23" s="340">
        <f>+G15+G9+G21</f>
        <v>748.84799999999996</v>
      </c>
      <c r="H23" s="341">
        <f t="shared" ref="H23" si="5">+H15+H9+H21</f>
        <v>232.36099999999999</v>
      </c>
      <c r="I23" s="342">
        <f>+I15+I9+I21</f>
        <v>981.20900000000006</v>
      </c>
      <c r="L23" s="109"/>
      <c r="O23" s="280"/>
      <c r="P23" s="110"/>
      <c r="Q23" s="286"/>
      <c r="S23" s="479"/>
      <c r="T23" s="479"/>
      <c r="U23" s="479"/>
      <c r="BD23" s="338" t="s">
        <v>2103</v>
      </c>
      <c r="BE23" s="264" t="s">
        <v>2104</v>
      </c>
      <c r="BF23" s="264"/>
      <c r="BG23" s="339" t="s">
        <v>51</v>
      </c>
      <c r="BH23" s="266">
        <v>3</v>
      </c>
      <c r="BI23" s="340" t="s">
        <v>2105</v>
      </c>
      <c r="BJ23" s="341" t="s">
        <v>2106</v>
      </c>
      <c r="BK23" s="342" t="s">
        <v>2107</v>
      </c>
    </row>
    <row r="24" spans="2:63" ht="15" thickBot="1">
      <c r="B24" s="141"/>
      <c r="E24" s="271"/>
      <c r="F24" s="271"/>
      <c r="G24" s="270"/>
      <c r="H24" s="270"/>
      <c r="I24" s="270"/>
      <c r="L24" s="109"/>
      <c r="O24" s="280"/>
      <c r="P24" s="110"/>
      <c r="Q24" s="286"/>
      <c r="S24" s="479"/>
      <c r="T24" s="479"/>
      <c r="U24" s="479"/>
      <c r="BD24" s="141"/>
      <c r="BG24" s="271"/>
      <c r="BH24" s="271"/>
      <c r="BI24" s="270"/>
      <c r="BJ24" s="270"/>
      <c r="BK24" s="270"/>
    </row>
    <row r="25" spans="2:63" ht="15" thickBot="1">
      <c r="B25" s="3026" t="s">
        <v>335</v>
      </c>
      <c r="C25" s="114" t="s">
        <v>2108</v>
      </c>
      <c r="D25" s="1505"/>
      <c r="E25" s="299"/>
      <c r="F25" s="299"/>
      <c r="G25" s="270"/>
      <c r="H25" s="270"/>
      <c r="I25" s="270"/>
      <c r="L25" s="109"/>
      <c r="O25" s="280"/>
      <c r="P25" s="110"/>
      <c r="Q25" s="286"/>
      <c r="S25" s="479"/>
      <c r="T25" s="479"/>
      <c r="U25" s="479"/>
      <c r="BD25" s="3026" t="s">
        <v>335</v>
      </c>
      <c r="BE25" s="114" t="s">
        <v>2108</v>
      </c>
      <c r="BF25" s="1505"/>
      <c r="BG25" s="299"/>
      <c r="BH25" s="299"/>
      <c r="BI25" s="270"/>
      <c r="BJ25" s="270"/>
      <c r="BK25" s="270"/>
    </row>
    <row r="26" spans="2:63" ht="15" customHeight="1">
      <c r="B26" s="288" t="s">
        <v>2109</v>
      </c>
      <c r="C26" s="273" t="s">
        <v>2055</v>
      </c>
      <c r="D26" s="273"/>
      <c r="E26" s="300" t="s">
        <v>51</v>
      </c>
      <c r="F26" s="275">
        <v>3</v>
      </c>
      <c r="G26" s="436">
        <v>26.702999999999999</v>
      </c>
      <c r="H26" s="437">
        <v>1.8029999999999999</v>
      </c>
      <c r="I26" s="331">
        <f>+G26+H26</f>
        <v>28.506</v>
      </c>
      <c r="L26" s="24">
        <f t="shared" ref="L26:L28" si="6" xml:space="preserve"> IF( SUM( N26:R26 ) = 0, 0, O$5 )</f>
        <v>0</v>
      </c>
      <c r="O26" s="93">
        <f t="shared" ref="O26:P28" si="7" xml:space="preserve"> IF( ISNUMBER( G26 ), 0, 1 )</f>
        <v>0</v>
      </c>
      <c r="P26" s="93">
        <f t="shared" si="7"/>
        <v>0</v>
      </c>
      <c r="Q26" s="127"/>
      <c r="S26" s="479"/>
      <c r="T26" s="479"/>
      <c r="U26" s="479"/>
      <c r="BD26" s="288" t="s">
        <v>2109</v>
      </c>
      <c r="BE26" s="273" t="s">
        <v>2055</v>
      </c>
      <c r="BF26" s="273"/>
      <c r="BG26" s="300" t="s">
        <v>51</v>
      </c>
      <c r="BH26" s="275">
        <v>3</v>
      </c>
      <c r="BI26" s="2605" t="s">
        <v>2110</v>
      </c>
      <c r="BJ26" s="2606" t="s">
        <v>2111</v>
      </c>
      <c r="BK26" s="331" t="s">
        <v>2112</v>
      </c>
    </row>
    <row r="27" spans="2:63" ht="15" customHeight="1">
      <c r="B27" s="289" t="s">
        <v>2113</v>
      </c>
      <c r="C27" s="277" t="s">
        <v>2060</v>
      </c>
      <c r="D27" s="277"/>
      <c r="E27" s="301" t="s">
        <v>51</v>
      </c>
      <c r="F27" s="279">
        <v>3</v>
      </c>
      <c r="G27" s="438">
        <v>39.351999999999997</v>
      </c>
      <c r="H27" s="439">
        <v>5.3789999999999996</v>
      </c>
      <c r="I27" s="332">
        <f>+G27+H27</f>
        <v>44.730999999999995</v>
      </c>
      <c r="L27" s="24">
        <f t="shared" si="6"/>
        <v>0</v>
      </c>
      <c r="O27" s="93">
        <f t="shared" si="7"/>
        <v>0</v>
      </c>
      <c r="P27" s="93">
        <f t="shared" si="7"/>
        <v>0</v>
      </c>
      <c r="Q27" s="127"/>
      <c r="S27" s="479"/>
      <c r="T27" s="479"/>
      <c r="U27" s="479"/>
      <c r="BD27" s="289" t="s">
        <v>2113</v>
      </c>
      <c r="BE27" s="277" t="s">
        <v>2060</v>
      </c>
      <c r="BF27" s="277"/>
      <c r="BG27" s="301" t="s">
        <v>51</v>
      </c>
      <c r="BH27" s="279">
        <v>3</v>
      </c>
      <c r="BI27" s="2328" t="s">
        <v>2114</v>
      </c>
      <c r="BJ27" s="2607" t="s">
        <v>2115</v>
      </c>
      <c r="BK27" s="332" t="s">
        <v>2116</v>
      </c>
    </row>
    <row r="28" spans="2:63" ht="15" customHeight="1">
      <c r="B28" s="289" t="s">
        <v>2117</v>
      </c>
      <c r="C28" s="277" t="s">
        <v>2118</v>
      </c>
      <c r="D28" s="277"/>
      <c r="E28" s="301" t="s">
        <v>51</v>
      </c>
      <c r="F28" s="279">
        <v>3</v>
      </c>
      <c r="G28" s="438">
        <v>0</v>
      </c>
      <c r="H28" s="439">
        <v>0.59699999999999998</v>
      </c>
      <c r="I28" s="332">
        <f>+G28+H28</f>
        <v>0.59699999999999998</v>
      </c>
      <c r="L28" s="24">
        <f t="shared" si="6"/>
        <v>0</v>
      </c>
      <c r="O28" s="93">
        <f t="shared" si="7"/>
        <v>0</v>
      </c>
      <c r="P28" s="93">
        <f t="shared" si="7"/>
        <v>0</v>
      </c>
      <c r="Q28" s="127"/>
      <c r="S28" s="479"/>
      <c r="T28" s="479"/>
      <c r="U28" s="479"/>
      <c r="BD28" s="289" t="s">
        <v>2117</v>
      </c>
      <c r="BE28" s="277" t="s">
        <v>2118</v>
      </c>
      <c r="BF28" s="277"/>
      <c r="BG28" s="301" t="s">
        <v>51</v>
      </c>
      <c r="BH28" s="279">
        <v>3</v>
      </c>
      <c r="BI28" s="2328" t="s">
        <v>2119</v>
      </c>
      <c r="BJ28" s="2607" t="s">
        <v>2120</v>
      </c>
      <c r="BK28" s="332" t="s">
        <v>2121</v>
      </c>
    </row>
    <row r="29" spans="2:63" ht="21.75" customHeight="1" thickBot="1">
      <c r="B29" s="290" t="s">
        <v>2122</v>
      </c>
      <c r="C29" s="282" t="s">
        <v>2123</v>
      </c>
      <c r="D29" s="282"/>
      <c r="E29" s="283" t="s">
        <v>51</v>
      </c>
      <c r="F29" s="284">
        <v>3</v>
      </c>
      <c r="G29" s="333">
        <f>SUM(G26:G28)</f>
        <v>66.054999999999993</v>
      </c>
      <c r="H29" s="334">
        <f>SUM(H26:H28)</f>
        <v>7.7789999999999999</v>
      </c>
      <c r="I29" s="335">
        <f>SUM(I26:I28)</f>
        <v>73.833999999999989</v>
      </c>
      <c r="J29" s="118"/>
      <c r="K29" s="1370">
        <f xml:space="preserve"> IF( SUM( R29:V29 ) = 0, 0, AC29 )</f>
        <v>0</v>
      </c>
      <c r="L29" s="109"/>
      <c r="M29" s="118"/>
      <c r="N29" s="124"/>
      <c r="O29" s="280"/>
      <c r="P29" s="110"/>
      <c r="Q29" s="286"/>
      <c r="R29" s="124"/>
      <c r="S29" s="93">
        <f xml:space="preserve"> IF( (W29 - X29) = 0, 0, 1 )</f>
        <v>0</v>
      </c>
      <c r="T29" s="479"/>
      <c r="U29" s="479"/>
      <c r="V29" s="124"/>
      <c r="W29" s="165">
        <f xml:space="preserve"> ROUND( I23 + I29, 3)</f>
        <v>1055.0429999999999</v>
      </c>
      <c r="X29" s="165">
        <f xml:space="preserve"> ROUND( '2A'!P6, 3)</f>
        <v>1055.0429999999999</v>
      </c>
      <c r="Y29" s="165"/>
      <c r="Z29" s="165"/>
      <c r="AA29" s="165"/>
      <c r="AB29" s="165"/>
      <c r="AC29" s="74" t="s">
        <v>2124</v>
      </c>
      <c r="AD29" s="124"/>
      <c r="BD29" s="290" t="s">
        <v>2122</v>
      </c>
      <c r="BE29" s="282" t="s">
        <v>2123</v>
      </c>
      <c r="BF29" s="282"/>
      <c r="BG29" s="283" t="s">
        <v>51</v>
      </c>
      <c r="BH29" s="284">
        <v>3</v>
      </c>
      <c r="BI29" s="333" t="s">
        <v>2125</v>
      </c>
      <c r="BJ29" s="334" t="s">
        <v>2126</v>
      </c>
      <c r="BK29" s="335" t="s">
        <v>2127</v>
      </c>
    </row>
    <row r="30" spans="2:63" ht="15" thickBot="1">
      <c r="B30" s="336"/>
      <c r="C30" s="267"/>
      <c r="D30" s="267"/>
      <c r="E30" s="269"/>
      <c r="F30" s="269"/>
      <c r="G30" s="343"/>
      <c r="H30" s="343"/>
      <c r="I30" s="343"/>
      <c r="J30" s="126"/>
      <c r="L30" s="201"/>
      <c r="M30" s="126"/>
      <c r="N30" s="119"/>
      <c r="O30" s="203"/>
      <c r="P30" s="163"/>
      <c r="Q30" s="318"/>
      <c r="R30" s="119"/>
      <c r="S30" s="479"/>
      <c r="T30" s="479"/>
      <c r="U30" s="479"/>
      <c r="V30" s="119"/>
      <c r="AD30" s="119"/>
      <c r="BD30" s="336"/>
      <c r="BE30" s="267"/>
      <c r="BF30" s="267"/>
      <c r="BG30" s="269"/>
      <c r="BH30" s="269"/>
      <c r="BI30" s="343"/>
      <c r="BJ30" s="343"/>
      <c r="BK30" s="343"/>
    </row>
    <row r="31" spans="2:63" ht="15" thickBot="1">
      <c r="B31" s="3026" t="s">
        <v>392</v>
      </c>
      <c r="C31" s="114" t="s">
        <v>2128</v>
      </c>
      <c r="D31" s="1505"/>
      <c r="E31" s="299"/>
      <c r="F31" s="299"/>
      <c r="G31" s="343"/>
      <c r="H31" s="343"/>
      <c r="I31" s="343"/>
      <c r="J31" s="126"/>
      <c r="L31" s="201"/>
      <c r="M31" s="126"/>
      <c r="N31" s="119"/>
      <c r="O31" s="203"/>
      <c r="P31" s="163"/>
      <c r="Q31" s="163"/>
      <c r="R31" s="119"/>
      <c r="S31" s="479"/>
      <c r="T31" s="479"/>
      <c r="U31" s="479"/>
      <c r="V31" s="119"/>
      <c r="AD31" s="119"/>
      <c r="BD31" s="3026" t="s">
        <v>392</v>
      </c>
      <c r="BE31" s="114" t="s">
        <v>2128</v>
      </c>
      <c r="BF31" s="1505"/>
      <c r="BG31" s="299"/>
      <c r="BH31" s="299"/>
      <c r="BI31" s="343"/>
      <c r="BJ31" s="343"/>
      <c r="BK31" s="343"/>
    </row>
    <row r="32" spans="2:63" ht="15" customHeight="1">
      <c r="B32" s="288" t="s">
        <v>2129</v>
      </c>
      <c r="C32" s="273" t="s">
        <v>2130</v>
      </c>
      <c r="D32" s="273"/>
      <c r="E32" s="300" t="s">
        <v>51</v>
      </c>
      <c r="F32" s="275">
        <v>3</v>
      </c>
      <c r="G32" s="343"/>
      <c r="H32" s="343"/>
      <c r="I32" s="440">
        <v>0.10100000000000001</v>
      </c>
      <c r="J32" s="126"/>
      <c r="L32" s="24">
        <f t="shared" ref="L32:L34" si="8" xml:space="preserve"> IF( SUM( N32:R32 ) = 0, 0, O$5 )</f>
        <v>0</v>
      </c>
      <c r="M32" s="126"/>
      <c r="N32" s="119"/>
      <c r="O32" s="203"/>
      <c r="P32" s="127"/>
      <c r="Q32" s="93">
        <f t="shared" ref="Q32:Q34" si="9" xml:space="preserve"> IF( ISNUMBER( I32 ), 0, 1 )</f>
        <v>0</v>
      </c>
      <c r="R32" s="119"/>
      <c r="S32" s="479"/>
      <c r="T32" s="479"/>
      <c r="U32" s="479"/>
      <c r="V32" s="119"/>
      <c r="AD32" s="119"/>
      <c r="BD32" s="288" t="s">
        <v>2129</v>
      </c>
      <c r="BE32" s="273" t="s">
        <v>2130</v>
      </c>
      <c r="BF32" s="273"/>
      <c r="BG32" s="300" t="s">
        <v>51</v>
      </c>
      <c r="BH32" s="275">
        <v>3</v>
      </c>
      <c r="BI32" s="343"/>
      <c r="BJ32" s="343"/>
      <c r="BK32" s="2390" t="s">
        <v>2131</v>
      </c>
    </row>
    <row r="33" spans="2:64" ht="15" customHeight="1">
      <c r="B33" s="289" t="s">
        <v>2132</v>
      </c>
      <c r="C33" s="277" t="s">
        <v>2133</v>
      </c>
      <c r="D33" s="277"/>
      <c r="E33" s="301" t="s">
        <v>51</v>
      </c>
      <c r="F33" s="279">
        <v>3</v>
      </c>
      <c r="G33" s="343"/>
      <c r="H33" s="343"/>
      <c r="I33" s="441">
        <v>0</v>
      </c>
      <c r="J33" s="126"/>
      <c r="L33" s="24">
        <f t="shared" si="8"/>
        <v>0</v>
      </c>
      <c r="M33" s="126"/>
      <c r="N33" s="119"/>
      <c r="O33" s="203"/>
      <c r="P33" s="127"/>
      <c r="Q33" s="93">
        <f>IF(Validation!$H$3=1,0,IF(ISNUMBER(I33),0,1))</f>
        <v>0</v>
      </c>
      <c r="R33" s="119"/>
      <c r="S33" s="479"/>
      <c r="T33" s="479"/>
      <c r="U33" s="479"/>
      <c r="V33" s="119"/>
      <c r="AD33" s="119"/>
      <c r="BD33" s="289" t="s">
        <v>2132</v>
      </c>
      <c r="BE33" s="277" t="s">
        <v>2133</v>
      </c>
      <c r="BF33" s="277"/>
      <c r="BG33" s="301" t="s">
        <v>51</v>
      </c>
      <c r="BH33" s="279">
        <v>3</v>
      </c>
      <c r="BI33" s="343"/>
      <c r="BJ33" s="343"/>
      <c r="BK33" s="2608" t="s">
        <v>2134</v>
      </c>
    </row>
    <row r="34" spans="2:64" ht="15" customHeight="1" thickBot="1">
      <c r="B34" s="290" t="s">
        <v>2135</v>
      </c>
      <c r="C34" s="282" t="s">
        <v>2118</v>
      </c>
      <c r="D34" s="282"/>
      <c r="E34" s="283" t="s">
        <v>51</v>
      </c>
      <c r="F34" s="284">
        <v>3</v>
      </c>
      <c r="G34" s="343"/>
      <c r="H34" s="343"/>
      <c r="I34" s="627">
        <v>1.4550000000000001</v>
      </c>
      <c r="J34" s="126"/>
      <c r="L34" s="24">
        <f t="shared" si="8"/>
        <v>0</v>
      </c>
      <c r="M34" s="126"/>
      <c r="N34" s="119"/>
      <c r="O34" s="203"/>
      <c r="P34" s="127"/>
      <c r="Q34" s="93">
        <f t="shared" si="9"/>
        <v>0</v>
      </c>
      <c r="R34" s="119"/>
      <c r="S34" s="127"/>
      <c r="T34" s="127"/>
      <c r="U34" s="127"/>
      <c r="V34" s="119"/>
      <c r="AD34" s="119"/>
      <c r="BD34" s="290" t="s">
        <v>2135</v>
      </c>
      <c r="BE34" s="282" t="s">
        <v>2118</v>
      </c>
      <c r="BF34" s="282"/>
      <c r="BG34" s="283" t="s">
        <v>51</v>
      </c>
      <c r="BH34" s="284">
        <v>3</v>
      </c>
      <c r="BI34" s="343"/>
      <c r="BJ34" s="343"/>
      <c r="BK34" s="2609" t="s">
        <v>2136</v>
      </c>
    </row>
    <row r="35" spans="2:64" ht="15" thickBot="1">
      <c r="B35" s="336"/>
      <c r="C35" s="267"/>
      <c r="D35" s="267"/>
      <c r="E35" s="269"/>
      <c r="F35" s="269"/>
      <c r="G35" s="343"/>
      <c r="H35" s="343"/>
      <c r="I35" s="343"/>
      <c r="J35" s="126"/>
      <c r="L35" s="201"/>
      <c r="M35" s="126"/>
      <c r="N35" s="119"/>
      <c r="O35" s="203"/>
      <c r="P35" s="163"/>
      <c r="Q35" s="318"/>
      <c r="R35" s="119"/>
      <c r="S35" s="479"/>
      <c r="T35" s="479"/>
      <c r="U35" s="479"/>
      <c r="V35" s="119"/>
      <c r="AD35" s="119"/>
      <c r="BD35" s="336"/>
      <c r="BE35" s="267"/>
      <c r="BF35" s="267"/>
      <c r="BG35" s="269"/>
      <c r="BH35" s="269"/>
      <c r="BI35" s="343"/>
      <c r="BJ35" s="343"/>
      <c r="BK35" s="343"/>
    </row>
    <row r="36" spans="2:64" ht="15" customHeight="1" thickBot="1">
      <c r="B36" s="3026" t="s">
        <v>466</v>
      </c>
      <c r="C36" s="114" t="s">
        <v>2137</v>
      </c>
      <c r="D36" s="1505"/>
      <c r="E36" s="299"/>
      <c r="F36" s="299"/>
      <c r="G36" s="343"/>
      <c r="H36" s="343"/>
      <c r="I36" s="343"/>
      <c r="J36" s="126"/>
      <c r="L36" s="24"/>
      <c r="M36" s="126"/>
      <c r="N36" s="119"/>
      <c r="O36" s="203"/>
      <c r="P36" s="127"/>
      <c r="Q36" s="127"/>
      <c r="R36" s="119"/>
      <c r="S36" s="479"/>
      <c r="T36" s="479"/>
      <c r="U36" s="479"/>
      <c r="V36" s="119"/>
      <c r="AD36" s="119"/>
      <c r="BD36" s="3026" t="s">
        <v>466</v>
      </c>
      <c r="BE36" s="114" t="s">
        <v>2137</v>
      </c>
      <c r="BF36" s="1505"/>
      <c r="BG36" s="299"/>
      <c r="BH36" s="299"/>
      <c r="BI36" s="343"/>
      <c r="BJ36" s="343"/>
      <c r="BK36" s="343"/>
    </row>
    <row r="37" spans="2:64" ht="15" customHeight="1" thickBot="1">
      <c r="B37" s="290" t="s">
        <v>2138</v>
      </c>
      <c r="C37" s="282" t="s">
        <v>2139</v>
      </c>
      <c r="D37" s="1506"/>
      <c r="E37" s="339" t="s">
        <v>51</v>
      </c>
      <c r="F37" s="266">
        <v>3</v>
      </c>
      <c r="G37" s="343"/>
      <c r="H37" s="343"/>
      <c r="I37" s="789">
        <v>0.61399999999999999</v>
      </c>
      <c r="J37" s="126"/>
      <c r="L37" s="24">
        <f t="shared" ref="L37" si="10" xml:space="preserve"> IF( SUM( N37:R37 ) = 0, 0, O$5 )</f>
        <v>0</v>
      </c>
      <c r="M37" s="126"/>
      <c r="N37" s="119"/>
      <c r="O37" s="203"/>
      <c r="P37" s="127"/>
      <c r="Q37" s="93">
        <f t="shared" ref="Q37" si="11" xml:space="preserve"> IF( ISNUMBER( I37 ), 0, 1 )</f>
        <v>0</v>
      </c>
      <c r="R37" s="119"/>
      <c r="S37" s="479"/>
      <c r="T37" s="479"/>
      <c r="U37" s="479"/>
      <c r="V37" s="119"/>
      <c r="AD37" s="119"/>
      <c r="BD37" s="290" t="s">
        <v>2138</v>
      </c>
      <c r="BE37" s="282" t="s">
        <v>2139</v>
      </c>
      <c r="BF37" s="1506"/>
      <c r="BG37" s="339" t="s">
        <v>51</v>
      </c>
      <c r="BH37" s="266">
        <v>3</v>
      </c>
      <c r="BI37" s="343"/>
      <c r="BJ37" s="343"/>
      <c r="BK37" s="2610" t="s">
        <v>2140</v>
      </c>
    </row>
    <row r="38" spans="2:64" ht="15" thickBot="1">
      <c r="B38" s="336"/>
      <c r="C38" s="267"/>
      <c r="D38" s="267"/>
      <c r="E38" s="269"/>
      <c r="F38" s="269"/>
      <c r="G38" s="343"/>
      <c r="H38" s="343"/>
      <c r="I38" s="343"/>
      <c r="J38" s="126"/>
      <c r="L38" s="201"/>
      <c r="M38" s="126"/>
      <c r="N38" s="119"/>
      <c r="O38" s="203"/>
      <c r="P38" s="163"/>
      <c r="Q38" s="318"/>
      <c r="R38" s="119"/>
      <c r="S38" s="479"/>
      <c r="T38" s="479"/>
      <c r="U38" s="479"/>
      <c r="V38" s="119"/>
      <c r="AD38" s="119"/>
      <c r="BD38" s="336"/>
      <c r="BE38" s="267"/>
      <c r="BF38" s="267"/>
      <c r="BG38" s="269"/>
      <c r="BH38" s="269"/>
      <c r="BI38" s="343"/>
      <c r="BJ38" s="343"/>
      <c r="BK38" s="343"/>
    </row>
    <row r="39" spans="2:64" ht="20.25" customHeight="1" thickBot="1">
      <c r="B39" s="338" t="s">
        <v>2141</v>
      </c>
      <c r="C39" s="264" t="s">
        <v>2142</v>
      </c>
      <c r="D39" s="264"/>
      <c r="E39" s="339" t="s">
        <v>51</v>
      </c>
      <c r="F39" s="266">
        <v>3</v>
      </c>
      <c r="G39" s="343"/>
      <c r="H39" s="343"/>
      <c r="I39" s="617">
        <f>+I23+I29+I32+I33+I34+I37</f>
        <v>1057.2130000000002</v>
      </c>
      <c r="J39" s="126"/>
      <c r="K39" s="1370">
        <f xml:space="preserve"> IF( SUM( R39:V39 ) = 0, 0, AC39 )</f>
        <v>0</v>
      </c>
      <c r="L39" s="74"/>
      <c r="M39" s="126"/>
      <c r="N39" s="119"/>
      <c r="O39" s="203"/>
      <c r="P39" s="163"/>
      <c r="Q39" s="163"/>
      <c r="R39" s="119"/>
      <c r="S39" s="93">
        <f xml:space="preserve"> IF( (W39 - X39) = 0, 0, 1 )</f>
        <v>0</v>
      </c>
      <c r="T39" s="479"/>
      <c r="U39" s="479"/>
      <c r="V39" s="119"/>
      <c r="W39" s="165">
        <f xml:space="preserve"> ROUND(I39, 3)</f>
        <v>1057.213</v>
      </c>
      <c r="X39" s="165">
        <f xml:space="preserve"> ROUND( '1A'!K6, 3)</f>
        <v>1057.213</v>
      </c>
      <c r="Y39" s="165"/>
      <c r="Z39" s="165"/>
      <c r="AA39" s="165"/>
      <c r="AB39" s="165"/>
      <c r="AC39" s="74" t="s">
        <v>2143</v>
      </c>
      <c r="AD39" s="119"/>
      <c r="BD39" s="338" t="s">
        <v>2141</v>
      </c>
      <c r="BE39" s="264" t="s">
        <v>2142</v>
      </c>
      <c r="BF39" s="264"/>
      <c r="BG39" s="339" t="s">
        <v>51</v>
      </c>
      <c r="BH39" s="266">
        <v>3</v>
      </c>
      <c r="BI39" s="343"/>
      <c r="BJ39" s="343"/>
      <c r="BK39" s="617" t="s">
        <v>2144</v>
      </c>
    </row>
    <row r="40" spans="2:64">
      <c r="B40" s="336"/>
      <c r="C40" s="267"/>
      <c r="D40" s="267"/>
      <c r="E40" s="269"/>
      <c r="F40" s="269"/>
      <c r="G40" s="262"/>
      <c r="H40" s="262"/>
      <c r="I40" s="262"/>
      <c r="J40" s="126"/>
      <c r="L40" s="74"/>
      <c r="M40" s="126"/>
      <c r="N40" s="119"/>
      <c r="O40" s="203"/>
      <c r="P40" s="163"/>
      <c r="Q40" s="163"/>
      <c r="R40" s="119"/>
      <c r="S40" s="479"/>
      <c r="T40" s="479"/>
      <c r="U40" s="479"/>
      <c r="V40" s="119"/>
      <c r="AD40" s="119"/>
      <c r="BD40" s="336"/>
      <c r="BE40" s="267"/>
      <c r="BF40" s="267"/>
      <c r="BG40" s="269"/>
      <c r="BH40" s="269"/>
      <c r="BI40" s="262"/>
      <c r="BJ40" s="262"/>
      <c r="BK40" s="262"/>
    </row>
    <row r="41" spans="2:64" ht="15" thickBot="1">
      <c r="B41" s="336"/>
      <c r="C41" s="267"/>
      <c r="D41" s="267"/>
      <c r="E41" s="269"/>
      <c r="F41" s="269"/>
      <c r="G41" s="262"/>
      <c r="H41" s="262"/>
      <c r="I41" s="262"/>
      <c r="J41" s="130"/>
      <c r="L41" s="74"/>
      <c r="M41" s="126"/>
      <c r="N41" s="119"/>
      <c r="O41" s="302"/>
      <c r="P41" s="178"/>
      <c r="Q41" s="178"/>
      <c r="R41" s="119"/>
      <c r="S41" s="479"/>
      <c r="T41" s="479"/>
      <c r="U41" s="479"/>
      <c r="V41" s="119"/>
      <c r="AD41" s="119"/>
      <c r="BD41" s="336"/>
      <c r="BE41" s="267"/>
      <c r="BF41" s="267"/>
      <c r="BG41" s="269"/>
      <c r="BH41" s="269"/>
      <c r="BI41" s="262"/>
      <c r="BJ41" s="262"/>
      <c r="BK41" s="262"/>
    </row>
    <row r="42" spans="2:64" ht="15" thickBot="1">
      <c r="B42" s="270"/>
      <c r="C42" s="267"/>
      <c r="D42" s="267"/>
      <c r="E42" s="269"/>
      <c r="F42" s="269"/>
      <c r="G42" s="328" t="s">
        <v>1628</v>
      </c>
      <c r="H42" s="329" t="s">
        <v>1629</v>
      </c>
      <c r="I42" s="329" t="s">
        <v>913</v>
      </c>
      <c r="J42" s="345" t="s">
        <v>710</v>
      </c>
      <c r="L42" s="74"/>
      <c r="M42" s="126"/>
      <c r="N42" s="119"/>
      <c r="O42" s="302"/>
      <c r="P42" s="178"/>
      <c r="Q42" s="178"/>
      <c r="R42" s="119"/>
      <c r="S42" s="479"/>
      <c r="T42" s="479"/>
      <c r="U42" s="479"/>
      <c r="V42" s="119"/>
      <c r="AD42" s="119"/>
      <c r="BD42" s="270"/>
      <c r="BE42" s="267"/>
      <c r="BF42" s="267"/>
      <c r="BG42" s="269"/>
      <c r="BH42" s="269"/>
      <c r="BI42" s="328" t="s">
        <v>1628</v>
      </c>
      <c r="BJ42" s="329" t="s">
        <v>1629</v>
      </c>
      <c r="BK42" s="329" t="s">
        <v>913</v>
      </c>
      <c r="BL42" s="345" t="s">
        <v>710</v>
      </c>
    </row>
    <row r="43" spans="2:64" ht="15" thickBot="1">
      <c r="B43" s="270"/>
      <c r="C43" s="267"/>
      <c r="D43" s="267"/>
      <c r="E43" s="267"/>
      <c r="F43" s="267"/>
      <c r="G43" s="267"/>
      <c r="H43" s="267"/>
      <c r="I43" s="267"/>
      <c r="J43" s="267"/>
      <c r="L43" s="74"/>
      <c r="M43" s="118"/>
      <c r="N43" s="124"/>
      <c r="O43" s="280"/>
      <c r="P43" s="110"/>
      <c r="Q43" s="110"/>
      <c r="R43" s="124"/>
      <c r="S43" s="479"/>
      <c r="T43" s="479"/>
      <c r="U43" s="479"/>
      <c r="V43" s="124"/>
      <c r="AD43" s="124"/>
      <c r="BD43" s="270"/>
      <c r="BE43" s="267"/>
      <c r="BF43" s="267"/>
      <c r="BG43" s="267"/>
      <c r="BH43" s="267"/>
      <c r="BI43" s="267"/>
      <c r="BJ43" s="267"/>
      <c r="BK43" s="267"/>
      <c r="BL43" s="267"/>
    </row>
    <row r="44" spans="2:64" ht="15" customHeight="1">
      <c r="B44" s="288" t="s">
        <v>2145</v>
      </c>
      <c r="C44" s="273" t="s">
        <v>2146</v>
      </c>
      <c r="D44" s="273"/>
      <c r="E44" s="300" t="s">
        <v>51</v>
      </c>
      <c r="F44" s="275">
        <v>3</v>
      </c>
      <c r="G44" s="742">
        <f>+I9</f>
        <v>437.77800000000002</v>
      </c>
      <c r="H44" s="675">
        <f>+I15</f>
        <v>543.43100000000004</v>
      </c>
      <c r="I44" s="675">
        <f>+I21</f>
        <v>0</v>
      </c>
      <c r="J44" s="331">
        <f>+I23</f>
        <v>981.20900000000006</v>
      </c>
      <c r="L44" s="74"/>
      <c r="M44" s="118"/>
      <c r="N44" s="124"/>
      <c r="O44" s="280"/>
      <c r="P44" s="110"/>
      <c r="Q44" s="110"/>
      <c r="R44" s="124"/>
      <c r="S44" s="479"/>
      <c r="T44" s="479"/>
      <c r="U44" s="479"/>
      <c r="V44" s="124"/>
      <c r="AD44" s="124"/>
      <c r="BD44" s="288" t="s">
        <v>2145</v>
      </c>
      <c r="BE44" s="273" t="s">
        <v>2146</v>
      </c>
      <c r="BF44" s="273"/>
      <c r="BG44" s="300" t="s">
        <v>51</v>
      </c>
      <c r="BH44" s="275">
        <v>3</v>
      </c>
      <c r="BI44" s="742" t="s">
        <v>2147</v>
      </c>
      <c r="BJ44" s="675" t="s">
        <v>2148</v>
      </c>
      <c r="BK44" s="675" t="s">
        <v>2149</v>
      </c>
      <c r="BL44" s="331" t="s">
        <v>2150</v>
      </c>
    </row>
    <row r="45" spans="2:64" ht="57.2" customHeight="1">
      <c r="B45" s="289" t="s">
        <v>2151</v>
      </c>
      <c r="C45" s="277" t="s">
        <v>2152</v>
      </c>
      <c r="D45" s="277"/>
      <c r="E45" s="301" t="s">
        <v>51</v>
      </c>
      <c r="F45" s="279">
        <v>3</v>
      </c>
      <c r="G45" s="438">
        <f>SUM('2E'!J7:J10)</f>
        <v>13.65</v>
      </c>
      <c r="H45" s="673">
        <f>SUM('2E'!J19:J21)</f>
        <v>8.2679999999999989</v>
      </c>
      <c r="I45" s="673"/>
      <c r="J45" s="332">
        <f>G45+H45+I45</f>
        <v>21.917999999999999</v>
      </c>
      <c r="K45" s="1370" t="str">
        <f xml:space="preserve"> IF( SUM( R45:V45 ) = 0, 0, AC45 )</f>
        <v xml:space="preserve">Line 2I.20 should equal the sum of lines 2E.1, 2E.2, 2E.3 and 2E.4 (column 4) for water and lines 2E.9, 2E.10 and 2E.11 (column 4) for wastewater and lines 2E.9, 2E.10 and 2E.11 (column 4) for TTT. </v>
      </c>
      <c r="L45" s="24">
        <f t="shared" ref="L45" si="12" xml:space="preserve"> IF( SUM( N45:R45 ) = 0, 0, O$5 )</f>
        <v>0</v>
      </c>
      <c r="O45" s="93">
        <f xml:space="preserve"> IF( ISNUMBER( G45 ), 0, 1 )</f>
        <v>0</v>
      </c>
      <c r="P45" s="93">
        <f>IF(Validation!$H$3=1,0,IF(ISNUMBER(H45),0,1))</f>
        <v>0</v>
      </c>
      <c r="Q45" s="93">
        <f>IF( Validation!$H$3=1, 0, IF(Validation!$B$3 &lt;&gt; "Thames Water", 0, (IF(ISNUMBER(I45), 0, 1))))</f>
        <v>0</v>
      </c>
      <c r="S45" s="93">
        <f xml:space="preserve"> IF( (W45 - X45) = 0, 0, 1 )</f>
        <v>0</v>
      </c>
      <c r="T45" s="93">
        <f xml:space="preserve"> IF( (Y45 - Z45) = 0, 0, 1 )</f>
        <v>1</v>
      </c>
      <c r="U45" s="93">
        <f xml:space="preserve"> IF( (AA45 - AB45) = 0, 0, 1 )</f>
        <v>0</v>
      </c>
      <c r="V45" s="119"/>
      <c r="W45" s="165">
        <f xml:space="preserve"> ROUND(G45, 3)</f>
        <v>13.65</v>
      </c>
      <c r="X45" s="165">
        <f>SUM('2E'!J7:J10)</f>
        <v>13.65</v>
      </c>
      <c r="Y45" s="165">
        <f xml:space="preserve"> ROUND(H45, 3)</f>
        <v>8.2680000000000007</v>
      </c>
      <c r="Z45" s="165">
        <f>SUM('2E'!J19:J21)</f>
        <v>8.2679999999999989</v>
      </c>
      <c r="AA45" s="165">
        <f xml:space="preserve"> ROUND(I45, 3)</f>
        <v>0</v>
      </c>
      <c r="AB45" s="165">
        <f>SUM('2E'!J30:J32)</f>
        <v>0</v>
      </c>
      <c r="AC45" s="74" t="s">
        <v>2153</v>
      </c>
      <c r="AD45" s="124"/>
      <c r="BD45" s="289" t="s">
        <v>2151</v>
      </c>
      <c r="BE45" s="277" t="s">
        <v>2152</v>
      </c>
      <c r="BF45" s="277"/>
      <c r="BG45" s="301" t="s">
        <v>51</v>
      </c>
      <c r="BH45" s="279">
        <v>3</v>
      </c>
      <c r="BI45" s="2328" t="s">
        <v>2154</v>
      </c>
      <c r="BJ45" s="2611" t="s">
        <v>2155</v>
      </c>
      <c r="BK45" s="2611" t="s">
        <v>2156</v>
      </c>
      <c r="BL45" s="332" t="s">
        <v>2157</v>
      </c>
    </row>
    <row r="46" spans="2:64" ht="15" customHeight="1" thickBot="1">
      <c r="B46" s="290" t="s">
        <v>2158</v>
      </c>
      <c r="C46" s="282" t="s">
        <v>2159</v>
      </c>
      <c r="D46" s="282"/>
      <c r="E46" s="283" t="s">
        <v>51</v>
      </c>
      <c r="F46" s="284">
        <v>3</v>
      </c>
      <c r="G46" s="333">
        <f>+G44+G45</f>
        <v>451.428</v>
      </c>
      <c r="H46" s="674">
        <f>+H44+H45</f>
        <v>551.69900000000007</v>
      </c>
      <c r="I46" s="674">
        <f>+I44+I45</f>
        <v>0</v>
      </c>
      <c r="J46" s="335">
        <f>+J44+J45</f>
        <v>1003.1270000000001</v>
      </c>
      <c r="L46" s="74"/>
      <c r="M46" s="118"/>
      <c r="N46" s="124"/>
      <c r="O46" s="280"/>
      <c r="P46" s="280"/>
      <c r="Q46" s="178"/>
      <c r="R46" s="124"/>
      <c r="S46" s="110"/>
      <c r="T46" s="110"/>
      <c r="U46" s="110"/>
      <c r="V46" s="124"/>
      <c r="AD46" s="124"/>
      <c r="BD46" s="290" t="s">
        <v>2158</v>
      </c>
      <c r="BE46" s="282" t="s">
        <v>2159</v>
      </c>
      <c r="BF46" s="282"/>
      <c r="BG46" s="283" t="s">
        <v>51</v>
      </c>
      <c r="BH46" s="284">
        <v>3</v>
      </c>
      <c r="BI46" s="333" t="s">
        <v>2160</v>
      </c>
      <c r="BJ46" s="674" t="s">
        <v>2161</v>
      </c>
      <c r="BK46" s="674" t="s">
        <v>2162</v>
      </c>
      <c r="BL46" s="335" t="s">
        <v>2163</v>
      </c>
    </row>
    <row r="47" spans="2:64" ht="15" thickBot="1">
      <c r="B47" s="270"/>
      <c r="C47" s="267"/>
      <c r="D47" s="267"/>
      <c r="E47" s="267"/>
      <c r="F47" s="267"/>
      <c r="G47" s="267"/>
      <c r="H47" s="267"/>
      <c r="I47" s="267"/>
      <c r="J47" s="267"/>
      <c r="L47" s="74"/>
      <c r="M47" s="118"/>
      <c r="N47" s="124"/>
      <c r="O47" s="280"/>
      <c r="P47" s="280"/>
      <c r="Q47" s="110"/>
      <c r="R47" s="124"/>
      <c r="S47" s="479"/>
      <c r="T47" s="479"/>
      <c r="U47" s="479"/>
      <c r="V47" s="124"/>
      <c r="AD47" s="124"/>
      <c r="BD47" s="270"/>
      <c r="BE47" s="267"/>
      <c r="BF47" s="267"/>
      <c r="BG47" s="267"/>
      <c r="BH47" s="267"/>
      <c r="BI47" s="1653"/>
      <c r="BJ47" s="1653"/>
      <c r="BK47" s="267"/>
      <c r="BL47" s="267"/>
    </row>
    <row r="48" spans="2:64" ht="15" customHeight="1">
      <c r="B48" s="288" t="s">
        <v>2164</v>
      </c>
      <c r="C48" s="273" t="s">
        <v>2165</v>
      </c>
      <c r="D48" s="273"/>
      <c r="E48" s="300" t="s">
        <v>51</v>
      </c>
      <c r="F48" s="275">
        <v>3</v>
      </c>
      <c r="G48" s="436">
        <v>464.67014523756939</v>
      </c>
      <c r="H48" s="437">
        <v>567.88108720268428</v>
      </c>
      <c r="I48" s="437"/>
      <c r="J48" s="331">
        <f>G48+H48+I48</f>
        <v>1032.5512324402537</v>
      </c>
      <c r="L48" s="24">
        <f t="shared" ref="L48:L50" si="13" xml:space="preserve"> IF( SUM( N48:R48 ) = 0, 0, O$5 )</f>
        <v>0</v>
      </c>
      <c r="O48" s="93">
        <f t="shared" ref="O48" si="14" xml:space="preserve"> IF( ISNUMBER( G48 ), 0, 1 )</f>
        <v>0</v>
      </c>
      <c r="P48" s="93">
        <f>IF(Validation!$H$3=1,0,IF(ISNUMBER(H48),0,1))</f>
        <v>0</v>
      </c>
      <c r="Q48" s="93">
        <f>IF( Validation!$H$3=1, 0, IF(Validation!$B$3 &lt;&gt; "Thames Water", 0, (IF(ISNUMBER(I48), 0, 1))))</f>
        <v>0</v>
      </c>
      <c r="V48" s="124"/>
      <c r="AD48" s="124"/>
      <c r="BD48" s="288" t="s">
        <v>2164</v>
      </c>
      <c r="BE48" s="273" t="s">
        <v>2165</v>
      </c>
      <c r="BF48" s="273"/>
      <c r="BG48" s="300" t="s">
        <v>51</v>
      </c>
      <c r="BH48" s="275">
        <v>3</v>
      </c>
      <c r="BI48" s="2605" t="s">
        <v>2166</v>
      </c>
      <c r="BJ48" s="2606" t="s">
        <v>2167</v>
      </c>
      <c r="BK48" s="2606" t="s">
        <v>2168</v>
      </c>
      <c r="BL48" s="331" t="s">
        <v>2169</v>
      </c>
    </row>
    <row r="49" spans="1:64" ht="15" customHeight="1">
      <c r="B49" s="625" t="s">
        <v>2170</v>
      </c>
      <c r="C49" s="626" t="s">
        <v>2171</v>
      </c>
      <c r="D49" s="626"/>
      <c r="E49" s="301" t="s">
        <v>51</v>
      </c>
      <c r="F49" s="279">
        <v>3</v>
      </c>
      <c r="G49" s="853">
        <v>0</v>
      </c>
      <c r="H49" s="439">
        <v>0</v>
      </c>
      <c r="I49" s="439"/>
      <c r="J49" s="332">
        <f t="shared" ref="J49:J51" si="15">G49+H49+I49</f>
        <v>0</v>
      </c>
      <c r="L49" s="24">
        <f t="shared" si="13"/>
        <v>0</v>
      </c>
      <c r="O49" s="93">
        <f t="shared" ref="O49:O50" si="16" xml:space="preserve"> IF( ISNUMBER( G49 ), 0, 1 )</f>
        <v>0</v>
      </c>
      <c r="P49" s="93">
        <f>IF(Validation!$H$3=1,0,IF(ISNUMBER(H49),0,1))</f>
        <v>0</v>
      </c>
      <c r="Q49" s="93">
        <f>IF( Validation!$H$3=1, 0, IF(Validation!$B$3 &lt;&gt; "Thames Water", 0, (IF(ISNUMBER(I49), 0, 1))))</f>
        <v>0</v>
      </c>
      <c r="V49" s="124"/>
      <c r="AD49" s="124"/>
      <c r="BD49" s="625" t="s">
        <v>2170</v>
      </c>
      <c r="BE49" s="626" t="s">
        <v>2171</v>
      </c>
      <c r="BF49" s="626"/>
      <c r="BG49" s="301" t="s">
        <v>51</v>
      </c>
      <c r="BH49" s="279">
        <v>3</v>
      </c>
      <c r="BI49" s="2612" t="s">
        <v>2172</v>
      </c>
      <c r="BJ49" s="2607" t="s">
        <v>2173</v>
      </c>
      <c r="BK49" s="2607" t="s">
        <v>2174</v>
      </c>
      <c r="BL49" s="332" t="s">
        <v>2175</v>
      </c>
    </row>
    <row r="50" spans="1:64" ht="15" customHeight="1">
      <c r="B50" s="625" t="s">
        <v>2176</v>
      </c>
      <c r="C50" s="626" t="s">
        <v>2177</v>
      </c>
      <c r="D50" s="626"/>
      <c r="E50" s="301" t="s">
        <v>51</v>
      </c>
      <c r="F50" s="279">
        <v>3</v>
      </c>
      <c r="G50" s="853">
        <v>-3.4379654357674996</v>
      </c>
      <c r="H50" s="439">
        <v>6.9649999999999999</v>
      </c>
      <c r="I50" s="439"/>
      <c r="J50" s="332">
        <f t="shared" si="15"/>
        <v>3.5270345642325003</v>
      </c>
      <c r="L50" s="24">
        <f t="shared" si="13"/>
        <v>0</v>
      </c>
      <c r="O50" s="93">
        <f t="shared" si="16"/>
        <v>0</v>
      </c>
      <c r="P50" s="93">
        <f>IF(Validation!$H$3=1,0,IF(ISNUMBER(H50),0,1))</f>
        <v>0</v>
      </c>
      <c r="Q50" s="93">
        <f>IF( Validation!$H$3=1, 0, IF(Validation!$B$3 &lt;&gt; "Thames Water", 0, (IF(ISNUMBER(I50), 0, 1))))</f>
        <v>0</v>
      </c>
      <c r="V50" s="124"/>
      <c r="AD50" s="124"/>
      <c r="BD50" s="625" t="s">
        <v>2176</v>
      </c>
      <c r="BE50" s="626" t="s">
        <v>2177</v>
      </c>
      <c r="BF50" s="626"/>
      <c r="BG50" s="301" t="s">
        <v>51</v>
      </c>
      <c r="BH50" s="279">
        <v>3</v>
      </c>
      <c r="BI50" s="2612" t="s">
        <v>2178</v>
      </c>
      <c r="BJ50" s="2607" t="s">
        <v>2179</v>
      </c>
      <c r="BK50" s="2607" t="s">
        <v>2180</v>
      </c>
      <c r="BL50" s="332" t="s">
        <v>2181</v>
      </c>
    </row>
    <row r="51" spans="1:64" ht="15" customHeight="1" thickBot="1">
      <c r="B51" s="290" t="s">
        <v>2182</v>
      </c>
      <c r="C51" s="282" t="s">
        <v>2183</v>
      </c>
      <c r="D51" s="282"/>
      <c r="E51" s="283" t="s">
        <v>51</v>
      </c>
      <c r="F51" s="284">
        <v>3</v>
      </c>
      <c r="G51" s="333">
        <f>SUM(G48:G50)</f>
        <v>461.23217980180186</v>
      </c>
      <c r="H51" s="334">
        <f>SUM(H48:H50)</f>
        <v>574.84608720268432</v>
      </c>
      <c r="I51" s="334">
        <f>SUM(I48:I50)</f>
        <v>0</v>
      </c>
      <c r="J51" s="335">
        <f t="shared" si="15"/>
        <v>1036.0782670044862</v>
      </c>
      <c r="L51" s="120"/>
      <c r="O51" s="127"/>
      <c r="P51" s="127"/>
      <c r="Q51" s="178"/>
      <c r="V51" s="124"/>
      <c r="AD51" s="124"/>
      <c r="BD51" s="290" t="s">
        <v>2182</v>
      </c>
      <c r="BE51" s="282" t="s">
        <v>2183</v>
      </c>
      <c r="BF51" s="282"/>
      <c r="BG51" s="283" t="s">
        <v>51</v>
      </c>
      <c r="BH51" s="284">
        <v>3</v>
      </c>
      <c r="BI51" s="333" t="s">
        <v>2184</v>
      </c>
      <c r="BJ51" s="334" t="s">
        <v>2185</v>
      </c>
      <c r="BK51" s="334" t="s">
        <v>2186</v>
      </c>
      <c r="BL51" s="335" t="s">
        <v>2187</v>
      </c>
    </row>
    <row r="52" spans="1:64" ht="15" thickBot="1">
      <c r="B52" s="270"/>
      <c r="C52" s="267"/>
      <c r="D52" s="267"/>
      <c r="E52" s="267"/>
      <c r="F52" s="267"/>
      <c r="G52" s="267"/>
      <c r="H52" s="267"/>
      <c r="I52" s="267"/>
      <c r="J52" s="267"/>
      <c r="L52" s="74"/>
      <c r="M52" s="118"/>
      <c r="N52" s="124"/>
      <c r="O52" s="280"/>
      <c r="P52" s="110"/>
      <c r="Q52" s="110"/>
      <c r="R52" s="124"/>
      <c r="S52" s="479"/>
      <c r="T52" s="479"/>
      <c r="U52" s="479"/>
      <c r="V52" s="124"/>
      <c r="AD52" s="124"/>
      <c r="BD52" s="270"/>
      <c r="BE52" s="267"/>
      <c r="BF52" s="267"/>
      <c r="BG52" s="267"/>
      <c r="BH52" s="267"/>
      <c r="BI52" s="1653"/>
      <c r="BJ52" s="1653"/>
      <c r="BK52" s="267"/>
      <c r="BL52" s="267"/>
    </row>
    <row r="53" spans="1:64" ht="15" customHeight="1" thickBot="1">
      <c r="B53" s="338" t="s">
        <v>2188</v>
      </c>
      <c r="C53" s="264" t="s">
        <v>2189</v>
      </c>
      <c r="D53" s="264"/>
      <c r="E53" s="339" t="s">
        <v>51</v>
      </c>
      <c r="F53" s="266">
        <v>3</v>
      </c>
      <c r="G53" s="340">
        <f>+G46-G51</f>
        <v>-9.8041798018018653</v>
      </c>
      <c r="H53" s="341">
        <f>+H46-H51</f>
        <v>-23.147087202684247</v>
      </c>
      <c r="I53" s="341">
        <f>+I46-I51</f>
        <v>0</v>
      </c>
      <c r="J53" s="342">
        <f>+J46-J51</f>
        <v>-32.951267004486112</v>
      </c>
      <c r="L53" s="120"/>
      <c r="M53" s="118"/>
      <c r="N53" s="124"/>
      <c r="O53" s="285"/>
      <c r="P53" s="628"/>
      <c r="Q53" s="178"/>
      <c r="R53" s="124"/>
      <c r="V53" s="124"/>
      <c r="AD53" s="124"/>
      <c r="BD53" s="338" t="s">
        <v>2188</v>
      </c>
      <c r="BE53" s="264" t="s">
        <v>2189</v>
      </c>
      <c r="BF53" s="264"/>
      <c r="BG53" s="339" t="s">
        <v>51</v>
      </c>
      <c r="BH53" s="266">
        <v>3</v>
      </c>
      <c r="BI53" s="340" t="s">
        <v>2190</v>
      </c>
      <c r="BJ53" s="341" t="s">
        <v>2191</v>
      </c>
      <c r="BK53" s="341" t="s">
        <v>2192</v>
      </c>
      <c r="BL53" s="342" t="s">
        <v>2193</v>
      </c>
    </row>
    <row r="54" spans="1:64" s="70" customFormat="1">
      <c r="J54" s="349"/>
      <c r="K54" s="74"/>
      <c r="L54" s="120"/>
      <c r="M54" s="118"/>
      <c r="N54" s="124"/>
      <c r="O54" s="280"/>
      <c r="P54" s="120"/>
      <c r="Q54" s="178"/>
      <c r="R54" s="124"/>
      <c r="S54" s="74"/>
      <c r="T54" s="74"/>
      <c r="U54" s="74"/>
      <c r="V54" s="124"/>
      <c r="AD54" s="124"/>
    </row>
    <row r="55" spans="1:64" s="163" customFormat="1">
      <c r="B55" s="3077" t="s">
        <v>243</v>
      </c>
      <c r="C55" s="3077"/>
      <c r="D55" s="2988"/>
      <c r="J55" s="349"/>
      <c r="K55" s="74"/>
      <c r="L55" s="120"/>
      <c r="M55" s="118"/>
      <c r="N55" s="124"/>
      <c r="O55" s="280"/>
      <c r="P55" s="120"/>
      <c r="Q55" s="178"/>
      <c r="R55" s="124"/>
      <c r="S55" s="74"/>
      <c r="T55" s="74"/>
      <c r="U55" s="74"/>
      <c r="V55" s="124"/>
      <c r="AD55" s="124"/>
    </row>
    <row r="56" spans="1:64" s="163" customFormat="1">
      <c r="B56" s="141"/>
      <c r="C56" s="142"/>
      <c r="D56" s="142"/>
      <c r="J56" s="349"/>
      <c r="K56" s="74"/>
      <c r="L56" s="120"/>
      <c r="M56" s="118"/>
      <c r="N56" s="124"/>
      <c r="O56" s="280"/>
      <c r="P56" s="120"/>
      <c r="Q56" s="120"/>
      <c r="R56" s="124"/>
      <c r="S56" s="74"/>
      <c r="T56" s="74"/>
      <c r="U56" s="74"/>
      <c r="V56" s="124"/>
      <c r="AD56" s="124"/>
    </row>
    <row r="57" spans="1:64" s="163" customFormat="1">
      <c r="B57" s="25"/>
      <c r="C57" s="143" t="s">
        <v>190</v>
      </c>
      <c r="D57" s="143"/>
      <c r="J57" s="321"/>
      <c r="K57" s="74"/>
      <c r="L57" s="70"/>
      <c r="M57" s="70"/>
      <c r="N57" s="71"/>
      <c r="O57" s="70"/>
      <c r="P57" s="70"/>
      <c r="Q57" s="70"/>
      <c r="R57" s="71"/>
      <c r="S57" s="74"/>
      <c r="T57" s="74"/>
      <c r="U57" s="74"/>
      <c r="V57" s="71"/>
      <c r="AD57" s="71"/>
    </row>
    <row r="58" spans="1:64" s="163" customFormat="1">
      <c r="B58" s="141"/>
      <c r="C58" s="142"/>
      <c r="D58" s="142"/>
      <c r="J58" s="320"/>
      <c r="K58" s="74"/>
      <c r="L58" s="70"/>
      <c r="M58" s="70"/>
      <c r="N58" s="71"/>
      <c r="O58" s="70"/>
      <c r="P58" s="70"/>
      <c r="Q58" s="70"/>
      <c r="R58" s="71"/>
      <c r="S58" s="74"/>
      <c r="T58" s="74"/>
      <c r="U58" s="74"/>
      <c r="V58" s="71"/>
      <c r="AD58" s="71"/>
    </row>
    <row r="59" spans="1:64" s="163" customFormat="1">
      <c r="B59" s="144"/>
      <c r="C59" s="143" t="s">
        <v>191</v>
      </c>
      <c r="D59" s="143"/>
      <c r="J59" s="321"/>
      <c r="K59" s="74"/>
      <c r="L59" s="70"/>
      <c r="M59" s="70"/>
      <c r="N59" s="71"/>
      <c r="O59" s="70"/>
      <c r="P59" s="70"/>
      <c r="Q59" s="70"/>
      <c r="R59" s="71"/>
      <c r="S59" s="74"/>
      <c r="T59" s="74"/>
      <c r="U59" s="74"/>
      <c r="V59" s="71"/>
      <c r="AD59" s="71"/>
    </row>
    <row r="60" spans="1:64" s="163" customFormat="1">
      <c r="B60" s="145"/>
      <c r="C60" s="143"/>
      <c r="D60" s="143"/>
      <c r="J60" s="321"/>
      <c r="K60" s="74"/>
      <c r="L60" s="70"/>
      <c r="M60" s="70"/>
      <c r="N60" s="71"/>
      <c r="O60" s="70"/>
      <c r="P60" s="70"/>
      <c r="Q60" s="70"/>
      <c r="R60" s="71"/>
      <c r="S60" s="74"/>
      <c r="T60" s="74"/>
      <c r="U60" s="74"/>
      <c r="V60" s="71"/>
      <c r="AD60" s="71"/>
    </row>
    <row r="61" spans="1:64" s="178" customFormat="1" ht="15" thickBot="1">
      <c r="C61" s="179"/>
      <c r="D61" s="179"/>
      <c r="J61" s="321"/>
      <c r="K61" s="74"/>
      <c r="L61" s="70"/>
      <c r="M61" s="70"/>
      <c r="N61" s="71"/>
      <c r="O61" s="70"/>
      <c r="P61" s="70"/>
      <c r="Q61" s="70"/>
      <c r="R61" s="71"/>
      <c r="S61" s="74"/>
      <c r="T61" s="74"/>
      <c r="U61" s="74"/>
      <c r="V61" s="71"/>
      <c r="AD61" s="71"/>
    </row>
    <row r="62" spans="1:64" s="178" customFormat="1" ht="16.5" thickBot="1">
      <c r="B62" s="3053" t="str">
        <f>'2H'!B46</f>
        <v>Please refer to RAG 4.08 - Guideline for the table definitions in the annual performance report for the reporting year 2019-20</v>
      </c>
      <c r="C62" s="147"/>
      <c r="D62" s="147"/>
      <c r="E62" s="148"/>
      <c r="F62" s="148"/>
      <c r="G62" s="148"/>
      <c r="H62" s="148"/>
      <c r="I62" s="251"/>
      <c r="J62" s="321"/>
      <c r="K62" s="74"/>
      <c r="L62" s="70"/>
      <c r="M62" s="70"/>
      <c r="N62" s="71"/>
      <c r="O62" s="70"/>
      <c r="P62" s="70"/>
      <c r="Q62" s="70"/>
      <c r="R62" s="71"/>
      <c r="S62" s="74"/>
      <c r="T62" s="74"/>
      <c r="U62" s="74"/>
      <c r="V62" s="71"/>
      <c r="AD62" s="71"/>
    </row>
    <row r="63" spans="1:64" s="178" customFormat="1">
      <c r="C63" s="179"/>
      <c r="D63" s="179"/>
      <c r="J63" s="321"/>
      <c r="K63" s="74"/>
      <c r="L63" s="70"/>
      <c r="M63" s="70"/>
      <c r="N63" s="71"/>
      <c r="O63" s="70"/>
      <c r="P63" s="70"/>
      <c r="Q63" s="70"/>
      <c r="R63" s="71"/>
      <c r="S63" s="74"/>
      <c r="T63" s="74"/>
      <c r="U63" s="74"/>
      <c r="V63" s="71"/>
      <c r="AD63" s="71"/>
    </row>
    <row r="64" spans="1:64" s="110" customFormat="1" ht="16.5" hidden="1" thickBot="1">
      <c r="A64" s="1560"/>
      <c r="B64" s="146" t="str">
        <f ca="1" xml:space="preserve"> RIGHT(CELL("filename", $A$1), LEN(CELL("filename", $A$1)) - SEARCH("]", CELL("filename", $A$1)))&amp;" - Line definitions"</f>
        <v>2I - Line definitions</v>
      </c>
      <c r="C64" s="147"/>
      <c r="D64" s="147"/>
      <c r="E64" s="148"/>
      <c r="F64" s="148"/>
      <c r="G64" s="148"/>
      <c r="H64" s="148"/>
      <c r="I64" s="251"/>
      <c r="K64" s="74"/>
      <c r="M64" s="70"/>
      <c r="N64" s="71"/>
      <c r="O64" s="70"/>
      <c r="P64" s="70"/>
      <c r="Q64" s="70"/>
      <c r="R64" s="71"/>
      <c r="S64" s="74"/>
      <c r="T64" s="74"/>
      <c r="U64" s="74"/>
      <c r="V64" s="71"/>
      <c r="AD64" s="71"/>
    </row>
    <row r="65" spans="1:30" s="110" customFormat="1" ht="15" hidden="1" thickBot="1">
      <c r="A65" s="1560"/>
      <c r="B65" s="74"/>
      <c r="C65" s="155"/>
      <c r="D65" s="155"/>
      <c r="E65" s="74"/>
      <c r="F65" s="74"/>
      <c r="G65" s="74"/>
      <c r="K65" s="74"/>
      <c r="M65" s="70"/>
      <c r="N65" s="71"/>
      <c r="O65" s="70"/>
      <c r="P65" s="70"/>
      <c r="Q65" s="70"/>
      <c r="R65" s="71"/>
      <c r="S65" s="74"/>
      <c r="T65" s="74"/>
      <c r="U65" s="74"/>
      <c r="V65" s="71"/>
      <c r="AD65" s="71"/>
    </row>
    <row r="66" spans="1:30" s="178" customFormat="1" ht="15" hidden="1" thickBot="1">
      <c r="A66" s="1561"/>
      <c r="B66" s="287" t="s">
        <v>193</v>
      </c>
      <c r="C66" s="3171" t="s">
        <v>194</v>
      </c>
      <c r="D66" s="3172"/>
      <c r="E66" s="3172"/>
      <c r="F66" s="3172"/>
      <c r="G66" s="3172"/>
      <c r="H66" s="3172"/>
      <c r="I66" s="3173"/>
      <c r="J66" s="110"/>
      <c r="K66" s="74"/>
      <c r="L66" s="110"/>
      <c r="M66" s="70"/>
      <c r="N66" s="71"/>
      <c r="O66" s="85" t="s">
        <v>195</v>
      </c>
      <c r="P66" s="70"/>
      <c r="Q66" s="70"/>
      <c r="R66" s="71"/>
      <c r="S66" s="74"/>
      <c r="T66" s="74"/>
      <c r="U66" s="74"/>
      <c r="V66" s="71"/>
      <c r="AD66" s="71"/>
    </row>
    <row r="67" spans="1:30" s="110" customFormat="1" ht="24" hidden="1" customHeight="1">
      <c r="A67" s="1560"/>
      <c r="B67" s="181" t="s">
        <v>2054</v>
      </c>
      <c r="C67" s="3128" t="s">
        <v>2194</v>
      </c>
      <c r="D67" s="3129"/>
      <c r="E67" s="3129"/>
      <c r="F67" s="3129"/>
      <c r="G67" s="3129"/>
      <c r="H67" s="3129"/>
      <c r="I67" s="3130"/>
      <c r="K67" s="74"/>
      <c r="M67" s="70"/>
      <c r="N67" s="71"/>
      <c r="O67" s="202" t="s">
        <v>197</v>
      </c>
      <c r="P67" s="70"/>
      <c r="Q67" s="70"/>
      <c r="R67" s="71"/>
      <c r="S67" s="74"/>
      <c r="T67" s="74"/>
      <c r="U67" s="74"/>
      <c r="V67" s="71"/>
      <c r="AD67" s="71"/>
    </row>
    <row r="68" spans="1:30" s="110" customFormat="1" ht="35.450000000000003" hidden="1" customHeight="1">
      <c r="A68" s="1560"/>
      <c r="B68" s="159" t="s">
        <v>2059</v>
      </c>
      <c r="C68" s="3125" t="s">
        <v>2195</v>
      </c>
      <c r="D68" s="3126"/>
      <c r="E68" s="3126"/>
      <c r="F68" s="3126"/>
      <c r="G68" s="3126"/>
      <c r="H68" s="3126"/>
      <c r="I68" s="3127"/>
      <c r="K68" s="74"/>
      <c r="M68" s="70"/>
      <c r="N68" s="71"/>
      <c r="O68" s="202" t="s">
        <v>780</v>
      </c>
      <c r="P68" s="70"/>
      <c r="Q68" s="70"/>
      <c r="R68" s="71"/>
      <c r="S68" s="74"/>
      <c r="T68" s="74"/>
      <c r="U68" s="74"/>
      <c r="V68" s="71"/>
      <c r="AD68" s="71"/>
    </row>
    <row r="69" spans="1:30" s="110" customFormat="1" ht="14.25" hidden="1" customHeight="1">
      <c r="A69" s="1560"/>
      <c r="B69" s="159" t="s">
        <v>2064</v>
      </c>
      <c r="C69" s="3125" t="s">
        <v>2196</v>
      </c>
      <c r="D69" s="3126"/>
      <c r="E69" s="3126"/>
      <c r="F69" s="3126"/>
      <c r="G69" s="3126"/>
      <c r="H69" s="3126"/>
      <c r="I69" s="3127"/>
      <c r="K69" s="74"/>
      <c r="M69" s="70"/>
      <c r="N69" s="71"/>
      <c r="O69" s="202">
        <v>1</v>
      </c>
      <c r="P69" s="70"/>
      <c r="Q69" s="70"/>
      <c r="R69" s="71"/>
      <c r="S69" s="74"/>
      <c r="T69" s="74"/>
      <c r="U69" s="74"/>
      <c r="V69" s="71"/>
      <c r="AD69" s="71"/>
    </row>
    <row r="70" spans="1:30" s="110" customFormat="1" ht="14.25" hidden="1" customHeight="1">
      <c r="A70" s="1560"/>
      <c r="B70" s="159" t="s">
        <v>2069</v>
      </c>
      <c r="C70" s="3125" t="s">
        <v>2197</v>
      </c>
      <c r="D70" s="3126"/>
      <c r="E70" s="3126"/>
      <c r="F70" s="3126"/>
      <c r="G70" s="3126"/>
      <c r="H70" s="3126"/>
      <c r="I70" s="3127"/>
      <c r="K70" s="74"/>
      <c r="M70" s="70"/>
      <c r="N70" s="71"/>
      <c r="O70" s="202">
        <v>1</v>
      </c>
      <c r="P70" s="70"/>
      <c r="Q70" s="70"/>
      <c r="R70" s="71"/>
      <c r="S70" s="74"/>
      <c r="T70" s="74"/>
      <c r="U70" s="74"/>
      <c r="V70" s="71"/>
      <c r="AD70" s="71"/>
    </row>
    <row r="71" spans="1:30" s="110" customFormat="1" ht="24" hidden="1" customHeight="1">
      <c r="A71" s="1560"/>
      <c r="B71" s="159" t="s">
        <v>2074</v>
      </c>
      <c r="C71" s="3125" t="s">
        <v>2198</v>
      </c>
      <c r="D71" s="3126"/>
      <c r="E71" s="3126"/>
      <c r="F71" s="3126"/>
      <c r="G71" s="3126"/>
      <c r="H71" s="3126"/>
      <c r="I71" s="3127"/>
      <c r="K71" s="74"/>
      <c r="M71" s="70"/>
      <c r="N71" s="71"/>
      <c r="O71" s="202" t="s">
        <v>197</v>
      </c>
      <c r="P71" s="70"/>
      <c r="Q71" s="70"/>
      <c r="R71" s="71"/>
      <c r="S71" s="74"/>
      <c r="T71" s="74"/>
      <c r="U71" s="74"/>
      <c r="V71" s="71"/>
      <c r="AD71" s="71"/>
    </row>
    <row r="72" spans="1:30" s="110" customFormat="1" ht="35.450000000000003" hidden="1" customHeight="1">
      <c r="A72" s="1560"/>
      <c r="B72" s="159" t="s">
        <v>2078</v>
      </c>
      <c r="C72" s="3125" t="s">
        <v>2199</v>
      </c>
      <c r="D72" s="3126"/>
      <c r="E72" s="3126"/>
      <c r="F72" s="3126"/>
      <c r="G72" s="3126"/>
      <c r="H72" s="3126"/>
      <c r="I72" s="3127"/>
      <c r="K72" s="74"/>
      <c r="M72" s="70"/>
      <c r="N72" s="71"/>
      <c r="O72" s="202" t="s">
        <v>780</v>
      </c>
      <c r="P72" s="70"/>
      <c r="Q72" s="70"/>
      <c r="R72" s="71"/>
      <c r="S72" s="74"/>
      <c r="T72" s="74"/>
      <c r="U72" s="74"/>
      <c r="V72" s="71"/>
      <c r="AD72" s="71"/>
    </row>
    <row r="73" spans="1:30" s="110" customFormat="1" ht="14.25" hidden="1" customHeight="1">
      <c r="A73" s="1560"/>
      <c r="B73" s="159" t="s">
        <v>2082</v>
      </c>
      <c r="C73" s="3125" t="s">
        <v>2200</v>
      </c>
      <c r="D73" s="3126"/>
      <c r="E73" s="3126"/>
      <c r="F73" s="3126"/>
      <c r="G73" s="3126"/>
      <c r="H73" s="3126"/>
      <c r="I73" s="3127"/>
      <c r="K73" s="74"/>
      <c r="M73" s="70"/>
      <c r="N73" s="71"/>
      <c r="O73" s="202">
        <v>1</v>
      </c>
      <c r="P73" s="70"/>
      <c r="Q73" s="70"/>
      <c r="R73" s="71"/>
      <c r="S73" s="74"/>
      <c r="T73" s="74"/>
      <c r="U73" s="74"/>
      <c r="V73" s="71"/>
      <c r="AD73" s="71"/>
    </row>
    <row r="74" spans="1:30" s="110" customFormat="1" ht="14.25" hidden="1" customHeight="1">
      <c r="A74" s="1560"/>
      <c r="B74" s="159" t="s">
        <v>2086</v>
      </c>
      <c r="C74" s="3125" t="s">
        <v>2201</v>
      </c>
      <c r="D74" s="3126"/>
      <c r="E74" s="3126"/>
      <c r="F74" s="3126"/>
      <c r="G74" s="3126"/>
      <c r="H74" s="3126"/>
      <c r="I74" s="3127"/>
      <c r="K74" s="74"/>
      <c r="M74" s="70"/>
      <c r="N74" s="71"/>
      <c r="O74" s="202">
        <v>1</v>
      </c>
      <c r="P74" s="70"/>
      <c r="Q74" s="70"/>
      <c r="R74" s="71"/>
      <c r="S74" s="74"/>
      <c r="T74" s="74"/>
      <c r="U74" s="74"/>
      <c r="V74" s="71"/>
      <c r="AD74" s="71"/>
    </row>
    <row r="75" spans="1:30" s="110" customFormat="1" hidden="1">
      <c r="A75" s="1560"/>
      <c r="B75" s="159" t="s">
        <v>2103</v>
      </c>
      <c r="C75" s="3125" t="s">
        <v>2202</v>
      </c>
      <c r="D75" s="3126"/>
      <c r="E75" s="3126"/>
      <c r="F75" s="3126"/>
      <c r="G75" s="3126"/>
      <c r="H75" s="3126"/>
      <c r="I75" s="3127"/>
      <c r="K75" s="74"/>
      <c r="M75" s="70"/>
      <c r="N75" s="71"/>
      <c r="O75" s="202">
        <v>1</v>
      </c>
      <c r="P75" s="70"/>
      <c r="Q75" s="70"/>
      <c r="R75" s="71"/>
      <c r="S75" s="74"/>
      <c r="T75" s="74"/>
      <c r="U75" s="74"/>
      <c r="V75" s="71"/>
      <c r="AD75" s="71"/>
    </row>
    <row r="76" spans="1:30" s="110" customFormat="1" ht="23.25" hidden="1" customHeight="1">
      <c r="A76" s="1560"/>
      <c r="B76" s="159" t="s">
        <v>2109</v>
      </c>
      <c r="C76" s="3125" t="s">
        <v>2203</v>
      </c>
      <c r="D76" s="3126"/>
      <c r="E76" s="3126"/>
      <c r="F76" s="3126"/>
      <c r="G76" s="3126"/>
      <c r="H76" s="3126"/>
      <c r="I76" s="3127"/>
      <c r="K76" s="74"/>
      <c r="M76" s="70"/>
      <c r="N76" s="71"/>
      <c r="O76" s="202" t="s">
        <v>197</v>
      </c>
      <c r="P76" s="70"/>
      <c r="Q76" s="70"/>
      <c r="R76" s="71"/>
      <c r="S76" s="74"/>
      <c r="T76" s="74"/>
      <c r="U76" s="74"/>
      <c r="V76" s="71"/>
      <c r="AD76" s="71"/>
    </row>
    <row r="77" spans="1:30" s="110" customFormat="1" ht="23.25" hidden="1" customHeight="1">
      <c r="A77" s="1560"/>
      <c r="B77" s="159" t="s">
        <v>2113</v>
      </c>
      <c r="C77" s="3125" t="s">
        <v>2204</v>
      </c>
      <c r="D77" s="3126"/>
      <c r="E77" s="3126"/>
      <c r="F77" s="3126"/>
      <c r="G77" s="3126"/>
      <c r="H77" s="3126"/>
      <c r="I77" s="3127"/>
      <c r="K77" s="74"/>
      <c r="M77" s="70"/>
      <c r="N77" s="71"/>
      <c r="O77" s="202" t="s">
        <v>197</v>
      </c>
      <c r="P77" s="70"/>
      <c r="Q77" s="70"/>
      <c r="R77" s="71"/>
      <c r="S77" s="74"/>
      <c r="T77" s="74"/>
      <c r="U77" s="74"/>
      <c r="V77" s="71"/>
      <c r="AD77" s="71"/>
    </row>
    <row r="78" spans="1:30" s="110" customFormat="1" hidden="1">
      <c r="A78" s="1560"/>
      <c r="B78" s="159" t="s">
        <v>2117</v>
      </c>
      <c r="C78" s="3125" t="s">
        <v>2205</v>
      </c>
      <c r="D78" s="3126"/>
      <c r="E78" s="3126"/>
      <c r="F78" s="3126"/>
      <c r="G78" s="3126"/>
      <c r="H78" s="3126"/>
      <c r="I78" s="3127"/>
      <c r="K78" s="74"/>
      <c r="M78" s="70"/>
      <c r="N78" s="71"/>
      <c r="O78" s="202">
        <v>1</v>
      </c>
      <c r="P78" s="70"/>
      <c r="Q78" s="70"/>
      <c r="R78" s="71"/>
      <c r="S78" s="74"/>
      <c r="T78" s="74"/>
      <c r="U78" s="74"/>
      <c r="V78" s="71"/>
      <c r="AD78" s="71"/>
    </row>
    <row r="79" spans="1:30" s="110" customFormat="1" ht="14.25" hidden="1" customHeight="1">
      <c r="A79" s="1560"/>
      <c r="B79" s="159" t="s">
        <v>2122</v>
      </c>
      <c r="C79" s="3125" t="s">
        <v>2206</v>
      </c>
      <c r="D79" s="3126"/>
      <c r="E79" s="3126"/>
      <c r="F79" s="3126"/>
      <c r="G79" s="3126"/>
      <c r="H79" s="3126"/>
      <c r="I79" s="3127"/>
      <c r="K79" s="74"/>
      <c r="M79" s="70"/>
      <c r="N79" s="71"/>
      <c r="O79" s="202">
        <v>1</v>
      </c>
      <c r="P79" s="70"/>
      <c r="Q79" s="70"/>
      <c r="R79" s="71"/>
      <c r="S79" s="74"/>
      <c r="T79" s="74"/>
      <c r="U79" s="74"/>
      <c r="V79" s="71"/>
      <c r="AD79" s="71"/>
    </row>
    <row r="80" spans="1:30" s="110" customFormat="1" ht="13.7" hidden="1" customHeight="1">
      <c r="A80" s="1560"/>
      <c r="B80" s="159" t="s">
        <v>2129</v>
      </c>
      <c r="C80" s="3125" t="s">
        <v>2207</v>
      </c>
      <c r="D80" s="3126"/>
      <c r="E80" s="3126"/>
      <c r="F80" s="3126"/>
      <c r="G80" s="3126"/>
      <c r="H80" s="3126"/>
      <c r="I80" s="3127"/>
      <c r="K80" s="74"/>
      <c r="M80" s="70"/>
      <c r="N80" s="71"/>
      <c r="O80" s="202">
        <v>1</v>
      </c>
      <c r="P80" s="70"/>
      <c r="Q80" s="70"/>
      <c r="R80" s="71"/>
      <c r="S80" s="74"/>
      <c r="T80" s="74"/>
      <c r="U80" s="74"/>
      <c r="V80" s="71"/>
      <c r="AD80" s="71"/>
    </row>
    <row r="81" spans="1:30" s="110" customFormat="1" ht="13.7" hidden="1" customHeight="1">
      <c r="A81" s="1560"/>
      <c r="B81" s="159" t="s">
        <v>2132</v>
      </c>
      <c r="C81" s="3125" t="s">
        <v>2208</v>
      </c>
      <c r="D81" s="3126"/>
      <c r="E81" s="3126"/>
      <c r="F81" s="3126"/>
      <c r="G81" s="3126"/>
      <c r="H81" s="3126"/>
      <c r="I81" s="3127"/>
      <c r="K81" s="74"/>
      <c r="M81" s="70"/>
      <c r="N81" s="71"/>
      <c r="O81" s="202">
        <v>1</v>
      </c>
      <c r="P81" s="70"/>
      <c r="Q81" s="70"/>
      <c r="R81" s="71"/>
      <c r="S81" s="74"/>
      <c r="T81" s="74"/>
      <c r="U81" s="74"/>
      <c r="V81" s="71"/>
      <c r="AD81" s="71"/>
    </row>
    <row r="82" spans="1:30" s="110" customFormat="1" ht="24" hidden="1" customHeight="1">
      <c r="A82" s="1560"/>
      <c r="B82" s="159" t="s">
        <v>2135</v>
      </c>
      <c r="C82" s="3125" t="s">
        <v>2209</v>
      </c>
      <c r="D82" s="3126"/>
      <c r="E82" s="3126"/>
      <c r="F82" s="3126"/>
      <c r="G82" s="3126"/>
      <c r="H82" s="3126"/>
      <c r="I82" s="3127"/>
      <c r="K82" s="74"/>
      <c r="M82" s="70"/>
      <c r="N82" s="71"/>
      <c r="O82" s="202" t="s">
        <v>197</v>
      </c>
      <c r="P82" s="70"/>
      <c r="Q82" s="70"/>
      <c r="R82" s="71"/>
      <c r="S82" s="74"/>
      <c r="T82" s="74"/>
      <c r="U82" s="74"/>
      <c r="V82" s="71"/>
      <c r="AD82" s="71"/>
    </row>
    <row r="83" spans="1:30" s="110" customFormat="1" ht="23.25" hidden="1" customHeight="1">
      <c r="A83" s="1560"/>
      <c r="B83" s="159" t="s">
        <v>2138</v>
      </c>
      <c r="C83" s="3125" t="s">
        <v>2210</v>
      </c>
      <c r="D83" s="3126"/>
      <c r="E83" s="3126"/>
      <c r="F83" s="3126"/>
      <c r="G83" s="3126"/>
      <c r="H83" s="3126"/>
      <c r="I83" s="3127"/>
      <c r="K83" s="74"/>
      <c r="M83" s="70"/>
      <c r="N83" s="71"/>
      <c r="O83" s="202" t="s">
        <v>197</v>
      </c>
      <c r="P83" s="70"/>
      <c r="Q83" s="70"/>
      <c r="R83" s="71"/>
      <c r="S83" s="74"/>
      <c r="T83" s="74"/>
      <c r="U83" s="74"/>
      <c r="V83" s="71"/>
      <c r="AD83" s="71"/>
    </row>
    <row r="84" spans="1:30" s="110" customFormat="1" ht="14.25" hidden="1" customHeight="1">
      <c r="A84" s="1560"/>
      <c r="B84" s="159" t="s">
        <v>2141</v>
      </c>
      <c r="C84" s="3125" t="s">
        <v>2211</v>
      </c>
      <c r="D84" s="3126"/>
      <c r="E84" s="3126"/>
      <c r="F84" s="3126"/>
      <c r="G84" s="3126"/>
      <c r="H84" s="3126"/>
      <c r="I84" s="3127"/>
      <c r="K84" s="74"/>
      <c r="M84" s="70"/>
      <c r="N84" s="71"/>
      <c r="O84" s="202">
        <v>1</v>
      </c>
      <c r="P84" s="70"/>
      <c r="Q84" s="70"/>
      <c r="R84" s="71"/>
      <c r="S84" s="74"/>
      <c r="T84" s="74"/>
      <c r="U84" s="74"/>
      <c r="V84" s="71"/>
      <c r="AD84" s="71"/>
    </row>
    <row r="85" spans="1:30" s="110" customFormat="1" ht="14.25" hidden="1" customHeight="1">
      <c r="A85" s="1560"/>
      <c r="B85" s="159" t="s">
        <v>2145</v>
      </c>
      <c r="C85" s="3125" t="s">
        <v>2212</v>
      </c>
      <c r="D85" s="3126"/>
      <c r="E85" s="3126"/>
      <c r="F85" s="3126"/>
      <c r="G85" s="3126"/>
      <c r="H85" s="3126"/>
      <c r="I85" s="3127"/>
      <c r="K85" s="74"/>
      <c r="M85" s="70"/>
      <c r="N85" s="71"/>
      <c r="O85" s="202">
        <v>1</v>
      </c>
      <c r="P85" s="70"/>
      <c r="Q85" s="70"/>
      <c r="R85" s="71"/>
      <c r="S85" s="74"/>
      <c r="T85" s="74"/>
      <c r="U85" s="74"/>
      <c r="V85" s="71"/>
      <c r="AD85" s="71"/>
    </row>
    <row r="86" spans="1:30" s="110" customFormat="1" ht="46.5" hidden="1" customHeight="1">
      <c r="A86" s="1560"/>
      <c r="B86" s="159" t="s">
        <v>2151</v>
      </c>
      <c r="C86" s="3125" t="s">
        <v>2213</v>
      </c>
      <c r="D86" s="3126"/>
      <c r="E86" s="3126"/>
      <c r="F86" s="3126"/>
      <c r="G86" s="3126"/>
      <c r="H86" s="3126"/>
      <c r="I86" s="3127"/>
      <c r="K86" s="74"/>
      <c r="M86" s="70"/>
      <c r="N86" s="71"/>
      <c r="O86" s="202" t="s">
        <v>2214</v>
      </c>
      <c r="P86" s="70"/>
      <c r="Q86" s="70"/>
      <c r="R86" s="71"/>
      <c r="S86" s="74"/>
      <c r="T86" s="74"/>
      <c r="U86" s="74"/>
      <c r="V86" s="71"/>
      <c r="AD86" s="71"/>
    </row>
    <row r="87" spans="1:30" s="110" customFormat="1" ht="14.25" hidden="1" customHeight="1">
      <c r="A87" s="1560"/>
      <c r="B87" s="159" t="s">
        <v>2158</v>
      </c>
      <c r="C87" s="3125" t="s">
        <v>2215</v>
      </c>
      <c r="D87" s="3126"/>
      <c r="E87" s="3126"/>
      <c r="F87" s="3126"/>
      <c r="G87" s="3126"/>
      <c r="H87" s="3126"/>
      <c r="I87" s="3127"/>
      <c r="K87" s="74"/>
      <c r="M87" s="70"/>
      <c r="N87" s="71"/>
      <c r="O87" s="202">
        <v>1</v>
      </c>
      <c r="P87" s="70"/>
      <c r="Q87" s="70"/>
      <c r="R87" s="71"/>
      <c r="S87" s="74"/>
      <c r="T87" s="74"/>
      <c r="U87" s="74"/>
      <c r="V87" s="71"/>
      <c r="AD87" s="71"/>
    </row>
    <row r="88" spans="1:30" s="110" customFormat="1" ht="14.25" hidden="1" customHeight="1">
      <c r="A88" s="1560"/>
      <c r="B88" s="159" t="s">
        <v>2164</v>
      </c>
      <c r="C88" s="3125" t="s">
        <v>2216</v>
      </c>
      <c r="D88" s="3126"/>
      <c r="E88" s="3126"/>
      <c r="F88" s="3126"/>
      <c r="G88" s="3126"/>
      <c r="H88" s="3126"/>
      <c r="I88" s="3127"/>
      <c r="K88" s="74"/>
      <c r="M88" s="70"/>
      <c r="N88" s="71"/>
      <c r="O88" s="202">
        <v>1</v>
      </c>
      <c r="P88" s="70"/>
      <c r="Q88" s="70"/>
      <c r="R88" s="71"/>
      <c r="S88" s="74"/>
      <c r="T88" s="74"/>
      <c r="U88" s="74"/>
      <c r="V88" s="71"/>
      <c r="AD88" s="71"/>
    </row>
    <row r="89" spans="1:30" s="110" customFormat="1" ht="15" hidden="1" customHeight="1">
      <c r="A89" s="1560"/>
      <c r="B89" s="159" t="s">
        <v>2170</v>
      </c>
      <c r="C89" s="3125" t="s">
        <v>2217</v>
      </c>
      <c r="D89" s="3126"/>
      <c r="E89" s="3126"/>
      <c r="F89" s="3126"/>
      <c r="G89" s="3126"/>
      <c r="H89" s="3126"/>
      <c r="I89" s="3127"/>
      <c r="K89" s="74"/>
      <c r="M89" s="70"/>
      <c r="N89" s="71"/>
      <c r="O89" s="202">
        <v>1</v>
      </c>
      <c r="P89" s="70"/>
      <c r="Q89" s="70"/>
      <c r="R89" s="71"/>
      <c r="S89" s="74"/>
      <c r="T89" s="74"/>
      <c r="U89" s="74"/>
      <c r="V89" s="71"/>
      <c r="AD89" s="71"/>
    </row>
    <row r="90" spans="1:30" hidden="1">
      <c r="A90" s="1564"/>
      <c r="B90" s="159" t="s">
        <v>2176</v>
      </c>
      <c r="C90" s="3125" t="s">
        <v>2218</v>
      </c>
      <c r="D90" s="3126"/>
      <c r="E90" s="3126"/>
      <c r="F90" s="3126"/>
      <c r="G90" s="3126"/>
      <c r="H90" s="3126"/>
      <c r="I90" s="3127"/>
      <c r="O90" s="202">
        <v>1</v>
      </c>
    </row>
    <row r="91" spans="1:30" ht="23.25" hidden="1" customHeight="1">
      <c r="A91" s="1564"/>
      <c r="B91" s="159" t="s">
        <v>2182</v>
      </c>
      <c r="C91" s="3125" t="s">
        <v>2219</v>
      </c>
      <c r="D91" s="3126"/>
      <c r="E91" s="3126"/>
      <c r="F91" s="3126"/>
      <c r="G91" s="3126"/>
      <c r="H91" s="3126"/>
      <c r="I91" s="3127"/>
      <c r="O91" s="202" t="s">
        <v>197</v>
      </c>
    </row>
    <row r="92" spans="1:30" ht="15" hidden="1" customHeight="1" thickBot="1">
      <c r="A92" s="1564"/>
      <c r="B92" s="183" t="s">
        <v>2188</v>
      </c>
      <c r="C92" s="3131" t="s">
        <v>2220</v>
      </c>
      <c r="D92" s="3132"/>
      <c r="E92" s="3132"/>
      <c r="F92" s="3132"/>
      <c r="G92" s="3132"/>
      <c r="H92" s="3132"/>
      <c r="I92" s="3133"/>
      <c r="O92" s="202">
        <v>1</v>
      </c>
    </row>
    <row r="93" spans="1:30" hidden="1">
      <c r="A93" s="1564"/>
    </row>
    <row r="94" spans="1:30" hidden="1">
      <c r="A94" s="1564"/>
    </row>
    <row r="95" spans="1:30" hidden="1">
      <c r="A95" s="1564"/>
    </row>
  </sheetData>
  <sheetProtection algorithmName="SHA-512" hashValue="Oy829OL3ZWLOBXAfFm03jb71ypZpHG1YFTkIJdpZJ+7ab3xy25T37U0eiLlZ/S+KG2j5jPCOorzGVuh1/s2DlQ==" saltValue="DPQr9JMJ2tzjnRFwf1u0VA==" spinCount="100000" sheet="1" objects="1" scenarios="1"/>
  <mergeCells count="33">
    <mergeCell ref="C92:I92"/>
    <mergeCell ref="C82:I82"/>
    <mergeCell ref="C83:I83"/>
    <mergeCell ref="C84:I84"/>
    <mergeCell ref="C85:I85"/>
    <mergeCell ref="C86:I86"/>
    <mergeCell ref="C87:I87"/>
    <mergeCell ref="C90:I90"/>
    <mergeCell ref="C91:I91"/>
    <mergeCell ref="C89:I89"/>
    <mergeCell ref="C66:I66"/>
    <mergeCell ref="C67:I67"/>
    <mergeCell ref="S2:S4"/>
    <mergeCell ref="C79:I79"/>
    <mergeCell ref="C88:I88"/>
    <mergeCell ref="C81:I81"/>
    <mergeCell ref="C80:I80"/>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s>
  <conditionalFormatting sqref="L10:L16 L6:L8 L22:L28">
    <cfRule type="cellIs" dxfId="1247" priority="26" operator="equal">
      <formula>0</formula>
    </cfRule>
  </conditionalFormatting>
  <conditionalFormatting sqref="L9:L11">
    <cfRule type="cellIs" dxfId="1246" priority="25" operator="equal">
      <formula>0</formula>
    </cfRule>
  </conditionalFormatting>
  <conditionalFormatting sqref="L32:L33">
    <cfRule type="cellIs" dxfId="1245" priority="24" operator="equal">
      <formula>0</formula>
    </cfRule>
  </conditionalFormatting>
  <conditionalFormatting sqref="L48:L50">
    <cfRule type="cellIs" dxfId="1244" priority="23" operator="equal">
      <formula>0</formula>
    </cfRule>
  </conditionalFormatting>
  <conditionalFormatting sqref="K29 K39">
    <cfRule type="cellIs" dxfId="1243" priority="22" operator="equal">
      <formula>0</formula>
    </cfRule>
  </conditionalFormatting>
  <conditionalFormatting sqref="L34 L36:L37">
    <cfRule type="cellIs" dxfId="1242" priority="20" operator="equal">
      <formula>0</formula>
    </cfRule>
  </conditionalFormatting>
  <conditionalFormatting sqref="L45">
    <cfRule type="cellIs" dxfId="1241" priority="13" operator="equal">
      <formula>0</formula>
    </cfRule>
  </conditionalFormatting>
  <conditionalFormatting sqref="K45">
    <cfRule type="cellIs" dxfId="1240" priority="12" operator="equal">
      <formula>0</formula>
    </cfRule>
  </conditionalFormatting>
  <conditionalFormatting sqref="L17:L21">
    <cfRule type="cellIs" dxfId="1239" priority="8" operator="equal">
      <formula>0</formula>
    </cfRule>
  </conditionalFormatting>
  <conditionalFormatting sqref="L17">
    <cfRule type="cellIs" dxfId="1238" priority="7" operator="equal">
      <formula>0</formula>
    </cfRule>
  </conditionalFormatting>
  <conditionalFormatting sqref="I44:I46 I48:I51 I53">
    <cfRule type="expression" dxfId="1237" priority="2">
      <formula>$I$1 &lt;&gt; "Thames Water"</formula>
    </cfRule>
  </conditionalFormatting>
  <conditionalFormatting sqref="G18:I21">
    <cfRule type="expression" dxfId="1236"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61"/>
  <sheetViews>
    <sheetView topLeftCell="A9" zoomScaleNormal="100" workbookViewId="0">
      <selection activeCell="B42" sqref="B42"/>
    </sheetView>
  </sheetViews>
  <sheetFormatPr defaultColWidth="12.125" defaultRowHeight="14.25"/>
  <cols>
    <col min="1" max="1" width="1.5" style="8" customWidth="1"/>
    <col min="2" max="2" width="71.125" style="8" customWidth="1"/>
    <col min="3" max="4" width="22.5" style="8" customWidth="1"/>
    <col min="5" max="5" width="106" style="8" customWidth="1"/>
    <col min="6" max="6" width="1.5" style="8" customWidth="1"/>
    <col min="7" max="16383" width="12.125" style="8"/>
    <col min="16384" max="16384" width="12.125" style="8" customWidth="1"/>
  </cols>
  <sheetData>
    <row r="1" spans="1:8" ht="20.25">
      <c r="A1" s="479"/>
      <c r="B1" s="6" t="s">
        <v>19</v>
      </c>
      <c r="C1" s="6"/>
      <c r="D1" s="6"/>
      <c r="E1" s="7"/>
      <c r="F1" s="479"/>
      <c r="G1" s="479"/>
      <c r="H1" s="479"/>
    </row>
    <row r="2" spans="1:8" ht="15" thickBot="1">
      <c r="A2" s="479"/>
      <c r="B2" s="73" t="s">
        <v>20</v>
      </c>
      <c r="C2" s="479"/>
      <c r="D2" s="479"/>
      <c r="E2" s="479"/>
      <c r="F2" s="479"/>
      <c r="G2" s="479"/>
      <c r="H2" s="479"/>
    </row>
    <row r="3" spans="1:8" ht="16.5" thickBot="1">
      <c r="A3" s="10"/>
      <c r="B3" s="471" t="s">
        <v>21</v>
      </c>
      <c r="C3" s="9" t="s">
        <v>22</v>
      </c>
      <c r="D3" s="10"/>
      <c r="E3" s="10"/>
      <c r="F3" s="479"/>
      <c r="G3" s="13" t="str">
        <f>VLOOKUP(Validation!B3,Lists!B4:D26,3,FALSE)</f>
        <v>WaSC</v>
      </c>
      <c r="H3" s="13">
        <f>IF(G3="Woc",1,0)</f>
        <v>0</v>
      </c>
    </row>
    <row r="5" spans="1:8">
      <c r="A5" s="479"/>
      <c r="B5" s="3054" t="s">
        <v>23</v>
      </c>
      <c r="C5" s="3054"/>
      <c r="D5" s="3054"/>
      <c r="E5" s="3054"/>
      <c r="F5" s="479"/>
      <c r="G5" s="479"/>
      <c r="H5" s="479"/>
    </row>
    <row r="6" spans="1:8" ht="15" thickBot="1">
      <c r="A6" s="479"/>
      <c r="B6" s="479"/>
      <c r="C6" s="479"/>
      <c r="D6" s="479"/>
      <c r="E6" s="479"/>
      <c r="F6" s="479"/>
      <c r="G6" s="479"/>
      <c r="H6" s="479"/>
    </row>
    <row r="7" spans="1:8" ht="17.25" thickBot="1">
      <c r="A7" s="479"/>
      <c r="B7" s="11" t="s">
        <v>24</v>
      </c>
      <c r="C7" s="12" t="s">
        <v>25</v>
      </c>
      <c r="D7" s="13" t="s">
        <v>26</v>
      </c>
      <c r="E7" s="14" t="s">
        <v>27</v>
      </c>
      <c r="F7" s="479"/>
      <c r="G7" s="479"/>
      <c r="H7" s="479"/>
    </row>
    <row r="8" spans="1:8" ht="20.25" customHeight="1">
      <c r="A8" s="16"/>
      <c r="B8" s="405" t="str">
        <f>+'1A'!B1</f>
        <v>1A - Income statement</v>
      </c>
      <c r="C8" s="15" t="str">
        <f>IF($B$3="Select company","",IF((SUM('1A'!O6:S36))&gt;0,"Review validation checks on sheet","No issues identified"))</f>
        <v>No issues identified</v>
      </c>
      <c r="D8" s="1533"/>
      <c r="E8" s="1535" t="str">
        <f>+'1A'!B43</f>
        <v>Please refer to RAG 4.08 - Guideline for the table definitions in the annual performance report for the reporting year 2019-20</v>
      </c>
      <c r="F8" s="479"/>
      <c r="G8" s="479"/>
      <c r="H8" s="479"/>
    </row>
    <row r="9" spans="1:8" ht="20.25" customHeight="1">
      <c r="A9" s="16"/>
      <c r="B9" s="406" t="str">
        <f>+'1B'!B1</f>
        <v>1B - Statement of comprehensive income</v>
      </c>
      <c r="C9" s="17" t="str">
        <f>IF($B$3="Select company","",IF((SUM('1B'!O7:S8))&gt;0,"Review validation checks on sheet","No issues identified"))</f>
        <v>No issues identified</v>
      </c>
      <c r="D9" s="1534"/>
      <c r="E9" s="1536" t="str">
        <f>+'1B'!B19</f>
        <v>Please refer to RAG 4.08 - Guideline for the table definitions in the annual performance report for the reporting year 2019-20</v>
      </c>
      <c r="F9" s="479"/>
      <c r="G9" s="479"/>
      <c r="H9" s="479"/>
    </row>
    <row r="10" spans="1:8" ht="20.25" customHeight="1">
      <c r="A10" s="16"/>
      <c r="B10" s="406" t="str">
        <f>+'1C'!B1</f>
        <v>1C - Statement of financial position</v>
      </c>
      <c r="C10" s="17" t="str">
        <f>IF($B$3="Select company","",IF((SUM('1C'!O7:S49))&gt;0,"Review validation checks on sheet","No issues identified"))</f>
        <v>No issues identified</v>
      </c>
      <c r="D10" s="1534"/>
      <c r="E10" s="1536" t="str">
        <f>+'1C'!B59</f>
        <v>Please refer to RAG 4.08 - Guideline for the table definitions in the annual performance report for the reporting year 2019-20</v>
      </c>
      <c r="F10" s="479"/>
      <c r="G10" s="479"/>
      <c r="H10" s="479"/>
    </row>
    <row r="11" spans="1:8" ht="20.25" customHeight="1">
      <c r="A11" s="16"/>
      <c r="B11" s="406" t="str">
        <f>+'1D'!B1</f>
        <v>1D - Statement of cash flows</v>
      </c>
      <c r="C11" s="17" t="str">
        <f>IF($B$3="Select company","",IF((SUM('1D'!O8:S33))&gt;0,"Review validation checks on sheet","No issues identified"))</f>
        <v>No issues identified</v>
      </c>
      <c r="D11" s="1534"/>
      <c r="E11" s="1536" t="str">
        <f>+'1D'!B45</f>
        <v>Please refer to RAG 4.08 - Guideline for the table definitions in the annual performance report for the reporting year 2019-20</v>
      </c>
      <c r="F11" s="479"/>
      <c r="G11" s="479"/>
      <c r="H11" s="479"/>
    </row>
    <row r="12" spans="1:8" ht="20.25" customHeight="1">
      <c r="A12" s="16"/>
      <c r="B12" s="406" t="str">
        <f>+'1E'!B1</f>
        <v>1E - Net debt analysis at 31 March 2020</v>
      </c>
      <c r="C12" s="17" t="str">
        <f>IF($B$3="Select company","",IF((SUM('1E'!O6:T23))&gt;0,"Review validation checks on sheet","No issues identified"))</f>
        <v>No issues identified</v>
      </c>
      <c r="D12" s="17" t="str">
        <f>IF($B$3="Select company","",IF((SUM('1E'!T6:Y23))&gt;0,"Review validation checks on sheet","No issues identified"))</f>
        <v>No issues identified</v>
      </c>
      <c r="E12" s="1540" t="str">
        <f>+'1E'!B32</f>
        <v>Please refer to RAG 4.08 - Guideline for the table definitions in the annual performance report for the reporting year 2019-20</v>
      </c>
      <c r="F12" s="479"/>
      <c r="G12" s="479"/>
      <c r="H12" s="479"/>
    </row>
    <row r="13" spans="1:8" s="479" customFormat="1" ht="20.25" customHeight="1" thickBot="1">
      <c r="A13" s="16"/>
      <c r="B13" s="2171" t="str">
        <f>+'1F'!B1</f>
        <v>1F - Financial flows (Price Base - 2012-13 RPI Average)</v>
      </c>
      <c r="C13" s="858" t="str">
        <f>IF($B$3="Select company","",IF((SUM('1F'!V8:AI41))&gt;0,"Review validation checks on sheet","No issues identified"))</f>
        <v>No issues identified</v>
      </c>
      <c r="D13" s="2173"/>
      <c r="E13" s="2172" t="str">
        <f>+'1F'!B52</f>
        <v>Please refer to RAG 4.08 - Guideline for the table definitions in the annual performance report for the reporting year 2019-20</v>
      </c>
    </row>
    <row r="14" spans="1:8" ht="15" thickBot="1">
      <c r="A14" s="16"/>
      <c r="B14" s="19"/>
      <c r="C14" s="20"/>
      <c r="D14" s="20"/>
      <c r="E14" s="16"/>
      <c r="F14" s="479"/>
      <c r="G14" s="479"/>
      <c r="H14" s="479"/>
    </row>
    <row r="15" spans="1:8" ht="37.5" customHeight="1" thickBot="1">
      <c r="A15" s="16"/>
      <c r="B15" s="11" t="s">
        <v>28</v>
      </c>
      <c r="C15" s="13" t="str">
        <f>C7</f>
        <v>All expected cells completed?</v>
      </c>
      <c r="D15" s="13" t="str">
        <f>D7</f>
        <v>Other validations</v>
      </c>
      <c r="E15" s="14" t="s">
        <v>27</v>
      </c>
      <c r="F15" s="479"/>
      <c r="G15" s="479"/>
      <c r="H15" s="479"/>
    </row>
    <row r="16" spans="1:8" ht="20.25" customHeight="1">
      <c r="A16" s="16"/>
      <c r="B16" s="405" t="str">
        <f>+'2A'!B1</f>
        <v>2A - Segmental income statement</v>
      </c>
      <c r="C16" s="15" t="str">
        <f>IF($B$3="Select company","",IF((SUM('2A'!U6:AF20))&gt;0,"Review validation checks on sheet","No issues identified"))</f>
        <v>No issues identified</v>
      </c>
      <c r="D16" s="1537" t="str">
        <f>IF($B$3="Select company","",IF((SUM('2A'!AF6:AL20))&gt;0,"Review validation checks on sheet","No issues identified"))</f>
        <v>No issues identified</v>
      </c>
      <c r="E16" s="1535" t="str">
        <f>+'2A'!B30</f>
        <v>Please refer to RAG 4.08 - Guideline for the table definitions in the annual performance report for the reporting year 2019-20</v>
      </c>
      <c r="F16" s="479"/>
      <c r="G16" s="479"/>
      <c r="H16" s="479"/>
    </row>
    <row r="17" spans="1:5" ht="20.25" customHeight="1">
      <c r="A17" s="16"/>
      <c r="B17" s="406" t="str">
        <f>+'2B'!B1</f>
        <v>2B - Totex analysis - wholesale water and wastewater</v>
      </c>
      <c r="C17" s="1989" t="str">
        <f>IF($B$3="Select company","",IF((SUM('2B'!Q6:V39))&gt;0,"Review validation checks on sheet","No issues identified"))</f>
        <v>No issues identified</v>
      </c>
      <c r="D17" s="1538" t="str">
        <f>IF($B$3="Select company","",IF((SUM('2B'!V6:X39))&gt;0,"Review validation checks on sheet","No issues identified"))</f>
        <v>No issues identified</v>
      </c>
      <c r="E17" s="1540" t="str">
        <f>+'2B'!B48</f>
        <v>Please refer to RAG 4.08 - Guideline for the table definitions in the annual performance report for the reporting year 2019-20</v>
      </c>
    </row>
    <row r="18" spans="1:5" ht="20.25" customHeight="1">
      <c r="A18" s="16"/>
      <c r="B18" s="406" t="str">
        <f>+'2C'!B1</f>
        <v>2C - Operating cost analysis - retail</v>
      </c>
      <c r="C18" s="17" t="str">
        <f>IF($B$3="Select company","",IF((SUM('2C'!M6:P21))&gt;0,"Review validation checks on sheet","No issues identified"))</f>
        <v>No issues identified</v>
      </c>
      <c r="D18" s="1534"/>
      <c r="E18" s="1540" t="str">
        <f>+'2C'!B30</f>
        <v>Please refer to RAG 4.08 - Guideline for the table definitions in the annual performance report for the reporting year 2019-20</v>
      </c>
    </row>
    <row r="19" spans="1:5" ht="20.25" customHeight="1">
      <c r="A19" s="16"/>
      <c r="B19" s="406" t="str">
        <f>+'2D'!B1</f>
        <v>2D - Historic cost analysis of fixed assets - wholesale &amp; retail</v>
      </c>
      <c r="C19" s="17" t="str">
        <f>IF($B$3="Select company","",IF((SUM('2D'!S7:AA26))&gt;0,"Review validation checks on sheet","No issues identified"))</f>
        <v>No issues identified</v>
      </c>
      <c r="D19" s="1538" t="str">
        <f>IF($B$3="Select company","",IF((SUM('2D'!AA7:AJ27))&gt;0,"Review validation checks on sheet","No issues identified"))</f>
        <v>No issues identified</v>
      </c>
      <c r="E19" s="1540" t="str">
        <f>+'2D'!B36</f>
        <v>Please refer to RAG 4.08 - Guideline for the table definitions in the annual performance report for the reporting year 2019-20</v>
      </c>
    </row>
    <row r="20" spans="1:5" ht="20.25" customHeight="1">
      <c r="A20" s="16"/>
      <c r="B20" s="406" t="str">
        <f>+'2E'!B1</f>
        <v>2E - Analysis of 'grants and contributions' and land sales - wholesale</v>
      </c>
      <c r="C20" s="17" t="str">
        <f>IF($B$3="Select company","",IF((SUM('2E'!N7:R49))&gt;0,"Review validation checks on sheet","No issues identified"))</f>
        <v>No issues identified</v>
      </c>
      <c r="D20" s="1534"/>
      <c r="E20" s="1540" t="str">
        <f>+'2E'!B59</f>
        <v>Please refer to RAG 4.08 - Guideline for the table definitions in the annual performance report for the reporting year 2019-20</v>
      </c>
    </row>
    <row r="21" spans="1:5" ht="20.25" customHeight="1">
      <c r="A21" s="16"/>
      <c r="B21" s="406" t="str">
        <f>+'2F'!B1</f>
        <v>2F - Household - revenues by customer type</v>
      </c>
      <c r="C21" s="17" t="str">
        <f>IF($B$3="Select company","",IF((SUM('2F'!M5:R10))&gt;0,"Review validation checks on sheet","No issues identified"))</f>
        <v>No issues identified</v>
      </c>
      <c r="D21" s="1534"/>
      <c r="E21" s="1540" t="str">
        <f>+'2F'!B20</f>
        <v>Please refer to RAG 4.08 - Guideline for the table definitions in the annual performance report for the reporting year 2019-20</v>
      </c>
    </row>
    <row r="22" spans="1:5" ht="20.25" customHeight="1">
      <c r="A22" s="16"/>
      <c r="B22" s="406" t="str">
        <f>+'2G'!B1</f>
        <v>2G - Non-household water - revenues by tariff type</v>
      </c>
      <c r="C22" s="17" t="str">
        <f>IF($B$3="Select company","",IF((SUM('2G'!N6:R34))&gt;0,"Review validation checks on sheet","No issues identified"))</f>
        <v>Review validation checks on sheet</v>
      </c>
      <c r="D22" s="1538" t="str">
        <f>IF($B$3="Select company","",IF((SUM('2G'!R6:T30))&gt;0,"Review validation checks on sheet","No issues identified"))</f>
        <v>Review validation checks on sheet</v>
      </c>
      <c r="E22" s="1540" t="str">
        <f>+'2G'!B43</f>
        <v>Please refer to RAG 4.08 - Guideline for the table definitions in the annual performance report for the reporting year 2019-20</v>
      </c>
    </row>
    <row r="23" spans="1:5" ht="20.25" customHeight="1">
      <c r="A23" s="16"/>
      <c r="B23" s="406" t="str">
        <f>+'2H'!B1</f>
        <v>2H - Non-household wastewater - revenues by tariff type</v>
      </c>
      <c r="C23" s="17" t="str">
        <f>IF($B$3="Select company","",IF(G3="WoC","",IF((SUM('2H'!N6:R37))&gt;0,"Review validation checks on sheet","No issues identified")))</f>
        <v>Review validation checks on sheet</v>
      </c>
      <c r="D23" s="1538" t="str">
        <f>IF($B$3="Select company","",IF(G3="WoC","",IF((SUM('2H'!R6:T33))&gt;0,"Review validation checks on sheet","No issues identified")))</f>
        <v>Review validation checks on sheet</v>
      </c>
      <c r="E23" s="1540" t="str">
        <f>+'2H'!B46</f>
        <v>Please refer to RAG 4.08 - Guideline for the table definitions in the annual performance report for the reporting year 2019-20</v>
      </c>
    </row>
    <row r="24" spans="1:5" ht="20.25" customHeight="1">
      <c r="A24" s="16"/>
      <c r="B24" s="406" t="str">
        <f>+'2I'!B1</f>
        <v>2I - Revenue analysis</v>
      </c>
      <c r="C24" s="17" t="str">
        <f>IF($B$3="Select company","",IF((SUM('2I'!N6:R50))&gt;0,"Review validation checks on sheet","No issues identified"))</f>
        <v>No issues identified</v>
      </c>
      <c r="D24" s="1538" t="str">
        <f>IF($B$3="Select company","",IF((SUM('2I'!R6:V50))&gt;0,"Review validation checks on sheet","No issues identified"))</f>
        <v>Review validation checks on sheet</v>
      </c>
      <c r="E24" s="1540" t="str">
        <f>+'2I'!B62</f>
        <v>Please refer to RAG 4.08 - Guideline for the table definitions in the annual performance report for the reporting year 2019-20</v>
      </c>
    </row>
    <row r="25" spans="1:5" s="479" customFormat="1" ht="20.25" customHeight="1">
      <c r="A25" s="16"/>
      <c r="B25" s="2176" t="str">
        <f>+'2J'!B1</f>
        <v>2J - Infrastructure network reinforcement costs</v>
      </c>
      <c r="C25" s="17" t="str">
        <f>IF($B$3="Select company","",IF((SUM('2J'!M6:P15))&gt;0,"Review validation checks on sheet","No issues identified"))</f>
        <v>No issues identified</v>
      </c>
      <c r="D25" s="2177" t="str">
        <f>IF($B$3="Select company","",IF((SUM('2J'!P6:R16))&gt;0,"Review validation checks on sheet","No issues identified"))</f>
        <v>Review validation checks on sheet</v>
      </c>
      <c r="E25" s="1540" t="str">
        <f>+'2J'!B25</f>
        <v>Please refer to RAG 4.08 - Guideline for the table definitions in the annual performance report for the reporting year 2019-20</v>
      </c>
    </row>
    <row r="26" spans="1:5" s="479" customFormat="1" ht="20.25" customHeight="1" thickBot="1">
      <c r="A26" s="16"/>
      <c r="B26" s="2174" t="str">
        <f>+'2K'!B1</f>
        <v>2K - Infrastructure charges reconciliation</v>
      </c>
      <c r="C26" s="858" t="str">
        <f>IF($B$3="Select company","",IF((SUM('2K'!M7:P11))&gt;0,"Review validation checks on sheet","No issues identified"))</f>
        <v>No issues identified</v>
      </c>
      <c r="D26" s="2175"/>
      <c r="E26" s="2172" t="str">
        <f>+'2K'!B24</f>
        <v>Please refer to RAG 4.08 - Guideline for the table definitions in the annual performance report for the reporting year 2019-20</v>
      </c>
    </row>
    <row r="27" spans="1:5" ht="15" thickBot="1">
      <c r="A27" s="10"/>
      <c r="B27" s="21"/>
      <c r="C27" s="21"/>
      <c r="D27" s="21"/>
      <c r="E27" s="16"/>
    </row>
    <row r="28" spans="1:5" ht="17.25" thickBot="1">
      <c r="A28" s="10"/>
      <c r="B28" s="22" t="s">
        <v>29</v>
      </c>
      <c r="C28" s="12" t="s">
        <v>25</v>
      </c>
      <c r="D28" s="13" t="s">
        <v>26</v>
      </c>
      <c r="E28" s="14" t="s">
        <v>27</v>
      </c>
    </row>
    <row r="29" spans="1:5" ht="20.25" customHeight="1">
      <c r="A29" s="23"/>
      <c r="B29" s="405" t="str">
        <f>+'3A'!B1</f>
        <v>3A - Outcome performance table</v>
      </c>
      <c r="C29" s="15" t="str">
        <f>IF($B$3="Select company","",IF((SUM('3A'!U5:AE60))&gt;0,"Review validation checks on sheet","No issues identified"))</f>
        <v>No issues identified</v>
      </c>
      <c r="D29" s="1537" t="str">
        <f>IF($B$3="Select company","",IF((SUM('3A'!AE5:AH60))&gt;0,"Review validation checks on sheet","No issues identified"))</f>
        <v>No issues identified</v>
      </c>
      <c r="E29" s="1541" t="str">
        <f>+'3A'!B69</f>
        <v>Please refer to RAG 4.08 - Guideline for the table definitions in the annual performance report for the reporting year 2019-20</v>
      </c>
    </row>
    <row r="30" spans="1:5" s="479" customFormat="1" ht="20.25" customHeight="1">
      <c r="A30" s="23"/>
      <c r="B30" s="406" t="str">
        <f>+'3B'!B1</f>
        <v>3B - Sub-measure performance table</v>
      </c>
      <c r="C30" s="17" t="str">
        <f>IF($B$3="Select company","",IF((SUM('3B'!O5:R44))&gt;0,"Review validation checks on sheet","No issues identified"))</f>
        <v>No issues identified</v>
      </c>
      <c r="D30" s="1538" t="str">
        <f>IF($B$3="Select company","",IF((SUM('3B'!R5:U44))&gt;0,"Review validation checks on sheet","No issues identified"))</f>
        <v>No issues identified</v>
      </c>
      <c r="E30" s="1540" t="str">
        <f>+'3B'!B53</f>
        <v>Please refer to RAG 4.08 - Guideline for the table definitions in the annual performance report for the reporting year 2019-20</v>
      </c>
    </row>
    <row r="31" spans="1:5" s="479" customFormat="1" ht="20.25" customHeight="1">
      <c r="A31" s="23"/>
      <c r="B31" s="406" t="str">
        <f>+'3C'!B1</f>
        <v>3C - AIM table</v>
      </c>
      <c r="C31" s="17" t="str">
        <f>IF($B$3="Select company","",IF((SUM('3C'!N5:T29))&gt;0,"Review validation checks on sheet","No issues identified"))</f>
        <v>No issues identified</v>
      </c>
      <c r="D31" s="1538" t="str">
        <f>IF($B$3="Select company","",IF((SUM('3C'!T5:Z29))&gt;0,"Review validation checks on sheet","No issues identified"))</f>
        <v>No issues identified</v>
      </c>
      <c r="E31" s="1536" t="str">
        <f>+'3C'!B39</f>
        <v>Please refer to RAG 4.08 - Guideline for the table definitions in the annual performance report for the reporting year 2019-20</v>
      </c>
    </row>
    <row r="32" spans="1:5" s="479" customFormat="1" ht="20.25" customHeight="1" thickBot="1">
      <c r="A32" s="23"/>
      <c r="B32" s="406" t="str">
        <f>+'3D'!B1</f>
        <v>3D - SIM table</v>
      </c>
      <c r="C32" s="17" t="str">
        <f>IF($B$3="Select company","",IF((SUM('3D'!K7:M12))&gt;0,"Review validation checks on sheet","No issues identified"))</f>
        <v>No issues identified</v>
      </c>
      <c r="D32" s="1538" t="str">
        <f>IF($B$3="Select company","",IF((SUM('3D'!M7:Q12))&gt;0,"Review validation checks on sheet","No issues identified"))</f>
        <v>No issues identified</v>
      </c>
      <c r="E32" s="1536" t="str">
        <f>+'3D'!B23</f>
        <v>Please refer to 'RAG 4.08 - Guideline for the table definitions in the annual performance report for the reporting year 2019-20 and the information notice 'Expectations for monopoly company annual performance reporting 2019-20'</v>
      </c>
    </row>
    <row r="33" spans="1:5" s="479" customFormat="1" ht="20.25" customHeight="1" thickBot="1">
      <c r="A33" s="23"/>
      <c r="B33" s="857" t="str">
        <f>+'3S'!B2</f>
        <v>3S - Shadow reporting of new definition data</v>
      </c>
      <c r="C33" s="858" t="str">
        <f>IF($B$3="Select company","",IF(SUM('3S'!LF7:LF71)&gt;0,"Review validation checks on sheet","No issues identified"))</f>
        <v>No issues identified</v>
      </c>
      <c r="D33" s="1539"/>
      <c r="E33" s="2289" t="str">
        <f>+'3S'!B79</f>
        <v>3S line guidance</v>
      </c>
    </row>
    <row r="34" spans="1:5" ht="15" thickBot="1">
      <c r="A34" s="10"/>
      <c r="B34" s="21"/>
      <c r="C34" s="21"/>
      <c r="D34" s="21"/>
      <c r="E34" s="16"/>
    </row>
    <row r="35" spans="1:5" ht="17.25" thickBot="1">
      <c r="A35" s="10"/>
      <c r="B35" s="22" t="s">
        <v>30</v>
      </c>
      <c r="C35" s="12" t="s">
        <v>25</v>
      </c>
      <c r="D35" s="13" t="s">
        <v>26</v>
      </c>
      <c r="E35" s="14" t="s">
        <v>27</v>
      </c>
    </row>
    <row r="36" spans="1:5" ht="20.25" customHeight="1">
      <c r="A36" s="16"/>
      <c r="B36" s="405" t="str">
        <f>+'4A'!B1</f>
        <v>4A - Non-financial information</v>
      </c>
      <c r="C36" s="15" t="str">
        <f>IF($B$3="Select company","",IF((SUM('4A'!L8:O17))&gt;0,"Review validation checks on sheet","No issues identified"))</f>
        <v>No issues identified</v>
      </c>
      <c r="D36" s="1533"/>
      <c r="E36" s="1535" t="str">
        <f>+'4A'!B26</f>
        <v>Please refer to RAG 4.08 - Guideline for the table definitions in the annual performance report for the reporting year 2019-20</v>
      </c>
    </row>
    <row r="37" spans="1:5" ht="20.25" customHeight="1">
      <c r="A37" s="16"/>
      <c r="B37" s="406" t="str">
        <f>+'4B'!B1</f>
        <v xml:space="preserve">4B - Wholesale totex analysis </v>
      </c>
      <c r="C37" s="17" t="str">
        <f>IF($B$3="Select company","",IF((SUM('4B'!P7:W23))&gt;0,"Review validation checks on sheet","No issues identified"))</f>
        <v>No issues identified</v>
      </c>
      <c r="D37" s="1534"/>
      <c r="E37" s="1536" t="str">
        <f>+'4B'!B33</f>
        <v>Please refer to RAG 4.08 - Guideline for the table definitions in the annual performance report for the reporting year 2019-20</v>
      </c>
    </row>
    <row r="38" spans="1:5" ht="20.25" customHeight="1">
      <c r="A38" s="16"/>
      <c r="B38" s="406" t="str">
        <f>+'4C'!B1</f>
        <v>4C - Impact of AMP performance to date on RCV</v>
      </c>
      <c r="C38" s="17" t="str">
        <f>IF($B$3="Select company","",IF((SUM('4C'!M6:Q10))&gt;0,"Review validation checks on sheet","No issues identified"))</f>
        <v>No issues identified</v>
      </c>
      <c r="D38" s="1534"/>
      <c r="E38" s="1540" t="str">
        <f>+'4C'!B20</f>
        <v>Please refer to RAG 4.08 - Guideline for the table definitions in the annual performance report for the reporting year 2019-20</v>
      </c>
    </row>
    <row r="39" spans="1:5" ht="20.25" customHeight="1">
      <c r="A39" s="16"/>
      <c r="B39" s="406" t="str">
        <f>+'4D'!B1</f>
        <v>4D - Wholesale totex analysis - water</v>
      </c>
      <c r="C39" s="17" t="str">
        <f>IF($B$3="Select company","",IF((SUM('4D'!R7:Y49))&gt;0,"Review validation checks on sheet","No issues identified"))</f>
        <v>No issues identified</v>
      </c>
      <c r="D39" s="1538" t="str">
        <f>IF($B$3="Select company","",IF((SUM('4D'!Y7:AA50))&gt;0,"Review validation checks on sheet","No issues identified"))</f>
        <v>No issues identified</v>
      </c>
      <c r="E39" s="1540" t="str">
        <f>+'4D'!B59</f>
        <v>Please refer to RAG 4.08 - Guideline for the table definitions in the annual performance report for the reporting year 2019-20</v>
      </c>
    </row>
    <row r="40" spans="1:5" ht="20.25" customHeight="1">
      <c r="A40" s="16"/>
      <c r="B40" s="406" t="str">
        <f>+'4E'!B1</f>
        <v>4E - Wholesale totex analysis - wastewater</v>
      </c>
      <c r="C40" s="17" t="str">
        <f>IF($B$3="Select company","",IF(G3="WoC","",IF((SUM('4E'!T7:AC51))&gt;0,"Review validation checks on sheet","No issues identified")))</f>
        <v>No issues identified</v>
      </c>
      <c r="D40" s="1538" t="str">
        <f>IF($B$3="Select company","",IF(G3="WoC","",IF((SUM('4E'!AC7:AE52))&gt;0,"Review validation checks on sheet","No issues identified")))</f>
        <v>No issues identified</v>
      </c>
      <c r="E40" s="1540" t="str">
        <f>+'4E'!B61</f>
        <v>Please refer to RAG 4.08 - Guideline for the table definitions in the annual performance report for the reporting year 2019-20</v>
      </c>
    </row>
    <row r="41" spans="1:5" ht="20.25" customHeight="1">
      <c r="A41" s="16"/>
      <c r="B41" s="406" t="str">
        <f>+'4F'!B1</f>
        <v>4F - Cost analysis - household retail</v>
      </c>
      <c r="C41" s="17" t="str">
        <f>IF($B$3="Select company","",IF((SUM('4F'!T7:AB30))&gt;0,"Review validation checks on sheet","No issues identified"))</f>
        <v>No issues identified</v>
      </c>
      <c r="D41" s="1538" t="str">
        <f>IF($B$3="Select company","",IF((SUM('4F'!AB7:AD31))&gt;0,"Review validation checks on sheet","No issues identified"))</f>
        <v>No issues identified</v>
      </c>
      <c r="E41" s="1540" t="str">
        <f>+'4F'!B40</f>
        <v>Please refer to RAG 4.08 - Guideline for the table definitions in the annual performance report for the reporting year 2019-20</v>
      </c>
    </row>
    <row r="42" spans="1:5" ht="20.25" customHeight="1">
      <c r="A42" s="16"/>
      <c r="B42" s="406" t="str">
        <f>+'4G'!B1</f>
        <v>4G - Wholesale current cost financial performance</v>
      </c>
      <c r="C42" s="17" t="str">
        <f>IF($B$3="Select company","",IF((SUM('4G'!O5:S17))&gt;0,"Review validation checks on sheet","No issues identified"))</f>
        <v>No issues identified</v>
      </c>
      <c r="D42" s="1538" t="str">
        <f>IF($B$3="Select company","",IF((SUM('4G'!S5:U17))&gt;0,"Review validation checks on sheet","No issues identified"))</f>
        <v>No issues identified</v>
      </c>
      <c r="E42" s="1540" t="str">
        <f>+'4G'!B28</f>
        <v>Please refer to RAG 4.08 - Guideline for the table definitions in the annual performance report for the reporting year 2019-20</v>
      </c>
    </row>
    <row r="43" spans="1:5" ht="20.25" customHeight="1">
      <c r="A43" s="16"/>
      <c r="B43" s="406" t="str">
        <f>+'4H'!B1</f>
        <v>4H - Financial metrics</v>
      </c>
      <c r="C43" s="17" t="str">
        <f>IF($B$3="Select company","",IF((SUM('4H'!M10:P47))&gt;0,"Review validation checks on sheet","No issues identified"))</f>
        <v>No issues identified</v>
      </c>
      <c r="D43" s="1538" t="str">
        <f>IF($B$3="Select company","",IF((SUM('4H'!P7:R47))&gt;0,"Review validation checks on sheet","No issues identified"))</f>
        <v>No issues identified</v>
      </c>
      <c r="E43" s="1536" t="str">
        <f>+'4H'!B56</f>
        <v>Please refer to RAG 4.08 - Guideline for the table definitions in the annual performance report for the reporting year 2019-20</v>
      </c>
    </row>
    <row r="44" spans="1:5" ht="20.25" customHeight="1">
      <c r="A44" s="16"/>
      <c r="B44" s="406" t="str">
        <f>+'4I'!B1</f>
        <v>4I - Financial derivatives</v>
      </c>
      <c r="C44" s="17" t="str">
        <f>IF($B$3="Select company","",IF((SUM('4I'!T8:AB41))&gt;0,"Review validation checks on sheet","No issues identified"))</f>
        <v>No issues identified</v>
      </c>
      <c r="D44" s="1538" t="str">
        <f>IF($B$3="Select company","",IF((SUM('4I'!AB8:AD44))&gt;0,"Review validation checks on sheet","No issues identified"))</f>
        <v>Review validation checks on sheet</v>
      </c>
      <c r="E44" s="1536" t="str">
        <f>+'4I'!B53</f>
        <v>Please refer to RAG 4.08 - Guideline for the table definitions in the annual performance report for the reporting year 2019-20</v>
      </c>
    </row>
    <row r="45" spans="1:5" ht="19.5" customHeight="1">
      <c r="A45" s="479"/>
      <c r="B45" s="406" t="str">
        <f>+'4J'!B1</f>
        <v>4J - Atypical expenditure by business unit - Wholesale water</v>
      </c>
      <c r="C45" s="17" t="str">
        <f>IF($B$3="Select company","",IF((SUM('4J'!R7:Z48))&gt;0,"Review validation checks on sheet","No issues identified"))</f>
        <v>No issues identified</v>
      </c>
      <c r="D45" s="1538" t="str">
        <f>IF($B$3="Select company","",IF((SUM('4J'!Z30:AB52))&gt;0,"Review validation checks on sheet","No issues identified"))</f>
        <v>No issues identified</v>
      </c>
      <c r="E45" s="1536" t="str">
        <f>+'4J'!B61</f>
        <v>Please refer to RAG 4.08 - Guideline for the table definitions in the annual performance report for the reporting year 2019-20</v>
      </c>
    </row>
    <row r="46" spans="1:5" ht="19.5" customHeight="1">
      <c r="A46" s="479"/>
      <c r="B46" s="406" t="str">
        <f>+'4K'!B1</f>
        <v>4K - Atypical expenditure by business unit - Wholesale wastewater</v>
      </c>
      <c r="C46" s="17" t="str">
        <f>IF($B$3="Select company","",IF(G3="WoC","",IF((SUM('4K'!T7:AD48))&gt;0,"Review validation checks on sheet","No issues identified")))</f>
        <v>No issues identified</v>
      </c>
      <c r="D46" s="1538" t="str">
        <f>IF($B$3="Select company","",IF(G3="WoC","",IF((SUM('4K'!AD30:AF52))&gt;0,"Review validation checks on sheet","No issues identified")))</f>
        <v>No issues identified</v>
      </c>
      <c r="E46" s="1536" t="str">
        <f>+'4K'!B61</f>
        <v>Please refer to RAG 4.08 - Guideline for the table definitions in the annual performance report for the reporting year 2019-20</v>
      </c>
    </row>
    <row r="47" spans="1:5" ht="19.5" customHeight="1">
      <c r="A47" s="479"/>
      <c r="B47" s="406" t="str">
        <f>+'4L'!B1</f>
        <v>4L - Enhancement expenditure by purpose - Wholesale water</v>
      </c>
      <c r="C47" s="17" t="str">
        <f>IF($B$3="Select company","",IF((SUM('4L'!Y8:AN44))&gt;0,"Review validation checks on sheet","No issues identified"))</f>
        <v>No issues identified</v>
      </c>
      <c r="D47" s="1538" t="str">
        <f>IF($B$3="Select company","",IF((SUM('4L'!AN45:AP47))&gt;0,"Review validation checks on sheet","No issues identified"))</f>
        <v>No issues identified</v>
      </c>
      <c r="E47" s="1536" t="str">
        <f>+'4L'!B54</f>
        <v>Please refer to RAG 4.08 - Guideline for the table definitions in the annual performance report for the reporting year 2019-20</v>
      </c>
    </row>
    <row r="48" spans="1:5" ht="19.5" customHeight="1">
      <c r="A48" s="479"/>
      <c r="B48" s="406" t="str">
        <f>+'4M'!B1</f>
        <v>4M - Enhancement expenditure by purpose - Wholesale wastewater</v>
      </c>
      <c r="C48" s="17" t="str">
        <f>IF($B$3="Select company","",IF(G3="WoC","",IF((SUM('4M'!AC8:AV51))&gt;0,"Review validation checks on sheet","No issues identified")))</f>
        <v>No issues identified</v>
      </c>
      <c r="D48" s="1538" t="str">
        <f>IF($B$3="Select company","",IF(G3="WoC","",IF((SUM('4M'!AV52:AX53))&gt;0,"Review validation checks on sheet","No issues identified")))</f>
        <v>No issues identified</v>
      </c>
      <c r="E48" s="1536" t="str">
        <f>+'4M'!B61</f>
        <v>Please refer to RAG 4.08 - Guideline for the table definitions in the annual performance report for the reporting year 2019-20</v>
      </c>
    </row>
    <row r="49" spans="1:5" ht="19.5" customHeight="1">
      <c r="A49" s="479"/>
      <c r="B49" s="406" t="str">
        <f>+'4N'!B1</f>
        <v>4N - Sewage treatment - Functional expenditure</v>
      </c>
      <c r="C49" s="17" t="str">
        <f>IF($B$3="Select company","",IF(G3="WoC","",IF((SUM('4N'!L6:N21))&gt;0,"Review validation checks on sheet","No issues identified")))</f>
        <v>No issues identified</v>
      </c>
      <c r="D49" s="1542"/>
      <c r="E49" s="1536" t="str">
        <f>+'4N'!B30</f>
        <v>Please refer to RAG 4.08 - Guideline for the table definitions in the annual performance report for the reporting year 2019-20</v>
      </c>
    </row>
    <row r="50" spans="1:5" ht="19.5" customHeight="1">
      <c r="A50" s="479"/>
      <c r="B50" s="406" t="str">
        <f>+'4O'!B1</f>
        <v>4O - Large sewage treatment works - Wholesale wastewater</v>
      </c>
      <c r="C50" s="1542"/>
      <c r="D50" s="1542"/>
      <c r="E50" s="1536" t="str">
        <f>+'4O'!B32</f>
        <v>Please refer to RAG 4.08 - Guideline for the table definitions in the annual performance report for the reporting year 2019-20</v>
      </c>
    </row>
    <row r="51" spans="1:5" ht="19.5" customHeight="1">
      <c r="A51" s="479"/>
      <c r="B51" s="406" t="str">
        <f>+'4P'!B1</f>
        <v>4P - Non-financial data for WR, WT and WD - Wholesale water</v>
      </c>
      <c r="C51" s="17" t="str">
        <f>IF($B$3="Select company","",IF((SUM('4P'!L6:N123))&gt;0,"Review validation checks on sheet","No issues identified"))</f>
        <v>No issues identified</v>
      </c>
      <c r="D51" s="1538" t="str">
        <f>IF($B$3="Select company","",IF((SUM('4P'!N13:P13))&gt;0,"Review validation checks on sheet","No issues identified"))</f>
        <v>No issues identified</v>
      </c>
      <c r="E51" s="1536" t="str">
        <f>+'4P'!B132</f>
        <v>Please refer to RAG 4.08 - Guideline for the table definitions in the annual performance report for the reporting year 2019-20</v>
      </c>
    </row>
    <row r="52" spans="1:5" ht="19.5" customHeight="1">
      <c r="A52" s="479"/>
      <c r="B52" s="406" t="str">
        <f>+'4Q'!B1</f>
        <v>4Q - Non-financial data - Properties, population and other - Wholesale water</v>
      </c>
      <c r="C52" s="17" t="str">
        <f>IF($B$3="Select company","",IF((SUM('4Q'!L6:N37))&gt;0,"Review validation checks on sheet","No issues identified"))</f>
        <v>No issues identified</v>
      </c>
      <c r="D52" s="1542"/>
      <c r="E52" s="1536" t="str">
        <f>+'4Q'!B46</f>
        <v>Please refer to RAG 4.08 - Guideline for the table definitions in the annual performance report for the reporting year 2019-20</v>
      </c>
    </row>
    <row r="53" spans="1:5" ht="19.5" customHeight="1">
      <c r="A53" s="479"/>
      <c r="B53" s="406" t="str">
        <f>+'4R'!B1</f>
        <v>4R - Non-financial data - Wastewater network and sludge - Wholesale wastewater</v>
      </c>
      <c r="C53" s="17" t="str">
        <f>IF($B$3="Select company","",IF(G3="WoC","",IF((SUM('4R'!L6:N55))&gt;0,"Review validation checks on sheet","No issues identified")))</f>
        <v>No issues identified</v>
      </c>
      <c r="D53" s="1542"/>
      <c r="E53" s="1536" t="str">
        <f>+'4R'!B64</f>
        <v>Please refer to RAG 4.08 - Guideline for the table definitions in the annual performance report for the reporting year 2019-20</v>
      </c>
    </row>
    <row r="54" spans="1:5" ht="19.5" customHeight="1">
      <c r="A54" s="479"/>
      <c r="B54" s="406" t="str">
        <f>+'4S'!B1</f>
        <v>4S - Non-financial data - sewage treatment - Wholesale wastewater</v>
      </c>
      <c r="C54" s="17" t="str">
        <f>IF($B$3="Select company","",IF(G3="WoC","",IF((SUM('4S'!AK8:BL38))&gt;0,"Review validation checks on sheet","No issues identified")))</f>
        <v>No issues identified</v>
      </c>
      <c r="D54" s="1542"/>
      <c r="E54" s="1536" t="str">
        <f>+'4S'!B47</f>
        <v>Please refer to RAG 4.08 - Guideline for the table definitions in the annual performance report for the reporting year 2019-20</v>
      </c>
    </row>
    <row r="55" spans="1:5" ht="19.5" customHeight="1">
      <c r="A55" s="479"/>
      <c r="B55" s="406" t="str">
        <f>+'4T'!B1</f>
        <v>4T - Non-financial data - sludge treatment - Wholesale wastewater</v>
      </c>
      <c r="C55" s="17" t="str">
        <f>IF($B$3="Select company","",IF(G3="WoC","",IF((SUM('4T'!M6:P21))&gt;0,"Review validation checks on sheet","No issues identified")))</f>
        <v>No issues identified</v>
      </c>
      <c r="D55" s="1538" t="str">
        <f>IF($B$3="Select company","",IF(G3="WoC","",IF((SUM('4T'!P14:R22))&gt;0,"Review validation checks on sheet","No issues identified")))</f>
        <v>No issues identified</v>
      </c>
      <c r="E55" s="1536" t="str">
        <f>+'4T'!B31</f>
        <v>Please refer to RAG 4.08 - Guideline for the table definitions in the annual performance report for the reporting year 2019-20</v>
      </c>
    </row>
    <row r="56" spans="1:5" ht="19.5" customHeight="1">
      <c r="A56" s="479"/>
      <c r="B56" s="406" t="str">
        <f>+'4U'!B1</f>
        <v>4U - Non-financial data - Properties, population and other - Wholesale wastewater</v>
      </c>
      <c r="C56" s="17" t="str">
        <f>IF($B$3="Select company","",IF((SUM('4U'!L6:N31))&gt;0,"Review validation checks on sheet","No issues identified"))</f>
        <v>No issues identified</v>
      </c>
      <c r="D56" s="1542"/>
      <c r="E56" s="1536" t="str">
        <f>+'4U'!B40</f>
        <v>Please refer to RAG 4.08 - Guideline for the table definitions in the annual performance report for the reporting year 2019-20</v>
      </c>
    </row>
    <row r="57" spans="1:5" ht="19.5" customHeight="1">
      <c r="A57" s="479"/>
      <c r="B57" s="406" t="str">
        <f>+'4V'!B1</f>
        <v xml:space="preserve">4V - Operating cost analysis - water resources </v>
      </c>
      <c r="C57" s="17" t="str">
        <f>IF($B$3="Select company","",IF((SUM('4V'!S7:AA36))&gt;0,"Review validation checks on sheet","No issues identified"))</f>
        <v>No issues identified</v>
      </c>
      <c r="D57" s="1538" t="str">
        <f>IF($B$3="Select company","",IF((SUM('4V'!AA18:AC34))&gt;0,"Review validation checks on sheet","No issues identified"))</f>
        <v>No issues identified</v>
      </c>
      <c r="E57" s="1536" t="str">
        <f>+'4V'!B45</f>
        <v>Please refer to RAG 4.08 - Guideline for the table definitions in the annual performance report for the reporting year 2019-20</v>
      </c>
    </row>
    <row r="58" spans="1:5" ht="19.5" customHeight="1" thickBot="1">
      <c r="A58" s="479"/>
      <c r="B58" s="407" t="str">
        <f>+'4W'!B1</f>
        <v>4W - Operating cost analysis - sludge transport, treatment and disposal</v>
      </c>
      <c r="C58" s="18" t="str">
        <f>IF($B$3="Select company","",IF(G3="WoC","",IF((SUM('4W'!T6:AC68))&gt;0,"Review validation checks on sheet","No issues identified")))</f>
        <v>No issues identified</v>
      </c>
      <c r="D58" s="1589" t="str">
        <f>IF($B$3="Select company","",IF(G3="WoC","",IF((SUM('4W'!AC17:AE49))&gt;0,"Review validation checks on sheet","No issues identified")))</f>
        <v>No issues identified</v>
      </c>
      <c r="E58" s="1543" t="str">
        <f>+'4W'!B77</f>
        <v>Please refer to RAG 4.08 - Guideline for the table definitions in the annual performance report for the reporting year 2019-20</v>
      </c>
    </row>
    <row r="59" spans="1:5" ht="15" thickBot="1">
      <c r="A59" s="479"/>
      <c r="B59" s="479"/>
      <c r="C59" s="479"/>
      <c r="D59" s="479"/>
      <c r="E59" s="479"/>
    </row>
    <row r="60" spans="1:5" s="479" customFormat="1" ht="17.25" thickBot="1">
      <c r="A60" s="10"/>
      <c r="B60" s="22" t="s">
        <v>31</v>
      </c>
      <c r="C60" s="12" t="s">
        <v>25</v>
      </c>
      <c r="D60" s="13" t="s">
        <v>26</v>
      </c>
      <c r="E60" s="14" t="s">
        <v>27</v>
      </c>
    </row>
    <row r="61" spans="1:5" s="479" customFormat="1" ht="20.25" customHeight="1" thickBot="1">
      <c r="A61" s="16"/>
      <c r="B61" s="1530" t="str">
        <f>+Bioresources!B1</f>
        <v>Bidding activity: bioresources market</v>
      </c>
      <c r="C61" s="1531" t="str">
        <f>IF($B$3="Select company","",IF(G3="WoC","",IF((SUM(Bioresources!K6:M41))&gt;0,"Review validation checks on sheet","No issues identified")))</f>
        <v>No issues identified</v>
      </c>
      <c r="D61" s="1532"/>
      <c r="E61" s="2289" t="str">
        <f ca="1">+Bioresources!B49</f>
        <v>Bioresources - Line definitions</v>
      </c>
    </row>
  </sheetData>
  <sheetProtection algorithmName="SHA-512" hashValue="DVjvbc+W9XXl8DVsJ/vIIat8iewEaAL3f5wjjZG/1e9h2l/1iMt+2+c6XPzEfuD2hcDMCuJkOIlnS/0aPFQF5g==" saltValue="cWCZWEBL744SXMph9xkpxw==" spinCount="100000" sheet="1" objects="1" scenarios="1"/>
  <mergeCells count="1">
    <mergeCell ref="B5:E5"/>
  </mergeCells>
  <conditionalFormatting sqref="C36:C43 C8:C12 D43 D16 C24:D25 D39:D41 C16:C24">
    <cfRule type="cellIs" dxfId="1492" priority="137" operator="equal">
      <formula>"Review validation checks on sheet"</formula>
    </cfRule>
  </conditionalFormatting>
  <conditionalFormatting sqref="C23:D23 C40:D40 C61:D61">
    <cfRule type="expression" dxfId="1491" priority="136">
      <formula>$H$3=1</formula>
    </cfRule>
  </conditionalFormatting>
  <conditionalFormatting sqref="D30:D31">
    <cfRule type="cellIs" dxfId="1490" priority="127" operator="equal">
      <formula>"Review validation checks on sheet"</formula>
    </cfRule>
  </conditionalFormatting>
  <conditionalFormatting sqref="D22">
    <cfRule type="cellIs" dxfId="1489" priority="134" operator="equal">
      <formula>"Review validation checks on sheet"</formula>
    </cfRule>
  </conditionalFormatting>
  <conditionalFormatting sqref="D23">
    <cfRule type="cellIs" dxfId="1488" priority="133" operator="equal">
      <formula>"Review validation checks on sheet"</formula>
    </cfRule>
  </conditionalFormatting>
  <conditionalFormatting sqref="D23">
    <cfRule type="expression" dxfId="1487" priority="132">
      <formula>$H$3=1</formula>
    </cfRule>
  </conditionalFormatting>
  <conditionalFormatting sqref="C8:D12 C36:D43 C16:D25">
    <cfRule type="containsBlanks" dxfId="1486" priority="131">
      <formula>LEN(TRIM(C8))=0</formula>
    </cfRule>
  </conditionalFormatting>
  <conditionalFormatting sqref="D29:D31 C30:D31">
    <cfRule type="cellIs" dxfId="1485" priority="128" operator="equal">
      <formula>"Review validation checks on sheet"</formula>
    </cfRule>
  </conditionalFormatting>
  <conditionalFormatting sqref="C29:D31">
    <cfRule type="containsBlanks" dxfId="1484" priority="125">
      <formula>LEN(TRIM(C29))=0</formula>
    </cfRule>
    <cfRule type="cellIs" dxfId="1483" priority="130" operator="equal">
      <formula>"Review validation checks on sheet"</formula>
    </cfRule>
  </conditionalFormatting>
  <conditionalFormatting sqref="D42">
    <cfRule type="cellIs" dxfId="1482" priority="124" operator="equal">
      <formula>"Review validation checks on sheet"</formula>
    </cfRule>
  </conditionalFormatting>
  <conditionalFormatting sqref="D17">
    <cfRule type="cellIs" dxfId="1481" priority="123" operator="equal">
      <formula>"Review validation checks on sheet"</formula>
    </cfRule>
  </conditionalFormatting>
  <conditionalFormatting sqref="D17">
    <cfRule type="cellIs" dxfId="1480" priority="122" operator="equal">
      <formula>"Review validation checks on sheet"</formula>
    </cfRule>
  </conditionalFormatting>
  <conditionalFormatting sqref="D19">
    <cfRule type="cellIs" dxfId="1479" priority="121" operator="equal">
      <formula>"Review validation checks on sheet"</formula>
    </cfRule>
  </conditionalFormatting>
  <conditionalFormatting sqref="D19">
    <cfRule type="cellIs" dxfId="1478" priority="120" operator="equal">
      <formula>"Review validation checks on sheet"</formula>
    </cfRule>
  </conditionalFormatting>
  <conditionalFormatting sqref="C25:D25">
    <cfRule type="cellIs" dxfId="1477" priority="119" operator="equal">
      <formula>"Review validation checks on sheet"</formula>
    </cfRule>
  </conditionalFormatting>
  <conditionalFormatting sqref="C25:D25">
    <cfRule type="containsBlanks" dxfId="1476" priority="118">
      <formula>LEN(TRIM(C25))=0</formula>
    </cfRule>
  </conditionalFormatting>
  <conditionalFormatting sqref="D24">
    <cfRule type="cellIs" dxfId="1475" priority="116" operator="equal">
      <formula>"Review validation checks on sheet"</formula>
    </cfRule>
  </conditionalFormatting>
  <conditionalFormatting sqref="D33">
    <cfRule type="cellIs" dxfId="1474" priority="114" operator="equal">
      <formula>"Review validation checks on sheet"</formula>
    </cfRule>
  </conditionalFormatting>
  <conditionalFormatting sqref="D33">
    <cfRule type="containsBlanks" dxfId="1473" priority="113">
      <formula>LEN(TRIM(D33))=0</formula>
    </cfRule>
  </conditionalFormatting>
  <conditionalFormatting sqref="D33">
    <cfRule type="cellIs" dxfId="1472" priority="112" operator="equal">
      <formula>"Review validation checks on sheet"</formula>
    </cfRule>
  </conditionalFormatting>
  <conditionalFormatting sqref="D33">
    <cfRule type="containsBlanks" dxfId="1471" priority="111">
      <formula>LEN(TRIM(D33))=0</formula>
    </cfRule>
  </conditionalFormatting>
  <conditionalFormatting sqref="C32:D32">
    <cfRule type="cellIs" dxfId="1470" priority="109" operator="equal">
      <formula>"Review validation checks on sheet"</formula>
    </cfRule>
  </conditionalFormatting>
  <conditionalFormatting sqref="D32">
    <cfRule type="cellIs" dxfId="1469" priority="108" operator="equal">
      <formula>"Review validation checks on sheet"</formula>
    </cfRule>
  </conditionalFormatting>
  <conditionalFormatting sqref="C32:D32">
    <cfRule type="containsBlanks" dxfId="1468" priority="107">
      <formula>LEN(TRIM(C32))=0</formula>
    </cfRule>
    <cfRule type="cellIs" dxfId="1467" priority="110" operator="equal">
      <formula>"Review validation checks on sheet"</formula>
    </cfRule>
  </conditionalFormatting>
  <conditionalFormatting sqref="D49:D50 D52:D54 D56">
    <cfRule type="cellIs" dxfId="1466" priority="106" operator="equal">
      <formula>"Review validation checks on sheet"</formula>
    </cfRule>
  </conditionalFormatting>
  <conditionalFormatting sqref="D49:D50 D52:D54 D56">
    <cfRule type="containsBlanks" dxfId="1465" priority="105">
      <formula>LEN(TRIM(D49))=0</formula>
    </cfRule>
  </conditionalFormatting>
  <conditionalFormatting sqref="D49:D50 D52:D54 D56">
    <cfRule type="cellIs" dxfId="1464" priority="104" operator="equal">
      <formula>"Review validation checks on sheet"</formula>
    </cfRule>
  </conditionalFormatting>
  <conditionalFormatting sqref="D49:D50 D52:D54 D56">
    <cfRule type="containsBlanks" dxfId="1463" priority="103">
      <formula>LEN(TRIM(D49))=0</formula>
    </cfRule>
  </conditionalFormatting>
  <conditionalFormatting sqref="C44:D44">
    <cfRule type="cellIs" dxfId="1462" priority="102" operator="equal">
      <formula>"Review validation checks on sheet"</formula>
    </cfRule>
  </conditionalFormatting>
  <conditionalFormatting sqref="C44:D44">
    <cfRule type="containsBlanks" dxfId="1461" priority="101">
      <formula>LEN(TRIM(C44))=0</formula>
    </cfRule>
  </conditionalFormatting>
  <conditionalFormatting sqref="D49:D50 D52:D54 D56">
    <cfRule type="cellIs" dxfId="1460" priority="100" operator="equal">
      <formula>"Review validation checks on sheet"</formula>
    </cfRule>
  </conditionalFormatting>
  <conditionalFormatting sqref="D49:D50 D52:D54 D56">
    <cfRule type="containsBlanks" dxfId="1459" priority="99">
      <formula>LEN(TRIM(D49))=0</formula>
    </cfRule>
  </conditionalFormatting>
  <conditionalFormatting sqref="C33">
    <cfRule type="cellIs" dxfId="1458" priority="92" operator="equal">
      <formula>"Review validation checks on sheet"</formula>
    </cfRule>
  </conditionalFormatting>
  <conditionalFormatting sqref="C33">
    <cfRule type="containsBlanks" dxfId="1457" priority="91">
      <formula>LEN(TRIM(C33))=0</formula>
    </cfRule>
  </conditionalFormatting>
  <conditionalFormatting sqref="C33">
    <cfRule type="cellIs" dxfId="1456" priority="90" operator="equal">
      <formula>"Review validation checks on sheet"</formula>
    </cfRule>
  </conditionalFormatting>
  <conditionalFormatting sqref="C33">
    <cfRule type="containsBlanks" dxfId="1455" priority="89">
      <formula>LEN(TRIM(C33))=0</formula>
    </cfRule>
  </conditionalFormatting>
  <conditionalFormatting sqref="C24">
    <cfRule type="cellIs" dxfId="1454" priority="94" operator="equal">
      <formula>"Review validation checks on sheet"</formula>
    </cfRule>
  </conditionalFormatting>
  <conditionalFormatting sqref="C24">
    <cfRule type="containsBlanks" dxfId="1453" priority="93">
      <formula>LEN(TRIM(C24))=0</formula>
    </cfRule>
  </conditionalFormatting>
  <conditionalFormatting sqref="C45">
    <cfRule type="cellIs" dxfId="1452" priority="82" operator="equal">
      <formula>"Review validation checks on sheet"</formula>
    </cfRule>
  </conditionalFormatting>
  <conditionalFormatting sqref="C45">
    <cfRule type="containsBlanks" dxfId="1451" priority="81">
      <formula>LEN(TRIM(C45))=0</formula>
    </cfRule>
  </conditionalFormatting>
  <conditionalFormatting sqref="C46">
    <cfRule type="cellIs" dxfId="1450" priority="80" operator="equal">
      <formula>"Review validation checks on sheet"</formula>
    </cfRule>
  </conditionalFormatting>
  <conditionalFormatting sqref="C46">
    <cfRule type="containsBlanks" dxfId="1449" priority="79">
      <formula>LEN(TRIM(C46))=0</formula>
    </cfRule>
  </conditionalFormatting>
  <conditionalFormatting sqref="C47">
    <cfRule type="cellIs" dxfId="1448" priority="78" operator="equal">
      <formula>"Review validation checks on sheet"</formula>
    </cfRule>
  </conditionalFormatting>
  <conditionalFormatting sqref="C47">
    <cfRule type="containsBlanks" dxfId="1447" priority="77">
      <formula>LEN(TRIM(C47))=0</formula>
    </cfRule>
  </conditionalFormatting>
  <conditionalFormatting sqref="C48">
    <cfRule type="cellIs" dxfId="1446" priority="76" operator="equal">
      <formula>"Review validation checks on sheet"</formula>
    </cfRule>
  </conditionalFormatting>
  <conditionalFormatting sqref="C48">
    <cfRule type="containsBlanks" dxfId="1445" priority="75">
      <formula>LEN(TRIM(C48))=0</formula>
    </cfRule>
  </conditionalFormatting>
  <conditionalFormatting sqref="C49">
    <cfRule type="cellIs" dxfId="1444" priority="74" operator="equal">
      <formula>"Review validation checks on sheet"</formula>
    </cfRule>
  </conditionalFormatting>
  <conditionalFormatting sqref="C49">
    <cfRule type="containsBlanks" dxfId="1443" priority="73">
      <formula>LEN(TRIM(C49))=0</formula>
    </cfRule>
  </conditionalFormatting>
  <conditionalFormatting sqref="C51">
    <cfRule type="cellIs" dxfId="1442" priority="70" operator="equal">
      <formula>"Review validation checks on sheet"</formula>
    </cfRule>
  </conditionalFormatting>
  <conditionalFormatting sqref="C51">
    <cfRule type="containsBlanks" dxfId="1441" priority="69">
      <formula>LEN(TRIM(C51))=0</formula>
    </cfRule>
  </conditionalFormatting>
  <conditionalFormatting sqref="C52">
    <cfRule type="cellIs" dxfId="1440" priority="68" operator="equal">
      <formula>"Review validation checks on sheet"</formula>
    </cfRule>
  </conditionalFormatting>
  <conditionalFormatting sqref="C52">
    <cfRule type="containsBlanks" dxfId="1439" priority="67">
      <formula>LEN(TRIM(C52))=0</formula>
    </cfRule>
  </conditionalFormatting>
  <conditionalFormatting sqref="C53">
    <cfRule type="cellIs" dxfId="1438" priority="64" operator="equal">
      <formula>"Review validation checks on sheet"</formula>
    </cfRule>
  </conditionalFormatting>
  <conditionalFormatting sqref="C53">
    <cfRule type="containsBlanks" dxfId="1437" priority="63">
      <formula>LEN(TRIM(C53))=0</formula>
    </cfRule>
  </conditionalFormatting>
  <conditionalFormatting sqref="C54">
    <cfRule type="cellIs" dxfId="1436" priority="62" operator="equal">
      <formula>"Review validation checks on sheet"</formula>
    </cfRule>
  </conditionalFormatting>
  <conditionalFormatting sqref="C54">
    <cfRule type="containsBlanks" dxfId="1435" priority="61">
      <formula>LEN(TRIM(C54))=0</formula>
    </cfRule>
  </conditionalFormatting>
  <conditionalFormatting sqref="C55">
    <cfRule type="cellIs" dxfId="1434" priority="60" operator="equal">
      <formula>"Review validation checks on sheet"</formula>
    </cfRule>
  </conditionalFormatting>
  <conditionalFormatting sqref="C55">
    <cfRule type="containsBlanks" dxfId="1433" priority="59">
      <formula>LEN(TRIM(C55))=0</formula>
    </cfRule>
  </conditionalFormatting>
  <conditionalFormatting sqref="C56">
    <cfRule type="cellIs" dxfId="1432" priority="58" operator="equal">
      <formula>"Review validation checks on sheet"</formula>
    </cfRule>
  </conditionalFormatting>
  <conditionalFormatting sqref="C56">
    <cfRule type="containsBlanks" dxfId="1431" priority="57">
      <formula>LEN(TRIM(C56))=0</formula>
    </cfRule>
  </conditionalFormatting>
  <conditionalFormatting sqref="C57">
    <cfRule type="cellIs" dxfId="1430" priority="56" operator="equal">
      <formula>"Review validation checks on sheet"</formula>
    </cfRule>
  </conditionalFormatting>
  <conditionalFormatting sqref="C57">
    <cfRule type="containsBlanks" dxfId="1429" priority="55">
      <formula>LEN(TRIM(C57))=0</formula>
    </cfRule>
  </conditionalFormatting>
  <conditionalFormatting sqref="C58">
    <cfRule type="cellIs" dxfId="1428" priority="54" operator="equal">
      <formula>"Review validation checks on sheet"</formula>
    </cfRule>
  </conditionalFormatting>
  <conditionalFormatting sqref="C58">
    <cfRule type="containsBlanks" dxfId="1427" priority="53">
      <formula>LEN(TRIM(C58))=0</formula>
    </cfRule>
  </conditionalFormatting>
  <conditionalFormatting sqref="C61">
    <cfRule type="cellIs" dxfId="1426" priority="52" operator="equal">
      <formula>"Review validation checks on sheet"</formula>
    </cfRule>
  </conditionalFormatting>
  <conditionalFormatting sqref="C61:D61">
    <cfRule type="containsBlanks" dxfId="1425" priority="51">
      <formula>LEN(TRIM(C61))=0</formula>
    </cfRule>
  </conditionalFormatting>
  <conditionalFormatting sqref="D25">
    <cfRule type="cellIs" dxfId="1424" priority="49" operator="equal">
      <formula>"Review validation checks on sheet"</formula>
    </cfRule>
  </conditionalFormatting>
  <conditionalFormatting sqref="D12">
    <cfRule type="cellIs" dxfId="1423" priority="47" operator="equal">
      <formula>"Review validation checks on sheet"</formula>
    </cfRule>
  </conditionalFormatting>
  <conditionalFormatting sqref="D12">
    <cfRule type="cellIs" dxfId="1422" priority="46" operator="equal">
      <formula>"Review validation checks on sheet"</formula>
    </cfRule>
  </conditionalFormatting>
  <conditionalFormatting sqref="D12">
    <cfRule type="cellIs" dxfId="1421" priority="45" operator="equal">
      <formula>"Review validation checks on sheet"</formula>
    </cfRule>
  </conditionalFormatting>
  <conditionalFormatting sqref="D12">
    <cfRule type="cellIs" dxfId="1420" priority="44" operator="equal">
      <formula>"Review validation checks on sheet"</formula>
    </cfRule>
  </conditionalFormatting>
  <conditionalFormatting sqref="D12">
    <cfRule type="containsBlanks" dxfId="1419" priority="43">
      <formula>LEN(TRIM(D12))=0</formula>
    </cfRule>
  </conditionalFormatting>
  <conditionalFormatting sqref="D12">
    <cfRule type="cellIs" dxfId="1418" priority="41" operator="equal">
      <formula>"Review validation checks on sheet"</formula>
    </cfRule>
  </conditionalFormatting>
  <conditionalFormatting sqref="D12">
    <cfRule type="cellIs" dxfId="1417" priority="39" operator="equal">
      <formula>"Review validation checks on sheet"</formula>
    </cfRule>
  </conditionalFormatting>
  <conditionalFormatting sqref="D45">
    <cfRule type="cellIs" dxfId="1416" priority="38" operator="equal">
      <formula>"Review validation checks on sheet"</formula>
    </cfRule>
  </conditionalFormatting>
  <conditionalFormatting sqref="D45">
    <cfRule type="containsBlanks" dxfId="1415" priority="37">
      <formula>LEN(TRIM(D45))=0</formula>
    </cfRule>
  </conditionalFormatting>
  <conditionalFormatting sqref="D46">
    <cfRule type="cellIs" dxfId="1414" priority="36" operator="equal">
      <formula>"Review validation checks on sheet"</formula>
    </cfRule>
  </conditionalFormatting>
  <conditionalFormatting sqref="D46">
    <cfRule type="containsBlanks" dxfId="1413" priority="35">
      <formula>LEN(TRIM(D46))=0</formula>
    </cfRule>
  </conditionalFormatting>
  <conditionalFormatting sqref="D47">
    <cfRule type="cellIs" dxfId="1412" priority="34" operator="equal">
      <formula>"Review validation checks on sheet"</formula>
    </cfRule>
  </conditionalFormatting>
  <conditionalFormatting sqref="D47">
    <cfRule type="containsBlanks" dxfId="1411" priority="33">
      <formula>LEN(TRIM(D47))=0</formula>
    </cfRule>
  </conditionalFormatting>
  <conditionalFormatting sqref="D48">
    <cfRule type="cellIs" dxfId="1410" priority="32" operator="equal">
      <formula>"Review validation checks on sheet"</formula>
    </cfRule>
  </conditionalFormatting>
  <conditionalFormatting sqref="D48">
    <cfRule type="containsBlanks" dxfId="1409" priority="31">
      <formula>LEN(TRIM(D48))=0</formula>
    </cfRule>
  </conditionalFormatting>
  <conditionalFormatting sqref="D51">
    <cfRule type="cellIs" dxfId="1408" priority="30" operator="equal">
      <formula>"Review validation checks on sheet"</formula>
    </cfRule>
  </conditionalFormatting>
  <conditionalFormatting sqref="D51">
    <cfRule type="containsBlanks" dxfId="1407" priority="29">
      <formula>LEN(TRIM(D51))=0</formula>
    </cfRule>
  </conditionalFormatting>
  <conditionalFormatting sqref="D55">
    <cfRule type="cellIs" dxfId="1406" priority="28" operator="equal">
      <formula>"Review validation checks on sheet"</formula>
    </cfRule>
  </conditionalFormatting>
  <conditionalFormatting sqref="D55">
    <cfRule type="containsBlanks" dxfId="1405" priority="27">
      <formula>LEN(TRIM(D55))=0</formula>
    </cfRule>
  </conditionalFormatting>
  <conditionalFormatting sqref="D57">
    <cfRule type="cellIs" dxfId="1404" priority="26" operator="equal">
      <formula>"Review validation checks on sheet"</formula>
    </cfRule>
  </conditionalFormatting>
  <conditionalFormatting sqref="D57">
    <cfRule type="containsBlanks" dxfId="1403" priority="25">
      <formula>LEN(TRIM(D57))=0</formula>
    </cfRule>
  </conditionalFormatting>
  <conditionalFormatting sqref="D58">
    <cfRule type="cellIs" dxfId="1402" priority="24" operator="equal">
      <formula>"Review validation checks on sheet"</formula>
    </cfRule>
  </conditionalFormatting>
  <conditionalFormatting sqref="D58">
    <cfRule type="containsBlanks" dxfId="1401" priority="23">
      <formula>LEN(TRIM(D58))=0</formula>
    </cfRule>
  </conditionalFormatting>
  <conditionalFormatting sqref="C50">
    <cfRule type="cellIs" dxfId="1400" priority="22" operator="equal">
      <formula>"Review validation checks on sheet"</formula>
    </cfRule>
  </conditionalFormatting>
  <conditionalFormatting sqref="C50">
    <cfRule type="containsBlanks" dxfId="1399" priority="21">
      <formula>LEN(TRIM(C50))=0</formula>
    </cfRule>
  </conditionalFormatting>
  <conditionalFormatting sqref="C50">
    <cfRule type="cellIs" dxfId="1398" priority="20" operator="equal">
      <formula>"Review validation checks on sheet"</formula>
    </cfRule>
  </conditionalFormatting>
  <conditionalFormatting sqref="C50">
    <cfRule type="containsBlanks" dxfId="1397" priority="19">
      <formula>LEN(TRIM(C50))=0</formula>
    </cfRule>
  </conditionalFormatting>
  <conditionalFormatting sqref="C50">
    <cfRule type="cellIs" dxfId="1396" priority="18" operator="equal">
      <formula>"Review validation checks on sheet"</formula>
    </cfRule>
  </conditionalFormatting>
  <conditionalFormatting sqref="C50">
    <cfRule type="containsBlanks" dxfId="1395" priority="17">
      <formula>LEN(TRIM(C50))=0</formula>
    </cfRule>
  </conditionalFormatting>
  <conditionalFormatting sqref="C13">
    <cfRule type="cellIs" dxfId="1394" priority="16" operator="equal">
      <formula>"Review validation checks on sheet"</formula>
    </cfRule>
  </conditionalFormatting>
  <conditionalFormatting sqref="C13">
    <cfRule type="containsBlanks" dxfId="1393" priority="15">
      <formula>LEN(TRIM(C13))=0</formula>
    </cfRule>
  </conditionalFormatting>
  <conditionalFormatting sqref="C26">
    <cfRule type="cellIs" dxfId="1392" priority="6" operator="equal">
      <formula>"Review validation checks on sheet"</formula>
    </cfRule>
  </conditionalFormatting>
  <conditionalFormatting sqref="C26">
    <cfRule type="cellIs" dxfId="1391" priority="4" operator="equal">
      <formula>"Review validation checks on sheet"</formula>
    </cfRule>
  </conditionalFormatting>
  <conditionalFormatting sqref="C26">
    <cfRule type="containsBlanks" dxfId="1390" priority="3">
      <formula>LEN(TRIM(C26))=0</formula>
    </cfRule>
  </conditionalFormatting>
  <conditionalFormatting sqref="D13">
    <cfRule type="containsBlanks" dxfId="1389" priority="7">
      <formula>LEN(TRIM(D13))=0</formula>
    </cfRule>
  </conditionalFormatting>
  <conditionalFormatting sqref="C26">
    <cfRule type="containsBlanks" dxfId="1388" priority="5">
      <formula>LEN(TRIM(C26))=0</formula>
    </cfRule>
  </conditionalFormatting>
  <conditionalFormatting sqref="D26">
    <cfRule type="containsBlanks" dxfId="1387" priority="1">
      <formula>LEN(TRIM(D26))=0</formula>
    </cfRule>
  </conditionalFormatting>
  <hyperlinks>
    <hyperlink ref="B8" location="'1A'!B1" display="A1 - table name" xr:uid="{00000000-0004-0000-0100-000000000000}"/>
    <hyperlink ref="B9" location="'1B'!B1" display="'1B'!B1" xr:uid="{00000000-0004-0000-0100-000001000000}"/>
    <hyperlink ref="B10" location="'1C'!B1" display="'1C'!B1" xr:uid="{00000000-0004-0000-0100-000002000000}"/>
    <hyperlink ref="B11" location="'1D'!B1" display="'1D'!B1" xr:uid="{00000000-0004-0000-0100-000003000000}"/>
    <hyperlink ref="B12" location="'1E'!B1" display="'1E'!B1" xr:uid="{00000000-0004-0000-0100-000004000000}"/>
    <hyperlink ref="B16" location="'2A'!B1" display="'2A'!B1" xr:uid="{00000000-0004-0000-0100-000005000000}"/>
    <hyperlink ref="B17" location="'2B'!B1" display="'2B'!B1" xr:uid="{00000000-0004-0000-0100-000006000000}"/>
    <hyperlink ref="B18" location="'2C'!B1" display="'2C'!B1" xr:uid="{00000000-0004-0000-0100-000007000000}"/>
    <hyperlink ref="B19" location="'2D'!B1" display="'2D'!B1" xr:uid="{00000000-0004-0000-0100-000008000000}"/>
    <hyperlink ref="B20" location="'2E'!B1" display="'2E'!B1" xr:uid="{00000000-0004-0000-0100-000009000000}"/>
    <hyperlink ref="B21" location="'2F'!B1" display="'2F'!B1" xr:uid="{00000000-0004-0000-0100-00000A000000}"/>
    <hyperlink ref="B22" location="'2G'!B1" display="'2G'!B1" xr:uid="{00000000-0004-0000-0100-00000B000000}"/>
    <hyperlink ref="B23" location="'2H'!B1" display="'2H'!B1" xr:uid="{00000000-0004-0000-0100-00000C000000}"/>
    <hyperlink ref="B24" location="'2I'!B1" display="'2I'!B1" xr:uid="{00000000-0004-0000-0100-00000D000000}"/>
    <hyperlink ref="B29" location="'3A'!B1" display="'3A'!B1" xr:uid="{00000000-0004-0000-0100-00000E000000}"/>
    <hyperlink ref="B36" location="'4A'!B1" display="'4A'!B1" xr:uid="{00000000-0004-0000-0100-00000F000000}"/>
    <hyperlink ref="B37" location="'4B'!B1" display="'4B'!B1" xr:uid="{00000000-0004-0000-0100-000010000000}"/>
    <hyperlink ref="B38" location="'4C'!B1" display="'4C'!B1" xr:uid="{00000000-0004-0000-0100-000011000000}"/>
    <hyperlink ref="B39" location="'4D'!B1" display="'4D'!B1" xr:uid="{00000000-0004-0000-0100-000012000000}"/>
    <hyperlink ref="B40" location="'4E'!B1" display="'4E'!B1" xr:uid="{00000000-0004-0000-0100-000013000000}"/>
    <hyperlink ref="B41" location="'4F'!B1" display="'4F'!B1" xr:uid="{00000000-0004-0000-0100-000014000000}"/>
    <hyperlink ref="B42" location="'4G'!B1" display="'4G'!B1" xr:uid="{00000000-0004-0000-0100-000015000000}"/>
    <hyperlink ref="B43" location="'4H'!B1" display="'4H'!B1" xr:uid="{00000000-0004-0000-0100-000016000000}"/>
    <hyperlink ref="B44" location="'4I'!B1" display="'4I'!B1" xr:uid="{00000000-0004-0000-0100-000017000000}"/>
    <hyperlink ref="B30" location="'3B'!B1" display="'3B'!B1" xr:uid="{00000000-0004-0000-0100-000018000000}"/>
    <hyperlink ref="B31" location="'3C'!B1" display="'3C'!B1" xr:uid="{00000000-0004-0000-0100-000019000000}"/>
    <hyperlink ref="B32" location="'3D'!B1" display="'3D'!B1" xr:uid="{00000000-0004-0000-0100-00001A000000}"/>
    <hyperlink ref="B25" location="'2J'!B1" display="'2J'!B1" xr:uid="{00000000-0004-0000-0100-00001B000000}"/>
    <hyperlink ref="B45" location="'4J'!Print_Area" display="'4J'!Print_Area" xr:uid="{00000000-0004-0000-0100-00001C000000}"/>
    <hyperlink ref="B46" location="'4K'!B1" display="'4K'!B1" xr:uid="{00000000-0004-0000-0100-00001D000000}"/>
    <hyperlink ref="B47" location="'4L'!B1" display="'4L'!B1" xr:uid="{00000000-0004-0000-0100-00001E000000}"/>
    <hyperlink ref="B48" location="'4M'!B1" display="'4M'!B1" xr:uid="{00000000-0004-0000-0100-00001F000000}"/>
    <hyperlink ref="B49" location="'4N'!B1" display="'4N'!B1" xr:uid="{00000000-0004-0000-0100-000020000000}"/>
    <hyperlink ref="B50" location="'4O'!B1" display="'4O'!B1" xr:uid="{00000000-0004-0000-0100-000021000000}"/>
    <hyperlink ref="B51" location="'4P'!B1" display="'4P'!B1" xr:uid="{00000000-0004-0000-0100-000022000000}"/>
    <hyperlink ref="B52" location="'4Q'!B1" display="'4Q'!B1" xr:uid="{00000000-0004-0000-0100-000023000000}"/>
    <hyperlink ref="B53" location="'4R'!B1" display="'4R'!B1" xr:uid="{00000000-0004-0000-0100-000024000000}"/>
    <hyperlink ref="B54" location="'4S'!B1" display="'4S'!B1" xr:uid="{00000000-0004-0000-0100-000025000000}"/>
    <hyperlink ref="B55" location="'4T'!B1" display="'4T'!B1" xr:uid="{00000000-0004-0000-0100-000026000000}"/>
    <hyperlink ref="B56" location="'4U'!B1" display="'4U'!B1" xr:uid="{00000000-0004-0000-0100-000027000000}"/>
    <hyperlink ref="B57" location="'4V'!B1" display="'4V'!B1" xr:uid="{00000000-0004-0000-0100-000028000000}"/>
    <hyperlink ref="B58" location="'4W'!B1" display="'4W'!B1" xr:uid="{00000000-0004-0000-0100-000029000000}"/>
    <hyperlink ref="B61" location="'4A'!B1" display="'4A'!B1" xr:uid="{00000000-0004-0000-0100-00002A000000}"/>
    <hyperlink ref="E33" location="'3S'!B79" display="'3S'!B79" xr:uid="{00000000-0004-0000-0100-00002B000000}"/>
    <hyperlink ref="B13" location="'1E'!B1" display="'1E'!B1" xr:uid="{00000000-0004-0000-0100-00002C000000}"/>
    <hyperlink ref="B26" location="'2J'!B1" display="'2J'!B1" xr:uid="{00000000-0004-0000-0100-00002D000000}"/>
    <hyperlink ref="E61" location="Bioresources!B49" display="Bioresources!B49" xr:uid="{00000000-0004-0000-01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Lists!$B$4:$B$26</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AH39"/>
  <sheetViews>
    <sheetView workbookViewId="0">
      <selection activeCell="G16" sqref="G16"/>
    </sheetView>
  </sheetViews>
  <sheetFormatPr defaultColWidth="0" defaultRowHeight="14.25" zeroHeight="1"/>
  <cols>
    <col min="1" max="1" width="0.5" style="74" customWidth="1"/>
    <col min="2" max="2" width="4.125" style="74" customWidth="1"/>
    <col min="3" max="3" width="55.125" style="74" customWidth="1"/>
    <col min="4" max="4" width="5.5" style="74" hidden="1" customWidth="1"/>
    <col min="5" max="6" width="5.125" style="74" customWidth="1"/>
    <col min="7" max="8" width="16.5" style="74" customWidth="1"/>
    <col min="9" max="9" width="2.5" style="70" customWidth="1"/>
    <col min="10" max="10" width="32.5" style="70" customWidth="1"/>
    <col min="11" max="11" width="27.125" style="70" customWidth="1"/>
    <col min="12" max="12" width="1.5" style="70" customWidth="1"/>
    <col min="13" max="13" width="1.5" style="71" hidden="1" customWidth="1"/>
    <col min="14" max="15" width="11.5" style="70" hidden="1" customWidth="1"/>
    <col min="16" max="16" width="1.5" style="71" hidden="1" customWidth="1"/>
    <col min="17" max="17" width="8.5" style="74" hidden="1" customWidth="1"/>
    <col min="18" max="18" width="1.5" style="71" hidden="1" customWidth="1"/>
    <col min="19" max="20" width="8.5" style="74" hidden="1" customWidth="1"/>
    <col min="21" max="21" width="81.5" style="74" hidden="1" customWidth="1"/>
    <col min="22" max="22" width="1.5" style="71" hidden="1" customWidth="1"/>
    <col min="23" max="25" width="0" style="74" hidden="1" customWidth="1"/>
    <col min="26" max="26" width="8" style="74" customWidth="1"/>
    <col min="27" max="27" width="4.125" style="74" customWidth="1"/>
    <col min="28" max="28" width="55.125" style="74" customWidth="1"/>
    <col min="29" max="29" width="5.5" style="74" hidden="1" customWidth="1"/>
    <col min="30" max="31" width="5.125" style="74" customWidth="1"/>
    <col min="32" max="33" width="16.5" style="74" customWidth="1"/>
    <col min="34" max="34" width="2.375" style="74" customWidth="1"/>
    <col min="35" max="16384" width="8" style="74" hidden="1"/>
  </cols>
  <sheetData>
    <row r="1" spans="2:33" s="479" customFormat="1" ht="20.25">
      <c r="B1" s="66" t="s">
        <v>2221</v>
      </c>
      <c r="C1" s="66"/>
      <c r="D1" s="66"/>
      <c r="E1" s="66"/>
      <c r="F1" s="66"/>
      <c r="G1" s="66"/>
      <c r="H1" s="68" t="str">
        <f>Validation!B3</f>
        <v>Yorkshire Water</v>
      </c>
      <c r="I1" s="66"/>
      <c r="J1" s="66"/>
      <c r="K1" s="69" t="s">
        <v>34</v>
      </c>
      <c r="L1" s="70"/>
      <c r="M1" s="71"/>
      <c r="N1" s="70"/>
      <c r="O1" s="70"/>
      <c r="P1" s="71"/>
      <c r="Q1" s="70"/>
      <c r="R1" s="71"/>
      <c r="V1" s="71"/>
      <c r="AA1" s="66" t="s">
        <v>35</v>
      </c>
      <c r="AB1" s="66"/>
      <c r="AC1" s="66"/>
      <c r="AD1" s="66"/>
      <c r="AE1" s="66"/>
      <c r="AF1" s="66"/>
      <c r="AG1" s="68"/>
    </row>
    <row r="2" spans="2:33" ht="15" customHeight="1" thickBot="1">
      <c r="B2" s="73" t="str">
        <f>'2I'!B2</f>
        <v>For the 12 months ended 31 March 2020</v>
      </c>
      <c r="C2" s="257"/>
      <c r="D2" s="257"/>
      <c r="Q2" s="70"/>
      <c r="AA2" s="73" t="str">
        <f>+B2</f>
        <v>For the 12 months ended 31 March 2020</v>
      </c>
      <c r="AB2" s="257"/>
      <c r="AC2" s="257"/>
    </row>
    <row r="3" spans="2:33" ht="36.75" thickBot="1">
      <c r="B3" s="3169" t="s">
        <v>36</v>
      </c>
      <c r="C3" s="3170"/>
      <c r="D3" s="3016" t="s">
        <v>37</v>
      </c>
      <c r="E3" s="376" t="s">
        <v>38</v>
      </c>
      <c r="F3" s="377" t="s">
        <v>39</v>
      </c>
      <c r="G3" s="296" t="s">
        <v>2222</v>
      </c>
      <c r="H3" s="307" t="s">
        <v>2223</v>
      </c>
      <c r="J3" s="186" t="s">
        <v>705</v>
      </c>
      <c r="K3" s="2990" t="s">
        <v>43</v>
      </c>
      <c r="N3" s="3072" t="s">
        <v>47</v>
      </c>
      <c r="O3" s="3072"/>
      <c r="Q3" s="2987" t="s">
        <v>26</v>
      </c>
      <c r="S3" s="2987" t="s">
        <v>904</v>
      </c>
      <c r="T3" s="2987"/>
      <c r="U3" s="2987"/>
      <c r="AA3" s="3169" t="s">
        <v>36</v>
      </c>
      <c r="AB3" s="3170"/>
      <c r="AC3" s="3016" t="s">
        <v>37</v>
      </c>
      <c r="AD3" s="376" t="s">
        <v>38</v>
      </c>
      <c r="AE3" s="377" t="s">
        <v>39</v>
      </c>
      <c r="AF3" s="296" t="s">
        <v>2222</v>
      </c>
      <c r="AG3" s="307" t="s">
        <v>2223</v>
      </c>
    </row>
    <row r="4" spans="2:33" ht="15" thickBot="1">
      <c r="C4" s="330"/>
      <c r="D4" s="330"/>
      <c r="Q4" s="3022"/>
      <c r="S4" s="3022"/>
      <c r="T4" s="3022"/>
      <c r="U4" s="3022"/>
      <c r="AB4" s="330"/>
      <c r="AC4" s="330"/>
    </row>
    <row r="5" spans="2:33" ht="15" thickBot="1">
      <c r="B5" s="3026" t="s">
        <v>155</v>
      </c>
      <c r="C5" s="83" t="s">
        <v>2224</v>
      </c>
      <c r="D5" s="1505"/>
      <c r="E5" s="262"/>
      <c r="F5" s="262"/>
      <c r="H5" s="262"/>
      <c r="N5" s="164" t="s">
        <v>48</v>
      </c>
      <c r="O5" s="127"/>
      <c r="Q5" s="479"/>
      <c r="AA5" s="3026" t="s">
        <v>155</v>
      </c>
      <c r="AB5" s="83" t="s">
        <v>2224</v>
      </c>
      <c r="AC5" s="1505"/>
      <c r="AD5" s="262"/>
      <c r="AE5" s="262"/>
      <c r="AG5" s="262"/>
    </row>
    <row r="6" spans="2:33" ht="15" customHeight="1">
      <c r="B6" s="288" t="s">
        <v>2225</v>
      </c>
      <c r="C6" s="273" t="s">
        <v>2226</v>
      </c>
      <c r="D6" s="273"/>
      <c r="E6" s="300" t="s">
        <v>51</v>
      </c>
      <c r="F6" s="275">
        <v>3</v>
      </c>
      <c r="G6" s="436">
        <v>3.7789999999999999</v>
      </c>
      <c r="H6" s="851">
        <v>0</v>
      </c>
      <c r="K6" s="24">
        <f xml:space="preserve"> IF( SUM( M6:P6 ) = 0, 0, N$5 )</f>
        <v>0</v>
      </c>
      <c r="N6" s="93">
        <f t="shared" ref="N6:O8" si="0" xml:space="preserve"> IF( ISNUMBER( G6 ), 0, 1 )</f>
        <v>0</v>
      </c>
      <c r="O6" s="93">
        <f t="shared" si="0"/>
        <v>0</v>
      </c>
      <c r="Q6" s="479"/>
      <c r="AA6" s="288" t="s">
        <v>2225</v>
      </c>
      <c r="AB6" s="273" t="s">
        <v>2226</v>
      </c>
      <c r="AC6" s="273"/>
      <c r="AD6" s="300" t="s">
        <v>51</v>
      </c>
      <c r="AE6" s="275">
        <v>3</v>
      </c>
      <c r="AF6" s="2605" t="s">
        <v>2227</v>
      </c>
      <c r="AG6" s="2613" t="s">
        <v>2228</v>
      </c>
    </row>
    <row r="7" spans="2:33" ht="15" customHeight="1">
      <c r="B7" s="289" t="s">
        <v>2229</v>
      </c>
      <c r="C7" s="277" t="s">
        <v>2230</v>
      </c>
      <c r="D7" s="277"/>
      <c r="E7" s="301" t="s">
        <v>51</v>
      </c>
      <c r="F7" s="279">
        <v>3</v>
      </c>
      <c r="G7" s="438">
        <v>0.63900000000000001</v>
      </c>
      <c r="H7" s="852">
        <v>0</v>
      </c>
      <c r="K7" s="24">
        <f xml:space="preserve"> IF( SUM( M7:P7 ) = 0, 0, N$5 )</f>
        <v>0</v>
      </c>
      <c r="N7" s="93">
        <f t="shared" si="0"/>
        <v>0</v>
      </c>
      <c r="O7" s="93">
        <f t="shared" si="0"/>
        <v>0</v>
      </c>
      <c r="Q7" s="479"/>
      <c r="AA7" s="289" t="s">
        <v>2229</v>
      </c>
      <c r="AB7" s="277" t="s">
        <v>2230</v>
      </c>
      <c r="AC7" s="277"/>
      <c r="AD7" s="301" t="s">
        <v>51</v>
      </c>
      <c r="AE7" s="279">
        <v>3</v>
      </c>
      <c r="AF7" s="2328" t="s">
        <v>2231</v>
      </c>
      <c r="AG7" s="2389" t="s">
        <v>2232</v>
      </c>
    </row>
    <row r="8" spans="2:33" ht="15" customHeight="1">
      <c r="B8" s="289" t="s">
        <v>2233</v>
      </c>
      <c r="C8" s="277" t="s">
        <v>31</v>
      </c>
      <c r="D8" s="277"/>
      <c r="E8" s="301" t="s">
        <v>51</v>
      </c>
      <c r="F8" s="279">
        <v>3</v>
      </c>
      <c r="G8" s="438">
        <v>0</v>
      </c>
      <c r="H8" s="852">
        <v>0</v>
      </c>
      <c r="K8" s="24">
        <f xml:space="preserve"> IF( SUM( M8:P8 ) = 0, 0, N$5 )</f>
        <v>0</v>
      </c>
      <c r="N8" s="93">
        <f t="shared" si="0"/>
        <v>0</v>
      </c>
      <c r="O8" s="93">
        <f t="shared" si="0"/>
        <v>0</v>
      </c>
      <c r="Q8" s="479"/>
      <c r="AA8" s="289" t="s">
        <v>2233</v>
      </c>
      <c r="AB8" s="277" t="s">
        <v>31</v>
      </c>
      <c r="AC8" s="277"/>
      <c r="AD8" s="301" t="s">
        <v>51</v>
      </c>
      <c r="AE8" s="279">
        <v>3</v>
      </c>
      <c r="AF8" s="2328" t="s">
        <v>2234</v>
      </c>
      <c r="AG8" s="2389" t="s">
        <v>2235</v>
      </c>
    </row>
    <row r="9" spans="2:33" ht="29.25" customHeight="1" thickBot="1">
      <c r="B9" s="290" t="s">
        <v>2236</v>
      </c>
      <c r="C9" s="282" t="s">
        <v>710</v>
      </c>
      <c r="D9" s="282"/>
      <c r="E9" s="283" t="s">
        <v>51</v>
      </c>
      <c r="F9" s="284">
        <v>3</v>
      </c>
      <c r="G9" s="333">
        <f>SUM(G6:G8)</f>
        <v>4.4180000000000001</v>
      </c>
      <c r="H9" s="335">
        <f t="shared" ref="H9" si="1">SUM(H6:H8)</f>
        <v>0</v>
      </c>
      <c r="J9" s="1370">
        <f xml:space="preserve"> IF( SUM( P9:R9 ) = 0, 0, U9 )</f>
        <v>0</v>
      </c>
      <c r="K9" s="109"/>
      <c r="N9" s="280"/>
      <c r="O9" s="110"/>
      <c r="Q9" s="93">
        <f xml:space="preserve"> IF( (S9 - T9) = 0, 0, 1 )</f>
        <v>0</v>
      </c>
      <c r="R9" s="119"/>
      <c r="S9" s="165">
        <f xml:space="preserve"> G9</f>
        <v>4.4180000000000001</v>
      </c>
      <c r="T9" s="165">
        <f>'4D'!L25</f>
        <v>4.4180000000000001</v>
      </c>
      <c r="U9" s="1554" t="s">
        <v>2237</v>
      </c>
      <c r="AA9" s="290" t="s">
        <v>2236</v>
      </c>
      <c r="AB9" s="282" t="s">
        <v>710</v>
      </c>
      <c r="AC9" s="282"/>
      <c r="AD9" s="283" t="s">
        <v>51</v>
      </c>
      <c r="AE9" s="284">
        <v>3</v>
      </c>
      <c r="AF9" s="333" t="s">
        <v>2238</v>
      </c>
      <c r="AG9" s="335" t="s">
        <v>2239</v>
      </c>
    </row>
    <row r="10" spans="2:33" ht="15" thickBot="1">
      <c r="B10" s="336"/>
      <c r="C10" s="267"/>
      <c r="D10" s="267"/>
      <c r="E10" s="269"/>
      <c r="F10" s="269"/>
      <c r="G10" s="337"/>
      <c r="H10" s="337"/>
      <c r="K10" s="109"/>
      <c r="N10" s="280"/>
      <c r="O10" s="110"/>
      <c r="Q10" s="479"/>
      <c r="AA10" s="336"/>
      <c r="AB10" s="267"/>
      <c r="AC10" s="267"/>
      <c r="AD10" s="269"/>
      <c r="AE10" s="269"/>
      <c r="AF10" s="337"/>
      <c r="AG10" s="337"/>
    </row>
    <row r="11" spans="2:33" ht="15" thickBot="1">
      <c r="B11" s="3026" t="s">
        <v>177</v>
      </c>
      <c r="C11" s="114" t="s">
        <v>2240</v>
      </c>
      <c r="D11" s="1505"/>
      <c r="E11" s="299"/>
      <c r="F11" s="299"/>
      <c r="G11" s="270"/>
      <c r="H11" s="270"/>
      <c r="K11" s="109"/>
      <c r="N11" s="280"/>
      <c r="O11" s="110"/>
      <c r="Q11" s="479"/>
      <c r="AA11" s="3026" t="s">
        <v>177</v>
      </c>
      <c r="AB11" s="114" t="s">
        <v>2240</v>
      </c>
      <c r="AC11" s="1505"/>
      <c r="AD11" s="299"/>
      <c r="AE11" s="299"/>
      <c r="AF11" s="270"/>
      <c r="AG11" s="270"/>
    </row>
    <row r="12" spans="2:33" ht="15" customHeight="1">
      <c r="B12" s="288" t="s">
        <v>2241</v>
      </c>
      <c r="C12" s="273" t="s">
        <v>2242</v>
      </c>
      <c r="D12" s="273"/>
      <c r="E12" s="300" t="s">
        <v>51</v>
      </c>
      <c r="F12" s="275">
        <v>3</v>
      </c>
      <c r="G12" s="436">
        <v>2.7669999999999999</v>
      </c>
      <c r="H12" s="851">
        <v>0</v>
      </c>
      <c r="K12" s="24">
        <f xml:space="preserve"> IF( SUM( M12:P12 ) = 0, 0, N$5 )</f>
        <v>0</v>
      </c>
      <c r="N12" s="93">
        <f>IF(Validation!$H$3=1,0,IF(ISNUMBER(G12),0,1))</f>
        <v>0</v>
      </c>
      <c r="O12" s="93">
        <f>IF(Validation!$H$3=1,0,IF(ISNUMBER(H12),0,1))</f>
        <v>0</v>
      </c>
      <c r="Q12" s="479"/>
      <c r="AA12" s="288" t="s">
        <v>2241</v>
      </c>
      <c r="AB12" s="273" t="s">
        <v>2242</v>
      </c>
      <c r="AC12" s="273"/>
      <c r="AD12" s="300" t="s">
        <v>51</v>
      </c>
      <c r="AE12" s="275">
        <v>3</v>
      </c>
      <c r="AF12" s="2605" t="s">
        <v>2243</v>
      </c>
      <c r="AG12" s="2613" t="s">
        <v>2244</v>
      </c>
    </row>
    <row r="13" spans="2:33" ht="15" customHeight="1">
      <c r="B13" s="289" t="s">
        <v>2245</v>
      </c>
      <c r="C13" s="277" t="s">
        <v>2246</v>
      </c>
      <c r="D13" s="277"/>
      <c r="E13" s="301" t="s">
        <v>51</v>
      </c>
      <c r="F13" s="279">
        <v>3</v>
      </c>
      <c r="G13" s="438">
        <v>0</v>
      </c>
      <c r="H13" s="852">
        <v>0</v>
      </c>
      <c r="K13" s="24">
        <f xml:space="preserve"> IF( SUM( M13:P13 ) = 0, 0, N$5 )</f>
        <v>0</v>
      </c>
      <c r="N13" s="93">
        <f>IF(Validation!$H$3=1,0,IF(ISNUMBER(G13),0,1))</f>
        <v>0</v>
      </c>
      <c r="O13" s="93">
        <f>IF(Validation!$H$3=1,0,IF(ISNUMBER(H13),0,1))</f>
        <v>0</v>
      </c>
      <c r="Q13" s="479"/>
      <c r="AA13" s="289" t="s">
        <v>2245</v>
      </c>
      <c r="AB13" s="277" t="s">
        <v>2246</v>
      </c>
      <c r="AC13" s="277"/>
      <c r="AD13" s="301" t="s">
        <v>51</v>
      </c>
      <c r="AE13" s="279">
        <v>3</v>
      </c>
      <c r="AF13" s="2328" t="s">
        <v>2247</v>
      </c>
      <c r="AG13" s="2389" t="s">
        <v>2248</v>
      </c>
    </row>
    <row r="14" spans="2:33" ht="15" customHeight="1">
      <c r="B14" s="289" t="s">
        <v>2249</v>
      </c>
      <c r="C14" s="277" t="s">
        <v>2230</v>
      </c>
      <c r="D14" s="277"/>
      <c r="E14" s="301" t="s">
        <v>51</v>
      </c>
      <c r="F14" s="279">
        <v>3</v>
      </c>
      <c r="G14" s="438">
        <v>0</v>
      </c>
      <c r="H14" s="852">
        <v>0</v>
      </c>
      <c r="K14" s="24">
        <f xml:space="preserve"> IF( SUM( M14:P14 ) = 0, 0, N$5 )</f>
        <v>0</v>
      </c>
      <c r="N14" s="93">
        <f>IF(Validation!$H$3=1,0,IF(ISNUMBER(G14),0,1))</f>
        <v>0</v>
      </c>
      <c r="O14" s="93">
        <f>IF(Validation!$H$3=1,0,IF(ISNUMBER(H14),0,1))</f>
        <v>0</v>
      </c>
      <c r="Q14" s="479"/>
      <c r="AA14" s="289" t="s">
        <v>2249</v>
      </c>
      <c r="AB14" s="277" t="s">
        <v>2230</v>
      </c>
      <c r="AC14" s="277"/>
      <c r="AD14" s="301" t="s">
        <v>51</v>
      </c>
      <c r="AE14" s="279">
        <v>3</v>
      </c>
      <c r="AF14" s="2328" t="s">
        <v>2250</v>
      </c>
      <c r="AG14" s="2389" t="s">
        <v>2251</v>
      </c>
    </row>
    <row r="15" spans="2:33" ht="15" customHeight="1">
      <c r="B15" s="625" t="s">
        <v>2252</v>
      </c>
      <c r="C15" s="277" t="s">
        <v>31</v>
      </c>
      <c r="D15" s="277"/>
      <c r="E15" s="301" t="s">
        <v>51</v>
      </c>
      <c r="F15" s="279">
        <v>3</v>
      </c>
      <c r="G15" s="853">
        <v>0</v>
      </c>
      <c r="H15" s="854">
        <v>0</v>
      </c>
      <c r="K15" s="24">
        <f xml:space="preserve"> IF( SUM( M15:P15 ) = 0, 0, N$5 )</f>
        <v>0</v>
      </c>
      <c r="N15" s="93">
        <f>IF(Validation!$H$3=1,0,IF(ISNUMBER(G15),0,1))</f>
        <v>0</v>
      </c>
      <c r="O15" s="93">
        <f>IF(Validation!$H$3=1,0,IF(ISNUMBER(H15),0,1))</f>
        <v>0</v>
      </c>
      <c r="AA15" s="625" t="s">
        <v>2252</v>
      </c>
      <c r="AB15" s="277" t="s">
        <v>31</v>
      </c>
      <c r="AC15" s="277"/>
      <c r="AD15" s="301" t="s">
        <v>51</v>
      </c>
      <c r="AE15" s="279">
        <v>3</v>
      </c>
      <c r="AF15" s="2612" t="s">
        <v>2253</v>
      </c>
      <c r="AG15" s="2614" t="s">
        <v>2254</v>
      </c>
    </row>
    <row r="16" spans="2:33" ht="29.25" customHeight="1" thickBot="1">
      <c r="B16" s="290" t="s">
        <v>2255</v>
      </c>
      <c r="C16" s="282" t="s">
        <v>710</v>
      </c>
      <c r="D16" s="282"/>
      <c r="E16" s="283" t="s">
        <v>51</v>
      </c>
      <c r="F16" s="284">
        <v>3</v>
      </c>
      <c r="G16" s="333">
        <f xml:space="preserve"> SUM(G12:G15)</f>
        <v>2.7669999999999999</v>
      </c>
      <c r="H16" s="335">
        <f xml:space="preserve"> SUM(H12:H15)</f>
        <v>0</v>
      </c>
      <c r="J16" s="1370" t="str">
        <f xml:space="preserve"> IF( SUM( P16:R16 ) = 0, 0, U16 )</f>
        <v xml:space="preserve">The total for wastewater for the network reinforcement column should equal line 4E.16. </v>
      </c>
      <c r="K16" s="120"/>
      <c r="N16" s="280"/>
      <c r="O16" s="110"/>
      <c r="Q16" s="93">
        <f xml:space="preserve"> IF( (S16 - T16) = 0, 0, 1 )</f>
        <v>1</v>
      </c>
      <c r="R16" s="119"/>
      <c r="S16" s="165">
        <f xml:space="preserve"> G16</f>
        <v>2.7669999999999999</v>
      </c>
      <c r="T16" s="165">
        <f>SUM('4E'!G25:I25)</f>
        <v>2.7670000000000003</v>
      </c>
      <c r="U16" s="1554" t="s">
        <v>2256</v>
      </c>
      <c r="AA16" s="290" t="s">
        <v>2255</v>
      </c>
      <c r="AB16" s="282" t="s">
        <v>710</v>
      </c>
      <c r="AC16" s="282"/>
      <c r="AD16" s="283" t="s">
        <v>51</v>
      </c>
      <c r="AE16" s="284">
        <v>3</v>
      </c>
      <c r="AF16" s="333" t="s">
        <v>2257</v>
      </c>
      <c r="AG16" s="335" t="s">
        <v>2258</v>
      </c>
    </row>
    <row r="17" spans="1:33">
      <c r="B17" s="336"/>
      <c r="C17" s="267"/>
      <c r="D17" s="267"/>
      <c r="E17" s="269"/>
      <c r="F17" s="269"/>
      <c r="G17" s="337"/>
      <c r="H17" s="337"/>
      <c r="K17" s="120"/>
      <c r="N17" s="280"/>
      <c r="O17" s="110"/>
      <c r="Q17" s="479"/>
      <c r="AA17" s="336"/>
      <c r="AB17" s="267"/>
      <c r="AC17" s="267"/>
      <c r="AD17" s="269"/>
      <c r="AE17" s="269"/>
      <c r="AF17" s="337"/>
      <c r="AG17" s="337"/>
    </row>
    <row r="18" spans="1:33" s="163" customFormat="1">
      <c r="B18" s="3077" t="s">
        <v>243</v>
      </c>
      <c r="C18" s="3077"/>
      <c r="D18" s="2988"/>
      <c r="I18" s="349"/>
      <c r="J18" s="349"/>
      <c r="K18" s="120"/>
      <c r="L18" s="118"/>
      <c r="M18" s="124"/>
      <c r="N18" s="280"/>
      <c r="O18" s="120"/>
      <c r="P18" s="124"/>
      <c r="Q18" s="479"/>
      <c r="R18" s="71"/>
      <c r="S18" s="74"/>
      <c r="T18" s="74"/>
      <c r="U18" s="74"/>
      <c r="V18" s="71"/>
    </row>
    <row r="19" spans="1:33" s="163" customFormat="1">
      <c r="B19" s="141"/>
      <c r="C19" s="142"/>
      <c r="D19" s="142"/>
      <c r="I19" s="349"/>
      <c r="J19" s="349"/>
      <c r="K19" s="120"/>
      <c r="L19" s="118"/>
      <c r="M19" s="124"/>
      <c r="N19" s="280"/>
      <c r="O19" s="120"/>
      <c r="P19" s="124"/>
      <c r="Q19" s="479"/>
      <c r="R19" s="71"/>
      <c r="S19" s="74"/>
      <c r="T19" s="74"/>
      <c r="U19" s="74"/>
      <c r="V19" s="71"/>
    </row>
    <row r="20" spans="1:33" s="163" customFormat="1">
      <c r="B20" s="25"/>
      <c r="C20" s="143" t="s">
        <v>190</v>
      </c>
      <c r="D20" s="143"/>
      <c r="I20" s="321"/>
      <c r="J20" s="321"/>
      <c r="K20" s="70"/>
      <c r="L20" s="70"/>
      <c r="M20" s="71"/>
      <c r="N20" s="70"/>
      <c r="O20" s="70"/>
      <c r="P20" s="71"/>
      <c r="Q20" s="479"/>
      <c r="R20" s="71"/>
      <c r="S20" s="74"/>
      <c r="T20" s="74"/>
      <c r="U20" s="74"/>
      <c r="V20" s="71"/>
    </row>
    <row r="21" spans="1:33" s="163" customFormat="1">
      <c r="B21" s="141"/>
      <c r="C21" s="142"/>
      <c r="D21" s="142"/>
      <c r="I21" s="320"/>
      <c r="J21" s="320"/>
      <c r="K21" s="70"/>
      <c r="L21" s="70"/>
      <c r="M21" s="71"/>
      <c r="N21" s="70"/>
      <c r="O21" s="70"/>
      <c r="P21" s="71"/>
      <c r="Q21" s="82"/>
      <c r="R21" s="71"/>
      <c r="S21" s="74"/>
      <c r="T21" s="74"/>
      <c r="U21" s="74"/>
      <c r="V21" s="71"/>
    </row>
    <row r="22" spans="1:33" s="163" customFormat="1">
      <c r="B22" s="144"/>
      <c r="C22" s="143" t="s">
        <v>191</v>
      </c>
      <c r="D22" s="143"/>
      <c r="I22" s="321"/>
      <c r="J22" s="321"/>
      <c r="K22" s="70"/>
      <c r="L22" s="70"/>
      <c r="M22" s="71"/>
      <c r="N22" s="70"/>
      <c r="O22" s="70"/>
      <c r="P22" s="71"/>
      <c r="Q22" s="127"/>
      <c r="R22" s="124"/>
      <c r="S22" s="165"/>
      <c r="T22" s="165"/>
      <c r="U22" s="74"/>
      <c r="V22" s="124"/>
    </row>
    <row r="23" spans="1:33" s="163" customFormat="1">
      <c r="B23" s="145"/>
      <c r="C23" s="143"/>
      <c r="D23" s="143"/>
      <c r="I23" s="321"/>
      <c r="J23" s="321"/>
      <c r="K23" s="70"/>
      <c r="L23" s="70"/>
      <c r="M23" s="71"/>
      <c r="N23" s="70"/>
      <c r="O23" s="70"/>
      <c r="P23" s="71"/>
      <c r="Q23" s="82"/>
      <c r="R23" s="119"/>
      <c r="S23" s="74"/>
      <c r="T23" s="74"/>
      <c r="U23" s="74"/>
      <c r="V23" s="119"/>
    </row>
    <row r="24" spans="1:33" s="178" customFormat="1" ht="15" thickBot="1">
      <c r="C24" s="179"/>
      <c r="D24" s="179"/>
      <c r="I24" s="321"/>
      <c r="J24" s="321"/>
      <c r="K24" s="70"/>
      <c r="L24" s="70"/>
      <c r="M24" s="71"/>
      <c r="N24" s="70"/>
      <c r="O24" s="70"/>
      <c r="P24" s="71"/>
      <c r="Q24" s="82"/>
      <c r="R24" s="119"/>
      <c r="S24" s="74"/>
      <c r="T24" s="74"/>
      <c r="U24" s="74"/>
      <c r="V24" s="119"/>
    </row>
    <row r="25" spans="1:33" s="178" customFormat="1" ht="16.5" thickBot="1">
      <c r="B25" s="3053" t="str">
        <f>'2I'!B62</f>
        <v>Please refer to RAG 4.08 - Guideline for the table definitions in the annual performance report for the reporting year 2019-20</v>
      </c>
      <c r="C25" s="147"/>
      <c r="D25" s="147"/>
      <c r="E25" s="148"/>
      <c r="F25" s="148"/>
      <c r="G25" s="148"/>
      <c r="H25" s="251"/>
      <c r="I25" s="321"/>
      <c r="J25" s="321"/>
      <c r="K25" s="70"/>
      <c r="L25" s="70"/>
      <c r="M25" s="71"/>
      <c r="N25" s="70"/>
      <c r="O25" s="70"/>
      <c r="P25" s="71"/>
      <c r="Q25" s="82"/>
      <c r="R25" s="119"/>
      <c r="S25" s="74"/>
      <c r="T25" s="74"/>
      <c r="U25" s="74"/>
      <c r="V25" s="119"/>
    </row>
    <row r="26" spans="1:33" s="178" customFormat="1">
      <c r="C26" s="179"/>
      <c r="D26" s="179"/>
      <c r="I26" s="321"/>
      <c r="J26" s="321"/>
      <c r="K26" s="70"/>
      <c r="L26" s="70"/>
      <c r="M26" s="71"/>
      <c r="N26" s="70"/>
      <c r="O26" s="70"/>
      <c r="P26" s="71"/>
      <c r="Q26" s="82"/>
      <c r="R26" s="119"/>
      <c r="S26" s="74"/>
      <c r="T26" s="74"/>
      <c r="U26" s="74"/>
      <c r="V26" s="119"/>
    </row>
    <row r="27" spans="1:33" s="110" customFormat="1" ht="16.5" hidden="1" thickBot="1">
      <c r="A27" s="1560"/>
      <c r="B27" s="146" t="str">
        <f ca="1" xml:space="preserve"> RIGHT(CELL("filename", $A$1), LEN(CELL("filename", $A$1)) - SEARCH("]", CELL("filename", $A$1)))&amp;" - Line definitions"</f>
        <v>2J - Line definitions</v>
      </c>
      <c r="C27" s="147"/>
      <c r="D27" s="147"/>
      <c r="E27" s="148"/>
      <c r="F27" s="148"/>
      <c r="G27" s="148"/>
      <c r="H27" s="251"/>
      <c r="L27" s="70"/>
      <c r="M27" s="71"/>
      <c r="N27" s="70"/>
      <c r="O27" s="70"/>
      <c r="P27" s="71"/>
      <c r="Q27" s="127"/>
      <c r="R27" s="119"/>
      <c r="S27" s="165"/>
      <c r="T27" s="165"/>
      <c r="U27" s="74"/>
      <c r="V27" s="119"/>
    </row>
    <row r="28" spans="1:33" s="110" customFormat="1" ht="15" hidden="1" thickBot="1">
      <c r="A28" s="1560"/>
      <c r="B28" s="74"/>
      <c r="C28" s="155"/>
      <c r="D28" s="155"/>
      <c r="E28" s="74"/>
      <c r="F28" s="74"/>
      <c r="G28" s="74"/>
      <c r="L28" s="70"/>
      <c r="M28" s="71"/>
      <c r="N28" s="70"/>
      <c r="O28" s="70"/>
      <c r="P28" s="71"/>
      <c r="Q28" s="127"/>
      <c r="R28" s="119"/>
      <c r="S28" s="165"/>
      <c r="T28" s="165"/>
      <c r="U28" s="74"/>
      <c r="V28" s="119"/>
    </row>
    <row r="29" spans="1:33" s="178" customFormat="1" ht="15" hidden="1" thickBot="1">
      <c r="A29" s="1561"/>
      <c r="B29" s="287" t="s">
        <v>193</v>
      </c>
      <c r="C29" s="3171" t="s">
        <v>194</v>
      </c>
      <c r="D29" s="3172"/>
      <c r="E29" s="3172"/>
      <c r="F29" s="3172"/>
      <c r="G29" s="3172"/>
      <c r="H29" s="3173"/>
      <c r="I29" s="110"/>
      <c r="J29" s="110"/>
      <c r="K29" s="110"/>
      <c r="L29" s="70"/>
      <c r="M29" s="71"/>
      <c r="N29" s="85" t="s">
        <v>195</v>
      </c>
      <c r="O29" s="70"/>
      <c r="P29" s="71"/>
      <c r="Q29" s="479"/>
      <c r="R29" s="119"/>
      <c r="S29" s="74"/>
      <c r="T29" s="74"/>
      <c r="U29" s="74"/>
      <c r="V29" s="119"/>
    </row>
    <row r="30" spans="1:33" s="110" customFormat="1" ht="13.7" hidden="1" customHeight="1">
      <c r="A30" s="1560"/>
      <c r="B30" s="181" t="s">
        <v>2225</v>
      </c>
      <c r="C30" s="3128" t="s">
        <v>2259</v>
      </c>
      <c r="D30" s="3129"/>
      <c r="E30" s="3129"/>
      <c r="F30" s="3129"/>
      <c r="G30" s="3129"/>
      <c r="H30" s="3130"/>
      <c r="L30" s="70"/>
      <c r="M30" s="71"/>
      <c r="N30" s="202">
        <v>1</v>
      </c>
      <c r="O30" s="70"/>
      <c r="P30" s="71"/>
      <c r="R30" s="71"/>
      <c r="V30" s="119"/>
    </row>
    <row r="31" spans="1:33" s="110" customFormat="1" ht="23.25" hidden="1" customHeight="1">
      <c r="A31" s="1560"/>
      <c r="B31" s="159" t="s">
        <v>2229</v>
      </c>
      <c r="C31" s="3125" t="s">
        <v>2260</v>
      </c>
      <c r="D31" s="3126"/>
      <c r="E31" s="3126"/>
      <c r="F31" s="3126"/>
      <c r="G31" s="3126"/>
      <c r="H31" s="3127"/>
      <c r="L31" s="70"/>
      <c r="M31" s="71"/>
      <c r="N31" s="202" t="s">
        <v>197</v>
      </c>
      <c r="O31" s="70"/>
      <c r="P31" s="71"/>
      <c r="Q31" s="127"/>
      <c r="R31" s="119"/>
      <c r="S31" s="223"/>
      <c r="T31" s="223"/>
      <c r="U31" s="74"/>
      <c r="V31" s="119"/>
    </row>
    <row r="32" spans="1:33" s="110" customFormat="1" ht="14.25" hidden="1" customHeight="1">
      <c r="A32" s="1560"/>
      <c r="B32" s="159" t="s">
        <v>2233</v>
      </c>
      <c r="C32" s="3125" t="s">
        <v>2261</v>
      </c>
      <c r="D32" s="3126"/>
      <c r="E32" s="3126"/>
      <c r="F32" s="3126"/>
      <c r="G32" s="3126"/>
      <c r="H32" s="3127"/>
      <c r="L32" s="70"/>
      <c r="M32" s="71"/>
      <c r="N32" s="202">
        <v>1</v>
      </c>
      <c r="O32" s="70"/>
      <c r="P32" s="71"/>
      <c r="Q32" s="479"/>
      <c r="R32" s="119"/>
      <c r="S32" s="74"/>
      <c r="T32" s="74"/>
      <c r="U32" s="74"/>
      <c r="V32" s="119"/>
    </row>
    <row r="33" spans="1:22" s="110" customFormat="1" ht="14.25" hidden="1" customHeight="1">
      <c r="A33" s="1560"/>
      <c r="B33" s="159" t="s">
        <v>2236</v>
      </c>
      <c r="C33" s="3125" t="s">
        <v>2262</v>
      </c>
      <c r="D33" s="3126"/>
      <c r="E33" s="3126"/>
      <c r="F33" s="3126"/>
      <c r="G33" s="3126"/>
      <c r="H33" s="3127"/>
      <c r="L33" s="70"/>
      <c r="M33" s="71"/>
      <c r="N33" s="202">
        <v>1</v>
      </c>
      <c r="O33" s="70"/>
      <c r="P33" s="71"/>
      <c r="Q33" s="479"/>
      <c r="R33" s="71"/>
      <c r="S33" s="74"/>
      <c r="T33" s="74"/>
      <c r="U33" s="74"/>
      <c r="V33" s="71"/>
    </row>
    <row r="34" spans="1:22" s="110" customFormat="1" ht="13.7" hidden="1" customHeight="1">
      <c r="A34" s="1560"/>
      <c r="B34" s="159" t="s">
        <v>2241</v>
      </c>
      <c r="C34" s="3125" t="s">
        <v>2263</v>
      </c>
      <c r="D34" s="3126"/>
      <c r="E34" s="3126"/>
      <c r="F34" s="3126"/>
      <c r="G34" s="3126"/>
      <c r="H34" s="3127"/>
      <c r="L34" s="70"/>
      <c r="M34" s="71"/>
      <c r="N34" s="202">
        <v>1</v>
      </c>
      <c r="O34" s="70"/>
      <c r="P34" s="71"/>
      <c r="Q34" s="479"/>
      <c r="R34" s="71"/>
      <c r="S34" s="74"/>
      <c r="T34" s="74"/>
      <c r="U34" s="74"/>
      <c r="V34" s="71"/>
    </row>
    <row r="35" spans="1:22" s="110" customFormat="1" ht="13.7" hidden="1" customHeight="1">
      <c r="A35" s="1560"/>
      <c r="B35" s="159" t="s">
        <v>2245</v>
      </c>
      <c r="C35" s="3125" t="s">
        <v>2264</v>
      </c>
      <c r="D35" s="3126"/>
      <c r="E35" s="3126"/>
      <c r="F35" s="3126"/>
      <c r="G35" s="3126"/>
      <c r="H35" s="3127"/>
      <c r="L35" s="70"/>
      <c r="M35" s="71"/>
      <c r="N35" s="202">
        <v>1</v>
      </c>
      <c r="O35" s="70"/>
      <c r="P35" s="71"/>
      <c r="Q35" s="479"/>
      <c r="R35" s="71"/>
      <c r="S35" s="74"/>
      <c r="T35" s="74"/>
      <c r="U35" s="74"/>
      <c r="V35" s="71"/>
    </row>
    <row r="36" spans="1:22" s="110" customFormat="1" ht="23.25" hidden="1" customHeight="1">
      <c r="A36" s="1560"/>
      <c r="B36" s="159" t="s">
        <v>2249</v>
      </c>
      <c r="C36" s="3125" t="s">
        <v>2265</v>
      </c>
      <c r="D36" s="3126"/>
      <c r="E36" s="3126"/>
      <c r="F36" s="3126"/>
      <c r="G36" s="3126"/>
      <c r="H36" s="3127"/>
      <c r="L36" s="70"/>
      <c r="M36" s="71"/>
      <c r="N36" s="202" t="s">
        <v>197</v>
      </c>
      <c r="O36" s="70"/>
      <c r="P36" s="71"/>
      <c r="Q36" s="479"/>
      <c r="R36" s="124"/>
      <c r="S36" s="74"/>
      <c r="T36" s="74"/>
      <c r="U36" s="74"/>
      <c r="V36" s="124"/>
    </row>
    <row r="37" spans="1:22" s="110" customFormat="1" ht="14.25" hidden="1" customHeight="1">
      <c r="A37" s="1560"/>
      <c r="B37" s="159" t="s">
        <v>2252</v>
      </c>
      <c r="C37" s="3125" t="s">
        <v>2266</v>
      </c>
      <c r="D37" s="3126"/>
      <c r="E37" s="3126"/>
      <c r="F37" s="3126"/>
      <c r="G37" s="3126"/>
      <c r="H37" s="3127"/>
      <c r="L37" s="70"/>
      <c r="M37" s="71"/>
      <c r="N37" s="202">
        <v>1</v>
      </c>
      <c r="O37" s="70"/>
      <c r="P37" s="71"/>
      <c r="Q37" s="479"/>
      <c r="R37" s="124"/>
      <c r="S37" s="74"/>
      <c r="T37" s="74"/>
      <c r="U37" s="74"/>
      <c r="V37" s="124"/>
    </row>
    <row r="38" spans="1:22" ht="15" hidden="1" customHeight="1" thickBot="1">
      <c r="A38" s="1564"/>
      <c r="B38" s="183" t="s">
        <v>2255</v>
      </c>
      <c r="C38" s="3131" t="s">
        <v>2267</v>
      </c>
      <c r="D38" s="3132"/>
      <c r="E38" s="3132"/>
      <c r="F38" s="3132"/>
      <c r="G38" s="3132"/>
      <c r="H38" s="3133"/>
      <c r="N38" s="202">
        <v>1</v>
      </c>
      <c r="Q38" s="479"/>
      <c r="R38" s="124"/>
      <c r="V38" s="124"/>
    </row>
    <row r="39" spans="1:22" hidden="1">
      <c r="A39" s="1564"/>
      <c r="Q39" s="110"/>
      <c r="R39" s="124"/>
      <c r="V39" s="124"/>
    </row>
  </sheetData>
  <sheetProtection algorithmName="SHA-512" hashValue="bDE1gGNQRkB71MimrWND7zOxBlRTKb2Tfq8o6nh7f7y7uRUiT+EP+JmO+Donovtxs76Vkktc4kwm50qf2jZY7g==" saltValue="ZVPCgeYXEna6MPBUNRcjgA==" spinCount="100000" sheet="1" objects="1" scenarios="1"/>
  <mergeCells count="14">
    <mergeCell ref="C38:H38"/>
    <mergeCell ref="C36:H36"/>
    <mergeCell ref="C37:H37"/>
    <mergeCell ref="C30:H30"/>
    <mergeCell ref="C31:H31"/>
    <mergeCell ref="C32:H32"/>
    <mergeCell ref="C33:H33"/>
    <mergeCell ref="C34:H34"/>
    <mergeCell ref="C35:H35"/>
    <mergeCell ref="AA3:AB3"/>
    <mergeCell ref="B3:C3"/>
    <mergeCell ref="N3:O3"/>
    <mergeCell ref="B18:C18"/>
    <mergeCell ref="C29:H29"/>
  </mergeCells>
  <conditionalFormatting sqref="K6:K8 K10:K14 K16:K17">
    <cfRule type="cellIs" dxfId="1227" priority="15" operator="equal">
      <formula>0</formula>
    </cfRule>
  </conditionalFormatting>
  <conditionalFormatting sqref="K9:K11">
    <cfRule type="cellIs" dxfId="1226" priority="14" operator="equal">
      <formula>0</formula>
    </cfRule>
  </conditionalFormatting>
  <conditionalFormatting sqref="K15">
    <cfRule type="cellIs" dxfId="1225" priority="5" operator="equal">
      <formula>0</formula>
    </cfRule>
  </conditionalFormatting>
  <conditionalFormatting sqref="J9">
    <cfRule type="cellIs" dxfId="1224" priority="4" operator="equal">
      <formula>0</formula>
    </cfRule>
  </conditionalFormatting>
  <conditionalFormatting sqref="J16">
    <cfRule type="cellIs" dxfId="122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pageSetUpPr fitToPage="1"/>
  </sheetPr>
  <dimension ref="A1:AC36"/>
  <sheetViews>
    <sheetView workbookViewId="0">
      <selection activeCell="G7" sqref="G7"/>
    </sheetView>
  </sheetViews>
  <sheetFormatPr defaultColWidth="0" defaultRowHeight="14.25" zeroHeight="1"/>
  <cols>
    <col min="1" max="1" width="0.5" style="74" customWidth="1"/>
    <col min="2" max="2" width="4.125" style="74" customWidth="1"/>
    <col min="3" max="3" width="55.125" style="74" customWidth="1"/>
    <col min="4" max="4" width="5.5" style="74" hidden="1" customWidth="1"/>
    <col min="5" max="6" width="5.125" style="74" customWidth="1"/>
    <col min="7" max="9" width="16.5" style="74" customWidth="1"/>
    <col min="10" max="10" width="1.5" style="70" customWidth="1"/>
    <col min="11" max="11" width="20.5" style="70" customWidth="1"/>
    <col min="12" max="12" width="1.5" style="70" customWidth="1"/>
    <col min="13" max="13" width="1.5" style="71" hidden="1" customWidth="1"/>
    <col min="14" max="15" width="11.5" style="70" hidden="1" customWidth="1"/>
    <col min="16" max="16" width="1.5" style="71" hidden="1" customWidth="1"/>
    <col min="17" max="19" width="0" style="74" hidden="1" customWidth="1"/>
    <col min="20" max="20" width="8" style="74" customWidth="1"/>
    <col min="21" max="21" width="4.125" style="74" customWidth="1"/>
    <col min="22" max="22" width="55.125" style="74" customWidth="1"/>
    <col min="23" max="23" width="5.5" style="74" hidden="1" customWidth="1"/>
    <col min="24" max="25" width="5.125" style="74" customWidth="1"/>
    <col min="26" max="27" width="16.5" style="74" customWidth="1"/>
    <col min="28" max="28" width="17.125" style="74" customWidth="1"/>
    <col min="29" max="29" width="2.125" style="74" customWidth="1"/>
    <col min="30" max="16384" width="8" style="74" hidden="1"/>
  </cols>
  <sheetData>
    <row r="1" spans="2:28" s="479" customFormat="1" ht="20.25">
      <c r="B1" s="66" t="s">
        <v>2268</v>
      </c>
      <c r="C1" s="66"/>
      <c r="D1" s="66"/>
      <c r="E1" s="66"/>
      <c r="F1" s="66"/>
      <c r="G1" s="66"/>
      <c r="H1" s="66"/>
      <c r="I1" s="68" t="str">
        <f>Validation!B3</f>
        <v>Yorkshire Water</v>
      </c>
      <c r="J1" s="66"/>
      <c r="K1" s="69" t="s">
        <v>34</v>
      </c>
      <c r="L1" s="70"/>
      <c r="M1" s="71"/>
      <c r="N1" s="70"/>
      <c r="O1" s="70"/>
      <c r="P1" s="71"/>
      <c r="U1" s="66" t="s">
        <v>35</v>
      </c>
      <c r="V1" s="66"/>
      <c r="W1" s="66"/>
      <c r="X1" s="66"/>
      <c r="Y1" s="66"/>
      <c r="Z1" s="66"/>
      <c r="AA1" s="68"/>
      <c r="AB1" s="68"/>
    </row>
    <row r="2" spans="2:28" ht="15" customHeight="1" thickBot="1">
      <c r="B2" s="73" t="str">
        <f>'2J'!B2</f>
        <v>For the 12 months ended 31 March 2020</v>
      </c>
      <c r="C2" s="257"/>
      <c r="D2" s="257"/>
      <c r="U2" s="73" t="str">
        <f>+B2</f>
        <v>For the 12 months ended 31 March 2020</v>
      </c>
      <c r="V2" s="257"/>
      <c r="W2" s="257"/>
    </row>
    <row r="3" spans="2:28" ht="15" thickBot="1">
      <c r="B3" s="3169" t="s">
        <v>36</v>
      </c>
      <c r="C3" s="3170"/>
      <c r="D3" s="3016" t="s">
        <v>37</v>
      </c>
      <c r="E3" s="376" t="s">
        <v>38</v>
      </c>
      <c r="F3" s="377" t="s">
        <v>39</v>
      </c>
      <c r="G3" s="296" t="s">
        <v>1628</v>
      </c>
      <c r="H3" s="306" t="s">
        <v>1629</v>
      </c>
      <c r="I3" s="307" t="s">
        <v>710</v>
      </c>
      <c r="K3" s="2990" t="s">
        <v>43</v>
      </c>
      <c r="N3" s="3072" t="s">
        <v>47</v>
      </c>
      <c r="O3" s="3072"/>
      <c r="U3" s="3169" t="s">
        <v>36</v>
      </c>
      <c r="V3" s="3170"/>
      <c r="W3" s="3016" t="s">
        <v>37</v>
      </c>
      <c r="X3" s="376" t="s">
        <v>38</v>
      </c>
      <c r="Y3" s="377" t="s">
        <v>39</v>
      </c>
      <c r="Z3" s="296" t="s">
        <v>1628</v>
      </c>
      <c r="AA3" s="306" t="s">
        <v>1629</v>
      </c>
      <c r="AB3" s="306" t="s">
        <v>710</v>
      </c>
    </row>
    <row r="4" spans="2:28" ht="15" thickBot="1">
      <c r="C4" s="330"/>
      <c r="D4" s="330"/>
      <c r="V4" s="330"/>
      <c r="W4" s="330"/>
    </row>
    <row r="5" spans="2:28" ht="15" thickBot="1">
      <c r="B5" s="3026" t="s">
        <v>155</v>
      </c>
      <c r="C5" s="83" t="s">
        <v>2269</v>
      </c>
      <c r="D5" s="1505"/>
      <c r="E5" s="262"/>
      <c r="F5" s="262"/>
      <c r="I5" s="262"/>
      <c r="N5" s="164" t="s">
        <v>48</v>
      </c>
      <c r="O5" s="127"/>
      <c r="U5" s="3026" t="s">
        <v>155</v>
      </c>
      <c r="V5" s="83" t="s">
        <v>2269</v>
      </c>
      <c r="W5" s="1505"/>
      <c r="X5" s="262"/>
      <c r="Y5" s="262"/>
      <c r="AA5" s="262"/>
    </row>
    <row r="6" spans="2:28" ht="15" customHeight="1">
      <c r="B6" s="288" t="s">
        <v>2270</v>
      </c>
      <c r="C6" s="273" t="s">
        <v>2271</v>
      </c>
      <c r="D6" s="273"/>
      <c r="E6" s="300" t="s">
        <v>51</v>
      </c>
      <c r="F6" s="275">
        <v>3</v>
      </c>
      <c r="G6" s="2321">
        <f>'2E'!J8</f>
        <v>3.113</v>
      </c>
      <c r="H6" s="2322">
        <f>'2E'!J19</f>
        <v>5.63</v>
      </c>
      <c r="I6" s="331">
        <f>H6+G6</f>
        <v>8.7430000000000003</v>
      </c>
      <c r="K6" s="24"/>
      <c r="N6" s="280"/>
      <c r="O6" s="110"/>
      <c r="U6" s="288" t="s">
        <v>2270</v>
      </c>
      <c r="V6" s="273" t="s">
        <v>2271</v>
      </c>
      <c r="W6" s="273"/>
      <c r="X6" s="300" t="s">
        <v>51</v>
      </c>
      <c r="Y6" s="275">
        <v>3</v>
      </c>
      <c r="Z6" s="2321" t="str">
        <f>'2E'!AI8</f>
        <v>BC11270</v>
      </c>
      <c r="AA6" s="2323" t="str">
        <f>'2E'!$AI$19</f>
        <v>BC11370</v>
      </c>
      <c r="AB6" s="331" t="s">
        <v>2272</v>
      </c>
    </row>
    <row r="7" spans="2:28" ht="15" customHeight="1">
      <c r="B7" s="289" t="s">
        <v>2273</v>
      </c>
      <c r="C7" s="277" t="s">
        <v>2274</v>
      </c>
      <c r="D7" s="277"/>
      <c r="E7" s="301" t="s">
        <v>51</v>
      </c>
      <c r="F7" s="279">
        <v>3</v>
      </c>
      <c r="G7" s="438">
        <v>3.0000000000000001E-3</v>
      </c>
      <c r="H7" s="1955">
        <v>6.3E-2</v>
      </c>
      <c r="I7" s="332">
        <f t="shared" ref="I7:I8" si="0">H7+G7</f>
        <v>6.6000000000000003E-2</v>
      </c>
      <c r="K7" s="24">
        <f xml:space="preserve"> IF( SUM( M7:P7 ) = 0, 0, N$5 )</f>
        <v>0</v>
      </c>
      <c r="N7" s="93">
        <f xml:space="preserve"> IF( ISNUMBER( G7 ), 0, 1 )</f>
        <v>0</v>
      </c>
      <c r="O7" s="93">
        <f xml:space="preserve"> IF( ISNUMBER( H7 ), 0, 1 )</f>
        <v>0</v>
      </c>
      <c r="U7" s="289" t="s">
        <v>2273</v>
      </c>
      <c r="V7" s="277" t="s">
        <v>2274</v>
      </c>
      <c r="W7" s="277"/>
      <c r="X7" s="301" t="s">
        <v>51</v>
      </c>
      <c r="Y7" s="279">
        <v>3</v>
      </c>
      <c r="Z7" s="2328" t="s">
        <v>2275</v>
      </c>
      <c r="AA7" s="2389" t="s">
        <v>2276</v>
      </c>
      <c r="AB7" s="332" t="s">
        <v>2277</v>
      </c>
    </row>
    <row r="8" spans="2:28" ht="15" thickBot="1">
      <c r="B8" s="290" t="s">
        <v>2278</v>
      </c>
      <c r="C8" s="282" t="s">
        <v>2279</v>
      </c>
      <c r="D8" s="282"/>
      <c r="E8" s="283" t="s">
        <v>51</v>
      </c>
      <c r="F8" s="284">
        <v>3</v>
      </c>
      <c r="G8" s="2025">
        <f>SUM(G6:G7)</f>
        <v>3.1160000000000001</v>
      </c>
      <c r="H8" s="334">
        <f>SUM(H6:H7)</f>
        <v>5.6929999999999996</v>
      </c>
      <c r="I8" s="335">
        <f t="shared" si="0"/>
        <v>8.8089999999999993</v>
      </c>
      <c r="K8" s="109"/>
      <c r="N8" s="280"/>
      <c r="O8" s="110"/>
      <c r="U8" s="290" t="s">
        <v>2278</v>
      </c>
      <c r="V8" s="282" t="s">
        <v>2279</v>
      </c>
      <c r="W8" s="282"/>
      <c r="X8" s="283" t="s">
        <v>51</v>
      </c>
      <c r="Y8" s="284">
        <v>3</v>
      </c>
      <c r="Z8" s="333" t="s">
        <v>2280</v>
      </c>
      <c r="AA8" s="335" t="s">
        <v>2281</v>
      </c>
      <c r="AB8" s="335" t="s">
        <v>2282</v>
      </c>
    </row>
    <row r="9" spans="2:28" ht="15" thickBot="1">
      <c r="B9" s="336"/>
      <c r="C9" s="267"/>
      <c r="D9" s="267"/>
      <c r="E9" s="269"/>
      <c r="F9" s="269"/>
      <c r="G9" s="337"/>
      <c r="H9" s="337"/>
      <c r="I9" s="337"/>
      <c r="K9" s="109"/>
      <c r="N9" s="280"/>
      <c r="O9" s="110"/>
      <c r="U9" s="336"/>
      <c r="V9" s="267"/>
      <c r="W9" s="267"/>
      <c r="X9" s="269"/>
      <c r="Y9" s="269"/>
      <c r="Z9" s="337"/>
      <c r="AA9" s="337"/>
      <c r="AB9" s="337"/>
    </row>
    <row r="10" spans="2:28" ht="15" thickBot="1">
      <c r="B10" s="3026" t="s">
        <v>177</v>
      </c>
      <c r="C10" s="114" t="s">
        <v>2283</v>
      </c>
      <c r="D10" s="1505"/>
      <c r="E10" s="299"/>
      <c r="F10" s="299"/>
      <c r="G10" s="270"/>
      <c r="H10" s="270"/>
      <c r="I10" s="270"/>
      <c r="K10" s="109"/>
      <c r="N10" s="280"/>
      <c r="O10" s="110"/>
      <c r="U10" s="3026" t="s">
        <v>177</v>
      </c>
      <c r="V10" s="114" t="s">
        <v>2283</v>
      </c>
      <c r="W10" s="1505"/>
      <c r="X10" s="299"/>
      <c r="Y10" s="299"/>
      <c r="Z10" s="270"/>
      <c r="AA10" s="270"/>
      <c r="AB10" s="270"/>
    </row>
    <row r="11" spans="2:28" ht="15" customHeight="1" thickBot="1">
      <c r="B11" s="288" t="s">
        <v>2284</v>
      </c>
      <c r="C11" s="273" t="s">
        <v>2285</v>
      </c>
      <c r="D11" s="273"/>
      <c r="E11" s="300" t="s">
        <v>51</v>
      </c>
      <c r="F11" s="275">
        <v>3</v>
      </c>
      <c r="G11" s="270"/>
      <c r="H11" s="270"/>
      <c r="I11" s="440">
        <v>6.4740000000000002</v>
      </c>
      <c r="K11" s="24">
        <f xml:space="preserve"> IF( SUM( M11:P11 ) = 0, 0, N$5 )</f>
        <v>0</v>
      </c>
      <c r="N11" s="280"/>
      <c r="O11" s="93">
        <f xml:space="preserve"> IF( ISNUMBER( I11 ), 0, 1 )</f>
        <v>0</v>
      </c>
      <c r="U11" s="288" t="s">
        <v>2284</v>
      </c>
      <c r="V11" s="273" t="s">
        <v>2285</v>
      </c>
      <c r="W11" s="273"/>
      <c r="X11" s="300" t="s">
        <v>51</v>
      </c>
      <c r="Y11" s="275">
        <v>3</v>
      </c>
      <c r="Z11" s="270"/>
      <c r="AA11" s="270"/>
      <c r="AB11" s="2390" t="s">
        <v>2286</v>
      </c>
    </row>
    <row r="12" spans="2:28">
      <c r="B12" s="289" t="s">
        <v>2287</v>
      </c>
      <c r="C12" s="277" t="s">
        <v>50</v>
      </c>
      <c r="D12" s="277"/>
      <c r="E12" s="301" t="s">
        <v>51</v>
      </c>
      <c r="F12" s="279">
        <v>3</v>
      </c>
      <c r="G12" s="2321">
        <f>G8</f>
        <v>3.1160000000000001</v>
      </c>
      <c r="H12" s="2322">
        <f>H8</f>
        <v>5.6929999999999996</v>
      </c>
      <c r="I12" s="332">
        <f t="shared" ref="I12:I13" si="1">H12+G12</f>
        <v>8.8089999999999993</v>
      </c>
      <c r="K12" s="24"/>
      <c r="N12" s="280"/>
      <c r="O12" s="110"/>
      <c r="U12" s="289" t="s">
        <v>2287</v>
      </c>
      <c r="V12" s="277" t="s">
        <v>50</v>
      </c>
      <c r="W12" s="277"/>
      <c r="X12" s="301" t="s">
        <v>51</v>
      </c>
      <c r="Y12" s="279">
        <v>3</v>
      </c>
      <c r="Z12" s="2321" t="str">
        <f>Z8</f>
        <v>BC11270GROSS</v>
      </c>
      <c r="AA12" s="2323" t="str">
        <f>AA8</f>
        <v>BC11370GROSS</v>
      </c>
      <c r="AB12" s="332" t="str">
        <f>+AB8</f>
        <v>BC11470GROSS</v>
      </c>
    </row>
    <row r="13" spans="2:28">
      <c r="B13" s="289" t="s">
        <v>2288</v>
      </c>
      <c r="C13" s="277" t="s">
        <v>2289</v>
      </c>
      <c r="D13" s="277"/>
      <c r="E13" s="301" t="s">
        <v>51</v>
      </c>
      <c r="F13" s="279">
        <v>3</v>
      </c>
      <c r="G13" s="347">
        <f>-'2J'!G9</f>
        <v>-4.4180000000000001</v>
      </c>
      <c r="H13" s="2329">
        <f>-'2J'!G16</f>
        <v>-2.7669999999999999</v>
      </c>
      <c r="I13" s="332">
        <f t="shared" si="1"/>
        <v>-7.1850000000000005</v>
      </c>
      <c r="K13" s="24"/>
      <c r="N13" s="280"/>
      <c r="O13" s="110"/>
      <c r="U13" s="289" t="s">
        <v>2288</v>
      </c>
      <c r="V13" s="277" t="s">
        <v>2289</v>
      </c>
      <c r="W13" s="277"/>
      <c r="X13" s="301" t="s">
        <v>51</v>
      </c>
      <c r="Y13" s="279">
        <v>3</v>
      </c>
      <c r="Z13" s="347" t="s">
        <v>2290</v>
      </c>
      <c r="AA13" s="332" t="s">
        <v>2291</v>
      </c>
      <c r="AB13" s="332" t="s">
        <v>2292</v>
      </c>
    </row>
    <row r="14" spans="2:28" ht="15" thickBot="1">
      <c r="B14" s="290" t="s">
        <v>2293</v>
      </c>
      <c r="C14" s="282" t="s">
        <v>2294</v>
      </c>
      <c r="D14" s="282"/>
      <c r="E14" s="283" t="s">
        <v>51</v>
      </c>
      <c r="F14" s="284">
        <v>3</v>
      </c>
      <c r="G14" s="2025">
        <f xml:space="preserve"> SUM(G11:G13)</f>
        <v>-1.302</v>
      </c>
      <c r="H14" s="334">
        <f xml:space="preserve"> SUM(H11:H13)</f>
        <v>2.9259999999999997</v>
      </c>
      <c r="I14" s="335">
        <f>SUM(I11:I13)</f>
        <v>8.097999999999999</v>
      </c>
      <c r="K14" s="120"/>
      <c r="N14" s="280"/>
      <c r="O14" s="110"/>
      <c r="U14" s="290" t="s">
        <v>2293</v>
      </c>
      <c r="V14" s="282" t="s">
        <v>2294</v>
      </c>
      <c r="W14" s="282"/>
      <c r="X14" s="283" t="s">
        <v>51</v>
      </c>
      <c r="Y14" s="284">
        <v>3</v>
      </c>
      <c r="Z14" s="333" t="s">
        <v>2295</v>
      </c>
      <c r="AA14" s="335" t="s">
        <v>2296</v>
      </c>
      <c r="AB14" s="335" t="s">
        <v>2297</v>
      </c>
    </row>
    <row r="15" spans="2:28">
      <c r="B15" s="336"/>
      <c r="C15" s="336"/>
      <c r="D15" s="267"/>
      <c r="E15" s="269"/>
      <c r="F15" s="269"/>
      <c r="G15" s="337"/>
      <c r="H15" s="337"/>
      <c r="I15" s="337"/>
      <c r="K15" s="120"/>
      <c r="N15" s="280"/>
      <c r="O15" s="110"/>
      <c r="U15" s="336"/>
      <c r="V15" s="267"/>
      <c r="W15" s="267"/>
      <c r="X15" s="269"/>
      <c r="Y15" s="269"/>
      <c r="Z15" s="337"/>
      <c r="AA15" s="337"/>
    </row>
    <row r="16" spans="2:28" s="163" customFormat="1">
      <c r="B16" s="3077" t="s">
        <v>243</v>
      </c>
      <c r="C16" s="3077"/>
      <c r="D16" s="2988"/>
      <c r="J16" s="349"/>
      <c r="K16" s="120"/>
      <c r="L16" s="118"/>
      <c r="M16" s="124"/>
      <c r="N16" s="280"/>
      <c r="O16" s="120"/>
      <c r="P16" s="124"/>
    </row>
    <row r="17" spans="1:16" s="163" customFormat="1">
      <c r="B17" s="141"/>
      <c r="C17" s="142"/>
      <c r="D17" s="142"/>
      <c r="J17" s="349"/>
      <c r="K17" s="120"/>
      <c r="L17" s="118"/>
      <c r="M17" s="124"/>
      <c r="N17" s="280"/>
      <c r="O17" s="120"/>
      <c r="P17" s="124"/>
    </row>
    <row r="18" spans="1:16" s="163" customFormat="1">
      <c r="B18" s="1853"/>
      <c r="C18" s="143" t="s">
        <v>190</v>
      </c>
      <c r="D18" s="143"/>
      <c r="J18" s="321"/>
      <c r="K18" s="70"/>
      <c r="L18" s="70"/>
      <c r="M18" s="71"/>
      <c r="N18" s="70"/>
      <c r="O18" s="70"/>
      <c r="P18" s="71"/>
    </row>
    <row r="19" spans="1:16" s="163" customFormat="1">
      <c r="B19" s="141"/>
      <c r="C19" s="142"/>
      <c r="D19" s="142"/>
      <c r="J19" s="320"/>
      <c r="K19" s="70"/>
      <c r="L19" s="70"/>
      <c r="M19" s="71"/>
      <c r="N19" s="70"/>
      <c r="O19" s="70"/>
      <c r="P19" s="71"/>
    </row>
    <row r="20" spans="1:16" s="163" customFormat="1">
      <c r="B20" s="144"/>
      <c r="C20" s="143" t="s">
        <v>191</v>
      </c>
      <c r="D20" s="143"/>
      <c r="J20" s="321"/>
      <c r="K20" s="70"/>
      <c r="L20" s="70"/>
      <c r="M20" s="71"/>
      <c r="N20" s="70"/>
      <c r="O20" s="70"/>
      <c r="P20" s="71"/>
    </row>
    <row r="21" spans="1:16" s="163" customFormat="1">
      <c r="B21" s="145"/>
      <c r="C21" s="143"/>
      <c r="D21" s="143"/>
      <c r="J21" s="321"/>
      <c r="K21" s="70"/>
      <c r="L21" s="70"/>
      <c r="M21" s="71"/>
      <c r="N21" s="70"/>
      <c r="O21" s="70"/>
      <c r="P21" s="71"/>
    </row>
    <row r="22" spans="1:16" s="163" customFormat="1">
      <c r="B22" s="2324"/>
      <c r="C22" s="179" t="s">
        <v>244</v>
      </c>
      <c r="D22" s="143"/>
      <c r="J22" s="321"/>
      <c r="K22" s="70"/>
      <c r="L22" s="70"/>
      <c r="M22" s="71"/>
      <c r="N22" s="70"/>
      <c r="O22" s="70"/>
      <c r="P22" s="71"/>
    </row>
    <row r="23" spans="1:16" s="178" customFormat="1" ht="15" thickBot="1">
      <c r="C23" s="179"/>
      <c r="D23" s="179"/>
      <c r="J23" s="321"/>
      <c r="K23" s="70"/>
      <c r="L23" s="70"/>
      <c r="M23" s="71"/>
      <c r="N23" s="70"/>
      <c r="O23" s="70"/>
      <c r="P23" s="71"/>
    </row>
    <row r="24" spans="1:16" s="178" customFormat="1" ht="16.5" thickBot="1">
      <c r="B24" s="3053" t="str">
        <f>'2J'!B25</f>
        <v>Please refer to RAG 4.08 - Guideline for the table definitions in the annual performance report for the reporting year 2019-20</v>
      </c>
      <c r="C24" s="147"/>
      <c r="D24" s="147"/>
      <c r="E24" s="148"/>
      <c r="F24" s="148"/>
      <c r="G24" s="148"/>
      <c r="H24" s="148"/>
      <c r="I24" s="251"/>
      <c r="J24" s="321"/>
      <c r="K24" s="70"/>
      <c r="L24" s="70"/>
      <c r="M24" s="71"/>
      <c r="N24" s="70"/>
      <c r="O24" s="70"/>
      <c r="P24" s="71"/>
    </row>
    <row r="25" spans="1:16" s="178" customFormat="1">
      <c r="C25" s="179"/>
      <c r="D25" s="179"/>
      <c r="J25" s="321"/>
      <c r="K25" s="70"/>
      <c r="L25" s="70"/>
      <c r="M25" s="71"/>
      <c r="N25" s="70"/>
      <c r="O25" s="70"/>
      <c r="P25" s="71"/>
    </row>
    <row r="26" spans="1:16" s="110" customFormat="1" ht="16.5" hidden="1" thickBot="1">
      <c r="A26" s="1560"/>
      <c r="B26" s="146" t="str">
        <f ca="1" xml:space="preserve"> RIGHT(CELL("filename", $A$1), LEN(CELL("filename", $A$1)) - SEARCH("]", CELL("filename", $A$1)))&amp;" - Line definitions"</f>
        <v>2K - Line definitions</v>
      </c>
      <c r="C26" s="147"/>
      <c r="D26" s="147"/>
      <c r="E26" s="148"/>
      <c r="F26" s="148"/>
      <c r="G26" s="148"/>
      <c r="H26" s="148"/>
      <c r="I26" s="251"/>
      <c r="L26" s="70"/>
      <c r="M26" s="71"/>
      <c r="N26" s="70"/>
      <c r="O26" s="70"/>
      <c r="P26" s="71"/>
    </row>
    <row r="27" spans="1:16" s="110" customFormat="1" ht="15" hidden="1" thickBot="1">
      <c r="A27" s="1560"/>
      <c r="B27" s="74"/>
      <c r="C27" s="155"/>
      <c r="D27" s="155"/>
      <c r="E27" s="74"/>
      <c r="F27" s="74"/>
      <c r="G27" s="74"/>
      <c r="H27" s="74"/>
      <c r="L27" s="70"/>
      <c r="M27" s="71"/>
      <c r="N27" s="70"/>
      <c r="O27" s="70"/>
      <c r="P27" s="71"/>
    </row>
    <row r="28" spans="1:16" s="178" customFormat="1" ht="15" hidden="1" thickBot="1">
      <c r="A28" s="1561"/>
      <c r="B28" s="287" t="s">
        <v>193</v>
      </c>
      <c r="C28" s="3171" t="s">
        <v>194</v>
      </c>
      <c r="D28" s="3172"/>
      <c r="E28" s="3172"/>
      <c r="F28" s="3172"/>
      <c r="G28" s="3172"/>
      <c r="H28" s="3172"/>
      <c r="I28" s="3173"/>
      <c r="J28" s="110"/>
      <c r="K28" s="110"/>
      <c r="L28" s="70"/>
      <c r="M28" s="71"/>
      <c r="N28" s="85" t="s">
        <v>195</v>
      </c>
      <c r="O28" s="70"/>
      <c r="P28" s="71"/>
    </row>
    <row r="29" spans="1:16" s="110" customFormat="1" ht="13.7" hidden="1" customHeight="1">
      <c r="A29" s="1560"/>
      <c r="B29" s="181" t="s">
        <v>2270</v>
      </c>
      <c r="C29" s="3128" t="s">
        <v>2298</v>
      </c>
      <c r="D29" s="3129"/>
      <c r="E29" s="3129"/>
      <c r="F29" s="3129"/>
      <c r="G29" s="3129"/>
      <c r="H29" s="3129"/>
      <c r="I29" s="3130"/>
      <c r="L29" s="70"/>
      <c r="M29" s="71"/>
      <c r="N29" s="202">
        <v>1</v>
      </c>
      <c r="O29" s="70"/>
      <c r="P29" s="71"/>
    </row>
    <row r="30" spans="1:16" s="110" customFormat="1" ht="15" hidden="1" customHeight="1">
      <c r="A30" s="1560"/>
      <c r="B30" s="159" t="s">
        <v>2273</v>
      </c>
      <c r="C30" s="3125" t="s">
        <v>2299</v>
      </c>
      <c r="D30" s="3126"/>
      <c r="E30" s="3126"/>
      <c r="F30" s="3126"/>
      <c r="G30" s="3126"/>
      <c r="H30" s="3126"/>
      <c r="I30" s="3127"/>
      <c r="L30" s="70"/>
      <c r="M30" s="71"/>
      <c r="N30" s="202" t="s">
        <v>197</v>
      </c>
      <c r="O30" s="70"/>
      <c r="P30" s="71"/>
    </row>
    <row r="31" spans="1:16" s="110" customFormat="1" ht="14.25" hidden="1" customHeight="1">
      <c r="A31" s="1560"/>
      <c r="B31" s="159" t="s">
        <v>2278</v>
      </c>
      <c r="C31" s="3125" t="s">
        <v>2300</v>
      </c>
      <c r="D31" s="3126"/>
      <c r="E31" s="3126"/>
      <c r="F31" s="3126"/>
      <c r="G31" s="3126"/>
      <c r="H31" s="3126"/>
      <c r="I31" s="3127"/>
      <c r="L31" s="70"/>
      <c r="M31" s="71"/>
      <c r="N31" s="202">
        <v>1</v>
      </c>
      <c r="O31" s="70"/>
      <c r="P31" s="71"/>
    </row>
    <row r="32" spans="1:16" s="110" customFormat="1" ht="14.25" hidden="1" customHeight="1">
      <c r="A32" s="1560"/>
      <c r="B32" s="159" t="s">
        <v>2284</v>
      </c>
      <c r="C32" s="3125" t="s">
        <v>2301</v>
      </c>
      <c r="D32" s="3126"/>
      <c r="E32" s="3126"/>
      <c r="F32" s="3126"/>
      <c r="G32" s="3126"/>
      <c r="H32" s="3126"/>
      <c r="I32" s="3127"/>
      <c r="L32" s="70"/>
      <c r="M32" s="71"/>
      <c r="N32" s="202">
        <v>1</v>
      </c>
      <c r="O32" s="70"/>
      <c r="P32" s="71"/>
    </row>
    <row r="33" spans="1:16" s="110" customFormat="1" ht="27" hidden="1" customHeight="1">
      <c r="A33" s="1560"/>
      <c r="B33" s="159" t="s">
        <v>2287</v>
      </c>
      <c r="C33" s="3125" t="s">
        <v>2302</v>
      </c>
      <c r="D33" s="3126"/>
      <c r="E33" s="3126"/>
      <c r="F33" s="3126"/>
      <c r="G33" s="3126"/>
      <c r="H33" s="3126"/>
      <c r="I33" s="3127"/>
      <c r="L33" s="70"/>
      <c r="M33" s="71"/>
      <c r="N33" s="202">
        <v>1</v>
      </c>
      <c r="O33" s="70"/>
      <c r="P33" s="71"/>
    </row>
    <row r="34" spans="1:16" s="110" customFormat="1" ht="25.5" hidden="1" customHeight="1">
      <c r="A34" s="1560"/>
      <c r="B34" s="159" t="s">
        <v>2288</v>
      </c>
      <c r="C34" s="3125" t="s">
        <v>2303</v>
      </c>
      <c r="D34" s="3126"/>
      <c r="E34" s="3126"/>
      <c r="F34" s="3126"/>
      <c r="G34" s="3126"/>
      <c r="H34" s="3126"/>
      <c r="I34" s="3127"/>
      <c r="L34" s="70"/>
      <c r="M34" s="71"/>
      <c r="N34" s="202">
        <v>1</v>
      </c>
      <c r="O34" s="70"/>
      <c r="P34" s="71"/>
    </row>
    <row r="35" spans="1:16" ht="15" hidden="1" customHeight="1" thickBot="1">
      <c r="A35" s="1564"/>
      <c r="B35" s="183" t="s">
        <v>2293</v>
      </c>
      <c r="C35" s="3131" t="s">
        <v>2304</v>
      </c>
      <c r="D35" s="3132"/>
      <c r="E35" s="3132"/>
      <c r="F35" s="3132"/>
      <c r="G35" s="3132"/>
      <c r="H35" s="3132"/>
      <c r="I35" s="3133"/>
      <c r="N35" s="202">
        <v>1</v>
      </c>
    </row>
    <row r="36" spans="1:16" hidden="1">
      <c r="A36" s="1564"/>
    </row>
  </sheetData>
  <mergeCells count="12">
    <mergeCell ref="C29:I29"/>
    <mergeCell ref="B3:C3"/>
    <mergeCell ref="N3:O3"/>
    <mergeCell ref="U3:V3"/>
    <mergeCell ref="B16:C16"/>
    <mergeCell ref="C28:I28"/>
    <mergeCell ref="C35:I35"/>
    <mergeCell ref="C30:I30"/>
    <mergeCell ref="C31:I31"/>
    <mergeCell ref="C32:I32"/>
    <mergeCell ref="C33:I33"/>
    <mergeCell ref="C34:I34"/>
  </mergeCells>
  <conditionalFormatting sqref="K6:K7 K9:K15">
    <cfRule type="cellIs" dxfId="1220" priority="6" operator="equal">
      <formula>0</formula>
    </cfRule>
  </conditionalFormatting>
  <conditionalFormatting sqref="K8:K10">
    <cfRule type="cellIs" dxfId="1219"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003479"/>
    <pageSetUpPr fitToPage="1"/>
  </sheetPr>
  <dimension ref="A1:L16"/>
  <sheetViews>
    <sheetView topLeftCell="A1048576" workbookViewId="0">
      <selection activeCell="J55" sqref="J55"/>
    </sheetView>
  </sheetViews>
  <sheetFormatPr defaultColWidth="0" defaultRowHeight="14.25" customHeight="1" zeroHeight="1"/>
  <cols>
    <col min="1" max="1" width="0.5" style="8" customWidth="1"/>
    <col min="2" max="8" width="8.5" style="8" hidden="1" customWidth="1"/>
    <col min="9" max="16384" width="8.5" style="8" hidden="1"/>
  </cols>
  <sheetData>
    <row r="1" spans="12:12" hidden="1">
      <c r="L1" s="479"/>
    </row>
    <row r="2" spans="12:12" ht="14.25" hidden="1" customHeight="1">
      <c r="L2" s="479"/>
    </row>
    <row r="3" spans="12:12" ht="14.25" hidden="1" customHeight="1">
      <c r="L3" s="479"/>
    </row>
    <row r="4" spans="12:12" ht="14.25" hidden="1" customHeight="1">
      <c r="L4" s="479"/>
    </row>
    <row r="5" spans="12:12" ht="14.25" hidden="1" customHeight="1">
      <c r="L5" s="479"/>
    </row>
    <row r="6" spans="12:12" ht="14.25" hidden="1" customHeight="1">
      <c r="L6" s="479">
        <f>IF(Validation!$H$3=1,0,IF(ISNUMBER(#REF!),0,1))</f>
        <v>1</v>
      </c>
    </row>
    <row r="7" spans="12:12" ht="14.25" hidden="1" customHeight="1">
      <c r="L7" s="479"/>
    </row>
    <row r="8" spans="12:12" ht="14.25" hidden="1" customHeight="1">
      <c r="L8" s="479"/>
    </row>
    <row r="9" spans="12:12" ht="14.25" hidden="1" customHeight="1">
      <c r="L9" s="479"/>
    </row>
    <row r="10" spans="12:12" ht="14.25" hidden="1" customHeight="1">
      <c r="L10" s="479"/>
    </row>
    <row r="11" spans="12:12" ht="14.25" hidden="1" customHeight="1">
      <c r="L11" s="479"/>
    </row>
    <row r="12" spans="12:12" ht="14.25" hidden="1" customHeight="1">
      <c r="L12" s="479"/>
    </row>
    <row r="13" spans="12:12" ht="14.25" hidden="1" customHeight="1">
      <c r="L13" s="479"/>
    </row>
    <row r="14" spans="12:12" ht="14.25" hidden="1" customHeight="1">
      <c r="L14" s="479"/>
    </row>
    <row r="15" spans="12:12" ht="14.25" hidden="1" customHeight="1">
      <c r="L15" s="479"/>
    </row>
    <row r="16" spans="12:12" ht="14.25" hidden="1" customHeight="1">
      <c r="L16" s="479"/>
    </row>
  </sheetData>
  <sheetProtection algorithmName="SHA-512" hashValue="AM2hBQruweZdbD+EEwaG25dD4ugN9gyvdaBnjFTuY2nSulHK01qsIf3g2CJ8hulg2x7fcYrB3VtesSWOF69p+g==" saltValue="0S6xJaumTuGon/zPy9NN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AJ98"/>
  <sheetViews>
    <sheetView showGridLines="0" topLeftCell="E16" zoomScale="85" zoomScaleNormal="85" workbookViewId="0">
      <selection activeCell="N27" sqref="N27"/>
    </sheetView>
  </sheetViews>
  <sheetFormatPr defaultColWidth="0" defaultRowHeight="14.25" zeroHeight="1"/>
  <cols>
    <col min="1" max="1" width="1.125" style="82" customWidth="1"/>
    <col min="2" max="2" width="12.625" style="8" customWidth="1"/>
    <col min="3" max="3" width="19.5" style="8" customWidth="1"/>
    <col min="4" max="4" width="71.5" style="8" customWidth="1"/>
    <col min="5" max="5" width="8.5" style="8" customWidth="1"/>
    <col min="6" max="6" width="36.5" style="479" customWidth="1"/>
    <col min="7" max="7" width="8.5" style="479" customWidth="1"/>
    <col min="8" max="8" width="15.5" style="479" customWidth="1"/>
    <col min="9" max="9" width="15.5" style="715" customWidth="1"/>
    <col min="10" max="10" width="15.5" style="8" customWidth="1"/>
    <col min="11" max="11" width="27.5" style="8" customWidth="1"/>
    <col min="12" max="12" width="17.5" style="8" customWidth="1"/>
    <col min="13" max="13" width="27.5" style="8" customWidth="1"/>
    <col min="14" max="14" width="17.5" style="8" customWidth="1"/>
    <col min="15" max="15" width="28.125" style="8" customWidth="1"/>
    <col min="16" max="16" width="23.125" style="8" customWidth="1"/>
    <col min="17" max="17" width="2.5" style="70" customWidth="1"/>
    <col min="18" max="18" width="21.5" style="70" customWidth="1"/>
    <col min="19" max="19" width="19.5" style="70" customWidth="1"/>
    <col min="20" max="20" width="1.5" style="70" customWidth="1"/>
    <col min="21" max="21" width="1.5" style="71" hidden="1" customWidth="1"/>
    <col min="22" max="30" width="3.5" style="70" hidden="1" customWidth="1"/>
    <col min="31" max="31" width="1.5" style="71" hidden="1" customWidth="1"/>
    <col min="32" max="33" width="12.5" style="8" hidden="1" customWidth="1"/>
    <col min="34" max="34" width="1.5" style="511" hidden="1" customWidth="1"/>
    <col min="35" max="35" width="12.5" style="8" hidden="1" customWidth="1"/>
    <col min="36" max="36" width="25.5" style="2242" hidden="1" customWidth="1"/>
    <col min="37" max="16384" width="8.5" style="8" hidden="1"/>
  </cols>
  <sheetData>
    <row r="1" spans="1:36" s="75" customFormat="1" ht="22.7" customHeight="1">
      <c r="A1" s="162"/>
      <c r="B1" s="66" t="s">
        <v>2305</v>
      </c>
      <c r="C1" s="66"/>
      <c r="D1" s="66"/>
      <c r="E1" s="66"/>
      <c r="F1" s="68" t="str">
        <f>Validation!B3</f>
        <v>Yorkshire Water</v>
      </c>
      <c r="G1" s="66"/>
      <c r="H1" s="66"/>
      <c r="I1" s="711"/>
      <c r="J1" s="66"/>
      <c r="K1" s="66"/>
      <c r="L1" s="66"/>
      <c r="M1" s="66"/>
      <c r="N1" s="66"/>
      <c r="O1" s="68"/>
      <c r="P1" s="68" t="str">
        <f>Validation!B3</f>
        <v>Yorkshire Water</v>
      </c>
      <c r="Q1" s="66"/>
      <c r="R1" s="69"/>
      <c r="S1" s="69" t="s">
        <v>34</v>
      </c>
      <c r="T1" s="70"/>
      <c r="U1" s="71"/>
      <c r="V1" s="303"/>
      <c r="W1" s="70"/>
      <c r="X1" s="70"/>
      <c r="Y1" s="70"/>
      <c r="Z1" s="70"/>
      <c r="AA1" s="70"/>
      <c r="AB1" s="70"/>
      <c r="AC1" s="70"/>
      <c r="AD1" s="70"/>
      <c r="AE1" s="71"/>
      <c r="AH1" s="506"/>
      <c r="AJ1" s="2237"/>
    </row>
    <row r="2" spans="1:36" s="75" customFormat="1" ht="16.5" customHeight="1" thickBot="1">
      <c r="A2" s="162"/>
      <c r="B2" s="73" t="s">
        <v>20</v>
      </c>
      <c r="C2" s="304"/>
      <c r="D2" s="162"/>
      <c r="E2" s="162"/>
      <c r="F2" s="162"/>
      <c r="G2" s="162"/>
      <c r="H2" s="162"/>
      <c r="I2" s="712"/>
      <c r="J2" s="162"/>
      <c r="K2" s="162"/>
      <c r="L2" s="162"/>
      <c r="M2" s="162"/>
      <c r="N2" s="162"/>
      <c r="O2" s="162"/>
      <c r="P2" s="162"/>
      <c r="Q2" s="162"/>
      <c r="R2" s="162"/>
      <c r="S2" s="70"/>
      <c r="T2" s="70"/>
      <c r="U2" s="71"/>
      <c r="V2" s="76" t="s">
        <v>47</v>
      </c>
      <c r="W2" s="2987"/>
      <c r="X2" s="2987"/>
      <c r="Y2" s="2987"/>
      <c r="Z2" s="2987"/>
      <c r="AA2" s="2987"/>
      <c r="AB2" s="2987"/>
      <c r="AC2" s="2987"/>
      <c r="AD2" s="2987"/>
      <c r="AE2" s="71"/>
      <c r="AF2" s="504" t="s">
        <v>2306</v>
      </c>
      <c r="AG2" s="504"/>
      <c r="AH2" s="506"/>
      <c r="AJ2" s="2237"/>
    </row>
    <row r="3" spans="1:36" s="308" customFormat="1" ht="108.75" customHeight="1" thickBot="1">
      <c r="A3" s="74"/>
      <c r="B3" s="296" t="s">
        <v>2307</v>
      </c>
      <c r="C3" s="3002" t="s">
        <v>2308</v>
      </c>
      <c r="D3" s="305" t="s">
        <v>2309</v>
      </c>
      <c r="E3" s="306" t="s">
        <v>2310</v>
      </c>
      <c r="F3" s="306" t="s">
        <v>2311</v>
      </c>
      <c r="G3" s="306" t="s">
        <v>2312</v>
      </c>
      <c r="H3" s="306" t="s">
        <v>2313</v>
      </c>
      <c r="I3" s="306" t="s">
        <v>2314</v>
      </c>
      <c r="J3" s="306" t="s">
        <v>2315</v>
      </c>
      <c r="K3" s="307" t="s">
        <v>2316</v>
      </c>
      <c r="L3" s="307" t="s">
        <v>2317</v>
      </c>
      <c r="M3" s="307" t="s">
        <v>2318</v>
      </c>
      <c r="N3" s="307" t="s">
        <v>2319</v>
      </c>
      <c r="O3" s="2941" t="s">
        <v>2320</v>
      </c>
      <c r="P3" s="2942" t="s">
        <v>2321</v>
      </c>
      <c r="Q3" s="70"/>
      <c r="R3" s="186" t="s">
        <v>2322</v>
      </c>
      <c r="S3" s="187" t="s">
        <v>43</v>
      </c>
      <c r="T3" s="70"/>
      <c r="U3" s="71"/>
      <c r="V3" s="1378" t="s">
        <v>48</v>
      </c>
      <c r="W3" s="1379"/>
      <c r="X3" s="1379"/>
      <c r="Y3" s="1379"/>
      <c r="Z3" s="1379"/>
      <c r="AA3" s="1379"/>
      <c r="AB3" s="1379"/>
      <c r="AC3" s="1379"/>
      <c r="AD3" s="1379"/>
      <c r="AE3" s="71"/>
      <c r="AF3" s="513" t="s">
        <v>2323</v>
      </c>
      <c r="AG3" s="513" t="s">
        <v>2324</v>
      </c>
      <c r="AH3" s="507"/>
      <c r="AJ3" s="2238"/>
    </row>
    <row r="4" spans="1:36" s="308" customFormat="1" ht="15" customHeight="1" thickBot="1">
      <c r="A4" s="74"/>
      <c r="B4" s="74"/>
      <c r="C4" s="74"/>
      <c r="D4" s="74"/>
      <c r="E4" s="74"/>
      <c r="F4" s="74"/>
      <c r="G4" s="74"/>
      <c r="H4" s="74"/>
      <c r="I4" s="166"/>
      <c r="J4" s="74"/>
      <c r="K4" s="74"/>
      <c r="L4" s="74"/>
      <c r="M4" s="74"/>
      <c r="N4" s="74"/>
      <c r="O4" s="74"/>
      <c r="P4" s="74"/>
      <c r="Q4" s="74"/>
      <c r="R4" s="74"/>
      <c r="S4" s="74"/>
      <c r="T4" s="70"/>
      <c r="U4" s="71"/>
      <c r="V4" s="309" t="s">
        <v>2325</v>
      </c>
      <c r="W4" s="310" t="s">
        <v>2326</v>
      </c>
      <c r="X4" s="310" t="s">
        <v>2327</v>
      </c>
      <c r="Y4" s="310" t="s">
        <v>2328</v>
      </c>
      <c r="Z4" s="310" t="s">
        <v>2329</v>
      </c>
      <c r="AA4" s="310" t="s">
        <v>2330</v>
      </c>
      <c r="AB4" s="310" t="s">
        <v>2331</v>
      </c>
      <c r="AC4" s="310" t="s">
        <v>2332</v>
      </c>
      <c r="AD4" s="310" t="s">
        <v>2333</v>
      </c>
      <c r="AE4" s="71"/>
      <c r="AH4" s="507"/>
      <c r="AJ4" s="2238"/>
    </row>
    <row r="5" spans="1:36" s="308" customFormat="1" ht="30.2" customHeight="1">
      <c r="A5" s="74"/>
      <c r="B5" s="288">
        <v>1</v>
      </c>
      <c r="C5" s="311" t="str">
        <f>IF($P$1="Select company","",IF((HLOOKUP((VLOOKUP($P$1,Lists!$B$4:$C$26,2,FALSE)),'PC list edited'!$A$2:$EJ$65,(B5+1),FALSE))=0,"",HLOOKUP((VLOOKUP($P$1,Lists!$B$4:$C$26,2,FALSE)),'PC list edited'!$A$2:$EJ$65,(B5+1),FALSE)))</f>
        <v>PR14YKYWSW_WA1</v>
      </c>
      <c r="D5" s="312" t="str">
        <f>IF($P$1="Select company","",IF(C5 ="","",HLOOKUP(((VLOOKUP($P$1,Lists!$B$4:$C$26,2,FALSE))&amp;"PC"),'PC list edited'!$A$2:$EJ$65,(B5+1),FALSE)))</f>
        <v>WA1: Drinking water quality</v>
      </c>
      <c r="E5" s="313" t="str">
        <f>IF($P$1="Select company","",IF(C5 ="","",HLOOKUP(((VLOOKUP($P$1,Lists!$B$4:$C$26,2,FALSE))&amp;"unit"),'PC list edited'!$A$2:$EJ$65,(B5+1),FALSE)))</f>
        <v>%</v>
      </c>
      <c r="F5" s="313" t="str">
        <f>IF($P$1="Select company","",IF(C5 ="","",HLOOKUP(((VLOOKUP($P$1,Lists!$B$4:$C$26,2,FALSE))&amp;"UnitDes"),'PC list edited'!$A$2:$EJ$65,(B5+1),FALSE)))</f>
        <v>Mean zonal compliance (%)</v>
      </c>
      <c r="G5" s="514">
        <f>IF($P$1="Select company","",IF(C5="","",HLOOKUP(((VLOOKUP($P$1,Lists!$B$4:$C$26,2,FALSE))&amp;"DP"),'PC list edited'!$A$2:$EJ$65,(B5+1),FALSE)))</f>
        <v>3</v>
      </c>
      <c r="H5" s="514">
        <f>IF($P$1="Select company","",IF(C5 = "","",HLOOKUP(((VLOOKUP($P$1,Lists!$B$4:$C$26,2,FALSE))&amp;"201819Actual"),'PC list edited'!$A$2:$EJ$65,(B5+1),FALSE)))</f>
        <v>99.962000000000003</v>
      </c>
      <c r="I5" s="548">
        <v>99.948999999999998</v>
      </c>
      <c r="J5" s="663" t="s">
        <v>2334</v>
      </c>
      <c r="K5" s="497" t="s">
        <v>2335</v>
      </c>
      <c r="L5" s="498"/>
      <c r="M5" s="497" t="s">
        <v>2336</v>
      </c>
      <c r="N5" s="498">
        <v>-0.89201160000584367</v>
      </c>
      <c r="O5" s="2943"/>
      <c r="P5" s="2944"/>
      <c r="Q5" s="70"/>
      <c r="R5" s="503">
        <f>IF(AF5=1, $AF$3, IF(AG5=1, $AG$3, 0))</f>
        <v>0</v>
      </c>
      <c r="S5" s="24">
        <f xml:space="preserve"> IF( SUM( U5:AE5 ) = 0, 0, $V$3 )</f>
        <v>0</v>
      </c>
      <c r="T5" s="70"/>
      <c r="U5" s="71"/>
      <c r="V5" s="93">
        <f>IF($C5="",0,IF(ISBLANK(I5)=FALSE,0,1))</f>
        <v>0</v>
      </c>
      <c r="W5" s="93">
        <f>IF($C5="",0,IF(ISBLANK(#REF!)=FALSE,0,1))</f>
        <v>0</v>
      </c>
      <c r="X5" s="93">
        <f t="shared" ref="X5:X49" si="0">IF($C5="",0,IF(ISBLANK(J5)=FALSE,0,1))</f>
        <v>0</v>
      </c>
      <c r="Y5" s="93">
        <f>IF(OR(ISBLANK(L5), L5=0), 0, IF(OR(K5=Lists!$F$11, K5=Lists!$F$13), 0, 1))</f>
        <v>0</v>
      </c>
      <c r="Z5" s="93">
        <f>IF(OR($C5="", AND(NOT(K5=Lists!$F$11), NOT(K5=Lists!$F$13))),0,IF(ISBLANK(L5)=FALSE,0,1))</f>
        <v>0</v>
      </c>
      <c r="AA5" s="93">
        <f>IF(OR(ISBLANK(N5), N5=0), 0, IF(OR(M5=Lists!$F$11, M5=Lists!$F$13), 0, 1))</f>
        <v>0</v>
      </c>
      <c r="AB5" s="93">
        <f>IF(OR($C5="", AND(NOT(M5=Lists!$F$11), NOT(M5=Lists!$F$13))),0,IF(ISBLANK(N5)=FALSE,0,1))</f>
        <v>0</v>
      </c>
      <c r="AC5" s="93">
        <f>IF(OR(ISBLANK(P5), P5=0), 0, IF(OR(O5=Lists!$F$11, O5=Lists!$F$13), 0, 1))</f>
        <v>0</v>
      </c>
      <c r="AD5" s="93">
        <f>IF(OR($C5="", AND(NOT(O5=Lists!$F$11), NOT(O5=Lists!$F$13))),0,IF(ISBLANK(P5)=FALSE,0,1))</f>
        <v>0</v>
      </c>
      <c r="AE5" s="71"/>
      <c r="AF5" s="505">
        <f xml:space="preserve"> IF(OR( AND( K5 = Lists!$F$11, '3A'!L5 &lt; 0), AND( '3A'!M5 = Lists!$F$11, '3A'!N5 &lt; 0), AND( '3A'!O5 = Lists!$F$11, '3A'!P5 &lt; 0)), 1, 0)</f>
        <v>0</v>
      </c>
      <c r="AG5" s="505">
        <f xml:space="preserve"> IF( OR( AND( K5 = Lists!$F$13, '3A'!L5 &gt; 0), AND( M5 = Lists!$F$13, '3A'!N5 &gt; 0), AND( O5 = Lists!$F$13, '3A'!P5 &gt; 0 )), 1, 0)</f>
        <v>0</v>
      </c>
      <c r="AH5" s="507"/>
      <c r="AI5" s="666" t="str">
        <f>IF($P$1="Select company","",IF((HLOOKUP(((VLOOKUP($P$1,Lists!$B$4:$C$26,2,FALSE))&amp;'PC LIST'!$J$2),'PC list edited'!$A$2:$EJ$65,(B5+1),FALSE))=0,"",HLOOKUP(((VLOOKUP($P$1,Lists!$B$4:$C$26,2,FALSE))&amp; 'PC LIST'!$J$2),'PC list edited'!$A$2:$EJ$65,(B5+1),FALSE)))</f>
        <v>Under</v>
      </c>
      <c r="AJ5" s="2239" t="str">
        <f>IFERROR(INDEX('PC LIST'!N$3:N$631, MATCH($C5, 'PC LIST'!$B$3:$B$631, 0)),"")</f>
        <v>Water quality compliance</v>
      </c>
    </row>
    <row r="6" spans="1:36" s="308" customFormat="1" ht="30.2" customHeight="1">
      <c r="A6" s="74"/>
      <c r="B6" s="289">
        <f xml:space="preserve"> B5 + 1</f>
        <v>2</v>
      </c>
      <c r="C6" s="496" t="str">
        <f>IF($P$1="Select company","",IF((HLOOKUP((VLOOKUP($P$1,Lists!$B$4:$C$26,2,FALSE)),'PC list edited'!$A$2:$EJ$65,(B6+1),FALSE))=0,"",HLOOKUP((VLOOKUP($P$1,Lists!$B$4:$C$26,2,FALSE)),'PC list edited'!$A$2:$EJ$65,(B6+1),FALSE)))</f>
        <v>PR14YKYWSW_WA2</v>
      </c>
      <c r="D6" s="495" t="str">
        <f>IF($P$1="Select company","",IF(C6 ="","",HLOOKUP(((VLOOKUP($P$1,Lists!$B$4:$C$26,2,FALSE))&amp;"PC"),'PC list edited'!$A$2:$EJ$65,(B6+1),FALSE)))</f>
        <v>WA2: Significant drinking water events which require corrective action</v>
      </c>
      <c r="E6" s="314" t="str">
        <f>IF($P$1="Select company","",IF(C6 ="","",HLOOKUP(((VLOOKUP($P$1,Lists!$B$4:$C$26,2,FALSE))&amp;"unit"),'PC list edited'!$A$2:$EJ$65,(B6+1),FALSE)))</f>
        <v>nr</v>
      </c>
      <c r="F6" s="314" t="str">
        <f>IF($P$1="Select company","",IF(C6 ="","",HLOOKUP(((VLOOKUP($P$1,Lists!$B$4:$C$26,2,FALSE))&amp;"UnitDes"),'PC list edited'!$A$2:$EJ$65,(B6+1),FALSE)))</f>
        <v>No. of corrective actions required by DWI with respect to potentially significant events notified</v>
      </c>
      <c r="G6" s="515">
        <f>IF($P$1="Select company","",IF(C6="","",HLOOKUP(((VLOOKUP($P$1,Lists!$B$4:$C$26,2,FALSE))&amp;"DP"),'PC list edited'!$A$2:$EJ$65,(B6+1),FALSE)))</f>
        <v>0</v>
      </c>
      <c r="H6" s="515">
        <f>IF($P$1="Select company","",IF(C6 = "","",HLOOKUP(((VLOOKUP($P$1,Lists!$B$4:$C$26,2,FALSE))&amp;"201819Actual"),'PC list edited'!$A$2:$EJ$65,(B6+1),FALSE)))</f>
        <v>5</v>
      </c>
      <c r="I6" s="550">
        <v>1</v>
      </c>
      <c r="J6" s="664" t="s">
        <v>2337</v>
      </c>
      <c r="K6" s="499"/>
      <c r="L6" s="500"/>
      <c r="M6" s="499"/>
      <c r="N6" s="500"/>
      <c r="O6" s="2945"/>
      <c r="P6" s="2946"/>
      <c r="Q6" s="70"/>
      <c r="R6" s="503">
        <f>IF(AF6=1, $AF$3, IF(AG6=1, $AG$3, 0))</f>
        <v>0</v>
      </c>
      <c r="S6" s="24">
        <f t="shared" ref="S6:S36" si="1" xml:space="preserve"> IF( SUM( U6:AE6 ) = 0, 0, $V$3 )</f>
        <v>0</v>
      </c>
      <c r="T6" s="70"/>
      <c r="U6" s="71"/>
      <c r="V6" s="93">
        <f t="shared" ref="V6:V36" si="2">IF($C6="",0,IF(ISBLANK(I6)=FALSE,0,1))</f>
        <v>0</v>
      </c>
      <c r="W6" s="93">
        <f>IF($C6="",0,IF(ISBLANK(#REF!)=FALSE,0,1))</f>
        <v>0</v>
      </c>
      <c r="X6" s="93">
        <f t="shared" si="0"/>
        <v>0</v>
      </c>
      <c r="Y6" s="93">
        <f>IF(OR(ISBLANK(L6), L6=0), 0, IF(OR(K6=Lists!$F$11, K6=Lists!$F$13), 0, 1))</f>
        <v>0</v>
      </c>
      <c r="Z6" s="93">
        <f>IF(OR($C6="", AND(NOT(K6=Lists!$F$11), NOT(K6=Lists!$F$13))),0,IF(ISBLANK(L6)=FALSE,0,1))</f>
        <v>0</v>
      </c>
      <c r="AA6" s="93">
        <f>IF(OR(ISBLANK(N6), N6=0), 0, IF(OR(M6=Lists!$F$11, M6=Lists!$F$13), 0, 1))</f>
        <v>0</v>
      </c>
      <c r="AB6" s="93">
        <f>IF(OR($C6="", AND(NOT(M6=Lists!$F$11), NOT(M6=Lists!$F$13))),0,IF(ISBLANK(N6)=FALSE,0,1))</f>
        <v>0</v>
      </c>
      <c r="AC6" s="93">
        <f>IF(OR(ISBLANK(P6), P6=0), 0, IF(OR(O6=Lists!$F$11, O6=Lists!$F$13), 0, 1))</f>
        <v>0</v>
      </c>
      <c r="AD6" s="93">
        <f>IF(OR($C6="", AND(NOT(O6=Lists!$F$11), NOT(O6=Lists!$F$13))),0,IF(ISBLANK(P6)=FALSE,0,1))</f>
        <v>0</v>
      </c>
      <c r="AE6" s="71"/>
      <c r="AF6" s="505">
        <f xml:space="preserve"> IF(OR( AND( K6 = Lists!$F$11, '3A'!L6 &lt; 0), AND( '3A'!M6 = Lists!$F$11, '3A'!N6 &lt; 0), AND( '3A'!O6 = Lists!$F$11, '3A'!P6 &lt; 0)), 1, 0)</f>
        <v>0</v>
      </c>
      <c r="AG6" s="505">
        <f xml:space="preserve"> IF( OR( AND( K6 = Lists!$F$13, '3A'!L6 &gt; 0), AND( M6 = Lists!$F$13, '3A'!N6 &gt; 0), AND( O6 = Lists!$F$13, '3A'!P6 &gt; 0 )), 1, 0)</f>
        <v>0</v>
      </c>
      <c r="AH6" s="507"/>
      <c r="AI6" s="666" t="str">
        <f>IF($P$1="Select company","",IF((HLOOKUP(((VLOOKUP($P$1,Lists!$B$4:$C$26,2,FALSE))&amp;'PC LIST'!$J$2),'PC list edited'!$A$2:$EJ$65,(B6+1),FALSE))=0,"",HLOOKUP(((VLOOKUP($P$1,Lists!$B$4:$C$26,2,FALSE))&amp; 'PC LIST'!$J$2),'PC list edited'!$A$2:$EJ$65,(B6+1),FALSE)))</f>
        <v>NFI</v>
      </c>
      <c r="AJ6" s="2239" t="str">
        <f>IFERROR(INDEX('PC LIST'!N$3:N$631, MATCH($C6, 'PC LIST'!$B$3:$B$631, 0)),"")</f>
        <v>Water quality compliance</v>
      </c>
    </row>
    <row r="7" spans="1:36" s="308" customFormat="1" ht="30.2" customHeight="1">
      <c r="A7" s="74"/>
      <c r="B7" s="289">
        <f t="shared" ref="B7:B60" si="3" xml:space="preserve"> B6 + 1</f>
        <v>3</v>
      </c>
      <c r="C7" s="496" t="str">
        <f>IF($P$1="Select company","",IF((HLOOKUP((VLOOKUP($P$1,Lists!$B$4:$C$26,2,FALSE)),'PC list edited'!$A$2:$EJ$65,(B7+1),FALSE))=0,"",HLOOKUP((VLOOKUP($P$1,Lists!$B$4:$C$26,2,FALSE)),'PC list edited'!$A$2:$EJ$65,(B7+1),FALSE)))</f>
        <v>PR14YKYWSW_WA3</v>
      </c>
      <c r="D7" s="495" t="str">
        <f>IF($P$1="Select company","",IF(C7 ="","",HLOOKUP(((VLOOKUP($P$1,Lists!$B$4:$C$26,2,FALSE))&amp;"PC"),'PC list edited'!$A$2:$EJ$65,(B7+1),FALSE)))</f>
        <v>WA3: Drinking water contacts</v>
      </c>
      <c r="E7" s="314" t="str">
        <f>IF($P$1="Select company","",IF(C7 ="","",HLOOKUP(((VLOOKUP($P$1,Lists!$B$4:$C$26,2,FALSE))&amp;"unit"),'PC list edited'!$A$2:$EJ$65,(B7+1),FALSE)))</f>
        <v>nr</v>
      </c>
      <c r="F7" s="314" t="str">
        <f>IF($P$1="Select company","",IF(C7 ="","",HLOOKUP(((VLOOKUP($P$1,Lists!$B$4:$C$26,2,FALSE))&amp;"UnitDes"),'PC list edited'!$A$2:$EJ$65,(B7+1),FALSE)))</f>
        <v>No. of contacts (discolouration, taste &amp; odour and illness) in line with DWI reporting</v>
      </c>
      <c r="G7" s="515">
        <f>IF($P$1="Select company","",IF(C7="","",HLOOKUP(((VLOOKUP($P$1,Lists!$B$4:$C$26,2,FALSE))&amp;"DP"),'PC list edited'!$A$2:$EJ$65,(B7+1),FALSE)))</f>
        <v>0</v>
      </c>
      <c r="H7" s="515">
        <f>IF($P$1="Select company","",IF(C7 = "","",HLOOKUP(((VLOOKUP($P$1,Lists!$B$4:$C$26,2,FALSE))&amp;"201819Actual"),'PC list edited'!$A$2:$EJ$65,(B7+1),FALSE)))</f>
        <v>7964</v>
      </c>
      <c r="I7" s="550">
        <v>6368</v>
      </c>
      <c r="J7" s="664" t="s">
        <v>2334</v>
      </c>
      <c r="K7" s="499" t="s">
        <v>2335</v>
      </c>
      <c r="L7" s="500"/>
      <c r="M7" s="499" t="s">
        <v>2336</v>
      </c>
      <c r="N7" s="500">
        <v>-0.85799999999999998</v>
      </c>
      <c r="O7" s="2945"/>
      <c r="P7" s="2946"/>
      <c r="Q7" s="70"/>
      <c r="R7" s="503">
        <f t="shared" ref="R7:R60" si="4">IF(AF7=1, $AF$3, IF(AG7=1, $AG$3, 0))</f>
        <v>0</v>
      </c>
      <c r="S7" s="24">
        <f t="shared" si="1"/>
        <v>0</v>
      </c>
      <c r="T7" s="70"/>
      <c r="U7" s="71"/>
      <c r="V7" s="93">
        <f t="shared" si="2"/>
        <v>0</v>
      </c>
      <c r="W7" s="93">
        <f>IF($C7="",0,IF(ISBLANK(#REF!)=FALSE,0,1))</f>
        <v>0</v>
      </c>
      <c r="X7" s="93">
        <f t="shared" si="0"/>
        <v>0</v>
      </c>
      <c r="Y7" s="93">
        <f>IF(OR(ISBLANK(L7), L7=0), 0, IF(OR(K7=Lists!$F$11, K7=Lists!$F$13), 0, 1))</f>
        <v>0</v>
      </c>
      <c r="Z7" s="93">
        <f>IF(OR($C7="", AND(NOT(K7=Lists!$F$11), NOT(K7=Lists!$F$13))),0,IF(ISBLANK(L7)=FALSE,0,1))</f>
        <v>0</v>
      </c>
      <c r="AA7" s="93">
        <f>IF(OR(ISBLANK(N7), N7=0), 0, IF(OR(M7=Lists!$F$11, M7=Lists!$F$13), 0, 1))</f>
        <v>0</v>
      </c>
      <c r="AB7" s="93">
        <f>IF(OR($C7="", AND(NOT(M7=Lists!$F$11), NOT(M7=Lists!$F$13))),0,IF(ISBLANK(N7)=FALSE,0,1))</f>
        <v>0</v>
      </c>
      <c r="AC7" s="93">
        <f>IF(OR(ISBLANK(P7), P7=0), 0, IF(OR(O7=Lists!$F$11, O7=Lists!$F$13), 0, 1))</f>
        <v>0</v>
      </c>
      <c r="AD7" s="93">
        <f>IF(OR($C7="", AND(NOT(O7=Lists!$F$11), NOT(O7=Lists!$F$13))),0,IF(ISBLANK(P7)=FALSE,0,1))</f>
        <v>0</v>
      </c>
      <c r="AE7" s="71"/>
      <c r="AF7" s="505">
        <f xml:space="preserve"> IF(OR( AND( K7 = Lists!$F$11, '3A'!L7 &lt; 0), AND( '3A'!M7 = Lists!$F$11, '3A'!N7 &lt; 0), AND( '3A'!O7 = Lists!$F$11, '3A'!P7 &lt; 0)), 1, 0)</f>
        <v>0</v>
      </c>
      <c r="AG7" s="505">
        <f xml:space="preserve"> IF( OR( AND( K7 = Lists!$F$13, '3A'!L7 &gt; 0), AND( M7 = Lists!$F$13, '3A'!N7 &gt; 0), AND( O7 = Lists!$F$13, '3A'!P7 &gt; 0 )), 1, 0)</f>
        <v>0</v>
      </c>
      <c r="AH7" s="507"/>
      <c r="AI7" s="666" t="str">
        <f>IF($P$1="Select company","",IF((HLOOKUP(((VLOOKUP($P$1,Lists!$B$4:$C$26,2,FALSE))&amp;'PC LIST'!$J$2),'PC list edited'!$A$2:$EJ$65,(B7+1),FALSE))=0,"",HLOOKUP(((VLOOKUP($P$1,Lists!$B$4:$C$26,2,FALSE))&amp; 'PC LIST'!$J$2),'PC list edited'!$A$2:$EJ$65,(B7+1),FALSE)))</f>
        <v>Out &amp; under</v>
      </c>
      <c r="AJ7" s="2239" t="str">
        <f>IFERROR(INDEX('PC LIST'!N$3:N$631, MATCH($C7, 'PC LIST'!$B$3:$B$631, 0)),"")</f>
        <v>Water quality contacts</v>
      </c>
    </row>
    <row r="8" spans="1:36" s="308" customFormat="1" ht="30.2" customHeight="1">
      <c r="A8" s="74"/>
      <c r="B8" s="289">
        <f t="shared" si="3"/>
        <v>4</v>
      </c>
      <c r="C8" s="496" t="str">
        <f>IF($P$1="Select company","",IF((HLOOKUP((VLOOKUP($P$1,Lists!$B$4:$C$26,2,FALSE)),'PC list edited'!$A$2:$EJ$65,(B8+1),FALSE))=0,"",HLOOKUP((VLOOKUP($P$1,Lists!$B$4:$C$26,2,FALSE)),'PC list edited'!$A$2:$EJ$65,(B8+1),FALSE)))</f>
        <v>PR14YKYWSW_WA4</v>
      </c>
      <c r="D8" s="495" t="str">
        <f>IF($P$1="Select company","",IF(C8 ="","",HLOOKUP(((VLOOKUP($P$1,Lists!$B$4:$C$26,2,FALSE))&amp;"PC"),'PC list edited'!$A$2:$EJ$65,(B8+1),FALSE)))</f>
        <v>WA4: Water quality stability and reliability factor</v>
      </c>
      <c r="E8" s="314" t="str">
        <f>IF($P$1="Select company","",IF(C8 ="","",HLOOKUP(((VLOOKUP($P$1,Lists!$B$4:$C$26,2,FALSE))&amp;"unit"),'PC list edited'!$A$2:$EJ$65,(B8+1),FALSE)))</f>
        <v>category</v>
      </c>
      <c r="F8" s="314" t="str">
        <f>IF($P$1="Select company","",IF(C8 ="","",HLOOKUP(((VLOOKUP($P$1,Lists!$B$4:$C$26,2,FALSE))&amp;"UnitDes"),'PC list edited'!$A$2:$EJ$65,(B8+1),FALSE)))</f>
        <v>Asset health indicator</v>
      </c>
      <c r="G8" s="515" t="str">
        <f>IF($P$1="Select company","",IF(C8="","",HLOOKUP(((VLOOKUP($P$1,Lists!$B$4:$C$26,2,FALSE))&amp;"DP"),'PC list edited'!$A$2:$EJ$65,(B8+1),FALSE)))</f>
        <v>na</v>
      </c>
      <c r="H8" s="515" t="str">
        <f>IF($P$1="Select company","",IF(C8 = "","",HLOOKUP(((VLOOKUP($P$1,Lists!$B$4:$C$26,2,FALSE))&amp;"201819Actual"),'PC list edited'!$A$2:$EJ$65,(B8+1),FALSE)))</f>
        <v>Stable</v>
      </c>
      <c r="I8" s="1380" t="s">
        <v>2338</v>
      </c>
      <c r="J8" s="664" t="s">
        <v>2337</v>
      </c>
      <c r="K8" s="499" t="s">
        <v>2335</v>
      </c>
      <c r="L8" s="500"/>
      <c r="M8" s="499" t="s">
        <v>2335</v>
      </c>
      <c r="N8" s="500"/>
      <c r="O8" s="2945"/>
      <c r="P8" s="2946"/>
      <c r="Q8" s="70"/>
      <c r="R8" s="503">
        <f t="shared" si="4"/>
        <v>0</v>
      </c>
      <c r="S8" s="24">
        <f t="shared" si="1"/>
        <v>0</v>
      </c>
      <c r="T8" s="70"/>
      <c r="U8" s="71"/>
      <c r="V8" s="93">
        <f t="shared" si="2"/>
        <v>0</v>
      </c>
      <c r="W8" s="93">
        <f>IF($C8="",0,IF(ISBLANK(#REF!)=FALSE,0,1))</f>
        <v>0</v>
      </c>
      <c r="X8" s="93">
        <f t="shared" si="0"/>
        <v>0</v>
      </c>
      <c r="Y8" s="93">
        <f>IF(OR(ISBLANK(L8), L8=0), 0, IF(OR(K8=Lists!$F$11, K8=Lists!$F$13), 0, 1))</f>
        <v>0</v>
      </c>
      <c r="Z8" s="93">
        <f>IF(OR($C8="", AND(NOT(K8=Lists!$F$11), NOT(K8=Lists!$F$13))),0,IF(ISBLANK(L8)=FALSE,0,1))</f>
        <v>0</v>
      </c>
      <c r="AA8" s="93">
        <f>IF(OR(ISBLANK(N8), N8=0), 0, IF(OR(M8=Lists!$F$11, M8=Lists!$F$13), 0, 1))</f>
        <v>0</v>
      </c>
      <c r="AB8" s="93">
        <f>IF(OR($C8="", AND(NOT(M8=Lists!$F$11), NOT(M8=Lists!$F$13))),0,IF(ISBLANK(N8)=FALSE,0,1))</f>
        <v>0</v>
      </c>
      <c r="AC8" s="93">
        <f>IF(OR(ISBLANK(P8), P8=0), 0, IF(OR(O8=Lists!$F$11, O8=Lists!$F$13), 0, 1))</f>
        <v>0</v>
      </c>
      <c r="AD8" s="93">
        <f>IF(OR($C8="", AND(NOT(O8=Lists!$F$11), NOT(O8=Lists!$F$13))),0,IF(ISBLANK(P8)=FALSE,0,1))</f>
        <v>0</v>
      </c>
      <c r="AE8" s="71"/>
      <c r="AF8" s="505">
        <f xml:space="preserve"> IF(OR( AND( K8 = Lists!$F$11, '3A'!L8 &lt; 0), AND( '3A'!M8 = Lists!$F$11, '3A'!N8 &lt; 0), AND( '3A'!O8 = Lists!$F$11, '3A'!P8 &lt; 0)), 1, 0)</f>
        <v>0</v>
      </c>
      <c r="AG8" s="505">
        <f xml:space="preserve"> IF( OR( AND( K8 = Lists!$F$13, '3A'!L8 &gt; 0), AND( M8 = Lists!$F$13, '3A'!N8 &gt; 0), AND( O8 = Lists!$F$13, '3A'!P8 &gt; 0 )), 1, 0)</f>
        <v>0</v>
      </c>
      <c r="AH8" s="507"/>
      <c r="AI8" s="666" t="str">
        <f>IF($P$1="Select company","",IF((HLOOKUP(((VLOOKUP($P$1,Lists!$B$4:$C$26,2,FALSE))&amp;'PC LIST'!$J$2),'PC list edited'!$A$2:$EJ$65,(B8+1),FALSE))=0,"",HLOOKUP(((VLOOKUP($P$1,Lists!$B$4:$C$26,2,FALSE))&amp; 'PC LIST'!$J$2),'PC list edited'!$A$2:$EJ$65,(B8+1),FALSE)))</f>
        <v>Under</v>
      </c>
      <c r="AJ8" s="2239" t="str">
        <f>IFERROR(INDEX('PC LIST'!N$3:N$631, MATCH($C8, 'PC LIST'!$B$3:$B$631, 0)),"")</f>
        <v>Asset health - water</v>
      </c>
    </row>
    <row r="9" spans="1:36" s="308" customFormat="1" ht="30.2" customHeight="1">
      <c r="A9" s="74"/>
      <c r="B9" s="289">
        <f t="shared" si="3"/>
        <v>5</v>
      </c>
      <c r="C9" s="496" t="str">
        <f>IF($P$1="Select company","",IF((HLOOKUP((VLOOKUP($P$1,Lists!$B$4:$C$26,2,FALSE)),'PC list edited'!$A$2:$EJ$65,(B9+1),FALSE))=0,"",HLOOKUP((VLOOKUP($P$1,Lists!$B$4:$C$26,2,FALSE)),'PC list edited'!$A$2:$EJ$65,(B9+1),FALSE)))</f>
        <v>PR14YKYWSW_WB1</v>
      </c>
      <c r="D9" s="495" t="str">
        <f>IF($P$1="Select company","",IF(C9 ="","",HLOOKUP(((VLOOKUP($P$1,Lists!$B$4:$C$26,2,FALSE))&amp;"PC"),'PC list edited'!$A$2:$EJ$65,(B9+1),FALSE)))</f>
        <v>WB1: Leakage</v>
      </c>
      <c r="E9" s="314" t="str">
        <f>IF($P$1="Select company","",IF(C9 ="","",HLOOKUP(((VLOOKUP($P$1,Lists!$B$4:$C$26,2,FALSE))&amp;"unit"),'PC list edited'!$A$2:$EJ$65,(B9+1),FALSE)))</f>
        <v>nr</v>
      </c>
      <c r="F9" s="314" t="str">
        <f>IF($P$1="Select company","",IF(C9 ="","",HLOOKUP(((VLOOKUP($P$1,Lists!$B$4:$C$26,2,FALSE))&amp;"UnitDes"),'PC list edited'!$A$2:$EJ$65,(B9+1),FALSE)))</f>
        <v>Megalitres per day (Ml/d)</v>
      </c>
      <c r="G9" s="515">
        <f>IF($P$1="Select company","",IF(C9="","",HLOOKUP(((VLOOKUP($P$1,Lists!$B$4:$C$26,2,FALSE))&amp;"DP"),'PC list edited'!$A$2:$EJ$65,(B9+1),FALSE)))</f>
        <v>1</v>
      </c>
      <c r="H9" s="515">
        <f>IF($P$1="Select company","",IF(C9 = "","",HLOOKUP(((VLOOKUP($P$1,Lists!$B$4:$C$26,2,FALSE))&amp;"201819Actual"),'PC list edited'!$A$2:$EJ$65,(B9+1),FALSE)))</f>
        <v>289.8</v>
      </c>
      <c r="I9" s="2983">
        <v>270.8</v>
      </c>
      <c r="J9" s="664" t="s">
        <v>2337</v>
      </c>
      <c r="K9" s="499" t="s">
        <v>2335</v>
      </c>
      <c r="L9" s="500"/>
      <c r="M9" s="499" t="s">
        <v>2339</v>
      </c>
      <c r="N9" s="500">
        <v>0.16159999999999999</v>
      </c>
      <c r="O9" s="2945"/>
      <c r="P9" s="2946"/>
      <c r="Q9" s="70"/>
      <c r="R9" s="503">
        <f t="shared" si="4"/>
        <v>0</v>
      </c>
      <c r="S9" s="24">
        <f t="shared" si="1"/>
        <v>0</v>
      </c>
      <c r="T9" s="70"/>
      <c r="U9" s="71"/>
      <c r="V9" s="93">
        <f t="shared" si="2"/>
        <v>0</v>
      </c>
      <c r="W9" s="93">
        <f>IF($C9="",0,IF(ISBLANK(#REF!)=FALSE,0,1))</f>
        <v>0</v>
      </c>
      <c r="X9" s="93">
        <f t="shared" si="0"/>
        <v>0</v>
      </c>
      <c r="Y9" s="93">
        <f>IF(OR(ISBLANK(L9), L9=0), 0, IF(OR(K9=Lists!$F$11, K9=Lists!$F$13), 0, 1))</f>
        <v>0</v>
      </c>
      <c r="Z9" s="93">
        <f>IF(OR($C9="", AND(NOT(K9=Lists!$F$11), NOT(K9=Lists!$F$13))),0,IF(ISBLANK(L9)=FALSE,0,1))</f>
        <v>0</v>
      </c>
      <c r="AA9" s="93">
        <f>IF(OR(ISBLANK(N9), N9=0), 0, IF(OR(M9=Lists!$F$11, M9=Lists!$F$13), 0, 1))</f>
        <v>0</v>
      </c>
      <c r="AB9" s="93">
        <f>IF(OR($C9="", AND(NOT(M9=Lists!$F$11), NOT(M9=Lists!$F$13))),0,IF(ISBLANK(N9)=FALSE,0,1))</f>
        <v>0</v>
      </c>
      <c r="AC9" s="93">
        <f>IF(OR(ISBLANK(P9), P9=0), 0, IF(OR(O9=Lists!$F$11, O9=Lists!$F$13), 0, 1))</f>
        <v>0</v>
      </c>
      <c r="AD9" s="93">
        <f>IF(OR($C9="", AND(NOT(O9=Lists!$F$11), NOT(O9=Lists!$F$13))),0,IF(ISBLANK(P9)=FALSE,0,1))</f>
        <v>0</v>
      </c>
      <c r="AE9" s="71"/>
      <c r="AF9" s="505">
        <f xml:space="preserve"> IF(OR( AND( K9 = Lists!$F$11, '3A'!L9 &lt; 0), AND( '3A'!M9 = Lists!$F$11, '3A'!N9 &lt; 0), AND( '3A'!O9 = Lists!$F$11, '3A'!P9 &lt; 0)), 1, 0)</f>
        <v>0</v>
      </c>
      <c r="AG9" s="505">
        <f xml:space="preserve"> IF( OR( AND( K9 = Lists!$F$13, '3A'!L9 &gt; 0), AND( M9 = Lists!$F$13, '3A'!N9 &gt; 0), AND( O9 = Lists!$F$13, '3A'!P9 &gt; 0 )), 1, 0)</f>
        <v>0</v>
      </c>
      <c r="AH9" s="507"/>
      <c r="AI9" s="666" t="str">
        <f>IF($P$1="Select company","",IF((HLOOKUP(((VLOOKUP($P$1,Lists!$B$4:$C$26,2,FALSE))&amp;'PC LIST'!$J$2),'PC list edited'!$A$2:$EJ$65,(B9+1),FALSE))=0,"",HLOOKUP(((VLOOKUP($P$1,Lists!$B$4:$C$26,2,FALSE))&amp; 'PC LIST'!$J$2),'PC list edited'!$A$2:$EJ$65,(B9+1),FALSE)))</f>
        <v>Out &amp; under</v>
      </c>
      <c r="AJ9" s="2239" t="str">
        <f>IFERROR(INDEX('PC LIST'!N$3:N$631, MATCH($C9, 'PC LIST'!$B$3:$B$631, 0)),"")</f>
        <v>Leakage</v>
      </c>
    </row>
    <row r="10" spans="1:36" s="308" customFormat="1" ht="30.2" customHeight="1">
      <c r="A10" s="74"/>
      <c r="B10" s="289">
        <f t="shared" si="3"/>
        <v>6</v>
      </c>
      <c r="C10" s="496" t="str">
        <f>IF($P$1="Select company","",IF((HLOOKUP((VLOOKUP($P$1,Lists!$B$4:$C$26,2,FALSE)),'PC list edited'!$A$2:$EJ$65,(B10+1),FALSE))=0,"",HLOOKUP((VLOOKUP($P$1,Lists!$B$4:$C$26,2,FALSE)),'PC list edited'!$A$2:$EJ$65,(B10+1),FALSE)))</f>
        <v>PR14YKYWSW_WB2</v>
      </c>
      <c r="D10" s="495" t="str">
        <f>IF($P$1="Select company","",IF(C10 ="","",HLOOKUP(((VLOOKUP($P$1,Lists!$B$4:$C$26,2,FALSE))&amp;"PC"),'PC list edited'!$A$2:$EJ$65,(B10+1),FALSE)))</f>
        <v>WB2: Water supply interruptions</v>
      </c>
      <c r="E10" s="314" t="str">
        <f>IF($P$1="Select company","",IF(C10 ="","",HLOOKUP(((VLOOKUP($P$1,Lists!$B$4:$C$26,2,FALSE))&amp;"unit"),'PC list edited'!$A$2:$EJ$65,(B10+1),FALSE)))</f>
        <v>time</v>
      </c>
      <c r="F10" s="314" t="str">
        <f>IF($P$1="Select company","",IF(C10 ="","",HLOOKUP(((VLOOKUP($P$1,Lists!$B$4:$C$26,2,FALSE))&amp;"UnitDes"),'PC list edited'!$A$2:$EJ$65,(B10+1),FALSE)))</f>
        <v>Minutes lost per property per year</v>
      </c>
      <c r="G10" s="515">
        <f>IF($P$1="Select company","",IF(C10="","",HLOOKUP(((VLOOKUP($P$1,Lists!$B$4:$C$26,2,FALSE))&amp;"DP"),'PC list edited'!$A$2:$EJ$65,(B10+1),FALSE)))</f>
        <v>2</v>
      </c>
      <c r="H10" s="515">
        <f>IF($P$1="Select company","",IF(C10 = "","",HLOOKUP(((VLOOKUP($P$1,Lists!$B$4:$C$26,2,FALSE))&amp;"201819Actual"),'PC list edited'!$A$2:$EJ$65,(B10+1),FALSE)))</f>
        <v>10.46</v>
      </c>
      <c r="I10" s="550">
        <v>7.56</v>
      </c>
      <c r="J10" s="664" t="s">
        <v>2337</v>
      </c>
      <c r="K10" s="499" t="s">
        <v>2335</v>
      </c>
      <c r="L10" s="500"/>
      <c r="M10" s="499" t="s">
        <v>2339</v>
      </c>
      <c r="N10" s="500">
        <v>10.22681744</v>
      </c>
      <c r="O10" s="2945"/>
      <c r="P10" s="2946"/>
      <c r="Q10" s="70"/>
      <c r="R10" s="503">
        <f t="shared" si="4"/>
        <v>0</v>
      </c>
      <c r="S10" s="24">
        <f t="shared" si="1"/>
        <v>0</v>
      </c>
      <c r="T10" s="70"/>
      <c r="U10" s="71"/>
      <c r="V10" s="93">
        <f t="shared" si="2"/>
        <v>0</v>
      </c>
      <c r="W10" s="93">
        <f>IF($C10="",0,IF(ISBLANK(#REF!)=FALSE,0,1))</f>
        <v>0</v>
      </c>
      <c r="X10" s="93">
        <f t="shared" si="0"/>
        <v>0</v>
      </c>
      <c r="Y10" s="93">
        <f>IF(OR(ISBLANK(L10), L10=0), 0, IF(OR(K10=Lists!$F$11, K10=Lists!$F$13), 0, 1))</f>
        <v>0</v>
      </c>
      <c r="Z10" s="93">
        <f>IF(OR($C10="", AND(NOT(K10=Lists!$F$11), NOT(K10=Lists!$F$13))),0,IF(ISBLANK(L10)=FALSE,0,1))</f>
        <v>0</v>
      </c>
      <c r="AA10" s="93">
        <f>IF(OR(ISBLANK(N10), N10=0), 0, IF(OR(M10=Lists!$F$11, M10=Lists!$F$13), 0, 1))</f>
        <v>0</v>
      </c>
      <c r="AB10" s="93">
        <f>IF(OR($C10="", AND(NOT(M10=Lists!$F$11), NOT(M10=Lists!$F$13))),0,IF(ISBLANK(N10)=FALSE,0,1))</f>
        <v>0</v>
      </c>
      <c r="AC10" s="93">
        <f>IF(OR(ISBLANK(P10), P10=0), 0, IF(OR(O10=Lists!$F$11, O10=Lists!$F$13), 0, 1))</f>
        <v>0</v>
      </c>
      <c r="AD10" s="93">
        <f>IF(OR($C10="", AND(NOT(O10=Lists!$F$11), NOT(O10=Lists!$F$13))),0,IF(ISBLANK(P10)=FALSE,0,1))</f>
        <v>0</v>
      </c>
      <c r="AE10" s="71"/>
      <c r="AF10" s="505">
        <f xml:space="preserve"> IF(OR( AND( K10 = Lists!$F$11, '3A'!L10 &lt; 0), AND( '3A'!M10 = Lists!$F$11, '3A'!N10 &lt; 0), AND( '3A'!O10 = Lists!$F$11, '3A'!P10 &lt; 0)), 1, 0)</f>
        <v>0</v>
      </c>
      <c r="AG10" s="505">
        <f xml:space="preserve"> IF( OR( AND( K10 = Lists!$F$13, '3A'!L10 &gt; 0), AND( M10 = Lists!$F$13, '3A'!N10 &gt; 0), AND( O10 = Lists!$F$13, '3A'!P10 &gt; 0 )), 1, 0)</f>
        <v>0</v>
      </c>
      <c r="AH10" s="507"/>
      <c r="AI10" s="666" t="str">
        <f>IF($P$1="Select company","",IF((HLOOKUP(((VLOOKUP($P$1,Lists!$B$4:$C$26,2,FALSE))&amp;'PC LIST'!$J$2),'PC list edited'!$A$2:$EJ$65,(B10+1),FALSE))=0,"",HLOOKUP(((VLOOKUP($P$1,Lists!$B$4:$C$26,2,FALSE))&amp; 'PC LIST'!$J$2),'PC list edited'!$A$2:$EJ$65,(B10+1),FALSE)))</f>
        <v>Out &amp; under</v>
      </c>
      <c r="AJ10" s="2239" t="str">
        <f>IFERROR(INDEX('PC LIST'!N$3:N$631, MATCH($C10, 'PC LIST'!$B$3:$B$631, 0)),"")</f>
        <v>Supply interruptions</v>
      </c>
    </row>
    <row r="11" spans="1:36" s="308" customFormat="1" ht="30.2" customHeight="1">
      <c r="A11" s="74"/>
      <c r="B11" s="289">
        <f t="shared" si="3"/>
        <v>7</v>
      </c>
      <c r="C11" s="496" t="str">
        <f>IF($P$1="Select company","",IF((HLOOKUP((VLOOKUP($P$1,Lists!$B$4:$C$26,2,FALSE)),'PC list edited'!$A$2:$EJ$65,(B11+1),FALSE))=0,"",HLOOKUP((VLOOKUP($P$1,Lists!$B$4:$C$26,2,FALSE)),'PC list edited'!$A$2:$EJ$65,(B11+1),FALSE)))</f>
        <v>PR14YKYWSW_WB3</v>
      </c>
      <c r="D11" s="495" t="str">
        <f>IF($P$1="Select company","",IF(C11 ="","",HLOOKUP(((VLOOKUP($P$1,Lists!$B$4:$C$26,2,FALSE))&amp;"PC"),'PC list edited'!$A$2:$EJ$65,(B11+1),FALSE)))</f>
        <v>WB3: Water use</v>
      </c>
      <c r="E11" s="314" t="str">
        <f>IF($P$1="Select company","",IF(C11 ="","",HLOOKUP(((VLOOKUP($P$1,Lists!$B$4:$C$26,2,FALSE))&amp;"unit"),'PC list edited'!$A$2:$EJ$65,(B11+1),FALSE)))</f>
        <v>nr</v>
      </c>
      <c r="F11" s="314" t="str">
        <f>IF($P$1="Select company","",IF(C11 ="","",HLOOKUP(((VLOOKUP($P$1,Lists!$B$4:$C$26,2,FALSE))&amp;"UnitDes"),'PC list edited'!$A$2:$EJ$65,(B11+1),FALSE)))</f>
        <v>Litres per head per day (l/h/d)</v>
      </c>
      <c r="G11" s="515">
        <f>IF($P$1="Select company","",IF(C11="","",HLOOKUP(((VLOOKUP($P$1,Lists!$B$4:$C$26,2,FALSE))&amp;"DP"),'PC list edited'!$A$2:$EJ$65,(B11+1),FALSE)))</f>
        <v>1</v>
      </c>
      <c r="H11" s="515">
        <f>IF($P$1="Select company","",IF(C11 = "","",HLOOKUP(((VLOOKUP($P$1,Lists!$B$4:$C$26,2,FALSE))&amp;"201819Actual"),'PC list edited'!$A$2:$EJ$65,(B11+1),FALSE)))</f>
        <v>133.5</v>
      </c>
      <c r="I11" s="550">
        <v>135</v>
      </c>
      <c r="J11" s="664" t="s">
        <v>2337</v>
      </c>
      <c r="K11" s="499"/>
      <c r="L11" s="500"/>
      <c r="M11" s="499"/>
      <c r="N11" s="500"/>
      <c r="O11" s="2945"/>
      <c r="P11" s="2946"/>
      <c r="Q11" s="70"/>
      <c r="R11" s="503">
        <f t="shared" si="4"/>
        <v>0</v>
      </c>
      <c r="S11" s="24">
        <f t="shared" si="1"/>
        <v>0</v>
      </c>
      <c r="T11" s="70"/>
      <c r="U11" s="71"/>
      <c r="V11" s="93">
        <f t="shared" si="2"/>
        <v>0</v>
      </c>
      <c r="W11" s="93">
        <f>IF($C11="",0,IF(ISBLANK(#REF!)=FALSE,0,1))</f>
        <v>0</v>
      </c>
      <c r="X11" s="93">
        <f t="shared" si="0"/>
        <v>0</v>
      </c>
      <c r="Y11" s="93">
        <f>IF(OR(ISBLANK(L11), L11=0), 0, IF(OR(K11=Lists!$F$11, K11=Lists!$F$13), 0, 1))</f>
        <v>0</v>
      </c>
      <c r="Z11" s="93">
        <f>IF(OR($C11="", AND(NOT(K11=Lists!$F$11), NOT(K11=Lists!$F$13))),0,IF(ISBLANK(L11)=FALSE,0,1))</f>
        <v>0</v>
      </c>
      <c r="AA11" s="93">
        <f>IF(OR(ISBLANK(N11), N11=0), 0, IF(OR(M11=Lists!$F$11, M11=Lists!$F$13), 0, 1))</f>
        <v>0</v>
      </c>
      <c r="AB11" s="93">
        <f>IF(OR($C11="", AND(NOT(M11=Lists!$F$11), NOT(M11=Lists!$F$13))),0,IF(ISBLANK(N11)=FALSE,0,1))</f>
        <v>0</v>
      </c>
      <c r="AC11" s="93">
        <f>IF(OR(ISBLANK(P11), P11=0), 0, IF(OR(O11=Lists!$F$11, O11=Lists!$F$13), 0, 1))</f>
        <v>0</v>
      </c>
      <c r="AD11" s="93">
        <f>IF(OR($C11="", AND(NOT(O11=Lists!$F$11), NOT(O11=Lists!$F$13))),0,IF(ISBLANK(P11)=FALSE,0,1))</f>
        <v>0</v>
      </c>
      <c r="AE11" s="71"/>
      <c r="AF11" s="505">
        <f xml:space="preserve"> IF(OR( AND( K11 = Lists!$F$11, '3A'!L11 &lt; 0), AND( '3A'!M11 = Lists!$F$11, '3A'!N11 &lt; 0), AND( '3A'!O11 = Lists!$F$11, '3A'!P11 &lt; 0)), 1, 0)</f>
        <v>0</v>
      </c>
      <c r="AG11" s="505">
        <f xml:space="preserve"> IF( OR( AND( K11 = Lists!$F$13, '3A'!L11 &gt; 0), AND( M11 = Lists!$F$13, '3A'!N11 &gt; 0), AND( O11 = Lists!$F$13, '3A'!P11 &gt; 0 )), 1, 0)</f>
        <v>0</v>
      </c>
      <c r="AH11" s="507"/>
      <c r="AI11" s="666" t="str">
        <f>IF($P$1="Select company","",IF((HLOOKUP(((VLOOKUP($P$1,Lists!$B$4:$C$26,2,FALSE))&amp;'PC LIST'!$J$2),'PC list edited'!$A$2:$EJ$65,(B11+1),FALSE))=0,"",HLOOKUP(((VLOOKUP($P$1,Lists!$B$4:$C$26,2,FALSE))&amp; 'PC LIST'!$J$2),'PC list edited'!$A$2:$EJ$65,(B11+1),FALSE)))</f>
        <v>NFI</v>
      </c>
      <c r="AJ11" s="2239" t="str">
        <f>IFERROR(INDEX('PC LIST'!N$3:N$631, MATCH($C11, 'PC LIST'!$B$3:$B$631, 0)),"")</f>
        <v>Water consumption</v>
      </c>
    </row>
    <row r="12" spans="1:36" s="308" customFormat="1" ht="30.2" customHeight="1">
      <c r="A12" s="74"/>
      <c r="B12" s="289">
        <f t="shared" si="3"/>
        <v>8</v>
      </c>
      <c r="C12" s="496" t="str">
        <f>IF($P$1="Select company","",IF((HLOOKUP((VLOOKUP($P$1,Lists!$B$4:$C$26,2,FALSE)),'PC list edited'!$A$2:$EJ$65,(B12+1),FALSE))=0,"",HLOOKUP((VLOOKUP($P$1,Lists!$B$4:$C$26,2,FALSE)),'PC list edited'!$A$2:$EJ$65,(B12+1),FALSE)))</f>
        <v>PR14YKYWSW_WB4</v>
      </c>
      <c r="D12" s="495" t="str">
        <f>IF($P$1="Select company","",IF(C12 ="","",HLOOKUP(((VLOOKUP($P$1,Lists!$B$4:$C$26,2,FALSE))&amp;"PC"),'PC list edited'!$A$2:$EJ$65,(B12+1),FALSE)))</f>
        <v>WB4: Water network stability and reliability factor</v>
      </c>
      <c r="E12" s="314" t="str">
        <f>IF($P$1="Select company","",IF(C12 ="","",HLOOKUP(((VLOOKUP($P$1,Lists!$B$4:$C$26,2,FALSE))&amp;"unit"),'PC list edited'!$A$2:$EJ$65,(B12+1),FALSE)))</f>
        <v>category</v>
      </c>
      <c r="F12" s="314" t="str">
        <f>IF($P$1="Select company","",IF(C12 ="","",HLOOKUP(((VLOOKUP($P$1,Lists!$B$4:$C$26,2,FALSE))&amp;"UnitDes"),'PC list edited'!$A$2:$EJ$65,(B12+1),FALSE)))</f>
        <v>Asset health indicator</v>
      </c>
      <c r="G12" s="515" t="str">
        <f>IF($P$1="Select company","",IF(C12="","",HLOOKUP(((VLOOKUP($P$1,Lists!$B$4:$C$26,2,FALSE))&amp;"DP"),'PC list edited'!$A$2:$EJ$65,(B12+1),FALSE)))</f>
        <v>na</v>
      </c>
      <c r="H12" s="515" t="str">
        <f>IF($P$1="Select company","",IF(C12 = "","",HLOOKUP(((VLOOKUP($P$1,Lists!$B$4:$C$26,2,FALSE))&amp;"201819Actual"),'PC list edited'!$A$2:$EJ$65,(B12+1),FALSE)))</f>
        <v>Stable</v>
      </c>
      <c r="I12" s="550" t="s">
        <v>2338</v>
      </c>
      <c r="J12" s="664" t="s">
        <v>2337</v>
      </c>
      <c r="K12" s="499" t="s">
        <v>2335</v>
      </c>
      <c r="L12" s="500"/>
      <c r="M12" s="499" t="s">
        <v>2335</v>
      </c>
      <c r="N12" s="500"/>
      <c r="O12" s="2945"/>
      <c r="P12" s="2946"/>
      <c r="Q12" s="70"/>
      <c r="R12" s="503">
        <f t="shared" si="4"/>
        <v>0</v>
      </c>
      <c r="S12" s="24">
        <f t="shared" si="1"/>
        <v>0</v>
      </c>
      <c r="T12" s="70"/>
      <c r="U12" s="71"/>
      <c r="V12" s="93">
        <f t="shared" si="2"/>
        <v>0</v>
      </c>
      <c r="W12" s="93">
        <f>IF($C12="",0,IF(ISBLANK(#REF!)=FALSE,0,1))</f>
        <v>0</v>
      </c>
      <c r="X12" s="93">
        <f t="shared" si="0"/>
        <v>0</v>
      </c>
      <c r="Y12" s="93">
        <f>IF(OR(ISBLANK(L12), L12=0), 0, IF(OR(K12=Lists!$F$11, K12=Lists!$F$13), 0, 1))</f>
        <v>0</v>
      </c>
      <c r="Z12" s="93">
        <f>IF(OR($C12="", AND(NOT(K12=Lists!$F$11), NOT(K12=Lists!$F$13))),0,IF(ISBLANK(L12)=FALSE,0,1))</f>
        <v>0</v>
      </c>
      <c r="AA12" s="93">
        <f>IF(OR(ISBLANK(N12), N12=0), 0, IF(OR(M12=Lists!$F$11, M12=Lists!$F$13), 0, 1))</f>
        <v>0</v>
      </c>
      <c r="AB12" s="93">
        <f>IF(OR($C12="", AND(NOT(M12=Lists!$F$11), NOT(M12=Lists!$F$13))),0,IF(ISBLANK(N12)=FALSE,0,1))</f>
        <v>0</v>
      </c>
      <c r="AC12" s="93">
        <f>IF(OR(ISBLANK(P12), P12=0), 0, IF(OR(O12=Lists!$F$11, O12=Lists!$F$13), 0, 1))</f>
        <v>0</v>
      </c>
      <c r="AD12" s="93">
        <f>IF(OR($C12="", AND(NOT(O12=Lists!$F$11), NOT(O12=Lists!$F$13))),0,IF(ISBLANK(P12)=FALSE,0,1))</f>
        <v>0</v>
      </c>
      <c r="AE12" s="71"/>
      <c r="AF12" s="505">
        <f xml:space="preserve"> IF(OR( AND( K12 = Lists!$F$11, '3A'!L12 &lt; 0), AND( '3A'!M12 = Lists!$F$11, '3A'!N12 &lt; 0), AND( '3A'!O12 = Lists!$F$11, '3A'!P12 &lt; 0)), 1, 0)</f>
        <v>0</v>
      </c>
      <c r="AG12" s="505">
        <f xml:space="preserve"> IF( OR( AND( K12 = Lists!$F$13, '3A'!L12 &gt; 0), AND( M12 = Lists!$F$13, '3A'!N12 &gt; 0), AND( O12 = Lists!$F$13, '3A'!P12 &gt; 0 )), 1, 0)</f>
        <v>0</v>
      </c>
      <c r="AH12" s="507"/>
      <c r="AI12" s="666" t="str">
        <f>IF($P$1="Select company","",IF((HLOOKUP(((VLOOKUP($P$1,Lists!$B$4:$C$26,2,FALSE))&amp;'PC LIST'!$J$2),'PC list edited'!$A$2:$EJ$65,(B12+1),FALSE))=0,"",HLOOKUP(((VLOOKUP($P$1,Lists!$B$4:$C$26,2,FALSE))&amp; 'PC LIST'!$J$2),'PC list edited'!$A$2:$EJ$65,(B12+1),FALSE)))</f>
        <v>Under</v>
      </c>
      <c r="AJ12" s="2239" t="str">
        <f>IFERROR(INDEX('PC LIST'!N$3:N$631, MATCH($C12, 'PC LIST'!$B$3:$B$631, 0)),"")</f>
        <v>Asset health - water</v>
      </c>
    </row>
    <row r="13" spans="1:36" s="308" customFormat="1" ht="30.2" customHeight="1">
      <c r="A13" s="74"/>
      <c r="B13" s="289">
        <f t="shared" si="3"/>
        <v>9</v>
      </c>
      <c r="C13" s="496" t="str">
        <f>IF($P$1="Select company","",IF((HLOOKUP((VLOOKUP($P$1,Lists!$B$4:$C$26,2,FALSE)),'PC list edited'!$A$2:$EJ$65,(B13+1),FALSE))=0,"",HLOOKUP((VLOOKUP($P$1,Lists!$B$4:$C$26,2,FALSE)),'PC list edited'!$A$2:$EJ$65,(B13+1),FALSE)))</f>
        <v>PR14YKYWSW_WC1</v>
      </c>
      <c r="D13" s="495" t="str">
        <f>IF($P$1="Select company","",IF(C13 ="","",HLOOKUP(((VLOOKUP($P$1,Lists!$B$4:$C$26,2,FALSE))&amp;"PC"),'PC list edited'!$A$2:$EJ$65,(B13+1),FALSE)))</f>
        <v>WC1: Length of river improved (note: PC is part of a total commitment at Appointee level - see also SB4)</v>
      </c>
      <c r="E13" s="314" t="str">
        <f>IF($P$1="Select company","",IF(C13 ="","",HLOOKUP(((VLOOKUP($P$1,Lists!$B$4:$C$26,2,FALSE))&amp;"unit"),'PC list edited'!$A$2:$EJ$65,(B13+1),FALSE)))</f>
        <v>nr</v>
      </c>
      <c r="F13" s="314" t="str">
        <f>IF($P$1="Select company","",IF(C13 ="","",HLOOKUP(((VLOOKUP($P$1,Lists!$B$4:$C$26,2,FALSE))&amp;"UnitDes"),'PC list edited'!$A$2:$EJ$65,(B13+1),FALSE)))</f>
        <v>Kilometres (km) of river improved (modelled length)</v>
      </c>
      <c r="G13" s="515">
        <f>IF($P$1="Select company","",IF(C13="","",HLOOKUP(((VLOOKUP($P$1,Lists!$B$4:$C$26,2,FALSE))&amp;"DP"),'PC list edited'!$A$2:$EJ$65,(B13+1),FALSE)))</f>
        <v>0</v>
      </c>
      <c r="H13" s="515">
        <f>IF($P$1="Select company","",IF(C13 = "","",HLOOKUP(((VLOOKUP($P$1,Lists!$B$4:$C$26,2,FALSE))&amp;"201819Actual"),'PC list edited'!$A$2:$EJ$65,(B13+1),FALSE)))</f>
        <v>40</v>
      </c>
      <c r="I13" s="550">
        <v>107</v>
      </c>
      <c r="J13" s="664" t="s">
        <v>2337</v>
      </c>
      <c r="K13" s="499" t="s">
        <v>2335</v>
      </c>
      <c r="L13" s="500"/>
      <c r="M13" s="499" t="s">
        <v>2339</v>
      </c>
      <c r="N13" s="500">
        <v>0.306784</v>
      </c>
      <c r="O13" s="2945"/>
      <c r="P13" s="2946"/>
      <c r="Q13" s="70"/>
      <c r="R13" s="503">
        <f t="shared" si="4"/>
        <v>0</v>
      </c>
      <c r="S13" s="24">
        <f t="shared" si="1"/>
        <v>0</v>
      </c>
      <c r="T13" s="70"/>
      <c r="U13" s="71"/>
      <c r="V13" s="93">
        <f t="shared" si="2"/>
        <v>0</v>
      </c>
      <c r="W13" s="93">
        <f>IF($C13="",0,IF(ISBLANK(#REF!)=FALSE,0,1))</f>
        <v>0</v>
      </c>
      <c r="X13" s="93">
        <f t="shared" si="0"/>
        <v>0</v>
      </c>
      <c r="Y13" s="93">
        <f>IF(OR(ISBLANK(L13), L13=0), 0, IF(OR(K13=Lists!$F$11, K13=Lists!$F$13), 0, 1))</f>
        <v>0</v>
      </c>
      <c r="Z13" s="93">
        <f>IF(OR($C13="", AND(NOT(K13=Lists!$F$11), NOT(K13=Lists!$F$13))),0,IF(ISBLANK(L13)=FALSE,0,1))</f>
        <v>0</v>
      </c>
      <c r="AA13" s="93">
        <f>IF(OR(ISBLANK(N13), N13=0), 0, IF(OR(M13=Lists!$F$11, M13=Lists!$F$13), 0, 1))</f>
        <v>0</v>
      </c>
      <c r="AB13" s="93">
        <f>IF(OR($C13="", AND(NOT(M13=Lists!$F$11), NOT(M13=Lists!$F$13))),0,IF(ISBLANK(N13)=FALSE,0,1))</f>
        <v>0</v>
      </c>
      <c r="AC13" s="93">
        <f>IF(OR(ISBLANK(P13), P13=0), 0, IF(OR(O13=Lists!$F$11, O13=Lists!$F$13), 0, 1))</f>
        <v>0</v>
      </c>
      <c r="AD13" s="93">
        <f>IF(OR($C13="", AND(NOT(O13=Lists!$F$11), NOT(O13=Lists!$F$13))),0,IF(ISBLANK(P13)=FALSE,0,1))</f>
        <v>0</v>
      </c>
      <c r="AE13" s="71"/>
      <c r="AF13" s="505">
        <f xml:space="preserve"> IF(OR( AND( K13 = Lists!$F$11, '3A'!L13 &lt; 0), AND( '3A'!M13 = Lists!$F$11, '3A'!N13 &lt; 0), AND( '3A'!O13 = Lists!$F$11, '3A'!P13 &lt; 0)), 1, 0)</f>
        <v>0</v>
      </c>
      <c r="AG13" s="505">
        <f xml:space="preserve"> IF( OR( AND( K13 = Lists!$F$13, '3A'!L13 &gt; 0), AND( M13 = Lists!$F$13, '3A'!N13 &gt; 0), AND( O13 = Lists!$F$13, '3A'!P13 &gt; 0 )), 1, 0)</f>
        <v>0</v>
      </c>
      <c r="AH13" s="507"/>
      <c r="AI13" s="666" t="str">
        <f>IF($P$1="Select company","",IF((HLOOKUP(((VLOOKUP($P$1,Lists!$B$4:$C$26,2,FALSE))&amp;'PC LIST'!$J$2),'PC list edited'!$A$2:$EJ$65,(B13+1),FALSE))=0,"",HLOOKUP(((VLOOKUP($P$1,Lists!$B$4:$C$26,2,FALSE))&amp; 'PC LIST'!$J$2),'PC list edited'!$A$2:$EJ$65,(B13+1),FALSE)))</f>
        <v>Out &amp; under</v>
      </c>
      <c r="AJ13" s="2239" t="str">
        <f>IFERROR(INDEX('PC LIST'!N$3:N$631, MATCH($C13, 'PC LIST'!$B$3:$B$631, 0)),"")</f>
        <v>Environmental</v>
      </c>
    </row>
    <row r="14" spans="1:36" s="308" customFormat="1" ht="30.2" customHeight="1">
      <c r="A14" s="74"/>
      <c r="B14" s="289">
        <f t="shared" si="3"/>
        <v>10</v>
      </c>
      <c r="C14" s="496" t="str">
        <f>IF($P$1="Select company","",IF((HLOOKUP((VLOOKUP($P$1,Lists!$B$4:$C$26,2,FALSE)),'PC list edited'!$A$2:$EJ$65,(B14+1),FALSE))=0,"",HLOOKUP((VLOOKUP($P$1,Lists!$B$4:$C$26,2,FALSE)),'PC list edited'!$A$2:$EJ$65,(B14+1),FALSE)))</f>
        <v>PR14YKYWSW_WC2</v>
      </c>
      <c r="D14" s="495" t="str">
        <f>IF($P$1="Select company","",IF(C14 ="","",HLOOKUP(((VLOOKUP($P$1,Lists!$B$4:$C$26,2,FALSE))&amp;"PC"),'PC list edited'!$A$2:$EJ$65,(B14+1),FALSE)))</f>
        <v>WC2: Solutions delivered by working with others (note: PC is part of a total commitment at Appointee level - see also SB3)</v>
      </c>
      <c r="E14" s="314" t="str">
        <f>IF($P$1="Select company","",IF(C14 ="","",HLOOKUP(((VLOOKUP($P$1,Lists!$B$4:$C$26,2,FALSE))&amp;"unit"),'PC list edited'!$A$2:$EJ$65,(B14+1),FALSE)))</f>
        <v>nr</v>
      </c>
      <c r="F14" s="314" t="str">
        <f>IF($P$1="Select company","",IF(C14 ="","",HLOOKUP(((VLOOKUP($P$1,Lists!$B$4:$C$26,2,FALSE))&amp;"UnitDes"),'PC list edited'!$A$2:$EJ$65,(B14+1),FALSE)))</f>
        <v>No. of solutions delivered by working with others</v>
      </c>
      <c r="G14" s="515">
        <f>IF($P$1="Select company","",IF(C14="","",HLOOKUP(((VLOOKUP($P$1,Lists!$B$4:$C$26,2,FALSE))&amp;"DP"),'PC list edited'!$A$2:$EJ$65,(B14+1),FALSE)))</f>
        <v>0</v>
      </c>
      <c r="H14" s="515">
        <f>IF($P$1="Select company","",IF(C14 = "","",HLOOKUP(((VLOOKUP($P$1,Lists!$B$4:$C$26,2,FALSE))&amp;"201819Actual"),'PC list edited'!$A$2:$EJ$65,(B14+1),FALSE)))</f>
        <v>11</v>
      </c>
      <c r="I14" s="550">
        <v>11</v>
      </c>
      <c r="J14" s="664" t="s">
        <v>2337</v>
      </c>
      <c r="K14" s="499" t="s">
        <v>2335</v>
      </c>
      <c r="L14" s="500"/>
      <c r="M14" s="499" t="s">
        <v>2339</v>
      </c>
      <c r="N14" s="500">
        <v>7.2510168181818185E-2</v>
      </c>
      <c r="O14" s="2945"/>
      <c r="P14" s="2946"/>
      <c r="Q14" s="70"/>
      <c r="R14" s="503">
        <f t="shared" si="4"/>
        <v>0</v>
      </c>
      <c r="S14" s="24">
        <f t="shared" si="1"/>
        <v>0</v>
      </c>
      <c r="T14" s="70"/>
      <c r="U14" s="71"/>
      <c r="V14" s="93">
        <f t="shared" si="2"/>
        <v>0</v>
      </c>
      <c r="W14" s="93">
        <f>IF($C14="",0,IF(ISBLANK(#REF!)=FALSE,0,1))</f>
        <v>0</v>
      </c>
      <c r="X14" s="93">
        <f t="shared" si="0"/>
        <v>0</v>
      </c>
      <c r="Y14" s="93">
        <f>IF(OR(ISBLANK(L14), L14=0), 0, IF(OR(K14=Lists!$F$11, K14=Lists!$F$13), 0, 1))</f>
        <v>0</v>
      </c>
      <c r="Z14" s="93">
        <f>IF(OR($C14="", AND(NOT(K14=Lists!$F$11), NOT(K14=Lists!$F$13))),0,IF(ISBLANK(L14)=FALSE,0,1))</f>
        <v>0</v>
      </c>
      <c r="AA14" s="93">
        <f>IF(OR(ISBLANK(N14), N14=0), 0, IF(OR(M14=Lists!$F$11, M14=Lists!$F$13), 0, 1))</f>
        <v>0</v>
      </c>
      <c r="AB14" s="93">
        <f>IF(OR($C14="", AND(NOT(M14=Lists!$F$11), NOT(M14=Lists!$F$13))),0,IF(ISBLANK(N14)=FALSE,0,1))</f>
        <v>0</v>
      </c>
      <c r="AC14" s="93">
        <f>IF(OR(ISBLANK(P14), P14=0), 0, IF(OR(O14=Lists!$F$11, O14=Lists!$F$13), 0, 1))</f>
        <v>0</v>
      </c>
      <c r="AD14" s="93">
        <f>IF(OR($C14="", AND(NOT(O14=Lists!$F$11), NOT(O14=Lists!$F$13))),0,IF(ISBLANK(P14)=FALSE,0,1))</f>
        <v>0</v>
      </c>
      <c r="AE14" s="71"/>
      <c r="AF14" s="505">
        <f xml:space="preserve"> IF(OR( AND( K14 = Lists!$F$11, '3A'!L14 &lt; 0), AND( '3A'!M14 = Lists!$F$11, '3A'!N14 &lt; 0), AND( '3A'!O14 = Lists!$F$11, '3A'!P14 &lt; 0)), 1, 0)</f>
        <v>0</v>
      </c>
      <c r="AG14" s="505">
        <f xml:space="preserve"> IF( OR( AND( K14 = Lists!$F$13, '3A'!L14 &gt; 0), AND( M14 = Lists!$F$13, '3A'!N14 &gt; 0), AND( O14 = Lists!$F$13, '3A'!P14 &gt; 0 )), 1, 0)</f>
        <v>0</v>
      </c>
      <c r="AH14" s="507"/>
      <c r="AI14" s="666" t="str">
        <f>IF($P$1="Select company","",IF((HLOOKUP(((VLOOKUP($P$1,Lists!$B$4:$C$26,2,FALSE))&amp;'PC LIST'!$J$2),'PC list edited'!$A$2:$EJ$65,(B14+1),FALSE))=0,"",HLOOKUP(((VLOOKUP($P$1,Lists!$B$4:$C$26,2,FALSE))&amp; 'PC LIST'!$J$2),'PC list edited'!$A$2:$EJ$65,(B14+1),FALSE)))</f>
        <v>Out</v>
      </c>
      <c r="AJ14" s="2239" t="str">
        <f>IFERROR(INDEX('PC LIST'!N$3:N$631, MATCH($C14, 'PC LIST'!$B$3:$B$631, 0)),"")</f>
        <v>Community/partnerships</v>
      </c>
    </row>
    <row r="15" spans="1:36" s="308" customFormat="1" ht="30.2" customHeight="1">
      <c r="A15" s="74"/>
      <c r="B15" s="289">
        <f t="shared" si="3"/>
        <v>11</v>
      </c>
      <c r="C15" s="496" t="str">
        <f>IF($P$1="Select company","",IF((HLOOKUP((VLOOKUP($P$1,Lists!$B$4:$C$26,2,FALSE)),'PC list edited'!$A$2:$EJ$65,(B15+1),FALSE))=0,"",HLOOKUP((VLOOKUP($P$1,Lists!$B$4:$C$26,2,FALSE)),'PC list edited'!$A$2:$EJ$65,(B15+1),FALSE)))</f>
        <v>PR14YKYWSW_WC3</v>
      </c>
      <c r="D15" s="495" t="str">
        <f>IF($P$1="Select company","",IF(C15 ="","",HLOOKUP(((VLOOKUP($P$1,Lists!$B$4:$C$26,2,FALSE))&amp;"PC"),'PC list edited'!$A$2:$EJ$65,(B15+1),FALSE)))</f>
        <v>WC3: Amount of land conserved and enhanced (total cumulative area) (note: PC is part of a total commitment at Appointee level - see also SB5)</v>
      </c>
      <c r="E15" s="314" t="str">
        <f>IF($P$1="Select company","",IF(C15 ="","",HLOOKUP(((VLOOKUP($P$1,Lists!$B$4:$C$26,2,FALSE))&amp;"unit"),'PC list edited'!$A$2:$EJ$65,(B15+1),FALSE)))</f>
        <v>nr</v>
      </c>
      <c r="F15" s="314" t="str">
        <f>IF($P$1="Select company","",IF(C15 ="","",HLOOKUP(((VLOOKUP($P$1,Lists!$B$4:$C$26,2,FALSE))&amp;"UnitDes"),'PC list edited'!$A$2:$EJ$65,(B15+1),FALSE)))</f>
        <v>No. of hectares of land conserved &amp; enhanced (cumulative)</v>
      </c>
      <c r="G15" s="515">
        <f>IF($P$1="Select company","",IF(C15="","",HLOOKUP(((VLOOKUP($P$1,Lists!$B$4:$C$26,2,FALSE))&amp;"DP"),'PC list edited'!$A$2:$EJ$65,(B15+1),FALSE)))</f>
        <v>0</v>
      </c>
      <c r="H15" s="515">
        <f>IF($P$1="Select company","",IF(C15 = "","",HLOOKUP(((VLOOKUP($P$1,Lists!$B$4:$C$26,2,FALSE))&amp;"201819Actual"),'PC list edited'!$A$2:$EJ$65,(B15+1),FALSE)))</f>
        <v>11524</v>
      </c>
      <c r="I15" s="2978">
        <v>11806</v>
      </c>
      <c r="J15" s="664" t="s">
        <v>2337</v>
      </c>
      <c r="K15" s="499" t="s">
        <v>2335</v>
      </c>
      <c r="L15" s="500"/>
      <c r="M15" s="499" t="s">
        <v>2340</v>
      </c>
      <c r="N15" s="500">
        <v>0</v>
      </c>
      <c r="O15" s="2945"/>
      <c r="P15" s="2946"/>
      <c r="Q15" s="70"/>
      <c r="R15" s="503">
        <f t="shared" si="4"/>
        <v>0</v>
      </c>
      <c r="S15" s="24">
        <f t="shared" si="1"/>
        <v>0</v>
      </c>
      <c r="T15" s="70"/>
      <c r="U15" s="71"/>
      <c r="V15" s="93">
        <f t="shared" si="2"/>
        <v>0</v>
      </c>
      <c r="W15" s="93">
        <f>IF($C15="",0,IF(ISBLANK(#REF!)=FALSE,0,1))</f>
        <v>0</v>
      </c>
      <c r="X15" s="93">
        <f t="shared" si="0"/>
        <v>0</v>
      </c>
      <c r="Y15" s="93">
        <f>IF(OR(ISBLANK(L15), L15=0), 0, IF(OR(K15=Lists!$F$11, K15=Lists!$F$13), 0, 1))</f>
        <v>0</v>
      </c>
      <c r="Z15" s="93">
        <f>IF(OR($C15="", AND(NOT(K15=Lists!$F$11), NOT(K15=Lists!$F$13))),0,IF(ISBLANK(L15)=FALSE,0,1))</f>
        <v>0</v>
      </c>
      <c r="AA15" s="93">
        <f>IF(OR(ISBLANK(N15), N15=0), 0, IF(OR(M15=Lists!$F$11, M15=Lists!$F$13), 0, 1))</f>
        <v>0</v>
      </c>
      <c r="AB15" s="93">
        <f>IF(OR($C15="", AND(NOT(M15=Lists!$F$11), NOT(M15=Lists!$F$13))),0,IF(ISBLANK(N15)=FALSE,0,1))</f>
        <v>0</v>
      </c>
      <c r="AC15" s="93">
        <f>IF(OR(ISBLANK(P15), P15=0), 0, IF(OR(O15=Lists!$F$11, O15=Lists!$F$13), 0, 1))</f>
        <v>0</v>
      </c>
      <c r="AD15" s="93">
        <f>IF(OR($C15="", AND(NOT(O15=Lists!$F$11), NOT(O15=Lists!$F$13))),0,IF(ISBLANK(P15)=FALSE,0,1))</f>
        <v>0</v>
      </c>
      <c r="AE15" s="71"/>
      <c r="AF15" s="505">
        <f xml:space="preserve"> IF(OR( AND( K15 = Lists!$F$11, '3A'!L15 &lt; 0), AND( '3A'!M15 = Lists!$F$11, '3A'!N15 &lt; 0), AND( '3A'!O15 = Lists!$F$11, '3A'!P15 &lt; 0)), 1, 0)</f>
        <v>0</v>
      </c>
      <c r="AG15" s="505">
        <f xml:space="preserve"> IF( OR( AND( K15 = Lists!$F$13, '3A'!L15 &gt; 0), AND( M15 = Lists!$F$13, '3A'!N15 &gt; 0), AND( O15 = Lists!$F$13, '3A'!P15 &gt; 0 )), 1, 0)</f>
        <v>0</v>
      </c>
      <c r="AH15" s="507"/>
      <c r="AI15" s="666" t="str">
        <f>IF($P$1="Select company","",IF((HLOOKUP(((VLOOKUP($P$1,Lists!$B$4:$C$26,2,FALSE))&amp;'PC LIST'!$J$2),'PC list edited'!$A$2:$EJ$65,(B15+1),FALSE))=0,"",HLOOKUP(((VLOOKUP($P$1,Lists!$B$4:$C$26,2,FALSE))&amp; 'PC LIST'!$J$2),'PC list edited'!$A$2:$EJ$65,(B15+1),FALSE)))</f>
        <v>Out &amp; under</v>
      </c>
      <c r="AJ15" s="2239" t="str">
        <f>IFERROR(INDEX('PC LIST'!N$3:N$631, MATCH($C15, 'PC LIST'!$B$3:$B$631, 0)),"")</f>
        <v>Biodiversity/SSSIs</v>
      </c>
    </row>
    <row r="16" spans="1:36" s="308" customFormat="1" ht="30.2" customHeight="1">
      <c r="A16" s="74"/>
      <c r="B16" s="289">
        <f t="shared" si="3"/>
        <v>12</v>
      </c>
      <c r="C16" s="496" t="str">
        <f>IF($P$1="Select company","",IF((HLOOKUP((VLOOKUP($P$1,Lists!$B$4:$C$26,2,FALSE)),'PC list edited'!$A$2:$EJ$65,(B16+1),FALSE))=0,"",HLOOKUP((VLOOKUP($P$1,Lists!$B$4:$C$26,2,FALSE)),'PC list edited'!$A$2:$EJ$65,(B16+1),FALSE)))</f>
        <v>PR14YKYWSW_WC4</v>
      </c>
      <c r="D16" s="495" t="str">
        <f>IF($P$1="Select company","",IF(C16 ="","",HLOOKUP(((VLOOKUP($P$1,Lists!$B$4:$C$26,2,FALSE))&amp;"PC"),'PC list edited'!$A$2:$EJ$65,(B16+1),FALSE)))</f>
        <v>WC4: Recreational visitor satisfaction</v>
      </c>
      <c r="E16" s="314" t="str">
        <f>IF($P$1="Select company","",IF(C16 ="","",HLOOKUP(((VLOOKUP($P$1,Lists!$B$4:$C$26,2,FALSE))&amp;"unit"),'PC list edited'!$A$2:$EJ$65,(B16+1),FALSE)))</f>
        <v>text</v>
      </c>
      <c r="F16" s="314" t="str">
        <f>IF($P$1="Select company","",IF(C16 ="","",HLOOKUP(((VLOOKUP($P$1,Lists!$B$4:$C$26,2,FALSE))&amp;"UnitDes"),'PC list edited'!$A$2:$EJ$65,(B16+1),FALSE)))</f>
        <v>Assessment of customer satisfaction (qualitative survey)</v>
      </c>
      <c r="G16" s="515" t="str">
        <f>IF($P$1="Select company","",IF(C16="","",HLOOKUP(((VLOOKUP($P$1,Lists!$B$4:$C$26,2,FALSE))&amp;"DP"),'PC list edited'!$A$2:$EJ$65,(B16+1),FALSE)))</f>
        <v>na</v>
      </c>
      <c r="H16" s="515" t="str">
        <f>IF($P$1="Select company","",IF(C16 = "","",HLOOKUP(((VLOOKUP($P$1,Lists!$B$4:$C$26,2,FALSE))&amp;"201819Actual"),'PC list edited'!$A$2:$EJ$65,(B16+1),FALSE)))</f>
        <v>Published</v>
      </c>
      <c r="I16" s="550" t="s">
        <v>2341</v>
      </c>
      <c r="J16" s="664" t="s">
        <v>2337</v>
      </c>
      <c r="K16" s="499"/>
      <c r="L16" s="500"/>
      <c r="M16" s="499"/>
      <c r="N16" s="500"/>
      <c r="O16" s="2945"/>
      <c r="P16" s="2946"/>
      <c r="Q16" s="70"/>
      <c r="R16" s="503">
        <f t="shared" si="4"/>
        <v>0</v>
      </c>
      <c r="S16" s="24">
        <f t="shared" si="1"/>
        <v>0</v>
      </c>
      <c r="T16" s="70"/>
      <c r="U16" s="71"/>
      <c r="V16" s="93">
        <f t="shared" si="2"/>
        <v>0</v>
      </c>
      <c r="W16" s="93">
        <f>IF($C16="",0,IF(ISBLANK(#REF!)=FALSE,0,1))</f>
        <v>0</v>
      </c>
      <c r="X16" s="93">
        <f t="shared" si="0"/>
        <v>0</v>
      </c>
      <c r="Y16" s="93">
        <f>IF(OR(ISBLANK(L16), L16=0), 0, IF(OR(K16=Lists!$F$11, K16=Lists!$F$13), 0, 1))</f>
        <v>0</v>
      </c>
      <c r="Z16" s="93">
        <f>IF(OR($C16="", AND(NOT(K16=Lists!$F$11), NOT(K16=Lists!$F$13))),0,IF(ISBLANK(L16)=FALSE,0,1))</f>
        <v>0</v>
      </c>
      <c r="AA16" s="93">
        <f>IF(OR(ISBLANK(N16), N16=0), 0, IF(OR(M16=Lists!$F$11, M16=Lists!$F$13), 0, 1))</f>
        <v>0</v>
      </c>
      <c r="AB16" s="93">
        <f>IF(OR($C16="", AND(NOT(M16=Lists!$F$11), NOT(M16=Lists!$F$13))),0,IF(ISBLANK(N16)=FALSE,0,1))</f>
        <v>0</v>
      </c>
      <c r="AC16" s="93">
        <f>IF(OR(ISBLANK(P16), P16=0), 0, IF(OR(O16=Lists!$F$11, O16=Lists!$F$13), 0, 1))</f>
        <v>0</v>
      </c>
      <c r="AD16" s="93">
        <f>IF(OR($C16="", AND(NOT(O16=Lists!$F$11), NOT(O16=Lists!$F$13))),0,IF(ISBLANK(P16)=FALSE,0,1))</f>
        <v>0</v>
      </c>
      <c r="AE16" s="71"/>
      <c r="AF16" s="505">
        <f xml:space="preserve"> IF(OR( AND( K16 = Lists!$F$11, '3A'!L16 &lt; 0), AND( '3A'!M16 = Lists!$F$11, '3A'!N16 &lt; 0), AND( '3A'!O16 = Lists!$F$11, '3A'!P16 &lt; 0)), 1, 0)</f>
        <v>0</v>
      </c>
      <c r="AG16" s="505">
        <f xml:space="preserve"> IF( OR( AND( K16 = Lists!$F$13, '3A'!L16 &gt; 0), AND( M16 = Lists!$F$13, '3A'!N16 &gt; 0), AND( O16 = Lists!$F$13, '3A'!P16 &gt; 0 )), 1, 0)</f>
        <v>0</v>
      </c>
      <c r="AH16" s="507"/>
      <c r="AI16" s="666" t="str">
        <f>IF($P$1="Select company","",IF((HLOOKUP(((VLOOKUP($P$1,Lists!$B$4:$C$26,2,FALSE))&amp;'PC LIST'!$J$2),'PC list edited'!$A$2:$EJ$65,(B16+1),FALSE))=0,"",HLOOKUP(((VLOOKUP($P$1,Lists!$B$4:$C$26,2,FALSE))&amp; 'PC LIST'!$J$2),'PC list edited'!$A$2:$EJ$65,(B16+1),FALSE)))</f>
        <v>NFI</v>
      </c>
      <c r="AJ16" s="2239" t="str">
        <f>IFERROR(INDEX('PC LIST'!N$3:N$631, MATCH($C16, 'PC LIST'!$B$3:$B$631, 0)),"")</f>
        <v>Customer satisfaction (exc. bills)</v>
      </c>
    </row>
    <row r="17" spans="1:36" s="308" customFormat="1" ht="30.2" customHeight="1">
      <c r="A17" s="74"/>
      <c r="B17" s="289">
        <f t="shared" si="3"/>
        <v>13</v>
      </c>
      <c r="C17" s="496" t="str">
        <f>IF($P$1="Select company","",IF((HLOOKUP((VLOOKUP($P$1,Lists!$B$4:$C$26,2,FALSE)),'PC list edited'!$A$2:$EJ$65,(B17+1),FALSE))=0,"",HLOOKUP((VLOOKUP($P$1,Lists!$B$4:$C$26,2,FALSE)),'PC list edited'!$A$2:$EJ$65,(B17+1),FALSE)))</f>
        <v>PR14YKYWSW_WD1</v>
      </c>
      <c r="D17" s="495" t="str">
        <f>IF($P$1="Select company","",IF(C17 ="","",HLOOKUP(((VLOOKUP($P$1,Lists!$B$4:$C$26,2,FALSE))&amp;"PC"),'PC list edited'!$A$2:$EJ$65,(B17+1),FALSE)))</f>
        <v>WD1: Proportion of energy use generated by renewable technology (note: PC is part of a total commitment at Appointee level - see also SC1 and RC1)</v>
      </c>
      <c r="E17" s="314" t="str">
        <f>IF($P$1="Select company","",IF(C17 ="","",HLOOKUP(((VLOOKUP($P$1,Lists!$B$4:$C$26,2,FALSE))&amp;"unit"),'PC list edited'!$A$2:$EJ$65,(B17+1),FALSE)))</f>
        <v>%</v>
      </c>
      <c r="F17" s="314" t="str">
        <f>IF($P$1="Select company","",IF(C17 ="","",HLOOKUP(((VLOOKUP($P$1,Lists!$B$4:$C$26,2,FALSE))&amp;"UnitDes"),'PC list edited'!$A$2:$EJ$65,(B17+1),FALSE)))</f>
        <v>% of energy use generated by renewable technology</v>
      </c>
      <c r="G17" s="515">
        <f>IF($P$1="Select company","",IF(C17="","",HLOOKUP(((VLOOKUP($P$1,Lists!$B$4:$C$26,2,FALSE))&amp;"DP"),'PC list edited'!$A$2:$EJ$65,(B17+1),FALSE)))</f>
        <v>0</v>
      </c>
      <c r="H17" s="515">
        <f>IF($P$1="Select company","",IF(C17 = "","",HLOOKUP(((VLOOKUP($P$1,Lists!$B$4:$C$26,2,FALSE))&amp;"201819Actual"),'PC list edited'!$A$2:$EJ$65,(B17+1),FALSE)))</f>
        <v>11</v>
      </c>
      <c r="I17" s="550">
        <v>15</v>
      </c>
      <c r="J17" s="664" t="s">
        <v>2337</v>
      </c>
      <c r="K17" s="499"/>
      <c r="L17" s="500"/>
      <c r="M17" s="499"/>
      <c r="N17" s="500"/>
      <c r="O17" s="2945"/>
      <c r="P17" s="2946"/>
      <c r="Q17" s="70"/>
      <c r="R17" s="503">
        <f t="shared" si="4"/>
        <v>0</v>
      </c>
      <c r="S17" s="24">
        <f t="shared" si="1"/>
        <v>0</v>
      </c>
      <c r="T17" s="70"/>
      <c r="U17" s="71"/>
      <c r="V17" s="93">
        <f t="shared" si="2"/>
        <v>0</v>
      </c>
      <c r="W17" s="93">
        <f>IF($C17="",0,IF(ISBLANK(#REF!)=FALSE,0,1))</f>
        <v>0</v>
      </c>
      <c r="X17" s="93">
        <f t="shared" si="0"/>
        <v>0</v>
      </c>
      <c r="Y17" s="93">
        <f>IF(OR(ISBLANK(L17), L17=0), 0, IF(OR(K17=Lists!$F$11, K17=Lists!$F$13), 0, 1))</f>
        <v>0</v>
      </c>
      <c r="Z17" s="93">
        <f>IF(OR($C17="", AND(NOT(K17=Lists!$F$11), NOT(K17=Lists!$F$13))),0,IF(ISBLANK(L17)=FALSE,0,1))</f>
        <v>0</v>
      </c>
      <c r="AA17" s="93">
        <f>IF(OR(ISBLANK(N17), N17=0), 0, IF(OR(M17=Lists!$F$11, M17=Lists!$F$13), 0, 1))</f>
        <v>0</v>
      </c>
      <c r="AB17" s="93">
        <f>IF(OR($C17="", AND(NOT(M17=Lists!$F$11), NOT(M17=Lists!$F$13))),0,IF(ISBLANK(N17)=FALSE,0,1))</f>
        <v>0</v>
      </c>
      <c r="AC17" s="93">
        <f>IF(OR(ISBLANK(P17), P17=0), 0, IF(OR(O17=Lists!$F$11, O17=Lists!$F$13), 0, 1))</f>
        <v>0</v>
      </c>
      <c r="AD17" s="93">
        <f>IF(OR($C17="", AND(NOT(O17=Lists!$F$11), NOT(O17=Lists!$F$13))),0,IF(ISBLANK(P17)=FALSE,0,1))</f>
        <v>0</v>
      </c>
      <c r="AE17" s="71"/>
      <c r="AF17" s="505">
        <f xml:space="preserve"> IF(OR( AND( K17 = Lists!$F$11, '3A'!L17 &lt; 0), AND( '3A'!M17 = Lists!$F$11, '3A'!N17 &lt; 0), AND( '3A'!O17 = Lists!$F$11, '3A'!P17 &lt; 0)), 1, 0)</f>
        <v>0</v>
      </c>
      <c r="AG17" s="505">
        <f xml:space="preserve"> IF( OR( AND( K17 = Lists!$F$13, '3A'!L17 &gt; 0), AND( M17 = Lists!$F$13, '3A'!N17 &gt; 0), AND( O17 = Lists!$F$13, '3A'!P17 &gt; 0 )), 1, 0)</f>
        <v>0</v>
      </c>
      <c r="AH17" s="507"/>
      <c r="AI17" s="666" t="str">
        <f>IF($P$1="Select company","",IF((HLOOKUP(((VLOOKUP($P$1,Lists!$B$4:$C$26,2,FALSE))&amp;'PC LIST'!$J$2),'PC list edited'!$A$2:$EJ$65,(B17+1),FALSE))=0,"",HLOOKUP(((VLOOKUP($P$1,Lists!$B$4:$C$26,2,FALSE))&amp; 'PC LIST'!$J$2),'PC list edited'!$A$2:$EJ$65,(B17+1),FALSE)))</f>
        <v>NFI</v>
      </c>
      <c r="AJ17" s="2239" t="str">
        <f>IFERROR(INDEX('PC LIST'!N$3:N$631, MATCH($C17, 'PC LIST'!$B$3:$B$631, 0)),"")</f>
        <v>Energy/emissions</v>
      </c>
    </row>
    <row r="18" spans="1:36" s="308" customFormat="1" ht="30.2" customHeight="1">
      <c r="A18" s="74"/>
      <c r="B18" s="289">
        <f t="shared" si="3"/>
        <v>14</v>
      </c>
      <c r="C18" s="496" t="str">
        <f>IF($P$1="Select company","",IF((HLOOKUP((VLOOKUP($P$1,Lists!$B$4:$C$26,2,FALSE)),'PC list edited'!$A$2:$EJ$65,(B18+1),FALSE))=0,"",HLOOKUP((VLOOKUP($P$1,Lists!$B$4:$C$26,2,FALSE)),'PC list edited'!$A$2:$EJ$65,(B18+1),FALSE)))</f>
        <v>PR14YKYWSW_WD2</v>
      </c>
      <c r="D18" s="495" t="str">
        <f>IF($P$1="Select company","",IF(C18 ="","",HLOOKUP(((VLOOKUP($P$1,Lists!$B$4:$C$26,2,FALSE))&amp;"PC"),'PC list edited'!$A$2:$EJ$65,(B18+1),FALSE)))</f>
        <v>WD2: Proportion of waste diverted from landfill (re-used and recycled) (note: PC is part of a total commitment at Appointee level - see also SC2 and RC2)</v>
      </c>
      <c r="E18" s="314" t="str">
        <f>IF($P$1="Select company","",IF(C18 ="","",HLOOKUP(((VLOOKUP($P$1,Lists!$B$4:$C$26,2,FALSE))&amp;"unit"),'PC list edited'!$A$2:$EJ$65,(B18+1),FALSE)))</f>
        <v>%</v>
      </c>
      <c r="F18" s="314" t="str">
        <f>IF($P$1="Select company","",IF(C18 ="","",HLOOKUP(((VLOOKUP($P$1,Lists!$B$4:$C$26,2,FALSE))&amp;"UnitDes"),'PC list edited'!$A$2:$EJ$65,(B18+1),FALSE)))</f>
        <v>% of waste diverted from landfill (re-used and recycled)</v>
      </c>
      <c r="G18" s="515">
        <f>IF($P$1="Select company","",IF(C18="","",HLOOKUP(((VLOOKUP($P$1,Lists!$B$4:$C$26,2,FALSE))&amp;"DP"),'PC list edited'!$A$2:$EJ$65,(B18+1),FALSE)))</f>
        <v>0</v>
      </c>
      <c r="H18" s="515">
        <f>IF($P$1="Select company","",IF(C18 = "","",HLOOKUP(((VLOOKUP($P$1,Lists!$B$4:$C$26,2,FALSE))&amp;"201819Actual"),'PC list edited'!$A$2:$EJ$65,(B18+1),FALSE)))</f>
        <v>100</v>
      </c>
      <c r="I18" s="550">
        <v>100</v>
      </c>
      <c r="J18" s="664" t="s">
        <v>2337</v>
      </c>
      <c r="K18" s="499"/>
      <c r="L18" s="500"/>
      <c r="M18" s="499"/>
      <c r="N18" s="500"/>
      <c r="O18" s="2945"/>
      <c r="P18" s="2946"/>
      <c r="Q18" s="70"/>
      <c r="R18" s="503">
        <f t="shared" si="4"/>
        <v>0</v>
      </c>
      <c r="S18" s="24">
        <f t="shared" si="1"/>
        <v>0</v>
      </c>
      <c r="T18" s="70"/>
      <c r="U18" s="71"/>
      <c r="V18" s="93">
        <f t="shared" si="2"/>
        <v>0</v>
      </c>
      <c r="W18" s="93">
        <f>IF($C18="",0,IF(ISBLANK(#REF!)=FALSE,0,1))</f>
        <v>0</v>
      </c>
      <c r="X18" s="93">
        <f t="shared" si="0"/>
        <v>0</v>
      </c>
      <c r="Y18" s="93">
        <f>IF(OR(ISBLANK(L18), L18=0), 0, IF(OR(K18=Lists!$F$11, K18=Lists!$F$13), 0, 1))</f>
        <v>0</v>
      </c>
      <c r="Z18" s="93">
        <f>IF(OR($C18="", AND(NOT(K18=Lists!$F$11), NOT(K18=Lists!$F$13))),0,IF(ISBLANK(L18)=FALSE,0,1))</f>
        <v>0</v>
      </c>
      <c r="AA18" s="93">
        <f>IF(OR(ISBLANK(N18), N18=0), 0, IF(OR(M18=Lists!$F$11, M18=Lists!$F$13), 0, 1))</f>
        <v>0</v>
      </c>
      <c r="AB18" s="93">
        <f>IF(OR($C18="", AND(NOT(M18=Lists!$F$11), NOT(M18=Lists!$F$13))),0,IF(ISBLANK(N18)=FALSE,0,1))</f>
        <v>0</v>
      </c>
      <c r="AC18" s="93">
        <f>IF(OR(ISBLANK(P18), P18=0), 0, IF(OR(O18=Lists!$F$11, O18=Lists!$F$13), 0, 1))</f>
        <v>0</v>
      </c>
      <c r="AD18" s="93">
        <f>IF(OR($C18="", AND(NOT(O18=Lists!$F$11), NOT(O18=Lists!$F$13))),0,IF(ISBLANK(P18)=FALSE,0,1))</f>
        <v>0</v>
      </c>
      <c r="AE18" s="71"/>
      <c r="AF18" s="505">
        <f xml:space="preserve"> IF(OR( AND( K18 = Lists!$F$11, '3A'!L18 &lt; 0), AND( '3A'!M18 = Lists!$F$11, '3A'!N18 &lt; 0), AND( '3A'!O18 = Lists!$F$11, '3A'!P18 &lt; 0)), 1, 0)</f>
        <v>0</v>
      </c>
      <c r="AG18" s="505">
        <f xml:space="preserve"> IF( OR( AND( K18 = Lists!$F$13, '3A'!L18 &gt; 0), AND( M18 = Lists!$F$13, '3A'!N18 &gt; 0), AND( O18 = Lists!$F$13, '3A'!P18 &gt; 0 )), 1, 0)</f>
        <v>0</v>
      </c>
      <c r="AH18" s="507"/>
      <c r="AI18" s="666" t="str">
        <f>IF($P$1="Select company","",IF((HLOOKUP(((VLOOKUP($P$1,Lists!$B$4:$C$26,2,FALSE))&amp;'PC LIST'!$J$2),'PC list edited'!$A$2:$EJ$65,(B18+1),FALSE))=0,"",HLOOKUP(((VLOOKUP($P$1,Lists!$B$4:$C$26,2,FALSE))&amp; 'PC LIST'!$J$2),'PC list edited'!$A$2:$EJ$65,(B18+1),FALSE)))</f>
        <v>NFI</v>
      </c>
      <c r="AJ18" s="2239" t="str">
        <f>IFERROR(INDEX('PC LIST'!N$3:N$631, MATCH($C18, 'PC LIST'!$B$3:$B$631, 0)),"")</f>
        <v>Waste disposal</v>
      </c>
    </row>
    <row r="19" spans="1:36" s="308" customFormat="1" ht="30.2" customHeight="1">
      <c r="A19" s="74"/>
      <c r="B19" s="289">
        <f t="shared" si="3"/>
        <v>15</v>
      </c>
      <c r="C19" s="496" t="str">
        <f>IF($P$1="Select company","",IF((HLOOKUP((VLOOKUP($P$1,Lists!$B$4:$C$26,2,FALSE)),'PC list edited'!$A$2:$EJ$65,(B19+1),FALSE))=0,"",HLOOKUP((VLOOKUP($P$1,Lists!$B$4:$C$26,2,FALSE)),'PC list edited'!$A$2:$EJ$65,(B19+1),FALSE)))</f>
        <v>PR14YKYWSWW_SA1</v>
      </c>
      <c r="D19" s="495" t="str">
        <f>IF($P$1="Select company","",IF(C19 ="","",HLOOKUP(((VLOOKUP($P$1,Lists!$B$4:$C$26,2,FALSE))&amp;"PC"),'PC list edited'!$A$2:$EJ$65,(B19+1),FALSE)))</f>
        <v>SA1: Internal sewer flooding incidents</v>
      </c>
      <c r="E19" s="314" t="str">
        <f>IF($P$1="Select company","",IF(C19 ="","",HLOOKUP(((VLOOKUP($P$1,Lists!$B$4:$C$26,2,FALSE))&amp;"unit"),'PC list edited'!$A$2:$EJ$65,(B19+1),FALSE)))</f>
        <v>nr</v>
      </c>
      <c r="F19" s="314" t="str">
        <f>IF($P$1="Select company","",IF(C19 ="","",HLOOKUP(((VLOOKUP($P$1,Lists!$B$4:$C$26,2,FALSE))&amp;"UnitDes"),'PC list edited'!$A$2:$EJ$65,(B19+1),FALSE)))</f>
        <v>No. of internal sewer flooding incidents</v>
      </c>
      <c r="G19" s="515">
        <f>IF($P$1="Select company","",IF(C19="","",HLOOKUP(((VLOOKUP($P$1,Lists!$B$4:$C$26,2,FALSE))&amp;"DP"),'PC list edited'!$A$2:$EJ$65,(B19+1),FALSE)))</f>
        <v>0</v>
      </c>
      <c r="H19" s="515">
        <f>IF($P$1="Select company","",IF(C19 = "","",HLOOKUP(((VLOOKUP($P$1,Lists!$B$4:$C$26,2,FALSE))&amp;"201819Actual"),'PC list edited'!$A$2:$EJ$65,(B19+1),FALSE)))</f>
        <v>1692</v>
      </c>
      <c r="I19" s="550">
        <v>1602</v>
      </c>
      <c r="J19" s="664" t="s">
        <v>2337</v>
      </c>
      <c r="K19" s="499" t="s">
        <v>2335</v>
      </c>
      <c r="L19" s="500"/>
      <c r="M19" s="499" t="s">
        <v>2339</v>
      </c>
      <c r="N19" s="500">
        <v>9.0270290000000006</v>
      </c>
      <c r="O19" s="2945"/>
      <c r="P19" s="2946"/>
      <c r="Q19" s="70"/>
      <c r="R19" s="503">
        <f t="shared" si="4"/>
        <v>0</v>
      </c>
      <c r="S19" s="24">
        <f t="shared" si="1"/>
        <v>0</v>
      </c>
      <c r="T19" s="70"/>
      <c r="U19" s="71"/>
      <c r="V19" s="93">
        <f t="shared" si="2"/>
        <v>0</v>
      </c>
      <c r="W19" s="93">
        <f>IF($C19="",0,IF(ISBLANK(#REF!)=FALSE,0,1))</f>
        <v>0</v>
      </c>
      <c r="X19" s="93">
        <f t="shared" si="0"/>
        <v>0</v>
      </c>
      <c r="Y19" s="93">
        <f>IF(OR(ISBLANK(L19), L19=0), 0, IF(OR(K19=Lists!$F$11, K19=Lists!$F$13), 0, 1))</f>
        <v>0</v>
      </c>
      <c r="Z19" s="93">
        <f>IF(OR($C19="", AND(NOT(K19=Lists!$F$11), NOT(K19=Lists!$F$13))),0,IF(ISBLANK(L19)=FALSE,0,1))</f>
        <v>0</v>
      </c>
      <c r="AA19" s="93">
        <f>IF(OR(ISBLANK(N19), N19=0), 0, IF(OR(M19=Lists!$F$11, M19=Lists!$F$13), 0, 1))</f>
        <v>0</v>
      </c>
      <c r="AB19" s="93">
        <f>IF(OR($C19="", AND(NOT(M19=Lists!$F$11), NOT(M19=Lists!$F$13))),0,IF(ISBLANK(N19)=FALSE,0,1))</f>
        <v>0</v>
      </c>
      <c r="AC19" s="93">
        <f>IF(OR(ISBLANK(P19), P19=0), 0, IF(OR(O19=Lists!$F$11, O19=Lists!$F$13), 0, 1))</f>
        <v>0</v>
      </c>
      <c r="AD19" s="93">
        <f>IF(OR($C19="", AND(NOT(O19=Lists!$F$11), NOT(O19=Lists!$F$13))),0,IF(ISBLANK(P19)=FALSE,0,1))</f>
        <v>0</v>
      </c>
      <c r="AE19" s="71"/>
      <c r="AF19" s="505">
        <f xml:space="preserve"> IF(OR( AND( K19 = Lists!$F$11, '3A'!L19 &lt; 0), AND( '3A'!M19 = Lists!$F$11, '3A'!N19 &lt; 0), AND( '3A'!O19 = Lists!$F$11, '3A'!P19 &lt; 0)), 1, 0)</f>
        <v>0</v>
      </c>
      <c r="AG19" s="505">
        <f xml:space="preserve"> IF( OR( AND( K19 = Lists!$F$13, '3A'!L19 &gt; 0), AND( M19 = Lists!$F$13, '3A'!N19 &gt; 0), AND( O19 = Lists!$F$13, '3A'!P19 &gt; 0 )), 1, 0)</f>
        <v>0</v>
      </c>
      <c r="AH19" s="507"/>
      <c r="AI19" s="666" t="str">
        <f>IF($P$1="Select company","",IF((HLOOKUP(((VLOOKUP($P$1,Lists!$B$4:$C$26,2,FALSE))&amp;'PC LIST'!$J$2),'PC list edited'!$A$2:$EJ$65,(B19+1),FALSE))=0,"",HLOOKUP(((VLOOKUP($P$1,Lists!$B$4:$C$26,2,FALSE))&amp; 'PC LIST'!$J$2),'PC list edited'!$A$2:$EJ$65,(B19+1),FALSE)))</f>
        <v>Out &amp; under</v>
      </c>
      <c r="AJ19" s="2239" t="str">
        <f>IFERROR(INDEX('PC LIST'!N$3:N$631, MATCH($C19, 'PC LIST'!$B$3:$B$631, 0)),"")</f>
        <v>Sewer flooding/collapses etc</v>
      </c>
    </row>
    <row r="20" spans="1:36" s="308" customFormat="1" ht="30.2" customHeight="1">
      <c r="A20" s="74"/>
      <c r="B20" s="289">
        <f t="shared" si="3"/>
        <v>16</v>
      </c>
      <c r="C20" s="496" t="str">
        <f>IF($P$1="Select company","",IF((HLOOKUP((VLOOKUP($P$1,Lists!$B$4:$C$26,2,FALSE)),'PC list edited'!$A$2:$EJ$65,(B20+1),FALSE))=0,"",HLOOKUP((VLOOKUP($P$1,Lists!$B$4:$C$26,2,FALSE)),'PC list edited'!$A$2:$EJ$65,(B20+1),FALSE)))</f>
        <v>PR14YKYWSWW_SA2</v>
      </c>
      <c r="D20" s="495" t="str">
        <f>IF($P$1="Select company","",IF(C20 ="","",HLOOKUP(((VLOOKUP($P$1,Lists!$B$4:$C$26,2,FALSE))&amp;"PC"),'PC list edited'!$A$2:$EJ$65,(B20+1),FALSE)))</f>
        <v>SA2: External sewer flooding incidents</v>
      </c>
      <c r="E20" s="314" t="str">
        <f>IF($P$1="Select company","",IF(C20 ="","",HLOOKUP(((VLOOKUP($P$1,Lists!$B$4:$C$26,2,FALSE))&amp;"unit"),'PC list edited'!$A$2:$EJ$65,(B20+1),FALSE)))</f>
        <v>nr</v>
      </c>
      <c r="F20" s="314" t="str">
        <f>IF($P$1="Select company","",IF(C20 ="","",HLOOKUP(((VLOOKUP($P$1,Lists!$B$4:$C$26,2,FALSE))&amp;"UnitDes"),'PC list edited'!$A$2:$EJ$65,(B20+1),FALSE)))</f>
        <v>No. of external sewer flooding incidents</v>
      </c>
      <c r="G20" s="515">
        <f>IF($P$1="Select company","",IF(C20="","",HLOOKUP(((VLOOKUP($P$1,Lists!$B$4:$C$26,2,FALSE))&amp;"DP"),'PC list edited'!$A$2:$EJ$65,(B20+1),FALSE)))</f>
        <v>0</v>
      </c>
      <c r="H20" s="515">
        <f>IF($P$1="Select company","",IF(C20 = "","",HLOOKUP(((VLOOKUP($P$1,Lists!$B$4:$C$26,2,FALSE))&amp;"201819Actual"),'PC list edited'!$A$2:$EJ$65,(B20+1),FALSE)))</f>
        <v>9116</v>
      </c>
      <c r="I20" s="550">
        <v>9139</v>
      </c>
      <c r="J20" s="664" t="s">
        <v>2337</v>
      </c>
      <c r="K20" s="499"/>
      <c r="L20" s="500"/>
      <c r="M20" s="499"/>
      <c r="N20" s="500"/>
      <c r="O20" s="2945"/>
      <c r="P20" s="2946"/>
      <c r="Q20" s="70"/>
      <c r="R20" s="503">
        <f t="shared" si="4"/>
        <v>0</v>
      </c>
      <c r="S20" s="24">
        <f t="shared" si="1"/>
        <v>0</v>
      </c>
      <c r="T20" s="70"/>
      <c r="U20" s="71"/>
      <c r="V20" s="93">
        <f t="shared" si="2"/>
        <v>0</v>
      </c>
      <c r="W20" s="93">
        <f>IF($C20="",0,IF(ISBLANK(#REF!)=FALSE,0,1))</f>
        <v>0</v>
      </c>
      <c r="X20" s="93">
        <f t="shared" si="0"/>
        <v>0</v>
      </c>
      <c r="Y20" s="93">
        <f>IF(OR(ISBLANK(L20), L20=0), 0, IF(OR(K20=Lists!$F$11, K20=Lists!$F$13), 0, 1))</f>
        <v>0</v>
      </c>
      <c r="Z20" s="93">
        <f>IF(OR($C20="", AND(NOT(K20=Lists!$F$11), NOT(K20=Lists!$F$13))),0,IF(ISBLANK(L20)=FALSE,0,1))</f>
        <v>0</v>
      </c>
      <c r="AA20" s="93">
        <f>IF(OR(ISBLANK(N20), N20=0), 0, IF(OR(M20=Lists!$F$11, M20=Lists!$F$13), 0, 1))</f>
        <v>0</v>
      </c>
      <c r="AB20" s="93">
        <f>IF(OR($C20="", AND(NOT(M20=Lists!$F$11), NOT(M20=Lists!$F$13))),0,IF(ISBLANK(N20)=FALSE,0,1))</f>
        <v>0</v>
      </c>
      <c r="AC20" s="93">
        <f>IF(OR(ISBLANK(P20), P20=0), 0, IF(OR(O20=Lists!$F$11, O20=Lists!$F$13), 0, 1))</f>
        <v>0</v>
      </c>
      <c r="AD20" s="93">
        <f>IF(OR($C20="", AND(NOT(O20=Lists!$F$11), NOT(O20=Lists!$F$13))),0,IF(ISBLANK(P20)=FALSE,0,1))</f>
        <v>0</v>
      </c>
      <c r="AE20" s="71"/>
      <c r="AF20" s="505">
        <f xml:space="preserve"> IF(OR( AND( K20 = Lists!$F$11, '3A'!L20 &lt; 0), AND( '3A'!M20 = Lists!$F$11, '3A'!N20 &lt; 0), AND( '3A'!O20 = Lists!$F$11, '3A'!P20 &lt; 0)), 1, 0)</f>
        <v>0</v>
      </c>
      <c r="AG20" s="505">
        <f xml:space="preserve"> IF( OR( AND( K20 = Lists!$F$13, '3A'!L20 &gt; 0), AND( M20 = Lists!$F$13, '3A'!N20 &gt; 0), AND( O20 = Lists!$F$13, '3A'!P20 &gt; 0 )), 1, 0)</f>
        <v>0</v>
      </c>
      <c r="AH20" s="507"/>
      <c r="AI20" s="666" t="str">
        <f>IF($P$1="Select company","",IF((HLOOKUP(((VLOOKUP($P$1,Lists!$B$4:$C$26,2,FALSE))&amp;'PC LIST'!$J$2),'PC list edited'!$A$2:$EJ$65,(B20+1),FALSE))=0,"",HLOOKUP(((VLOOKUP($P$1,Lists!$B$4:$C$26,2,FALSE))&amp; 'PC LIST'!$J$2),'PC list edited'!$A$2:$EJ$65,(B20+1),FALSE)))</f>
        <v>NFI</v>
      </c>
      <c r="AJ20" s="2239" t="str">
        <f>IFERROR(INDEX('PC LIST'!N$3:N$631, MATCH($C20, 'PC LIST'!$B$3:$B$631, 0)),"")</f>
        <v>Sewer flooding/collapses etc</v>
      </c>
    </row>
    <row r="21" spans="1:36" s="308" customFormat="1" ht="30.2" customHeight="1">
      <c r="A21" s="74"/>
      <c r="B21" s="289">
        <f t="shared" si="3"/>
        <v>17</v>
      </c>
      <c r="C21" s="496" t="str">
        <f>IF($P$1="Select company","",IF((HLOOKUP((VLOOKUP($P$1,Lists!$B$4:$C$26,2,FALSE)),'PC list edited'!$A$2:$EJ$65,(B21+1),FALSE))=0,"",HLOOKUP((VLOOKUP($P$1,Lists!$B$4:$C$26,2,FALSE)),'PC list edited'!$A$2:$EJ$65,(B21+1),FALSE)))</f>
        <v>PR14YKYWSWW_SA3a</v>
      </c>
      <c r="D21" s="495" t="str">
        <f>IF($P$1="Select company","",IF(C21 ="","",HLOOKUP(((VLOOKUP($P$1,Lists!$B$4:$C$26,2,FALSE))&amp;"PC"),'PC list edited'!$A$2:$EJ$65,(B21+1),FALSE)))</f>
        <v>SA3a: Pollution incidents - category 1 and 2</v>
      </c>
      <c r="E21" s="314" t="str">
        <f>IF($P$1="Select company","",IF(C21 ="","",HLOOKUP(((VLOOKUP($P$1,Lists!$B$4:$C$26,2,FALSE))&amp;"unit"),'PC list edited'!$A$2:$EJ$65,(B21+1),FALSE)))</f>
        <v>nr</v>
      </c>
      <c r="F21" s="314" t="str">
        <f>IF($P$1="Select company","",IF(C21 ="","",HLOOKUP(((VLOOKUP($P$1,Lists!$B$4:$C$26,2,FALSE))&amp;"UnitDes"),'PC list edited'!$A$2:$EJ$65,(B21+1),FALSE)))</f>
        <v>No. of pollution incidents (cats 1 and 2)</v>
      </c>
      <c r="G21" s="515">
        <f>IF($P$1="Select company","",IF(C21="","",HLOOKUP(((VLOOKUP($P$1,Lists!$B$4:$C$26,2,FALSE))&amp;"DP"),'PC list edited'!$A$2:$EJ$65,(B21+1),FALSE)))</f>
        <v>0</v>
      </c>
      <c r="H21" s="515">
        <f>IF($P$1="Select company","",IF(C21 = "","",HLOOKUP(((VLOOKUP($P$1,Lists!$B$4:$C$26,2,FALSE))&amp;"201819Actual"),'PC list edited'!$A$2:$EJ$65,(B21+1),FALSE)))</f>
        <v>11</v>
      </c>
      <c r="I21" s="550">
        <v>7</v>
      </c>
      <c r="J21" s="664" t="s">
        <v>2334</v>
      </c>
      <c r="K21" s="499"/>
      <c r="L21" s="500"/>
      <c r="M21" s="499"/>
      <c r="N21" s="500"/>
      <c r="O21" s="2945"/>
      <c r="P21" s="2946"/>
      <c r="Q21" s="70"/>
      <c r="R21" s="503">
        <f t="shared" si="4"/>
        <v>0</v>
      </c>
      <c r="S21" s="24">
        <f t="shared" si="1"/>
        <v>0</v>
      </c>
      <c r="T21" s="70"/>
      <c r="U21" s="71"/>
      <c r="V21" s="93">
        <f t="shared" si="2"/>
        <v>0</v>
      </c>
      <c r="W21" s="93">
        <f>IF($C21="",0,IF(ISBLANK(#REF!)=FALSE,0,1))</f>
        <v>0</v>
      </c>
      <c r="X21" s="93">
        <f t="shared" si="0"/>
        <v>0</v>
      </c>
      <c r="Y21" s="93">
        <f>IF(OR(ISBLANK(L21), L21=0), 0, IF(OR(K21=Lists!$F$11, K21=Lists!$F$13), 0, 1))</f>
        <v>0</v>
      </c>
      <c r="Z21" s="93">
        <f>IF(OR($C21="", AND(NOT(K21=Lists!$F$11), NOT(K21=Lists!$F$13))),0,IF(ISBLANK(L21)=FALSE,0,1))</f>
        <v>0</v>
      </c>
      <c r="AA21" s="93">
        <f>IF(OR(ISBLANK(N21), N21=0), 0, IF(OR(M21=Lists!$F$11, M21=Lists!$F$13), 0, 1))</f>
        <v>0</v>
      </c>
      <c r="AB21" s="93">
        <f>IF(OR($C21="", AND(NOT(M21=Lists!$F$11), NOT(M21=Lists!$F$13))),0,IF(ISBLANK(N21)=FALSE,0,1))</f>
        <v>0</v>
      </c>
      <c r="AC21" s="93">
        <f>IF(OR(ISBLANK(P21), P21=0), 0, IF(OR(O21=Lists!$F$11, O21=Lists!$F$13), 0, 1))</f>
        <v>0</v>
      </c>
      <c r="AD21" s="93">
        <f>IF(OR($C21="", AND(NOT(O21=Lists!$F$11), NOT(O21=Lists!$F$13))),0,IF(ISBLANK(P21)=FALSE,0,1))</f>
        <v>0</v>
      </c>
      <c r="AE21" s="71"/>
      <c r="AF21" s="505">
        <f xml:space="preserve"> IF(OR( AND( K21 = Lists!$F$11, '3A'!L21 &lt; 0), AND( '3A'!M21 = Lists!$F$11, '3A'!N21 &lt; 0), AND( '3A'!O21 = Lists!$F$11, '3A'!P21 &lt; 0)), 1, 0)</f>
        <v>0</v>
      </c>
      <c r="AG21" s="505">
        <f xml:space="preserve"> IF( OR( AND( K21 = Lists!$F$13, '3A'!L21 &gt; 0), AND( M21 = Lists!$F$13, '3A'!N21 &gt; 0), AND( O21 = Lists!$F$13, '3A'!P21 &gt; 0 )), 1, 0)</f>
        <v>0</v>
      </c>
      <c r="AH21" s="507"/>
      <c r="AI21" s="666" t="str">
        <f>IF($P$1="Select company","",IF((HLOOKUP(((VLOOKUP($P$1,Lists!$B$4:$C$26,2,FALSE))&amp;'PC LIST'!$J$2),'PC list edited'!$A$2:$EJ$65,(B21+1),FALSE))=0,"",HLOOKUP(((VLOOKUP($P$1,Lists!$B$4:$C$26,2,FALSE))&amp; 'PC LIST'!$J$2),'PC list edited'!$A$2:$EJ$65,(B21+1),FALSE)))</f>
        <v>NFI</v>
      </c>
      <c r="AJ21" s="2239" t="str">
        <f>IFERROR(INDEX('PC LIST'!N$3:N$631, MATCH($C21, 'PC LIST'!$B$3:$B$631, 0)),"")</f>
        <v>Pollution incidents</v>
      </c>
    </row>
    <row r="22" spans="1:36" s="308" customFormat="1" ht="30.2" customHeight="1">
      <c r="A22" s="74"/>
      <c r="B22" s="289">
        <f t="shared" si="3"/>
        <v>18</v>
      </c>
      <c r="C22" s="496" t="str">
        <f>IF($P$1="Select company","",IF((HLOOKUP((VLOOKUP($P$1,Lists!$B$4:$C$26,2,FALSE)),'PC list edited'!$A$2:$EJ$65,(B22+1),FALSE))=0,"",HLOOKUP((VLOOKUP($P$1,Lists!$B$4:$C$26,2,FALSE)),'PC list edited'!$A$2:$EJ$65,(B22+1),FALSE)))</f>
        <v>PR14YKYWSWW_SA3b</v>
      </c>
      <c r="D22" s="495" t="str">
        <f>IF($P$1="Select company","",IF(C22 ="","",HLOOKUP(((VLOOKUP($P$1,Lists!$B$4:$C$26,2,FALSE))&amp;"PC"),'PC list edited'!$A$2:$EJ$65,(B22+1),FALSE)))</f>
        <v>SA3b: Pollution incidents - category 3</v>
      </c>
      <c r="E22" s="314" t="str">
        <f>IF($P$1="Select company","",IF(C22 ="","",HLOOKUP(((VLOOKUP($P$1,Lists!$B$4:$C$26,2,FALSE))&amp;"unit"),'PC list edited'!$A$2:$EJ$65,(B22+1),FALSE)))</f>
        <v>nr</v>
      </c>
      <c r="F22" s="314" t="str">
        <f>IF($P$1="Select company","",IF(C22 ="","",HLOOKUP(((VLOOKUP($P$1,Lists!$B$4:$C$26,2,FALSE))&amp;"UnitDes"),'PC list edited'!$A$2:$EJ$65,(B22+1),FALSE)))</f>
        <v>No. of pollution incidents (cat 3)</v>
      </c>
      <c r="G22" s="515">
        <f>IF($P$1="Select company","",IF(C22="","",HLOOKUP(((VLOOKUP($P$1,Lists!$B$4:$C$26,2,FALSE))&amp;"DP"),'PC list edited'!$A$2:$EJ$65,(B22+1),FALSE)))</f>
        <v>0</v>
      </c>
      <c r="H22" s="515">
        <f>IF($P$1="Select company","",IF(C22 = "","",HLOOKUP(((VLOOKUP($P$1,Lists!$B$4:$C$26,2,FALSE))&amp;"201819Actual"),'PC list edited'!$A$2:$EJ$65,(B22+1),FALSE)))</f>
        <v>188</v>
      </c>
      <c r="I22" s="550">
        <v>159</v>
      </c>
      <c r="J22" s="664" t="s">
        <v>2337</v>
      </c>
      <c r="K22" s="499" t="s">
        <v>2335</v>
      </c>
      <c r="L22" s="500"/>
      <c r="M22" s="499" t="s">
        <v>2339</v>
      </c>
      <c r="N22" s="500">
        <v>9.6269159999999996</v>
      </c>
      <c r="O22" s="2945"/>
      <c r="P22" s="2946"/>
      <c r="Q22" s="70"/>
      <c r="R22" s="503">
        <f t="shared" si="4"/>
        <v>0</v>
      </c>
      <c r="S22" s="24">
        <f t="shared" si="1"/>
        <v>0</v>
      </c>
      <c r="T22" s="70"/>
      <c r="U22" s="71"/>
      <c r="V22" s="93">
        <f t="shared" si="2"/>
        <v>0</v>
      </c>
      <c r="W22" s="93">
        <f>IF($C22="",0,IF(ISBLANK(#REF!)=FALSE,0,1))</f>
        <v>0</v>
      </c>
      <c r="X22" s="93">
        <f t="shared" si="0"/>
        <v>0</v>
      </c>
      <c r="Y22" s="93">
        <f>IF(OR(ISBLANK(L22), L22=0), 0, IF(OR(K22=Lists!$F$11, K22=Lists!$F$13), 0, 1))</f>
        <v>0</v>
      </c>
      <c r="Z22" s="93">
        <f>IF(OR($C22="", AND(NOT(K22=Lists!$F$11), NOT(K22=Lists!$F$13))),0,IF(ISBLANK(L22)=FALSE,0,1))</f>
        <v>0</v>
      </c>
      <c r="AA22" s="93">
        <f>IF(OR(ISBLANK(N22), N22=0), 0, IF(OR(M22=Lists!$F$11, M22=Lists!$F$13), 0, 1))</f>
        <v>0</v>
      </c>
      <c r="AB22" s="93">
        <f>IF(OR($C22="", AND(NOT(M22=Lists!$F$11), NOT(M22=Lists!$F$13))),0,IF(ISBLANK(N22)=FALSE,0,1))</f>
        <v>0</v>
      </c>
      <c r="AC22" s="93">
        <f>IF(OR(ISBLANK(P22), P22=0), 0, IF(OR(O22=Lists!$F$11, O22=Lists!$F$13), 0, 1))</f>
        <v>0</v>
      </c>
      <c r="AD22" s="93">
        <f>IF(OR($C22="", AND(NOT(O22=Lists!$F$11), NOT(O22=Lists!$F$13))),0,IF(ISBLANK(P22)=FALSE,0,1))</f>
        <v>0</v>
      </c>
      <c r="AE22" s="71"/>
      <c r="AF22" s="505">
        <f xml:space="preserve"> IF(OR( AND( K22 = Lists!$F$11, '3A'!L22 &lt; 0), AND( '3A'!M22 = Lists!$F$11, '3A'!N22 &lt; 0), AND( '3A'!O22 = Lists!$F$11, '3A'!P22 &lt; 0)), 1, 0)</f>
        <v>0</v>
      </c>
      <c r="AG22" s="505">
        <f xml:space="preserve"> IF( OR( AND( K22 = Lists!$F$13, '3A'!L22 &gt; 0), AND( M22 = Lists!$F$13, '3A'!N22 &gt; 0), AND( O22 = Lists!$F$13, '3A'!P22 &gt; 0 )), 1, 0)</f>
        <v>0</v>
      </c>
      <c r="AH22" s="507"/>
      <c r="AI22" s="666" t="str">
        <f>IF($P$1="Select company","",IF((HLOOKUP(((VLOOKUP($P$1,Lists!$B$4:$C$26,2,FALSE))&amp;'PC LIST'!$J$2),'PC list edited'!$A$2:$EJ$65,(B22+1),FALSE))=0,"",HLOOKUP(((VLOOKUP($P$1,Lists!$B$4:$C$26,2,FALSE))&amp; 'PC LIST'!$J$2),'PC list edited'!$A$2:$EJ$65,(B22+1),FALSE)))</f>
        <v>Out &amp; under</v>
      </c>
      <c r="AJ22" s="2239" t="str">
        <f>IFERROR(INDEX('PC LIST'!N$3:N$631, MATCH($C22, 'PC LIST'!$B$3:$B$631, 0)),"")</f>
        <v>Pollution incidents</v>
      </c>
    </row>
    <row r="23" spans="1:36" s="308" customFormat="1" ht="30.2" customHeight="1">
      <c r="A23" s="74"/>
      <c r="B23" s="289">
        <f t="shared" si="3"/>
        <v>19</v>
      </c>
      <c r="C23" s="496" t="str">
        <f>IF($P$1="Select company","",IF((HLOOKUP((VLOOKUP($P$1,Lists!$B$4:$C$26,2,FALSE)),'PC list edited'!$A$2:$EJ$65,(B23+1),FALSE))=0,"",HLOOKUP((VLOOKUP($P$1,Lists!$B$4:$C$26,2,FALSE)),'PC list edited'!$A$2:$EJ$65,(B23+1),FALSE)))</f>
        <v>PR14YKYWSWW_SA4</v>
      </c>
      <c r="D23" s="495" t="str">
        <f>IF($P$1="Select company","",IF(C23 ="","",HLOOKUP(((VLOOKUP($P$1,Lists!$B$4:$C$26,2,FALSE))&amp;"PC"),'PC list edited'!$A$2:$EJ$65,(B23+1),FALSE)))</f>
        <v>SA4: Sewer network stability and reliability factor</v>
      </c>
      <c r="E23" s="314" t="str">
        <f>IF($P$1="Select company","",IF(C23 ="","",HLOOKUP(((VLOOKUP($P$1,Lists!$B$4:$C$26,2,FALSE))&amp;"unit"),'PC list edited'!$A$2:$EJ$65,(B23+1),FALSE)))</f>
        <v>category</v>
      </c>
      <c r="F23" s="314" t="str">
        <f>IF($P$1="Select company","",IF(C23 ="","",HLOOKUP(((VLOOKUP($P$1,Lists!$B$4:$C$26,2,FALSE))&amp;"UnitDes"),'PC list edited'!$A$2:$EJ$65,(B23+1),FALSE)))</f>
        <v>Asset health indicator</v>
      </c>
      <c r="G23" s="515" t="str">
        <f>IF($P$1="Select company","",IF(C23="","",HLOOKUP(((VLOOKUP($P$1,Lists!$B$4:$C$26,2,FALSE))&amp;"DP"),'PC list edited'!$A$2:$EJ$65,(B23+1),FALSE)))</f>
        <v>na</v>
      </c>
      <c r="H23" s="515" t="str">
        <f>IF($P$1="Select company","",IF(C23 = "","",HLOOKUP(((VLOOKUP($P$1,Lists!$B$4:$C$26,2,FALSE))&amp;"201819Actual"),'PC list edited'!$A$2:$EJ$65,(B23+1),FALSE)))</f>
        <v>Stable</v>
      </c>
      <c r="I23" s="550" t="s">
        <v>2338</v>
      </c>
      <c r="J23" s="664" t="s">
        <v>2337</v>
      </c>
      <c r="K23" s="499" t="s">
        <v>2335</v>
      </c>
      <c r="L23" s="500"/>
      <c r="M23" s="499" t="s">
        <v>2335</v>
      </c>
      <c r="N23" s="500"/>
      <c r="O23" s="2945"/>
      <c r="P23" s="2946"/>
      <c r="Q23" s="118"/>
      <c r="R23" s="503">
        <f t="shared" si="4"/>
        <v>0</v>
      </c>
      <c r="S23" s="24">
        <f t="shared" si="1"/>
        <v>0</v>
      </c>
      <c r="T23" s="118"/>
      <c r="U23" s="124"/>
      <c r="V23" s="93">
        <f t="shared" si="2"/>
        <v>0</v>
      </c>
      <c r="W23" s="93">
        <f>IF($C23="",0,IF(ISBLANK(#REF!)=FALSE,0,1))</f>
        <v>0</v>
      </c>
      <c r="X23" s="93">
        <f t="shared" si="0"/>
        <v>0</v>
      </c>
      <c r="Y23" s="93">
        <f>IF(OR(ISBLANK(L23), L23=0), 0, IF(OR(K23=Lists!$F$11, K23=Lists!$F$13), 0, 1))</f>
        <v>0</v>
      </c>
      <c r="Z23" s="93">
        <f>IF(OR($C23="", AND(NOT(K23=Lists!$F$11), NOT(K23=Lists!$F$13))),0,IF(ISBLANK(L23)=FALSE,0,1))</f>
        <v>0</v>
      </c>
      <c r="AA23" s="93">
        <f>IF(OR(ISBLANK(N23), N23=0), 0, IF(OR(M23=Lists!$F$11, M23=Lists!$F$13), 0, 1))</f>
        <v>0</v>
      </c>
      <c r="AB23" s="93">
        <f>IF(OR($C23="", AND(NOT(M23=Lists!$F$11), NOT(M23=Lists!$F$13))),0,IF(ISBLANK(N23)=FALSE,0,1))</f>
        <v>0</v>
      </c>
      <c r="AC23" s="93">
        <f>IF(OR(ISBLANK(P23), P23=0), 0, IF(OR(O23=Lists!$F$11, O23=Lists!$F$13), 0, 1))</f>
        <v>0</v>
      </c>
      <c r="AD23" s="93">
        <f>IF(OR($C23="", AND(NOT(O23=Lists!$F$11), NOT(O23=Lists!$F$13))),0,IF(ISBLANK(P23)=FALSE,0,1))</f>
        <v>0</v>
      </c>
      <c r="AE23" s="124"/>
      <c r="AF23" s="505">
        <f xml:space="preserve"> IF(OR( AND( K23 = Lists!$F$11, '3A'!L23 &lt; 0), AND( '3A'!M23 = Lists!$F$11, '3A'!N23 &lt; 0), AND( '3A'!O23 = Lists!$F$11, '3A'!P23 &lt; 0)), 1, 0)</f>
        <v>0</v>
      </c>
      <c r="AG23" s="505">
        <f xml:space="preserve"> IF( OR( AND( K23 = Lists!$F$13, '3A'!L23 &gt; 0), AND( M23 = Lists!$F$13, '3A'!N23 &gt; 0), AND( O23 = Lists!$F$13, '3A'!P23 &gt; 0 )), 1, 0)</f>
        <v>0</v>
      </c>
      <c r="AH23" s="507"/>
      <c r="AI23" s="666" t="str">
        <f>IF($P$1="Select company","",IF((HLOOKUP(((VLOOKUP($P$1,Lists!$B$4:$C$26,2,FALSE))&amp;'PC LIST'!$J$2),'PC list edited'!$A$2:$EJ$65,(B23+1),FALSE))=0,"",HLOOKUP(((VLOOKUP($P$1,Lists!$B$4:$C$26,2,FALSE))&amp; 'PC LIST'!$J$2),'PC list edited'!$A$2:$EJ$65,(B23+1),FALSE)))</f>
        <v>Under</v>
      </c>
      <c r="AJ23" s="2239" t="str">
        <f>IFERROR(INDEX('PC LIST'!N$3:N$631, MATCH($C23, 'PC LIST'!$B$3:$B$631, 0)),"")</f>
        <v>Asset health - wastewater</v>
      </c>
    </row>
    <row r="24" spans="1:36" s="308" customFormat="1" ht="30.2" customHeight="1">
      <c r="A24" s="74"/>
      <c r="B24" s="289">
        <f t="shared" si="3"/>
        <v>20</v>
      </c>
      <c r="C24" s="496" t="str">
        <f>IF($P$1="Select company","",IF((HLOOKUP((VLOOKUP($P$1,Lists!$B$4:$C$26,2,FALSE)),'PC list edited'!$A$2:$EJ$65,(B24+1),FALSE))=0,"",HLOOKUP((VLOOKUP($P$1,Lists!$B$4:$C$26,2,FALSE)),'PC list edited'!$A$2:$EJ$65,(B24+1),FALSE)))</f>
        <v>PR14YKYWSWW_SB1</v>
      </c>
      <c r="D24" s="495" t="str">
        <f>IF($P$1="Select company","",IF(C24 ="","",HLOOKUP(((VLOOKUP($P$1,Lists!$B$4:$C$26,2,FALSE))&amp;"PC"),'PC list edited'!$A$2:$EJ$65,(B24+1),FALSE)))</f>
        <v>SB1: Number of Yorkshire's designated bathing waters that exceed the required quality standard</v>
      </c>
      <c r="E24" s="314" t="str">
        <f>IF($P$1="Select company","",IF(C24 ="","",HLOOKUP(((VLOOKUP($P$1,Lists!$B$4:$C$26,2,FALSE))&amp;"unit"),'PC list edited'!$A$2:$EJ$65,(B24+1),FALSE)))</f>
        <v>nr</v>
      </c>
      <c r="F24" s="314" t="str">
        <f>IF($P$1="Select company","",IF(C24 ="","",HLOOKUP(((VLOOKUP($P$1,Lists!$B$4:$C$26,2,FALSE))&amp;"UnitDes"),'PC list edited'!$A$2:$EJ$65,(B24+1),FALSE)))</f>
        <v>No. of bathing waters exceeding required standard</v>
      </c>
      <c r="G24" s="515">
        <f>IF($P$1="Select company","",IF(C24="","",HLOOKUP(((VLOOKUP($P$1,Lists!$B$4:$C$26,2,FALSE))&amp;"DP"),'PC list edited'!$A$2:$EJ$65,(B24+1),FALSE)))</f>
        <v>0</v>
      </c>
      <c r="H24" s="515">
        <f>IF($P$1="Select company","",IF(C24 = "","",HLOOKUP(((VLOOKUP($P$1,Lists!$B$4:$C$26,2,FALSE))&amp;"201819Actual"),'PC list edited'!$A$2:$EJ$65,(B24+1),FALSE)))</f>
        <v>17</v>
      </c>
      <c r="I24" s="550">
        <v>16</v>
      </c>
      <c r="J24" s="664" t="s">
        <v>2337</v>
      </c>
      <c r="K24" s="499"/>
      <c r="L24" s="500"/>
      <c r="M24" s="499"/>
      <c r="N24" s="500"/>
      <c r="O24" s="2945"/>
      <c r="P24" s="2946"/>
      <c r="Q24" s="126"/>
      <c r="R24" s="503">
        <f t="shared" si="4"/>
        <v>0</v>
      </c>
      <c r="S24" s="24">
        <f t="shared" si="1"/>
        <v>0</v>
      </c>
      <c r="T24" s="126"/>
      <c r="U24" s="119"/>
      <c r="V24" s="93">
        <f t="shared" si="2"/>
        <v>0</v>
      </c>
      <c r="W24" s="93">
        <f>IF($C24="",0,IF(ISBLANK(#REF!)=FALSE,0,1))</f>
        <v>0</v>
      </c>
      <c r="X24" s="93">
        <f t="shared" si="0"/>
        <v>0</v>
      </c>
      <c r="Y24" s="93">
        <f>IF(OR(ISBLANK(L24), L24=0), 0, IF(OR(K24=Lists!$F$11, K24=Lists!$F$13), 0, 1))</f>
        <v>0</v>
      </c>
      <c r="Z24" s="93">
        <f>IF(OR($C24="", AND(NOT(K24=Lists!$F$11), NOT(K24=Lists!$F$13))),0,IF(ISBLANK(L24)=FALSE,0,1))</f>
        <v>0</v>
      </c>
      <c r="AA24" s="93">
        <f>IF(OR(ISBLANK(N24), N24=0), 0, IF(OR(M24=Lists!$F$11, M24=Lists!$F$13), 0, 1))</f>
        <v>0</v>
      </c>
      <c r="AB24" s="93">
        <f>IF(OR($C24="", AND(NOT(M24=Lists!$F$11), NOT(M24=Lists!$F$13))),0,IF(ISBLANK(N24)=FALSE,0,1))</f>
        <v>0</v>
      </c>
      <c r="AC24" s="93">
        <f>IF(OR(ISBLANK(P24), P24=0), 0, IF(OR(O24=Lists!$F$11, O24=Lists!$F$13), 0, 1))</f>
        <v>0</v>
      </c>
      <c r="AD24" s="93">
        <f>IF(OR($C24="", AND(NOT(O24=Lists!$F$11), NOT(O24=Lists!$F$13))),0,IF(ISBLANK(P24)=FALSE,0,1))</f>
        <v>0</v>
      </c>
      <c r="AE24" s="119"/>
      <c r="AF24" s="505">
        <f xml:space="preserve"> IF(OR( AND( K24 = Lists!$F$11, '3A'!L24 &lt; 0), AND( '3A'!M24 = Lists!$F$11, '3A'!N24 &lt; 0), AND( '3A'!O24 = Lists!$F$11, '3A'!P24 &lt; 0)), 1, 0)</f>
        <v>0</v>
      </c>
      <c r="AG24" s="505">
        <f xml:space="preserve"> IF( OR( AND( K24 = Lists!$F$13, '3A'!L24 &gt; 0), AND( M24 = Lists!$F$13, '3A'!N24 &gt; 0), AND( O24 = Lists!$F$13, '3A'!P24 &gt; 0 )), 1, 0)</f>
        <v>0</v>
      </c>
      <c r="AH24" s="507"/>
      <c r="AI24" s="666" t="str">
        <f>IF($P$1="Select company","",IF((HLOOKUP(((VLOOKUP($P$1,Lists!$B$4:$C$26,2,FALSE))&amp;'PC LIST'!$J$2),'PC list edited'!$A$2:$EJ$65,(B24+1),FALSE))=0,"",HLOOKUP(((VLOOKUP($P$1,Lists!$B$4:$C$26,2,FALSE))&amp; 'PC LIST'!$J$2),'PC list edited'!$A$2:$EJ$65,(B24+1),FALSE)))</f>
        <v>NFI</v>
      </c>
      <c r="AJ24" s="2239" t="str">
        <f>IFERROR(INDEX('PC LIST'!N$3:N$631, MATCH($C24, 'PC LIST'!$B$3:$B$631, 0)),"")</f>
        <v>Environmental</v>
      </c>
    </row>
    <row r="25" spans="1:36" s="308" customFormat="1" ht="30.2" customHeight="1">
      <c r="A25" s="74"/>
      <c r="B25" s="289">
        <f t="shared" si="3"/>
        <v>21</v>
      </c>
      <c r="C25" s="496" t="str">
        <f>IF($P$1="Select company","",IF((HLOOKUP((VLOOKUP($P$1,Lists!$B$4:$C$26,2,FALSE)),'PC list edited'!$A$2:$EJ$65,(B25+1),FALSE))=0,"",HLOOKUP((VLOOKUP($P$1,Lists!$B$4:$C$26,2,FALSE)),'PC list edited'!$A$2:$EJ$65,(B25+1),FALSE)))</f>
        <v>PR14YKYWSWW_SB2</v>
      </c>
      <c r="D25" s="495" t="str">
        <f>IF($P$1="Select company","",IF(C25 ="","",HLOOKUP(((VLOOKUP($P$1,Lists!$B$4:$C$26,2,FALSE))&amp;"PC"),'PC list edited'!$A$2:$EJ$65,(B25+1),FALSE)))</f>
        <v>SB2: Wastewater quality stability and reliability factor</v>
      </c>
      <c r="E25" s="314" t="str">
        <f>IF($P$1="Select company","",IF(C25 ="","",HLOOKUP(((VLOOKUP($P$1,Lists!$B$4:$C$26,2,FALSE))&amp;"unit"),'PC list edited'!$A$2:$EJ$65,(B25+1),FALSE)))</f>
        <v>category</v>
      </c>
      <c r="F25" s="314" t="str">
        <f>IF($P$1="Select company","",IF(C25 ="","",HLOOKUP(((VLOOKUP($P$1,Lists!$B$4:$C$26,2,FALSE))&amp;"UnitDes"),'PC list edited'!$A$2:$EJ$65,(B25+1),FALSE)))</f>
        <v>Asset health indicator</v>
      </c>
      <c r="G25" s="515" t="str">
        <f>IF($P$1="Select company","",IF(C25="","",HLOOKUP(((VLOOKUP($P$1,Lists!$B$4:$C$26,2,FALSE))&amp;"DP"),'PC list edited'!$A$2:$EJ$65,(B25+1),FALSE)))</f>
        <v>na</v>
      </c>
      <c r="H25" s="515" t="str">
        <f>IF($P$1="Select company","",IF(C25 = "","",HLOOKUP(((VLOOKUP($P$1,Lists!$B$4:$C$26,2,FALSE))&amp;"201819Actual"),'PC list edited'!$A$2:$EJ$65,(B25+1),FALSE)))</f>
        <v>Stable</v>
      </c>
      <c r="I25" s="550" t="s">
        <v>2338</v>
      </c>
      <c r="J25" s="664" t="s">
        <v>2337</v>
      </c>
      <c r="K25" s="499" t="s">
        <v>2335</v>
      </c>
      <c r="L25" s="500"/>
      <c r="M25" s="499" t="s">
        <v>2335</v>
      </c>
      <c r="N25" s="500"/>
      <c r="O25" s="2945"/>
      <c r="P25" s="2946"/>
      <c r="Q25" s="126"/>
      <c r="R25" s="503">
        <f t="shared" si="4"/>
        <v>0</v>
      </c>
      <c r="S25" s="24">
        <f t="shared" si="1"/>
        <v>0</v>
      </c>
      <c r="T25" s="126"/>
      <c r="U25" s="119"/>
      <c r="V25" s="93">
        <f t="shared" si="2"/>
        <v>0</v>
      </c>
      <c r="W25" s="93">
        <f>IF($C25="",0,IF(ISBLANK(#REF!)=FALSE,0,1))</f>
        <v>0</v>
      </c>
      <c r="X25" s="93">
        <f t="shared" si="0"/>
        <v>0</v>
      </c>
      <c r="Y25" s="93">
        <f>IF(OR(ISBLANK(L25), L25=0), 0, IF(OR(K25=Lists!$F$11, K25=Lists!$F$13), 0, 1))</f>
        <v>0</v>
      </c>
      <c r="Z25" s="93">
        <f>IF(OR($C25="", AND(NOT(K25=Lists!$F$11), NOT(K25=Lists!$F$13))),0,IF(ISBLANK(L25)=FALSE,0,1))</f>
        <v>0</v>
      </c>
      <c r="AA25" s="93">
        <f>IF(OR(ISBLANK(N25), N25=0), 0, IF(OR(M25=Lists!$F$11, M25=Lists!$F$13), 0, 1))</f>
        <v>0</v>
      </c>
      <c r="AB25" s="93">
        <f>IF(OR($C25="", AND(NOT(M25=Lists!$F$11), NOT(M25=Lists!$F$13))),0,IF(ISBLANK(N25)=FALSE,0,1))</f>
        <v>0</v>
      </c>
      <c r="AC25" s="93">
        <f>IF(OR(ISBLANK(P25), P25=0), 0, IF(OR(O25=Lists!$F$11, O25=Lists!$F$13), 0, 1))</f>
        <v>0</v>
      </c>
      <c r="AD25" s="93">
        <f>IF(OR($C25="", AND(NOT(O25=Lists!$F$11), NOT(O25=Lists!$F$13))),0,IF(ISBLANK(P25)=FALSE,0,1))</f>
        <v>0</v>
      </c>
      <c r="AE25" s="119"/>
      <c r="AF25" s="505">
        <f xml:space="preserve"> IF(OR( AND( K25 = Lists!$F$11, '3A'!L25 &lt; 0), AND( '3A'!M25 = Lists!$F$11, '3A'!N25 &lt; 0), AND( '3A'!O25 = Lists!$F$11, '3A'!P25 &lt; 0)), 1, 0)</f>
        <v>0</v>
      </c>
      <c r="AG25" s="505">
        <f xml:space="preserve"> IF( OR( AND( K25 = Lists!$F$13, '3A'!L25 &gt; 0), AND( M25 = Lists!$F$13, '3A'!N25 &gt; 0), AND( O25 = Lists!$F$13, '3A'!P25 &gt; 0 )), 1, 0)</f>
        <v>0</v>
      </c>
      <c r="AH25" s="507"/>
      <c r="AI25" s="666" t="str">
        <f>IF($P$1="Select company","",IF((HLOOKUP(((VLOOKUP($P$1,Lists!$B$4:$C$26,2,FALSE))&amp;'PC LIST'!$J$2),'PC list edited'!$A$2:$EJ$65,(B25+1),FALSE))=0,"",HLOOKUP(((VLOOKUP($P$1,Lists!$B$4:$C$26,2,FALSE))&amp; 'PC LIST'!$J$2),'PC list edited'!$A$2:$EJ$65,(B25+1),FALSE)))</f>
        <v>Under</v>
      </c>
      <c r="AJ25" s="2239" t="str">
        <f>IFERROR(INDEX('PC LIST'!N$3:N$631, MATCH($C25, 'PC LIST'!$B$3:$B$631, 0)),"")</f>
        <v>Asset health - wastewater</v>
      </c>
    </row>
    <row r="26" spans="1:36" s="308" customFormat="1" ht="30.2" customHeight="1">
      <c r="A26" s="74"/>
      <c r="B26" s="289">
        <f t="shared" si="3"/>
        <v>22</v>
      </c>
      <c r="C26" s="496" t="str">
        <f>IF($P$1="Select company","",IF((HLOOKUP((VLOOKUP($P$1,Lists!$B$4:$C$26,2,FALSE)),'PC list edited'!$A$2:$EJ$65,(B26+1),FALSE))=0,"",HLOOKUP((VLOOKUP($P$1,Lists!$B$4:$C$26,2,FALSE)),'PC list edited'!$A$2:$EJ$65,(B26+1),FALSE)))</f>
        <v>PR14YKYWSWW_SB3</v>
      </c>
      <c r="D26" s="495" t="str">
        <f>IF($P$1="Select company","",IF(C26 ="","",HLOOKUP(((VLOOKUP($P$1,Lists!$B$4:$C$26,2,FALSE))&amp;"PC"),'PC list edited'!$A$2:$EJ$65,(B26+1),FALSE)))</f>
        <v>SB3: Solutions delivered by working with others (note: PC is part of a total commitment at Appointee level - see also WC2)</v>
      </c>
      <c r="E26" s="314" t="str">
        <f>IF($P$1="Select company","",IF(C26 ="","",HLOOKUP(((VLOOKUP($P$1,Lists!$B$4:$C$26,2,FALSE))&amp;"unit"),'PC list edited'!$A$2:$EJ$65,(B26+1),FALSE)))</f>
        <v>nr</v>
      </c>
      <c r="F26" s="314" t="str">
        <f>IF($P$1="Select company","",IF(C26 ="","",HLOOKUP(((VLOOKUP($P$1,Lists!$B$4:$C$26,2,FALSE))&amp;"UnitDes"),'PC list edited'!$A$2:$EJ$65,(B26+1),FALSE)))</f>
        <v>No. of solutions delivered by working with others</v>
      </c>
      <c r="G26" s="515">
        <f>IF($P$1="Select company","",IF(C26="","",HLOOKUP(((VLOOKUP($P$1,Lists!$B$4:$C$26,2,FALSE))&amp;"DP"),'PC list edited'!$A$2:$EJ$65,(B26+1),FALSE)))</f>
        <v>0</v>
      </c>
      <c r="H26" s="515">
        <f>IF($P$1="Select company","",IF(C26 = "","",HLOOKUP(((VLOOKUP($P$1,Lists!$B$4:$C$26,2,FALSE))&amp;"201819Actual"),'PC list edited'!$A$2:$EJ$65,(B26+1),FALSE)))</f>
        <v>11</v>
      </c>
      <c r="I26" s="550">
        <v>11</v>
      </c>
      <c r="J26" s="664" t="s">
        <v>2337</v>
      </c>
      <c r="K26" s="499" t="s">
        <v>2335</v>
      </c>
      <c r="L26" s="500"/>
      <c r="M26" s="499" t="s">
        <v>2339</v>
      </c>
      <c r="N26" s="500">
        <v>0</v>
      </c>
      <c r="O26" s="2945"/>
      <c r="P26" s="2946"/>
      <c r="Q26" s="126"/>
      <c r="R26" s="503">
        <f t="shared" si="4"/>
        <v>0</v>
      </c>
      <c r="S26" s="24">
        <f t="shared" si="1"/>
        <v>0</v>
      </c>
      <c r="T26" s="126"/>
      <c r="U26" s="119"/>
      <c r="V26" s="93">
        <f t="shared" si="2"/>
        <v>0</v>
      </c>
      <c r="W26" s="93">
        <f>IF($C26="",0,IF(ISBLANK(#REF!)=FALSE,0,1))</f>
        <v>0</v>
      </c>
      <c r="X26" s="93">
        <f t="shared" si="0"/>
        <v>0</v>
      </c>
      <c r="Y26" s="93">
        <f>IF(OR(ISBLANK(L26), L26=0), 0, IF(OR(K26=Lists!$F$11, K26=Lists!$F$13), 0, 1))</f>
        <v>0</v>
      </c>
      <c r="Z26" s="93">
        <f>IF(OR($C26="", AND(NOT(K26=Lists!$F$11), NOT(K26=Lists!$F$13))),0,IF(ISBLANK(L26)=FALSE,0,1))</f>
        <v>0</v>
      </c>
      <c r="AA26" s="93">
        <f>IF(OR(ISBLANK(N26), N26=0), 0, IF(OR(M26=Lists!$F$11, M26=Lists!$F$13), 0, 1))</f>
        <v>0</v>
      </c>
      <c r="AB26" s="93">
        <f>IF(OR($C26="", AND(NOT(M26=Lists!$F$11), NOT(M26=Lists!$F$13))),0,IF(ISBLANK(N26)=FALSE,0,1))</f>
        <v>0</v>
      </c>
      <c r="AC26" s="93">
        <f>IF(OR(ISBLANK(P26), P26=0), 0, IF(OR(O26=Lists!$F$11, O26=Lists!$F$13), 0, 1))</f>
        <v>0</v>
      </c>
      <c r="AD26" s="93">
        <f>IF(OR($C26="", AND(NOT(O26=Lists!$F$11), NOT(O26=Lists!$F$13))),0,IF(ISBLANK(P26)=FALSE,0,1))</f>
        <v>0</v>
      </c>
      <c r="AE26" s="119"/>
      <c r="AF26" s="505">
        <f xml:space="preserve"> IF(OR( AND( K26 = Lists!$F$11, '3A'!L26 &lt; 0), AND( '3A'!M26 = Lists!$F$11, '3A'!N26 &lt; 0), AND( '3A'!O26 = Lists!$F$11, '3A'!P26 &lt; 0)), 1, 0)</f>
        <v>0</v>
      </c>
      <c r="AG26" s="505">
        <f xml:space="preserve"> IF( OR( AND( K26 = Lists!$F$13, '3A'!L26 &gt; 0), AND( M26 = Lists!$F$13, '3A'!N26 &gt; 0), AND( O26 = Lists!$F$13, '3A'!P26 &gt; 0 )), 1, 0)</f>
        <v>0</v>
      </c>
      <c r="AH26" s="507"/>
      <c r="AI26" s="666" t="str">
        <f>IF($P$1="Select company","",IF((HLOOKUP(((VLOOKUP($P$1,Lists!$B$4:$C$26,2,FALSE))&amp;'PC LIST'!$J$2),'PC list edited'!$A$2:$EJ$65,(B26+1),FALSE))=0,"",HLOOKUP(((VLOOKUP($P$1,Lists!$B$4:$C$26,2,FALSE))&amp; 'PC LIST'!$J$2),'PC list edited'!$A$2:$EJ$65,(B26+1),FALSE)))</f>
        <v>Out</v>
      </c>
      <c r="AJ26" s="2239" t="str">
        <f>IFERROR(INDEX('PC LIST'!N$3:N$631, MATCH($C26, 'PC LIST'!$B$3:$B$631, 0)),"")</f>
        <v>Community/partnerships</v>
      </c>
    </row>
    <row r="27" spans="1:36" s="308" customFormat="1" ht="30.2" customHeight="1">
      <c r="A27" s="74"/>
      <c r="B27" s="289">
        <f t="shared" si="3"/>
        <v>23</v>
      </c>
      <c r="C27" s="496" t="str">
        <f>IF($P$1="Select company","",IF((HLOOKUP((VLOOKUP($P$1,Lists!$B$4:$C$26,2,FALSE)),'PC list edited'!$A$2:$EJ$65,(B27+1),FALSE))=0,"",HLOOKUP((VLOOKUP($P$1,Lists!$B$4:$C$26,2,FALSE)),'PC list edited'!$A$2:$EJ$65,(B27+1),FALSE)))</f>
        <v>PR14YKYWSWW_SB4</v>
      </c>
      <c r="D27" s="495" t="str">
        <f>IF($P$1="Select company","",IF(C27 ="","",HLOOKUP(((VLOOKUP($P$1,Lists!$B$4:$C$26,2,FALSE))&amp;"PC"),'PC list edited'!$A$2:$EJ$65,(B27+1),FALSE)))</f>
        <v>SB4: Length of river improved (against WFD component measures) (note: PC is part of a total commitment at Appointee level - see also WC1)</v>
      </c>
      <c r="E27" s="314" t="str">
        <f>IF($P$1="Select company","",IF(C27 ="","",HLOOKUP(((VLOOKUP($P$1,Lists!$B$4:$C$26,2,FALSE))&amp;"unit"),'PC list edited'!$A$2:$EJ$65,(B27+1),FALSE)))</f>
        <v>nr</v>
      </c>
      <c r="F27" s="314" t="str">
        <f>IF($P$1="Select company","",IF(C27 ="","",HLOOKUP(((VLOOKUP($P$1,Lists!$B$4:$C$26,2,FALSE))&amp;"UnitDes"),'PC list edited'!$A$2:$EJ$65,(B27+1),FALSE)))</f>
        <v>Kilometres (km) of river improved (modelled length)</v>
      </c>
      <c r="G27" s="515">
        <f>IF($P$1="Select company","",IF(C27="","",HLOOKUP(((VLOOKUP($P$1,Lists!$B$4:$C$26,2,FALSE))&amp;"DP"),'PC list edited'!$A$2:$EJ$65,(B27+1),FALSE)))</f>
        <v>0</v>
      </c>
      <c r="H27" s="515">
        <f>IF($P$1="Select company","",IF(C27 = "","",HLOOKUP(((VLOOKUP($P$1,Lists!$B$4:$C$26,2,FALSE))&amp;"201819Actual"),'PC list edited'!$A$2:$EJ$65,(B27+1),FALSE)))</f>
        <v>0</v>
      </c>
      <c r="I27" s="550">
        <v>352</v>
      </c>
      <c r="J27" s="664" t="s">
        <v>2337</v>
      </c>
      <c r="K27" s="499" t="s">
        <v>2335</v>
      </c>
      <c r="L27" s="500"/>
      <c r="M27" s="499" t="s">
        <v>2339</v>
      </c>
      <c r="N27" s="500">
        <v>0</v>
      </c>
      <c r="O27" s="2945"/>
      <c r="P27" s="2946"/>
      <c r="Q27" s="126"/>
      <c r="R27" s="503">
        <f t="shared" si="4"/>
        <v>0</v>
      </c>
      <c r="S27" s="24">
        <f t="shared" si="1"/>
        <v>0</v>
      </c>
      <c r="T27" s="126"/>
      <c r="U27" s="119"/>
      <c r="V27" s="93">
        <f t="shared" si="2"/>
        <v>0</v>
      </c>
      <c r="W27" s="93">
        <f>IF($C27="",0,IF(ISBLANK(#REF!)=FALSE,0,1))</f>
        <v>0</v>
      </c>
      <c r="X27" s="93">
        <f t="shared" si="0"/>
        <v>0</v>
      </c>
      <c r="Y27" s="93">
        <f>IF(OR(ISBLANK(L27), L27=0), 0, IF(OR(K27=Lists!$F$11, K27=Lists!$F$13), 0, 1))</f>
        <v>0</v>
      </c>
      <c r="Z27" s="93">
        <f>IF(OR($C27="", AND(NOT(K27=Lists!$F$11), NOT(K27=Lists!$F$13))),0,IF(ISBLANK(L27)=FALSE,0,1))</f>
        <v>0</v>
      </c>
      <c r="AA27" s="93">
        <f>IF(OR(ISBLANK(N27), N27=0), 0, IF(OR(M27=Lists!$F$11, M27=Lists!$F$13), 0, 1))</f>
        <v>0</v>
      </c>
      <c r="AB27" s="93">
        <f>IF(OR($C27="", AND(NOT(M27=Lists!$F$11), NOT(M27=Lists!$F$13))),0,IF(ISBLANK(N27)=FALSE,0,1))</f>
        <v>0</v>
      </c>
      <c r="AC27" s="93">
        <f>IF(OR(ISBLANK(P27), P27=0), 0, IF(OR(O27=Lists!$F$11, O27=Lists!$F$13), 0, 1))</f>
        <v>0</v>
      </c>
      <c r="AD27" s="93">
        <f>IF(OR($C27="", AND(NOT(O27=Lists!$F$11), NOT(O27=Lists!$F$13))),0,IF(ISBLANK(P27)=FALSE,0,1))</f>
        <v>0</v>
      </c>
      <c r="AE27" s="119"/>
      <c r="AF27" s="505">
        <f xml:space="preserve"> IF(OR( AND( K27 = Lists!$F$11, '3A'!L27 &lt; 0), AND( '3A'!M27 = Lists!$F$11, '3A'!N27 &lt; 0), AND( '3A'!O27 = Lists!$F$11, '3A'!P27 &lt; 0)), 1, 0)</f>
        <v>0</v>
      </c>
      <c r="AG27" s="505">
        <f xml:space="preserve"> IF( OR( AND( K27 = Lists!$F$13, '3A'!L27 &gt; 0), AND( M27 = Lists!$F$13, '3A'!N27 &gt; 0), AND( O27 = Lists!$F$13, '3A'!P27 &gt; 0 )), 1, 0)</f>
        <v>0</v>
      </c>
      <c r="AH27" s="507"/>
      <c r="AI27" s="666" t="str">
        <f>IF($P$1="Select company","",IF((HLOOKUP(((VLOOKUP($P$1,Lists!$B$4:$C$26,2,FALSE))&amp;'PC LIST'!$J$2),'PC list edited'!$A$2:$EJ$65,(B27+1),FALSE))=0,"",HLOOKUP(((VLOOKUP($P$1,Lists!$B$4:$C$26,2,FALSE))&amp; 'PC LIST'!$J$2),'PC list edited'!$A$2:$EJ$65,(B27+1),FALSE)))</f>
        <v>Out &amp; under</v>
      </c>
      <c r="AJ27" s="2239" t="str">
        <f>IFERROR(INDEX('PC LIST'!N$3:N$631, MATCH($C27, 'PC LIST'!$B$3:$B$631, 0)),"")</f>
        <v>Environmental</v>
      </c>
    </row>
    <row r="28" spans="1:36" s="308" customFormat="1" ht="30.2" customHeight="1">
      <c r="A28" s="74"/>
      <c r="B28" s="289">
        <f t="shared" si="3"/>
        <v>24</v>
      </c>
      <c r="C28" s="496" t="str">
        <f>IF($P$1="Select company","",IF((HLOOKUP((VLOOKUP($P$1,Lists!$B$4:$C$26,2,FALSE)),'PC list edited'!$A$2:$EJ$65,(B28+1),FALSE))=0,"",HLOOKUP((VLOOKUP($P$1,Lists!$B$4:$C$26,2,FALSE)),'PC list edited'!$A$2:$EJ$65,(B28+1),FALSE)))</f>
        <v>PR14YKYWSWW_SB5</v>
      </c>
      <c r="D28" s="495" t="str">
        <f>IF($P$1="Select company","",IF(C28 ="","",HLOOKUP(((VLOOKUP($P$1,Lists!$B$4:$C$26,2,FALSE))&amp;"PC"),'PC list edited'!$A$2:$EJ$65,(B28+1),FALSE)))</f>
        <v>SB5: Amount of land conserved and enhanced (total cumulative area) (note: PC is part of a total commitment at Appointee level - see also WC3)</v>
      </c>
      <c r="E28" s="314" t="str">
        <f>IF($P$1="Select company","",IF(C28 ="","",HLOOKUP(((VLOOKUP($P$1,Lists!$B$4:$C$26,2,FALSE))&amp;"unit"),'PC list edited'!$A$2:$EJ$65,(B28+1),FALSE)))</f>
        <v>nr</v>
      </c>
      <c r="F28" s="314" t="str">
        <f>IF($P$1="Select company","",IF(C28 ="","",HLOOKUP(((VLOOKUP($P$1,Lists!$B$4:$C$26,2,FALSE))&amp;"UnitDes"),'PC list edited'!$A$2:$EJ$65,(B28+1),FALSE)))</f>
        <v>No. of hectares of land conserved &amp; enhanced (cumulative)</v>
      </c>
      <c r="G28" s="515">
        <f>IF($P$1="Select company","",IF(C28="","",HLOOKUP(((VLOOKUP($P$1,Lists!$B$4:$C$26,2,FALSE))&amp;"DP"),'PC list edited'!$A$2:$EJ$65,(B28+1),FALSE)))</f>
        <v>0</v>
      </c>
      <c r="H28" s="515">
        <f>IF($P$1="Select company","",IF(C28 = "","",HLOOKUP(((VLOOKUP($P$1,Lists!$B$4:$C$26,2,FALSE))&amp;"201819Actual"),'PC list edited'!$A$2:$EJ$65,(B28+1),FALSE)))</f>
        <v>11524</v>
      </c>
      <c r="I28" s="550">
        <v>11806</v>
      </c>
      <c r="J28" s="664" t="s">
        <v>2337</v>
      </c>
      <c r="K28" s="499" t="s">
        <v>2335</v>
      </c>
      <c r="L28" s="500"/>
      <c r="M28" s="499" t="s">
        <v>2340</v>
      </c>
      <c r="N28" s="500">
        <v>0</v>
      </c>
      <c r="O28" s="2945"/>
      <c r="P28" s="2946"/>
      <c r="Q28" s="126"/>
      <c r="R28" s="503">
        <f t="shared" si="4"/>
        <v>0</v>
      </c>
      <c r="S28" s="24">
        <f t="shared" si="1"/>
        <v>0</v>
      </c>
      <c r="T28" s="126"/>
      <c r="U28" s="119"/>
      <c r="V28" s="93">
        <f t="shared" si="2"/>
        <v>0</v>
      </c>
      <c r="W28" s="93">
        <f>IF($C28="",0,IF(ISBLANK(#REF!)=FALSE,0,1))</f>
        <v>0</v>
      </c>
      <c r="X28" s="93">
        <f t="shared" si="0"/>
        <v>0</v>
      </c>
      <c r="Y28" s="93">
        <f>IF(OR(ISBLANK(L28), L28=0), 0, IF(OR(K28=Lists!$F$11, K28=Lists!$F$13), 0, 1))</f>
        <v>0</v>
      </c>
      <c r="Z28" s="93">
        <f>IF(OR($C28="", AND(NOT(K28=Lists!$F$11), NOT(K28=Lists!$F$13))),0,IF(ISBLANK(L28)=FALSE,0,1))</f>
        <v>0</v>
      </c>
      <c r="AA28" s="93">
        <f>IF(OR(ISBLANK(N28), N28=0), 0, IF(OR(M28=Lists!$F$11, M28=Lists!$F$13), 0, 1))</f>
        <v>0</v>
      </c>
      <c r="AB28" s="93">
        <f>IF(OR($C28="", AND(NOT(M28=Lists!$F$11), NOT(M28=Lists!$F$13))),0,IF(ISBLANK(N28)=FALSE,0,1))</f>
        <v>0</v>
      </c>
      <c r="AC28" s="93">
        <f>IF(OR(ISBLANK(P28), P28=0), 0, IF(OR(O28=Lists!$F$11, O28=Lists!$F$13), 0, 1))</f>
        <v>0</v>
      </c>
      <c r="AD28" s="93">
        <f>IF(OR($C28="", AND(NOT(O28=Lists!$F$11), NOT(O28=Lists!$F$13))),0,IF(ISBLANK(P28)=FALSE,0,1))</f>
        <v>0</v>
      </c>
      <c r="AE28" s="119"/>
      <c r="AF28" s="505">
        <f xml:space="preserve"> IF(OR( AND( K28 = Lists!$F$11, '3A'!L28 &lt; 0), AND( '3A'!M28 = Lists!$F$11, '3A'!N28 &lt; 0), AND( '3A'!O28 = Lists!$F$11, '3A'!P28 &lt; 0)), 1, 0)</f>
        <v>0</v>
      </c>
      <c r="AG28" s="505">
        <f xml:space="preserve"> IF( OR( AND( K28 = Lists!$F$13, '3A'!L28 &gt; 0), AND( M28 = Lists!$F$13, '3A'!N28 &gt; 0), AND( O28 = Lists!$F$13, '3A'!P28 &gt; 0 )), 1, 0)</f>
        <v>0</v>
      </c>
      <c r="AH28" s="507"/>
      <c r="AI28" s="666" t="str">
        <f>IF($P$1="Select company","",IF((HLOOKUP(((VLOOKUP($P$1,Lists!$B$4:$C$26,2,FALSE))&amp;'PC LIST'!$J$2),'PC list edited'!$A$2:$EJ$65,(B28+1),FALSE))=0,"",HLOOKUP(((VLOOKUP($P$1,Lists!$B$4:$C$26,2,FALSE))&amp; 'PC LIST'!$J$2),'PC list edited'!$A$2:$EJ$65,(B28+1),FALSE)))</f>
        <v>Out &amp; under</v>
      </c>
      <c r="AJ28" s="2239" t="str">
        <f>IFERROR(INDEX('PC LIST'!N$3:N$631, MATCH($C28, 'PC LIST'!$B$3:$B$631, 0)),"")</f>
        <v>Biodiversity/SSSIs</v>
      </c>
    </row>
    <row r="29" spans="1:36" s="308" customFormat="1" ht="30.2" customHeight="1">
      <c r="A29" s="74"/>
      <c r="B29" s="289">
        <f t="shared" si="3"/>
        <v>25</v>
      </c>
      <c r="C29" s="496" t="str">
        <f>IF($P$1="Select company","",IF((HLOOKUP((VLOOKUP($P$1,Lists!$B$4:$C$26,2,FALSE)),'PC list edited'!$A$2:$EJ$65,(B29+1),FALSE))=0,"",HLOOKUP((VLOOKUP($P$1,Lists!$B$4:$C$26,2,FALSE)),'PC list edited'!$A$2:$EJ$65,(B29+1),FALSE)))</f>
        <v>PR14YKYWSWW_SC1</v>
      </c>
      <c r="D29" s="495" t="str">
        <f>IF($P$1="Select company","",IF(C29 ="","",HLOOKUP(((VLOOKUP($P$1,Lists!$B$4:$C$26,2,FALSE))&amp;"PC"),'PC list edited'!$A$2:$EJ$65,(B29+1),FALSE)))</f>
        <v>SC1: Proportion of energy use generated by renewable technology (note: PC is part of a total commitment at Appointee level - see also WD1 and RC1)</v>
      </c>
      <c r="E29" s="314" t="str">
        <f>IF($P$1="Select company","",IF(C29 ="","",HLOOKUP(((VLOOKUP($P$1,Lists!$B$4:$C$26,2,FALSE))&amp;"unit"),'PC list edited'!$A$2:$EJ$65,(B29+1),FALSE)))</f>
        <v>%</v>
      </c>
      <c r="F29" s="314" t="str">
        <f>IF($P$1="Select company","",IF(C29 ="","",HLOOKUP(((VLOOKUP($P$1,Lists!$B$4:$C$26,2,FALSE))&amp;"UnitDes"),'PC list edited'!$A$2:$EJ$65,(B29+1),FALSE)))</f>
        <v>% of energy use generated by renewable technology</v>
      </c>
      <c r="G29" s="515">
        <f>IF($P$1="Select company","",IF(C29="","",HLOOKUP(((VLOOKUP($P$1,Lists!$B$4:$C$26,2,FALSE))&amp;"DP"),'PC list edited'!$A$2:$EJ$65,(B29+1),FALSE)))</f>
        <v>0</v>
      </c>
      <c r="H29" s="515">
        <f>IF($P$1="Select company","",IF(C29 = "","",HLOOKUP(((VLOOKUP($P$1,Lists!$B$4:$C$26,2,FALSE))&amp;"201819Actual"),'PC list edited'!$A$2:$EJ$65,(B29+1),FALSE)))</f>
        <v>11</v>
      </c>
      <c r="I29" s="550">
        <v>15</v>
      </c>
      <c r="J29" s="664" t="s">
        <v>2337</v>
      </c>
      <c r="K29" s="499"/>
      <c r="L29" s="500"/>
      <c r="M29" s="499"/>
      <c r="N29" s="500"/>
      <c r="O29" s="2945"/>
      <c r="P29" s="2946"/>
      <c r="Q29" s="126"/>
      <c r="R29" s="503">
        <f t="shared" si="4"/>
        <v>0</v>
      </c>
      <c r="S29" s="24">
        <f t="shared" si="1"/>
        <v>0</v>
      </c>
      <c r="T29" s="126"/>
      <c r="U29" s="119"/>
      <c r="V29" s="93">
        <f t="shared" si="2"/>
        <v>0</v>
      </c>
      <c r="W29" s="93">
        <f>IF($C29="",0,IF(ISBLANK(#REF!)=FALSE,0,1))</f>
        <v>0</v>
      </c>
      <c r="X29" s="93">
        <f t="shared" si="0"/>
        <v>0</v>
      </c>
      <c r="Y29" s="93">
        <f>IF(OR(ISBLANK(L29), L29=0), 0, IF(OR(K29=Lists!$F$11, K29=Lists!$F$13), 0, 1))</f>
        <v>0</v>
      </c>
      <c r="Z29" s="93">
        <f>IF(OR($C29="", AND(NOT(K29=Lists!$F$11), NOT(K29=Lists!$F$13))),0,IF(ISBLANK(L29)=FALSE,0,1))</f>
        <v>0</v>
      </c>
      <c r="AA29" s="93">
        <f>IF(OR(ISBLANK(N29), N29=0), 0, IF(OR(M29=Lists!$F$11, M29=Lists!$F$13), 0, 1))</f>
        <v>0</v>
      </c>
      <c r="AB29" s="93">
        <f>IF(OR($C29="", AND(NOT(M29=Lists!$F$11), NOT(M29=Lists!$F$13))),0,IF(ISBLANK(N29)=FALSE,0,1))</f>
        <v>0</v>
      </c>
      <c r="AC29" s="93">
        <f>IF(OR(ISBLANK(P29), P29=0), 0, IF(OR(O29=Lists!$F$11, O29=Lists!$F$13), 0, 1))</f>
        <v>0</v>
      </c>
      <c r="AD29" s="93">
        <f>IF(OR($C29="", AND(NOT(O29=Lists!$F$11), NOT(O29=Lists!$F$13))),0,IF(ISBLANK(P29)=FALSE,0,1))</f>
        <v>0</v>
      </c>
      <c r="AE29" s="119"/>
      <c r="AF29" s="505">
        <f xml:space="preserve"> IF(OR( AND( K29 = Lists!$F$11, '3A'!L29 &lt; 0), AND( '3A'!M29 = Lists!$F$11, '3A'!N29 &lt; 0), AND( '3A'!O29 = Lists!$F$11, '3A'!P29 &lt; 0)), 1, 0)</f>
        <v>0</v>
      </c>
      <c r="AG29" s="505">
        <f xml:space="preserve"> IF( OR( AND( K29 = Lists!$F$13, '3A'!L29 &gt; 0), AND( M29 = Lists!$F$13, '3A'!N29 &gt; 0), AND( O29 = Lists!$F$13, '3A'!P29 &gt; 0 )), 1, 0)</f>
        <v>0</v>
      </c>
      <c r="AH29" s="507"/>
      <c r="AI29" s="666" t="str">
        <f>IF($P$1="Select company","",IF((HLOOKUP(((VLOOKUP($P$1,Lists!$B$4:$C$26,2,FALSE))&amp;'PC LIST'!$J$2),'PC list edited'!$A$2:$EJ$65,(B29+1),FALSE))=0,"",HLOOKUP(((VLOOKUP($P$1,Lists!$B$4:$C$26,2,FALSE))&amp; 'PC LIST'!$J$2),'PC list edited'!$A$2:$EJ$65,(B29+1),FALSE)))</f>
        <v>NFI</v>
      </c>
      <c r="AJ29" s="2239" t="str">
        <f>IFERROR(INDEX('PC LIST'!N$3:N$631, MATCH($C29, 'PC LIST'!$B$3:$B$631, 0)),"")</f>
        <v>Energy/emissions</v>
      </c>
    </row>
    <row r="30" spans="1:36" s="308" customFormat="1" ht="30.2" customHeight="1">
      <c r="A30" s="74"/>
      <c r="B30" s="289">
        <f t="shared" si="3"/>
        <v>26</v>
      </c>
      <c r="C30" s="496" t="str">
        <f>IF($P$1="Select company","",IF((HLOOKUP((VLOOKUP($P$1,Lists!$B$4:$C$26,2,FALSE)),'PC list edited'!$A$2:$EJ$65,(B30+1),FALSE))=0,"",HLOOKUP((VLOOKUP($P$1,Lists!$B$4:$C$26,2,FALSE)),'PC list edited'!$A$2:$EJ$65,(B30+1),FALSE)))</f>
        <v>PR14YKYWSWW_SC2</v>
      </c>
      <c r="D30" s="495" t="str">
        <f>IF($P$1="Select company","",IF(C30 ="","",HLOOKUP(((VLOOKUP($P$1,Lists!$B$4:$C$26,2,FALSE))&amp;"PC"),'PC list edited'!$A$2:$EJ$65,(B30+1),FALSE)))</f>
        <v>SC2: Proportion of waste diverted from landfill (re-used and recycled) (note: PC is part of a total commitment at Appointee level - see also WD2 and RC2)</v>
      </c>
      <c r="E30" s="314" t="str">
        <f>IF($P$1="Select company","",IF(C30 ="","",HLOOKUP(((VLOOKUP($P$1,Lists!$B$4:$C$26,2,FALSE))&amp;"unit"),'PC list edited'!$A$2:$EJ$65,(B30+1),FALSE)))</f>
        <v>%</v>
      </c>
      <c r="F30" s="314" t="str">
        <f>IF($P$1="Select company","",IF(C30 ="","",HLOOKUP(((VLOOKUP($P$1,Lists!$B$4:$C$26,2,FALSE))&amp;"UnitDes"),'PC list edited'!$A$2:$EJ$65,(B30+1),FALSE)))</f>
        <v>% of waste diverted from landfill (re-used and recycled)</v>
      </c>
      <c r="G30" s="515">
        <f>IF($P$1="Select company","",IF(C30="","",HLOOKUP(((VLOOKUP($P$1,Lists!$B$4:$C$26,2,FALSE))&amp;"DP"),'PC list edited'!$A$2:$EJ$65,(B30+1),FALSE)))</f>
        <v>0</v>
      </c>
      <c r="H30" s="515">
        <f>IF($P$1="Select company","",IF(C30 = "","",HLOOKUP(((VLOOKUP($P$1,Lists!$B$4:$C$26,2,FALSE))&amp;"201819Actual"),'PC list edited'!$A$2:$EJ$65,(B30+1),FALSE)))</f>
        <v>100</v>
      </c>
      <c r="I30" s="550">
        <v>100</v>
      </c>
      <c r="J30" s="664" t="s">
        <v>2337</v>
      </c>
      <c r="K30" s="499"/>
      <c r="L30" s="500"/>
      <c r="M30" s="499"/>
      <c r="N30" s="500"/>
      <c r="O30" s="2945"/>
      <c r="P30" s="2946"/>
      <c r="Q30" s="126"/>
      <c r="R30" s="503">
        <f t="shared" si="4"/>
        <v>0</v>
      </c>
      <c r="S30" s="24">
        <f t="shared" si="1"/>
        <v>0</v>
      </c>
      <c r="T30" s="126"/>
      <c r="U30" s="119"/>
      <c r="V30" s="93">
        <f t="shared" si="2"/>
        <v>0</v>
      </c>
      <c r="W30" s="93">
        <f>IF($C30="",0,IF(ISBLANK(#REF!)=FALSE,0,1))</f>
        <v>0</v>
      </c>
      <c r="X30" s="93">
        <f t="shared" si="0"/>
        <v>0</v>
      </c>
      <c r="Y30" s="93">
        <f>IF(OR(ISBLANK(L30), L30=0), 0, IF(OR(K30=Lists!$F$11, K30=Lists!$F$13), 0, 1))</f>
        <v>0</v>
      </c>
      <c r="Z30" s="93">
        <f>IF(OR($C30="", AND(NOT(K30=Lists!$F$11), NOT(K30=Lists!$F$13))),0,IF(ISBLANK(L30)=FALSE,0,1))</f>
        <v>0</v>
      </c>
      <c r="AA30" s="93">
        <f>IF(OR(ISBLANK(N30), N30=0), 0, IF(OR(M30=Lists!$F$11, M30=Lists!$F$13), 0, 1))</f>
        <v>0</v>
      </c>
      <c r="AB30" s="93">
        <f>IF(OR($C30="", AND(NOT(M30=Lists!$F$11), NOT(M30=Lists!$F$13))),0,IF(ISBLANK(N30)=FALSE,0,1))</f>
        <v>0</v>
      </c>
      <c r="AC30" s="93">
        <f>IF(OR(ISBLANK(P30), P30=0), 0, IF(OR(O30=Lists!$F$11, O30=Lists!$F$13), 0, 1))</f>
        <v>0</v>
      </c>
      <c r="AD30" s="93">
        <f>IF(OR($C30="", AND(NOT(O30=Lists!$F$11), NOT(O30=Lists!$F$13))),0,IF(ISBLANK(P30)=FALSE,0,1))</f>
        <v>0</v>
      </c>
      <c r="AE30" s="119"/>
      <c r="AF30" s="505">
        <f xml:space="preserve"> IF(OR( AND( K30 = Lists!$F$11, '3A'!L30 &lt; 0), AND( '3A'!M30 = Lists!$F$11, '3A'!N30 &lt; 0), AND( '3A'!O30 = Lists!$F$11, '3A'!P30 &lt; 0)), 1, 0)</f>
        <v>0</v>
      </c>
      <c r="AG30" s="505">
        <f xml:space="preserve"> IF( OR( AND( K30 = Lists!$F$13, '3A'!L30 &gt; 0), AND( M30 = Lists!$F$13, '3A'!N30 &gt; 0), AND( O30 = Lists!$F$13, '3A'!P30 &gt; 0 )), 1, 0)</f>
        <v>0</v>
      </c>
      <c r="AH30" s="507"/>
      <c r="AI30" s="666" t="str">
        <f>IF($P$1="Select company","",IF((HLOOKUP(((VLOOKUP($P$1,Lists!$B$4:$C$26,2,FALSE))&amp;'PC LIST'!$J$2),'PC list edited'!$A$2:$EJ$65,(B30+1),FALSE))=0,"",HLOOKUP(((VLOOKUP($P$1,Lists!$B$4:$C$26,2,FALSE))&amp; 'PC LIST'!$J$2),'PC list edited'!$A$2:$EJ$65,(B30+1),FALSE)))</f>
        <v>NFI</v>
      </c>
      <c r="AJ30" s="2239" t="str">
        <f>IFERROR(INDEX('PC LIST'!N$3:N$631, MATCH($C30, 'PC LIST'!$B$3:$B$631, 0)),"")</f>
        <v>Waste disposal</v>
      </c>
    </row>
    <row r="31" spans="1:36" s="308" customFormat="1" ht="30.2" customHeight="1">
      <c r="A31" s="74"/>
      <c r="B31" s="289">
        <f t="shared" si="3"/>
        <v>27</v>
      </c>
      <c r="C31" s="496" t="str">
        <f>IF($P$1="Select company","",IF((HLOOKUP((VLOOKUP($P$1,Lists!$B$4:$C$26,2,FALSE)),'PC list edited'!$A$2:$EJ$65,(B31+1),FALSE))=0,"",HLOOKUP((VLOOKUP($P$1,Lists!$B$4:$C$26,2,FALSE)),'PC list edited'!$A$2:$EJ$65,(B31+1),FALSE)))</f>
        <v>PR14YKYHHR_RA1</v>
      </c>
      <c r="D31" s="495" t="str">
        <f>IF($P$1="Select company","",IF(C31 ="","",HLOOKUP(((VLOOKUP($P$1,Lists!$B$4:$C$26,2,FALSE))&amp;"PC"),'PC list edited'!$A$2:$EJ$65,(B31+1),FALSE)))</f>
        <v>RA1: Service incentive mechanism (SIM)</v>
      </c>
      <c r="E31" s="314" t="str">
        <f>IF($P$1="Select company","",IF(C31 ="","",HLOOKUP(((VLOOKUP($P$1,Lists!$B$4:$C$26,2,FALSE))&amp;"unit"),'PC list edited'!$A$2:$EJ$65,(B31+1),FALSE)))</f>
        <v>score</v>
      </c>
      <c r="F31" s="314" t="str">
        <f>IF($P$1="Select company","",IF(C31 ="","",HLOOKUP(((VLOOKUP($P$1,Lists!$B$4:$C$26,2,FALSE))&amp;"UnitDes"),'PC list edited'!$A$2:$EJ$65,(B31+1),FALSE)))</f>
        <v>Service incentive mechanism (SIM) score</v>
      </c>
      <c r="G31" s="515">
        <f>IF($P$1="Select company","",IF(C31="","",HLOOKUP(((VLOOKUP($P$1,Lists!$B$4:$C$26,2,FALSE))&amp;"DP"),'PC list edited'!$A$2:$EJ$65,(B31+1),FALSE)))</f>
        <v>1</v>
      </c>
      <c r="H31" s="515">
        <f>IF($P$1="Select company","",IF(C31 = "","",HLOOKUP(((VLOOKUP($P$1,Lists!$B$4:$C$26,2,FALSE))&amp;"201819Actual"),'PC list edited'!$A$2:$EJ$65,(B31+1),FALSE)))</f>
        <v>84</v>
      </c>
      <c r="I31" s="550">
        <v>83.2</v>
      </c>
      <c r="J31" s="664" t="s">
        <v>2334</v>
      </c>
      <c r="K31" s="499"/>
      <c r="L31" s="500"/>
      <c r="M31" s="499"/>
      <c r="N31" s="500"/>
      <c r="O31" s="2945"/>
      <c r="P31" s="2946"/>
      <c r="Q31" s="130"/>
      <c r="R31" s="503">
        <f t="shared" si="4"/>
        <v>0</v>
      </c>
      <c r="S31" s="24">
        <f t="shared" si="1"/>
        <v>0</v>
      </c>
      <c r="T31" s="126"/>
      <c r="U31" s="119"/>
      <c r="V31" s="93">
        <f t="shared" si="2"/>
        <v>0</v>
      </c>
      <c r="W31" s="93">
        <f>IF($C31="",0,IF(ISBLANK(#REF!)=FALSE,0,1))</f>
        <v>0</v>
      </c>
      <c r="X31" s="93">
        <f t="shared" si="0"/>
        <v>0</v>
      </c>
      <c r="Y31" s="93">
        <f>IF(OR(ISBLANK(L31), L31=0), 0, IF(OR(K31=Lists!$F$11, K31=Lists!$F$13), 0, 1))</f>
        <v>0</v>
      </c>
      <c r="Z31" s="93">
        <f>IF(OR($C31="", AND(NOT(K31=Lists!$F$11), NOT(K31=Lists!$F$13))),0,IF(ISBLANK(L31)=FALSE,0,1))</f>
        <v>0</v>
      </c>
      <c r="AA31" s="93">
        <f>IF(OR(ISBLANK(N31), N31=0), 0, IF(OR(M31=Lists!$F$11, M31=Lists!$F$13), 0, 1))</f>
        <v>0</v>
      </c>
      <c r="AB31" s="93">
        <f>IF(OR($C31="", AND(NOT(M31=Lists!$F$11), NOT(M31=Lists!$F$13))),0,IF(ISBLANK(N31)=FALSE,0,1))</f>
        <v>0</v>
      </c>
      <c r="AC31" s="93">
        <f>IF(OR(ISBLANK(P31), P31=0), 0, IF(OR(O31=Lists!$F$11, O31=Lists!$F$13), 0, 1))</f>
        <v>0</v>
      </c>
      <c r="AD31" s="93">
        <f>IF(OR($C31="", AND(NOT(O31=Lists!$F$11), NOT(O31=Lists!$F$13))),0,IF(ISBLANK(P31)=FALSE,0,1))</f>
        <v>0</v>
      </c>
      <c r="AE31" s="119"/>
      <c r="AF31" s="505">
        <f xml:space="preserve"> IF(OR( AND( K31 = Lists!$F$11, '3A'!L31 &lt; 0), AND( '3A'!M31 = Lists!$F$11, '3A'!N31 &lt; 0), AND( '3A'!O31 = Lists!$F$11, '3A'!P31 &lt; 0)), 1, 0)</f>
        <v>0</v>
      </c>
      <c r="AG31" s="505">
        <f xml:space="preserve"> IF( OR( AND( K31 = Lists!$F$13, '3A'!L31 &gt; 0), AND( M31 = Lists!$F$13, '3A'!N31 &gt; 0), AND( O31 = Lists!$F$13, '3A'!P31 &gt; 0 )), 1, 0)</f>
        <v>0</v>
      </c>
      <c r="AH31" s="507"/>
      <c r="AI31" s="666" t="str">
        <f>IF($P$1="Select company","",IF((HLOOKUP(((VLOOKUP($P$1,Lists!$B$4:$C$26,2,FALSE))&amp;'PC LIST'!$J$2),'PC list edited'!$A$2:$EJ$65,(B31+1),FALSE))=0,"",HLOOKUP(((VLOOKUP($P$1,Lists!$B$4:$C$26,2,FALSE))&amp; 'PC LIST'!$J$2),'PC list edited'!$A$2:$EJ$65,(B31+1),FALSE)))</f>
        <v>Out &amp; under</v>
      </c>
      <c r="AJ31" s="2239" t="str">
        <f>IFERROR(INDEX('PC LIST'!N$3:N$631, MATCH($C31, 'PC LIST'!$B$3:$B$631, 0)),"")</f>
        <v>SIM</v>
      </c>
    </row>
    <row r="32" spans="1:36" s="308" customFormat="1" ht="30.2" customHeight="1">
      <c r="A32" s="74"/>
      <c r="B32" s="289">
        <f t="shared" si="3"/>
        <v>28</v>
      </c>
      <c r="C32" s="496" t="str">
        <f>IF($P$1="Select company","",IF((HLOOKUP((VLOOKUP($P$1,Lists!$B$4:$C$26,2,FALSE)),'PC list edited'!$A$2:$EJ$65,(B32+1),FALSE))=0,"",HLOOKUP((VLOOKUP($P$1,Lists!$B$4:$C$26,2,FALSE)),'PC list edited'!$A$2:$EJ$65,(B32+1),FALSE)))</f>
        <v>PR14YKYHHR_RA2</v>
      </c>
      <c r="D32" s="495" t="str">
        <f>IF($P$1="Select company","",IF(C32 ="","",HLOOKUP(((VLOOKUP($P$1,Lists!$B$4:$C$26,2,FALSE))&amp;"PC"),'PC list edited'!$A$2:$EJ$65,(B32+1),FALSE)))</f>
        <v>RA2: Service commitment failures</v>
      </c>
      <c r="E32" s="314" t="str">
        <f>IF($P$1="Select company","",IF(C32 ="","",HLOOKUP(((VLOOKUP($P$1,Lists!$B$4:$C$26,2,FALSE))&amp;"unit"),'PC list edited'!$A$2:$EJ$65,(B32+1),FALSE)))</f>
        <v>nr</v>
      </c>
      <c r="F32" s="314" t="str">
        <f>IF($P$1="Select company","",IF(C32 ="","",HLOOKUP(((VLOOKUP($P$1,Lists!$B$4:$C$26,2,FALSE))&amp;"UnitDes"),'PC list edited'!$A$2:$EJ$65,(B32+1),FALSE)))</f>
        <v>No. of GSS (Guaranteed Standards of Service) events</v>
      </c>
      <c r="G32" s="515">
        <f>IF($P$1="Select company","",IF(C32="","",HLOOKUP(((VLOOKUP($P$1,Lists!$B$4:$C$26,2,FALSE))&amp;"DP"),'PC list edited'!$A$2:$EJ$65,(B32+1),FALSE)))</f>
        <v>0</v>
      </c>
      <c r="H32" s="515">
        <f>IF($P$1="Select company","",IF(C32 = "","",HLOOKUP(((VLOOKUP($P$1,Lists!$B$4:$C$26,2,FALSE))&amp;"201819Actual"),'PC list edited'!$A$2:$EJ$65,(B32+1),FALSE)))</f>
        <v>14221</v>
      </c>
      <c r="I32" s="550">
        <v>15140</v>
      </c>
      <c r="J32" s="664" t="s">
        <v>2337</v>
      </c>
      <c r="K32" s="499"/>
      <c r="L32" s="500"/>
      <c r="M32" s="499"/>
      <c r="N32" s="500"/>
      <c r="O32" s="2945"/>
      <c r="P32" s="2946"/>
      <c r="Q32" s="130"/>
      <c r="R32" s="503">
        <f t="shared" si="4"/>
        <v>0</v>
      </c>
      <c r="S32" s="24">
        <f t="shared" si="1"/>
        <v>0</v>
      </c>
      <c r="T32" s="126"/>
      <c r="U32" s="119"/>
      <c r="V32" s="93">
        <f t="shared" si="2"/>
        <v>0</v>
      </c>
      <c r="W32" s="93">
        <f>IF($C32="",0,IF(ISBLANK(#REF!)=FALSE,0,1))</f>
        <v>0</v>
      </c>
      <c r="X32" s="93">
        <f t="shared" si="0"/>
        <v>0</v>
      </c>
      <c r="Y32" s="93">
        <f>IF(OR(ISBLANK(L32), L32=0), 0, IF(OR(K32=Lists!$F$11, K32=Lists!$F$13), 0, 1))</f>
        <v>0</v>
      </c>
      <c r="Z32" s="93">
        <f>IF(OR($C32="", AND(NOT(K32=Lists!$F$11), NOT(K32=Lists!$F$13))),0,IF(ISBLANK(L32)=FALSE,0,1))</f>
        <v>0</v>
      </c>
      <c r="AA32" s="93">
        <f>IF(OR(ISBLANK(N32), N32=0), 0, IF(OR(M32=Lists!$F$11, M32=Lists!$F$13), 0, 1))</f>
        <v>0</v>
      </c>
      <c r="AB32" s="93">
        <f>IF(OR($C32="", AND(NOT(M32=Lists!$F$11), NOT(M32=Lists!$F$13))),0,IF(ISBLANK(N32)=FALSE,0,1))</f>
        <v>0</v>
      </c>
      <c r="AC32" s="93">
        <f>IF(OR(ISBLANK(P32), P32=0), 0, IF(OR(O32=Lists!$F$11, O32=Lists!$F$13), 0, 1))</f>
        <v>0</v>
      </c>
      <c r="AD32" s="93">
        <f>IF(OR($C32="", AND(NOT(O32=Lists!$F$11), NOT(O32=Lists!$F$13))),0,IF(ISBLANK(P32)=FALSE,0,1))</f>
        <v>0</v>
      </c>
      <c r="AE32" s="119"/>
      <c r="AF32" s="505">
        <f xml:space="preserve"> IF(OR( AND( K32 = Lists!$F$11, '3A'!L32 &lt; 0), AND( '3A'!M32 = Lists!$F$11, '3A'!N32 &lt; 0), AND( '3A'!O32 = Lists!$F$11, '3A'!P32 &lt; 0)), 1, 0)</f>
        <v>0</v>
      </c>
      <c r="AG32" s="505">
        <f xml:space="preserve"> IF( OR( AND( K32 = Lists!$F$13, '3A'!L32 &gt; 0), AND( M32 = Lists!$F$13, '3A'!N32 &gt; 0), AND( O32 = Lists!$F$13, '3A'!P32 &gt; 0 )), 1, 0)</f>
        <v>0</v>
      </c>
      <c r="AH32" s="507"/>
      <c r="AI32" s="666" t="str">
        <f>IF($P$1="Select company","",IF((HLOOKUP(((VLOOKUP($P$1,Lists!$B$4:$C$26,2,FALSE))&amp;'PC LIST'!$J$2),'PC list edited'!$A$2:$EJ$65,(B32+1),FALSE))=0,"",HLOOKUP(((VLOOKUP($P$1,Lists!$B$4:$C$26,2,FALSE))&amp; 'PC LIST'!$J$2),'PC list edited'!$A$2:$EJ$65,(B32+1),FALSE)))</f>
        <v>NFI</v>
      </c>
      <c r="AJ32" s="2239" t="str">
        <f>IFERROR(INDEX('PC LIST'!N$3:N$631, MATCH($C32, 'PC LIST'!$B$3:$B$631, 0)),"")</f>
        <v>Customer satisfaction (exc. bills)</v>
      </c>
    </row>
    <row r="33" spans="1:36" s="308" customFormat="1" ht="30.2" customHeight="1">
      <c r="A33" s="74"/>
      <c r="B33" s="289">
        <f t="shared" si="3"/>
        <v>29</v>
      </c>
      <c r="C33" s="496" t="str">
        <f>IF($P$1="Select company","",IF((HLOOKUP((VLOOKUP($P$1,Lists!$B$4:$C$26,2,FALSE)),'PC list edited'!$A$2:$EJ$65,(B33+1),FALSE))=0,"",HLOOKUP((VLOOKUP($P$1,Lists!$B$4:$C$26,2,FALSE)),'PC list edited'!$A$2:$EJ$65,(B33+1),FALSE)))</f>
        <v>PR14YKYHHR_RA3</v>
      </c>
      <c r="D33" s="495" t="str">
        <f>IF($P$1="Select company","",IF(C33 ="","",HLOOKUP(((VLOOKUP($P$1,Lists!$B$4:$C$26,2,FALSE))&amp;"PC"),'PC list edited'!$A$2:$EJ$65,(B33+1),FALSE)))</f>
        <v>RA3: Overall customer satisfaction (CCWater annual tracking survey)</v>
      </c>
      <c r="E33" s="314" t="str">
        <f>IF($P$1="Select company","",IF(C33 ="","",HLOOKUP(((VLOOKUP($P$1,Lists!$B$4:$C$26,2,FALSE))&amp;"unit"),'PC list edited'!$A$2:$EJ$65,(B33+1),FALSE)))</f>
        <v>%</v>
      </c>
      <c r="F33" s="314" t="str">
        <f>IF($P$1="Select company","",IF(C33 ="","",HLOOKUP(((VLOOKUP($P$1,Lists!$B$4:$C$26,2,FALSE))&amp;"UnitDes"),'PC list edited'!$A$2:$EJ$65,(B33+1),FALSE)))</f>
        <v>% overall customer satisfaction (CCWater tracking survey)</v>
      </c>
      <c r="G33" s="515">
        <f>IF($P$1="Select company","",IF(C33="","",HLOOKUP(((VLOOKUP($P$1,Lists!$B$4:$C$26,2,FALSE))&amp;"DP"),'PC list edited'!$A$2:$EJ$65,(B33+1),FALSE)))</f>
        <v>0</v>
      </c>
      <c r="H33" s="515" t="str">
        <f>IF($P$1="Select company","",IF(C33 = "","",HLOOKUP(((VLOOKUP($P$1,Lists!$B$4:$C$26,2,FALSE))&amp;"201819Actual"),'PC list edited'!$A$2:$EJ$65,(B33+1),FALSE)))</f>
        <v>95% (water), 88% (wastewater)</v>
      </c>
      <c r="I33" s="550" t="s">
        <v>2342</v>
      </c>
      <c r="J33" s="664" t="s">
        <v>2337</v>
      </c>
      <c r="K33" s="499"/>
      <c r="L33" s="500"/>
      <c r="M33" s="499"/>
      <c r="N33" s="500"/>
      <c r="O33" s="2945"/>
      <c r="P33" s="2946"/>
      <c r="Q33" s="130"/>
      <c r="R33" s="503">
        <f t="shared" si="4"/>
        <v>0</v>
      </c>
      <c r="S33" s="24">
        <f t="shared" si="1"/>
        <v>0</v>
      </c>
      <c r="T33" s="118"/>
      <c r="U33" s="124"/>
      <c r="V33" s="93">
        <f t="shared" si="2"/>
        <v>0</v>
      </c>
      <c r="W33" s="93">
        <f>IF($C33="",0,IF(ISBLANK(#REF!)=FALSE,0,1))</f>
        <v>0</v>
      </c>
      <c r="X33" s="93">
        <f t="shared" si="0"/>
        <v>0</v>
      </c>
      <c r="Y33" s="93">
        <f>IF(OR(ISBLANK(L33), L33=0), 0, IF(OR(K33=Lists!$F$11, K33=Lists!$F$13), 0, 1))</f>
        <v>0</v>
      </c>
      <c r="Z33" s="93">
        <f>IF(OR($C33="", AND(NOT(K33=Lists!$F$11), NOT(K33=Lists!$F$13))),0,IF(ISBLANK(L33)=FALSE,0,1))</f>
        <v>0</v>
      </c>
      <c r="AA33" s="93">
        <f>IF(OR(ISBLANK(N33), N33=0), 0, IF(OR(M33=Lists!$F$11, M33=Lists!$F$13), 0, 1))</f>
        <v>0</v>
      </c>
      <c r="AB33" s="93">
        <f>IF(OR($C33="", AND(NOT(M33=Lists!$F$11), NOT(M33=Lists!$F$13))),0,IF(ISBLANK(N33)=FALSE,0,1))</f>
        <v>0</v>
      </c>
      <c r="AC33" s="93">
        <f>IF(OR(ISBLANK(P33), P33=0), 0, IF(OR(O33=Lists!$F$11, O33=Lists!$F$13), 0, 1))</f>
        <v>0</v>
      </c>
      <c r="AD33" s="93">
        <f>IF(OR($C33="", AND(NOT(O33=Lists!$F$11), NOT(O33=Lists!$F$13))),0,IF(ISBLANK(P33)=FALSE,0,1))</f>
        <v>0</v>
      </c>
      <c r="AE33" s="124"/>
      <c r="AF33" s="505">
        <f xml:space="preserve"> IF(OR( AND( K33 = Lists!$F$11, '3A'!L33 &lt; 0), AND( '3A'!M33 = Lists!$F$11, '3A'!N33 &lt; 0), AND( '3A'!O33 = Lists!$F$11, '3A'!P33 &lt; 0)), 1, 0)</f>
        <v>0</v>
      </c>
      <c r="AG33" s="505">
        <f xml:space="preserve"> IF( OR( AND( K33 = Lists!$F$13, '3A'!L33 &gt; 0), AND( M33 = Lists!$F$13, '3A'!N33 &gt; 0), AND( O33 = Lists!$F$13, '3A'!P33 &gt; 0 )), 1, 0)</f>
        <v>0</v>
      </c>
      <c r="AH33" s="507"/>
      <c r="AI33" s="666" t="str">
        <f>IF($P$1="Select company","",IF((HLOOKUP(((VLOOKUP($P$1,Lists!$B$4:$C$26,2,FALSE))&amp;'PC LIST'!$J$2),'PC list edited'!$A$2:$EJ$65,(B33+1),FALSE))=0,"",HLOOKUP(((VLOOKUP($P$1,Lists!$B$4:$C$26,2,FALSE))&amp; 'PC LIST'!$J$2),'PC list edited'!$A$2:$EJ$65,(B33+1),FALSE)))</f>
        <v>NFI</v>
      </c>
      <c r="AJ33" s="2239" t="str">
        <f>IFERROR(INDEX('PC LIST'!N$3:N$631, MATCH($C33, 'PC LIST'!$B$3:$B$631, 0)),"")</f>
        <v>Customer satisfaction (exc. bills)</v>
      </c>
    </row>
    <row r="34" spans="1:36" s="308" customFormat="1" ht="30.2" customHeight="1">
      <c r="A34" s="74"/>
      <c r="B34" s="289">
        <f t="shared" si="3"/>
        <v>30</v>
      </c>
      <c r="C34" s="496" t="str">
        <f>IF($P$1="Select company","",IF((HLOOKUP((VLOOKUP($P$1,Lists!$B$4:$C$26,2,FALSE)),'PC list edited'!$A$2:$EJ$65,(B34+1),FALSE))=0,"",HLOOKUP((VLOOKUP($P$1,Lists!$B$4:$C$26,2,FALSE)),'PC list edited'!$A$2:$EJ$65,(B34+1),FALSE)))</f>
        <v>PR14YKYHHR_RB1</v>
      </c>
      <c r="D34" s="495" t="str">
        <f>IF($P$1="Select company","",IF(C34 ="","",HLOOKUP(((VLOOKUP($P$1,Lists!$B$4:$C$26,2,FALSE))&amp;"PC"),'PC list edited'!$A$2:$EJ$65,(B34+1),FALSE)))</f>
        <v>RB1: Cost of bad debt to customers (expressed as proportion of bill)</v>
      </c>
      <c r="E34" s="314" t="str">
        <f>IF($P$1="Select company","",IF(C34 ="","",HLOOKUP(((VLOOKUP($P$1,Lists!$B$4:$C$26,2,FALSE))&amp;"unit"),'PC list edited'!$A$2:$EJ$65,(B34+1),FALSE)))</f>
        <v>%</v>
      </c>
      <c r="F34" s="314" t="str">
        <f>IF($P$1="Select company","",IF(C34 ="","",HLOOKUP(((VLOOKUP($P$1,Lists!$B$4:$C$26,2,FALSE))&amp;"UnitDes"),'PC list edited'!$A$2:$EJ$65,(B34+1),FALSE)))</f>
        <v>Cost of bad debt as % of average annual bill</v>
      </c>
      <c r="G34" s="515">
        <f>IF($P$1="Select company","",IF(C34="","",HLOOKUP(((VLOOKUP($P$1,Lists!$B$4:$C$26,2,FALSE))&amp;"DP"),'PC list edited'!$A$2:$EJ$65,(B34+1),FALSE)))</f>
        <v>2</v>
      </c>
      <c r="H34" s="515">
        <f>IF($P$1="Select company","",IF(C34 = "","",HLOOKUP(((VLOOKUP($P$1,Lists!$B$4:$C$26,2,FALSE))&amp;"201819Actual"),'PC list edited'!$A$2:$EJ$65,(B34+1),FALSE)))</f>
        <v>3.02</v>
      </c>
      <c r="I34" s="550">
        <v>3.06</v>
      </c>
      <c r="J34" s="664" t="s">
        <v>2337</v>
      </c>
      <c r="K34" s="499"/>
      <c r="L34" s="500"/>
      <c r="M34" s="499"/>
      <c r="N34" s="500"/>
      <c r="O34" s="2945"/>
      <c r="P34" s="2946"/>
      <c r="Q34" s="130"/>
      <c r="R34" s="503">
        <f t="shared" si="4"/>
        <v>0</v>
      </c>
      <c r="S34" s="24">
        <f t="shared" si="1"/>
        <v>0</v>
      </c>
      <c r="T34" s="118"/>
      <c r="U34" s="124"/>
      <c r="V34" s="93">
        <f t="shared" si="2"/>
        <v>0</v>
      </c>
      <c r="W34" s="93">
        <f>IF($C34="",0,IF(ISBLANK(#REF!)=FALSE,0,1))</f>
        <v>0</v>
      </c>
      <c r="X34" s="93">
        <f t="shared" si="0"/>
        <v>0</v>
      </c>
      <c r="Y34" s="93">
        <f>IF(OR(ISBLANK(L34), L34=0), 0, IF(OR(K34=Lists!$F$11, K34=Lists!$F$13), 0, 1))</f>
        <v>0</v>
      </c>
      <c r="Z34" s="93">
        <f>IF(OR($C34="", AND(NOT(K34=Lists!$F$11), NOT(K34=Lists!$F$13))),0,IF(ISBLANK(L34)=FALSE,0,1))</f>
        <v>0</v>
      </c>
      <c r="AA34" s="93">
        <f>IF(OR(ISBLANK(N34), N34=0), 0, IF(OR(M34=Lists!$F$11, M34=Lists!$F$13), 0, 1))</f>
        <v>0</v>
      </c>
      <c r="AB34" s="93">
        <f>IF(OR($C34="", AND(NOT(M34=Lists!$F$11), NOT(M34=Lists!$F$13))),0,IF(ISBLANK(N34)=FALSE,0,1))</f>
        <v>0</v>
      </c>
      <c r="AC34" s="93">
        <f>IF(OR(ISBLANK(P34), P34=0), 0, IF(OR(O34=Lists!$F$11, O34=Lists!$F$13), 0, 1))</f>
        <v>0</v>
      </c>
      <c r="AD34" s="93">
        <f>IF(OR($C34="", AND(NOT(O34=Lists!$F$11), NOT(O34=Lists!$F$13))),0,IF(ISBLANK(P34)=FALSE,0,1))</f>
        <v>0</v>
      </c>
      <c r="AE34" s="124"/>
      <c r="AF34" s="505">
        <f xml:space="preserve"> IF(OR( AND( K34 = Lists!$F$11, '3A'!L34 &lt; 0), AND( '3A'!M34 = Lists!$F$11, '3A'!N34 &lt; 0), AND( '3A'!O34 = Lists!$F$11, '3A'!P34 &lt; 0)), 1, 0)</f>
        <v>0</v>
      </c>
      <c r="AG34" s="505">
        <f xml:space="preserve"> IF( OR( AND( K34 = Lists!$F$13, '3A'!L34 &gt; 0), AND( M34 = Lists!$F$13, '3A'!N34 &gt; 0), AND( O34 = Lists!$F$13, '3A'!P34 &gt; 0 )), 1, 0)</f>
        <v>0</v>
      </c>
      <c r="AH34" s="507"/>
      <c r="AI34" s="666" t="str">
        <f>IF($P$1="Select company","",IF((HLOOKUP(((VLOOKUP($P$1,Lists!$B$4:$C$26,2,FALSE))&amp;'PC LIST'!$J$2),'PC list edited'!$A$2:$EJ$65,(B34+1),FALSE))=0,"",HLOOKUP(((VLOOKUP($P$1,Lists!$B$4:$C$26,2,FALSE))&amp; 'PC LIST'!$J$2),'PC list edited'!$A$2:$EJ$65,(B34+1),FALSE)))</f>
        <v>NFI</v>
      </c>
      <c r="AJ34" s="2239" t="str">
        <f>IFERROR(INDEX('PC LIST'!N$3:N$631, MATCH($C34, 'PC LIST'!$B$3:$B$631, 0)),"")</f>
        <v>Billing, debt, vfm, affordability</v>
      </c>
    </row>
    <row r="35" spans="1:36" s="308" customFormat="1" ht="30.2" customHeight="1">
      <c r="A35" s="74"/>
      <c r="B35" s="289">
        <f t="shared" si="3"/>
        <v>31</v>
      </c>
      <c r="C35" s="496" t="str">
        <f>IF($P$1="Select company","",IF((HLOOKUP((VLOOKUP($P$1,Lists!$B$4:$C$26,2,FALSE)),'PC list edited'!$A$2:$EJ$65,(B35+1),FALSE))=0,"",HLOOKUP((VLOOKUP($P$1,Lists!$B$4:$C$26,2,FALSE)),'PC list edited'!$A$2:$EJ$65,(B35+1),FALSE)))</f>
        <v>PR14YKYHHR_RB2</v>
      </c>
      <c r="D35" s="495" t="str">
        <f>IF($P$1="Select company","",IF(C35 ="","",HLOOKUP(((VLOOKUP($P$1,Lists!$B$4:$C$26,2,FALSE))&amp;"PC"),'PC list edited'!$A$2:$EJ$65,(B35+1),FALSE)))</f>
        <v>RB2: Number of people who we help to pay their bill</v>
      </c>
      <c r="E35" s="314" t="str">
        <f>IF($P$1="Select company","",IF(C35 ="","",HLOOKUP(((VLOOKUP($P$1,Lists!$B$4:$C$26,2,FALSE))&amp;"unit"),'PC list edited'!$A$2:$EJ$65,(B35+1),FALSE)))</f>
        <v>nr</v>
      </c>
      <c r="F35" s="314" t="str">
        <f>IF($P$1="Select company","",IF(C35 ="","",HLOOKUP(((VLOOKUP($P$1,Lists!$B$4:$C$26,2,FALSE))&amp;"UnitDes"),'PC list edited'!$A$2:$EJ$65,(B35+1),FALSE)))</f>
        <v>No. of customers who are assisted to pay their bill</v>
      </c>
      <c r="G35" s="515">
        <f>IF($P$1="Select company","",IF(C35="","",HLOOKUP(((VLOOKUP($P$1,Lists!$B$4:$C$26,2,FALSE))&amp;"DP"),'PC list edited'!$A$2:$EJ$65,(B35+1),FALSE)))</f>
        <v>0</v>
      </c>
      <c r="H35" s="515">
        <f>IF($P$1="Select company","",IF(C35 = "","",HLOOKUP(((VLOOKUP($P$1,Lists!$B$4:$C$26,2,FALSE))&amp;"201819Actual"),'PC list edited'!$A$2:$EJ$65,(B35+1),FALSE)))</f>
        <v>31606</v>
      </c>
      <c r="I35" s="550">
        <v>35939</v>
      </c>
      <c r="J35" s="664" t="s">
        <v>2337</v>
      </c>
      <c r="K35" s="499"/>
      <c r="L35" s="500"/>
      <c r="M35" s="499"/>
      <c r="N35" s="500"/>
      <c r="O35" s="2945"/>
      <c r="P35" s="2946"/>
      <c r="Q35" s="130"/>
      <c r="R35" s="503">
        <f t="shared" si="4"/>
        <v>0</v>
      </c>
      <c r="S35" s="24">
        <f t="shared" si="1"/>
        <v>0</v>
      </c>
      <c r="T35" s="118"/>
      <c r="U35" s="124"/>
      <c r="V35" s="93">
        <f t="shared" si="2"/>
        <v>0</v>
      </c>
      <c r="W35" s="93">
        <f>IF($C35="",0,IF(ISBLANK(#REF!)=FALSE,0,1))</f>
        <v>0</v>
      </c>
      <c r="X35" s="93">
        <f t="shared" si="0"/>
        <v>0</v>
      </c>
      <c r="Y35" s="93">
        <f>IF(OR(ISBLANK(L35), L35=0), 0, IF(OR(K35=Lists!$F$11, K35=Lists!$F$13), 0, 1))</f>
        <v>0</v>
      </c>
      <c r="Z35" s="93">
        <f>IF(OR($C35="", AND(NOT(K35=Lists!$F$11), NOT(K35=Lists!$F$13))),0,IF(ISBLANK(L35)=FALSE,0,1))</f>
        <v>0</v>
      </c>
      <c r="AA35" s="93">
        <f>IF(OR(ISBLANK(N35), N35=0), 0, IF(OR(M35=Lists!$F$11, M35=Lists!$F$13), 0, 1))</f>
        <v>0</v>
      </c>
      <c r="AB35" s="93">
        <f>IF(OR($C35="", AND(NOT(M35=Lists!$F$11), NOT(M35=Lists!$F$13))),0,IF(ISBLANK(N35)=FALSE,0,1))</f>
        <v>0</v>
      </c>
      <c r="AC35" s="93">
        <f>IF(OR(ISBLANK(P35), P35=0), 0, IF(OR(O35=Lists!$F$11, O35=Lists!$F$13), 0, 1))</f>
        <v>0</v>
      </c>
      <c r="AD35" s="93">
        <f>IF(OR($C35="", AND(NOT(O35=Lists!$F$11), NOT(O35=Lists!$F$13))),0,IF(ISBLANK(P35)=FALSE,0,1))</f>
        <v>0</v>
      </c>
      <c r="AE35" s="124"/>
      <c r="AF35" s="505">
        <f xml:space="preserve"> IF(OR( AND( K35 = Lists!$F$11, '3A'!L35 &lt; 0), AND( '3A'!M35 = Lists!$F$11, '3A'!N35 &lt; 0), AND( '3A'!O35 = Lists!$F$11, '3A'!P35 &lt; 0)), 1, 0)</f>
        <v>0</v>
      </c>
      <c r="AG35" s="505">
        <f xml:space="preserve"> IF( OR( AND( K35 = Lists!$F$13, '3A'!L35 &gt; 0), AND( M35 = Lists!$F$13, '3A'!N35 &gt; 0), AND( O35 = Lists!$F$13, '3A'!P35 &gt; 0 )), 1, 0)</f>
        <v>0</v>
      </c>
      <c r="AH35" s="507"/>
      <c r="AI35" s="666" t="str">
        <f>IF($P$1="Select company","",IF((HLOOKUP(((VLOOKUP($P$1,Lists!$B$4:$C$26,2,FALSE))&amp;'PC LIST'!$J$2),'PC list edited'!$A$2:$EJ$65,(B35+1),FALSE))=0,"",HLOOKUP(((VLOOKUP($P$1,Lists!$B$4:$C$26,2,FALSE))&amp; 'PC LIST'!$J$2),'PC list edited'!$A$2:$EJ$65,(B35+1),FALSE)))</f>
        <v>NFI</v>
      </c>
      <c r="AJ35" s="2239" t="str">
        <f>IFERROR(INDEX('PC LIST'!N$3:N$631, MATCH($C35, 'PC LIST'!$B$3:$B$631, 0)),"")</f>
        <v>Billing, debt, vfm, affordability</v>
      </c>
    </row>
    <row r="36" spans="1:36" s="308" customFormat="1" ht="30.2" customHeight="1">
      <c r="A36" s="74"/>
      <c r="B36" s="289">
        <f t="shared" si="3"/>
        <v>32</v>
      </c>
      <c r="C36" s="496" t="str">
        <f>IF($P$1="Select company","",IF((HLOOKUP((VLOOKUP($P$1,Lists!$B$4:$C$26,2,FALSE)),'PC list edited'!$A$2:$EJ$65,(B36+1),FALSE))=0,"",HLOOKUP((VLOOKUP($P$1,Lists!$B$4:$C$26,2,FALSE)),'PC list edited'!$A$2:$EJ$65,(B36+1),FALSE)))</f>
        <v>PR14YKYHHR_RB3</v>
      </c>
      <c r="D36" s="495" t="str">
        <f>IF($P$1="Select company","",IF(C36 ="","",HLOOKUP(((VLOOKUP($P$1,Lists!$B$4:$C$26,2,FALSE))&amp;"PC"),'PC list edited'!$A$2:$EJ$65,(B36+1),FALSE)))</f>
        <v>RB3: Value for money (CCWater annual tracking survey)</v>
      </c>
      <c r="E36" s="314" t="str">
        <f>IF($P$1="Select company","",IF(C36 ="","",HLOOKUP(((VLOOKUP($P$1,Lists!$B$4:$C$26,2,FALSE))&amp;"unit"),'PC list edited'!$A$2:$EJ$65,(B36+1),FALSE)))</f>
        <v>%</v>
      </c>
      <c r="F36" s="314" t="str">
        <f>IF($P$1="Select company","",IF(C36 ="","",HLOOKUP(((VLOOKUP($P$1,Lists!$B$4:$C$26,2,FALSE))&amp;"UnitDes"),'PC list edited'!$A$2:$EJ$65,(B36+1),FALSE)))</f>
        <v>% customer satisfaction (CCWater tracking survey)</v>
      </c>
      <c r="G36" s="515">
        <f>IF($P$1="Select company","",IF(C36="","",HLOOKUP(((VLOOKUP($P$1,Lists!$B$4:$C$26,2,FALSE))&amp;"DP"),'PC list edited'!$A$2:$EJ$65,(B36+1),FALSE)))</f>
        <v>0</v>
      </c>
      <c r="H36" s="515" t="str">
        <f>IF($P$1="Select company","",IF(C36 = "","",HLOOKUP(((VLOOKUP($P$1,Lists!$B$4:$C$26,2,FALSE))&amp;"201819Actual"),'PC list edited'!$A$2:$EJ$65,(B36+1),FALSE)))</f>
        <v>77% (Water), 79% (wastewater)</v>
      </c>
      <c r="I36" s="550" t="s">
        <v>2343</v>
      </c>
      <c r="J36" s="664" t="s">
        <v>2337</v>
      </c>
      <c r="K36" s="499"/>
      <c r="L36" s="500"/>
      <c r="M36" s="499"/>
      <c r="N36" s="500"/>
      <c r="O36" s="2945"/>
      <c r="P36" s="2946"/>
      <c r="Q36" s="130"/>
      <c r="R36" s="503">
        <f t="shared" si="4"/>
        <v>0</v>
      </c>
      <c r="S36" s="24">
        <f t="shared" si="1"/>
        <v>0</v>
      </c>
      <c r="T36" s="118"/>
      <c r="U36" s="124"/>
      <c r="V36" s="93">
        <f t="shared" si="2"/>
        <v>0</v>
      </c>
      <c r="W36" s="93">
        <f>IF($C36="",0,IF(ISBLANK(#REF!)=FALSE,0,1))</f>
        <v>0</v>
      </c>
      <c r="X36" s="93">
        <f t="shared" si="0"/>
        <v>0</v>
      </c>
      <c r="Y36" s="93">
        <f>IF(OR(ISBLANK(L36), L36=0), 0, IF(OR(K36=Lists!$F$11, K36=Lists!$F$13), 0, 1))</f>
        <v>0</v>
      </c>
      <c r="Z36" s="93">
        <f>IF(OR($C36="", AND(NOT(K36=Lists!$F$11), NOT(K36=Lists!$F$13))),0,IF(ISBLANK(L36)=FALSE,0,1))</f>
        <v>0</v>
      </c>
      <c r="AA36" s="93">
        <f>IF(OR(ISBLANK(N36), N36=0), 0, IF(OR(M36=Lists!$F$11, M36=Lists!$F$13), 0, 1))</f>
        <v>0</v>
      </c>
      <c r="AB36" s="93">
        <f>IF(OR($C36="", AND(NOT(M36=Lists!$F$11), NOT(M36=Lists!$F$13))),0,IF(ISBLANK(N36)=FALSE,0,1))</f>
        <v>0</v>
      </c>
      <c r="AC36" s="93">
        <f>IF(OR(ISBLANK(P36), P36=0), 0, IF(OR(O36=Lists!$F$11, O36=Lists!$F$13), 0, 1))</f>
        <v>0</v>
      </c>
      <c r="AD36" s="93">
        <f>IF(OR($C36="", AND(NOT(O36=Lists!$F$11), NOT(O36=Lists!$F$13))),0,IF(ISBLANK(P36)=FALSE,0,1))</f>
        <v>0</v>
      </c>
      <c r="AE36" s="124"/>
      <c r="AF36" s="505">
        <f xml:space="preserve"> IF(OR( AND( K36 = Lists!$F$11, '3A'!L36 &lt; 0), AND( '3A'!M36 = Lists!$F$11, '3A'!N36 &lt; 0), AND( '3A'!O36 = Lists!$F$11, '3A'!P36 &lt; 0)), 1, 0)</f>
        <v>0</v>
      </c>
      <c r="AG36" s="505">
        <f xml:space="preserve"> IF( OR( AND( K36 = Lists!$F$13, '3A'!L36 &gt; 0), AND( M36 = Lists!$F$13, '3A'!N36 &gt; 0), AND( O36 = Lists!$F$13, '3A'!P36 &gt; 0 )), 1, 0)</f>
        <v>0</v>
      </c>
      <c r="AH36" s="507"/>
      <c r="AI36" s="666" t="str">
        <f>IF($P$1="Select company","",IF((HLOOKUP(((VLOOKUP($P$1,Lists!$B$4:$C$26,2,FALSE))&amp;'PC LIST'!$J$2),'PC list edited'!$A$2:$EJ$65,(B36+1),FALSE))=0,"",HLOOKUP(((VLOOKUP($P$1,Lists!$B$4:$C$26,2,FALSE))&amp; 'PC LIST'!$J$2),'PC list edited'!$A$2:$EJ$65,(B36+1),FALSE)))</f>
        <v>NFI</v>
      </c>
      <c r="AJ36" s="2239" t="str">
        <f>IFERROR(INDEX('PC LIST'!N$3:N$631, MATCH($C36, 'PC LIST'!$B$3:$B$631, 0)),"")</f>
        <v>Billing, debt, vfm, affordability</v>
      </c>
    </row>
    <row r="37" spans="1:36" s="308" customFormat="1" ht="30.2" customHeight="1">
      <c r="A37" s="74"/>
      <c r="B37" s="289">
        <f t="shared" si="3"/>
        <v>33</v>
      </c>
      <c r="C37" s="496" t="str">
        <f>IF($P$1="Select company","",IF((HLOOKUP((VLOOKUP($P$1,Lists!$B$4:$C$26,2,FALSE)),'PC list edited'!$A$2:$EJ$65,(B37+1),FALSE))=0,"",HLOOKUP((VLOOKUP($P$1,Lists!$B$4:$C$26,2,FALSE)),'PC list edited'!$A$2:$EJ$65,(B37+1),FALSE)))</f>
        <v>PR14YKYHHR_RC1</v>
      </c>
      <c r="D37" s="495" t="str">
        <f>IF($P$1="Select company","",IF(C37 ="","",HLOOKUP(((VLOOKUP($P$1,Lists!$B$4:$C$26,2,FALSE))&amp;"PC"),'PC list edited'!$A$2:$EJ$65,(B37+1),FALSE)))</f>
        <v>RC1: Proportion of energy use generated by renewable technology (note: PC is part of a total commitment at Appointee level - see also WD1 and SC1)</v>
      </c>
      <c r="E37" s="314" t="str">
        <f>IF($P$1="Select company","",IF(C37 ="","",HLOOKUP(((VLOOKUP($P$1,Lists!$B$4:$C$26,2,FALSE))&amp;"unit"),'PC list edited'!$A$2:$EJ$65,(B37+1),FALSE)))</f>
        <v>%</v>
      </c>
      <c r="F37" s="314" t="str">
        <f>IF($P$1="Select company","",IF(C37 ="","",HLOOKUP(((VLOOKUP($P$1,Lists!$B$4:$C$26,2,FALSE))&amp;"UnitDes"),'PC list edited'!$A$2:$EJ$65,(B37+1),FALSE)))</f>
        <v>% of energy use generated by renewable technology</v>
      </c>
      <c r="G37" s="515">
        <f>IF($P$1="Select company","",IF(C37="","",HLOOKUP(((VLOOKUP($P$1,Lists!$B$4:$C$26,2,FALSE))&amp;"DP"),'PC list edited'!$A$2:$EJ$65,(B37+1),FALSE)))</f>
        <v>0</v>
      </c>
      <c r="H37" s="515">
        <f>IF($P$1="Select company","",IF(C37 = "","",HLOOKUP(((VLOOKUP($P$1,Lists!$B$4:$C$26,2,FALSE))&amp;"201819Actual"),'PC list edited'!$A$2:$EJ$65,(B37+1),FALSE)))</f>
        <v>11</v>
      </c>
      <c r="I37" s="550">
        <v>15</v>
      </c>
      <c r="J37" s="664" t="s">
        <v>2337</v>
      </c>
      <c r="K37" s="499"/>
      <c r="L37" s="500"/>
      <c r="M37" s="499"/>
      <c r="N37" s="500"/>
      <c r="O37" s="2945"/>
      <c r="P37" s="2946"/>
      <c r="Q37" s="130"/>
      <c r="R37" s="503">
        <f t="shared" si="4"/>
        <v>0</v>
      </c>
      <c r="S37" s="24">
        <f t="shared" ref="S37:S60" si="5" xml:space="preserve"> IF( SUM( U37:AE37 ) = 0, 0, $V$3 )</f>
        <v>0</v>
      </c>
      <c r="T37" s="118"/>
      <c r="U37" s="124"/>
      <c r="V37" s="93">
        <f t="shared" ref="V37:V60" si="6">IF($C37="",0,IF(ISBLANK(I37)=FALSE,0,1))</f>
        <v>0</v>
      </c>
      <c r="W37" s="93">
        <f>IF($C37="",0,IF(ISBLANK(#REF!)=FALSE,0,1))</f>
        <v>0</v>
      </c>
      <c r="X37" s="93">
        <f t="shared" si="0"/>
        <v>0</v>
      </c>
      <c r="Y37" s="93">
        <f>IF(OR(ISBLANK(L37), L37=0), 0, IF(OR(K37=Lists!$F$11, K37=Lists!$F$13), 0, 1))</f>
        <v>0</v>
      </c>
      <c r="Z37" s="93">
        <f>IF(OR($C37="", AND(NOT(K37=Lists!$F$11), NOT(K37=Lists!$F$13))),0,IF(ISBLANK(L37)=FALSE,0,1))</f>
        <v>0</v>
      </c>
      <c r="AA37" s="93">
        <f>IF(OR(ISBLANK(N37), N37=0), 0, IF(OR(M37=Lists!$F$11, M37=Lists!$F$13), 0, 1))</f>
        <v>0</v>
      </c>
      <c r="AB37" s="93">
        <f>IF(OR($C37="", AND(NOT(M37=Lists!$F$11), NOT(M37=Lists!$F$13))),0,IF(ISBLANK(N37)=FALSE,0,1))</f>
        <v>0</v>
      </c>
      <c r="AC37" s="93">
        <f>IF(OR(ISBLANK(P37), P37=0), 0, IF(OR(O37=Lists!$F$11, O37=Lists!$F$13), 0, 1))</f>
        <v>0</v>
      </c>
      <c r="AD37" s="93">
        <f>IF(OR($C37="", AND(NOT(O37=Lists!$F$11), NOT(O37=Lists!$F$13))),0,IF(ISBLANK(P37)=FALSE,0,1))</f>
        <v>0</v>
      </c>
      <c r="AE37" s="124"/>
      <c r="AF37" s="505">
        <f xml:space="preserve"> IF(OR( AND( K37 = Lists!$F$11, '3A'!L37 &lt; 0), AND( '3A'!M37 = Lists!$F$11, '3A'!N37 &lt; 0), AND( '3A'!O37 = Lists!$F$11, '3A'!P37 &lt; 0)), 1, 0)</f>
        <v>0</v>
      </c>
      <c r="AG37" s="505">
        <f xml:space="preserve"> IF( OR( AND( K37 = Lists!$F$13, '3A'!L37 &gt; 0), AND( M37 = Lists!$F$13, '3A'!N37 &gt; 0), AND( O37 = Lists!$F$13, '3A'!P37 &gt; 0 )), 1, 0)</f>
        <v>0</v>
      </c>
      <c r="AH37" s="507"/>
      <c r="AI37" s="666" t="str">
        <f>IF($P$1="Select company","",IF((HLOOKUP(((VLOOKUP($P$1,Lists!$B$4:$C$26,2,FALSE))&amp;'PC LIST'!$J$2),'PC list edited'!$A$2:$EJ$65,(B37+1),FALSE))=0,"",HLOOKUP(((VLOOKUP($P$1,Lists!$B$4:$C$26,2,FALSE))&amp; 'PC LIST'!$J$2),'PC list edited'!$A$2:$EJ$65,(B37+1),FALSE)))</f>
        <v>NFI</v>
      </c>
      <c r="AJ37" s="2239" t="str">
        <f>IFERROR(INDEX('PC LIST'!N$3:N$631, MATCH($C37, 'PC LIST'!$B$3:$B$631, 0)),"")</f>
        <v>Energy/emissions</v>
      </c>
    </row>
    <row r="38" spans="1:36" s="308" customFormat="1" ht="30.2" customHeight="1">
      <c r="A38" s="74"/>
      <c r="B38" s="289">
        <f t="shared" si="3"/>
        <v>34</v>
      </c>
      <c r="C38" s="496" t="str">
        <f>IF($P$1="Select company","",IF((HLOOKUP((VLOOKUP($P$1,Lists!$B$4:$C$26,2,FALSE)),'PC list edited'!$A$2:$EJ$65,(B38+1),FALSE))=0,"",HLOOKUP((VLOOKUP($P$1,Lists!$B$4:$C$26,2,FALSE)),'PC list edited'!$A$2:$EJ$65,(B38+1),FALSE)))</f>
        <v>PR14YKYHHR_RC2</v>
      </c>
      <c r="D38" s="495" t="str">
        <f>IF($P$1="Select company","",IF(C38 ="","",HLOOKUP(((VLOOKUP($P$1,Lists!$B$4:$C$26,2,FALSE))&amp;"PC"),'PC list edited'!$A$2:$EJ$65,(B38+1),FALSE)))</f>
        <v>RC2: Proportion of waste diverted from landfill (re-used and recycled) (note: PC is part of a total commitment at Appointee level - see also WD2 and SC2)</v>
      </c>
      <c r="E38" s="314" t="str">
        <f>IF($P$1="Select company","",IF(C38 ="","",HLOOKUP(((VLOOKUP($P$1,Lists!$B$4:$C$26,2,FALSE))&amp;"unit"),'PC list edited'!$A$2:$EJ$65,(B38+1),FALSE)))</f>
        <v>%</v>
      </c>
      <c r="F38" s="314" t="str">
        <f>IF($P$1="Select company","",IF(C38 ="","",HLOOKUP(((VLOOKUP($P$1,Lists!$B$4:$C$26,2,FALSE))&amp;"UnitDes"),'PC list edited'!$A$2:$EJ$65,(B38+1),FALSE)))</f>
        <v>% of waste diverted from landfill (re-used and recycled)</v>
      </c>
      <c r="G38" s="515">
        <f>IF($P$1="Select company","",IF(C38="","",HLOOKUP(((VLOOKUP($P$1,Lists!$B$4:$C$26,2,FALSE))&amp;"DP"),'PC list edited'!$A$2:$EJ$65,(B38+1),FALSE)))</f>
        <v>0</v>
      </c>
      <c r="H38" s="515">
        <f>IF($P$1="Select company","",IF(C38 = "","",HLOOKUP(((VLOOKUP($P$1,Lists!$B$4:$C$26,2,FALSE))&amp;"201819Actual"),'PC list edited'!$A$2:$EJ$65,(B38+1),FALSE)))</f>
        <v>100</v>
      </c>
      <c r="I38" s="550">
        <v>100</v>
      </c>
      <c r="J38" s="664" t="s">
        <v>2337</v>
      </c>
      <c r="K38" s="499"/>
      <c r="L38" s="500"/>
      <c r="M38" s="499"/>
      <c r="N38" s="500"/>
      <c r="O38" s="2945"/>
      <c r="P38" s="2946"/>
      <c r="Q38" s="130"/>
      <c r="R38" s="503">
        <f t="shared" si="4"/>
        <v>0</v>
      </c>
      <c r="S38" s="24">
        <f t="shared" si="5"/>
        <v>0</v>
      </c>
      <c r="T38" s="118"/>
      <c r="U38" s="124"/>
      <c r="V38" s="93">
        <f t="shared" si="6"/>
        <v>0</v>
      </c>
      <c r="W38" s="93">
        <f>IF($C38="",0,IF(ISBLANK(#REF!)=FALSE,0,1))</f>
        <v>0</v>
      </c>
      <c r="X38" s="93">
        <f t="shared" si="0"/>
        <v>0</v>
      </c>
      <c r="Y38" s="93">
        <f>IF(OR(ISBLANK(L38), L38=0), 0, IF(OR(K38=Lists!$F$11, K38=Lists!$F$13), 0, 1))</f>
        <v>0</v>
      </c>
      <c r="Z38" s="93">
        <f>IF(OR($C38="", AND(NOT(K38=Lists!$F$11), NOT(K38=Lists!$F$13))),0,IF(ISBLANK(L38)=FALSE,0,1))</f>
        <v>0</v>
      </c>
      <c r="AA38" s="93">
        <f>IF(OR(ISBLANK(N38), N38=0), 0, IF(OR(M38=Lists!$F$11, M38=Lists!$F$13), 0, 1))</f>
        <v>0</v>
      </c>
      <c r="AB38" s="93">
        <f>IF(OR($C38="", AND(NOT(M38=Lists!$F$11), NOT(M38=Lists!$F$13))),0,IF(ISBLANK(N38)=FALSE,0,1))</f>
        <v>0</v>
      </c>
      <c r="AC38" s="93">
        <f>IF(OR(ISBLANK(P38), P38=0), 0, IF(OR(O38=Lists!$F$11, O38=Lists!$F$13), 0, 1))</f>
        <v>0</v>
      </c>
      <c r="AD38" s="93">
        <f>IF(OR($C38="", AND(NOT(O38=Lists!$F$11), NOT(O38=Lists!$F$13))),0,IF(ISBLANK(P38)=FALSE,0,1))</f>
        <v>0</v>
      </c>
      <c r="AE38" s="124"/>
      <c r="AF38" s="505">
        <f xml:space="preserve"> IF(OR( AND( K38 = Lists!$F$11, '3A'!L38 &lt; 0), AND( '3A'!M38 = Lists!$F$11, '3A'!N38 &lt; 0), AND( '3A'!O38 = Lists!$F$11, '3A'!P38 &lt; 0)), 1, 0)</f>
        <v>0</v>
      </c>
      <c r="AG38" s="505">
        <f xml:space="preserve"> IF( OR( AND( K38 = Lists!$F$13, '3A'!L38 &gt; 0), AND( M38 = Lists!$F$13, '3A'!N38 &gt; 0), AND( O38 = Lists!$F$13, '3A'!P38 &gt; 0 )), 1, 0)</f>
        <v>0</v>
      </c>
      <c r="AH38" s="507"/>
      <c r="AI38" s="666" t="str">
        <f>IF($P$1="Select company","",IF((HLOOKUP(((VLOOKUP($P$1,Lists!$B$4:$C$26,2,FALSE))&amp;'PC LIST'!$J$2),'PC list edited'!$A$2:$EJ$65,(B38+1),FALSE))=0,"",HLOOKUP(((VLOOKUP($P$1,Lists!$B$4:$C$26,2,FALSE))&amp; 'PC LIST'!$J$2),'PC list edited'!$A$2:$EJ$65,(B38+1),FALSE)))</f>
        <v>NFI</v>
      </c>
      <c r="AJ38" s="2239" t="str">
        <f>IFERROR(INDEX('PC LIST'!N$3:N$631, MATCH($C38, 'PC LIST'!$B$3:$B$631, 0)),"")</f>
        <v>Waste disposal</v>
      </c>
    </row>
    <row r="39" spans="1:36" s="308" customFormat="1" ht="30.2" customHeight="1">
      <c r="A39" s="74"/>
      <c r="B39" s="289">
        <f t="shared" si="3"/>
        <v>35</v>
      </c>
      <c r="C39" s="496" t="str">
        <f>IF($P$1="Select company","",IF((HLOOKUP((VLOOKUP($P$1,Lists!$B$4:$C$26,2,FALSE)),'PC list edited'!$A$2:$EJ$65,(B39+1),FALSE))=0,"",HLOOKUP((VLOOKUP($P$1,Lists!$B$4:$C$26,2,FALSE)),'PC list edited'!$A$2:$EJ$65,(B39+1),FALSE)))</f>
        <v/>
      </c>
      <c r="D39" s="495" t="str">
        <f>IF($P$1="Select company","",IF(C39 ="","",HLOOKUP(((VLOOKUP($P$1,Lists!$B$4:$C$26,2,FALSE))&amp;"PC"),'PC list edited'!$A$2:$EJ$65,(B39+1),FALSE)))</f>
        <v/>
      </c>
      <c r="E39" s="314" t="str">
        <f>IF($P$1="Select company","",IF(C39 ="","",HLOOKUP(((VLOOKUP($P$1,Lists!$B$4:$C$26,2,FALSE))&amp;"unit"),'PC list edited'!$A$2:$EJ$65,(B39+1),FALSE)))</f>
        <v/>
      </c>
      <c r="F39" s="314" t="str">
        <f>IF($P$1="Select company","",IF(C39 ="","",HLOOKUP(((VLOOKUP($P$1,Lists!$B$4:$C$26,2,FALSE))&amp;"UnitDes"),'PC list edited'!$A$2:$EJ$65,(B39+1),FALSE)))</f>
        <v/>
      </c>
      <c r="G39" s="515" t="str">
        <f>IF($P$1="Select company","",IF(C39="","",HLOOKUP(((VLOOKUP($P$1,Lists!$B$4:$C$26,2,FALSE))&amp;"DP"),'PC list edited'!$A$2:$EJ$65,(B39+1),FALSE)))</f>
        <v/>
      </c>
      <c r="H39" s="515" t="str">
        <f>IF($P$1="Select company","",IF(C39 = "","",HLOOKUP(((VLOOKUP($P$1,Lists!$B$4:$C$26,2,FALSE))&amp;"201819Actual"),'PC list edited'!$A$2:$EJ$65,(B39+1),FALSE)))</f>
        <v/>
      </c>
      <c r="I39" s="550"/>
      <c r="J39" s="664"/>
      <c r="K39" s="499"/>
      <c r="L39" s="500"/>
      <c r="M39" s="499"/>
      <c r="N39" s="500"/>
      <c r="O39" s="2945"/>
      <c r="P39" s="2946"/>
      <c r="Q39" s="130"/>
      <c r="R39" s="503">
        <f t="shared" si="4"/>
        <v>0</v>
      </c>
      <c r="S39" s="24">
        <f t="shared" si="5"/>
        <v>0</v>
      </c>
      <c r="T39" s="118"/>
      <c r="U39" s="124"/>
      <c r="V39" s="93">
        <f t="shared" si="6"/>
        <v>0</v>
      </c>
      <c r="W39" s="93">
        <f>IF($C39="",0,IF(ISBLANK(#REF!)=FALSE,0,1))</f>
        <v>0</v>
      </c>
      <c r="X39" s="93">
        <f t="shared" si="0"/>
        <v>0</v>
      </c>
      <c r="Y39" s="93">
        <f>IF(OR(ISBLANK(L39), L39=0), 0, IF(OR(K39=Lists!$F$11, K39=Lists!$F$13), 0, 1))</f>
        <v>0</v>
      </c>
      <c r="Z39" s="93">
        <f>IF(OR($C39="", AND(NOT(K39=Lists!$F$11), NOT(K39=Lists!$F$13))),0,IF(ISBLANK(L39)=FALSE,0,1))</f>
        <v>0</v>
      </c>
      <c r="AA39" s="93">
        <f>IF(OR(ISBLANK(N39), N39=0), 0, IF(OR(M39=Lists!$F$11, M39=Lists!$F$13), 0, 1))</f>
        <v>0</v>
      </c>
      <c r="AB39" s="93">
        <f>IF(OR($C39="", AND(NOT(M39=Lists!$F$11), NOT(M39=Lists!$F$13))),0,IF(ISBLANK(N39)=FALSE,0,1))</f>
        <v>0</v>
      </c>
      <c r="AC39" s="93">
        <f>IF(OR(ISBLANK(P39), P39=0), 0, IF(OR(O39=Lists!$F$11, O39=Lists!$F$13), 0, 1))</f>
        <v>0</v>
      </c>
      <c r="AD39" s="93">
        <f>IF(OR($C39="", AND(NOT(O39=Lists!$F$11), NOT(O39=Lists!$F$13))),0,IF(ISBLANK(P39)=FALSE,0,1))</f>
        <v>0</v>
      </c>
      <c r="AE39" s="124"/>
      <c r="AF39" s="505">
        <f xml:space="preserve"> IF(OR( AND( K39 = Lists!$F$11, '3A'!L39 &lt; 0), AND( '3A'!M39 = Lists!$F$11, '3A'!N39 &lt; 0), AND( '3A'!O39 = Lists!$F$11, '3A'!P39 &lt; 0)), 1, 0)</f>
        <v>0</v>
      </c>
      <c r="AG39" s="505">
        <f xml:space="preserve"> IF( OR( AND( K39 = Lists!$F$13, '3A'!L39 &gt; 0), AND( M39 = Lists!$F$13, '3A'!N39 &gt; 0), AND( O39 = Lists!$F$13, '3A'!P39 &gt; 0 )), 1, 0)</f>
        <v>0</v>
      </c>
      <c r="AH39" s="507"/>
      <c r="AI39" s="666" t="str">
        <f>IF($P$1="Select company","",IF((HLOOKUP(((VLOOKUP($P$1,Lists!$B$4:$C$26,2,FALSE))&amp;'PC LIST'!$J$2),'PC list edited'!$A$2:$EJ$65,(B39+1),FALSE))=0,"",HLOOKUP(((VLOOKUP($P$1,Lists!$B$4:$C$26,2,FALSE))&amp; 'PC LIST'!$J$2),'PC list edited'!$A$2:$EJ$65,(B39+1),FALSE)))</f>
        <v/>
      </c>
      <c r="AJ39" s="2239" t="str">
        <f>IFERROR(INDEX('PC LIST'!N$3:N$631, MATCH($C39, 'PC LIST'!$B$3:$B$631, 0)),"")</f>
        <v/>
      </c>
    </row>
    <row r="40" spans="1:36" s="308" customFormat="1" ht="30.2" customHeight="1">
      <c r="A40" s="74"/>
      <c r="B40" s="289">
        <f t="shared" si="3"/>
        <v>36</v>
      </c>
      <c r="C40" s="496" t="str">
        <f>IF($P$1="Select company","",IF((HLOOKUP((VLOOKUP($P$1,Lists!$B$4:$C$26,2,FALSE)),'PC list edited'!$A$2:$EJ$65,(B40+1),FALSE))=0,"",HLOOKUP((VLOOKUP($P$1,Lists!$B$4:$C$26,2,FALSE)),'PC list edited'!$A$2:$EJ$65,(B40+1),FALSE)))</f>
        <v/>
      </c>
      <c r="D40" s="495" t="str">
        <f>IF($P$1="Select company","",IF(C40 ="","",HLOOKUP(((VLOOKUP($P$1,Lists!$B$4:$C$26,2,FALSE))&amp;"PC"),'PC list edited'!$A$2:$EJ$65,(B40+1),FALSE)))</f>
        <v/>
      </c>
      <c r="E40" s="314" t="str">
        <f>IF($P$1="Select company","",IF(C40 ="","",HLOOKUP(((VLOOKUP($P$1,Lists!$B$4:$C$26,2,FALSE))&amp;"unit"),'PC list edited'!$A$2:$EJ$65,(B40+1),FALSE)))</f>
        <v/>
      </c>
      <c r="F40" s="314" t="str">
        <f>IF($P$1="Select company","",IF(C40 ="","",HLOOKUP(((VLOOKUP($P$1,Lists!$B$4:$C$26,2,FALSE))&amp;"UnitDes"),'PC list edited'!$A$2:$EJ$65,(B40+1),FALSE)))</f>
        <v/>
      </c>
      <c r="G40" s="515" t="str">
        <f>IF($P$1="Select company","",IF(C40="","",HLOOKUP(((VLOOKUP($P$1,Lists!$B$4:$C$26,2,FALSE))&amp;"DP"),'PC list edited'!$A$2:$EJ$65,(B40+1),FALSE)))</f>
        <v/>
      </c>
      <c r="H40" s="515" t="str">
        <f>IF($P$1="Select company","",IF(C40 = "","",HLOOKUP(((VLOOKUP($P$1,Lists!$B$4:$C$26,2,FALSE))&amp;"201819Actual"),'PC list edited'!$A$2:$EJ$65,(B40+1),FALSE)))</f>
        <v/>
      </c>
      <c r="I40" s="550"/>
      <c r="J40" s="664"/>
      <c r="K40" s="499"/>
      <c r="L40" s="500"/>
      <c r="M40" s="499"/>
      <c r="N40" s="500"/>
      <c r="O40" s="2945"/>
      <c r="P40" s="2946"/>
      <c r="Q40" s="130"/>
      <c r="R40" s="503">
        <f t="shared" si="4"/>
        <v>0</v>
      </c>
      <c r="S40" s="24">
        <f t="shared" si="5"/>
        <v>0</v>
      </c>
      <c r="T40" s="118"/>
      <c r="U40" s="124"/>
      <c r="V40" s="93">
        <f t="shared" si="6"/>
        <v>0</v>
      </c>
      <c r="W40" s="93">
        <f>IF($C40="",0,IF(ISBLANK(#REF!)=FALSE,0,1))</f>
        <v>0</v>
      </c>
      <c r="X40" s="93">
        <f t="shared" si="0"/>
        <v>0</v>
      </c>
      <c r="Y40" s="93">
        <f>IF(OR(ISBLANK(L40), L40=0), 0, IF(OR(K40=Lists!$F$11, K40=Lists!$F$13), 0, 1))</f>
        <v>0</v>
      </c>
      <c r="Z40" s="93">
        <f>IF(OR($C40="", AND(NOT(K40=Lists!$F$11), NOT(K40=Lists!$F$13))),0,IF(ISBLANK(L40)=FALSE,0,1))</f>
        <v>0</v>
      </c>
      <c r="AA40" s="93">
        <f>IF(OR(ISBLANK(N40), N40=0), 0, IF(OR(M40=Lists!$F$11, M40=Lists!$F$13), 0, 1))</f>
        <v>0</v>
      </c>
      <c r="AB40" s="93">
        <f>IF(OR($C40="", AND(NOT(M40=Lists!$F$11), NOT(M40=Lists!$F$13))),0,IF(ISBLANK(N40)=FALSE,0,1))</f>
        <v>0</v>
      </c>
      <c r="AC40" s="93">
        <f>IF(OR(ISBLANK(P40), P40=0), 0, IF(OR(O40=Lists!$F$11, O40=Lists!$F$13), 0, 1))</f>
        <v>0</v>
      </c>
      <c r="AD40" s="93">
        <f>IF(OR($C40="", AND(NOT(O40=Lists!$F$11), NOT(O40=Lists!$F$13))),0,IF(ISBLANK(P40)=FALSE,0,1))</f>
        <v>0</v>
      </c>
      <c r="AE40" s="124"/>
      <c r="AF40" s="505">
        <f xml:space="preserve"> IF(OR( AND( K40 = Lists!$F$11, '3A'!L40 &lt; 0), AND( '3A'!M40 = Lists!$F$11, '3A'!N40 &lt; 0), AND( '3A'!O40 = Lists!$F$11, '3A'!P40 &lt; 0)), 1, 0)</f>
        <v>0</v>
      </c>
      <c r="AG40" s="505">
        <f xml:space="preserve"> IF( OR( AND( K40 = Lists!$F$13, '3A'!L40 &gt; 0), AND( M40 = Lists!$F$13, '3A'!N40 &gt; 0), AND( O40 = Lists!$F$13, '3A'!P40 &gt; 0 )), 1, 0)</f>
        <v>0</v>
      </c>
      <c r="AH40" s="507"/>
      <c r="AI40" s="666" t="str">
        <f>IF($P$1="Select company","",IF((HLOOKUP(((VLOOKUP($P$1,Lists!$B$4:$C$26,2,FALSE))&amp;'PC LIST'!$J$2),'PC list edited'!$A$2:$EJ$65,(B40+1),FALSE))=0,"",HLOOKUP(((VLOOKUP($P$1,Lists!$B$4:$C$26,2,FALSE))&amp; 'PC LIST'!$J$2),'PC list edited'!$A$2:$EJ$65,(B40+1),FALSE)))</f>
        <v/>
      </c>
      <c r="AJ40" s="2239" t="str">
        <f>IFERROR(INDEX('PC LIST'!N$3:N$631, MATCH($C40, 'PC LIST'!$B$3:$B$631, 0)),"")</f>
        <v/>
      </c>
    </row>
    <row r="41" spans="1:36" s="308" customFormat="1" ht="30.2" customHeight="1">
      <c r="A41" s="74"/>
      <c r="B41" s="289">
        <f t="shared" si="3"/>
        <v>37</v>
      </c>
      <c r="C41" s="496" t="str">
        <f>IF($P$1="Select company","",IF((HLOOKUP((VLOOKUP($P$1,Lists!$B$4:$C$26,2,FALSE)),'PC list edited'!$A$2:$EJ$65,(B41+1),FALSE))=0,"",HLOOKUP((VLOOKUP($P$1,Lists!$B$4:$C$26,2,FALSE)),'PC list edited'!$A$2:$EJ$65,(B41+1),FALSE)))</f>
        <v/>
      </c>
      <c r="D41" s="495" t="str">
        <f>IF($P$1="Select company","",IF(C41 ="","",HLOOKUP(((VLOOKUP($P$1,Lists!$B$4:$C$26,2,FALSE))&amp;"PC"),'PC list edited'!$A$2:$EJ$65,(B41+1),FALSE)))</f>
        <v/>
      </c>
      <c r="E41" s="314" t="str">
        <f>IF($P$1="Select company","",IF(C41 ="","",HLOOKUP(((VLOOKUP($P$1,Lists!$B$4:$C$26,2,FALSE))&amp;"unit"),'PC list edited'!$A$2:$EJ$65,(B41+1),FALSE)))</f>
        <v/>
      </c>
      <c r="F41" s="314" t="str">
        <f>IF($P$1="Select company","",IF(C41 ="","",HLOOKUP(((VLOOKUP($P$1,Lists!$B$4:$C$26,2,FALSE))&amp;"UnitDes"),'PC list edited'!$A$2:$EJ$65,(B41+1),FALSE)))</f>
        <v/>
      </c>
      <c r="G41" s="515" t="str">
        <f>IF($P$1="Select company","",IF(C41="","",HLOOKUP(((VLOOKUP($P$1,Lists!$B$4:$C$26,2,FALSE))&amp;"DP"),'PC list edited'!$A$2:$EJ$65,(B41+1),FALSE)))</f>
        <v/>
      </c>
      <c r="H41" s="515" t="str">
        <f>IF($P$1="Select company","",IF(C41 = "","",HLOOKUP(((VLOOKUP($P$1,Lists!$B$4:$C$26,2,FALSE))&amp;"201819Actual"),'PC list edited'!$A$2:$EJ$65,(B41+1),FALSE)))</f>
        <v/>
      </c>
      <c r="I41" s="550"/>
      <c r="J41" s="664"/>
      <c r="K41" s="499"/>
      <c r="L41" s="500"/>
      <c r="M41" s="499"/>
      <c r="N41" s="500"/>
      <c r="O41" s="2945"/>
      <c r="P41" s="2946"/>
      <c r="Q41" s="130"/>
      <c r="R41" s="503">
        <f t="shared" si="4"/>
        <v>0</v>
      </c>
      <c r="S41" s="24">
        <f t="shared" si="5"/>
        <v>0</v>
      </c>
      <c r="T41" s="118"/>
      <c r="U41" s="124"/>
      <c r="V41" s="93">
        <f t="shared" si="6"/>
        <v>0</v>
      </c>
      <c r="W41" s="93">
        <f>IF($C41="",0,IF(ISBLANK(#REF!)=FALSE,0,1))</f>
        <v>0</v>
      </c>
      <c r="X41" s="93">
        <f t="shared" si="0"/>
        <v>0</v>
      </c>
      <c r="Y41" s="93">
        <f>IF(OR(ISBLANK(L41), L41=0), 0, IF(OR(K41=Lists!$F$11, K41=Lists!$F$13), 0, 1))</f>
        <v>0</v>
      </c>
      <c r="Z41" s="93">
        <f>IF(OR($C41="", AND(NOT(K41=Lists!$F$11), NOT(K41=Lists!$F$13))),0,IF(ISBLANK(L41)=FALSE,0,1))</f>
        <v>0</v>
      </c>
      <c r="AA41" s="93">
        <f>IF(OR(ISBLANK(N41), N41=0), 0, IF(OR(M41=Lists!$F$11, M41=Lists!$F$13), 0, 1))</f>
        <v>0</v>
      </c>
      <c r="AB41" s="93">
        <f>IF(OR($C41="", AND(NOT(M41=Lists!$F$11), NOT(M41=Lists!$F$13))),0,IF(ISBLANK(N41)=FALSE,0,1))</f>
        <v>0</v>
      </c>
      <c r="AC41" s="93">
        <f>IF(OR(ISBLANK(P41), P41=0), 0, IF(OR(O41=Lists!$F$11, O41=Lists!$F$13), 0, 1))</f>
        <v>0</v>
      </c>
      <c r="AD41" s="93">
        <f>IF(OR($C41="", AND(NOT(O41=Lists!$F$11), NOT(O41=Lists!$F$13))),0,IF(ISBLANK(P41)=FALSE,0,1))</f>
        <v>0</v>
      </c>
      <c r="AE41" s="124"/>
      <c r="AF41" s="505">
        <f xml:space="preserve"> IF(OR( AND( K41 = Lists!$F$11, '3A'!L41 &lt; 0), AND( '3A'!M41 = Lists!$F$11, '3A'!N41 &lt; 0), AND( '3A'!O41 = Lists!$F$11, '3A'!P41 &lt; 0)), 1, 0)</f>
        <v>0</v>
      </c>
      <c r="AG41" s="505">
        <f xml:space="preserve"> IF( OR( AND( K41 = Lists!$F$13, '3A'!L41 &gt; 0), AND( M41 = Lists!$F$13, '3A'!N41 &gt; 0), AND( O41 = Lists!$F$13, '3A'!P41 &gt; 0 )), 1, 0)</f>
        <v>0</v>
      </c>
      <c r="AH41" s="507"/>
      <c r="AI41" s="666" t="str">
        <f>IF($P$1="Select company","",IF((HLOOKUP(((VLOOKUP($P$1,Lists!$B$4:$C$26,2,FALSE))&amp;'PC LIST'!$J$2),'PC list edited'!$A$2:$EJ$65,(B41+1),FALSE))=0,"",HLOOKUP(((VLOOKUP($P$1,Lists!$B$4:$C$26,2,FALSE))&amp; 'PC LIST'!$J$2),'PC list edited'!$A$2:$EJ$65,(B41+1),FALSE)))</f>
        <v/>
      </c>
      <c r="AJ41" s="2239" t="str">
        <f>IFERROR(INDEX('PC LIST'!N$3:N$631, MATCH($C41, 'PC LIST'!$B$3:$B$631, 0)),"")</f>
        <v/>
      </c>
    </row>
    <row r="42" spans="1:36" s="308" customFormat="1" ht="30.2" customHeight="1">
      <c r="A42" s="74"/>
      <c r="B42" s="289">
        <f t="shared" si="3"/>
        <v>38</v>
      </c>
      <c r="C42" s="496" t="str">
        <f>IF($P$1="Select company","",IF((HLOOKUP((VLOOKUP($P$1,Lists!$B$4:$C$26,2,FALSE)),'PC list edited'!$A$2:$EJ$65,(B42+1),FALSE))=0,"",HLOOKUP((VLOOKUP($P$1,Lists!$B$4:$C$26,2,FALSE)),'PC list edited'!$A$2:$EJ$65,(B42+1),FALSE)))</f>
        <v/>
      </c>
      <c r="D42" s="495" t="str">
        <f>IF($P$1="Select company","",IF(C42 ="","",HLOOKUP(((VLOOKUP($P$1,Lists!$B$4:$C$26,2,FALSE))&amp;"PC"),'PC list edited'!$A$2:$EJ$65,(B42+1),FALSE)))</f>
        <v/>
      </c>
      <c r="E42" s="314" t="str">
        <f>IF($P$1="Select company","",IF(C42 ="","",HLOOKUP(((VLOOKUP($P$1,Lists!$B$4:$C$26,2,FALSE))&amp;"unit"),'PC list edited'!$A$2:$EJ$65,(B42+1),FALSE)))</f>
        <v/>
      </c>
      <c r="F42" s="314" t="str">
        <f>IF($P$1="Select company","",IF(C42 ="","",HLOOKUP(((VLOOKUP($P$1,Lists!$B$4:$C$26,2,FALSE))&amp;"UnitDes"),'PC list edited'!$A$2:$EJ$65,(B42+1),FALSE)))</f>
        <v/>
      </c>
      <c r="G42" s="515" t="str">
        <f>IF($P$1="Select company","",IF(C42="","",HLOOKUP(((VLOOKUP($P$1,Lists!$B$4:$C$26,2,FALSE))&amp;"DP"),'PC list edited'!$A$2:$EJ$65,(B42+1),FALSE)))</f>
        <v/>
      </c>
      <c r="H42" s="515" t="str">
        <f>IF($P$1="Select company","",IF(C42 = "","",HLOOKUP(((VLOOKUP($P$1,Lists!$B$4:$C$26,2,FALSE))&amp;"201819Actual"),'PC list edited'!$A$2:$EJ$65,(B42+1),FALSE)))</f>
        <v/>
      </c>
      <c r="I42" s="550"/>
      <c r="J42" s="664"/>
      <c r="K42" s="499"/>
      <c r="L42" s="500"/>
      <c r="M42" s="499"/>
      <c r="N42" s="500"/>
      <c r="O42" s="2945"/>
      <c r="P42" s="2946"/>
      <c r="Q42" s="130"/>
      <c r="R42" s="503">
        <f t="shared" si="4"/>
        <v>0</v>
      </c>
      <c r="S42" s="24">
        <f t="shared" si="5"/>
        <v>0</v>
      </c>
      <c r="T42" s="70"/>
      <c r="U42" s="71"/>
      <c r="V42" s="93">
        <f t="shared" si="6"/>
        <v>0</v>
      </c>
      <c r="W42" s="93">
        <f>IF($C42="",0,IF(ISBLANK(#REF!)=FALSE,0,1))</f>
        <v>0</v>
      </c>
      <c r="X42" s="93">
        <f t="shared" si="0"/>
        <v>0</v>
      </c>
      <c r="Y42" s="93">
        <f>IF(OR(ISBLANK(L42), L42=0), 0, IF(OR(K42=Lists!$F$11, K42=Lists!$F$13), 0, 1))</f>
        <v>0</v>
      </c>
      <c r="Z42" s="93">
        <f>IF(OR($C42="", AND(NOT(K42=Lists!$F$11), NOT(K42=Lists!$F$13))),0,IF(ISBLANK(L42)=FALSE,0,1))</f>
        <v>0</v>
      </c>
      <c r="AA42" s="93">
        <f>IF(OR(ISBLANK(N42), N42=0), 0, IF(OR(M42=Lists!$F$11, M42=Lists!$F$13), 0, 1))</f>
        <v>0</v>
      </c>
      <c r="AB42" s="93">
        <f>IF(OR($C42="", AND(NOT(M42=Lists!$F$11), NOT(M42=Lists!$F$13))),0,IF(ISBLANK(N42)=FALSE,0,1))</f>
        <v>0</v>
      </c>
      <c r="AC42" s="93">
        <f>IF(OR(ISBLANK(P42), P42=0), 0, IF(OR(O42=Lists!$F$11, O42=Lists!$F$13), 0, 1))</f>
        <v>0</v>
      </c>
      <c r="AD42" s="93">
        <f>IF(OR($C42="", AND(NOT(O42=Lists!$F$11), NOT(O42=Lists!$F$13))),0,IF(ISBLANK(P42)=FALSE,0,1))</f>
        <v>0</v>
      </c>
      <c r="AE42" s="71"/>
      <c r="AF42" s="505">
        <f xml:space="preserve"> IF(OR( AND( K42 = Lists!$F$11, '3A'!L42 &lt; 0), AND( '3A'!M42 = Lists!$F$11, '3A'!N42 &lt; 0), AND( '3A'!O42 = Lists!$F$11, '3A'!P42 &lt; 0)), 1, 0)</f>
        <v>0</v>
      </c>
      <c r="AG42" s="505">
        <f xml:space="preserve"> IF( OR( AND( K42 = Lists!$F$13, '3A'!L42 &gt; 0), AND( M42 = Lists!$F$13, '3A'!N42 &gt; 0), AND( O42 = Lists!$F$13, '3A'!P42 &gt; 0 )), 1, 0)</f>
        <v>0</v>
      </c>
      <c r="AH42" s="507"/>
      <c r="AI42" s="666" t="str">
        <f>IF($P$1="Select company","",IF((HLOOKUP(((VLOOKUP($P$1,Lists!$B$4:$C$26,2,FALSE))&amp;'PC LIST'!$J$2),'PC list edited'!$A$2:$EJ$65,(B42+1),FALSE))=0,"",HLOOKUP(((VLOOKUP($P$1,Lists!$B$4:$C$26,2,FALSE))&amp; 'PC LIST'!$J$2),'PC list edited'!$A$2:$EJ$65,(B42+1),FALSE)))</f>
        <v/>
      </c>
      <c r="AJ42" s="2239" t="str">
        <f>IFERROR(INDEX('PC LIST'!N$3:N$631, MATCH($C42, 'PC LIST'!$B$3:$B$631, 0)),"")</f>
        <v/>
      </c>
    </row>
    <row r="43" spans="1:36" s="308" customFormat="1" ht="30.2" customHeight="1">
      <c r="A43" s="74"/>
      <c r="B43" s="289">
        <f t="shared" si="3"/>
        <v>39</v>
      </c>
      <c r="C43" s="496" t="str">
        <f>IF($P$1="Select company","",IF((HLOOKUP((VLOOKUP($P$1,Lists!$B$4:$C$26,2,FALSE)),'PC list edited'!$A$2:$EJ$65,(B43+1),FALSE))=0,"",HLOOKUP((VLOOKUP($P$1,Lists!$B$4:$C$26,2,FALSE)),'PC list edited'!$A$2:$EJ$65,(B43+1),FALSE)))</f>
        <v/>
      </c>
      <c r="D43" s="495" t="str">
        <f>IF($P$1="Select company","",IF(C43 ="","",HLOOKUP(((VLOOKUP($P$1,Lists!$B$4:$C$26,2,FALSE))&amp;"PC"),'PC list edited'!$A$2:$EJ$65,(B43+1),FALSE)))</f>
        <v/>
      </c>
      <c r="E43" s="314" t="str">
        <f>IF($P$1="Select company","",IF(C43 ="","",HLOOKUP(((VLOOKUP($P$1,Lists!$B$4:$C$26,2,FALSE))&amp;"unit"),'PC list edited'!$A$2:$EJ$65,(B43+1),FALSE)))</f>
        <v/>
      </c>
      <c r="F43" s="314" t="str">
        <f>IF($P$1="Select company","",IF(C43 ="","",HLOOKUP(((VLOOKUP($P$1,Lists!$B$4:$C$26,2,FALSE))&amp;"UnitDes"),'PC list edited'!$A$2:$EJ$65,(B43+1),FALSE)))</f>
        <v/>
      </c>
      <c r="G43" s="515" t="str">
        <f>IF($P$1="Select company","",IF(C43="","",HLOOKUP(((VLOOKUP($P$1,Lists!$B$4:$C$26,2,FALSE))&amp;"DP"),'PC list edited'!$A$2:$EJ$65,(B43+1),FALSE)))</f>
        <v/>
      </c>
      <c r="H43" s="515" t="str">
        <f>IF($P$1="Select company","",IF(C43 = "","",HLOOKUP(((VLOOKUP($P$1,Lists!$B$4:$C$26,2,FALSE))&amp;"201819Actual"),'PC list edited'!$A$2:$EJ$65,(B43+1),FALSE)))</f>
        <v/>
      </c>
      <c r="I43" s="550"/>
      <c r="J43" s="664"/>
      <c r="K43" s="499"/>
      <c r="L43" s="500"/>
      <c r="M43" s="499"/>
      <c r="N43" s="500"/>
      <c r="O43" s="2945"/>
      <c r="P43" s="2946"/>
      <c r="Q43" s="130"/>
      <c r="R43" s="503">
        <f t="shared" si="4"/>
        <v>0</v>
      </c>
      <c r="S43" s="24">
        <f t="shared" si="5"/>
        <v>0</v>
      </c>
      <c r="T43" s="70"/>
      <c r="U43" s="71"/>
      <c r="V43" s="93">
        <f t="shared" si="6"/>
        <v>0</v>
      </c>
      <c r="W43" s="93">
        <f>IF($C43="",0,IF(ISBLANK(#REF!)=FALSE,0,1))</f>
        <v>0</v>
      </c>
      <c r="X43" s="93">
        <f t="shared" si="0"/>
        <v>0</v>
      </c>
      <c r="Y43" s="93">
        <f>IF(OR(ISBLANK(L43), L43=0), 0, IF(OR(K43=Lists!$F$11, K43=Lists!$F$13), 0, 1))</f>
        <v>0</v>
      </c>
      <c r="Z43" s="93">
        <f>IF(OR($C43="", AND(NOT(K43=Lists!$F$11), NOT(K43=Lists!$F$13))),0,IF(ISBLANK(L43)=FALSE,0,1))</f>
        <v>0</v>
      </c>
      <c r="AA43" s="93">
        <f>IF(OR(ISBLANK(N43), N43=0), 0, IF(OR(M43=Lists!$F$11, M43=Lists!$F$13), 0, 1))</f>
        <v>0</v>
      </c>
      <c r="AB43" s="93">
        <f>IF(OR($C43="", AND(NOT(M43=Lists!$F$11), NOT(M43=Lists!$F$13))),0,IF(ISBLANK(N43)=FALSE,0,1))</f>
        <v>0</v>
      </c>
      <c r="AC43" s="93">
        <f>IF(OR(ISBLANK(P43), P43=0), 0, IF(OR(O43=Lists!$F$11, O43=Lists!$F$13), 0, 1))</f>
        <v>0</v>
      </c>
      <c r="AD43" s="93">
        <f>IF(OR($C43="", AND(NOT(O43=Lists!$F$11), NOT(O43=Lists!$F$13))),0,IF(ISBLANK(P43)=FALSE,0,1))</f>
        <v>0</v>
      </c>
      <c r="AE43" s="71"/>
      <c r="AF43" s="505">
        <f xml:space="preserve"> IF(OR( AND( K43 = Lists!$F$11, '3A'!L43 &lt; 0), AND( '3A'!M43 = Lists!$F$11, '3A'!N43 &lt; 0), AND( '3A'!O43 = Lists!$F$11, '3A'!P43 &lt; 0)), 1, 0)</f>
        <v>0</v>
      </c>
      <c r="AG43" s="505">
        <f xml:space="preserve"> IF( OR( AND( K43 = Lists!$F$13, '3A'!L43 &gt; 0), AND( M43 = Lists!$F$13, '3A'!N43 &gt; 0), AND( O43 = Lists!$F$13, '3A'!P43 &gt; 0 )), 1, 0)</f>
        <v>0</v>
      </c>
      <c r="AH43" s="507"/>
      <c r="AI43" s="666" t="str">
        <f>IF($P$1="Select company","",IF((HLOOKUP(((VLOOKUP($P$1,Lists!$B$4:$C$26,2,FALSE))&amp;'PC LIST'!$J$2),'PC list edited'!$A$2:$EJ$65,(B43+1),FALSE))=0,"",HLOOKUP(((VLOOKUP($P$1,Lists!$B$4:$C$26,2,FALSE))&amp; 'PC LIST'!$J$2),'PC list edited'!$A$2:$EJ$65,(B43+1),FALSE)))</f>
        <v/>
      </c>
      <c r="AJ43" s="2239" t="str">
        <f>IFERROR(INDEX('PC LIST'!N$3:N$631, MATCH($C43, 'PC LIST'!$B$3:$B$631, 0)),"")</f>
        <v/>
      </c>
    </row>
    <row r="44" spans="1:36" s="308" customFormat="1" ht="30.2" customHeight="1">
      <c r="A44" s="74"/>
      <c r="B44" s="289">
        <f t="shared" si="3"/>
        <v>40</v>
      </c>
      <c r="C44" s="496" t="str">
        <f>IF($P$1="Select company","",IF((HLOOKUP((VLOOKUP($P$1,Lists!$B$4:$C$26,2,FALSE)),'PC list edited'!$A$2:$EJ$65,(B44+1),FALSE))=0,"",HLOOKUP((VLOOKUP($P$1,Lists!$B$4:$C$26,2,FALSE)),'PC list edited'!$A$2:$EJ$65,(B44+1),FALSE)))</f>
        <v/>
      </c>
      <c r="D44" s="495" t="str">
        <f>IF($P$1="Select company","",IF(C44 ="","",HLOOKUP(((VLOOKUP($P$1,Lists!$B$4:$C$26,2,FALSE))&amp;"PC"),'PC list edited'!$A$2:$EJ$65,(B44+1),FALSE)))</f>
        <v/>
      </c>
      <c r="E44" s="314" t="str">
        <f>IF($P$1="Select company","",IF(C44 ="","",HLOOKUP(((VLOOKUP($P$1,Lists!$B$4:$C$26,2,FALSE))&amp;"unit"),'PC list edited'!$A$2:$EJ$65,(B44+1),FALSE)))</f>
        <v/>
      </c>
      <c r="F44" s="314" t="str">
        <f>IF($P$1="Select company","",IF(C44 ="","",HLOOKUP(((VLOOKUP($P$1,Lists!$B$4:$C$26,2,FALSE))&amp;"UnitDes"),'PC list edited'!$A$2:$EJ$65,(B44+1),FALSE)))</f>
        <v/>
      </c>
      <c r="G44" s="515" t="str">
        <f>IF($P$1="Select company","",IF(C44="","",HLOOKUP(((VLOOKUP($P$1,Lists!$B$4:$C$26,2,FALSE))&amp;"DP"),'PC list edited'!$A$2:$EJ$65,(B44+1),FALSE)))</f>
        <v/>
      </c>
      <c r="H44" s="515" t="str">
        <f>IF($P$1="Select company","",IF(C44 = "","",HLOOKUP(((VLOOKUP($P$1,Lists!$B$4:$C$26,2,FALSE))&amp;"201819Actual"),'PC list edited'!$A$2:$EJ$65,(B44+1),FALSE)))</f>
        <v/>
      </c>
      <c r="I44" s="550"/>
      <c r="J44" s="664"/>
      <c r="K44" s="499"/>
      <c r="L44" s="500"/>
      <c r="M44" s="499"/>
      <c r="N44" s="500"/>
      <c r="O44" s="2945"/>
      <c r="P44" s="2946"/>
      <c r="Q44" s="130"/>
      <c r="R44" s="503">
        <f t="shared" si="4"/>
        <v>0</v>
      </c>
      <c r="S44" s="24">
        <f t="shared" si="5"/>
        <v>0</v>
      </c>
      <c r="T44" s="70"/>
      <c r="U44" s="71"/>
      <c r="V44" s="93">
        <f t="shared" si="6"/>
        <v>0</v>
      </c>
      <c r="W44" s="93">
        <f>IF($C44="",0,IF(ISBLANK(#REF!)=FALSE,0,1))</f>
        <v>0</v>
      </c>
      <c r="X44" s="93">
        <f t="shared" si="0"/>
        <v>0</v>
      </c>
      <c r="Y44" s="93">
        <f>IF(OR(ISBLANK(L44), L44=0), 0, IF(OR(K44=Lists!$F$11, K44=Lists!$F$13), 0, 1))</f>
        <v>0</v>
      </c>
      <c r="Z44" s="93">
        <f>IF(OR($C44="", AND(NOT(K44=Lists!$F$11), NOT(K44=Lists!$F$13))),0,IF(ISBLANK(L44)=FALSE,0,1))</f>
        <v>0</v>
      </c>
      <c r="AA44" s="93">
        <f>IF(OR(ISBLANK(N44), N44=0), 0, IF(OR(M44=Lists!$F$11, M44=Lists!$F$13), 0, 1))</f>
        <v>0</v>
      </c>
      <c r="AB44" s="93">
        <f>IF(OR($C44="", AND(NOT(M44=Lists!$F$11), NOT(M44=Lists!$F$13))),0,IF(ISBLANK(N44)=FALSE,0,1))</f>
        <v>0</v>
      </c>
      <c r="AC44" s="93">
        <f>IF(OR(ISBLANK(P44), P44=0), 0, IF(OR(O44=Lists!$F$11, O44=Lists!$F$13), 0, 1))</f>
        <v>0</v>
      </c>
      <c r="AD44" s="93">
        <f>IF(OR($C44="", AND(NOT(O44=Lists!$F$11), NOT(O44=Lists!$F$13))),0,IF(ISBLANK(P44)=FALSE,0,1))</f>
        <v>0</v>
      </c>
      <c r="AE44" s="71"/>
      <c r="AF44" s="505">
        <f xml:space="preserve"> IF(OR( AND( K44 = Lists!$F$11, '3A'!L44 &lt; 0), AND( '3A'!M44 = Lists!$F$11, '3A'!N44 &lt; 0), AND( '3A'!O44 = Lists!$F$11, '3A'!P44 &lt; 0)), 1, 0)</f>
        <v>0</v>
      </c>
      <c r="AG44" s="505">
        <f xml:space="preserve"> IF( OR( AND( K44 = Lists!$F$13, '3A'!L44 &gt; 0), AND( M44 = Lists!$F$13, '3A'!N44 &gt; 0), AND( O44 = Lists!$F$13, '3A'!P44 &gt; 0 )), 1, 0)</f>
        <v>0</v>
      </c>
      <c r="AH44" s="507"/>
      <c r="AI44" s="666" t="str">
        <f>IF($P$1="Select company","",IF((HLOOKUP(((VLOOKUP($P$1,Lists!$B$4:$C$26,2,FALSE))&amp;'PC LIST'!$J$2),'PC list edited'!$A$2:$EJ$65,(B44+1),FALSE))=0,"",HLOOKUP(((VLOOKUP($P$1,Lists!$B$4:$C$26,2,FALSE))&amp; 'PC LIST'!$J$2),'PC list edited'!$A$2:$EJ$65,(B44+1),FALSE)))</f>
        <v/>
      </c>
      <c r="AJ44" s="2239" t="str">
        <f>IFERROR(INDEX('PC LIST'!N$3:N$631, MATCH($C44, 'PC LIST'!$B$3:$B$631, 0)),"")</f>
        <v/>
      </c>
    </row>
    <row r="45" spans="1:36" s="308" customFormat="1" ht="30.2" customHeight="1">
      <c r="A45" s="74"/>
      <c r="B45" s="289">
        <f t="shared" si="3"/>
        <v>41</v>
      </c>
      <c r="C45" s="496" t="str">
        <f>IF($P$1="Select company","",IF((HLOOKUP((VLOOKUP($P$1,Lists!$B$4:$C$26,2,FALSE)),'PC list edited'!$A$2:$EJ$65,(B45+1),FALSE))=0,"",HLOOKUP((VLOOKUP($P$1,Lists!$B$4:$C$26,2,FALSE)),'PC list edited'!$A$2:$EJ$65,(B45+1),FALSE)))</f>
        <v/>
      </c>
      <c r="D45" s="495" t="str">
        <f>IF($P$1="Select company","",IF(C45 ="","",HLOOKUP(((VLOOKUP($P$1,Lists!$B$4:$C$26,2,FALSE))&amp;"PC"),'PC list edited'!$A$2:$EJ$65,(B45+1),FALSE)))</f>
        <v/>
      </c>
      <c r="E45" s="314" t="str">
        <f>IF($P$1="Select company","",IF(C45 ="","",HLOOKUP(((VLOOKUP($P$1,Lists!$B$4:$C$26,2,FALSE))&amp;"unit"),'PC list edited'!$A$2:$EJ$65,(B45+1),FALSE)))</f>
        <v/>
      </c>
      <c r="F45" s="314" t="str">
        <f>IF($P$1="Select company","",IF(C45 ="","",HLOOKUP(((VLOOKUP($P$1,Lists!$B$4:$C$26,2,FALSE))&amp;"UnitDes"),'PC list edited'!$A$2:$EJ$65,(B45+1),FALSE)))</f>
        <v/>
      </c>
      <c r="G45" s="515" t="str">
        <f>IF($P$1="Select company","",IF(C45="","",HLOOKUP(((VLOOKUP($P$1,Lists!$B$4:$C$26,2,FALSE))&amp;"DP"),'PC list edited'!$A$2:$EJ$65,(B45+1),FALSE)))</f>
        <v/>
      </c>
      <c r="H45" s="515" t="str">
        <f>IF($P$1="Select company","",IF(C45 = "","",HLOOKUP(((VLOOKUP($P$1,Lists!$B$4:$C$26,2,FALSE))&amp;"201819Actual"),'PC list edited'!$A$2:$EJ$65,(B45+1),FALSE)))</f>
        <v/>
      </c>
      <c r="I45" s="550"/>
      <c r="J45" s="664"/>
      <c r="K45" s="499"/>
      <c r="L45" s="500"/>
      <c r="M45" s="499"/>
      <c r="N45" s="500"/>
      <c r="O45" s="2945"/>
      <c r="P45" s="2946"/>
      <c r="Q45" s="130"/>
      <c r="R45" s="503">
        <f t="shared" si="4"/>
        <v>0</v>
      </c>
      <c r="S45" s="24">
        <f t="shared" si="5"/>
        <v>0</v>
      </c>
      <c r="T45" s="70"/>
      <c r="U45" s="71"/>
      <c r="V45" s="93">
        <f t="shared" si="6"/>
        <v>0</v>
      </c>
      <c r="W45" s="93">
        <f>IF($C45="",0,IF(ISBLANK(#REF!)=FALSE,0,1))</f>
        <v>0</v>
      </c>
      <c r="X45" s="93">
        <f t="shared" si="0"/>
        <v>0</v>
      </c>
      <c r="Y45" s="93">
        <f>IF(OR(ISBLANK(L45), L45=0), 0, IF(OR(K45=Lists!$F$11, K45=Lists!$F$13), 0, 1))</f>
        <v>0</v>
      </c>
      <c r="Z45" s="93">
        <f>IF(OR($C45="", AND(NOT(K45=Lists!$F$11), NOT(K45=Lists!$F$13))),0,IF(ISBLANK(L45)=FALSE,0,1))</f>
        <v>0</v>
      </c>
      <c r="AA45" s="93">
        <f>IF(OR(ISBLANK(N45), N45=0), 0, IF(OR(M45=Lists!$F$11, M45=Lists!$F$13), 0, 1))</f>
        <v>0</v>
      </c>
      <c r="AB45" s="93">
        <f>IF(OR($C45="", AND(NOT(M45=Lists!$F$11), NOT(M45=Lists!$F$13))),0,IF(ISBLANK(N45)=FALSE,0,1))</f>
        <v>0</v>
      </c>
      <c r="AC45" s="93">
        <f>IF(OR(ISBLANK(P45), P45=0), 0, IF(OR(O45=Lists!$F$11, O45=Lists!$F$13), 0, 1))</f>
        <v>0</v>
      </c>
      <c r="AD45" s="93">
        <f>IF(OR($C45="", AND(NOT(O45=Lists!$F$11), NOT(O45=Lists!$F$13))),0,IF(ISBLANK(P45)=FALSE,0,1))</f>
        <v>0</v>
      </c>
      <c r="AE45" s="71"/>
      <c r="AF45" s="505">
        <f xml:space="preserve"> IF(OR( AND( K45 = Lists!$F$11, '3A'!L45 &lt; 0), AND( '3A'!M45 = Lists!$F$11, '3A'!N45 &lt; 0), AND( '3A'!O45 = Lists!$F$11, '3A'!P45 &lt; 0)), 1, 0)</f>
        <v>0</v>
      </c>
      <c r="AG45" s="505">
        <f xml:space="preserve"> IF( OR( AND( K45 = Lists!$F$13, '3A'!L45 &gt; 0), AND( M45 = Lists!$F$13, '3A'!N45 &gt; 0), AND( O45 = Lists!$F$13, '3A'!P45 &gt; 0 )), 1, 0)</f>
        <v>0</v>
      </c>
      <c r="AH45" s="507"/>
      <c r="AI45" s="666" t="str">
        <f>IF($P$1="Select company","",IF((HLOOKUP(((VLOOKUP($P$1,Lists!$B$4:$C$26,2,FALSE))&amp;'PC LIST'!$J$2),'PC list edited'!$A$2:$EJ$65,(B45+1),FALSE))=0,"",HLOOKUP(((VLOOKUP($P$1,Lists!$B$4:$C$26,2,FALSE))&amp; 'PC LIST'!$J$2),'PC list edited'!$A$2:$EJ$65,(B45+1),FALSE)))</f>
        <v/>
      </c>
      <c r="AJ45" s="2239" t="str">
        <f>IFERROR(INDEX('PC LIST'!N$3:N$631, MATCH($C45, 'PC LIST'!$B$3:$B$631, 0)),"")</f>
        <v/>
      </c>
    </row>
    <row r="46" spans="1:36" s="308" customFormat="1" ht="30.2" customHeight="1">
      <c r="A46" s="74"/>
      <c r="B46" s="289">
        <f t="shared" si="3"/>
        <v>42</v>
      </c>
      <c r="C46" s="496" t="str">
        <f>IF($P$1="Select company","",IF((HLOOKUP((VLOOKUP($P$1,Lists!$B$4:$C$26,2,FALSE)),'PC list edited'!$A$2:$EJ$65,(B46+1),FALSE))=0,"",HLOOKUP((VLOOKUP($P$1,Lists!$B$4:$C$26,2,FALSE)),'PC list edited'!$A$2:$EJ$65,(B46+1),FALSE)))</f>
        <v/>
      </c>
      <c r="D46" s="495" t="str">
        <f>IF($P$1="Select company","",IF(C46 ="","",HLOOKUP(((VLOOKUP($P$1,Lists!$B$4:$C$26,2,FALSE))&amp;"PC"),'PC list edited'!$A$2:$EJ$65,(B46+1),FALSE)))</f>
        <v/>
      </c>
      <c r="E46" s="314" t="str">
        <f>IF($P$1="Select company","",IF(C46 ="","",HLOOKUP(((VLOOKUP($P$1,Lists!$B$4:$C$26,2,FALSE))&amp;"unit"),'PC list edited'!$A$2:$EJ$65,(B46+1),FALSE)))</f>
        <v/>
      </c>
      <c r="F46" s="314" t="str">
        <f>IF($P$1="Select company","",IF(C46 ="","",HLOOKUP(((VLOOKUP($P$1,Lists!$B$4:$C$26,2,FALSE))&amp;"UnitDes"),'PC list edited'!$A$2:$EJ$65,(B46+1),FALSE)))</f>
        <v/>
      </c>
      <c r="G46" s="515" t="str">
        <f>IF($P$1="Select company","",IF(C46="","",HLOOKUP(((VLOOKUP($P$1,Lists!$B$4:$C$26,2,FALSE))&amp;"DP"),'PC list edited'!$A$2:$EJ$65,(B46+1),FALSE)))</f>
        <v/>
      </c>
      <c r="H46" s="515" t="str">
        <f>IF($P$1="Select company","",IF(C46 = "","",HLOOKUP(((VLOOKUP($P$1,Lists!$B$4:$C$26,2,FALSE))&amp;"201819Actual"),'PC list edited'!$A$2:$EJ$65,(B46+1),FALSE)))</f>
        <v/>
      </c>
      <c r="I46" s="550"/>
      <c r="J46" s="664"/>
      <c r="K46" s="499"/>
      <c r="L46" s="500"/>
      <c r="M46" s="499"/>
      <c r="N46" s="500"/>
      <c r="O46" s="2945"/>
      <c r="P46" s="2946"/>
      <c r="Q46" s="130"/>
      <c r="R46" s="503">
        <f t="shared" si="4"/>
        <v>0</v>
      </c>
      <c r="S46" s="24">
        <f t="shared" si="5"/>
        <v>0</v>
      </c>
      <c r="T46" s="70"/>
      <c r="U46" s="71"/>
      <c r="V46" s="93">
        <f t="shared" si="6"/>
        <v>0</v>
      </c>
      <c r="W46" s="93">
        <f>IF($C46="",0,IF(ISBLANK(#REF!)=FALSE,0,1))</f>
        <v>0</v>
      </c>
      <c r="X46" s="93">
        <f t="shared" si="0"/>
        <v>0</v>
      </c>
      <c r="Y46" s="93">
        <f>IF(OR(ISBLANK(L46), L46=0), 0, IF(OR(K46=Lists!$F$11, K46=Lists!$F$13), 0, 1))</f>
        <v>0</v>
      </c>
      <c r="Z46" s="93">
        <f>IF(OR($C46="", AND(NOT(K46=Lists!$F$11), NOT(K46=Lists!$F$13))),0,IF(ISBLANK(L46)=FALSE,0,1))</f>
        <v>0</v>
      </c>
      <c r="AA46" s="93">
        <f>IF(OR(ISBLANK(N46), N46=0), 0, IF(OR(M46=Lists!$F$11, M46=Lists!$F$13), 0, 1))</f>
        <v>0</v>
      </c>
      <c r="AB46" s="93">
        <f>IF(OR($C46="", AND(NOT(M46=Lists!$F$11), NOT(M46=Lists!$F$13))),0,IF(ISBLANK(N46)=FALSE,0,1))</f>
        <v>0</v>
      </c>
      <c r="AC46" s="93">
        <f>IF(OR(ISBLANK(P46), P46=0), 0, IF(OR(O46=Lists!$F$11, O46=Lists!$F$13), 0, 1))</f>
        <v>0</v>
      </c>
      <c r="AD46" s="93">
        <f>IF(OR($C46="", AND(NOT(O46=Lists!$F$11), NOT(O46=Lists!$F$13))),0,IF(ISBLANK(P46)=FALSE,0,1))</f>
        <v>0</v>
      </c>
      <c r="AE46" s="71"/>
      <c r="AF46" s="505">
        <f xml:space="preserve"> IF(OR( AND( K46 = Lists!$F$11, '3A'!L46 &lt; 0), AND( '3A'!M46 = Lists!$F$11, '3A'!N46 &lt; 0), AND( '3A'!O46 = Lists!$F$11, '3A'!P46 &lt; 0)), 1, 0)</f>
        <v>0</v>
      </c>
      <c r="AG46" s="505">
        <f xml:space="preserve"> IF( OR( AND( K46 = Lists!$F$13, '3A'!L46 &gt; 0), AND( M46 = Lists!$F$13, '3A'!N46 &gt; 0), AND( O46 = Lists!$F$13, '3A'!P46 &gt; 0 )), 1, 0)</f>
        <v>0</v>
      </c>
      <c r="AH46" s="507"/>
      <c r="AI46" s="666" t="str">
        <f>IF($P$1="Select company","",IF((HLOOKUP(((VLOOKUP($P$1,Lists!$B$4:$C$26,2,FALSE))&amp;'PC LIST'!$J$2),'PC list edited'!$A$2:$EJ$65,(B46+1),FALSE))=0,"",HLOOKUP(((VLOOKUP($P$1,Lists!$B$4:$C$26,2,FALSE))&amp; 'PC LIST'!$J$2),'PC list edited'!$A$2:$EJ$65,(B46+1),FALSE)))</f>
        <v/>
      </c>
      <c r="AJ46" s="2239" t="str">
        <f>IFERROR(INDEX('PC LIST'!N$3:N$631, MATCH($C46, 'PC LIST'!$B$3:$B$631, 0)),"")</f>
        <v/>
      </c>
    </row>
    <row r="47" spans="1:36" s="308" customFormat="1" ht="30.2" customHeight="1">
      <c r="A47" s="74"/>
      <c r="B47" s="289">
        <f t="shared" si="3"/>
        <v>43</v>
      </c>
      <c r="C47" s="496" t="str">
        <f>IF($P$1="Select company","",IF((HLOOKUP((VLOOKUP($P$1,Lists!$B$4:$C$26,2,FALSE)),'PC list edited'!$A$2:$EJ$65,(B47+1),FALSE))=0,"",HLOOKUP((VLOOKUP($P$1,Lists!$B$4:$C$26,2,FALSE)),'PC list edited'!$A$2:$EJ$65,(B47+1),FALSE)))</f>
        <v/>
      </c>
      <c r="D47" s="495" t="str">
        <f>IF($P$1="Select company","",IF(C47 ="","",HLOOKUP(((VLOOKUP($P$1,Lists!$B$4:$C$26,2,FALSE))&amp;"PC"),'PC list edited'!$A$2:$EJ$65,(B47+1),FALSE)))</f>
        <v/>
      </c>
      <c r="E47" s="314" t="str">
        <f>IF($P$1="Select company","",IF(C47 ="","",HLOOKUP(((VLOOKUP($P$1,Lists!$B$4:$C$26,2,FALSE))&amp;"unit"),'PC list edited'!$A$2:$EJ$65,(B47+1),FALSE)))</f>
        <v/>
      </c>
      <c r="F47" s="314" t="str">
        <f>IF($P$1="Select company","",IF(C47 ="","",HLOOKUP(((VLOOKUP($P$1,Lists!$B$4:$C$26,2,FALSE))&amp;"UnitDes"),'PC list edited'!$A$2:$EJ$65,(B47+1),FALSE)))</f>
        <v/>
      </c>
      <c r="G47" s="515" t="str">
        <f>IF($P$1="Select company","",IF(C47="","",HLOOKUP(((VLOOKUP($P$1,Lists!$B$4:$C$26,2,FALSE))&amp;"DP"),'PC list edited'!$A$2:$EJ$65,(B47+1),FALSE)))</f>
        <v/>
      </c>
      <c r="H47" s="515" t="str">
        <f>IF($P$1="Select company","",IF(C47 = "","",HLOOKUP(((VLOOKUP($P$1,Lists!$B$4:$C$26,2,FALSE))&amp;"201819Actual"),'PC list edited'!$A$2:$EJ$65,(B47+1),FALSE)))</f>
        <v/>
      </c>
      <c r="I47" s="550"/>
      <c r="J47" s="664"/>
      <c r="K47" s="499"/>
      <c r="L47" s="500"/>
      <c r="M47" s="499"/>
      <c r="N47" s="500"/>
      <c r="O47" s="2945"/>
      <c r="P47" s="2946"/>
      <c r="Q47" s="130"/>
      <c r="R47" s="503">
        <f t="shared" si="4"/>
        <v>0</v>
      </c>
      <c r="S47" s="24">
        <f t="shared" si="5"/>
        <v>0</v>
      </c>
      <c r="T47" s="70"/>
      <c r="U47" s="71"/>
      <c r="V47" s="93">
        <f t="shared" si="6"/>
        <v>0</v>
      </c>
      <c r="W47" s="93">
        <f>IF($C47="",0,IF(ISBLANK(#REF!)=FALSE,0,1))</f>
        <v>0</v>
      </c>
      <c r="X47" s="93">
        <f t="shared" si="0"/>
        <v>0</v>
      </c>
      <c r="Y47" s="93">
        <f>IF(OR(ISBLANK(L47), L47=0), 0, IF(OR(K47=Lists!$F$11, K47=Lists!$F$13), 0, 1))</f>
        <v>0</v>
      </c>
      <c r="Z47" s="93">
        <f>IF(OR($C47="", AND(NOT(K47=Lists!$F$11), NOT(K47=Lists!$F$13))),0,IF(ISBLANK(L47)=FALSE,0,1))</f>
        <v>0</v>
      </c>
      <c r="AA47" s="93">
        <f>IF(OR(ISBLANK(N47), N47=0), 0, IF(OR(M47=Lists!$F$11, M47=Lists!$F$13), 0, 1))</f>
        <v>0</v>
      </c>
      <c r="AB47" s="93">
        <f>IF(OR($C47="", AND(NOT(M47=Lists!$F$11), NOT(M47=Lists!$F$13))),0,IF(ISBLANK(N47)=FALSE,0,1))</f>
        <v>0</v>
      </c>
      <c r="AC47" s="93">
        <f>IF(OR(ISBLANK(P47), P47=0), 0, IF(OR(O47=Lists!$F$11, O47=Lists!$F$13), 0, 1))</f>
        <v>0</v>
      </c>
      <c r="AD47" s="93">
        <f>IF(OR($C47="", AND(NOT(O47=Lists!$F$11), NOT(O47=Lists!$F$13))),0,IF(ISBLANK(P47)=FALSE,0,1))</f>
        <v>0</v>
      </c>
      <c r="AE47" s="71"/>
      <c r="AF47" s="505">
        <f xml:space="preserve"> IF(OR( AND( K47 = Lists!$F$11, '3A'!L47 &lt; 0), AND( '3A'!M47 = Lists!$F$11, '3A'!N47 &lt; 0), AND( '3A'!O47 = Lists!$F$11, '3A'!P47 &lt; 0)), 1, 0)</f>
        <v>0</v>
      </c>
      <c r="AG47" s="505">
        <f xml:space="preserve"> IF( OR( AND( K47 = Lists!$F$13, '3A'!L47 &gt; 0), AND( M47 = Lists!$F$13, '3A'!N47 &gt; 0), AND( O47 = Lists!$F$13, '3A'!P47 &gt; 0 )), 1, 0)</f>
        <v>0</v>
      </c>
      <c r="AH47" s="507"/>
      <c r="AI47" s="666" t="str">
        <f>IF($P$1="Select company","",IF((HLOOKUP(((VLOOKUP($P$1,Lists!$B$4:$C$26,2,FALSE))&amp;'PC LIST'!$J$2),'PC list edited'!$A$2:$EJ$65,(B47+1),FALSE))=0,"",HLOOKUP(((VLOOKUP($P$1,Lists!$B$4:$C$26,2,FALSE))&amp; 'PC LIST'!$J$2),'PC list edited'!$A$2:$EJ$65,(B47+1),FALSE)))</f>
        <v/>
      </c>
      <c r="AJ47" s="2239" t="str">
        <f>IFERROR(INDEX('PC LIST'!N$3:N$631, MATCH($C47, 'PC LIST'!$B$3:$B$631, 0)),"")</f>
        <v/>
      </c>
    </row>
    <row r="48" spans="1:36" s="308" customFormat="1" ht="30.2" customHeight="1">
      <c r="A48" s="74"/>
      <c r="B48" s="289">
        <f t="shared" si="3"/>
        <v>44</v>
      </c>
      <c r="C48" s="496" t="str">
        <f>IF($P$1="Select company","",IF((HLOOKUP((VLOOKUP($P$1,Lists!$B$4:$C$26,2,FALSE)),'PC list edited'!$A$2:$EJ$65,(B48+1),FALSE))=0,"",HLOOKUP((VLOOKUP($P$1,Lists!$B$4:$C$26,2,FALSE)),'PC list edited'!$A$2:$EJ$65,(B48+1),FALSE)))</f>
        <v/>
      </c>
      <c r="D48" s="495" t="str">
        <f>IF($P$1="Select company","",IF(C48 ="","",HLOOKUP(((VLOOKUP($P$1,Lists!$B$4:$C$26,2,FALSE))&amp;"PC"),'PC list edited'!$A$2:$EJ$65,(B48+1),FALSE)))</f>
        <v/>
      </c>
      <c r="E48" s="314" t="str">
        <f>IF($P$1="Select company","",IF(C48 ="","",HLOOKUP(((VLOOKUP($P$1,Lists!$B$4:$C$26,2,FALSE))&amp;"unit"),'PC list edited'!$A$2:$EJ$65,(B48+1),FALSE)))</f>
        <v/>
      </c>
      <c r="F48" s="314" t="str">
        <f>IF($P$1="Select company","",IF(C48 ="","",HLOOKUP(((VLOOKUP($P$1,Lists!$B$4:$C$26,2,FALSE))&amp;"UnitDes"),'PC list edited'!$A$2:$EJ$65,(B48+1),FALSE)))</f>
        <v/>
      </c>
      <c r="G48" s="515" t="str">
        <f>IF($P$1="Select company","",IF(C48="","",HLOOKUP(((VLOOKUP($P$1,Lists!$B$4:$C$26,2,FALSE))&amp;"DP"),'PC list edited'!$A$2:$EJ$65,(B48+1),FALSE)))</f>
        <v/>
      </c>
      <c r="H48" s="515" t="str">
        <f>IF($P$1="Select company","",IF(C48 = "","",HLOOKUP(((VLOOKUP($P$1,Lists!$B$4:$C$26,2,FALSE))&amp;"201819Actual"),'PC list edited'!$A$2:$EJ$65,(B48+1),FALSE)))</f>
        <v/>
      </c>
      <c r="I48" s="550"/>
      <c r="J48" s="664"/>
      <c r="K48" s="499"/>
      <c r="L48" s="500"/>
      <c r="M48" s="499"/>
      <c r="N48" s="500"/>
      <c r="O48" s="2945"/>
      <c r="P48" s="2946"/>
      <c r="Q48" s="130"/>
      <c r="R48" s="503">
        <f t="shared" si="4"/>
        <v>0</v>
      </c>
      <c r="S48" s="24">
        <f t="shared" si="5"/>
        <v>0</v>
      </c>
      <c r="T48" s="70"/>
      <c r="U48" s="71"/>
      <c r="V48" s="93">
        <f t="shared" si="6"/>
        <v>0</v>
      </c>
      <c r="W48" s="93">
        <f>IF($C48="",0,IF(ISBLANK(#REF!)=FALSE,0,1))</f>
        <v>0</v>
      </c>
      <c r="X48" s="93">
        <f t="shared" si="0"/>
        <v>0</v>
      </c>
      <c r="Y48" s="93">
        <f>IF(OR(ISBLANK(L48), L48=0), 0, IF(OR(K48=Lists!$F$11, K48=Lists!$F$13), 0, 1))</f>
        <v>0</v>
      </c>
      <c r="Z48" s="93">
        <f>IF(OR($C48="", AND(NOT(K48=Lists!$F$11), NOT(K48=Lists!$F$13))),0,IF(ISBLANK(L48)=FALSE,0,1))</f>
        <v>0</v>
      </c>
      <c r="AA48" s="93">
        <f>IF(OR(ISBLANK(N48), N48=0), 0, IF(OR(M48=Lists!$F$11, M48=Lists!$F$13), 0, 1))</f>
        <v>0</v>
      </c>
      <c r="AB48" s="93">
        <f>IF(OR($C48="", AND(NOT(M48=Lists!$F$11), NOT(M48=Lists!$F$13))),0,IF(ISBLANK(N48)=FALSE,0,1))</f>
        <v>0</v>
      </c>
      <c r="AC48" s="93">
        <f>IF(OR(ISBLANK(P48), P48=0), 0, IF(OR(O48=Lists!$F$11, O48=Lists!$F$13), 0, 1))</f>
        <v>0</v>
      </c>
      <c r="AD48" s="93">
        <f>IF(OR($C48="", AND(NOT(O48=Lists!$F$11), NOT(O48=Lists!$F$13))),0,IF(ISBLANK(P48)=FALSE,0,1))</f>
        <v>0</v>
      </c>
      <c r="AE48" s="71"/>
      <c r="AF48" s="505">
        <f xml:space="preserve"> IF(OR( AND( K48 = Lists!$F$11, '3A'!L48 &lt; 0), AND( '3A'!M48 = Lists!$F$11, '3A'!N48 &lt; 0), AND( '3A'!O48 = Lists!$F$11, '3A'!P48 &lt; 0)), 1, 0)</f>
        <v>0</v>
      </c>
      <c r="AG48" s="505">
        <f xml:space="preserve"> IF( OR( AND( K48 = Lists!$F$13, '3A'!L48 &gt; 0), AND( M48 = Lists!$F$13, '3A'!N48 &gt; 0), AND( O48 = Lists!$F$13, '3A'!P48 &gt; 0 )), 1, 0)</f>
        <v>0</v>
      </c>
      <c r="AH48" s="507"/>
      <c r="AI48" s="666" t="str">
        <f>IF($P$1="Select company","",IF((HLOOKUP(((VLOOKUP($P$1,Lists!$B$4:$C$26,2,FALSE))&amp;'PC LIST'!$J$2),'PC list edited'!$A$2:$EJ$65,(B48+1),FALSE))=0,"",HLOOKUP(((VLOOKUP($P$1,Lists!$B$4:$C$26,2,FALSE))&amp; 'PC LIST'!$J$2),'PC list edited'!$A$2:$EJ$65,(B48+1),FALSE)))</f>
        <v/>
      </c>
      <c r="AJ48" s="2239" t="str">
        <f>IFERROR(INDEX('PC LIST'!N$3:N$631, MATCH($C48, 'PC LIST'!$B$3:$B$631, 0)),"")</f>
        <v/>
      </c>
    </row>
    <row r="49" spans="1:36" s="308" customFormat="1" ht="30.2" customHeight="1">
      <c r="A49" s="74"/>
      <c r="B49" s="289">
        <f t="shared" si="3"/>
        <v>45</v>
      </c>
      <c r="C49" s="496" t="str">
        <f>IF($P$1="Select company","",IF((HLOOKUP((VLOOKUP($P$1,Lists!$B$4:$C$26,2,FALSE)),'PC list edited'!$A$2:$EJ$65,(B49+1),FALSE))=0,"",HLOOKUP((VLOOKUP($P$1,Lists!$B$4:$C$26,2,FALSE)),'PC list edited'!$A$2:$EJ$65,(B49+1),FALSE)))</f>
        <v/>
      </c>
      <c r="D49" s="495" t="str">
        <f>IF($P$1="Select company","",IF(C49 ="","",HLOOKUP(((VLOOKUP($P$1,Lists!$B$4:$C$26,2,FALSE))&amp;"PC"),'PC list edited'!$A$2:$EJ$65,(B49+1),FALSE)))</f>
        <v/>
      </c>
      <c r="E49" s="314" t="str">
        <f>IF($P$1="Select company","",IF(C49 ="","",HLOOKUP(((VLOOKUP($P$1,Lists!$B$4:$C$26,2,FALSE))&amp;"unit"),'PC list edited'!$A$2:$EJ$65,(B49+1),FALSE)))</f>
        <v/>
      </c>
      <c r="F49" s="314" t="str">
        <f>IF($P$1="Select company","",IF(C49 ="","",HLOOKUP(((VLOOKUP($P$1,Lists!$B$4:$C$26,2,FALSE))&amp;"UnitDes"),'PC list edited'!$A$2:$EJ$65,(B49+1),FALSE)))</f>
        <v/>
      </c>
      <c r="G49" s="515" t="str">
        <f>IF($P$1="Select company","",IF(C49="","",HLOOKUP(((VLOOKUP($P$1,Lists!$B$4:$C$26,2,FALSE))&amp;"DP"),'PC list edited'!$A$2:$EJ$65,(B49+1),FALSE)))</f>
        <v/>
      </c>
      <c r="H49" s="515" t="str">
        <f>IF($P$1="Select company","",IF(C49 = "","",HLOOKUP(((VLOOKUP($P$1,Lists!$B$4:$C$26,2,FALSE))&amp;"201819Actual"),'PC list edited'!$A$2:$EJ$65,(B49+1),FALSE)))</f>
        <v/>
      </c>
      <c r="I49" s="550"/>
      <c r="J49" s="664"/>
      <c r="K49" s="499"/>
      <c r="L49" s="500"/>
      <c r="M49" s="499"/>
      <c r="N49" s="500"/>
      <c r="O49" s="2945"/>
      <c r="P49" s="2946"/>
      <c r="Q49" s="130"/>
      <c r="R49" s="503">
        <f t="shared" si="4"/>
        <v>0</v>
      </c>
      <c r="S49" s="24">
        <f t="shared" si="5"/>
        <v>0</v>
      </c>
      <c r="T49" s="70"/>
      <c r="U49" s="71"/>
      <c r="V49" s="93">
        <f t="shared" si="6"/>
        <v>0</v>
      </c>
      <c r="W49" s="93">
        <f>IF($C49="",0,IF(ISBLANK(#REF!)=FALSE,0,1))</f>
        <v>0</v>
      </c>
      <c r="X49" s="93">
        <f t="shared" si="0"/>
        <v>0</v>
      </c>
      <c r="Y49" s="93">
        <f>IF(OR(ISBLANK(L49), L49=0), 0, IF(OR(K49=Lists!$F$11, K49=Lists!$F$13), 0, 1))</f>
        <v>0</v>
      </c>
      <c r="Z49" s="93">
        <f>IF(OR($C49="", AND(NOT(K49=Lists!$F$11), NOT(K49=Lists!$F$13))),0,IF(ISBLANK(L49)=FALSE,0,1))</f>
        <v>0</v>
      </c>
      <c r="AA49" s="93">
        <f>IF(OR(ISBLANK(N49), N49=0), 0, IF(OR(M49=Lists!$F$11, M49=Lists!$F$13), 0, 1))</f>
        <v>0</v>
      </c>
      <c r="AB49" s="93">
        <f>IF(OR($C49="", AND(NOT(M49=Lists!$F$11), NOT(M49=Lists!$F$13))),0,IF(ISBLANK(N49)=FALSE,0,1))</f>
        <v>0</v>
      </c>
      <c r="AC49" s="93">
        <f>IF(OR(ISBLANK(P49), P49=0), 0, IF(OR(O49=Lists!$F$11, O49=Lists!$F$13), 0, 1))</f>
        <v>0</v>
      </c>
      <c r="AD49" s="93">
        <f>IF(OR($C49="", AND(NOT(O49=Lists!$F$11), NOT(O49=Lists!$F$13))),0,IF(ISBLANK(P49)=FALSE,0,1))</f>
        <v>0</v>
      </c>
      <c r="AE49" s="71"/>
      <c r="AF49" s="505">
        <f xml:space="preserve"> IF(OR( AND( K49 = Lists!$F$11, '3A'!L49 &lt; 0), AND( '3A'!M49 = Lists!$F$11, '3A'!N49 &lt; 0), AND( '3A'!O49 = Lists!$F$11, '3A'!P49 &lt; 0)), 1, 0)</f>
        <v>0</v>
      </c>
      <c r="AG49" s="505">
        <f xml:space="preserve"> IF( OR( AND( K49 = Lists!$F$13, '3A'!L49 &gt; 0), AND( M49 = Lists!$F$13, '3A'!N49 &gt; 0), AND( O49 = Lists!$F$13, '3A'!P49 &gt; 0 )), 1, 0)</f>
        <v>0</v>
      </c>
      <c r="AH49" s="507"/>
      <c r="AI49" s="666" t="str">
        <f>IF($P$1="Select company","",IF((HLOOKUP(((VLOOKUP($P$1,Lists!$B$4:$C$26,2,FALSE))&amp;'PC LIST'!$J$2),'PC list edited'!$A$2:$EJ$65,(B49+1),FALSE))=0,"",HLOOKUP(((VLOOKUP($P$1,Lists!$B$4:$C$26,2,FALSE))&amp; 'PC LIST'!$J$2),'PC list edited'!$A$2:$EJ$65,(B49+1),FALSE)))</f>
        <v/>
      </c>
      <c r="AJ49" s="2239" t="str">
        <f>IFERROR(INDEX('PC LIST'!N$3:N$631, MATCH($C49, 'PC LIST'!$B$3:$B$631, 0)),"")</f>
        <v/>
      </c>
    </row>
    <row r="50" spans="1:36" s="308" customFormat="1" ht="30.2" customHeight="1">
      <c r="A50" s="74"/>
      <c r="B50" s="289">
        <f t="shared" si="3"/>
        <v>46</v>
      </c>
      <c r="C50" s="496" t="str">
        <f>IF($P$1="Select company","",IF((HLOOKUP((VLOOKUP($P$1,Lists!$B$4:$C$26,2,FALSE)),'PC list edited'!$A$2:$EJ$65,(B50+1),FALSE))=0,"",HLOOKUP((VLOOKUP($P$1,Lists!$B$4:$C$26,2,FALSE)),'PC list edited'!$A$2:$EJ$65,(B50+1),FALSE)))</f>
        <v/>
      </c>
      <c r="D50" s="495" t="str">
        <f>IF($P$1="Select company","",IF(C50 ="","",HLOOKUP(((VLOOKUP($P$1,Lists!$B$4:$C$26,2,FALSE))&amp;"PC"),'PC list edited'!$A$2:$EJ$65,(B50+1),FALSE)))</f>
        <v/>
      </c>
      <c r="E50" s="314" t="str">
        <f>IF($P$1="Select company","",IF(C50 ="","",HLOOKUP(((VLOOKUP($P$1,Lists!$B$4:$C$26,2,FALSE))&amp;"unit"),'PC list edited'!$A$2:$EJ$65,(B50+1),FALSE)))</f>
        <v/>
      </c>
      <c r="F50" s="314" t="str">
        <f>IF($P$1="Select company","",IF(C50 ="","",HLOOKUP(((VLOOKUP($P$1,Lists!$B$4:$C$26,2,FALSE))&amp;"UnitDes"),'PC list edited'!$A$2:$EJ$65,(B50+1),FALSE)))</f>
        <v/>
      </c>
      <c r="G50" s="515" t="str">
        <f>IF($P$1="Select company","",IF(C50="","",HLOOKUP(((VLOOKUP($P$1,Lists!$B$4:$C$26,2,FALSE))&amp;"DP"),'PC list edited'!$A$2:$EJ$65,(B50+1),FALSE)))</f>
        <v/>
      </c>
      <c r="H50" s="515" t="str">
        <f>IF($P$1="Select company","",IF(C50 = "","",HLOOKUP(((VLOOKUP($P$1,Lists!$B$4:$C$26,2,FALSE))&amp;"201819Actual"),'PC list edited'!$A$2:$EJ$65,(B50+1),FALSE)))</f>
        <v/>
      </c>
      <c r="I50" s="550"/>
      <c r="J50" s="664"/>
      <c r="K50" s="499"/>
      <c r="L50" s="500"/>
      <c r="M50" s="499"/>
      <c r="N50" s="500"/>
      <c r="O50" s="2945"/>
      <c r="P50" s="2946"/>
      <c r="Q50" s="130"/>
      <c r="R50" s="503">
        <f t="shared" si="4"/>
        <v>0</v>
      </c>
      <c r="S50" s="24">
        <f t="shared" si="5"/>
        <v>0</v>
      </c>
      <c r="T50" s="70"/>
      <c r="U50" s="71"/>
      <c r="V50" s="93">
        <f t="shared" si="6"/>
        <v>0</v>
      </c>
      <c r="W50" s="93">
        <f>IF($C50="",0,IF(ISBLANK(#REF!)=FALSE,0,1))</f>
        <v>0</v>
      </c>
      <c r="X50" s="93">
        <f t="shared" ref="X50:X60" si="7">IF($C50="",0,IF(ISBLANK(J50)=FALSE,0,1))</f>
        <v>0</v>
      </c>
      <c r="Y50" s="93">
        <f>IF(OR(ISBLANK(L50), L50=0), 0, IF(OR(K50=Lists!$F$11, K50=Lists!$F$13), 0, 1))</f>
        <v>0</v>
      </c>
      <c r="Z50" s="93">
        <f>IF(OR($C50="", AND(NOT(K50=Lists!$F$11), NOT(K50=Lists!$F$13))),0,IF(ISBLANK(L50)=FALSE,0,1))</f>
        <v>0</v>
      </c>
      <c r="AA50" s="93">
        <f>IF(OR(ISBLANK(N50), N50=0), 0, IF(OR(M50=Lists!$F$11, M50=Lists!$F$13), 0, 1))</f>
        <v>0</v>
      </c>
      <c r="AB50" s="93">
        <f>IF(OR($C50="", AND(NOT(M50=Lists!$F$11), NOT(M50=Lists!$F$13))),0,IF(ISBLANK(N50)=FALSE,0,1))</f>
        <v>0</v>
      </c>
      <c r="AC50" s="93">
        <f>IF(OR(ISBLANK(P50), P50=0), 0, IF(OR(O50=Lists!$F$11, O50=Lists!$F$13), 0, 1))</f>
        <v>0</v>
      </c>
      <c r="AD50" s="93">
        <f>IF(OR($C50="", AND(NOT(O50=Lists!$F$11), NOT(O50=Lists!$F$13))),0,IF(ISBLANK(P50)=FALSE,0,1))</f>
        <v>0</v>
      </c>
      <c r="AE50" s="71"/>
      <c r="AF50" s="505">
        <f xml:space="preserve"> IF(OR( AND( K50 = Lists!$F$11, '3A'!L50 &lt; 0), AND( '3A'!M50 = Lists!$F$11, '3A'!N50 &lt; 0), AND( '3A'!O50 = Lists!$F$11, '3A'!P50 &lt; 0)), 1, 0)</f>
        <v>0</v>
      </c>
      <c r="AG50" s="505">
        <f xml:space="preserve"> IF( OR( AND( K50 = Lists!$F$13, '3A'!L50 &gt; 0), AND( M50 = Lists!$F$13, '3A'!N50 &gt; 0), AND( O50 = Lists!$F$13, '3A'!P50 &gt; 0 )), 1, 0)</f>
        <v>0</v>
      </c>
      <c r="AH50" s="507"/>
      <c r="AI50" s="666" t="str">
        <f>IF($P$1="Select company","",IF((HLOOKUP(((VLOOKUP($P$1,Lists!$B$4:$C$26,2,FALSE))&amp;'PC LIST'!$J$2),'PC list edited'!$A$2:$EJ$65,(B50+1),FALSE))=0,"",HLOOKUP(((VLOOKUP($P$1,Lists!$B$4:$C$26,2,FALSE))&amp; 'PC LIST'!$J$2),'PC list edited'!$A$2:$EJ$65,(B50+1),FALSE)))</f>
        <v/>
      </c>
      <c r="AJ50" s="2239" t="str">
        <f>IFERROR(INDEX('PC LIST'!N$3:N$631, MATCH($C50, 'PC LIST'!$B$3:$B$631, 0)),"")</f>
        <v/>
      </c>
    </row>
    <row r="51" spans="1:36" s="308" customFormat="1" ht="30.2" customHeight="1">
      <c r="A51" s="74"/>
      <c r="B51" s="289">
        <f t="shared" si="3"/>
        <v>47</v>
      </c>
      <c r="C51" s="496" t="str">
        <f>IF($P$1="Select company","",IF((HLOOKUP((VLOOKUP($P$1,Lists!$B$4:$C$26,2,FALSE)),'PC list edited'!$A$2:$EJ$65,(B51+1),FALSE))=0,"",HLOOKUP((VLOOKUP($P$1,Lists!$B$4:$C$26,2,FALSE)),'PC list edited'!$A$2:$EJ$65,(B51+1),FALSE)))</f>
        <v/>
      </c>
      <c r="D51" s="495" t="str">
        <f>IF($P$1="Select company","",IF(C51 ="","",HLOOKUP(((VLOOKUP($P$1,Lists!$B$4:$C$26,2,FALSE))&amp;"PC"),'PC list edited'!$A$2:$EJ$65,(B51+1),FALSE)))</f>
        <v/>
      </c>
      <c r="E51" s="314" t="str">
        <f>IF($P$1="Select company","",IF(C51 ="","",HLOOKUP(((VLOOKUP($P$1,Lists!$B$4:$C$26,2,FALSE))&amp;"unit"),'PC list edited'!$A$2:$EJ$65,(B51+1),FALSE)))</f>
        <v/>
      </c>
      <c r="F51" s="314" t="str">
        <f>IF($P$1="Select company","",IF(C51 ="","",HLOOKUP(((VLOOKUP($P$1,Lists!$B$4:$C$26,2,FALSE))&amp;"UnitDes"),'PC list edited'!$A$2:$EJ$65,(B51+1),FALSE)))</f>
        <v/>
      </c>
      <c r="G51" s="515" t="str">
        <f>IF($P$1="Select company","",IF(C51="","",HLOOKUP(((VLOOKUP($P$1,Lists!$B$4:$C$26,2,FALSE))&amp;"DP"),'PC list edited'!$A$2:$EJ$65,(B51+1),FALSE)))</f>
        <v/>
      </c>
      <c r="H51" s="515" t="str">
        <f>IF($P$1="Select company","",IF(C51 = "","",HLOOKUP(((VLOOKUP($P$1,Lists!$B$4:$C$26,2,FALSE))&amp;"201819Actual"),'PC list edited'!$A$2:$EJ$65,(B51+1),FALSE)))</f>
        <v/>
      </c>
      <c r="I51" s="550"/>
      <c r="J51" s="664"/>
      <c r="K51" s="499"/>
      <c r="L51" s="500"/>
      <c r="M51" s="499"/>
      <c r="N51" s="500"/>
      <c r="O51" s="2945"/>
      <c r="P51" s="2946"/>
      <c r="Q51" s="130"/>
      <c r="R51" s="503">
        <f t="shared" si="4"/>
        <v>0</v>
      </c>
      <c r="S51" s="24">
        <f t="shared" si="5"/>
        <v>0</v>
      </c>
      <c r="T51" s="70"/>
      <c r="U51" s="71"/>
      <c r="V51" s="93">
        <f t="shared" si="6"/>
        <v>0</v>
      </c>
      <c r="W51" s="93">
        <f>IF($C51="",0,IF(ISBLANK(#REF!)=FALSE,0,1))</f>
        <v>0</v>
      </c>
      <c r="X51" s="93">
        <f t="shared" si="7"/>
        <v>0</v>
      </c>
      <c r="Y51" s="93">
        <f>IF(OR(ISBLANK(L51), L51=0), 0, IF(OR(K51=Lists!$F$11, K51=Lists!$F$13), 0, 1))</f>
        <v>0</v>
      </c>
      <c r="Z51" s="93">
        <f>IF(OR($C51="", AND(NOT(K51=Lists!$F$11), NOT(K51=Lists!$F$13))),0,IF(ISBLANK(L51)=FALSE,0,1))</f>
        <v>0</v>
      </c>
      <c r="AA51" s="93">
        <f>IF(OR(ISBLANK(N51), N51=0), 0, IF(OR(M51=Lists!$F$11, M51=Lists!$F$13), 0, 1))</f>
        <v>0</v>
      </c>
      <c r="AB51" s="93">
        <f>IF(OR($C51="", AND(NOT(M51=Lists!$F$11), NOT(M51=Lists!$F$13))),0,IF(ISBLANK(N51)=FALSE,0,1))</f>
        <v>0</v>
      </c>
      <c r="AC51" s="93">
        <f>IF(OR(ISBLANK(P51), P51=0), 0, IF(OR(O51=Lists!$F$11, O51=Lists!$F$13), 0, 1))</f>
        <v>0</v>
      </c>
      <c r="AD51" s="93">
        <f>IF(OR($C51="", AND(NOT(O51=Lists!$F$11), NOT(O51=Lists!$F$13))),0,IF(ISBLANK(P51)=FALSE,0,1))</f>
        <v>0</v>
      </c>
      <c r="AE51" s="71"/>
      <c r="AF51" s="505">
        <f xml:space="preserve"> IF(OR( AND( K51 = Lists!$F$11, '3A'!L51 &lt; 0), AND( '3A'!M51 = Lists!$F$11, '3A'!N51 &lt; 0), AND( '3A'!O51 = Lists!$F$11, '3A'!P51 &lt; 0)), 1, 0)</f>
        <v>0</v>
      </c>
      <c r="AG51" s="505">
        <f xml:space="preserve"> IF( OR( AND( K51 = Lists!$F$13, '3A'!L51 &gt; 0), AND( M51 = Lists!$F$13, '3A'!N51 &gt; 0), AND( O51 = Lists!$F$13, '3A'!P51 &gt; 0 )), 1, 0)</f>
        <v>0</v>
      </c>
      <c r="AH51" s="507"/>
      <c r="AI51" s="666" t="str">
        <f>IF($P$1="Select company","",IF((HLOOKUP(((VLOOKUP($P$1,Lists!$B$4:$C$26,2,FALSE))&amp;'PC LIST'!$J$2),'PC list edited'!$A$2:$EJ$65,(B51+1),FALSE))=0,"",HLOOKUP(((VLOOKUP($P$1,Lists!$B$4:$C$26,2,FALSE))&amp; 'PC LIST'!$J$2),'PC list edited'!$A$2:$EJ$65,(B51+1),FALSE)))</f>
        <v/>
      </c>
      <c r="AJ51" s="2239" t="str">
        <f>IFERROR(INDEX('PC LIST'!N$3:N$631, MATCH($C51, 'PC LIST'!$B$3:$B$631, 0)),"")</f>
        <v/>
      </c>
    </row>
    <row r="52" spans="1:36" s="308" customFormat="1" ht="30.2" customHeight="1">
      <c r="A52" s="74"/>
      <c r="B52" s="289">
        <f t="shared" si="3"/>
        <v>48</v>
      </c>
      <c r="C52" s="496" t="str">
        <f>IF($P$1="Select company","",IF((HLOOKUP((VLOOKUP($P$1,Lists!$B$4:$C$26,2,FALSE)),'PC list edited'!$A$2:$EJ$65,(B52+1),FALSE))=0,"",HLOOKUP((VLOOKUP($P$1,Lists!$B$4:$C$26,2,FALSE)),'PC list edited'!$A$2:$EJ$65,(B52+1),FALSE)))</f>
        <v/>
      </c>
      <c r="D52" s="495" t="str">
        <f>IF($P$1="Select company","",IF(C52 ="","",HLOOKUP(((VLOOKUP($P$1,Lists!$B$4:$C$26,2,FALSE))&amp;"PC"),'PC list edited'!$A$2:$EJ$65,(B52+1),FALSE)))</f>
        <v/>
      </c>
      <c r="E52" s="314" t="str">
        <f>IF($P$1="Select company","",IF(C52 ="","",HLOOKUP(((VLOOKUP($P$1,Lists!$B$4:$C$26,2,FALSE))&amp;"unit"),'PC list edited'!$A$2:$EJ$65,(B52+1),FALSE)))</f>
        <v/>
      </c>
      <c r="F52" s="314" t="str">
        <f>IF($P$1="Select company","",IF(C52 ="","",HLOOKUP(((VLOOKUP($P$1,Lists!$B$4:$C$26,2,FALSE))&amp;"UnitDes"),'PC list edited'!$A$2:$EJ$65,(B52+1),FALSE)))</f>
        <v/>
      </c>
      <c r="G52" s="515" t="str">
        <f>IF($P$1="Select company","",IF(C52="","",HLOOKUP(((VLOOKUP($P$1,Lists!$B$4:$C$26,2,FALSE))&amp;"DP"),'PC list edited'!$A$2:$EJ$65,(B52+1),FALSE)))</f>
        <v/>
      </c>
      <c r="H52" s="515" t="str">
        <f>IF($P$1="Select company","",IF(C52 = "","",HLOOKUP(((VLOOKUP($P$1,Lists!$B$4:$C$26,2,FALSE))&amp;"201819Actual"),'PC list edited'!$A$2:$EJ$65,(B52+1),FALSE)))</f>
        <v/>
      </c>
      <c r="I52" s="550"/>
      <c r="J52" s="664"/>
      <c r="K52" s="499"/>
      <c r="L52" s="500"/>
      <c r="M52" s="499"/>
      <c r="N52" s="500"/>
      <c r="O52" s="2945"/>
      <c r="P52" s="2946"/>
      <c r="Q52" s="130"/>
      <c r="R52" s="503">
        <f t="shared" si="4"/>
        <v>0</v>
      </c>
      <c r="S52" s="24">
        <f t="shared" si="5"/>
        <v>0</v>
      </c>
      <c r="T52" s="70"/>
      <c r="U52" s="71"/>
      <c r="V52" s="93">
        <f t="shared" si="6"/>
        <v>0</v>
      </c>
      <c r="W52" s="93">
        <f>IF($C52="",0,IF(ISBLANK(#REF!)=FALSE,0,1))</f>
        <v>0</v>
      </c>
      <c r="X52" s="93">
        <f t="shared" si="7"/>
        <v>0</v>
      </c>
      <c r="Y52" s="93">
        <f>IF(OR(ISBLANK(L52), L52=0), 0, IF(OR(K52=Lists!$F$11, K52=Lists!$F$13), 0, 1))</f>
        <v>0</v>
      </c>
      <c r="Z52" s="93">
        <f>IF(OR($C52="", AND(NOT(K52=Lists!$F$11), NOT(K52=Lists!$F$13))),0,IF(ISBLANK(L52)=FALSE,0,1))</f>
        <v>0</v>
      </c>
      <c r="AA52" s="93">
        <f>IF(OR(ISBLANK(N52), N52=0), 0, IF(OR(M52=Lists!$F$11, M52=Lists!$F$13), 0, 1))</f>
        <v>0</v>
      </c>
      <c r="AB52" s="93">
        <f>IF(OR($C52="", AND(NOT(M52=Lists!$F$11), NOT(M52=Lists!$F$13))),0,IF(ISBLANK(N52)=FALSE,0,1))</f>
        <v>0</v>
      </c>
      <c r="AC52" s="93">
        <f>IF(OR(ISBLANK(P52), P52=0), 0, IF(OR(O52=Lists!$F$11, O52=Lists!$F$13), 0, 1))</f>
        <v>0</v>
      </c>
      <c r="AD52" s="93">
        <f>IF(OR($C52="", AND(NOT(O52=Lists!$F$11), NOT(O52=Lists!$F$13))),0,IF(ISBLANK(P52)=FALSE,0,1))</f>
        <v>0</v>
      </c>
      <c r="AE52" s="71"/>
      <c r="AF52" s="505">
        <f xml:space="preserve"> IF(OR( AND( K52 = Lists!$F$11, '3A'!L52 &lt; 0), AND( '3A'!M52 = Lists!$F$11, '3A'!N52 &lt; 0), AND( '3A'!O52 = Lists!$F$11, '3A'!P52 &lt; 0)), 1, 0)</f>
        <v>0</v>
      </c>
      <c r="AG52" s="505">
        <f xml:space="preserve"> IF( OR( AND( K52 = Lists!$F$13, '3A'!L52 &gt; 0), AND( M52 = Lists!$F$13, '3A'!N52 &gt; 0), AND( O52 = Lists!$F$13, '3A'!P52 &gt; 0 )), 1, 0)</f>
        <v>0</v>
      </c>
      <c r="AH52" s="507"/>
      <c r="AI52" s="666" t="str">
        <f>IF($P$1="Select company","",IF((HLOOKUP(((VLOOKUP($P$1,Lists!$B$4:$C$26,2,FALSE))&amp;'PC LIST'!$J$2),'PC list edited'!$A$2:$EJ$65,(B52+1),FALSE))=0,"",HLOOKUP(((VLOOKUP($P$1,Lists!$B$4:$C$26,2,FALSE))&amp; 'PC LIST'!$J$2),'PC list edited'!$A$2:$EJ$65,(B52+1),FALSE)))</f>
        <v/>
      </c>
      <c r="AJ52" s="2239" t="str">
        <f>IFERROR(INDEX('PC LIST'!N$3:N$631, MATCH($C52, 'PC LIST'!$B$3:$B$631, 0)),"")</f>
        <v/>
      </c>
    </row>
    <row r="53" spans="1:36" s="308" customFormat="1" ht="30.2" customHeight="1">
      <c r="A53" s="74"/>
      <c r="B53" s="289">
        <f t="shared" si="3"/>
        <v>49</v>
      </c>
      <c r="C53" s="496" t="str">
        <f>IF($P$1="Select company","",IF((HLOOKUP((VLOOKUP($P$1,Lists!$B$4:$C$26,2,FALSE)),'PC list edited'!$A$2:$EJ$65,(B53+1),FALSE))=0,"",HLOOKUP((VLOOKUP($P$1,Lists!$B$4:$C$26,2,FALSE)),'PC list edited'!$A$2:$EJ$65,(B53+1),FALSE)))</f>
        <v/>
      </c>
      <c r="D53" s="495" t="str">
        <f>IF($P$1="Select company","",IF(C53 ="","",HLOOKUP(((VLOOKUP($P$1,Lists!$B$4:$C$26,2,FALSE))&amp;"PC"),'PC list edited'!$A$2:$EJ$65,(B53+1),FALSE)))</f>
        <v/>
      </c>
      <c r="E53" s="314" t="str">
        <f>IF($P$1="Select company","",IF(C53 ="","",HLOOKUP(((VLOOKUP($P$1,Lists!$B$4:$C$26,2,FALSE))&amp;"unit"),'PC list edited'!$A$2:$EJ$65,(B53+1),FALSE)))</f>
        <v/>
      </c>
      <c r="F53" s="314" t="str">
        <f>IF($P$1="Select company","",IF(C53 ="","",HLOOKUP(((VLOOKUP($P$1,Lists!$B$4:$C$26,2,FALSE))&amp;"UnitDes"),'PC list edited'!$A$2:$EJ$65,(B53+1),FALSE)))</f>
        <v/>
      </c>
      <c r="G53" s="515" t="str">
        <f>IF($P$1="Select company","",IF(C53="","",HLOOKUP(((VLOOKUP($P$1,Lists!$B$4:$C$26,2,FALSE))&amp;"DP"),'PC list edited'!$A$2:$EJ$65,(B53+1),FALSE)))</f>
        <v/>
      </c>
      <c r="H53" s="515" t="str">
        <f>IF($P$1="Select company","",IF(C53 = "","",HLOOKUP(((VLOOKUP($P$1,Lists!$B$4:$C$26,2,FALSE))&amp;"201819Actual"),'PC list edited'!$A$2:$EJ$65,(B53+1),FALSE)))</f>
        <v/>
      </c>
      <c r="I53" s="550"/>
      <c r="J53" s="664"/>
      <c r="K53" s="499"/>
      <c r="L53" s="500"/>
      <c r="M53" s="499"/>
      <c r="N53" s="500"/>
      <c r="O53" s="2945"/>
      <c r="P53" s="2946"/>
      <c r="Q53" s="130"/>
      <c r="R53" s="503">
        <f t="shared" si="4"/>
        <v>0</v>
      </c>
      <c r="S53" s="24">
        <f t="shared" si="5"/>
        <v>0</v>
      </c>
      <c r="T53" s="70"/>
      <c r="U53" s="71"/>
      <c r="V53" s="93">
        <f t="shared" si="6"/>
        <v>0</v>
      </c>
      <c r="W53" s="93">
        <f>IF($C53="",0,IF(ISBLANK(#REF!)=FALSE,0,1))</f>
        <v>0</v>
      </c>
      <c r="X53" s="93">
        <f t="shared" si="7"/>
        <v>0</v>
      </c>
      <c r="Y53" s="93">
        <f>IF(OR(ISBLANK(L53), L53=0), 0, IF(OR(K53=Lists!$F$11, K53=Lists!$F$13), 0, 1))</f>
        <v>0</v>
      </c>
      <c r="Z53" s="93">
        <f>IF(OR($C53="", AND(NOT(K53=Lists!$F$11), NOT(K53=Lists!$F$13))),0,IF(ISBLANK(L53)=FALSE,0,1))</f>
        <v>0</v>
      </c>
      <c r="AA53" s="93">
        <f>IF(OR(ISBLANK(N53), N53=0), 0, IF(OR(M53=Lists!$F$11, M53=Lists!$F$13), 0, 1))</f>
        <v>0</v>
      </c>
      <c r="AB53" s="93">
        <f>IF(OR($C53="", AND(NOT(M53=Lists!$F$11), NOT(M53=Lists!$F$13))),0,IF(ISBLANK(N53)=FALSE,0,1))</f>
        <v>0</v>
      </c>
      <c r="AC53" s="93">
        <f>IF(OR(ISBLANK(P53), P53=0), 0, IF(OR(O53=Lists!$F$11, O53=Lists!$F$13), 0, 1))</f>
        <v>0</v>
      </c>
      <c r="AD53" s="93">
        <f>IF(OR($C53="", AND(NOT(O53=Lists!$F$11), NOT(O53=Lists!$F$13))),0,IF(ISBLANK(P53)=FALSE,0,1))</f>
        <v>0</v>
      </c>
      <c r="AE53" s="71"/>
      <c r="AF53" s="505">
        <f xml:space="preserve"> IF(OR( AND( K53 = Lists!$F$11, '3A'!L53 &lt; 0), AND( '3A'!M53 = Lists!$F$11, '3A'!N53 &lt; 0), AND( '3A'!O53 = Lists!$F$11, '3A'!P53 &lt; 0)), 1, 0)</f>
        <v>0</v>
      </c>
      <c r="AG53" s="505">
        <f xml:space="preserve"> IF( OR( AND( K53 = Lists!$F$13, '3A'!L53 &gt; 0), AND( M53 = Lists!$F$13, '3A'!N53 &gt; 0), AND( O53 = Lists!$F$13, '3A'!P53 &gt; 0 )), 1, 0)</f>
        <v>0</v>
      </c>
      <c r="AH53" s="507"/>
      <c r="AI53" s="666" t="str">
        <f>IF($P$1="Select company","",IF((HLOOKUP(((VLOOKUP($P$1,Lists!$B$4:$C$26,2,FALSE))&amp;'PC LIST'!$J$2),'PC list edited'!$A$2:$EJ$65,(B53+1),FALSE))=0,"",HLOOKUP(((VLOOKUP($P$1,Lists!$B$4:$C$26,2,FALSE))&amp; 'PC LIST'!$J$2),'PC list edited'!$A$2:$EJ$65,(B53+1),FALSE)))</f>
        <v/>
      </c>
      <c r="AJ53" s="2239" t="str">
        <f>IFERROR(INDEX('PC LIST'!N$3:N$631, MATCH($C53, 'PC LIST'!$B$3:$B$631, 0)),"")</f>
        <v/>
      </c>
    </row>
    <row r="54" spans="1:36" s="308" customFormat="1" ht="30.2" customHeight="1">
      <c r="A54" s="74"/>
      <c r="B54" s="289">
        <f t="shared" si="3"/>
        <v>50</v>
      </c>
      <c r="C54" s="496" t="str">
        <f>IF($P$1="Select company","",IF((HLOOKUP((VLOOKUP($P$1,Lists!$B$4:$C$26,2,FALSE)),'PC list edited'!$A$2:$EJ$65,(B54+1),FALSE))=0,"",HLOOKUP((VLOOKUP($P$1,Lists!$B$4:$C$26,2,FALSE)),'PC list edited'!$A$2:$EJ$65,(B54+1),FALSE)))</f>
        <v/>
      </c>
      <c r="D54" s="495" t="str">
        <f>IF($P$1="Select company","",IF(C54 ="","",HLOOKUP(((VLOOKUP($P$1,Lists!$B$4:$C$26,2,FALSE))&amp;"PC"),'PC list edited'!$A$2:$EJ$65,(B54+1),FALSE)))</f>
        <v/>
      </c>
      <c r="E54" s="314" t="str">
        <f>IF($P$1="Select company","",IF(C54 ="","",HLOOKUP(((VLOOKUP($P$1,Lists!$B$4:$C$26,2,FALSE))&amp;"unit"),'PC list edited'!$A$2:$EJ$65,(B54+1),FALSE)))</f>
        <v/>
      </c>
      <c r="F54" s="314" t="str">
        <f>IF($P$1="Select company","",IF(C54 ="","",HLOOKUP(((VLOOKUP($P$1,Lists!$B$4:$C$26,2,FALSE))&amp;"UnitDes"),'PC list edited'!$A$2:$EJ$65,(B54+1),FALSE)))</f>
        <v/>
      </c>
      <c r="G54" s="515" t="str">
        <f>IF($P$1="Select company","",IF(C54="","",HLOOKUP(((VLOOKUP($P$1,Lists!$B$4:$C$26,2,FALSE))&amp;"DP"),'PC list edited'!$A$2:$EJ$65,(B54+1),FALSE)))</f>
        <v/>
      </c>
      <c r="H54" s="515" t="str">
        <f>IF($P$1="Select company","",IF(C54 = "","",HLOOKUP(((VLOOKUP($P$1,Lists!$B$4:$C$26,2,FALSE))&amp;"201819Actual"),'PC list edited'!$A$2:$EJ$65,(B54+1),FALSE)))</f>
        <v/>
      </c>
      <c r="I54" s="550"/>
      <c r="J54" s="664"/>
      <c r="K54" s="499"/>
      <c r="L54" s="500"/>
      <c r="M54" s="499"/>
      <c r="N54" s="500"/>
      <c r="O54" s="2945"/>
      <c r="P54" s="2946"/>
      <c r="Q54" s="130"/>
      <c r="R54" s="503">
        <f t="shared" si="4"/>
        <v>0</v>
      </c>
      <c r="S54" s="24">
        <f t="shared" si="5"/>
        <v>0</v>
      </c>
      <c r="T54" s="70"/>
      <c r="U54" s="71"/>
      <c r="V54" s="93">
        <f t="shared" si="6"/>
        <v>0</v>
      </c>
      <c r="W54" s="93">
        <f>IF($C54="",0,IF(ISBLANK(#REF!)=FALSE,0,1))</f>
        <v>0</v>
      </c>
      <c r="X54" s="93">
        <f t="shared" si="7"/>
        <v>0</v>
      </c>
      <c r="Y54" s="93">
        <f>IF(OR(ISBLANK(L54), L54=0), 0, IF(OR(K54=Lists!$F$11, K54=Lists!$F$13), 0, 1))</f>
        <v>0</v>
      </c>
      <c r="Z54" s="93">
        <f>IF(OR($C54="", AND(NOT(K54=Lists!$F$11), NOT(K54=Lists!$F$13))),0,IF(ISBLANK(L54)=FALSE,0,1))</f>
        <v>0</v>
      </c>
      <c r="AA54" s="93">
        <f>IF(OR(ISBLANK(N54), N54=0), 0, IF(OR(M54=Lists!$F$11, M54=Lists!$F$13), 0, 1))</f>
        <v>0</v>
      </c>
      <c r="AB54" s="93">
        <f>IF(OR($C54="", AND(NOT(M54=Lists!$F$11), NOT(M54=Lists!$F$13))),0,IF(ISBLANK(N54)=FALSE,0,1))</f>
        <v>0</v>
      </c>
      <c r="AC54" s="93">
        <f>IF(OR(ISBLANK(P54), P54=0), 0, IF(OR(O54=Lists!$F$11, O54=Lists!$F$13), 0, 1))</f>
        <v>0</v>
      </c>
      <c r="AD54" s="93">
        <f>IF(OR($C54="", AND(NOT(O54=Lists!$F$11), NOT(O54=Lists!$F$13))),0,IF(ISBLANK(P54)=FALSE,0,1))</f>
        <v>0</v>
      </c>
      <c r="AE54" s="71"/>
      <c r="AF54" s="505">
        <f xml:space="preserve"> IF(OR( AND( K54 = Lists!$F$11, '3A'!L54 &lt; 0), AND( '3A'!M54 = Lists!$F$11, '3A'!N54 &lt; 0), AND( '3A'!O54 = Lists!$F$11, '3A'!P54 &lt; 0)), 1, 0)</f>
        <v>0</v>
      </c>
      <c r="AG54" s="505">
        <f xml:space="preserve"> IF( OR( AND( K54 = Lists!$F$13, '3A'!L54 &gt; 0), AND( M54 = Lists!$F$13, '3A'!N54 &gt; 0), AND( O54 = Lists!$F$13, '3A'!P54 &gt; 0 )), 1, 0)</f>
        <v>0</v>
      </c>
      <c r="AH54" s="507"/>
      <c r="AI54" s="666" t="str">
        <f>IF($P$1="Select company","",IF((HLOOKUP(((VLOOKUP($P$1,Lists!$B$4:$C$26,2,FALSE))&amp;'PC LIST'!$J$2),'PC list edited'!$A$2:$EJ$65,(B54+1),FALSE))=0,"",HLOOKUP(((VLOOKUP($P$1,Lists!$B$4:$C$26,2,FALSE))&amp; 'PC LIST'!$J$2),'PC list edited'!$A$2:$EJ$65,(B54+1),FALSE)))</f>
        <v/>
      </c>
      <c r="AJ54" s="2239" t="str">
        <f>IFERROR(INDEX('PC LIST'!N$3:N$631, MATCH($C54, 'PC LIST'!$B$3:$B$631, 0)),"")</f>
        <v/>
      </c>
    </row>
    <row r="55" spans="1:36" s="308" customFormat="1" ht="30.2" customHeight="1">
      <c r="A55" s="74"/>
      <c r="B55" s="289">
        <f t="shared" si="3"/>
        <v>51</v>
      </c>
      <c r="C55" s="496" t="str">
        <f>IF($P$1="Select company","",IF((HLOOKUP((VLOOKUP($P$1,Lists!$B$4:$C$26,2,FALSE)),'PC list edited'!$A$2:$EJ$65,(B55+1),FALSE))=0,"",HLOOKUP((VLOOKUP($P$1,Lists!$B$4:$C$26,2,FALSE)),'PC list edited'!$A$2:$EJ$65,(B55+1),FALSE)))</f>
        <v/>
      </c>
      <c r="D55" s="495" t="str">
        <f>IF($P$1="Select company","",IF(C55 ="","",HLOOKUP(((VLOOKUP($P$1,Lists!$B$4:$C$26,2,FALSE))&amp;"PC"),'PC list edited'!$A$2:$EJ$65,(B55+1),FALSE)))</f>
        <v/>
      </c>
      <c r="E55" s="314" t="str">
        <f>IF($P$1="Select company","",IF(C55 ="","",HLOOKUP(((VLOOKUP($P$1,Lists!$B$4:$C$26,2,FALSE))&amp;"unit"),'PC list edited'!$A$2:$EJ$65,(B55+1),FALSE)))</f>
        <v/>
      </c>
      <c r="F55" s="314" t="str">
        <f>IF($P$1="Select company","",IF(C55 ="","",HLOOKUP(((VLOOKUP($P$1,Lists!$B$4:$C$26,2,FALSE))&amp;"UnitDes"),'PC list edited'!$A$2:$EJ$65,(B55+1),FALSE)))</f>
        <v/>
      </c>
      <c r="G55" s="515" t="str">
        <f>IF($P$1="Select company","",IF(C55="","",HLOOKUP(((VLOOKUP($P$1,Lists!$B$4:$C$26,2,FALSE))&amp;"DP"),'PC list edited'!$A$2:$EJ$65,(B55+1),FALSE)))</f>
        <v/>
      </c>
      <c r="H55" s="515" t="str">
        <f>IF($P$1="Select company","",IF(C55 = "","",HLOOKUP(((VLOOKUP($P$1,Lists!$B$4:$C$26,2,FALSE))&amp;"201819Actual"),'PC list edited'!$A$2:$EJ$65,(B55+1),FALSE)))</f>
        <v/>
      </c>
      <c r="I55" s="550"/>
      <c r="J55" s="664"/>
      <c r="K55" s="499"/>
      <c r="L55" s="500"/>
      <c r="M55" s="499"/>
      <c r="N55" s="500"/>
      <c r="O55" s="2945"/>
      <c r="P55" s="2946"/>
      <c r="Q55" s="130"/>
      <c r="R55" s="503">
        <f t="shared" si="4"/>
        <v>0</v>
      </c>
      <c r="S55" s="24">
        <f t="shared" si="5"/>
        <v>0</v>
      </c>
      <c r="T55" s="70"/>
      <c r="U55" s="71"/>
      <c r="V55" s="93">
        <f t="shared" si="6"/>
        <v>0</v>
      </c>
      <c r="W55" s="93">
        <f>IF($C55="",0,IF(ISBLANK(#REF!)=FALSE,0,1))</f>
        <v>0</v>
      </c>
      <c r="X55" s="93">
        <f t="shared" si="7"/>
        <v>0</v>
      </c>
      <c r="Y55" s="93">
        <f>IF(OR(ISBLANK(L55), L55=0), 0, IF(OR(K55=Lists!$F$11, K55=Lists!$F$13), 0, 1))</f>
        <v>0</v>
      </c>
      <c r="Z55" s="93">
        <f>IF(OR($C55="", AND(NOT(K55=Lists!$F$11), NOT(K55=Lists!$F$13))),0,IF(ISBLANK(L55)=FALSE,0,1))</f>
        <v>0</v>
      </c>
      <c r="AA55" s="93">
        <f>IF(OR(ISBLANK(N55), N55=0), 0, IF(OR(M55=Lists!$F$11, M55=Lists!$F$13), 0, 1))</f>
        <v>0</v>
      </c>
      <c r="AB55" s="93">
        <f>IF(OR($C55="", AND(NOT(M55=Lists!$F$11), NOT(M55=Lists!$F$13))),0,IF(ISBLANK(N55)=FALSE,0,1))</f>
        <v>0</v>
      </c>
      <c r="AC55" s="93">
        <f>IF(OR(ISBLANK(P55), P55=0), 0, IF(OR(O55=Lists!$F$11, O55=Lists!$F$13), 0, 1))</f>
        <v>0</v>
      </c>
      <c r="AD55" s="93">
        <f>IF(OR($C55="", AND(NOT(O55=Lists!$F$11), NOT(O55=Lists!$F$13))),0,IF(ISBLANK(P55)=FALSE,0,1))</f>
        <v>0</v>
      </c>
      <c r="AE55" s="71"/>
      <c r="AF55" s="505">
        <f xml:space="preserve"> IF(OR( AND( K55 = Lists!$F$11, '3A'!L55 &lt; 0), AND( '3A'!M55 = Lists!$F$11, '3A'!N55 &lt; 0), AND( '3A'!O55 = Lists!$F$11, '3A'!P55 &lt; 0)), 1, 0)</f>
        <v>0</v>
      </c>
      <c r="AG55" s="505">
        <f xml:space="preserve"> IF( OR( AND( K55 = Lists!$F$13, '3A'!L55 &gt; 0), AND( M55 = Lists!$F$13, '3A'!N55 &gt; 0), AND( O55 = Lists!$F$13, '3A'!P55 &gt; 0 )), 1, 0)</f>
        <v>0</v>
      </c>
      <c r="AH55" s="507"/>
      <c r="AI55" s="666" t="str">
        <f>IF($P$1="Select company","",IF((HLOOKUP(((VLOOKUP($P$1,Lists!$B$4:$C$26,2,FALSE))&amp;'PC LIST'!$J$2),'PC list edited'!$A$2:$EJ$65,(B55+1),FALSE))=0,"",HLOOKUP(((VLOOKUP($P$1,Lists!$B$4:$C$26,2,FALSE))&amp; 'PC LIST'!$J$2),'PC list edited'!$A$2:$EJ$65,(B55+1),FALSE)))</f>
        <v/>
      </c>
      <c r="AJ55" s="2239" t="str">
        <f>IFERROR(INDEX('PC LIST'!N$3:N$631, MATCH($C55, 'PC LIST'!$B$3:$B$631, 0)),"")</f>
        <v/>
      </c>
    </row>
    <row r="56" spans="1:36" s="308" customFormat="1" ht="30.2" customHeight="1">
      <c r="A56" s="74"/>
      <c r="B56" s="289">
        <f t="shared" si="3"/>
        <v>52</v>
      </c>
      <c r="C56" s="496" t="str">
        <f>IF($P$1="Select company","",IF((HLOOKUP((VLOOKUP($P$1,Lists!$B$4:$C$26,2,FALSE)),'PC list edited'!$A$2:$EJ$65,(B56+1),FALSE))=0,"",HLOOKUP((VLOOKUP($P$1,Lists!$B$4:$C$26,2,FALSE)),'PC list edited'!$A$2:$EJ$65,(B56+1),FALSE)))</f>
        <v/>
      </c>
      <c r="D56" s="495" t="str">
        <f>IF($P$1="Select company","",IF(C56 ="","",HLOOKUP(((VLOOKUP($P$1,Lists!$B$4:$C$26,2,FALSE))&amp;"PC"),'PC list edited'!$A$2:$EJ$65,(B56+1),FALSE)))</f>
        <v/>
      </c>
      <c r="E56" s="314" t="str">
        <f>IF($P$1="Select company","",IF(C56 ="","",HLOOKUP(((VLOOKUP($P$1,Lists!$B$4:$C$26,2,FALSE))&amp;"unit"),'PC list edited'!$A$2:$EJ$65,(B56+1),FALSE)))</f>
        <v/>
      </c>
      <c r="F56" s="314" t="str">
        <f>IF($P$1="Select company","",IF(C56 ="","",HLOOKUP(((VLOOKUP($P$1,Lists!$B$4:$C$26,2,FALSE))&amp;"UnitDes"),'PC list edited'!$A$2:$EJ$65,(B56+1),FALSE)))</f>
        <v/>
      </c>
      <c r="G56" s="515" t="str">
        <f>IF($P$1="Select company","",IF(C56="","",HLOOKUP(((VLOOKUP($P$1,Lists!$B$4:$C$26,2,FALSE))&amp;"DP"),'PC list edited'!$A$2:$EJ$65,(B56+1),FALSE)))</f>
        <v/>
      </c>
      <c r="H56" s="515" t="str">
        <f>IF($P$1="Select company","",IF(C56 = "","",HLOOKUP(((VLOOKUP($P$1,Lists!$B$4:$C$26,2,FALSE))&amp;"201819Actual"),'PC list edited'!$A$2:$EJ$65,(B56+1),FALSE)))</f>
        <v/>
      </c>
      <c r="I56" s="550"/>
      <c r="J56" s="664"/>
      <c r="K56" s="499"/>
      <c r="L56" s="500"/>
      <c r="M56" s="499"/>
      <c r="N56" s="500"/>
      <c r="O56" s="2945"/>
      <c r="P56" s="2946"/>
      <c r="Q56" s="130"/>
      <c r="R56" s="503">
        <f t="shared" si="4"/>
        <v>0</v>
      </c>
      <c r="S56" s="24">
        <f t="shared" si="5"/>
        <v>0</v>
      </c>
      <c r="T56" s="70"/>
      <c r="U56" s="71"/>
      <c r="V56" s="93">
        <f t="shared" si="6"/>
        <v>0</v>
      </c>
      <c r="W56" s="93">
        <f>IF($C56="",0,IF(ISBLANK(#REF!)=FALSE,0,1))</f>
        <v>0</v>
      </c>
      <c r="X56" s="93">
        <f t="shared" si="7"/>
        <v>0</v>
      </c>
      <c r="Y56" s="93">
        <f>IF(OR(ISBLANK(L56), L56=0), 0, IF(OR(K56=Lists!$F$11, K56=Lists!$F$13), 0, 1))</f>
        <v>0</v>
      </c>
      <c r="Z56" s="93">
        <f>IF(OR($C56="", AND(NOT(K56=Lists!$F$11), NOT(K56=Lists!$F$13))),0,IF(ISBLANK(L56)=FALSE,0,1))</f>
        <v>0</v>
      </c>
      <c r="AA56" s="93">
        <f>IF(OR(ISBLANK(N56), N56=0), 0, IF(OR(M56=Lists!$F$11, M56=Lists!$F$13), 0, 1))</f>
        <v>0</v>
      </c>
      <c r="AB56" s="93">
        <f>IF(OR($C56="", AND(NOT(M56=Lists!$F$11), NOT(M56=Lists!$F$13))),0,IF(ISBLANK(N56)=FALSE,0,1))</f>
        <v>0</v>
      </c>
      <c r="AC56" s="93">
        <f>IF(OR(ISBLANK(P56), P56=0), 0, IF(OR(O56=Lists!$F$11, O56=Lists!$F$13), 0, 1))</f>
        <v>0</v>
      </c>
      <c r="AD56" s="93">
        <f>IF(OR($C56="", AND(NOT(O56=Lists!$F$11), NOT(O56=Lists!$F$13))),0,IF(ISBLANK(P56)=FALSE,0,1))</f>
        <v>0</v>
      </c>
      <c r="AE56" s="71"/>
      <c r="AF56" s="505">
        <f xml:space="preserve"> IF(OR( AND( K56 = Lists!$F$11, '3A'!L56 &lt; 0), AND( '3A'!M56 = Lists!$F$11, '3A'!N56 &lt; 0), AND( '3A'!O56 = Lists!$F$11, '3A'!P56 &lt; 0)), 1, 0)</f>
        <v>0</v>
      </c>
      <c r="AG56" s="505">
        <f xml:space="preserve"> IF( OR( AND( K56 = Lists!$F$13, '3A'!L56 &gt; 0), AND( M56 = Lists!$F$13, '3A'!N56 &gt; 0), AND( O56 = Lists!$F$13, '3A'!P56 &gt; 0 )), 1, 0)</f>
        <v>0</v>
      </c>
      <c r="AH56" s="507"/>
      <c r="AI56" s="666" t="str">
        <f>IF($P$1="Select company","",IF((HLOOKUP(((VLOOKUP($P$1,Lists!$B$4:$C$26,2,FALSE))&amp;'PC LIST'!$J$2),'PC list edited'!$A$2:$EJ$65,(B56+1),FALSE))=0,"",HLOOKUP(((VLOOKUP($P$1,Lists!$B$4:$C$26,2,FALSE))&amp; 'PC LIST'!$J$2),'PC list edited'!$A$2:$EJ$65,(B56+1),FALSE)))</f>
        <v/>
      </c>
      <c r="AJ56" s="2239" t="str">
        <f>IFERROR(INDEX('PC LIST'!N$3:N$631, MATCH($C56, 'PC LIST'!$B$3:$B$631, 0)),"")</f>
        <v/>
      </c>
    </row>
    <row r="57" spans="1:36" s="315" customFormat="1" ht="30.2" customHeight="1">
      <c r="A57" s="262"/>
      <c r="B57" s="289">
        <f t="shared" si="3"/>
        <v>53</v>
      </c>
      <c r="C57" s="496" t="str">
        <f>IF($P$1="Select company","",IF((HLOOKUP((VLOOKUP($P$1,Lists!$B$4:$C$26,2,FALSE)),'PC list edited'!$A$2:$EJ$65,(B57+1),FALSE))=0,"",HLOOKUP((VLOOKUP($P$1,Lists!$B$4:$C$26,2,FALSE)),'PC list edited'!$A$2:$EJ$65,(B57+1),FALSE)))</f>
        <v/>
      </c>
      <c r="D57" s="495" t="str">
        <f>IF($P$1="Select company","",IF(C57 ="","",HLOOKUP(((VLOOKUP($P$1,Lists!$B$4:$C$26,2,FALSE))&amp;"PC"),'PC list edited'!$A$2:$EJ$65,(B57+1),FALSE)))</f>
        <v/>
      </c>
      <c r="E57" s="314" t="str">
        <f>IF($P$1="Select company","",IF(C57 ="","",HLOOKUP(((VLOOKUP($P$1,Lists!$B$4:$C$26,2,FALSE))&amp;"unit"),'PC list edited'!$A$2:$EJ$65,(B57+1),FALSE)))</f>
        <v/>
      </c>
      <c r="F57" s="314" t="str">
        <f>IF($P$1="Select company","",IF(C57 ="","",HLOOKUP(((VLOOKUP($P$1,Lists!$B$4:$C$26,2,FALSE))&amp;"UnitDes"),'PC list edited'!$A$2:$EJ$65,(B57+1),FALSE)))</f>
        <v/>
      </c>
      <c r="G57" s="515" t="str">
        <f>IF($P$1="Select company","",IF(C57="","",HLOOKUP(((VLOOKUP($P$1,Lists!$B$4:$C$26,2,FALSE))&amp;"DP"),'PC list edited'!$A$2:$EJ$65,(B57+1),FALSE)))</f>
        <v/>
      </c>
      <c r="H57" s="515" t="str">
        <f>IF($P$1="Select company","",IF(C57 = "","",HLOOKUP(((VLOOKUP($P$1,Lists!$B$4:$C$26,2,FALSE))&amp;"201819Actual"),'PC list edited'!$A$2:$EJ$65,(B57+1),FALSE)))</f>
        <v/>
      </c>
      <c r="I57" s="550"/>
      <c r="J57" s="664"/>
      <c r="K57" s="499"/>
      <c r="L57" s="500"/>
      <c r="M57" s="499"/>
      <c r="N57" s="500"/>
      <c r="O57" s="2945"/>
      <c r="P57" s="2946"/>
      <c r="Q57" s="130"/>
      <c r="R57" s="503">
        <f t="shared" si="4"/>
        <v>0</v>
      </c>
      <c r="S57" s="24">
        <f t="shared" si="5"/>
        <v>0</v>
      </c>
      <c r="T57" s="70"/>
      <c r="U57" s="71"/>
      <c r="V57" s="93">
        <f t="shared" si="6"/>
        <v>0</v>
      </c>
      <c r="W57" s="93">
        <f>IF($C57="",0,IF(ISBLANK(#REF!)=FALSE,0,1))</f>
        <v>0</v>
      </c>
      <c r="X57" s="93">
        <f t="shared" si="7"/>
        <v>0</v>
      </c>
      <c r="Y57" s="93">
        <f>IF(OR(ISBLANK(L57), L57=0), 0, IF(OR(K57=Lists!$F$11, K57=Lists!$F$13), 0, 1))</f>
        <v>0</v>
      </c>
      <c r="Z57" s="93">
        <f>IF(OR($C57="", AND(NOT(K57=Lists!$F$11), NOT(K57=Lists!$F$13))),0,IF(ISBLANK(L57)=FALSE,0,1))</f>
        <v>0</v>
      </c>
      <c r="AA57" s="93">
        <f>IF(OR(ISBLANK(N57), N57=0), 0, IF(OR(M57=Lists!$F$11, M57=Lists!$F$13), 0, 1))</f>
        <v>0</v>
      </c>
      <c r="AB57" s="93">
        <f>IF(OR($C57="", AND(NOT(M57=Lists!$F$11), NOT(M57=Lists!$F$13))),0,IF(ISBLANK(N57)=FALSE,0,1))</f>
        <v>0</v>
      </c>
      <c r="AC57" s="93">
        <f>IF(OR(ISBLANK(P57), P57=0), 0, IF(OR(O57=Lists!$F$11, O57=Lists!$F$13), 0, 1))</f>
        <v>0</v>
      </c>
      <c r="AD57" s="93">
        <f>IF(OR($C57="", AND(NOT(O57=Lists!$F$11), NOT(O57=Lists!$F$13))),0,IF(ISBLANK(P57)=FALSE,0,1))</f>
        <v>0</v>
      </c>
      <c r="AE57" s="71"/>
      <c r="AF57" s="505">
        <f xml:space="preserve"> IF(OR( AND( K57 = Lists!$F$11, '3A'!L57 &lt; 0), AND( '3A'!M57 = Lists!$F$11, '3A'!N57 &lt; 0), AND( '3A'!O57 = Lists!$F$11, '3A'!P57 &lt; 0)), 1, 0)</f>
        <v>0</v>
      </c>
      <c r="AG57" s="505">
        <f xml:space="preserve"> IF( OR( AND( K57 = Lists!$F$13, '3A'!L57 &gt; 0), AND( M57 = Lists!$F$13, '3A'!N57 &gt; 0), AND( O57 = Lists!$F$13, '3A'!P57 &gt; 0 )), 1, 0)</f>
        <v>0</v>
      </c>
      <c r="AH57" s="508"/>
      <c r="AI57" s="666" t="str">
        <f>IF($P$1="Select company","",IF((HLOOKUP(((VLOOKUP($P$1,Lists!$B$4:$C$26,2,FALSE))&amp;'PC LIST'!$J$2),'PC list edited'!$A$2:$EJ$65,(B57+1),FALSE))=0,"",HLOOKUP(((VLOOKUP($P$1,Lists!$B$4:$C$26,2,FALSE))&amp; 'PC LIST'!$J$2),'PC list edited'!$A$2:$EJ$65,(B57+1),FALSE)))</f>
        <v/>
      </c>
      <c r="AJ57" s="2239" t="str">
        <f>IFERROR(INDEX('PC LIST'!N$3:N$631, MATCH($C57, 'PC LIST'!$B$3:$B$631, 0)),"")</f>
        <v/>
      </c>
    </row>
    <row r="58" spans="1:36" s="315" customFormat="1" ht="30.2" customHeight="1">
      <c r="A58" s="262"/>
      <c r="B58" s="289">
        <f t="shared" si="3"/>
        <v>54</v>
      </c>
      <c r="C58" s="496" t="str">
        <f>IF($P$1="Select company","",IF((HLOOKUP((VLOOKUP($P$1,Lists!$B$4:$C$26,2,FALSE)),'PC list edited'!$A$2:$EJ$65,(B58+1),FALSE))=0,"",HLOOKUP((VLOOKUP($P$1,Lists!$B$4:$C$26,2,FALSE)),'PC list edited'!$A$2:$EJ$65,(B58+1),FALSE)))</f>
        <v/>
      </c>
      <c r="D58" s="495" t="str">
        <f>IF($P$1="Select company","",IF(C58 ="","",HLOOKUP(((VLOOKUP($P$1,Lists!$B$4:$C$26,2,FALSE))&amp;"PC"),'PC list edited'!$A$2:$EJ$65,(B58+1),FALSE)))</f>
        <v/>
      </c>
      <c r="E58" s="314" t="str">
        <f>IF($P$1="Select company","",IF(C58 ="","",HLOOKUP(((VLOOKUP($P$1,Lists!$B$4:$C$26,2,FALSE))&amp;"unit"),'PC list edited'!$A$2:$EJ$65,(B58+1),FALSE)))</f>
        <v/>
      </c>
      <c r="F58" s="314" t="str">
        <f>IF($P$1="Select company","",IF(C58 ="","",HLOOKUP(((VLOOKUP($P$1,Lists!$B$4:$C$26,2,FALSE))&amp;"UnitDes"),'PC list edited'!$A$2:$EJ$65,(B58+1),FALSE)))</f>
        <v/>
      </c>
      <c r="G58" s="515" t="str">
        <f>IF($P$1="Select company","",IF(C58="","",HLOOKUP(((VLOOKUP($P$1,Lists!$B$4:$C$26,2,FALSE))&amp;"DP"),'PC list edited'!$A$2:$EJ$65,(B58+1),FALSE)))</f>
        <v/>
      </c>
      <c r="H58" s="515" t="str">
        <f>IF($P$1="Select company","",IF(C58 = "","",HLOOKUP(((VLOOKUP($P$1,Lists!$B$4:$C$26,2,FALSE))&amp;"201819Actual"),'PC list edited'!$A$2:$EJ$65,(B58+1),FALSE)))</f>
        <v/>
      </c>
      <c r="I58" s="550"/>
      <c r="J58" s="664"/>
      <c r="K58" s="499"/>
      <c r="L58" s="500"/>
      <c r="M58" s="499"/>
      <c r="N58" s="500"/>
      <c r="O58" s="2945"/>
      <c r="P58" s="2946"/>
      <c r="Q58" s="130"/>
      <c r="R58" s="503"/>
      <c r="S58" s="24">
        <f t="shared" ref="S58" si="8" xml:space="preserve"> IF( SUM( U58:AE58 ) = 0, 0, $V$3 )</f>
        <v>0</v>
      </c>
      <c r="T58" s="70"/>
      <c r="U58" s="71"/>
      <c r="V58" s="93">
        <f t="shared" ref="V58" si="9">IF($C58="",0,IF(ISBLANK(I58)=FALSE,0,1))</f>
        <v>0</v>
      </c>
      <c r="W58" s="93">
        <f>IF($C58="",0,IF(ISBLANK(#REF!)=FALSE,0,1))</f>
        <v>0</v>
      </c>
      <c r="X58" s="93">
        <f t="shared" ref="X58" si="10">IF($C58="",0,IF(ISBLANK(J58)=FALSE,0,1))</f>
        <v>0</v>
      </c>
      <c r="Y58" s="93">
        <f>IF(OR(ISBLANK(L58), L58=0), 0, IF(OR(K58=Lists!$F$11, K58=Lists!$F$13), 0, 1))</f>
        <v>0</v>
      </c>
      <c r="Z58" s="93">
        <f>IF(OR($C58="", AND(NOT(K58=Lists!$F$11), NOT(K58=Lists!$F$13))),0,IF(ISBLANK(L58)=FALSE,0,1))</f>
        <v>0</v>
      </c>
      <c r="AA58" s="93">
        <f>IF(OR(ISBLANK(N58), N58=0), 0, IF(OR(M58=Lists!$F$11, M58=Lists!$F$13), 0, 1))</f>
        <v>0</v>
      </c>
      <c r="AB58" s="93">
        <f>IF(OR($C58="", AND(NOT(M58=Lists!$F$11), NOT(M58=Lists!$F$13))),0,IF(ISBLANK(N58)=FALSE,0,1))</f>
        <v>0</v>
      </c>
      <c r="AC58" s="93">
        <f>IF(OR(ISBLANK(P58), P58=0), 0, IF(OR(O58=Lists!$F$11, O58=Lists!$F$13), 0, 1))</f>
        <v>0</v>
      </c>
      <c r="AD58" s="93">
        <f>IF(OR($C58="", AND(NOT(O58=Lists!$F$11), NOT(O58=Lists!$F$13))),0,IF(ISBLANK(P58)=FALSE,0,1))</f>
        <v>0</v>
      </c>
      <c r="AE58" s="71"/>
      <c r="AF58" s="505">
        <f xml:space="preserve"> IF(OR( AND( K58 = Lists!$F$11, '3A'!L58 &lt; 0), AND( '3A'!M58 = Lists!$F$11, '3A'!N58 &lt; 0), AND( '3A'!O58 = Lists!$F$11, '3A'!P58 &lt; 0)), 1, 0)</f>
        <v>0</v>
      </c>
      <c r="AG58" s="505">
        <f xml:space="preserve"> IF( OR( AND( K58 = Lists!$F$13, '3A'!L58 &gt; 0), AND( M58 = Lists!$F$13, '3A'!N58 &gt; 0), AND( O58 = Lists!$F$13, '3A'!P58 &gt; 0 )), 1, 0)</f>
        <v>0</v>
      </c>
      <c r="AH58" s="508"/>
      <c r="AI58" s="666"/>
      <c r="AJ58" s="2239" t="str">
        <f>IFERROR(INDEX('PC LIST'!N$3:N$631, MATCH($C58, 'PC LIST'!$B$3:$B$631, 0)),"")</f>
        <v/>
      </c>
    </row>
    <row r="59" spans="1:36" s="315" customFormat="1" ht="30.2" customHeight="1">
      <c r="A59" s="262"/>
      <c r="B59" s="289">
        <f t="shared" si="3"/>
        <v>55</v>
      </c>
      <c r="C59" s="496" t="str">
        <f>IF($P$1="Select company","",IF((HLOOKUP((VLOOKUP($P$1,Lists!$B$4:$C$26,2,FALSE)),'PC list edited'!$A$2:$EJ$65,(B59+1),FALSE))=0,"",HLOOKUP((VLOOKUP($P$1,Lists!$B$4:$C$26,2,FALSE)),'PC list edited'!$A$2:$EJ$65,(B59+1),FALSE)))</f>
        <v/>
      </c>
      <c r="D59" s="495" t="str">
        <f>IF($P$1="Select company","",IF(C59 ="","",HLOOKUP(((VLOOKUP($P$1,Lists!$B$4:$C$26,2,FALSE))&amp;"PC"),'PC list edited'!$A$2:$EJ$65,(B59+1),FALSE)))</f>
        <v/>
      </c>
      <c r="E59" s="314" t="str">
        <f>IF($P$1="Select company","",IF(C59 ="","",HLOOKUP(((VLOOKUP($P$1,Lists!$B$4:$C$26,2,FALSE))&amp;"unit"),'PC list edited'!$A$2:$EJ$65,(B59+1),FALSE)))</f>
        <v/>
      </c>
      <c r="F59" s="314" t="str">
        <f>IF($P$1="Select company","",IF(C59 ="","",HLOOKUP(((VLOOKUP($P$1,Lists!$B$4:$C$26,2,FALSE))&amp;"UnitDes"),'PC list edited'!$A$2:$EJ$65,(B59+1),FALSE)))</f>
        <v/>
      </c>
      <c r="G59" s="515" t="str">
        <f>IF($P$1="Select company","",IF(C59="","",HLOOKUP(((VLOOKUP($P$1,Lists!$B$4:$C$26,2,FALSE))&amp;"DP"),'PC list edited'!$A$2:$EJ$65,(B59+1),FALSE)))</f>
        <v/>
      </c>
      <c r="H59" s="515" t="str">
        <f>IF($P$1="Select company","",IF(C59 = "","",HLOOKUP(((VLOOKUP($P$1,Lists!$B$4:$C$26,2,FALSE))&amp;"201819Actual"),'PC list edited'!$A$2:$EJ$65,(B59+1),FALSE)))</f>
        <v/>
      </c>
      <c r="I59" s="550"/>
      <c r="J59" s="664"/>
      <c r="K59" s="499"/>
      <c r="L59" s="500"/>
      <c r="M59" s="499"/>
      <c r="N59" s="500"/>
      <c r="O59" s="2945"/>
      <c r="P59" s="2946"/>
      <c r="Q59" s="130"/>
      <c r="R59" s="503">
        <f t="shared" si="4"/>
        <v>0</v>
      </c>
      <c r="S59" s="24">
        <f t="shared" si="5"/>
        <v>0</v>
      </c>
      <c r="T59" s="70"/>
      <c r="U59" s="71"/>
      <c r="V59" s="93">
        <f t="shared" si="6"/>
        <v>0</v>
      </c>
      <c r="W59" s="93">
        <f>IF($C59="",0,IF(ISBLANK(#REF!)=FALSE,0,1))</f>
        <v>0</v>
      </c>
      <c r="X59" s="93">
        <f t="shared" si="7"/>
        <v>0</v>
      </c>
      <c r="Y59" s="93">
        <f>IF(OR(ISBLANK(L59), L59=0), 0, IF(OR(K59=Lists!$F$11, K59=Lists!$F$13), 0, 1))</f>
        <v>0</v>
      </c>
      <c r="Z59" s="93">
        <f>IF(OR($C59="", AND(NOT(K59=Lists!$F$11), NOT(K59=Lists!$F$13))),0,IF(ISBLANK(L59)=FALSE,0,1))</f>
        <v>0</v>
      </c>
      <c r="AA59" s="93">
        <f>IF(OR(ISBLANK(N59), N59=0), 0, IF(OR(M59=Lists!$F$11, M59=Lists!$F$13), 0, 1))</f>
        <v>0</v>
      </c>
      <c r="AB59" s="93">
        <f>IF(OR($C59="", AND(NOT(M59=Lists!$F$11), NOT(M59=Lists!$F$13))),0,IF(ISBLANK(N59)=FALSE,0,1))</f>
        <v>0</v>
      </c>
      <c r="AC59" s="93">
        <f>IF(OR(ISBLANK(P59), P59=0), 0, IF(OR(O59=Lists!$F$11, O59=Lists!$F$13), 0, 1))</f>
        <v>0</v>
      </c>
      <c r="AD59" s="93">
        <f>IF(OR($C59="", AND(NOT(O59=Lists!$F$11), NOT(O59=Lists!$F$13))),0,IF(ISBLANK(P59)=FALSE,0,1))</f>
        <v>0</v>
      </c>
      <c r="AE59" s="71"/>
      <c r="AF59" s="505">
        <f xml:space="preserve"> IF(OR( AND( K59 = Lists!$F$11, '3A'!L59 &lt; 0), AND( '3A'!M59 = Lists!$F$11, '3A'!N59 &lt; 0), AND( '3A'!O59 = Lists!$F$11, '3A'!P59 &lt; 0)), 1, 0)</f>
        <v>0</v>
      </c>
      <c r="AG59" s="505">
        <f xml:space="preserve"> IF( OR( AND( K59 = Lists!$F$13, '3A'!L59 &gt; 0), AND( M59 = Lists!$F$13, '3A'!N59 &gt; 0), AND( O59 = Lists!$F$13, '3A'!P59 &gt; 0 )), 1, 0)</f>
        <v>0</v>
      </c>
      <c r="AH59" s="508"/>
      <c r="AI59" s="666" t="str">
        <f>IF($P$1="Select company","",IF((HLOOKUP(((VLOOKUP($P$1,Lists!$B$4:$C$26,2,FALSE))&amp;'PC LIST'!$J$2),'PC list edited'!$A$2:$EJ$65,(B59+1),FALSE))=0,"",HLOOKUP(((VLOOKUP($P$1,Lists!$B$4:$C$26,2,FALSE))&amp; 'PC LIST'!$J$2),'PC list edited'!$A$2:$EJ$65,(B59+1),FALSE)))</f>
        <v/>
      </c>
      <c r="AJ59" s="2239" t="str">
        <f>IFERROR(INDEX('PC LIST'!N$3:N$631, MATCH($C59, 'PC LIST'!$B$3:$B$631, 0)),"")</f>
        <v/>
      </c>
    </row>
    <row r="60" spans="1:36" s="315" customFormat="1" ht="30.2" customHeight="1" thickBot="1">
      <c r="A60" s="262"/>
      <c r="B60" s="290">
        <f t="shared" si="3"/>
        <v>56</v>
      </c>
      <c r="C60" s="649" t="str">
        <f>IF($P$1="Select company","",IF((HLOOKUP((VLOOKUP($P$1,Lists!$B$4:$C$26,2,FALSE)),'PC list edited'!$A$2:$EJ$65,(B60+1),FALSE))=0,"",HLOOKUP((VLOOKUP($P$1,Lists!$B$4:$C$26,2,FALSE)),'PC list edited'!$A$2:$EJ$65,(B60+1),FALSE)))</f>
        <v/>
      </c>
      <c r="D60" s="634" t="str">
        <f>IF($P$1="Select company","",IF(C60 ="","",HLOOKUP(((VLOOKUP($P$1,Lists!$B$4:$C$26,2,FALSE))&amp;"PC"),'PC list edited'!$A$2:$EJ$65,(B60+1),FALSE)))</f>
        <v/>
      </c>
      <c r="E60" s="316" t="str">
        <f>IF($P$1="Select company","",IF(C60 ="","",HLOOKUP(((VLOOKUP($P$1,Lists!$B$4:$C$26,2,FALSE))&amp;"unit"),'PC list edited'!$A$2:$EJ$65,(B60+1),FALSE)))</f>
        <v/>
      </c>
      <c r="F60" s="316" t="str">
        <f>IF($P$1="Select company","",IF(C60 ="","",HLOOKUP(((VLOOKUP($P$1,Lists!$B$4:$C$26,2,FALSE))&amp;"UnitDes"),'PC list edited'!$A$2:$EJ$65,(B60+1),FALSE)))</f>
        <v/>
      </c>
      <c r="G60" s="650" t="str">
        <f>IF($P$1="Select company","",IF(C60="","",HLOOKUP(((VLOOKUP($P$1,Lists!$B$4:$C$26,2,FALSE))&amp;"DP"),'PC list edited'!$A$2:$EJ$65,(B60+1),FALSE)))</f>
        <v/>
      </c>
      <c r="H60" s="650" t="str">
        <f>IF($P$1="Select company","",IF(C60 = "","",HLOOKUP(((VLOOKUP($P$1,Lists!$B$4:$C$26,2,FALSE))&amp;"201819Actual"),'PC list edited'!$A$2:$EJ$65,(B60+1),FALSE)))</f>
        <v/>
      </c>
      <c r="I60" s="552"/>
      <c r="J60" s="665"/>
      <c r="K60" s="501"/>
      <c r="L60" s="502"/>
      <c r="M60" s="501"/>
      <c r="N60" s="502"/>
      <c r="O60" s="2947"/>
      <c r="P60" s="2948"/>
      <c r="Q60" s="130"/>
      <c r="R60" s="503">
        <f t="shared" si="4"/>
        <v>0</v>
      </c>
      <c r="S60" s="24">
        <f t="shared" si="5"/>
        <v>0</v>
      </c>
      <c r="T60" s="70"/>
      <c r="U60" s="71"/>
      <c r="V60" s="93">
        <f t="shared" si="6"/>
        <v>0</v>
      </c>
      <c r="W60" s="93">
        <f>IF($C60="",0,IF(ISBLANK(#REF!)=FALSE,0,1))</f>
        <v>0</v>
      </c>
      <c r="X60" s="93">
        <f t="shared" si="7"/>
        <v>0</v>
      </c>
      <c r="Y60" s="93">
        <f>IF(OR(ISBLANK(L60), L60=0), 0, IF(OR(K60=Lists!$F$11, K60=Lists!$F$13), 0, 1))</f>
        <v>0</v>
      </c>
      <c r="Z60" s="93">
        <f>IF(OR($C60="", AND(NOT(K60=Lists!$F$11), NOT(K60=Lists!$F$13))),0,IF(ISBLANK(L60)=FALSE,0,1))</f>
        <v>0</v>
      </c>
      <c r="AA60" s="93">
        <f>IF(OR(ISBLANK(N60), N60=0), 0, IF(OR(M60=Lists!$F$11, M60=Lists!$F$13), 0, 1))</f>
        <v>0</v>
      </c>
      <c r="AB60" s="93">
        <f>IF(OR($C60="", AND(NOT(M60=Lists!$F$11), NOT(M60=Lists!$F$13))),0,IF(ISBLANK(N60)=FALSE,0,1))</f>
        <v>0</v>
      </c>
      <c r="AC60" s="93">
        <f>IF(OR(ISBLANK(P60), P60=0), 0, IF(OR(O60=Lists!$F$11, O60=Lists!$F$13), 0, 1))</f>
        <v>0</v>
      </c>
      <c r="AD60" s="93">
        <f>IF(OR($C60="", AND(NOT(O60=Lists!$F$11), NOT(O60=Lists!$F$13))),0,IF(ISBLANK(P60)=FALSE,0,1))</f>
        <v>0</v>
      </c>
      <c r="AE60" s="71"/>
      <c r="AF60" s="505">
        <f xml:space="preserve"> IF(OR( AND( K60 = Lists!$F$11, '3A'!L60 &lt; 0), AND( '3A'!M60 = Lists!$F$11, '3A'!N60 &lt; 0), AND( '3A'!O60 = Lists!$F$11, '3A'!P60 &lt; 0)), 1, 0)</f>
        <v>0</v>
      </c>
      <c r="AG60" s="505">
        <f xml:space="preserve"> IF( OR( AND( K60 = Lists!$F$13, '3A'!L60 &gt; 0), AND( M60 = Lists!$F$13, '3A'!N60 &gt; 0), AND( O60 = Lists!$F$13, '3A'!P60 &gt; 0 )), 1, 0)</f>
        <v>0</v>
      </c>
      <c r="AH60" s="508"/>
      <c r="AI60" s="666" t="str">
        <f>IF($P$1="Select company","",IF((HLOOKUP(((VLOOKUP($P$1,Lists!$B$4:$C$26,2,FALSE))&amp;'PC LIST'!$J$2),'PC list edited'!$A$2:$EJ$65,(B60+1),FALSE))=0,"",HLOOKUP(((VLOOKUP($P$1,Lists!$B$4:$C$26,2,FALSE))&amp; 'PC LIST'!$J$2),'PC list edited'!$A$2:$EJ$65,(B60+1),FALSE)))</f>
        <v/>
      </c>
      <c r="AJ60" s="2239" t="str">
        <f>IFERROR(INDEX('PC LIST'!N$3:N$631, MATCH($C60, 'PC LIST'!$B$3:$B$631, 0)),"")</f>
        <v/>
      </c>
    </row>
    <row r="61" spans="1:36" s="315" customFormat="1">
      <c r="A61" s="262"/>
      <c r="B61" s="270"/>
      <c r="C61" s="270"/>
      <c r="D61" s="317"/>
      <c r="E61" s="163"/>
      <c r="F61" s="163"/>
      <c r="G61" s="163"/>
      <c r="H61" s="163"/>
      <c r="I61" s="713"/>
      <c r="J61" s="317"/>
      <c r="K61" s="317"/>
      <c r="L61" s="317"/>
      <c r="M61" s="317"/>
      <c r="N61" s="317"/>
      <c r="O61" s="317"/>
      <c r="P61" s="317"/>
      <c r="Q61" s="130"/>
      <c r="R61" s="130"/>
      <c r="S61" s="70"/>
      <c r="T61" s="70"/>
      <c r="U61" s="71"/>
      <c r="V61" s="70"/>
      <c r="W61" s="70"/>
      <c r="X61" s="70"/>
      <c r="Y61" s="70"/>
      <c r="Z61" s="70"/>
      <c r="AA61" s="70"/>
      <c r="AB61" s="70"/>
      <c r="AC61" s="70"/>
      <c r="AD61" s="70"/>
      <c r="AE61" s="71"/>
      <c r="AH61" s="508"/>
      <c r="AJ61" s="2240"/>
    </row>
    <row r="62" spans="1:36" s="163" customFormat="1">
      <c r="A62" s="318"/>
      <c r="B62" s="2988" t="s">
        <v>243</v>
      </c>
      <c r="C62" s="2988"/>
      <c r="I62" s="714"/>
      <c r="P62" s="126"/>
      <c r="Q62" s="70"/>
      <c r="R62" s="70"/>
      <c r="S62" s="70"/>
      <c r="T62" s="70"/>
      <c r="U62" s="71"/>
      <c r="V62" s="70"/>
      <c r="W62" s="70"/>
      <c r="X62" s="70"/>
      <c r="Y62" s="70"/>
      <c r="Z62" s="70"/>
      <c r="AA62" s="70"/>
      <c r="AB62" s="70"/>
      <c r="AC62" s="70"/>
      <c r="AD62" s="70"/>
      <c r="AE62" s="71"/>
      <c r="AH62" s="509"/>
      <c r="AJ62" s="2241"/>
    </row>
    <row r="63" spans="1:36" s="163" customFormat="1">
      <c r="A63" s="318"/>
      <c r="B63" s="141"/>
      <c r="C63" s="141"/>
      <c r="I63" s="714"/>
      <c r="O63" s="126"/>
      <c r="Q63" s="70"/>
      <c r="R63" s="70"/>
      <c r="S63" s="70"/>
      <c r="T63" s="70"/>
      <c r="U63" s="71"/>
      <c r="V63" s="70"/>
      <c r="W63" s="70"/>
      <c r="X63" s="70"/>
      <c r="Y63" s="70"/>
      <c r="Z63" s="70"/>
      <c r="AA63" s="70"/>
      <c r="AB63" s="70"/>
      <c r="AC63" s="70"/>
      <c r="AD63" s="70"/>
      <c r="AE63" s="71"/>
      <c r="AH63" s="509"/>
      <c r="AJ63" s="2241"/>
    </row>
    <row r="64" spans="1:36" s="163" customFormat="1">
      <c r="A64" s="318"/>
      <c r="B64" s="25"/>
      <c r="C64" s="143" t="s">
        <v>190</v>
      </c>
      <c r="I64" s="714"/>
      <c r="O64" s="126"/>
      <c r="Q64" s="70"/>
      <c r="R64" s="70"/>
      <c r="S64" s="70"/>
      <c r="T64" s="70"/>
      <c r="U64" s="71"/>
      <c r="V64" s="70"/>
      <c r="W64" s="70"/>
      <c r="X64" s="70"/>
      <c r="Y64" s="70"/>
      <c r="Z64" s="70"/>
      <c r="AA64" s="70"/>
      <c r="AB64" s="70"/>
      <c r="AC64" s="70"/>
      <c r="AD64" s="70"/>
      <c r="AE64" s="71"/>
      <c r="AH64" s="509"/>
      <c r="AJ64" s="2241"/>
    </row>
    <row r="65" spans="1:36" s="163" customFormat="1">
      <c r="A65" s="318"/>
      <c r="B65" s="141"/>
      <c r="C65" s="142"/>
      <c r="I65" s="714"/>
      <c r="O65" s="126"/>
      <c r="Q65" s="70"/>
      <c r="R65" s="70"/>
      <c r="S65" s="70"/>
      <c r="T65" s="70"/>
      <c r="U65" s="71"/>
      <c r="V65" s="70"/>
      <c r="W65" s="70"/>
      <c r="X65" s="70"/>
      <c r="Y65" s="70"/>
      <c r="Z65" s="70"/>
      <c r="AA65" s="70"/>
      <c r="AB65" s="70"/>
      <c r="AC65" s="70"/>
      <c r="AD65" s="70"/>
      <c r="AE65" s="71"/>
      <c r="AH65" s="509"/>
      <c r="AJ65" s="2241"/>
    </row>
    <row r="66" spans="1:36" s="163" customFormat="1">
      <c r="A66" s="318"/>
      <c r="B66" s="144"/>
      <c r="C66" s="143" t="s">
        <v>191</v>
      </c>
      <c r="I66" s="714"/>
      <c r="O66" s="126"/>
      <c r="Q66" s="70"/>
      <c r="R66" s="70"/>
      <c r="S66" s="70"/>
      <c r="T66" s="70"/>
      <c r="U66" s="71"/>
      <c r="V66" s="70"/>
      <c r="W66" s="70"/>
      <c r="X66" s="70"/>
      <c r="Y66" s="70"/>
      <c r="Z66" s="70"/>
      <c r="AA66" s="70"/>
      <c r="AB66" s="70"/>
      <c r="AC66" s="70"/>
      <c r="AD66" s="70"/>
      <c r="AE66" s="71"/>
      <c r="AH66" s="509"/>
      <c r="AJ66" s="2241"/>
    </row>
    <row r="67" spans="1:36" s="163" customFormat="1">
      <c r="A67" s="318"/>
      <c r="B67" s="145"/>
      <c r="C67" s="143"/>
      <c r="I67" s="714"/>
      <c r="O67" s="126"/>
      <c r="Q67" s="70"/>
      <c r="R67" s="70"/>
      <c r="S67" s="70"/>
      <c r="T67" s="70"/>
      <c r="U67" s="71"/>
      <c r="V67" s="70"/>
      <c r="W67" s="70"/>
      <c r="X67" s="70"/>
      <c r="Y67" s="70"/>
      <c r="Z67" s="70"/>
      <c r="AA67" s="70"/>
      <c r="AB67" s="70"/>
      <c r="AC67" s="70"/>
      <c r="AD67" s="70"/>
      <c r="AE67" s="71"/>
      <c r="AH67" s="509"/>
      <c r="AJ67" s="2241"/>
    </row>
    <row r="68" spans="1:36" ht="15" thickBot="1">
      <c r="B68" s="479"/>
      <c r="C68" s="479"/>
      <c r="D68" s="479"/>
      <c r="E68" s="479"/>
      <c r="J68" s="479"/>
      <c r="K68" s="479"/>
      <c r="L68" s="479"/>
      <c r="M68" s="479"/>
      <c r="N68" s="479"/>
      <c r="O68" s="479"/>
      <c r="P68" s="479"/>
      <c r="AF68" s="479"/>
      <c r="AG68" s="479"/>
      <c r="AI68" s="479"/>
    </row>
    <row r="69" spans="1:36" s="479" customFormat="1" ht="16.5" thickBot="1">
      <c r="A69" s="82"/>
      <c r="B69" s="3053" t="s">
        <v>192</v>
      </c>
      <c r="C69" s="147"/>
      <c r="D69" s="148"/>
      <c r="E69" s="148"/>
      <c r="F69" s="148"/>
      <c r="G69" s="148"/>
      <c r="H69" s="148"/>
      <c r="I69" s="716"/>
      <c r="J69" s="148"/>
      <c r="K69" s="148"/>
      <c r="L69" s="148"/>
      <c r="M69" s="148"/>
      <c r="N69" s="148"/>
      <c r="O69" s="148"/>
      <c r="P69" s="251"/>
      <c r="Q69" s="70"/>
      <c r="R69" s="70"/>
      <c r="S69" s="70"/>
      <c r="T69" s="70"/>
      <c r="U69" s="71"/>
      <c r="V69" s="70"/>
      <c r="W69" s="70"/>
      <c r="X69" s="70"/>
      <c r="Y69" s="70"/>
      <c r="Z69" s="70"/>
      <c r="AA69" s="70"/>
      <c r="AB69" s="70"/>
      <c r="AC69" s="70"/>
      <c r="AD69" s="70"/>
      <c r="AE69" s="71"/>
      <c r="AH69" s="511"/>
      <c r="AJ69" s="2242"/>
    </row>
    <row r="70" spans="1:36" s="479" customFormat="1">
      <c r="A70" s="82"/>
      <c r="I70" s="715"/>
      <c r="Q70" s="70"/>
      <c r="R70" s="70"/>
      <c r="S70" s="70"/>
      <c r="T70" s="70"/>
      <c r="U70" s="71"/>
      <c r="V70" s="70"/>
      <c r="W70" s="70"/>
      <c r="X70" s="70"/>
      <c r="Y70" s="70"/>
      <c r="Z70" s="70"/>
      <c r="AA70" s="70"/>
      <c r="AB70" s="70"/>
      <c r="AC70" s="70"/>
      <c r="AD70" s="70"/>
      <c r="AE70" s="71"/>
      <c r="AH70" s="511"/>
      <c r="AJ70" s="2242"/>
    </row>
    <row r="71" spans="1:36" s="110" customFormat="1" ht="16.5" hidden="1" thickBot="1">
      <c r="A71" s="1560"/>
      <c r="B71" s="146" t="str">
        <f ca="1" xml:space="preserve"> RIGHT(CELL("filename", $A$1), LEN(CELL("filename", $A$1)) - SEARCH("]", CELL("filename", $A$1)))&amp;" - Column definitions"</f>
        <v>3A - Column definitions</v>
      </c>
      <c r="C71" s="147"/>
      <c r="D71" s="148"/>
      <c r="E71" s="148"/>
      <c r="F71" s="148"/>
      <c r="G71" s="148"/>
      <c r="H71" s="148"/>
      <c r="I71" s="716"/>
      <c r="J71" s="148"/>
      <c r="K71" s="148"/>
      <c r="L71" s="148"/>
      <c r="M71" s="148"/>
      <c r="N71" s="148"/>
      <c r="O71" s="148"/>
      <c r="P71" s="251"/>
      <c r="T71" s="74"/>
      <c r="U71" s="71"/>
      <c r="V71" s="70"/>
      <c r="W71" s="70"/>
      <c r="X71" s="70"/>
      <c r="AE71" s="71"/>
      <c r="AH71" s="512"/>
      <c r="AJ71" s="152"/>
    </row>
    <row r="72" spans="1:36" s="110" customFormat="1" ht="15" hidden="1" thickBot="1">
      <c r="A72" s="1560"/>
      <c r="B72" s="74"/>
      <c r="C72" s="155"/>
      <c r="D72" s="74"/>
      <c r="E72" s="74"/>
      <c r="F72" s="74"/>
      <c r="G72" s="74"/>
      <c r="H72" s="74"/>
      <c r="I72" s="166"/>
      <c r="L72" s="74"/>
      <c r="N72" s="70"/>
      <c r="T72" s="74"/>
      <c r="U72" s="71"/>
      <c r="V72" s="70"/>
      <c r="W72" s="70"/>
      <c r="X72" s="70"/>
      <c r="AE72" s="71"/>
      <c r="AH72" s="512"/>
      <c r="AJ72" s="152"/>
    </row>
    <row r="73" spans="1:36" s="178" customFormat="1" ht="18.75" hidden="1" customHeight="1" thickBot="1">
      <c r="A73" s="1561"/>
      <c r="B73" s="1381" t="s">
        <v>2344</v>
      </c>
      <c r="C73" s="1382" t="s">
        <v>194</v>
      </c>
      <c r="D73" s="322"/>
      <c r="E73" s="322"/>
      <c r="F73" s="322"/>
      <c r="G73" s="322"/>
      <c r="H73" s="322"/>
      <c r="I73" s="717"/>
      <c r="J73" s="322"/>
      <c r="K73" s="323"/>
      <c r="L73" s="324"/>
      <c r="M73" s="323"/>
      <c r="N73" s="325"/>
      <c r="O73" s="326"/>
      <c r="P73" s="327"/>
      <c r="T73" s="74"/>
      <c r="U73" s="71"/>
      <c r="V73" s="85" t="s">
        <v>195</v>
      </c>
      <c r="W73" s="70"/>
      <c r="X73" s="70"/>
      <c r="AE73" s="71"/>
      <c r="AH73" s="510"/>
      <c r="AJ73" s="179"/>
    </row>
    <row r="74" spans="1:36" s="178" customFormat="1" ht="18.75" hidden="1" customHeight="1">
      <c r="A74" s="1561"/>
      <c r="B74" s="718" t="s">
        <v>2327</v>
      </c>
      <c r="C74" s="3174" t="s">
        <v>2345</v>
      </c>
      <c r="D74" s="3174"/>
      <c r="E74" s="3174"/>
      <c r="F74" s="3174"/>
      <c r="G74" s="3174"/>
      <c r="H74" s="3174"/>
      <c r="I74" s="3174"/>
      <c r="J74" s="3174"/>
      <c r="K74" s="3174"/>
      <c r="L74" s="3174"/>
      <c r="M74" s="3174"/>
      <c r="N74" s="3174"/>
      <c r="O74" s="3174"/>
      <c r="P74" s="3175"/>
      <c r="T74" s="74"/>
      <c r="U74" s="71"/>
      <c r="V74" s="85"/>
      <c r="W74" s="70"/>
      <c r="X74" s="70"/>
      <c r="AE74" s="71"/>
      <c r="AH74" s="510"/>
      <c r="AJ74" s="179"/>
    </row>
    <row r="75" spans="1:36" s="110" customFormat="1" ht="58.7" hidden="1" customHeight="1">
      <c r="A75" s="1560"/>
      <c r="B75" s="718" t="s">
        <v>2346</v>
      </c>
      <c r="C75" s="3174" t="s">
        <v>2347</v>
      </c>
      <c r="D75" s="3174"/>
      <c r="E75" s="3174"/>
      <c r="F75" s="3174"/>
      <c r="G75" s="3174"/>
      <c r="H75" s="3174"/>
      <c r="I75" s="3174"/>
      <c r="J75" s="3174"/>
      <c r="K75" s="3174"/>
      <c r="L75" s="3174"/>
      <c r="M75" s="3174"/>
      <c r="N75" s="3174"/>
      <c r="O75" s="3174"/>
      <c r="P75" s="3175"/>
      <c r="Q75" s="479"/>
      <c r="R75" s="479"/>
      <c r="S75" s="479"/>
      <c r="T75" s="74"/>
      <c r="U75" s="71"/>
      <c r="V75" s="202" t="s">
        <v>197</v>
      </c>
      <c r="AE75" s="71"/>
      <c r="AH75" s="512"/>
      <c r="AJ75" s="152"/>
    </row>
    <row r="76" spans="1:36" s="110" customFormat="1" ht="42" hidden="1" customHeight="1">
      <c r="A76" s="1560"/>
      <c r="B76" s="718" t="s">
        <v>2348</v>
      </c>
      <c r="C76" s="3174" t="s">
        <v>2349</v>
      </c>
      <c r="D76" s="3174"/>
      <c r="E76" s="3174"/>
      <c r="F76" s="3174"/>
      <c r="G76" s="3174"/>
      <c r="H76" s="3174"/>
      <c r="I76" s="3174"/>
      <c r="J76" s="3174"/>
      <c r="K76" s="3174"/>
      <c r="L76" s="3174"/>
      <c r="M76" s="3174"/>
      <c r="N76" s="3174"/>
      <c r="O76" s="3174"/>
      <c r="P76" s="3175"/>
      <c r="Q76" s="479"/>
      <c r="R76" s="479"/>
      <c r="S76" s="479"/>
      <c r="T76" s="74"/>
      <c r="U76" s="71"/>
      <c r="V76" s="202" t="s">
        <v>197</v>
      </c>
      <c r="AE76" s="71"/>
      <c r="AH76" s="512"/>
      <c r="AJ76" s="152"/>
    </row>
    <row r="77" spans="1:36" ht="81" hidden="1" customHeight="1">
      <c r="A77" s="1566"/>
      <c r="B77" s="718" t="s">
        <v>2350</v>
      </c>
      <c r="C77" s="3174" t="s">
        <v>2351</v>
      </c>
      <c r="D77" s="3174"/>
      <c r="E77" s="3174"/>
      <c r="F77" s="3174"/>
      <c r="G77" s="3174"/>
      <c r="H77" s="3174"/>
      <c r="I77" s="3174"/>
      <c r="J77" s="3174"/>
      <c r="K77" s="3174"/>
      <c r="L77" s="3174"/>
      <c r="M77" s="3174"/>
      <c r="N77" s="3174"/>
      <c r="O77" s="3174"/>
      <c r="P77" s="3175"/>
      <c r="Q77" s="479"/>
      <c r="R77" s="479"/>
      <c r="S77" s="479"/>
      <c r="V77" s="202" t="s">
        <v>1323</v>
      </c>
      <c r="AF77" s="479"/>
      <c r="AG77" s="479"/>
      <c r="AI77" s="479"/>
    </row>
    <row r="78" spans="1:36" ht="99" hidden="1" customHeight="1">
      <c r="A78" s="1566"/>
      <c r="B78" s="718" t="s">
        <v>2352</v>
      </c>
      <c r="C78" s="3177" t="s">
        <v>2353</v>
      </c>
      <c r="D78" s="3177"/>
      <c r="E78" s="3177"/>
      <c r="F78" s="3177"/>
      <c r="G78" s="3177"/>
      <c r="H78" s="3177"/>
      <c r="I78" s="3177"/>
      <c r="J78" s="3177"/>
      <c r="K78" s="3177"/>
      <c r="L78" s="3177"/>
      <c r="M78" s="3177"/>
      <c r="N78" s="3177"/>
      <c r="O78" s="3177"/>
      <c r="P78" s="3178"/>
      <c r="Q78" s="479"/>
      <c r="R78" s="479"/>
      <c r="S78" s="479"/>
      <c r="V78" s="202" t="s">
        <v>789</v>
      </c>
      <c r="AF78" s="479"/>
      <c r="AG78" s="479"/>
      <c r="AI78" s="479"/>
    </row>
    <row r="79" spans="1:36" ht="129.75" hidden="1" customHeight="1">
      <c r="A79" s="1566"/>
      <c r="B79" s="718" t="s">
        <v>2354</v>
      </c>
      <c r="C79" s="3177" t="s">
        <v>2355</v>
      </c>
      <c r="D79" s="3177"/>
      <c r="E79" s="3177"/>
      <c r="F79" s="3177"/>
      <c r="G79" s="3177"/>
      <c r="H79" s="3177"/>
      <c r="I79" s="3177"/>
      <c r="J79" s="3177"/>
      <c r="K79" s="3177"/>
      <c r="L79" s="3177"/>
      <c r="M79" s="3177"/>
      <c r="N79" s="3177"/>
      <c r="O79" s="3177"/>
      <c r="P79" s="3178"/>
      <c r="Q79" s="479"/>
      <c r="R79" s="479"/>
      <c r="S79" s="479"/>
      <c r="V79" s="202" t="s">
        <v>789</v>
      </c>
      <c r="AF79" s="479"/>
      <c r="AG79" s="479"/>
      <c r="AI79" s="479"/>
    </row>
    <row r="80" spans="1:36" ht="86.25" hidden="1" customHeight="1">
      <c r="A80" s="1566"/>
      <c r="B80" s="718" t="s">
        <v>2356</v>
      </c>
      <c r="C80" s="3177" t="s">
        <v>2357</v>
      </c>
      <c r="D80" s="3177"/>
      <c r="E80" s="3177"/>
      <c r="F80" s="3177"/>
      <c r="G80" s="3177"/>
      <c r="H80" s="3177"/>
      <c r="I80" s="3177"/>
      <c r="J80" s="3177"/>
      <c r="K80" s="3177"/>
      <c r="L80" s="3177"/>
      <c r="M80" s="3177"/>
      <c r="N80" s="3177"/>
      <c r="O80" s="3177"/>
      <c r="P80" s="3178"/>
      <c r="Q80" s="479"/>
      <c r="R80" s="479"/>
      <c r="S80" s="479"/>
      <c r="V80" s="202" t="s">
        <v>789</v>
      </c>
      <c r="AF80" s="479"/>
      <c r="AG80" s="479"/>
      <c r="AI80" s="479"/>
    </row>
    <row r="81" spans="1:36" ht="128.25" hidden="1" customHeight="1">
      <c r="A81" s="1566"/>
      <c r="B81" s="718" t="s">
        <v>2358</v>
      </c>
      <c r="C81" s="3177" t="s">
        <v>2359</v>
      </c>
      <c r="D81" s="3177"/>
      <c r="E81" s="3177"/>
      <c r="F81" s="3177"/>
      <c r="G81" s="3177"/>
      <c r="H81" s="3177"/>
      <c r="I81" s="3177"/>
      <c r="J81" s="3177"/>
      <c r="K81" s="3177"/>
      <c r="L81" s="3177"/>
      <c r="M81" s="3177"/>
      <c r="N81" s="3177"/>
      <c r="O81" s="3177"/>
      <c r="P81" s="3178"/>
      <c r="Q81" s="479"/>
      <c r="R81" s="479"/>
      <c r="S81" s="479"/>
      <c r="V81" s="202" t="s">
        <v>1326</v>
      </c>
      <c r="AF81" s="479"/>
      <c r="AG81" s="479"/>
      <c r="AI81" s="479"/>
    </row>
    <row r="82" spans="1:36" ht="110.25" hidden="1" customHeight="1" thickBot="1">
      <c r="A82" s="1566"/>
      <c r="B82" s="719" t="s">
        <v>2360</v>
      </c>
      <c r="C82" s="3179" t="s">
        <v>2361</v>
      </c>
      <c r="D82" s="3179"/>
      <c r="E82" s="3179"/>
      <c r="F82" s="3179"/>
      <c r="G82" s="3179"/>
      <c r="H82" s="3179"/>
      <c r="I82" s="3179"/>
      <c r="J82" s="3179"/>
      <c r="K82" s="3179"/>
      <c r="L82" s="3179"/>
      <c r="M82" s="3179"/>
      <c r="N82" s="3179"/>
      <c r="O82" s="3179"/>
      <c r="P82" s="3180"/>
      <c r="Q82" s="479"/>
      <c r="R82" s="479"/>
      <c r="S82" s="479"/>
      <c r="V82" s="202" t="s">
        <v>789</v>
      </c>
      <c r="AF82" s="479"/>
      <c r="AG82" s="479"/>
      <c r="AI82" s="479"/>
    </row>
    <row r="83" spans="1:36" ht="15" hidden="1" thickBot="1">
      <c r="A83" s="1566"/>
      <c r="B83" s="479"/>
      <c r="C83" s="479"/>
      <c r="D83" s="479"/>
      <c r="E83" s="479"/>
      <c r="J83" s="479"/>
      <c r="K83" s="479"/>
      <c r="L83" s="479"/>
      <c r="M83" s="479"/>
      <c r="N83" s="479"/>
      <c r="O83" s="479"/>
      <c r="P83" s="479"/>
      <c r="Q83" s="479"/>
      <c r="R83" s="479"/>
      <c r="S83" s="479"/>
      <c r="V83" s="202"/>
      <c r="AF83" s="479"/>
      <c r="AG83" s="479"/>
      <c r="AI83" s="479"/>
    </row>
    <row r="84" spans="1:36" s="110" customFormat="1" ht="16.5" hidden="1" thickBot="1">
      <c r="A84" s="1560"/>
      <c r="B84" s="146" t="s">
        <v>2362</v>
      </c>
      <c r="C84" s="147"/>
      <c r="D84" s="148"/>
      <c r="E84" s="148"/>
      <c r="F84" s="148"/>
      <c r="G84" s="148"/>
      <c r="H84" s="148"/>
      <c r="I84" s="716"/>
      <c r="J84" s="148"/>
      <c r="K84" s="148"/>
      <c r="L84" s="148"/>
      <c r="M84" s="148"/>
      <c r="N84" s="148"/>
      <c r="O84" s="148"/>
      <c r="P84" s="251"/>
      <c r="T84" s="74"/>
      <c r="U84" s="71"/>
      <c r="V84" s="70"/>
      <c r="W84" s="70"/>
      <c r="X84" s="70"/>
      <c r="AE84" s="71"/>
      <c r="AH84" s="512"/>
      <c r="AJ84" s="152"/>
    </row>
    <row r="85" spans="1:36" s="110" customFormat="1" hidden="1">
      <c r="A85" s="1560"/>
      <c r="B85" s="74"/>
      <c r="C85" s="155"/>
      <c r="D85" s="74"/>
      <c r="E85" s="74"/>
      <c r="F85" s="74"/>
      <c r="G85" s="74"/>
      <c r="H85" s="74"/>
      <c r="I85" s="166"/>
      <c r="L85" s="74"/>
      <c r="N85" s="70"/>
      <c r="T85" s="74"/>
      <c r="U85" s="71"/>
      <c r="V85" s="70"/>
      <c r="W85" s="70"/>
      <c r="X85" s="70"/>
      <c r="AE85" s="71"/>
      <c r="AH85" s="512"/>
      <c r="AJ85" s="152"/>
    </row>
    <row r="86" spans="1:36" s="178" customFormat="1" ht="359.45" hidden="1" customHeight="1">
      <c r="A86" s="1561"/>
      <c r="B86" s="3176" t="s">
        <v>2363</v>
      </c>
      <c r="C86" s="3176"/>
      <c r="D86" s="3176"/>
      <c r="E86" s="3176"/>
      <c r="F86" s="3176"/>
      <c r="G86" s="3176"/>
      <c r="H86" s="3176"/>
      <c r="I86" s="3176"/>
      <c r="J86" s="3176"/>
      <c r="K86" s="3176"/>
      <c r="L86" s="3176"/>
      <c r="M86" s="3176"/>
      <c r="N86" s="3176"/>
      <c r="O86" s="3176"/>
      <c r="P86" s="3176"/>
      <c r="T86" s="74"/>
      <c r="U86" s="71"/>
      <c r="V86" s="743" t="s">
        <v>2364</v>
      </c>
      <c r="W86" s="70"/>
      <c r="X86" s="70"/>
      <c r="AE86" s="71"/>
      <c r="AH86" s="510"/>
      <c r="AJ86" s="179"/>
    </row>
    <row r="87" spans="1:36" hidden="1">
      <c r="A87" s="1566"/>
      <c r="B87" s="479"/>
      <c r="C87" s="479"/>
      <c r="D87" s="479"/>
      <c r="E87" s="479"/>
      <c r="J87" s="479"/>
      <c r="K87" s="479"/>
      <c r="L87" s="479"/>
      <c r="M87" s="479"/>
      <c r="N87" s="479"/>
      <c r="O87" s="479"/>
      <c r="P87" s="479"/>
      <c r="Q87" s="479"/>
      <c r="R87" s="479"/>
      <c r="S87" s="479"/>
      <c r="AF87" s="479"/>
      <c r="AG87" s="479"/>
      <c r="AI87" s="479"/>
    </row>
    <row r="88" spans="1:36" hidden="1">
      <c r="A88" s="1566"/>
      <c r="B88" s="479"/>
      <c r="C88" s="479"/>
      <c r="D88" s="479"/>
      <c r="E88" s="479"/>
      <c r="J88" s="479"/>
      <c r="K88" s="479"/>
      <c r="L88" s="479"/>
      <c r="M88" s="479"/>
      <c r="N88" s="479"/>
      <c r="O88" s="479"/>
      <c r="P88" s="479"/>
      <c r="Q88" s="479"/>
      <c r="R88" s="479"/>
      <c r="S88" s="479"/>
      <c r="AF88" s="479"/>
      <c r="AG88" s="479"/>
      <c r="AI88" s="479"/>
    </row>
    <row r="89" spans="1:36" hidden="1">
      <c r="B89" s="479"/>
      <c r="C89" s="479"/>
      <c r="D89" s="479"/>
      <c r="E89" s="479"/>
      <c r="J89" s="479"/>
      <c r="K89" s="479"/>
      <c r="L89" s="479"/>
      <c r="M89" s="479"/>
      <c r="N89" s="479"/>
      <c r="O89" s="479"/>
      <c r="P89" s="479"/>
      <c r="Q89" s="479"/>
      <c r="R89" s="479"/>
      <c r="S89" s="479"/>
      <c r="AF89" s="479"/>
      <c r="AG89" s="479"/>
      <c r="AI89" s="479"/>
    </row>
    <row r="90" spans="1:36" hidden="1">
      <c r="B90" s="479"/>
      <c r="C90" s="479"/>
      <c r="D90" s="479"/>
      <c r="E90" s="479"/>
      <c r="J90" s="479"/>
      <c r="K90" s="479"/>
      <c r="L90" s="479"/>
      <c r="M90" s="479"/>
      <c r="N90" s="479"/>
      <c r="O90" s="479"/>
      <c r="P90" s="479"/>
      <c r="Q90" s="479"/>
      <c r="R90" s="479"/>
      <c r="S90" s="479"/>
      <c r="AF90" s="479"/>
      <c r="AG90" s="479"/>
      <c r="AI90" s="479"/>
    </row>
    <row r="91" spans="1:36" hidden="1">
      <c r="B91" s="479"/>
      <c r="C91" s="479"/>
      <c r="D91" s="479"/>
      <c r="E91" s="479"/>
      <c r="J91" s="479"/>
      <c r="K91" s="479"/>
      <c r="L91" s="479"/>
      <c r="M91" s="479"/>
      <c r="N91" s="479"/>
      <c r="O91" s="479"/>
      <c r="P91" s="479"/>
      <c r="Q91" s="479"/>
      <c r="R91" s="479"/>
      <c r="S91" s="479"/>
      <c r="AF91" s="479"/>
      <c r="AG91" s="479"/>
      <c r="AI91" s="479"/>
    </row>
    <row r="92" spans="1:36" hidden="1">
      <c r="B92" s="479"/>
      <c r="C92" s="479"/>
      <c r="D92" s="479"/>
      <c r="E92" s="479"/>
      <c r="J92" s="479"/>
      <c r="K92" s="479"/>
      <c r="L92" s="479"/>
      <c r="M92" s="479"/>
      <c r="N92" s="479"/>
      <c r="O92" s="479"/>
      <c r="P92" s="479"/>
      <c r="Q92" s="479"/>
      <c r="R92" s="479"/>
      <c r="S92" s="479"/>
      <c r="AF92" s="479"/>
      <c r="AG92" s="479"/>
      <c r="AI92" s="479"/>
    </row>
    <row r="93" spans="1:36" hidden="1">
      <c r="B93" s="479"/>
      <c r="C93" s="479"/>
      <c r="D93" s="479"/>
      <c r="E93" s="479"/>
      <c r="J93" s="479"/>
      <c r="K93" s="479"/>
      <c r="L93" s="479"/>
      <c r="M93" s="479"/>
      <c r="N93" s="479"/>
      <c r="O93" s="479"/>
      <c r="P93" s="479"/>
      <c r="Q93" s="479"/>
      <c r="R93" s="479"/>
      <c r="S93" s="479"/>
      <c r="AF93" s="479"/>
      <c r="AG93" s="479"/>
      <c r="AI93" s="479"/>
    </row>
    <row r="94" spans="1:36" hidden="1">
      <c r="B94" s="479"/>
      <c r="C94" s="479"/>
      <c r="D94" s="479"/>
      <c r="E94" s="479"/>
      <c r="J94" s="479"/>
      <c r="K94" s="479"/>
      <c r="L94" s="479"/>
      <c r="M94" s="479"/>
      <c r="N94" s="479"/>
      <c r="O94" s="479"/>
      <c r="P94" s="479"/>
      <c r="Q94" s="479"/>
      <c r="R94" s="479"/>
      <c r="S94" s="479"/>
      <c r="AF94" s="479"/>
      <c r="AG94" s="479"/>
      <c r="AI94" s="479"/>
    </row>
    <row r="95" spans="1:36" hidden="1">
      <c r="B95" s="479"/>
      <c r="C95" s="479"/>
      <c r="D95" s="479"/>
      <c r="E95" s="479"/>
      <c r="J95" s="479"/>
      <c r="K95" s="479"/>
      <c r="L95" s="479"/>
      <c r="M95" s="479"/>
      <c r="N95" s="479"/>
      <c r="O95" s="479"/>
      <c r="P95" s="479"/>
      <c r="Q95" s="479"/>
      <c r="R95" s="479"/>
      <c r="S95" s="479"/>
      <c r="AF95" s="479"/>
      <c r="AG95" s="479"/>
      <c r="AI95" s="479"/>
    </row>
    <row r="96" spans="1:36" hidden="1">
      <c r="B96" s="479"/>
      <c r="C96" s="479"/>
      <c r="D96" s="479"/>
      <c r="E96" s="479"/>
      <c r="J96" s="479"/>
      <c r="K96" s="479"/>
      <c r="L96" s="479"/>
      <c r="M96" s="479"/>
      <c r="N96" s="479"/>
      <c r="O96" s="479"/>
      <c r="P96" s="479"/>
      <c r="Q96" s="479"/>
      <c r="R96" s="479"/>
      <c r="S96" s="479"/>
      <c r="AF96" s="479"/>
      <c r="AG96" s="479"/>
      <c r="AI96" s="479"/>
    </row>
    <row r="97" spans="17:19" hidden="1">
      <c r="Q97" s="479"/>
      <c r="R97" s="479"/>
      <c r="S97" s="479"/>
    </row>
    <row r="98" spans="17:19" hidden="1">
      <c r="Q98" s="479"/>
      <c r="R98" s="479"/>
      <c r="S98" s="479"/>
    </row>
  </sheetData>
  <sheetProtection algorithmName="SHA-512" hashValue="sc88HVnyPbifVEdZX2Jm04gCi790ChuuxQhwJR/MAHvc/2Fbdfw2AmeEMwppyBxE2dBYjzd37zVOgRuiQZ608A==" saltValue="mzRrLnQpTldfuSDdvTq5iA=="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1218" priority="25" operator="equal">
      <formula>0</formula>
    </cfRule>
  </conditionalFormatting>
  <conditionalFormatting sqref="K5:P60">
    <cfRule type="expression" dxfId="1217" priority="1">
      <formula xml:space="preserve"> $AJ5 = "SIM"</formula>
    </cfRule>
    <cfRule type="expression" dxfId="1216" priority="12">
      <formula xml:space="preserve"> $AI5 = "NFI"</formula>
    </cfRule>
  </conditionalFormatting>
  <conditionalFormatting sqref="H5:I60">
    <cfRule type="expression" dxfId="1215" priority="5" stopIfTrue="1">
      <formula xml:space="preserve"> INDIRECT("G" &amp; ROW()) = 0</formula>
    </cfRule>
    <cfRule type="expression" dxfId="1214" priority="6" stopIfTrue="1">
      <formula xml:space="preserve"> INDIRECT("G" &amp; ROW()) = 1</formula>
    </cfRule>
    <cfRule type="expression" dxfId="1213" priority="7" stopIfTrue="1">
      <formula xml:space="preserve"> INDIRECT("G" &amp; ROW()) = 2</formula>
    </cfRule>
    <cfRule type="expression" dxfId="1212" priority="8" stopIfTrue="1">
      <formula xml:space="preserve"> INDIRECT("G" &amp; ROW()) = 3</formula>
    </cfRule>
    <cfRule type="expression" dxfId="1211" priority="9" stopIfTrue="1">
      <formula xml:space="preserve"> INDIRECT("G" &amp; ROW()) = 4</formula>
    </cfRule>
    <cfRule type="expression" dxfId="1210" priority="10" stopIfTrue="1">
      <formula xml:space="preserve"> INDIRECT("G" &amp; ROW()) = 5</formula>
    </cfRule>
    <cfRule type="expression" dxfId="1209" priority="11" stopIfTrue="1">
      <formula xml:space="preserve"> INDIRECT("G" &amp; ROW()) = 6</formula>
    </cfRule>
  </conditionalFormatting>
  <conditionalFormatting sqref="I18">
    <cfRule type="expression" dxfId="1208" priority="3" stopIfTrue="1">
      <formula xml:space="preserve"> INDIRECT("G" &amp; ROW()) = "mins:secs"</formula>
    </cfRule>
  </conditionalFormatting>
  <conditionalFormatting sqref="S58">
    <cfRule type="cellIs" dxfId="120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0000000}">
          <x14:formula1>
            <xm:f>Lists!$F$11:$F$15</xm:f>
          </x14:formula1>
          <xm:sqref>K5:K60 M5:M60</xm:sqref>
        </x14:dataValidation>
        <x14:dataValidation type="list" allowBlank="1" showInputMessage="1" showErrorMessage="1" xr:uid="{00000000-0002-0000-1600-000001000000}">
          <x14:formula1>
            <xm:f>Lists!$F$6:$F$8</xm:f>
          </x14:formula1>
          <xm:sqref>J5:J60</xm:sqref>
        </x14:dataValidation>
        <x14:dataValidation type="list" allowBlank="1" showInputMessage="1" showErrorMessage="1" xr:uid="{00000000-0002-0000-1600-000002000000}">
          <x14:formula1>
            <xm:f>Lists!$F$17:$F$18</xm:f>
          </x14:formula1>
          <xm:sqref>O5:O60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V63"/>
  <sheetViews>
    <sheetView showGridLines="0" topLeftCell="C3" workbookViewId="0">
      <selection activeCell="I20" sqref="I20"/>
    </sheetView>
  </sheetViews>
  <sheetFormatPr defaultColWidth="0" defaultRowHeight="14.25" zeroHeight="1"/>
  <cols>
    <col min="1" max="1" width="1.125" style="518" customWidth="1"/>
    <col min="2" max="2" width="6.125" style="518" customWidth="1"/>
    <col min="3" max="3" width="19.375" style="518" customWidth="1"/>
    <col min="4" max="4" width="14" style="538" customWidth="1"/>
    <col min="5" max="5" width="75" style="518" customWidth="1"/>
    <col min="6" max="6" width="8.5" style="538" customWidth="1"/>
    <col min="7" max="7" width="12.5" style="538" customWidth="1"/>
    <col min="8" max="8" width="18.5" style="538" customWidth="1"/>
    <col min="9" max="9" width="18.5" style="543" customWidth="1"/>
    <col min="10" max="10" width="9" style="546" customWidth="1"/>
    <col min="11" max="11" width="2.125" style="518" customWidth="1"/>
    <col min="12" max="12" width="33.5" style="518" customWidth="1"/>
    <col min="13" max="13" width="24.5" style="518" customWidth="1"/>
    <col min="14" max="14" width="1.5" style="518" customWidth="1"/>
    <col min="15" max="15" width="1.5" style="519" hidden="1" customWidth="1"/>
    <col min="16" max="17" width="9.125" style="520" hidden="1" customWidth="1"/>
    <col min="18" max="18" width="1.5" style="554" hidden="1" customWidth="1"/>
    <col min="19" max="20" width="9.125" style="520" hidden="1" customWidth="1"/>
    <col min="21" max="21" width="1.5" style="554" hidden="1" customWidth="1"/>
    <col min="22" max="22" width="1.5" style="518" hidden="1" customWidth="1"/>
    <col min="23" max="16384" width="9" style="518" hidden="1"/>
  </cols>
  <sheetData>
    <row r="1" spans="1:20" ht="20.25">
      <c r="A1" s="517"/>
      <c r="B1" s="67" t="s">
        <v>2365</v>
      </c>
      <c r="C1" s="67"/>
      <c r="D1" s="533"/>
      <c r="E1" s="67"/>
      <c r="F1" s="67" t="str">
        <f>Validation!B3</f>
        <v>Yorkshire Water</v>
      </c>
      <c r="G1" s="533"/>
      <c r="H1" s="533"/>
      <c r="I1" s="539"/>
      <c r="J1" s="69"/>
      <c r="K1" s="69"/>
      <c r="L1" s="69"/>
      <c r="M1" s="69" t="s">
        <v>34</v>
      </c>
    </row>
    <row r="2" spans="1:20" ht="19.5" thickBot="1">
      <c r="B2" s="521" t="s">
        <v>20</v>
      </c>
      <c r="C2" s="522"/>
      <c r="D2" s="547"/>
      <c r="E2" s="517"/>
      <c r="F2" s="517"/>
      <c r="G2" s="517"/>
      <c r="H2" s="517"/>
      <c r="I2" s="540"/>
      <c r="J2" s="544"/>
      <c r="K2" s="517"/>
      <c r="L2" s="517"/>
      <c r="M2" s="523"/>
      <c r="P2" s="76" t="s">
        <v>47</v>
      </c>
      <c r="Q2" s="524"/>
      <c r="S2" s="524" t="s">
        <v>2366</v>
      </c>
      <c r="T2" s="524"/>
    </row>
    <row r="3" spans="1:20" ht="27.75" thickBot="1">
      <c r="B3" s="3002" t="s">
        <v>2307</v>
      </c>
      <c r="C3" s="3002" t="s">
        <v>2308</v>
      </c>
      <c r="D3" s="306" t="s">
        <v>2367</v>
      </c>
      <c r="E3" s="305" t="s">
        <v>2368</v>
      </c>
      <c r="F3" s="306" t="s">
        <v>2310</v>
      </c>
      <c r="G3" s="306" t="s">
        <v>2312</v>
      </c>
      <c r="H3" s="306" t="s">
        <v>2369</v>
      </c>
      <c r="I3" s="541" t="s">
        <v>2314</v>
      </c>
      <c r="J3" s="297" t="s">
        <v>2315</v>
      </c>
      <c r="K3" s="523"/>
      <c r="L3" s="186" t="s">
        <v>2322</v>
      </c>
      <c r="M3" s="187" t="s">
        <v>43</v>
      </c>
      <c r="P3" s="525" t="s">
        <v>48</v>
      </c>
      <c r="S3" s="520" t="s">
        <v>2370</v>
      </c>
    </row>
    <row r="4" spans="1:20" ht="7.5" customHeight="1" thickBot="1">
      <c r="B4" s="155"/>
      <c r="C4" s="155"/>
      <c r="D4" s="534"/>
      <c r="E4" s="155"/>
      <c r="F4" s="534"/>
      <c r="G4" s="534"/>
      <c r="H4" s="534"/>
      <c r="I4" s="542"/>
      <c r="J4" s="545"/>
      <c r="P4" s="520" t="s">
        <v>2327</v>
      </c>
      <c r="Q4" s="520" t="s">
        <v>2328</v>
      </c>
    </row>
    <row r="5" spans="1:20" ht="30.2" customHeight="1">
      <c r="B5" s="526">
        <v>1</v>
      </c>
      <c r="C5" s="527" t="str">
        <f>IF($F$1="Select company","",IF((HLOOKUP((VLOOKUP($F$1,Lists!$B$4:$C$26,2,FALSE)),'SUB list edited'!$A$2:$DP$42,($B5+1),FALSE))=0,"",HLOOKUP((VLOOKUP($F$1,Lists!$B$4:$C$26,2,FALSE)),'SUB list edited'!$A$2:$DP$42,($B5+1),FALSE)))</f>
        <v>PR14YKYWSW_WA4</v>
      </c>
      <c r="D5" s="535" t="str">
        <f>IF($F$1="Select company","",IF(C5 = "","",HLOOKUP(((VLOOKUP($F$1,Lists!$B$4:$C$26,2,FALSE))&amp;"ID"),'SUB list edited'!$A$2:$DP$42,($B5+1),FALSE)))</f>
        <v>00</v>
      </c>
      <c r="E5" s="527" t="str">
        <f>IF($F$1="Select company","",IF(C5 = "","",HLOOKUP(((VLOOKUP($F$1,Lists!$B$4:$C$26,2,FALSE))&amp;"PC"),'SUB list edited'!$A$2:$DP$42,($B5+1),FALSE)))</f>
        <v>WA4: Water quality stability and reliability factor</v>
      </c>
      <c r="F5" s="535" t="str">
        <f>IF($F$1="Select company","",IF(C5 = "","",HLOOKUP(((VLOOKUP($F$1,Lists!$B$4:$C$26,2,FALSE))&amp;"unit"),'SUB list edited'!$A$2:$DP$42,($B5+1),FALSE)))</f>
        <v>category</v>
      </c>
      <c r="G5" s="1383" t="str">
        <f>IF($F$1="Select company","",IF(C5="","",HLOOKUP(((VLOOKUP($F$1,Lists!$B$4:$C$26,2,FALSE))&amp;"DP"),'SUB list edited'!$A$2:$DP$42,($B5+1),FALSE)))</f>
        <v>na</v>
      </c>
      <c r="H5" s="313" t="str">
        <f>IF($F$1="Select company","",IF(C5 = "","",HLOOKUP(((VLOOKUP($F$1,Lists!$B$4:$C$26,2,FALSE))&amp;"201819ActPerf"),'SUB list edited'!$A$2:$DP$42,($B5+1),FALSE)))</f>
        <v>Stable</v>
      </c>
      <c r="I5" s="2977" t="s">
        <v>2338</v>
      </c>
      <c r="J5" s="549" t="s">
        <v>2337</v>
      </c>
      <c r="L5" s="528">
        <f>IF(SUM(S5:T5) &gt; 0, $S$3, 0)</f>
        <v>0</v>
      </c>
      <c r="M5" s="528">
        <f>IF(SUM(P5:Q5) &gt; 0, $P$3, 0)</f>
        <v>0</v>
      </c>
      <c r="P5" s="524">
        <f>IF($C5="", 0, IF(ISBLANK(I5), 1, 0))</f>
        <v>0</v>
      </c>
      <c r="Q5" s="524">
        <f>IF($C5="", 0, IF(ISBLANK(J5), 1, 0))</f>
        <v>0</v>
      </c>
      <c r="S5" s="524">
        <f xml:space="preserve"> IF(C5 = "", 0, IF(AND(NOT(INDEX('3A'!I$5:I$60, MATCH('3B'!$C5, '3A'!$C$5:$C$60, 0))=I5), $D5="00"), 1, 0))</f>
        <v>0</v>
      </c>
      <c r="T5" s="524">
        <f xml:space="preserve"> IF(C5 = "", 0, IF(AND(NOT(INDEX('3A'!J$5:J$60, MATCH('3B'!$C5, '3A'!$C$5:$C$60, 0))=J5), $D5="00"), 1, 0))</f>
        <v>0</v>
      </c>
    </row>
    <row r="6" spans="1:20" ht="30.2" customHeight="1">
      <c r="B6" s="529">
        <f xml:space="preserve"> B5 + 1</f>
        <v>2</v>
      </c>
      <c r="C6" s="530" t="str">
        <f>IF($F$1="Select company","",IF((HLOOKUP((VLOOKUP($F$1,Lists!$B$4:$C$26,2,FALSE)),'SUB list edited'!$A$2:$DP$42,($B6+1),FALSE))=0,"",HLOOKUP((VLOOKUP($F$1,Lists!$B$4:$C$26,2,FALSE)),'SUB list edited'!$A$2:$DP$42,($B6+1),FALSE)))</f>
        <v>PR14YKYWSW_WA4</v>
      </c>
      <c r="D6" s="536" t="str">
        <f>IF($F$1="Select company","",IF(C6 = "","",HLOOKUP(((VLOOKUP($F$1,Lists!$B$4:$C$26,2,FALSE))&amp;"ID"),'SUB list edited'!$A$2:$DP$42,($B6+1),FALSE)))</f>
        <v>01</v>
      </c>
      <c r="E6" s="530" t="str">
        <f>IF($F$1="Select company","",IF(C6 = "","",HLOOKUP(((VLOOKUP($F$1,Lists!$B$4:$C$26,2,FALSE))&amp;"PC"),'SUB list edited'!$A$2:$DP$42,($B6+1),FALSE)))</f>
        <v>WTW coliform non-compliance</v>
      </c>
      <c r="F6" s="536" t="str">
        <f>IF($F$1="Select company","",IF(C6 = "","",HLOOKUP(((VLOOKUP($F$1,Lists!$B$4:$C$26,2,FALSE))&amp;"unit"),'SUB list edited'!$A$2:$DP$42,($B6+1),FALSE)))</f>
        <v>%</v>
      </c>
      <c r="G6" s="1384">
        <f>IF($F$1="Select company","",IF(C6="","",HLOOKUP(((VLOOKUP($F$1,Lists!$B$4:$C$26,2,FALSE))&amp;"DP"),'SUB list edited'!$A$2:$DP$42,($B6+1),FALSE)))</f>
        <v>3</v>
      </c>
      <c r="H6" s="314">
        <f>IF($F$1="Select company","",IF(C6 = "","",HLOOKUP(((VLOOKUP($F$1,Lists!$B$4:$C$26,2,FALSE))&amp;"201819ActPerf"),'SUB list edited'!$A$2:$DP$42,($B6+1),FALSE)))</f>
        <v>2.1000000000000001E-2</v>
      </c>
      <c r="I6" s="550">
        <v>2.8000000000000001E-2</v>
      </c>
      <c r="J6" s="551" t="s">
        <v>2337</v>
      </c>
      <c r="L6" s="528">
        <f>IF(SUM(S6:T6) &gt; 0, $S$3, 0)</f>
        <v>0</v>
      </c>
      <c r="M6" s="528">
        <f t="shared" ref="M6:M44" si="0">IF(SUM(P6:Q6) &gt; 0, $P$3, 0)</f>
        <v>0</v>
      </c>
      <c r="P6" s="524">
        <f t="shared" ref="P6:P44" si="1">IF($C6="", 0, IF(ISBLANK(I6), 1, 0))</f>
        <v>0</v>
      </c>
      <c r="Q6" s="524">
        <f t="shared" ref="Q6:Q44" si="2">IF($C6="", 0, IF(ISBLANK(J6), 1, 0))</f>
        <v>0</v>
      </c>
      <c r="S6" s="524">
        <f xml:space="preserve"> IF(C6 = "", 0, IF(AND(NOT(INDEX('3A'!I$5:I$60, MATCH('3B'!$C6, '3A'!$C$5:$C$60, 0))=I6), $D6="00"), 1, 0))</f>
        <v>0</v>
      </c>
      <c r="T6" s="524">
        <f xml:space="preserve"> IF(C6 = "", 0, IF(AND(NOT(INDEX('3A'!J$5:J$60, MATCH('3B'!$C6, '3A'!$C$5:$C$60, 0))=J6), $D6="00"), 1, 0))</f>
        <v>0</v>
      </c>
    </row>
    <row r="7" spans="1:20" ht="30.2" customHeight="1">
      <c r="B7" s="529">
        <f t="shared" ref="B7:B11" si="3" xml:space="preserve"> B6 + 1</f>
        <v>3</v>
      </c>
      <c r="C7" s="530" t="str">
        <f>IF($F$1="Select company","",IF((HLOOKUP((VLOOKUP($F$1,Lists!$B$4:$C$26,2,FALSE)),'SUB list edited'!$A$2:$DP$42,($B7+1),FALSE))=0,"",HLOOKUP((VLOOKUP($F$1,Lists!$B$4:$C$26,2,FALSE)),'SUB list edited'!$A$2:$DP$42,($B7+1),FALSE)))</f>
        <v>PR14YKYWSW_WA4</v>
      </c>
      <c r="D7" s="536" t="str">
        <f>IF($F$1="Select company","",IF(C7 = "","",HLOOKUP(((VLOOKUP($F$1,Lists!$B$4:$C$26,2,FALSE))&amp;"ID"),'SUB list edited'!$A$2:$DP$42,($B7+1),FALSE)))</f>
        <v>02</v>
      </c>
      <c r="E7" s="530" t="str">
        <f>IF($F$1="Select company","",IF(C7 = "","",HLOOKUP(((VLOOKUP($F$1,Lists!$B$4:$C$26,2,FALSE))&amp;"PC"),'SUB list edited'!$A$2:$DP$42,($B7+1),FALSE)))</f>
        <v>SR coliform non-compliance</v>
      </c>
      <c r="F7" s="536" t="str">
        <f>IF($F$1="Select company","",IF(C7 = "","",HLOOKUP(((VLOOKUP($F$1,Lists!$B$4:$C$26,2,FALSE))&amp;"unit"),'SUB list edited'!$A$2:$DP$42,($B7+1),FALSE)))</f>
        <v>%</v>
      </c>
      <c r="G7" s="1384">
        <f>IF($F$1="Select company","",IF(C7="","",HLOOKUP(((VLOOKUP($F$1,Lists!$B$4:$C$26,2,FALSE))&amp;"DP"),'SUB list edited'!$A$2:$DP$42,($B7+1),FALSE)))</f>
        <v>2</v>
      </c>
      <c r="H7" s="314">
        <f>IF($F$1="Select company","",IF(C7 = "","",HLOOKUP(((VLOOKUP($F$1,Lists!$B$4:$C$26,2,FALSE))&amp;"201819ActPerf"),'SUB list edited'!$A$2:$DP$42,($B7+1),FALSE)))</f>
        <v>0</v>
      </c>
      <c r="I7" s="550">
        <v>0</v>
      </c>
      <c r="J7" s="551" t="s">
        <v>2337</v>
      </c>
      <c r="L7" s="528">
        <f t="shared" ref="L7:L44" si="4">IF(SUM(S7:T7) &gt; 0, $S$3, 0)</f>
        <v>0</v>
      </c>
      <c r="M7" s="528">
        <f t="shared" si="0"/>
        <v>0</v>
      </c>
      <c r="P7" s="524">
        <f t="shared" si="1"/>
        <v>0</v>
      </c>
      <c r="Q7" s="524">
        <f t="shared" si="2"/>
        <v>0</v>
      </c>
      <c r="S7" s="524">
        <f xml:space="preserve"> IF(C7 = "", 0, IF(AND(NOT(INDEX('3A'!I$5:I$60, MATCH('3B'!$C7, '3A'!$C$5:$C$60, 0))=I7), $D7="00"), 1, 0))</f>
        <v>0</v>
      </c>
      <c r="T7" s="524">
        <f xml:space="preserve"> IF(C7 = "", 0, IF(AND(NOT(INDEX('3A'!J$5:J$60, MATCH('3B'!$C7, '3A'!$C$5:$C$60, 0))=J7), $D7="00"), 1, 0))</f>
        <v>0</v>
      </c>
    </row>
    <row r="8" spans="1:20" ht="30.2" customHeight="1">
      <c r="B8" s="529">
        <f t="shared" si="3"/>
        <v>4</v>
      </c>
      <c r="C8" s="530" t="str">
        <f>IF($F$1="Select company","",IF((HLOOKUP((VLOOKUP($F$1,Lists!$B$4:$C$26,2,FALSE)),'SUB list edited'!$A$2:$DP$42,($B8+1),FALSE))=0,"",HLOOKUP((VLOOKUP($F$1,Lists!$B$4:$C$26,2,FALSE)),'SUB list edited'!$A$2:$DP$42,($B8+1),FALSE)))</f>
        <v>PR14YKYWSW_WA4</v>
      </c>
      <c r="D8" s="536" t="str">
        <f>IF($F$1="Select company","",IF(C8 = "","",HLOOKUP(((VLOOKUP($F$1,Lists!$B$4:$C$26,2,FALSE))&amp;"ID"),'SUB list edited'!$A$2:$DP$42,($B8+1),FALSE)))</f>
        <v>03</v>
      </c>
      <c r="E8" s="530" t="str">
        <f>IF($F$1="Select company","",IF(C8 = "","",HLOOKUP(((VLOOKUP($F$1,Lists!$B$4:$C$26,2,FALSE))&amp;"PC"),'SUB list edited'!$A$2:$DP$42,($B8+1),FALSE)))</f>
        <v>Turbidity</v>
      </c>
      <c r="F8" s="536" t="str">
        <f>IF($F$1="Select company","",IF(C8 = "","",HLOOKUP(((VLOOKUP($F$1,Lists!$B$4:$C$26,2,FALSE))&amp;"unit"),'SUB list edited'!$A$2:$DP$42,($B8+1),FALSE)))</f>
        <v>nr</v>
      </c>
      <c r="G8" s="1384" t="str">
        <f>IF($F$1="Select company","",IF(C8="","",HLOOKUP(((VLOOKUP($F$1,Lists!$B$4:$C$26,2,FALSE))&amp;"DP"),'SUB list edited'!$A$2:$DP$42,($B8+1),FALSE)))</f>
        <v>0</v>
      </c>
      <c r="H8" s="314">
        <f>IF($F$1="Select company","",IF(C8 = "","",HLOOKUP(((VLOOKUP($F$1,Lists!$B$4:$C$26,2,FALSE))&amp;"201819ActPerf"),'SUB list edited'!$A$2:$DP$42,($B8+1),FALSE)))</f>
        <v>0</v>
      </c>
      <c r="I8" s="550">
        <v>0</v>
      </c>
      <c r="J8" s="551" t="s">
        <v>2337</v>
      </c>
      <c r="L8" s="528">
        <f t="shared" si="4"/>
        <v>0</v>
      </c>
      <c r="M8" s="528">
        <f t="shared" si="0"/>
        <v>0</v>
      </c>
      <c r="P8" s="524">
        <f t="shared" si="1"/>
        <v>0</v>
      </c>
      <c r="Q8" s="524">
        <f t="shared" si="2"/>
        <v>0</v>
      </c>
      <c r="S8" s="524">
        <f xml:space="preserve"> IF(C8 = "", 0, IF(AND(NOT(INDEX('3A'!I$5:I$60, MATCH('3B'!$C8, '3A'!$C$5:$C$60, 0))=I8), $D8="00"), 1, 0))</f>
        <v>0</v>
      </c>
      <c r="T8" s="524">
        <f xml:space="preserve"> IF(C8 = "", 0, IF(AND(NOT(INDEX('3A'!J$5:J$60, MATCH('3B'!$C8, '3A'!$C$5:$C$60, 0))=J8), $D8="00"), 1, 0))</f>
        <v>0</v>
      </c>
    </row>
    <row r="9" spans="1:20" ht="30.2" customHeight="1">
      <c r="B9" s="529">
        <f t="shared" si="3"/>
        <v>5</v>
      </c>
      <c r="C9" s="530" t="str">
        <f>IF($F$1="Select company","",IF((HLOOKUP((VLOOKUP($F$1,Lists!$B$4:$C$26,2,FALSE)),'SUB list edited'!$A$2:$DP$42,($B9+1),FALSE))=0,"",HLOOKUP((VLOOKUP($F$1,Lists!$B$4:$C$26,2,FALSE)),'SUB list edited'!$A$2:$DP$42,($B9+1),FALSE)))</f>
        <v>PR14YKYWSW_WA4</v>
      </c>
      <c r="D9" s="536" t="str">
        <f>IF($F$1="Select company","",IF(C9 = "","",HLOOKUP(((VLOOKUP($F$1,Lists!$B$4:$C$26,2,FALSE))&amp;"ID"),'SUB list edited'!$A$2:$DP$42,($B9+1),FALSE)))</f>
        <v>04</v>
      </c>
      <c r="E9" s="530" t="str">
        <f>IF($F$1="Select company","",IF(C9 = "","",HLOOKUP(((VLOOKUP($F$1,Lists!$B$4:$C$26,2,FALSE))&amp;"PC"),'SUB list edited'!$A$2:$DP$42,($B9+1),FALSE)))</f>
        <v>Enforcements</v>
      </c>
      <c r="F9" s="536" t="str">
        <f>IF($F$1="Select company","",IF(C9 = "","",HLOOKUP(((VLOOKUP($F$1,Lists!$B$4:$C$26,2,FALSE))&amp;"unit"),'SUB list edited'!$A$2:$DP$42,($B9+1),FALSE)))</f>
        <v>nr</v>
      </c>
      <c r="G9" s="1384" t="str">
        <f>IF($F$1="Select company","",IF(C9="","",HLOOKUP(((VLOOKUP($F$1,Lists!$B$4:$C$26,2,FALSE))&amp;"DP"),'SUB list edited'!$A$2:$DP$42,($B9+1),FALSE)))</f>
        <v>0</v>
      </c>
      <c r="H9" s="314">
        <f>IF($F$1="Select company","",IF(C9 = "","",HLOOKUP(((VLOOKUP($F$1,Lists!$B$4:$C$26,2,FALSE))&amp;"201819ActPerf"),'SUB list edited'!$A$2:$DP$42,($B9+1),FALSE)))</f>
        <v>0</v>
      </c>
      <c r="I9" s="2225">
        <v>0</v>
      </c>
      <c r="J9" s="551" t="s">
        <v>2337</v>
      </c>
      <c r="L9" s="528">
        <f t="shared" si="4"/>
        <v>0</v>
      </c>
      <c r="M9" s="528">
        <f t="shared" si="0"/>
        <v>0</v>
      </c>
      <c r="P9" s="524">
        <f t="shared" si="1"/>
        <v>0</v>
      </c>
      <c r="Q9" s="524">
        <f t="shared" si="2"/>
        <v>0</v>
      </c>
      <c r="S9" s="524">
        <f xml:space="preserve"> IF(C9 = "", 0, IF(AND(NOT(INDEX('3A'!I$5:I$60, MATCH('3B'!$C9, '3A'!$C$5:$C$60, 0))=I9), $D9="00"), 1, 0))</f>
        <v>0</v>
      </c>
      <c r="T9" s="524">
        <f xml:space="preserve"> IF(C9 = "", 0, IF(AND(NOT(INDEX('3A'!J$5:J$60, MATCH('3B'!$C9, '3A'!$C$5:$C$60, 0))=J9), $D9="00"), 1, 0))</f>
        <v>0</v>
      </c>
    </row>
    <row r="10" spans="1:20" ht="30.2" customHeight="1">
      <c r="B10" s="529">
        <f t="shared" si="3"/>
        <v>6</v>
      </c>
      <c r="C10" s="530" t="str">
        <f>IF($F$1="Select company","",IF((HLOOKUP((VLOOKUP($F$1,Lists!$B$4:$C$26,2,FALSE)),'SUB list edited'!$A$2:$DP$42,($B10+1),FALSE))=0,"",HLOOKUP((VLOOKUP($F$1,Lists!$B$4:$C$26,2,FALSE)),'SUB list edited'!$A$2:$DP$42,($B10+1),FALSE)))</f>
        <v>PR14YKYWSW_WA4</v>
      </c>
      <c r="D10" s="536" t="str">
        <f>IF($F$1="Select company","",IF(C10 = "","",HLOOKUP(((VLOOKUP($F$1,Lists!$B$4:$C$26,2,FALSE))&amp;"ID"),'SUB list edited'!$A$2:$DP$42,($B10+1),FALSE)))</f>
        <v>05</v>
      </c>
      <c r="E10" s="530" t="str">
        <f>IF($F$1="Select company","",IF(C10 = "","",HLOOKUP(((VLOOKUP($F$1,Lists!$B$4:$C$26,2,FALSE))&amp;"PC"),'SUB list edited'!$A$2:$DP$42,($B10+1),FALSE)))</f>
        <v>Reactive equipment failures</v>
      </c>
      <c r="F10" s="536" t="str">
        <f>IF($F$1="Select company","",IF(C10 = "","",HLOOKUP(((VLOOKUP($F$1,Lists!$B$4:$C$26,2,FALSE))&amp;"unit"),'SUB list edited'!$A$2:$DP$42,($B10+1),FALSE)))</f>
        <v>nr</v>
      </c>
      <c r="G10" s="1384" t="str">
        <f>IF($F$1="Select company","",IF(C10="","",HLOOKUP(((VLOOKUP($F$1,Lists!$B$4:$C$26,2,FALSE))&amp;"DP"),'SUB list edited'!$A$2:$DP$42,($B10+1),FALSE)))</f>
        <v>0</v>
      </c>
      <c r="H10" s="314">
        <f>IF($F$1="Select company","",IF(C10 = "","",HLOOKUP(((VLOOKUP($F$1,Lists!$B$4:$C$26,2,FALSE))&amp;"201819ActPerf"),'SUB list edited'!$A$2:$DP$42,($B10+1),FALSE)))</f>
        <v>3768</v>
      </c>
      <c r="I10" s="550">
        <v>3410</v>
      </c>
      <c r="J10" s="551" t="s">
        <v>2337</v>
      </c>
      <c r="L10" s="528">
        <f t="shared" si="4"/>
        <v>0</v>
      </c>
      <c r="M10" s="528">
        <f t="shared" si="0"/>
        <v>0</v>
      </c>
      <c r="P10" s="524">
        <f t="shared" si="1"/>
        <v>0</v>
      </c>
      <c r="Q10" s="524">
        <f t="shared" si="2"/>
        <v>0</v>
      </c>
      <c r="S10" s="524">
        <f xml:space="preserve"> IF(C10 = "", 0, IF(AND(NOT(INDEX('3A'!I$5:I$60, MATCH('3B'!$C10, '3A'!$C$5:$C$60, 0))=I10), $D10="00"), 1, 0))</f>
        <v>0</v>
      </c>
      <c r="T10" s="524">
        <f xml:space="preserve"> IF(C10 = "", 0, IF(AND(NOT(INDEX('3A'!J$5:J$60, MATCH('3B'!$C10, '3A'!$C$5:$C$60, 0))=J10), $D10="00"), 1, 0))</f>
        <v>0</v>
      </c>
    </row>
    <row r="11" spans="1:20" ht="30.2" customHeight="1">
      <c r="B11" s="529">
        <f t="shared" si="3"/>
        <v>7</v>
      </c>
      <c r="C11" s="530" t="str">
        <f>IF($F$1="Select company","",IF((HLOOKUP((VLOOKUP($F$1,Lists!$B$4:$C$26,2,FALSE)),'SUB list edited'!$A$2:$DP$42,($B11+1),FALSE))=0,"",HLOOKUP((VLOOKUP($F$1,Lists!$B$4:$C$26,2,FALSE)),'SUB list edited'!$A$2:$DP$42,($B11+1),FALSE)))</f>
        <v>PR14YKYWSW_WB4</v>
      </c>
      <c r="D11" s="536" t="str">
        <f>IF($F$1="Select company","",IF(C11 = "","",HLOOKUP(((VLOOKUP($F$1,Lists!$B$4:$C$26,2,FALSE))&amp;"ID"),'SUB list edited'!$A$2:$DP$42,($B11+1),FALSE)))</f>
        <v>00</v>
      </c>
      <c r="E11" s="530" t="str">
        <f>IF($F$1="Select company","",IF(C11 = "","",HLOOKUP(((VLOOKUP($F$1,Lists!$B$4:$C$26,2,FALSE))&amp;"PC"),'SUB list edited'!$A$2:$DP$42,($B11+1),FALSE)))</f>
        <v>WB4: Water network stability and reliability factor</v>
      </c>
      <c r="F11" s="536" t="str">
        <f>IF($F$1="Select company","",IF(C11 = "","",HLOOKUP(((VLOOKUP($F$1,Lists!$B$4:$C$26,2,FALSE))&amp;"unit"),'SUB list edited'!$A$2:$DP$42,($B11+1),FALSE)))</f>
        <v>category</v>
      </c>
      <c r="G11" s="1384" t="str">
        <f>IF($F$1="Select company","",IF(C11="","",HLOOKUP(((VLOOKUP($F$1,Lists!$B$4:$C$26,2,FALSE))&amp;"DP"),'SUB list edited'!$A$2:$DP$42,($B11+1),FALSE)))</f>
        <v>na</v>
      </c>
      <c r="H11" s="314" t="str">
        <f>IF($F$1="Select company","",IF(C11 = "","",HLOOKUP(((VLOOKUP($F$1,Lists!$B$4:$C$26,2,FALSE))&amp;"201819ActPerf"),'SUB list edited'!$A$2:$DP$42,($B11+1),FALSE)))</f>
        <v>Stable</v>
      </c>
      <c r="I11" s="2225" t="s">
        <v>2338</v>
      </c>
      <c r="J11" s="551" t="s">
        <v>2337</v>
      </c>
      <c r="L11" s="528">
        <f t="shared" si="4"/>
        <v>0</v>
      </c>
      <c r="M11" s="528">
        <f t="shared" si="0"/>
        <v>0</v>
      </c>
      <c r="P11" s="524">
        <f t="shared" si="1"/>
        <v>0</v>
      </c>
      <c r="Q11" s="524">
        <f t="shared" si="2"/>
        <v>0</v>
      </c>
      <c r="S11" s="524">
        <f xml:space="preserve"> IF(C11 = "", 0, IF(AND(NOT(INDEX('3A'!I$5:I$60, MATCH('3B'!$C11, '3A'!$C$5:$C$60, 0))=I11), $D11="00"), 1, 0))</f>
        <v>0</v>
      </c>
      <c r="T11" s="524">
        <f xml:space="preserve"> IF(C11 = "", 0, IF(AND(NOT(INDEX('3A'!J$5:J$60, MATCH('3B'!$C11, '3A'!$C$5:$C$60, 0))=J11), $D11="00"), 1, 0))</f>
        <v>0</v>
      </c>
    </row>
    <row r="12" spans="1:20" ht="30.2" customHeight="1">
      <c r="B12" s="529">
        <f xml:space="preserve"> B11 + 1</f>
        <v>8</v>
      </c>
      <c r="C12" s="530" t="str">
        <f>IF($F$1="Select company","",IF((HLOOKUP((VLOOKUP($F$1,Lists!$B$4:$C$26,2,FALSE)),'SUB list edited'!$A$2:$DP$42,($B12+1),FALSE))=0,"",HLOOKUP((VLOOKUP($F$1,Lists!$B$4:$C$26,2,FALSE)),'SUB list edited'!$A$2:$DP$42,($B12+1),FALSE)))</f>
        <v>PR14YKYWSW_WB4</v>
      </c>
      <c r="D12" s="536" t="str">
        <f>IF($F$1="Select company","",IF(C12 = "","",HLOOKUP(((VLOOKUP($F$1,Lists!$B$4:$C$26,2,FALSE))&amp;"ID"),'SUB list edited'!$A$2:$DP$42,($B12+1),FALSE)))</f>
        <v>01</v>
      </c>
      <c r="E12" s="530" t="str">
        <f>IF($F$1="Select company","",IF(C12 = "","",HLOOKUP(((VLOOKUP($F$1,Lists!$B$4:$C$26,2,FALSE))&amp;"PC"),'SUB list edited'!$A$2:$DP$42,($B12+1),FALSE)))</f>
        <v>Total bursts</v>
      </c>
      <c r="F12" s="536" t="str">
        <f>IF($F$1="Select company","",IF(C12 = "","",HLOOKUP(((VLOOKUP($F$1,Lists!$B$4:$C$26,2,FALSE))&amp;"unit"),'SUB list edited'!$A$2:$DP$42,($B12+1),FALSE)))</f>
        <v>nr</v>
      </c>
      <c r="G12" s="1384" t="str">
        <f>IF($F$1="Select company","",IF(C12="","",HLOOKUP(((VLOOKUP($F$1,Lists!$B$4:$C$26,2,FALSE))&amp;"DP"),'SUB list edited'!$A$2:$DP$42,($B12+1),FALSE)))</f>
        <v>0</v>
      </c>
      <c r="H12" s="314">
        <f>IF($F$1="Select company","",IF(C12 = "","",HLOOKUP(((VLOOKUP($F$1,Lists!$B$4:$C$26,2,FALSE))&amp;"201819ActPerf"),'SUB list edited'!$A$2:$DP$42,($B12+1),FALSE)))</f>
        <v>8254</v>
      </c>
      <c r="I12" s="2225">
        <v>6203</v>
      </c>
      <c r="J12" s="551" t="s">
        <v>2334</v>
      </c>
      <c r="L12" s="528">
        <f t="shared" si="4"/>
        <v>0</v>
      </c>
      <c r="M12" s="528">
        <f t="shared" si="0"/>
        <v>0</v>
      </c>
      <c r="P12" s="524">
        <f t="shared" si="1"/>
        <v>0</v>
      </c>
      <c r="Q12" s="524">
        <f t="shared" si="2"/>
        <v>0</v>
      </c>
      <c r="S12" s="524">
        <f xml:space="preserve"> IF(C12 = "", 0, IF(AND(NOT(INDEX('3A'!I$5:I$60, MATCH('3B'!$C12, '3A'!$C$5:$C$60, 0))=I12), $D12="00"), 1, 0))</f>
        <v>0</v>
      </c>
      <c r="T12" s="524">
        <f xml:space="preserve"> IF(C12 = "", 0, IF(AND(NOT(INDEX('3A'!J$5:J$60, MATCH('3B'!$C12, '3A'!$C$5:$C$60, 0))=J12), $D12="00"), 1, 0))</f>
        <v>0</v>
      </c>
    </row>
    <row r="13" spans="1:20" ht="30.2" customHeight="1">
      <c r="B13" s="529">
        <f t="shared" ref="B13:B15" si="5" xml:space="preserve"> B12 + 1</f>
        <v>9</v>
      </c>
      <c r="C13" s="530" t="str">
        <f>IF($F$1="Select company","",IF((HLOOKUP((VLOOKUP($F$1,Lists!$B$4:$C$26,2,FALSE)),'SUB list edited'!$A$2:$DP$42,($B13+1),FALSE))=0,"",HLOOKUP((VLOOKUP($F$1,Lists!$B$4:$C$26,2,FALSE)),'SUB list edited'!$A$2:$DP$42,($B13+1),FALSE)))</f>
        <v>PR14YKYWSW_WB4</v>
      </c>
      <c r="D13" s="536" t="str">
        <f>IF($F$1="Select company","",IF(C13 = "","",HLOOKUP(((VLOOKUP($F$1,Lists!$B$4:$C$26,2,FALSE))&amp;"ID"),'SUB list edited'!$A$2:$DP$42,($B13+1),FALSE)))</f>
        <v>02</v>
      </c>
      <c r="E13" s="530" t="str">
        <f>IF($F$1="Select company","",IF(C13 = "","",HLOOKUP(((VLOOKUP($F$1,Lists!$B$4:$C$26,2,FALSE))&amp;"PC"),'SUB list edited'!$A$2:$DP$42,($B13+1),FALSE)))</f>
        <v>Interruptions &gt;12 hours</v>
      </c>
      <c r="F13" s="536" t="str">
        <f>IF($F$1="Select company","",IF(C13 = "","",HLOOKUP(((VLOOKUP($F$1,Lists!$B$4:$C$26,2,FALSE))&amp;"unit"),'SUB list edited'!$A$2:$DP$42,($B13+1),FALSE)))</f>
        <v>nr</v>
      </c>
      <c r="G13" s="1384" t="str">
        <f>IF($F$1="Select company","",IF(C13="","",HLOOKUP(((VLOOKUP($F$1,Lists!$B$4:$C$26,2,FALSE))&amp;"DP"),'SUB list edited'!$A$2:$DP$42,($B13+1),FALSE)))</f>
        <v>0</v>
      </c>
      <c r="H13" s="314">
        <f>IF($F$1="Select company","",IF(C13 = "","",HLOOKUP(((VLOOKUP($F$1,Lists!$B$4:$C$26,2,FALSE))&amp;"201819ActPerf"),'SUB list edited'!$A$2:$DP$42,($B13+1),FALSE)))</f>
        <v>414</v>
      </c>
      <c r="I13" s="550">
        <v>963</v>
      </c>
      <c r="J13" s="551" t="s">
        <v>2334</v>
      </c>
      <c r="L13" s="528">
        <f t="shared" si="4"/>
        <v>0</v>
      </c>
      <c r="M13" s="528">
        <f t="shared" si="0"/>
        <v>0</v>
      </c>
      <c r="P13" s="524">
        <f t="shared" si="1"/>
        <v>0</v>
      </c>
      <c r="Q13" s="524">
        <f t="shared" si="2"/>
        <v>0</v>
      </c>
      <c r="S13" s="524">
        <f xml:space="preserve"> IF(C13 = "", 0, IF(AND(NOT(INDEX('3A'!I$5:I$60, MATCH('3B'!$C13, '3A'!$C$5:$C$60, 0))=I13), $D13="00"), 1, 0))</f>
        <v>0</v>
      </c>
      <c r="T13" s="524">
        <f xml:space="preserve"> IF(C13 = "", 0, IF(AND(NOT(INDEX('3A'!J$5:J$60, MATCH('3B'!$C13, '3A'!$C$5:$C$60, 0))=J13), $D13="00"), 1, 0))</f>
        <v>0</v>
      </c>
    </row>
    <row r="14" spans="1:20" ht="30.2" customHeight="1">
      <c r="B14" s="529">
        <f t="shared" si="5"/>
        <v>10</v>
      </c>
      <c r="C14" s="530" t="str">
        <f>IF($F$1="Select company","",IF((HLOOKUP((VLOOKUP($F$1,Lists!$B$4:$C$26,2,FALSE)),'SUB list edited'!$A$2:$DP$42,($B14+1),FALSE))=0,"",HLOOKUP((VLOOKUP($F$1,Lists!$B$4:$C$26,2,FALSE)),'SUB list edited'!$A$2:$DP$42,($B14+1),FALSE)))</f>
        <v>PR14YKYWSW_WB4</v>
      </c>
      <c r="D14" s="536" t="str">
        <f>IF($F$1="Select company","",IF(C14 = "","",HLOOKUP(((VLOOKUP($F$1,Lists!$B$4:$C$26,2,FALSE))&amp;"ID"),'SUB list edited'!$A$2:$DP$42,($B14+1),FALSE)))</f>
        <v>03</v>
      </c>
      <c r="E14" s="530" t="str">
        <f>IF($F$1="Select company","",IF(C14 = "","",HLOOKUP(((VLOOKUP($F$1,Lists!$B$4:$C$26,2,FALSE))&amp;"PC"),'SUB list edited'!$A$2:$DP$42,($B14+1),FALSE)))</f>
        <v>DG2 low pressure</v>
      </c>
      <c r="F14" s="536" t="str">
        <f>IF($F$1="Select company","",IF(C14 = "","",HLOOKUP(((VLOOKUP($F$1,Lists!$B$4:$C$26,2,FALSE))&amp;"unit"),'SUB list edited'!$A$2:$DP$42,($B14+1),FALSE)))</f>
        <v>nr</v>
      </c>
      <c r="G14" s="1384" t="str">
        <f>IF($F$1="Select company","",IF(C14="","",HLOOKUP(((VLOOKUP($F$1,Lists!$B$4:$C$26,2,FALSE))&amp;"DP"),'SUB list edited'!$A$2:$DP$42,($B14+1),FALSE)))</f>
        <v>0</v>
      </c>
      <c r="H14" s="314">
        <f>IF($F$1="Select company","",IF(C14 = "","",HLOOKUP(((VLOOKUP($F$1,Lists!$B$4:$C$26,2,FALSE))&amp;"201819ActPerf"),'SUB list edited'!$A$2:$DP$42,($B14+1),FALSE)))</f>
        <v>9</v>
      </c>
      <c r="I14" s="550">
        <v>14</v>
      </c>
      <c r="J14" s="551" t="s">
        <v>2337</v>
      </c>
      <c r="L14" s="528">
        <f t="shared" si="4"/>
        <v>0</v>
      </c>
      <c r="M14" s="528">
        <f t="shared" si="0"/>
        <v>0</v>
      </c>
      <c r="P14" s="524">
        <f t="shared" si="1"/>
        <v>0</v>
      </c>
      <c r="Q14" s="524">
        <f t="shared" si="2"/>
        <v>0</v>
      </c>
      <c r="S14" s="524">
        <f xml:space="preserve"> IF(C14 = "", 0, IF(AND(NOT(INDEX('3A'!I$5:I$60, MATCH('3B'!$C14, '3A'!$C$5:$C$60, 0))=I14), $D14="00"), 1, 0))</f>
        <v>0</v>
      </c>
      <c r="T14" s="524">
        <f xml:space="preserve"> IF(C14 = "", 0, IF(AND(NOT(INDEX('3A'!J$5:J$60, MATCH('3B'!$C14, '3A'!$C$5:$C$60, 0))=J14), $D14="00"), 1, 0))</f>
        <v>0</v>
      </c>
    </row>
    <row r="15" spans="1:20" ht="30.2" customHeight="1">
      <c r="B15" s="529">
        <f t="shared" si="5"/>
        <v>11</v>
      </c>
      <c r="C15" s="530" t="str">
        <f>IF($F$1="Select company","",IF((HLOOKUP((VLOOKUP($F$1,Lists!$B$4:$C$26,2,FALSE)),'SUB list edited'!$A$2:$DP$42,($B15+1),FALSE))=0,"",HLOOKUP((VLOOKUP($F$1,Lists!$B$4:$C$26,2,FALSE)),'SUB list edited'!$A$2:$DP$42,($B15+1),FALSE)))</f>
        <v>PR14YKYWSW_WB4</v>
      </c>
      <c r="D15" s="536" t="str">
        <f>IF($F$1="Select company","",IF(C15 = "","",HLOOKUP(((VLOOKUP($F$1,Lists!$B$4:$C$26,2,FALSE))&amp;"ID"),'SUB list edited'!$A$2:$DP$42,($B15+1),FALSE)))</f>
        <v>04</v>
      </c>
      <c r="E15" s="530" t="str">
        <f>IF($F$1="Select company","",IF(C15 = "","",HLOOKUP(((VLOOKUP($F$1,Lists!$B$4:$C$26,2,FALSE))&amp;"PC"),'SUB list edited'!$A$2:$DP$42,($B15+1),FALSE)))</f>
        <v>Customer contacts for discolouration (nr per 1,000 population)</v>
      </c>
      <c r="F15" s="536" t="str">
        <f>IF($F$1="Select company","",IF(C15 = "","",HLOOKUP(((VLOOKUP($F$1,Lists!$B$4:$C$26,2,FALSE))&amp;"unit"),'SUB list edited'!$A$2:$DP$42,($B15+1),FALSE)))</f>
        <v>nr</v>
      </c>
      <c r="G15" s="1384">
        <f>IF($F$1="Select company","",IF(C15="","",HLOOKUP(((VLOOKUP($F$1,Lists!$B$4:$C$26,2,FALSE))&amp;"DP"),'SUB list edited'!$A$2:$DP$42,($B15+1),FALSE)))</f>
        <v>3</v>
      </c>
      <c r="H15" s="314">
        <f>IF($F$1="Select company","",IF(C15 = "","",HLOOKUP(((VLOOKUP($F$1,Lists!$B$4:$C$26,2,FALSE))&amp;"201819ActPerf"),'SUB list edited'!$A$2:$DP$42,($B15+1),FALSE)))</f>
        <v>0.69899999999999995</v>
      </c>
      <c r="I15" s="550">
        <v>0.54800000000000004</v>
      </c>
      <c r="J15" s="551" t="s">
        <v>2337</v>
      </c>
      <c r="L15" s="528">
        <f t="shared" si="4"/>
        <v>0</v>
      </c>
      <c r="M15" s="528">
        <f t="shared" si="0"/>
        <v>0</v>
      </c>
      <c r="P15" s="524">
        <f t="shared" si="1"/>
        <v>0</v>
      </c>
      <c r="Q15" s="524">
        <f t="shared" si="2"/>
        <v>0</v>
      </c>
      <c r="S15" s="524">
        <f xml:space="preserve"> IF(C15 = "", 0, IF(AND(NOT(INDEX('3A'!I$5:I$60, MATCH('3B'!$C15, '3A'!$C$5:$C$60, 0))=I15), $D15="00"), 1, 0))</f>
        <v>0</v>
      </c>
      <c r="T15" s="524">
        <f xml:space="preserve"> IF(C15 = "", 0, IF(AND(NOT(INDEX('3A'!J$5:J$60, MATCH('3B'!$C15, '3A'!$C$5:$C$60, 0))=J15), $D15="00"), 1, 0))</f>
        <v>0</v>
      </c>
    </row>
    <row r="16" spans="1:20" ht="30.2" customHeight="1">
      <c r="B16" s="529">
        <f xml:space="preserve"> B15 + 1</f>
        <v>12</v>
      </c>
      <c r="C16" s="530" t="str">
        <f>IF($F$1="Select company","",IF((HLOOKUP((VLOOKUP($F$1,Lists!$B$4:$C$26,2,FALSE)),'SUB list edited'!$A$2:$DP$42,($B16+1),FALSE))=0,"",HLOOKUP((VLOOKUP($F$1,Lists!$B$4:$C$26,2,FALSE)),'SUB list edited'!$A$2:$DP$42,($B16+1),FALSE)))</f>
        <v>PR14YKYWSW_WB4</v>
      </c>
      <c r="D16" s="536" t="str">
        <f>IF($F$1="Select company","",IF(C16 = "","",HLOOKUP(((VLOOKUP($F$1,Lists!$B$4:$C$26,2,FALSE))&amp;"ID"),'SUB list edited'!$A$2:$DP$42,($B16+1),FALSE)))</f>
        <v>05</v>
      </c>
      <c r="E16" s="530" t="str">
        <f>IF($F$1="Select company","",IF(C16 = "","",HLOOKUP(((VLOOKUP($F$1,Lists!$B$4:$C$26,2,FALSE))&amp;"PC"),'SUB list edited'!$A$2:$DP$42,($B16+1),FALSE)))</f>
        <v>Distribution index TIM (100 - mean zonal compliance)</v>
      </c>
      <c r="F16" s="536" t="str">
        <f>IF($F$1="Select company","",IF(C16 = "","",HLOOKUP(((VLOOKUP($F$1,Lists!$B$4:$C$26,2,FALSE))&amp;"unit"),'SUB list edited'!$A$2:$DP$42,($B16+1),FALSE)))</f>
        <v>%</v>
      </c>
      <c r="G16" s="1384">
        <f>IF($F$1="Select company","",IF(C16="","",HLOOKUP(((VLOOKUP($F$1,Lists!$B$4:$C$26,2,FALSE))&amp;"DP"),'SUB list edited'!$A$2:$DP$42,($B16+1),FALSE)))</f>
        <v>3</v>
      </c>
      <c r="H16" s="314">
        <f>IF($F$1="Select company","",IF(C16 = "","",HLOOKUP(((VLOOKUP($F$1,Lists!$B$4:$C$26,2,FALSE))&amp;"201819ActPerf"),'SUB list edited'!$A$2:$DP$42,($B16+1),FALSE)))</f>
        <v>0.127</v>
      </c>
      <c r="I16" s="550">
        <v>0.216</v>
      </c>
      <c r="J16" s="551" t="s">
        <v>2334</v>
      </c>
      <c r="L16" s="528">
        <f t="shared" si="4"/>
        <v>0</v>
      </c>
      <c r="M16" s="528">
        <f t="shared" si="0"/>
        <v>0</v>
      </c>
      <c r="P16" s="524">
        <f t="shared" si="1"/>
        <v>0</v>
      </c>
      <c r="Q16" s="524">
        <f t="shared" si="2"/>
        <v>0</v>
      </c>
      <c r="S16" s="524">
        <f xml:space="preserve"> IF(C16 = "", 0, IF(AND(NOT(INDEX('3A'!I$5:I$60, MATCH('3B'!$C16, '3A'!$C$5:$C$60, 0))=I16), $D16="00"), 1, 0))</f>
        <v>0</v>
      </c>
      <c r="T16" s="524">
        <f xml:space="preserve"> IF(C16 = "", 0, IF(AND(NOT(INDEX('3A'!J$5:J$60, MATCH('3B'!$C16, '3A'!$C$5:$C$60, 0))=J16), $D16="00"), 1, 0))</f>
        <v>0</v>
      </c>
    </row>
    <row r="17" spans="2:20" ht="30.2" customHeight="1">
      <c r="B17" s="529">
        <f t="shared" ref="B17:B44" si="6" xml:space="preserve"> B16 + 1</f>
        <v>13</v>
      </c>
      <c r="C17" s="530" t="str">
        <f>IF($F$1="Select company","",IF((HLOOKUP((VLOOKUP($F$1,Lists!$B$4:$C$26,2,FALSE)),'SUB list edited'!$A$2:$DP$42,($B17+1),FALSE))=0,"",HLOOKUP((VLOOKUP($F$1,Lists!$B$4:$C$26,2,FALSE)),'SUB list edited'!$A$2:$DP$42,($B17+1),FALSE)))</f>
        <v>PR14YKYWSW_WB4</v>
      </c>
      <c r="D17" s="536" t="str">
        <f>IF($F$1="Select company","",IF(C17 = "","",HLOOKUP(((VLOOKUP($F$1,Lists!$B$4:$C$26,2,FALSE))&amp;"ID"),'SUB list edited'!$A$2:$DP$42,($B17+1),FALSE)))</f>
        <v>06</v>
      </c>
      <c r="E17" s="530" t="str">
        <f>IF($F$1="Select company","",IF(C17 = "","",HLOOKUP(((VLOOKUP($F$1,Lists!$B$4:$C$26,2,FALSE))&amp;"PC"),'SUB list edited'!$A$2:$DP$42,($B17+1),FALSE)))</f>
        <v>Reactive equipment failures</v>
      </c>
      <c r="F17" s="536" t="str">
        <f>IF($F$1="Select company","",IF(C17 = "","",HLOOKUP(((VLOOKUP($F$1,Lists!$B$4:$C$26,2,FALSE))&amp;"unit"),'SUB list edited'!$A$2:$DP$42,($B17+1),FALSE)))</f>
        <v>nr</v>
      </c>
      <c r="G17" s="1384" t="str">
        <f>IF($F$1="Select company","",IF(C17="","",HLOOKUP(((VLOOKUP($F$1,Lists!$B$4:$C$26,2,FALSE))&amp;"DP"),'SUB list edited'!$A$2:$DP$42,($B17+1),FALSE)))</f>
        <v>0</v>
      </c>
      <c r="H17" s="314">
        <f>IF($F$1="Select company","",IF(C17 = "","",HLOOKUP(((VLOOKUP($F$1,Lists!$B$4:$C$26,2,FALSE))&amp;"201819ActPerf"),'SUB list edited'!$A$2:$DP$42,($B17+1),FALSE)))</f>
        <v>911</v>
      </c>
      <c r="I17" s="550">
        <v>928</v>
      </c>
      <c r="J17" s="551" t="s">
        <v>2337</v>
      </c>
      <c r="L17" s="528">
        <f t="shared" si="4"/>
        <v>0</v>
      </c>
      <c r="M17" s="528">
        <f t="shared" si="0"/>
        <v>0</v>
      </c>
      <c r="P17" s="524">
        <f t="shared" si="1"/>
        <v>0</v>
      </c>
      <c r="Q17" s="524">
        <f t="shared" si="2"/>
        <v>0</v>
      </c>
      <c r="S17" s="524">
        <f xml:space="preserve"> IF(C17 = "", 0, IF(AND(NOT(INDEX('3A'!I$5:I$60, MATCH('3B'!$C17, '3A'!$C$5:$C$60, 0))=I17), $D17="00"), 1, 0))</f>
        <v>0</v>
      </c>
      <c r="T17" s="524">
        <f xml:space="preserve"> IF(C17 = "", 0, IF(AND(NOT(INDEX('3A'!J$5:J$60, MATCH('3B'!$C17, '3A'!$C$5:$C$60, 0))=J17), $D17="00"), 1, 0))</f>
        <v>0</v>
      </c>
    </row>
    <row r="18" spans="2:20" ht="30.2" customHeight="1">
      <c r="B18" s="529">
        <f t="shared" si="6"/>
        <v>14</v>
      </c>
      <c r="C18" s="530" t="str">
        <f>IF($F$1="Select company","",IF((HLOOKUP((VLOOKUP($F$1,Lists!$B$4:$C$26,2,FALSE)),'SUB list edited'!$A$2:$DP$42,($B18+1),FALSE))=0,"",HLOOKUP((VLOOKUP($F$1,Lists!$B$4:$C$26,2,FALSE)),'SUB list edited'!$A$2:$DP$42,($B18+1),FALSE)))</f>
        <v>PR14YKYWSWW_SA4</v>
      </c>
      <c r="D18" s="536" t="str">
        <f>IF($F$1="Select company","",IF(C18 = "","",HLOOKUP(((VLOOKUP($F$1,Lists!$B$4:$C$26,2,FALSE))&amp;"ID"),'SUB list edited'!$A$2:$DP$42,($B18+1),FALSE)))</f>
        <v>00</v>
      </c>
      <c r="E18" s="530" t="str">
        <f>IF($F$1="Select company","",IF(C18 = "","",HLOOKUP(((VLOOKUP($F$1,Lists!$B$4:$C$26,2,FALSE))&amp;"PC"),'SUB list edited'!$A$2:$DP$42,($B18+1),FALSE)))</f>
        <v>SA4: Sewer network stability and reliability factor</v>
      </c>
      <c r="F18" s="536" t="str">
        <f>IF($F$1="Select company","",IF(C18 = "","",HLOOKUP(((VLOOKUP($F$1,Lists!$B$4:$C$26,2,FALSE))&amp;"unit"),'SUB list edited'!$A$2:$DP$42,($B18+1),FALSE)))</f>
        <v>category</v>
      </c>
      <c r="G18" s="1384" t="str">
        <f>IF($F$1="Select company","",IF(C18="","",HLOOKUP(((VLOOKUP($F$1,Lists!$B$4:$C$26,2,FALSE))&amp;"DP"),'SUB list edited'!$A$2:$DP$42,($B18+1),FALSE)))</f>
        <v>na</v>
      </c>
      <c r="H18" s="314" t="str">
        <f>IF($F$1="Select company","",IF(C18 = "","",HLOOKUP(((VLOOKUP($F$1,Lists!$B$4:$C$26,2,FALSE))&amp;"201819ActPerf"),'SUB list edited'!$A$2:$DP$42,($B18+1),FALSE)))</f>
        <v>Stable</v>
      </c>
      <c r="I18" s="2225" t="s">
        <v>2338</v>
      </c>
      <c r="J18" s="551" t="s">
        <v>2337</v>
      </c>
      <c r="L18" s="528">
        <f t="shared" si="4"/>
        <v>0</v>
      </c>
      <c r="M18" s="528">
        <f t="shared" si="0"/>
        <v>0</v>
      </c>
      <c r="P18" s="524">
        <f t="shared" si="1"/>
        <v>0</v>
      </c>
      <c r="Q18" s="524">
        <f t="shared" si="2"/>
        <v>0</v>
      </c>
      <c r="S18" s="524">
        <f xml:space="preserve"> IF(C18 = "", 0, IF(AND(NOT(INDEX('3A'!I$5:I$60, MATCH('3B'!$C18, '3A'!$C$5:$C$60, 0))=I18), $D18="00"), 1, 0))</f>
        <v>0</v>
      </c>
      <c r="T18" s="524">
        <f xml:space="preserve"> IF(C18 = "", 0, IF(AND(NOT(INDEX('3A'!J$5:J$60, MATCH('3B'!$C18, '3A'!$C$5:$C$60, 0))=J18), $D18="00"), 1, 0))</f>
        <v>0</v>
      </c>
    </row>
    <row r="19" spans="2:20" ht="30.2" customHeight="1">
      <c r="B19" s="529">
        <f t="shared" si="6"/>
        <v>15</v>
      </c>
      <c r="C19" s="530" t="str">
        <f>IF($F$1="Select company","",IF((HLOOKUP((VLOOKUP($F$1,Lists!$B$4:$C$26,2,FALSE)),'SUB list edited'!$A$2:$DP$42,($B19+1),FALSE))=0,"",HLOOKUP((VLOOKUP($F$1,Lists!$B$4:$C$26,2,FALSE)),'SUB list edited'!$A$2:$DP$42,($B19+1),FALSE)))</f>
        <v>PR14YKYWSWW_SA4</v>
      </c>
      <c r="D19" s="536" t="str">
        <f>IF($F$1="Select company","",IF(C19 = "","",HLOOKUP(((VLOOKUP($F$1,Lists!$B$4:$C$26,2,FALSE))&amp;"ID"),'SUB list edited'!$A$2:$DP$42,($B19+1),FALSE)))</f>
        <v>01</v>
      </c>
      <c r="E19" s="530" t="str">
        <f>IF($F$1="Select company","",IF(C19 = "","",HLOOKUP(((VLOOKUP($F$1,Lists!$B$4:$C$26,2,FALSE))&amp;"PC"),'SUB list edited'!$A$2:$DP$42,($B19+1),FALSE)))</f>
        <v>Sewer collapses</v>
      </c>
      <c r="F19" s="536" t="str">
        <f>IF($F$1="Select company","",IF(C19 = "","",HLOOKUP(((VLOOKUP($F$1,Lists!$B$4:$C$26,2,FALSE))&amp;"unit"),'SUB list edited'!$A$2:$DP$42,($B19+1),FALSE)))</f>
        <v>nr</v>
      </c>
      <c r="G19" s="1384" t="str">
        <f>IF($F$1="Select company","",IF(C19="","",HLOOKUP(((VLOOKUP($F$1,Lists!$B$4:$C$26,2,FALSE))&amp;"DP"),'SUB list edited'!$A$2:$DP$42,($B19+1),FALSE)))</f>
        <v>0</v>
      </c>
      <c r="H19" s="314">
        <f>IF($F$1="Select company","",IF(C19 = "","",HLOOKUP(((VLOOKUP($F$1,Lists!$B$4:$C$26,2,FALSE))&amp;"201819ActPerf"),'SUB list edited'!$A$2:$DP$42,($B19+1),FALSE)))</f>
        <v>255</v>
      </c>
      <c r="I19" s="550">
        <v>279</v>
      </c>
      <c r="J19" s="551" t="s">
        <v>2334</v>
      </c>
      <c r="L19" s="528">
        <f t="shared" si="4"/>
        <v>0</v>
      </c>
      <c r="M19" s="528">
        <f t="shared" si="0"/>
        <v>0</v>
      </c>
      <c r="P19" s="524">
        <f t="shared" si="1"/>
        <v>0</v>
      </c>
      <c r="Q19" s="524">
        <f t="shared" si="2"/>
        <v>0</v>
      </c>
      <c r="S19" s="524">
        <f xml:space="preserve"> IF(C19 = "", 0, IF(AND(NOT(INDEX('3A'!I$5:I$60, MATCH('3B'!$C19, '3A'!$C$5:$C$60, 0))=I19), $D19="00"), 1, 0))</f>
        <v>0</v>
      </c>
      <c r="T19" s="524">
        <f xml:space="preserve"> IF(C19 = "", 0, IF(AND(NOT(INDEX('3A'!J$5:J$60, MATCH('3B'!$C19, '3A'!$C$5:$C$60, 0))=J19), $D19="00"), 1, 0))</f>
        <v>0</v>
      </c>
    </row>
    <row r="20" spans="2:20" ht="30.2" customHeight="1">
      <c r="B20" s="529">
        <f t="shared" si="6"/>
        <v>16</v>
      </c>
      <c r="C20" s="530" t="str">
        <f>IF($F$1="Select company","",IF((HLOOKUP((VLOOKUP($F$1,Lists!$B$4:$C$26,2,FALSE)),'SUB list edited'!$A$2:$DP$42,($B20+1),FALSE))=0,"",HLOOKUP((VLOOKUP($F$1,Lists!$B$4:$C$26,2,FALSE)),'SUB list edited'!$A$2:$DP$42,($B20+1),FALSE)))</f>
        <v>PR14YKYWSWW_SA4</v>
      </c>
      <c r="D20" s="536" t="str">
        <f>IF($F$1="Select company","",IF(C20 = "","",HLOOKUP(((VLOOKUP($F$1,Lists!$B$4:$C$26,2,FALSE))&amp;"ID"),'SUB list edited'!$A$2:$DP$42,($B20+1),FALSE)))</f>
        <v>02</v>
      </c>
      <c r="E20" s="530" t="str">
        <f>IF($F$1="Select company","",IF(C20 = "","",HLOOKUP(((VLOOKUP($F$1,Lists!$B$4:$C$26,2,FALSE))&amp;"PC"),'SUB list edited'!$A$2:$DP$42,($B20+1),FALSE)))</f>
        <v>Pollution incidents (CSO, RM, FS and SPS)</v>
      </c>
      <c r="F20" s="536" t="str">
        <f>IF($F$1="Select company","",IF(C20 = "","",HLOOKUP(((VLOOKUP($F$1,Lists!$B$4:$C$26,2,FALSE))&amp;"unit"),'SUB list edited'!$A$2:$DP$42,($B20+1),FALSE)))</f>
        <v>nr</v>
      </c>
      <c r="G20" s="1384" t="str">
        <f>IF($F$1="Select company","",IF(C20="","",HLOOKUP(((VLOOKUP($F$1,Lists!$B$4:$C$26,2,FALSE))&amp;"DP"),'SUB list edited'!$A$2:$DP$42,($B20+1),FALSE)))</f>
        <v>0</v>
      </c>
      <c r="H20" s="314">
        <f>IF($F$1="Select company","",IF(C20 = "","",HLOOKUP(((VLOOKUP($F$1,Lists!$B$4:$C$26,2,FALSE))&amp;"201819ActPerf"),'SUB list edited'!$A$2:$DP$42,($B20+1),FALSE)))</f>
        <v>172</v>
      </c>
      <c r="I20" s="550">
        <v>137</v>
      </c>
      <c r="J20" s="551" t="s">
        <v>2337</v>
      </c>
      <c r="L20" s="528">
        <f t="shared" si="4"/>
        <v>0</v>
      </c>
      <c r="M20" s="528">
        <f t="shared" si="0"/>
        <v>0</v>
      </c>
      <c r="P20" s="524">
        <f t="shared" si="1"/>
        <v>0</v>
      </c>
      <c r="Q20" s="524">
        <f t="shared" si="2"/>
        <v>0</v>
      </c>
      <c r="S20" s="524">
        <f xml:space="preserve"> IF(C20 = "", 0, IF(AND(NOT(INDEX('3A'!I$5:I$60, MATCH('3B'!$C20, '3A'!$C$5:$C$60, 0))=I20), $D20="00"), 1, 0))</f>
        <v>0</v>
      </c>
      <c r="T20" s="524">
        <f xml:space="preserve"> IF(C20 = "", 0, IF(AND(NOT(INDEX('3A'!J$5:J$60, MATCH('3B'!$C20, '3A'!$C$5:$C$60, 0))=J20), $D20="00"), 1, 0))</f>
        <v>0</v>
      </c>
    </row>
    <row r="21" spans="2:20" ht="30.2" customHeight="1">
      <c r="B21" s="529">
        <f t="shared" si="6"/>
        <v>17</v>
      </c>
      <c r="C21" s="530" t="str">
        <f>IF($F$1="Select company","",IF((HLOOKUP((VLOOKUP($F$1,Lists!$B$4:$C$26,2,FALSE)),'SUB list edited'!$A$2:$DP$42,($B21+1),FALSE))=0,"",HLOOKUP((VLOOKUP($F$1,Lists!$B$4:$C$26,2,FALSE)),'SUB list edited'!$A$2:$DP$42,($B21+1),FALSE)))</f>
        <v>PR14YKYWSWW_SA4</v>
      </c>
      <c r="D21" s="536" t="str">
        <f>IF($F$1="Select company","",IF(C21 = "","",HLOOKUP(((VLOOKUP($F$1,Lists!$B$4:$C$26,2,FALSE))&amp;"ID"),'SUB list edited'!$A$2:$DP$42,($B21+1),FALSE)))</f>
        <v>03</v>
      </c>
      <c r="E21" s="530" t="str">
        <f>IF($F$1="Select company","",IF(C21 = "","",HLOOKUP(((VLOOKUP($F$1,Lists!$B$4:$C$26,2,FALSE))&amp;"PC"),'SUB list edited'!$A$2:$DP$42,($B21+1),FALSE)))</f>
        <v>Properties flooded due to other causes</v>
      </c>
      <c r="F21" s="536" t="str">
        <f>IF($F$1="Select company","",IF(C21 = "","",HLOOKUP(((VLOOKUP($F$1,Lists!$B$4:$C$26,2,FALSE))&amp;"unit"),'SUB list edited'!$A$2:$DP$42,($B21+1),FALSE)))</f>
        <v>nr</v>
      </c>
      <c r="G21" s="1384" t="str">
        <f>IF($F$1="Select company","",IF(C21="","",HLOOKUP(((VLOOKUP($F$1,Lists!$B$4:$C$26,2,FALSE))&amp;"DP"),'SUB list edited'!$A$2:$DP$42,($B21+1),FALSE)))</f>
        <v>0</v>
      </c>
      <c r="H21" s="314">
        <f>IF($F$1="Select company","",IF(C21 = "","",HLOOKUP(((VLOOKUP($F$1,Lists!$B$4:$C$26,2,FALSE))&amp;"201819ActPerf"),'SUB list edited'!$A$2:$DP$42,($B21+1),FALSE)))</f>
        <v>393</v>
      </c>
      <c r="I21" s="550">
        <v>345</v>
      </c>
      <c r="J21" s="551" t="s">
        <v>2334</v>
      </c>
      <c r="L21" s="528">
        <f t="shared" si="4"/>
        <v>0</v>
      </c>
      <c r="M21" s="528">
        <f t="shared" si="0"/>
        <v>0</v>
      </c>
      <c r="P21" s="524">
        <f t="shared" si="1"/>
        <v>0</v>
      </c>
      <c r="Q21" s="524">
        <f t="shared" si="2"/>
        <v>0</v>
      </c>
      <c r="S21" s="524">
        <f xml:space="preserve"> IF(C21 = "", 0, IF(AND(NOT(INDEX('3A'!I$5:I$60, MATCH('3B'!$C21, '3A'!$C$5:$C$60, 0))=I21), $D21="00"), 1, 0))</f>
        <v>0</v>
      </c>
      <c r="T21" s="524">
        <f xml:space="preserve"> IF(C21 = "", 0, IF(AND(NOT(INDEX('3A'!J$5:J$60, MATCH('3B'!$C21, '3A'!$C$5:$C$60, 0))=J21), $D21="00"), 1, 0))</f>
        <v>0</v>
      </c>
    </row>
    <row r="22" spans="2:20" ht="30.2" customHeight="1">
      <c r="B22" s="529">
        <f t="shared" si="6"/>
        <v>18</v>
      </c>
      <c r="C22" s="530" t="str">
        <f>IF($F$1="Select company","",IF((HLOOKUP((VLOOKUP($F$1,Lists!$B$4:$C$26,2,FALSE)),'SUB list edited'!$A$2:$DP$42,($B22+1),FALSE))=0,"",HLOOKUP((VLOOKUP($F$1,Lists!$B$4:$C$26,2,FALSE)),'SUB list edited'!$A$2:$DP$42,($B22+1),FALSE)))</f>
        <v>PR14YKYWSWW_SA4</v>
      </c>
      <c r="D22" s="536" t="str">
        <f>IF($F$1="Select company","",IF(C22 = "","",HLOOKUP(((VLOOKUP($F$1,Lists!$B$4:$C$26,2,FALSE))&amp;"ID"),'SUB list edited'!$A$2:$DP$42,($B22+1),FALSE)))</f>
        <v>04</v>
      </c>
      <c r="E22" s="530" t="str">
        <f>IF($F$1="Select company","",IF(C22 = "","",HLOOKUP(((VLOOKUP($F$1,Lists!$B$4:$C$26,2,FALSE))&amp;"PC"),'SUB list edited'!$A$2:$DP$42,($B22+1),FALSE)))</f>
        <v>Properties flooded due to overloaded sewers, excluding severe weather</v>
      </c>
      <c r="F22" s="536" t="str">
        <f>IF($F$1="Select company","",IF(C22 = "","",HLOOKUP(((VLOOKUP($F$1,Lists!$B$4:$C$26,2,FALSE))&amp;"unit"),'SUB list edited'!$A$2:$DP$42,($B22+1),FALSE)))</f>
        <v>nr</v>
      </c>
      <c r="G22" s="1384" t="str">
        <f>IF($F$1="Select company","",IF(C22="","",HLOOKUP(((VLOOKUP($F$1,Lists!$B$4:$C$26,2,FALSE))&amp;"DP"),'SUB list edited'!$A$2:$DP$42,($B22+1),FALSE)))</f>
        <v>0</v>
      </c>
      <c r="H22" s="314">
        <f>IF($F$1="Select company","",IF(C22 = "","",HLOOKUP(((VLOOKUP($F$1,Lists!$B$4:$C$26,2,FALSE))&amp;"201819ActPerf"),'SUB list edited'!$A$2:$DP$42,($B22+1),FALSE)))</f>
        <v>8</v>
      </c>
      <c r="I22" s="550">
        <v>53</v>
      </c>
      <c r="J22" s="551" t="s">
        <v>2337</v>
      </c>
      <c r="L22" s="528">
        <f t="shared" si="4"/>
        <v>0</v>
      </c>
      <c r="M22" s="528">
        <f t="shared" si="0"/>
        <v>0</v>
      </c>
      <c r="P22" s="524">
        <f t="shared" si="1"/>
        <v>0</v>
      </c>
      <c r="Q22" s="524">
        <f t="shared" si="2"/>
        <v>0</v>
      </c>
      <c r="S22" s="524">
        <f xml:space="preserve"> IF(C22 = "", 0, IF(AND(NOT(INDEX('3A'!I$5:I$60, MATCH('3B'!$C22, '3A'!$C$5:$C$60, 0))=I22), $D22="00"), 1, 0))</f>
        <v>0</v>
      </c>
      <c r="T22" s="524">
        <f xml:space="preserve"> IF(C22 = "", 0, IF(AND(NOT(INDEX('3A'!J$5:J$60, MATCH('3B'!$C22, '3A'!$C$5:$C$60, 0))=J22), $D22="00"), 1, 0))</f>
        <v>0</v>
      </c>
    </row>
    <row r="23" spans="2:20" ht="30.2" customHeight="1">
      <c r="B23" s="529">
        <f t="shared" si="6"/>
        <v>19</v>
      </c>
      <c r="C23" s="530" t="str">
        <f>IF($F$1="Select company","",IF((HLOOKUP((VLOOKUP($F$1,Lists!$B$4:$C$26,2,FALSE)),'SUB list edited'!$A$2:$DP$42,($B23+1),FALSE))=0,"",HLOOKUP((VLOOKUP($F$1,Lists!$B$4:$C$26,2,FALSE)),'SUB list edited'!$A$2:$DP$42,($B23+1),FALSE)))</f>
        <v>PR14YKYWSWW_SA4</v>
      </c>
      <c r="D23" s="536" t="str">
        <f>IF($F$1="Select company","",IF(C23 = "","",HLOOKUP(((VLOOKUP($F$1,Lists!$B$4:$C$26,2,FALSE))&amp;"ID"),'SUB list edited'!$A$2:$DP$42,($B23+1),FALSE)))</f>
        <v>05</v>
      </c>
      <c r="E23" s="530" t="str">
        <f>IF($F$1="Select company","",IF(C23 = "","",HLOOKUP(((VLOOKUP($F$1,Lists!$B$4:$C$26,2,FALSE))&amp;"PC"),'SUB list edited'!$A$2:$DP$42,($B23+1),FALSE)))</f>
        <v>Sewer blockages</v>
      </c>
      <c r="F23" s="536" t="str">
        <f>IF($F$1="Select company","",IF(C23 = "","",HLOOKUP(((VLOOKUP($F$1,Lists!$B$4:$C$26,2,FALSE))&amp;"unit"),'SUB list edited'!$A$2:$DP$42,($B23+1),FALSE)))</f>
        <v>nr</v>
      </c>
      <c r="G23" s="1384" t="str">
        <f>IF($F$1="Select company","",IF(C23="","",HLOOKUP(((VLOOKUP($F$1,Lists!$B$4:$C$26,2,FALSE))&amp;"DP"),'SUB list edited'!$A$2:$DP$42,($B23+1),FALSE)))</f>
        <v>0</v>
      </c>
      <c r="H23" s="314">
        <f>IF($F$1="Select company","",IF(C23 = "","",HLOOKUP(((VLOOKUP($F$1,Lists!$B$4:$C$26,2,FALSE))&amp;"201819ActPerf"),'SUB list edited'!$A$2:$DP$42,($B23+1),FALSE)))</f>
        <v>16860</v>
      </c>
      <c r="I23" s="550">
        <v>16960</v>
      </c>
      <c r="J23" s="551" t="s">
        <v>2337</v>
      </c>
      <c r="L23" s="528">
        <f t="shared" si="4"/>
        <v>0</v>
      </c>
      <c r="M23" s="528">
        <f t="shared" si="0"/>
        <v>0</v>
      </c>
      <c r="P23" s="524">
        <f t="shared" si="1"/>
        <v>0</v>
      </c>
      <c r="Q23" s="524">
        <f t="shared" si="2"/>
        <v>0</v>
      </c>
      <c r="S23" s="524">
        <f xml:space="preserve"> IF(C23 = "", 0, IF(AND(NOT(INDEX('3A'!I$5:I$60, MATCH('3B'!$C23, '3A'!$C$5:$C$60, 0))=I23), $D23="00"), 1, 0))</f>
        <v>0</v>
      </c>
      <c r="T23" s="524">
        <f xml:space="preserve"> IF(C23 = "", 0, IF(AND(NOT(INDEX('3A'!J$5:J$60, MATCH('3B'!$C23, '3A'!$C$5:$C$60, 0))=J23), $D23="00"), 1, 0))</f>
        <v>0</v>
      </c>
    </row>
    <row r="24" spans="2:20" ht="30.2" customHeight="1">
      <c r="B24" s="529">
        <f t="shared" si="6"/>
        <v>20</v>
      </c>
      <c r="C24" s="530" t="str">
        <f>IF($F$1="Select company","",IF((HLOOKUP((VLOOKUP($F$1,Lists!$B$4:$C$26,2,FALSE)),'SUB list edited'!$A$2:$DP$42,($B24+1),FALSE))=0,"",HLOOKUP((VLOOKUP($F$1,Lists!$B$4:$C$26,2,FALSE)),'SUB list edited'!$A$2:$DP$42,($B24+1),FALSE)))</f>
        <v>PR14YKYWSWW_SA4</v>
      </c>
      <c r="D24" s="536" t="str">
        <f>IF($F$1="Select company","",IF(C24 = "","",HLOOKUP(((VLOOKUP($F$1,Lists!$B$4:$C$26,2,FALSE))&amp;"ID"),'SUB list edited'!$A$2:$DP$42,($B24+1),FALSE)))</f>
        <v>06</v>
      </c>
      <c r="E24" s="530" t="str">
        <f>IF($F$1="Select company","",IF(C24 = "","",HLOOKUP(((VLOOKUP($F$1,Lists!$B$4:$C$26,2,FALSE))&amp;"PC"),'SUB list edited'!$A$2:$DP$42,($B24+1),FALSE)))</f>
        <v>Reactive equipment failures</v>
      </c>
      <c r="F24" s="536" t="str">
        <f>IF($F$1="Select company","",IF(C24 = "","",HLOOKUP(((VLOOKUP($F$1,Lists!$B$4:$C$26,2,FALSE))&amp;"unit"),'SUB list edited'!$A$2:$DP$42,($B24+1),FALSE)))</f>
        <v>nr</v>
      </c>
      <c r="G24" s="1384" t="str">
        <f>IF($F$1="Select company","",IF(C24="","",HLOOKUP(((VLOOKUP($F$1,Lists!$B$4:$C$26,2,FALSE))&amp;"DP"),'SUB list edited'!$A$2:$DP$42,($B24+1),FALSE)))</f>
        <v>0</v>
      </c>
      <c r="H24" s="314">
        <f>IF($F$1="Select company","",IF(C24 = "","",HLOOKUP(((VLOOKUP($F$1,Lists!$B$4:$C$26,2,FALSE))&amp;"201819ActPerf"),'SUB list edited'!$A$2:$DP$42,($B24+1),FALSE)))</f>
        <v>3537</v>
      </c>
      <c r="I24" s="550">
        <v>4191</v>
      </c>
      <c r="J24" s="551" t="s">
        <v>2337</v>
      </c>
      <c r="L24" s="528">
        <f t="shared" si="4"/>
        <v>0</v>
      </c>
      <c r="M24" s="528">
        <f t="shared" si="0"/>
        <v>0</v>
      </c>
      <c r="P24" s="524">
        <f t="shared" si="1"/>
        <v>0</v>
      </c>
      <c r="Q24" s="524">
        <f t="shared" si="2"/>
        <v>0</v>
      </c>
      <c r="S24" s="524">
        <f xml:space="preserve"> IF(C24 = "", 0, IF(AND(NOT(INDEX('3A'!I$5:I$60, MATCH('3B'!$C24, '3A'!$C$5:$C$60, 0))=I24), $D24="00"), 1, 0))</f>
        <v>0</v>
      </c>
      <c r="T24" s="524">
        <f xml:space="preserve"> IF(C24 = "", 0, IF(AND(NOT(INDEX('3A'!J$5:J$60, MATCH('3B'!$C24, '3A'!$C$5:$C$60, 0))=J24), $D24="00"), 1, 0))</f>
        <v>0</v>
      </c>
    </row>
    <row r="25" spans="2:20" ht="30.2" customHeight="1">
      <c r="B25" s="529">
        <f t="shared" si="6"/>
        <v>21</v>
      </c>
      <c r="C25" s="530" t="str">
        <f>IF($F$1="Select company","",IF((HLOOKUP((VLOOKUP($F$1,Lists!$B$4:$C$26,2,FALSE)),'SUB list edited'!$A$2:$DP$42,($B25+1),FALSE))=0,"",HLOOKUP((VLOOKUP($F$1,Lists!$B$4:$C$26,2,FALSE)),'SUB list edited'!$A$2:$DP$42,($B25+1),FALSE)))</f>
        <v>PR14YKYWSWW_SB2</v>
      </c>
      <c r="D25" s="536" t="str">
        <f>IF($F$1="Select company","",IF(C25 = "","",HLOOKUP(((VLOOKUP($F$1,Lists!$B$4:$C$26,2,FALSE))&amp;"ID"),'SUB list edited'!$A$2:$DP$42,($B25+1),FALSE)))</f>
        <v>00</v>
      </c>
      <c r="E25" s="530" t="str">
        <f>IF($F$1="Select company","",IF(C25 = "","",HLOOKUP(((VLOOKUP($F$1,Lists!$B$4:$C$26,2,FALSE))&amp;"PC"),'SUB list edited'!$A$2:$DP$42,($B25+1),FALSE)))</f>
        <v>SB2: Wastewater quality stability and reliability factor</v>
      </c>
      <c r="F25" s="536" t="str">
        <f>IF($F$1="Select company","",IF(C25 = "","",HLOOKUP(((VLOOKUP($F$1,Lists!$B$4:$C$26,2,FALSE))&amp;"unit"),'SUB list edited'!$A$2:$DP$42,($B25+1),FALSE)))</f>
        <v>category</v>
      </c>
      <c r="G25" s="1384" t="str">
        <f>IF($F$1="Select company","",IF(C25="","",HLOOKUP(((VLOOKUP($F$1,Lists!$B$4:$C$26,2,FALSE))&amp;"DP"),'SUB list edited'!$A$2:$DP$42,($B25+1),FALSE)))</f>
        <v>na</v>
      </c>
      <c r="H25" s="314" t="str">
        <f>IF($F$1="Select company","",IF(C25 = "","",HLOOKUP(((VLOOKUP($F$1,Lists!$B$4:$C$26,2,FALSE))&amp;"201819ActPerf"),'SUB list edited'!$A$2:$DP$42,($B25+1),FALSE)))</f>
        <v>Stable</v>
      </c>
      <c r="I25" s="2225" t="s">
        <v>2338</v>
      </c>
      <c r="J25" s="551" t="s">
        <v>2337</v>
      </c>
      <c r="L25" s="528">
        <f t="shared" si="4"/>
        <v>0</v>
      </c>
      <c r="M25" s="528">
        <f t="shared" si="0"/>
        <v>0</v>
      </c>
      <c r="P25" s="524">
        <f t="shared" si="1"/>
        <v>0</v>
      </c>
      <c r="Q25" s="524">
        <f t="shared" si="2"/>
        <v>0</v>
      </c>
      <c r="S25" s="524">
        <f xml:space="preserve"> IF(C25 = "", 0, IF(AND(NOT(INDEX('3A'!I$5:I$60, MATCH('3B'!$C25, '3A'!$C$5:$C$60, 0))=I25), $D25="00"), 1, 0))</f>
        <v>0</v>
      </c>
      <c r="T25" s="524">
        <f xml:space="preserve"> IF(C25 = "", 0, IF(AND(NOT(INDEX('3A'!J$5:J$60, MATCH('3B'!$C25, '3A'!$C$5:$C$60, 0))=J25), $D25="00"), 1, 0))</f>
        <v>0</v>
      </c>
    </row>
    <row r="26" spans="2:20" ht="30.2" customHeight="1">
      <c r="B26" s="529">
        <f t="shared" si="6"/>
        <v>22</v>
      </c>
      <c r="C26" s="530" t="str">
        <f>IF($F$1="Select company","",IF((HLOOKUP((VLOOKUP($F$1,Lists!$B$4:$C$26,2,FALSE)),'SUB list edited'!$A$2:$DP$42,($B26+1),FALSE))=0,"",HLOOKUP((VLOOKUP($F$1,Lists!$B$4:$C$26,2,FALSE)),'SUB list edited'!$A$2:$DP$42,($B26+1),FALSE)))</f>
        <v>PR14YKYWSWW_SB2</v>
      </c>
      <c r="D26" s="536" t="str">
        <f>IF($F$1="Select company","",IF(C26 = "","",HLOOKUP(((VLOOKUP($F$1,Lists!$B$4:$C$26,2,FALSE))&amp;"ID"),'SUB list edited'!$A$2:$DP$42,($B26+1),FALSE)))</f>
        <v>01</v>
      </c>
      <c r="E26" s="530" t="str">
        <f>IF($F$1="Select company","",IF(C26 = "","",HLOOKUP(((VLOOKUP($F$1,Lists!$B$4:$C$26,2,FALSE))&amp;"PC"),'SUB list edited'!$A$2:$DP$42,($B26+1),FALSE)))</f>
        <v>Sewage treatment works non-compliance</v>
      </c>
      <c r="F26" s="536" t="str">
        <f>IF($F$1="Select company","",IF(C26 = "","",HLOOKUP(((VLOOKUP($F$1,Lists!$B$4:$C$26,2,FALSE))&amp;"unit"),'SUB list edited'!$A$2:$DP$42,($B26+1),FALSE)))</f>
        <v>nr</v>
      </c>
      <c r="G26" s="1384" t="str">
        <f>IF($F$1="Select company","",IF(C26="","",HLOOKUP(((VLOOKUP($F$1,Lists!$B$4:$C$26,2,FALSE))&amp;"DP"),'SUB list edited'!$A$2:$DP$42,($B26+1),FALSE)))</f>
        <v>0</v>
      </c>
      <c r="H26" s="314">
        <f>IF($F$1="Select company","",IF(C26 = "","",HLOOKUP(((VLOOKUP($F$1,Lists!$B$4:$C$26,2,FALSE))&amp;"201819ActPerf"),'SUB list edited'!$A$2:$DP$42,($B26+1),FALSE)))</f>
        <v>6</v>
      </c>
      <c r="I26" s="550">
        <v>2</v>
      </c>
      <c r="J26" s="551" t="s">
        <v>2334</v>
      </c>
      <c r="L26" s="528">
        <f t="shared" si="4"/>
        <v>0</v>
      </c>
      <c r="M26" s="528">
        <f t="shared" si="0"/>
        <v>0</v>
      </c>
      <c r="P26" s="524">
        <f t="shared" si="1"/>
        <v>0</v>
      </c>
      <c r="Q26" s="524">
        <f t="shared" si="2"/>
        <v>0</v>
      </c>
      <c r="S26" s="524">
        <f xml:space="preserve"> IF(C26 = "", 0, IF(AND(NOT(INDEX('3A'!I$5:I$60, MATCH('3B'!$C26, '3A'!$C$5:$C$60, 0))=I26), $D26="00"), 1, 0))</f>
        <v>0</v>
      </c>
      <c r="T26" s="524">
        <f xml:space="preserve"> IF(C26 = "", 0, IF(AND(NOT(INDEX('3A'!J$5:J$60, MATCH('3B'!$C26, '3A'!$C$5:$C$60, 0))=J26), $D26="00"), 1, 0))</f>
        <v>0</v>
      </c>
    </row>
    <row r="27" spans="2:20" ht="30.2" customHeight="1">
      <c r="B27" s="529">
        <f t="shared" si="6"/>
        <v>23</v>
      </c>
      <c r="C27" s="530" t="str">
        <f>IF($F$1="Select company","",IF((HLOOKUP((VLOOKUP($F$1,Lists!$B$4:$C$26,2,FALSE)),'SUB list edited'!$A$2:$DP$42,($B27+1),FALSE))=0,"",HLOOKUP((VLOOKUP($F$1,Lists!$B$4:$C$26,2,FALSE)),'SUB list edited'!$A$2:$DP$42,($B27+1),FALSE)))</f>
        <v>PR14YKYWSWW_SB2</v>
      </c>
      <c r="D27" s="536" t="str">
        <f>IF($F$1="Select company","",IF(C27 = "","",HLOOKUP(((VLOOKUP($F$1,Lists!$B$4:$C$26,2,FALSE))&amp;"ID"),'SUB list edited'!$A$2:$DP$42,($B27+1),FALSE)))</f>
        <v>02</v>
      </c>
      <c r="E27" s="530" t="str">
        <f>IF($F$1="Select company","",IF(C27 = "","",HLOOKUP(((VLOOKUP($F$1,Lists!$B$4:$C$26,2,FALSE))&amp;"PC"),'SUB list edited'!$A$2:$DP$42,($B27+1),FALSE)))</f>
        <v>Population equivalent non-compliance</v>
      </c>
      <c r="F27" s="536" t="str">
        <f>IF($F$1="Select company","",IF(C27 = "","",HLOOKUP(((VLOOKUP($F$1,Lists!$B$4:$C$26,2,FALSE))&amp;"unit"),'SUB list edited'!$A$2:$DP$42,($B27+1),FALSE)))</f>
        <v>%</v>
      </c>
      <c r="G27" s="1384">
        <f>IF($F$1="Select company","",IF(C27="","",HLOOKUP(((VLOOKUP($F$1,Lists!$B$4:$C$26,2,FALSE))&amp;"DP"),'SUB list edited'!$A$2:$DP$42,($B27+1),FALSE)))</f>
        <v>1</v>
      </c>
      <c r="H27" s="314">
        <f>IF($F$1="Select company","",IF(C27 = "","",HLOOKUP(((VLOOKUP($F$1,Lists!$B$4:$C$26,2,FALSE))&amp;"201819ActPerf"),'SUB list edited'!$A$2:$DP$42,($B27+1),FALSE)))</f>
        <v>0</v>
      </c>
      <c r="I27" s="550">
        <v>0</v>
      </c>
      <c r="J27" s="551" t="s">
        <v>2337</v>
      </c>
      <c r="L27" s="528">
        <f t="shared" si="4"/>
        <v>0</v>
      </c>
      <c r="M27" s="528">
        <f t="shared" si="0"/>
        <v>0</v>
      </c>
      <c r="P27" s="524">
        <f t="shared" si="1"/>
        <v>0</v>
      </c>
      <c r="Q27" s="524">
        <f t="shared" si="2"/>
        <v>0</v>
      </c>
      <c r="S27" s="524">
        <f xml:space="preserve"> IF(C27 = "", 0, IF(AND(NOT(INDEX('3A'!I$5:I$60, MATCH('3B'!$C27, '3A'!$C$5:$C$60, 0))=I27), $D27="00"), 1, 0))</f>
        <v>0</v>
      </c>
      <c r="T27" s="524">
        <f xml:space="preserve"> IF(C27 = "", 0, IF(AND(NOT(INDEX('3A'!J$5:J$60, MATCH('3B'!$C27, '3A'!$C$5:$C$60, 0))=J27), $D27="00"), 1, 0))</f>
        <v>0</v>
      </c>
    </row>
    <row r="28" spans="2:20" ht="30.2" customHeight="1">
      <c r="B28" s="529">
        <f t="shared" si="6"/>
        <v>24</v>
      </c>
      <c r="C28" s="530" t="str">
        <f>IF($F$1="Select company","",IF((HLOOKUP((VLOOKUP($F$1,Lists!$B$4:$C$26,2,FALSE)),'SUB list edited'!$A$2:$DP$42,($B28+1),FALSE))=0,"",HLOOKUP((VLOOKUP($F$1,Lists!$B$4:$C$26,2,FALSE)),'SUB list edited'!$A$2:$DP$42,($B28+1),FALSE)))</f>
        <v>PR14YKYWSWW_SB2</v>
      </c>
      <c r="D28" s="536" t="str">
        <f>IF($F$1="Select company","",IF(C28 = "","",HLOOKUP(((VLOOKUP($F$1,Lists!$B$4:$C$26,2,FALSE))&amp;"ID"),'SUB list edited'!$A$2:$DP$42,($B28+1),FALSE)))</f>
        <v>03</v>
      </c>
      <c r="E28" s="530" t="str">
        <f>IF($F$1="Select company","",IF(C28 = "","",HLOOKUP(((VLOOKUP($F$1,Lists!$B$4:$C$26,2,FALSE))&amp;"PC"),'SUB list edited'!$A$2:$DP$42,($B28+1),FALSE)))</f>
        <v>Reactive equipment failures</v>
      </c>
      <c r="F28" s="536" t="str">
        <f>IF($F$1="Select company","",IF(C28 = "","",HLOOKUP(((VLOOKUP($F$1,Lists!$B$4:$C$26,2,FALSE))&amp;"unit"),'SUB list edited'!$A$2:$DP$42,($B28+1),FALSE)))</f>
        <v>nr</v>
      </c>
      <c r="G28" s="1384" t="str">
        <f>IF($F$1="Select company","",IF(C28="","",HLOOKUP(((VLOOKUP($F$1,Lists!$B$4:$C$26,2,FALSE))&amp;"DP"),'SUB list edited'!$A$2:$DP$42,($B28+1),FALSE)))</f>
        <v>0</v>
      </c>
      <c r="H28" s="314">
        <f>IF($F$1="Select company","",IF(C28 = "","",HLOOKUP(((VLOOKUP($F$1,Lists!$B$4:$C$26,2,FALSE))&amp;"201819ActPerf"),'SUB list edited'!$A$2:$DP$42,($B28+1),FALSE)))</f>
        <v>10035</v>
      </c>
      <c r="I28" s="550">
        <v>10059</v>
      </c>
      <c r="J28" s="551" t="s">
        <v>2337</v>
      </c>
      <c r="L28" s="528">
        <f t="shared" si="4"/>
        <v>0</v>
      </c>
      <c r="M28" s="528">
        <f t="shared" si="0"/>
        <v>0</v>
      </c>
      <c r="P28" s="524">
        <f t="shared" si="1"/>
        <v>0</v>
      </c>
      <c r="Q28" s="524">
        <f t="shared" si="2"/>
        <v>0</v>
      </c>
      <c r="S28" s="524">
        <f xml:space="preserve"> IF(C28 = "", 0, IF(AND(NOT(INDEX('3A'!I$5:I$60, MATCH('3B'!$C28, '3A'!$C$5:$C$60, 0))=I28), $D28="00"), 1, 0))</f>
        <v>0</v>
      </c>
      <c r="T28" s="524">
        <f xml:space="preserve"> IF(C28 = "", 0, IF(AND(NOT(INDEX('3A'!J$5:J$60, MATCH('3B'!$C28, '3A'!$C$5:$C$60, 0))=J28), $D28="00"), 1, 0))</f>
        <v>0</v>
      </c>
    </row>
    <row r="29" spans="2:20" ht="30.2" customHeight="1">
      <c r="B29" s="529">
        <f t="shared" si="6"/>
        <v>25</v>
      </c>
      <c r="C29" s="530" t="str">
        <f>IF($F$1="Select company","",IF((HLOOKUP((VLOOKUP($F$1,Lists!$B$4:$C$26,2,FALSE)),'SUB list edited'!$A$2:$DP$42,($B29+1),FALSE))=0,"",HLOOKUP((VLOOKUP($F$1,Lists!$B$4:$C$26,2,FALSE)),'SUB list edited'!$A$2:$DP$42,($B29+1),FALSE)))</f>
        <v/>
      </c>
      <c r="D29" s="536" t="str">
        <f>IF($F$1="Select company","",IF(C29 = "","",HLOOKUP(((VLOOKUP($F$1,Lists!$B$4:$C$26,2,FALSE))&amp;"ID"),'SUB list edited'!$A$2:$DP$42,($B29+1),FALSE)))</f>
        <v/>
      </c>
      <c r="E29" s="530" t="str">
        <f>IF($F$1="Select company","",IF(C29 = "","",HLOOKUP(((VLOOKUP($F$1,Lists!$B$4:$C$26,2,FALSE))&amp;"PC"),'SUB list edited'!$A$2:$DP$42,($B29+1),FALSE)))</f>
        <v/>
      </c>
      <c r="F29" s="536" t="str">
        <f>IF($F$1="Select company","",IF(C29 = "","",HLOOKUP(((VLOOKUP($F$1,Lists!$B$4:$C$26,2,FALSE))&amp;"unit"),'SUB list edited'!$A$2:$DP$42,($B29+1),FALSE)))</f>
        <v/>
      </c>
      <c r="G29" s="1384" t="str">
        <f>IF($F$1="Select company","",IF(C29="","",HLOOKUP(((VLOOKUP($F$1,Lists!$B$4:$C$26,2,FALSE))&amp;"DP"),'SUB list edited'!$A$2:$DP$42,($B29+1),FALSE)))</f>
        <v/>
      </c>
      <c r="H29" s="314" t="str">
        <f>IF($F$1="Select company","",IF(C29 = "","",HLOOKUP(((VLOOKUP($F$1,Lists!$B$4:$C$26,2,FALSE))&amp;"201819ActPerf"),'SUB list edited'!$A$2:$DP$42,($B29+1),FALSE)))</f>
        <v/>
      </c>
      <c r="I29" s="550"/>
      <c r="J29" s="551"/>
      <c r="L29" s="528">
        <f t="shared" si="4"/>
        <v>0</v>
      </c>
      <c r="M29" s="528">
        <f t="shared" si="0"/>
        <v>0</v>
      </c>
      <c r="P29" s="524">
        <f t="shared" si="1"/>
        <v>0</v>
      </c>
      <c r="Q29" s="524">
        <f t="shared" si="2"/>
        <v>0</v>
      </c>
      <c r="S29" s="524">
        <f xml:space="preserve"> IF(C29 = "", 0, IF(AND(NOT(INDEX('3A'!I$5:I$60, MATCH('3B'!$C29, '3A'!$C$5:$C$60, 0))=I29), $D29="00"), 1, 0))</f>
        <v>0</v>
      </c>
      <c r="T29" s="524">
        <f xml:space="preserve"> IF(C29 = "", 0, IF(AND(NOT(INDEX('3A'!J$5:J$60, MATCH('3B'!$C29, '3A'!$C$5:$C$60, 0))=J29), $D29="00"), 1, 0))</f>
        <v>0</v>
      </c>
    </row>
    <row r="30" spans="2:20" ht="30.2" customHeight="1">
      <c r="B30" s="529">
        <f t="shared" si="6"/>
        <v>26</v>
      </c>
      <c r="C30" s="530" t="str">
        <f>IF($F$1="Select company","",IF((HLOOKUP((VLOOKUP($F$1,Lists!$B$4:$C$26,2,FALSE)),'SUB list edited'!$A$2:$DP$42,($B30+1),FALSE))=0,"",HLOOKUP((VLOOKUP($F$1,Lists!$B$4:$C$26,2,FALSE)),'SUB list edited'!$A$2:$DP$42,($B30+1),FALSE)))</f>
        <v/>
      </c>
      <c r="D30" s="536" t="str">
        <f>IF($F$1="Select company","",IF(C30 = "","",HLOOKUP(((VLOOKUP($F$1,Lists!$B$4:$C$26,2,FALSE))&amp;"ID"),'SUB list edited'!$A$2:$DP$42,($B30+1),FALSE)))</f>
        <v/>
      </c>
      <c r="E30" s="530" t="str">
        <f>IF($F$1="Select company","",IF(C30 = "","",HLOOKUP(((VLOOKUP($F$1,Lists!$B$4:$C$26,2,FALSE))&amp;"PC"),'SUB list edited'!$A$2:$DP$42,($B30+1),FALSE)))</f>
        <v/>
      </c>
      <c r="F30" s="536" t="str">
        <f>IF($F$1="Select company","",IF(C30 = "","",HLOOKUP(((VLOOKUP($F$1,Lists!$B$4:$C$26,2,FALSE))&amp;"unit"),'SUB list edited'!$A$2:$DP$42,($B30+1),FALSE)))</f>
        <v/>
      </c>
      <c r="G30" s="1384" t="str">
        <f>IF($F$1="Select company","",IF(C30="","",HLOOKUP(((VLOOKUP($F$1,Lists!$B$4:$C$26,2,FALSE))&amp;"DP"),'SUB list edited'!$A$2:$DP$42,($B30+1),FALSE)))</f>
        <v/>
      </c>
      <c r="H30" s="314" t="str">
        <f>IF($F$1="Select company","",IF(C30 = "","",HLOOKUP(((VLOOKUP($F$1,Lists!$B$4:$C$26,2,FALSE))&amp;"201819ActPerf"),'SUB list edited'!$A$2:$DP$42,($B30+1),FALSE)))</f>
        <v/>
      </c>
      <c r="I30" s="550"/>
      <c r="J30" s="551"/>
      <c r="L30" s="528">
        <f t="shared" si="4"/>
        <v>0</v>
      </c>
      <c r="M30" s="528">
        <f t="shared" si="0"/>
        <v>0</v>
      </c>
      <c r="P30" s="524">
        <f t="shared" si="1"/>
        <v>0</v>
      </c>
      <c r="Q30" s="524">
        <f t="shared" si="2"/>
        <v>0</v>
      </c>
      <c r="S30" s="524">
        <f xml:space="preserve"> IF(C30 = "", 0, IF(AND(NOT(INDEX('3A'!I$5:I$60, MATCH('3B'!$C30, '3A'!$C$5:$C$60, 0))=I30), $D30="00"), 1, 0))</f>
        <v>0</v>
      </c>
      <c r="T30" s="524">
        <f xml:space="preserve"> IF(C30 = "", 0, IF(AND(NOT(INDEX('3A'!J$5:J$60, MATCH('3B'!$C30, '3A'!$C$5:$C$60, 0))=J30), $D30="00"), 1, 0))</f>
        <v>0</v>
      </c>
    </row>
    <row r="31" spans="2:20" ht="30.2" customHeight="1">
      <c r="B31" s="529">
        <f t="shared" si="6"/>
        <v>27</v>
      </c>
      <c r="C31" s="530" t="str">
        <f>IF($F$1="Select company","",IF((HLOOKUP((VLOOKUP($F$1,Lists!$B$4:$C$26,2,FALSE)),'SUB list edited'!$A$2:$DP$42,($B31+1),FALSE))=0,"",HLOOKUP((VLOOKUP($F$1,Lists!$B$4:$C$26,2,FALSE)),'SUB list edited'!$A$2:$DP$42,($B31+1),FALSE)))</f>
        <v/>
      </c>
      <c r="D31" s="536" t="str">
        <f>IF($F$1="Select company","",IF(C31 = "","",HLOOKUP(((VLOOKUP($F$1,Lists!$B$4:$C$26,2,FALSE))&amp;"ID"),'SUB list edited'!$A$2:$DP$42,($B31+1),FALSE)))</f>
        <v/>
      </c>
      <c r="E31" s="530" t="str">
        <f>IF($F$1="Select company","",IF(C31 = "","",HLOOKUP(((VLOOKUP($F$1,Lists!$B$4:$C$26,2,FALSE))&amp;"PC"),'SUB list edited'!$A$2:$DP$42,($B31+1),FALSE)))</f>
        <v/>
      </c>
      <c r="F31" s="536" t="str">
        <f>IF($F$1="Select company","",IF(C31 = "","",HLOOKUP(((VLOOKUP($F$1,Lists!$B$4:$C$26,2,FALSE))&amp;"unit"),'SUB list edited'!$A$2:$DP$42,($B31+1),FALSE)))</f>
        <v/>
      </c>
      <c r="G31" s="1384" t="str">
        <f>IF($F$1="Select company","",IF(C31="","",HLOOKUP(((VLOOKUP($F$1,Lists!$B$4:$C$26,2,FALSE))&amp;"DP"),'SUB list edited'!$A$2:$DP$42,($B31+1),FALSE)))</f>
        <v/>
      </c>
      <c r="H31" s="314" t="str">
        <f>IF($F$1="Select company","",IF(C31 = "","",HLOOKUP(((VLOOKUP($F$1,Lists!$B$4:$C$26,2,FALSE))&amp;"201819ActPerf"),'SUB list edited'!$A$2:$DP$42,($B31+1),FALSE)))</f>
        <v/>
      </c>
      <c r="I31" s="550"/>
      <c r="J31" s="551"/>
      <c r="L31" s="528">
        <f t="shared" si="4"/>
        <v>0</v>
      </c>
      <c r="M31" s="528">
        <f t="shared" si="0"/>
        <v>0</v>
      </c>
      <c r="P31" s="524">
        <f t="shared" si="1"/>
        <v>0</v>
      </c>
      <c r="Q31" s="524">
        <f t="shared" si="2"/>
        <v>0</v>
      </c>
      <c r="S31" s="524">
        <f xml:space="preserve"> IF(C31 = "", 0, IF(AND(NOT(INDEX('3A'!I$5:I$60, MATCH('3B'!$C31, '3A'!$C$5:$C$60, 0))=I31), $D31="00"), 1, 0))</f>
        <v>0</v>
      </c>
      <c r="T31" s="524">
        <f xml:space="preserve"> IF(C31 = "", 0, IF(AND(NOT(INDEX('3A'!J$5:J$60, MATCH('3B'!$C31, '3A'!$C$5:$C$60, 0))=J31), $D31="00"), 1, 0))</f>
        <v>0</v>
      </c>
    </row>
    <row r="32" spans="2:20" ht="30.2" customHeight="1">
      <c r="B32" s="529">
        <f t="shared" si="6"/>
        <v>28</v>
      </c>
      <c r="C32" s="530" t="str">
        <f>IF($F$1="Select company","",IF((HLOOKUP((VLOOKUP($F$1,Lists!$B$4:$C$26,2,FALSE)),'SUB list edited'!$A$2:$DP$42,($B32+1),FALSE))=0,"",HLOOKUP((VLOOKUP($F$1,Lists!$B$4:$C$26,2,FALSE)),'SUB list edited'!$A$2:$DP$42,($B32+1),FALSE)))</f>
        <v/>
      </c>
      <c r="D32" s="536" t="str">
        <f>IF($F$1="Select company","",IF(C32 = "","",HLOOKUP(((VLOOKUP($F$1,Lists!$B$4:$C$26,2,FALSE))&amp;"ID"),'SUB list edited'!$A$2:$DP$42,($B32+1),FALSE)))</f>
        <v/>
      </c>
      <c r="E32" s="530" t="str">
        <f>IF($F$1="Select company","",IF(C32 = "","",HLOOKUP(((VLOOKUP($F$1,Lists!$B$4:$C$26,2,FALSE))&amp;"PC"),'SUB list edited'!$A$2:$DP$42,($B32+1),FALSE)))</f>
        <v/>
      </c>
      <c r="F32" s="536" t="str">
        <f>IF($F$1="Select company","",IF(C32 = "","",HLOOKUP(((VLOOKUP($F$1,Lists!$B$4:$C$26,2,FALSE))&amp;"unit"),'SUB list edited'!$A$2:$DP$42,($B32+1),FALSE)))</f>
        <v/>
      </c>
      <c r="G32" s="1384" t="str">
        <f>IF($F$1="Select company","",IF(C32="","",HLOOKUP(((VLOOKUP($F$1,Lists!$B$4:$C$26,2,FALSE))&amp;"DP"),'SUB list edited'!$A$2:$DP$42,($B32+1),FALSE)))</f>
        <v/>
      </c>
      <c r="H32" s="314" t="str">
        <f>IF($F$1="Select company","",IF(C32 = "","",HLOOKUP(((VLOOKUP($F$1,Lists!$B$4:$C$26,2,FALSE))&amp;"201819ActPerf"),'SUB list edited'!$A$2:$DP$42,($B32+1),FALSE)))</f>
        <v/>
      </c>
      <c r="I32" s="550"/>
      <c r="J32" s="551"/>
      <c r="L32" s="528">
        <f t="shared" si="4"/>
        <v>0</v>
      </c>
      <c r="M32" s="528">
        <f t="shared" si="0"/>
        <v>0</v>
      </c>
      <c r="P32" s="524">
        <f t="shared" si="1"/>
        <v>0</v>
      </c>
      <c r="Q32" s="524">
        <f t="shared" si="2"/>
        <v>0</v>
      </c>
      <c r="S32" s="524">
        <f xml:space="preserve"> IF(C32 = "", 0, IF(AND(NOT(INDEX('3A'!I$5:I$60, MATCH('3B'!$C32, '3A'!$C$5:$C$60, 0))=I32), $D32="00"), 1, 0))</f>
        <v>0</v>
      </c>
      <c r="T32" s="524">
        <f xml:space="preserve"> IF(C32 = "", 0, IF(AND(NOT(INDEX('3A'!J$5:J$60, MATCH('3B'!$C32, '3A'!$C$5:$C$60, 0))=J32), $D32="00"), 1, 0))</f>
        <v>0</v>
      </c>
    </row>
    <row r="33" spans="2:20" ht="30.2" customHeight="1">
      <c r="B33" s="529">
        <f t="shared" si="6"/>
        <v>29</v>
      </c>
      <c r="C33" s="530" t="str">
        <f>IF($F$1="Select company","",IF((HLOOKUP((VLOOKUP($F$1,Lists!$B$4:$C$26,2,FALSE)),'SUB list edited'!$A$2:$DP$42,($B33+1),FALSE))=0,"",HLOOKUP((VLOOKUP($F$1,Lists!$B$4:$C$26,2,FALSE)),'SUB list edited'!$A$2:$DP$42,($B33+1),FALSE)))</f>
        <v/>
      </c>
      <c r="D33" s="536" t="str">
        <f>IF($F$1="Select company","",IF(C33 = "","",HLOOKUP(((VLOOKUP($F$1,Lists!$B$4:$C$26,2,FALSE))&amp;"ID"),'SUB list edited'!$A$2:$DP$42,($B33+1),FALSE)))</f>
        <v/>
      </c>
      <c r="E33" s="530" t="str">
        <f>IF($F$1="Select company","",IF(C33 = "","",HLOOKUP(((VLOOKUP($F$1,Lists!$B$4:$C$26,2,FALSE))&amp;"PC"),'SUB list edited'!$A$2:$DP$42,($B33+1),FALSE)))</f>
        <v/>
      </c>
      <c r="F33" s="536" t="str">
        <f>IF($F$1="Select company","",IF(C33 = "","",HLOOKUP(((VLOOKUP($F$1,Lists!$B$4:$C$26,2,FALSE))&amp;"unit"),'SUB list edited'!$A$2:$DP$42,($B33+1),FALSE)))</f>
        <v/>
      </c>
      <c r="G33" s="1384" t="str">
        <f>IF($F$1="Select company","",IF(C33="","",HLOOKUP(((VLOOKUP($F$1,Lists!$B$4:$C$26,2,FALSE))&amp;"DP"),'SUB list edited'!$A$2:$DP$42,($B33+1),FALSE)))</f>
        <v/>
      </c>
      <c r="H33" s="314" t="str">
        <f>IF($F$1="Select company","",IF(C33 = "","",HLOOKUP(((VLOOKUP($F$1,Lists!$B$4:$C$26,2,FALSE))&amp;"201819ActPerf"),'SUB list edited'!$A$2:$DP$42,($B33+1),FALSE)))</f>
        <v/>
      </c>
      <c r="I33" s="550"/>
      <c r="J33" s="551"/>
      <c r="L33" s="528">
        <f t="shared" si="4"/>
        <v>0</v>
      </c>
      <c r="M33" s="528">
        <f t="shared" si="0"/>
        <v>0</v>
      </c>
      <c r="P33" s="524">
        <f t="shared" si="1"/>
        <v>0</v>
      </c>
      <c r="Q33" s="524">
        <f t="shared" si="2"/>
        <v>0</v>
      </c>
      <c r="S33" s="524">
        <f xml:space="preserve"> IF(C33 = "", 0, IF(AND(NOT(INDEX('3A'!I$5:I$60, MATCH('3B'!$C33, '3A'!$C$5:$C$60, 0))=I33), $D33="00"), 1, 0))</f>
        <v>0</v>
      </c>
      <c r="T33" s="524">
        <f xml:space="preserve"> IF(C33 = "", 0, IF(AND(NOT(INDEX('3A'!J$5:J$60, MATCH('3B'!$C33, '3A'!$C$5:$C$60, 0))=J33), $D33="00"), 1, 0))</f>
        <v>0</v>
      </c>
    </row>
    <row r="34" spans="2:20" ht="30.2" customHeight="1">
      <c r="B34" s="529">
        <f t="shared" si="6"/>
        <v>30</v>
      </c>
      <c r="C34" s="530" t="str">
        <f>IF($F$1="Select company","",IF((HLOOKUP((VLOOKUP($F$1,Lists!$B$4:$C$26,2,FALSE)),'SUB list edited'!$A$2:$DP$42,($B34+1),FALSE))=0,"",HLOOKUP((VLOOKUP($F$1,Lists!$B$4:$C$26,2,FALSE)),'SUB list edited'!$A$2:$DP$42,($B34+1),FALSE)))</f>
        <v/>
      </c>
      <c r="D34" s="536" t="str">
        <f>IF($F$1="Select company","",IF(C34 = "","",HLOOKUP(((VLOOKUP($F$1,Lists!$B$4:$C$26,2,FALSE))&amp;"ID"),'SUB list edited'!$A$2:$DP$42,($B34+1),FALSE)))</f>
        <v/>
      </c>
      <c r="E34" s="530" t="str">
        <f>IF($F$1="Select company","",IF(C34 = "","",HLOOKUP(((VLOOKUP($F$1,Lists!$B$4:$C$26,2,FALSE))&amp;"PC"),'SUB list edited'!$A$2:$DP$42,($B34+1),FALSE)))</f>
        <v/>
      </c>
      <c r="F34" s="536" t="str">
        <f>IF($F$1="Select company","",IF(C34 = "","",HLOOKUP(((VLOOKUP($F$1,Lists!$B$4:$C$26,2,FALSE))&amp;"unit"),'SUB list edited'!$A$2:$DP$42,($B34+1),FALSE)))</f>
        <v/>
      </c>
      <c r="G34" s="1384" t="str">
        <f>IF($F$1="Select company","",IF(C34="","",HLOOKUP(((VLOOKUP($F$1,Lists!$B$4:$C$26,2,FALSE))&amp;"DP"),'SUB list edited'!$A$2:$DP$42,($B34+1),FALSE)))</f>
        <v/>
      </c>
      <c r="H34" s="314" t="str">
        <f>IF($F$1="Select company","",IF(C34 = "","",HLOOKUP(((VLOOKUP($F$1,Lists!$B$4:$C$26,2,FALSE))&amp;"201819ActPerf"),'SUB list edited'!$A$2:$DP$42,($B34+1),FALSE)))</f>
        <v/>
      </c>
      <c r="I34" s="550"/>
      <c r="J34" s="551"/>
      <c r="L34" s="528">
        <f t="shared" si="4"/>
        <v>0</v>
      </c>
      <c r="M34" s="528">
        <f t="shared" si="0"/>
        <v>0</v>
      </c>
      <c r="P34" s="524">
        <f t="shared" si="1"/>
        <v>0</v>
      </c>
      <c r="Q34" s="524">
        <f t="shared" si="2"/>
        <v>0</v>
      </c>
      <c r="S34" s="524">
        <f xml:space="preserve"> IF(C34 = "", 0, IF(AND(NOT(INDEX('3A'!I$5:I$60, MATCH('3B'!$C34, '3A'!$C$5:$C$60, 0))=I34), $D34="00"), 1, 0))</f>
        <v>0</v>
      </c>
      <c r="T34" s="524">
        <f xml:space="preserve"> IF(C34 = "", 0, IF(AND(NOT(INDEX('3A'!J$5:J$60, MATCH('3B'!$C34, '3A'!$C$5:$C$60, 0))=J34), $D34="00"), 1, 0))</f>
        <v>0</v>
      </c>
    </row>
    <row r="35" spans="2:20" ht="30.2" customHeight="1">
      <c r="B35" s="529">
        <f t="shared" si="6"/>
        <v>31</v>
      </c>
      <c r="C35" s="530" t="str">
        <f>IF($F$1="Select company","",IF((HLOOKUP((VLOOKUP($F$1,Lists!$B$4:$C$26,2,FALSE)),'SUB list edited'!$A$2:$DP$42,($B35+1),FALSE))=0,"",HLOOKUP((VLOOKUP($F$1,Lists!$B$4:$C$26,2,FALSE)),'SUB list edited'!$A$2:$DP$42,($B35+1),FALSE)))</f>
        <v/>
      </c>
      <c r="D35" s="536" t="str">
        <f>IF($F$1="Select company","",IF(C35 = "","",HLOOKUP(((VLOOKUP($F$1,Lists!$B$4:$C$26,2,FALSE))&amp;"ID"),'SUB list edited'!$A$2:$DP$42,($B35+1),FALSE)))</f>
        <v/>
      </c>
      <c r="E35" s="530" t="str">
        <f>IF($F$1="Select company","",IF(C35 = "","",HLOOKUP(((VLOOKUP($F$1,Lists!$B$4:$C$26,2,FALSE))&amp;"PC"),'SUB list edited'!$A$2:$DP$42,($B35+1),FALSE)))</f>
        <v/>
      </c>
      <c r="F35" s="536" t="str">
        <f>IF($F$1="Select company","",IF(C35 = "","",HLOOKUP(((VLOOKUP($F$1,Lists!$B$4:$C$26,2,FALSE))&amp;"unit"),'SUB list edited'!$A$2:$DP$42,($B35+1),FALSE)))</f>
        <v/>
      </c>
      <c r="G35" s="1384" t="str">
        <f>IF($F$1="Select company","",IF(C35="","",HLOOKUP(((VLOOKUP($F$1,Lists!$B$4:$C$26,2,FALSE))&amp;"DP"),'SUB list edited'!$A$2:$DP$42,($B35+1),FALSE)))</f>
        <v/>
      </c>
      <c r="H35" s="314" t="str">
        <f>IF($F$1="Select company","",IF(C35 = "","",HLOOKUP(((VLOOKUP($F$1,Lists!$B$4:$C$26,2,FALSE))&amp;"201819ActPerf"),'SUB list edited'!$A$2:$DP$42,($B35+1),FALSE)))</f>
        <v/>
      </c>
      <c r="I35" s="550"/>
      <c r="J35" s="551"/>
      <c r="L35" s="528">
        <f t="shared" si="4"/>
        <v>0</v>
      </c>
      <c r="M35" s="528">
        <f t="shared" si="0"/>
        <v>0</v>
      </c>
      <c r="P35" s="524">
        <f t="shared" si="1"/>
        <v>0</v>
      </c>
      <c r="Q35" s="524">
        <f t="shared" si="2"/>
        <v>0</v>
      </c>
      <c r="S35" s="524">
        <f xml:space="preserve"> IF(C35 = "", 0, IF(AND(NOT(INDEX('3A'!I$5:I$60, MATCH('3B'!$C35, '3A'!$C$5:$C$60, 0))=I35), $D35="00"), 1, 0))</f>
        <v>0</v>
      </c>
      <c r="T35" s="524">
        <f xml:space="preserve"> IF(C35 = "", 0, IF(AND(NOT(INDEX('3A'!J$5:J$60, MATCH('3B'!$C35, '3A'!$C$5:$C$60, 0))=J35), $D35="00"), 1, 0))</f>
        <v>0</v>
      </c>
    </row>
    <row r="36" spans="2:20" ht="30.2" customHeight="1">
      <c r="B36" s="529">
        <f t="shared" si="6"/>
        <v>32</v>
      </c>
      <c r="C36" s="530" t="str">
        <f>IF($F$1="Select company","",IF((HLOOKUP((VLOOKUP($F$1,Lists!$B$4:$C$26,2,FALSE)),'SUB list edited'!$A$2:$DP$42,($B36+1),FALSE))=0,"",HLOOKUP((VLOOKUP($F$1,Lists!$B$4:$C$26,2,FALSE)),'SUB list edited'!$A$2:$DP$42,($B36+1),FALSE)))</f>
        <v/>
      </c>
      <c r="D36" s="536" t="str">
        <f>IF($F$1="Select company","",IF(C36 = "","",HLOOKUP(((VLOOKUP($F$1,Lists!$B$4:$C$26,2,FALSE))&amp;"ID"),'SUB list edited'!$A$2:$DP$42,($B36+1),FALSE)))</f>
        <v/>
      </c>
      <c r="E36" s="530" t="str">
        <f>IF($F$1="Select company","",IF(C36 = "","",HLOOKUP(((VLOOKUP($F$1,Lists!$B$4:$C$26,2,FALSE))&amp;"PC"),'SUB list edited'!$A$2:$DP$42,($B36+1),FALSE)))</f>
        <v/>
      </c>
      <c r="F36" s="536" t="str">
        <f>IF($F$1="Select company","",IF(C36 = "","",HLOOKUP(((VLOOKUP($F$1,Lists!$B$4:$C$26,2,FALSE))&amp;"unit"),'SUB list edited'!$A$2:$DP$42,($B36+1),FALSE)))</f>
        <v/>
      </c>
      <c r="G36" s="1384" t="str">
        <f>IF($F$1="Select company","",IF(C36="","",HLOOKUP(((VLOOKUP($F$1,Lists!$B$4:$C$26,2,FALSE))&amp;"DP"),'SUB list edited'!$A$2:$DP$42,($B36+1),FALSE)))</f>
        <v/>
      </c>
      <c r="H36" s="314" t="str">
        <f>IF($F$1="Select company","",IF(C36 = "","",HLOOKUP(((VLOOKUP($F$1,Lists!$B$4:$C$26,2,FALSE))&amp;"201819ActPerf"),'SUB list edited'!$A$2:$DP$42,($B36+1),FALSE)))</f>
        <v/>
      </c>
      <c r="I36" s="550"/>
      <c r="J36" s="551"/>
      <c r="L36" s="528">
        <f t="shared" si="4"/>
        <v>0</v>
      </c>
      <c r="M36" s="528">
        <f t="shared" si="0"/>
        <v>0</v>
      </c>
      <c r="P36" s="524">
        <f t="shared" si="1"/>
        <v>0</v>
      </c>
      <c r="Q36" s="524">
        <f t="shared" si="2"/>
        <v>0</v>
      </c>
      <c r="S36" s="524">
        <f xml:space="preserve"> IF(C36 = "", 0, IF(AND(NOT(INDEX('3A'!I$5:I$60, MATCH('3B'!$C36, '3A'!$C$5:$C$60, 0))=I36), $D36="00"), 1, 0))</f>
        <v>0</v>
      </c>
      <c r="T36" s="524">
        <f xml:space="preserve"> IF(C36 = "", 0, IF(AND(NOT(INDEX('3A'!J$5:J$60, MATCH('3B'!$C36, '3A'!$C$5:$C$60, 0))=J36), $D36="00"), 1, 0))</f>
        <v>0</v>
      </c>
    </row>
    <row r="37" spans="2:20" ht="30.2" customHeight="1">
      <c r="B37" s="529">
        <f t="shared" si="6"/>
        <v>33</v>
      </c>
      <c r="C37" s="530" t="str">
        <f>IF($F$1="Select company","",IF((HLOOKUP((VLOOKUP($F$1,Lists!$B$4:$C$26,2,FALSE)),'SUB list edited'!$A$2:$DP$42,($B37+1),FALSE))=0,"",HLOOKUP((VLOOKUP($F$1,Lists!$B$4:$C$26,2,FALSE)),'SUB list edited'!$A$2:$DP$42,($B37+1),FALSE)))</f>
        <v/>
      </c>
      <c r="D37" s="536" t="str">
        <f>IF($F$1="Select company","",IF(C37 = "","",HLOOKUP(((VLOOKUP($F$1,Lists!$B$4:$C$26,2,FALSE))&amp;"ID"),'SUB list edited'!$A$2:$DP$42,($B37+1),FALSE)))</f>
        <v/>
      </c>
      <c r="E37" s="530" t="str">
        <f>IF($F$1="Select company","",IF(C37 = "","",HLOOKUP(((VLOOKUP($F$1,Lists!$B$4:$C$26,2,FALSE))&amp;"PC"),'SUB list edited'!$A$2:$DP$42,($B37+1),FALSE)))</f>
        <v/>
      </c>
      <c r="F37" s="536" t="str">
        <f>IF($F$1="Select company","",IF(C37 = "","",HLOOKUP(((VLOOKUP($F$1,Lists!$B$4:$C$26,2,FALSE))&amp;"unit"),'SUB list edited'!$A$2:$DP$42,($B37+1),FALSE)))</f>
        <v/>
      </c>
      <c r="G37" s="1384" t="str">
        <f>IF($F$1="Select company","",IF(C37="","",HLOOKUP(((VLOOKUP($F$1,Lists!$B$4:$C$26,2,FALSE))&amp;"DP"),'SUB list edited'!$A$2:$DP$42,($B37+1),FALSE)))</f>
        <v/>
      </c>
      <c r="H37" s="314" t="str">
        <f>IF($F$1="Select company","",IF(C37 = "","",HLOOKUP(((VLOOKUP($F$1,Lists!$B$4:$C$26,2,FALSE))&amp;"201819ActPerf"),'SUB list edited'!$A$2:$DP$42,($B37+1),FALSE)))</f>
        <v/>
      </c>
      <c r="I37" s="550"/>
      <c r="J37" s="551"/>
      <c r="L37" s="528">
        <f t="shared" si="4"/>
        <v>0</v>
      </c>
      <c r="M37" s="528">
        <f t="shared" si="0"/>
        <v>0</v>
      </c>
      <c r="P37" s="524">
        <f t="shared" si="1"/>
        <v>0</v>
      </c>
      <c r="Q37" s="524">
        <f t="shared" si="2"/>
        <v>0</v>
      </c>
      <c r="S37" s="524">
        <f xml:space="preserve"> IF(C37 = "", 0, IF(AND(NOT(INDEX('3A'!I$5:I$60, MATCH('3B'!$C37, '3A'!$C$5:$C$60, 0))=I37), $D37="00"), 1, 0))</f>
        <v>0</v>
      </c>
      <c r="T37" s="524">
        <f xml:space="preserve"> IF(C37 = "", 0, IF(AND(NOT(INDEX('3A'!J$5:J$60, MATCH('3B'!$C37, '3A'!$C$5:$C$60, 0))=J37), $D37="00"), 1, 0))</f>
        <v>0</v>
      </c>
    </row>
    <row r="38" spans="2:20" ht="30.2" customHeight="1">
      <c r="B38" s="529">
        <f xml:space="preserve"> B37 + 1</f>
        <v>34</v>
      </c>
      <c r="C38" s="530" t="str">
        <f>IF($F$1="Select company","",IF((HLOOKUP((VLOOKUP($F$1,Lists!$B$4:$C$26,2,FALSE)),'SUB list edited'!$A$2:$DP$42,($B38+1),FALSE))=0,"",HLOOKUP((VLOOKUP($F$1,Lists!$B$4:$C$26,2,FALSE)),'SUB list edited'!$A$2:$DP$42,($B38+1),FALSE)))</f>
        <v/>
      </c>
      <c r="D38" s="536" t="str">
        <f>IF($F$1="Select company","",IF(C38 = "","",HLOOKUP(((VLOOKUP($F$1,Lists!$B$4:$C$26,2,FALSE))&amp;"ID"),'SUB list edited'!$A$2:$DP$42,($B38+1),FALSE)))</f>
        <v/>
      </c>
      <c r="E38" s="530" t="str">
        <f>IF($F$1="Select company","",IF(C38 = "","",HLOOKUP(((VLOOKUP($F$1,Lists!$B$4:$C$26,2,FALSE))&amp;"PC"),'SUB list edited'!$A$2:$DP$42,($B38+1),FALSE)))</f>
        <v/>
      </c>
      <c r="F38" s="536" t="str">
        <f>IF($F$1="Select company","",IF(C38 = "","",HLOOKUP(((VLOOKUP($F$1,Lists!$B$4:$C$26,2,FALSE))&amp;"unit"),'SUB list edited'!$A$2:$DP$42,($B38+1),FALSE)))</f>
        <v/>
      </c>
      <c r="G38" s="1384" t="str">
        <f>IF($F$1="Select company","",IF(C38="","",HLOOKUP(((VLOOKUP($F$1,Lists!$B$4:$C$26,2,FALSE))&amp;"DP"),'SUB list edited'!$A$2:$DP$42,($B38+1),FALSE)))</f>
        <v/>
      </c>
      <c r="H38" s="314" t="str">
        <f>IF($F$1="Select company","",IF(C38 = "","",HLOOKUP(((VLOOKUP($F$1,Lists!$B$4:$C$26,2,FALSE))&amp;"201819ActPerf"),'SUB list edited'!$A$2:$DP$42,($B38+1),FALSE)))</f>
        <v/>
      </c>
      <c r="I38" s="550"/>
      <c r="J38" s="551"/>
      <c r="L38" s="528">
        <f t="shared" si="4"/>
        <v>0</v>
      </c>
      <c r="M38" s="528">
        <f t="shared" si="0"/>
        <v>0</v>
      </c>
      <c r="P38" s="524">
        <f t="shared" si="1"/>
        <v>0</v>
      </c>
      <c r="Q38" s="524">
        <f t="shared" si="2"/>
        <v>0</v>
      </c>
      <c r="S38" s="524">
        <f xml:space="preserve"> IF(C38 = "", 0, IF(AND(NOT(INDEX('3A'!I$5:I$60, MATCH('3B'!$C38, '3A'!$C$5:$C$60, 0))=I38), $D38="00"), 1, 0))</f>
        <v>0</v>
      </c>
      <c r="T38" s="524">
        <f xml:space="preserve"> IF(C38 = "", 0, IF(AND(NOT(INDEX('3A'!J$5:J$60, MATCH('3B'!$C38, '3A'!$C$5:$C$60, 0))=J38), $D38="00"), 1, 0))</f>
        <v>0</v>
      </c>
    </row>
    <row r="39" spans="2:20" ht="30.2" customHeight="1">
      <c r="B39" s="529">
        <f t="shared" si="6"/>
        <v>35</v>
      </c>
      <c r="C39" s="530" t="str">
        <f>IF($F$1="Select company","",IF((HLOOKUP((VLOOKUP($F$1,Lists!$B$4:$C$26,2,FALSE)),'SUB list edited'!$A$2:$DP$42,($B39+1),FALSE))=0,"",HLOOKUP((VLOOKUP($F$1,Lists!$B$4:$C$26,2,FALSE)),'SUB list edited'!$A$2:$DP$42,($B39+1),FALSE)))</f>
        <v/>
      </c>
      <c r="D39" s="536" t="str">
        <f>IF($F$1="Select company","",IF(C39 = "","",HLOOKUP(((VLOOKUP($F$1,Lists!$B$4:$C$26,2,FALSE))&amp;"ID"),'SUB list edited'!$A$2:$DP$42,($B39+1),FALSE)))</f>
        <v/>
      </c>
      <c r="E39" s="530" t="str">
        <f>IF($F$1="Select company","",IF(C39 = "","",HLOOKUP(((VLOOKUP($F$1,Lists!$B$4:$C$26,2,FALSE))&amp;"PC"),'SUB list edited'!$A$2:$DP$42,($B39+1),FALSE)))</f>
        <v/>
      </c>
      <c r="F39" s="536" t="str">
        <f>IF($F$1="Select company","",IF(C39 = "","",HLOOKUP(((VLOOKUP($F$1,Lists!$B$4:$C$26,2,FALSE))&amp;"unit"),'SUB list edited'!$A$2:$DP$42,($B39+1),FALSE)))</f>
        <v/>
      </c>
      <c r="G39" s="1384" t="str">
        <f>IF($F$1="Select company","",IF(C39="","",HLOOKUP(((VLOOKUP($F$1,Lists!$B$4:$C$26,2,FALSE))&amp;"DP"),'SUB list edited'!$A$2:$DP$42,($B39+1),FALSE)))</f>
        <v/>
      </c>
      <c r="H39" s="314" t="str">
        <f>IF($F$1="Select company","",IF(C39 = "","",HLOOKUP(((VLOOKUP($F$1,Lists!$B$4:$C$26,2,FALSE))&amp;"201819ActPerf"),'SUB list edited'!$A$2:$DP$42,($B39+1),FALSE)))</f>
        <v/>
      </c>
      <c r="I39" s="550"/>
      <c r="J39" s="551"/>
      <c r="L39" s="528">
        <f t="shared" si="4"/>
        <v>0</v>
      </c>
      <c r="M39" s="528">
        <f t="shared" si="0"/>
        <v>0</v>
      </c>
      <c r="P39" s="524">
        <f t="shared" si="1"/>
        <v>0</v>
      </c>
      <c r="Q39" s="524">
        <f t="shared" si="2"/>
        <v>0</v>
      </c>
      <c r="S39" s="524">
        <f xml:space="preserve"> IF(C39 = "", 0, IF(AND(NOT(INDEX('3A'!I$5:I$60, MATCH('3B'!$C39, '3A'!$C$5:$C$60, 0))=I39), $D39="00"), 1, 0))</f>
        <v>0</v>
      </c>
      <c r="T39" s="524">
        <f xml:space="preserve"> IF(C39 = "", 0, IF(AND(NOT(INDEX('3A'!J$5:J$60, MATCH('3B'!$C39, '3A'!$C$5:$C$60, 0))=J39), $D39="00"), 1, 0))</f>
        <v>0</v>
      </c>
    </row>
    <row r="40" spans="2:20" ht="30.2" customHeight="1">
      <c r="B40" s="529">
        <f t="shared" si="6"/>
        <v>36</v>
      </c>
      <c r="C40" s="530" t="str">
        <f>IF($F$1="Select company","",IF((HLOOKUP((VLOOKUP($F$1,Lists!$B$4:$C$26,2,FALSE)),'SUB list edited'!$A$2:$DP$42,($B40+1),FALSE))=0,"",HLOOKUP((VLOOKUP($F$1,Lists!$B$4:$C$26,2,FALSE)),'SUB list edited'!$A$2:$DP$42,($B40+1),FALSE)))</f>
        <v/>
      </c>
      <c r="D40" s="536" t="str">
        <f>IF($F$1="Select company","",IF(C40 = "","",HLOOKUP(((VLOOKUP($F$1,Lists!$B$4:$C$26,2,FALSE))&amp;"ID"),'SUB list edited'!$A$2:$DP$42,($B40+1),FALSE)))</f>
        <v/>
      </c>
      <c r="E40" s="530" t="str">
        <f>IF($F$1="Select company","",IF(C40 = "","",HLOOKUP(((VLOOKUP($F$1,Lists!$B$4:$C$26,2,FALSE))&amp;"PC"),'SUB list edited'!$A$2:$DP$42,($B40+1),FALSE)))</f>
        <v/>
      </c>
      <c r="F40" s="536" t="str">
        <f>IF($F$1="Select company","",IF(C40 = "","",HLOOKUP(((VLOOKUP($F$1,Lists!$B$4:$C$26,2,FALSE))&amp;"unit"),'SUB list edited'!$A$2:$DP$42,($B40+1),FALSE)))</f>
        <v/>
      </c>
      <c r="G40" s="1384" t="str">
        <f>IF($F$1="Select company","",IF(C40="","",HLOOKUP(((VLOOKUP($F$1,Lists!$B$4:$C$26,2,FALSE))&amp;"DP"),'SUB list edited'!$A$2:$DP$42,($B40+1),FALSE)))</f>
        <v/>
      </c>
      <c r="H40" s="314" t="str">
        <f>IF($F$1="Select company","",IF(C40 = "","",HLOOKUP(((VLOOKUP($F$1,Lists!$B$4:$C$26,2,FALSE))&amp;"201819ActPerf"),'SUB list edited'!$A$2:$DP$42,($B40+1),FALSE)))</f>
        <v/>
      </c>
      <c r="I40" s="550"/>
      <c r="J40" s="551"/>
      <c r="L40" s="528">
        <f t="shared" si="4"/>
        <v>0</v>
      </c>
      <c r="M40" s="528">
        <f t="shared" si="0"/>
        <v>0</v>
      </c>
      <c r="P40" s="524">
        <f t="shared" si="1"/>
        <v>0</v>
      </c>
      <c r="Q40" s="524">
        <f t="shared" si="2"/>
        <v>0</v>
      </c>
      <c r="S40" s="524">
        <f xml:space="preserve"> IF(C40 = "", 0, IF(AND(NOT(INDEX('3A'!I$5:I$60, MATCH('3B'!$C40, '3A'!$C$5:$C$60, 0))=I40), $D40="00"), 1, 0))</f>
        <v>0</v>
      </c>
      <c r="T40" s="524">
        <f xml:space="preserve"> IF(C40 = "", 0, IF(AND(NOT(INDEX('3A'!J$5:J$60, MATCH('3B'!$C40, '3A'!$C$5:$C$60, 0))=J40), $D40="00"), 1, 0))</f>
        <v>0</v>
      </c>
    </row>
    <row r="41" spans="2:20" ht="30.2" customHeight="1">
      <c r="B41" s="529">
        <f t="shared" si="6"/>
        <v>37</v>
      </c>
      <c r="C41" s="530" t="str">
        <f>IF($F$1="Select company","",IF((HLOOKUP((VLOOKUP($F$1,Lists!$B$4:$C$26,2,FALSE)),'SUB list edited'!$A$2:$DP$42,($B41+1),FALSE))=0,"",HLOOKUP((VLOOKUP($F$1,Lists!$B$4:$C$26,2,FALSE)),'SUB list edited'!$A$2:$DP$42,($B41+1),FALSE)))</f>
        <v/>
      </c>
      <c r="D41" s="536" t="str">
        <f>IF($F$1="Select company","",IF(C41 = "","",HLOOKUP(((VLOOKUP($F$1,Lists!$B$4:$C$26,2,FALSE))&amp;"ID"),'SUB list edited'!$A$2:$DP$42,($B41+1),FALSE)))</f>
        <v/>
      </c>
      <c r="E41" s="530" t="str">
        <f>IF($F$1="Select company","",IF(C41 = "","",HLOOKUP(((VLOOKUP($F$1,Lists!$B$4:$C$26,2,FALSE))&amp;"PC"),'SUB list edited'!$A$2:$DP$42,($B41+1),FALSE)))</f>
        <v/>
      </c>
      <c r="F41" s="536" t="str">
        <f>IF($F$1="Select company","",IF(C41 = "","",HLOOKUP(((VLOOKUP($F$1,Lists!$B$4:$C$26,2,FALSE))&amp;"unit"),'SUB list edited'!$A$2:$DP$42,($B41+1),FALSE)))</f>
        <v/>
      </c>
      <c r="G41" s="1384" t="str">
        <f>IF($F$1="Select company","",IF(C41="","",HLOOKUP(((VLOOKUP($F$1,Lists!$B$4:$C$26,2,FALSE))&amp;"DP"),'SUB list edited'!$A$2:$DP$42,($B41+1),FALSE)))</f>
        <v/>
      </c>
      <c r="H41" s="314" t="str">
        <f>IF($F$1="Select company","",IF(C41 = "","",HLOOKUP(((VLOOKUP($F$1,Lists!$B$4:$C$26,2,FALSE))&amp;"201819ActPerf"),'SUB list edited'!$A$2:$DP$42,($B41+1),FALSE)))</f>
        <v/>
      </c>
      <c r="I41" s="550"/>
      <c r="J41" s="551"/>
      <c r="L41" s="528">
        <f t="shared" si="4"/>
        <v>0</v>
      </c>
      <c r="M41" s="528">
        <f t="shared" si="0"/>
        <v>0</v>
      </c>
      <c r="P41" s="524">
        <f t="shared" si="1"/>
        <v>0</v>
      </c>
      <c r="Q41" s="524">
        <f t="shared" si="2"/>
        <v>0</v>
      </c>
      <c r="S41" s="524">
        <f xml:space="preserve"> IF(C41 = "", 0, IF(AND(NOT(INDEX('3A'!I$5:I$60, MATCH('3B'!$C41, '3A'!$C$5:$C$60, 0))=I41), $D41="00"), 1, 0))</f>
        <v>0</v>
      </c>
      <c r="T41" s="524">
        <f xml:space="preserve"> IF(C41 = "", 0, IF(AND(NOT(INDEX('3A'!J$5:J$60, MATCH('3B'!$C41, '3A'!$C$5:$C$60, 0))=J41), $D41="00"), 1, 0))</f>
        <v>0</v>
      </c>
    </row>
    <row r="42" spans="2:20" ht="30.2" customHeight="1">
      <c r="B42" s="529">
        <f t="shared" si="6"/>
        <v>38</v>
      </c>
      <c r="C42" s="530" t="str">
        <f>IF($F$1="Select company","",IF((HLOOKUP((VLOOKUP($F$1,Lists!$B$4:$C$26,2,FALSE)),'SUB list edited'!$A$2:$DP$42,($B42+1),FALSE))=0,"",HLOOKUP((VLOOKUP($F$1,Lists!$B$4:$C$26,2,FALSE)),'SUB list edited'!$A$2:$DP$42,($B42+1),FALSE)))</f>
        <v/>
      </c>
      <c r="D42" s="536" t="str">
        <f>IF($F$1="Select company","",IF(C42 = "","",HLOOKUP(((VLOOKUP($F$1,Lists!$B$4:$C$26,2,FALSE))&amp;"ID"),'SUB list edited'!$A$2:$DP$42,($B42+1),FALSE)))</f>
        <v/>
      </c>
      <c r="E42" s="530" t="str">
        <f>IF($F$1="Select company","",IF(C42 = "","",HLOOKUP(((VLOOKUP($F$1,Lists!$B$4:$C$26,2,FALSE))&amp;"PC"),'SUB list edited'!$A$2:$DP$42,($B42+1),FALSE)))</f>
        <v/>
      </c>
      <c r="F42" s="536" t="str">
        <f>IF($F$1="Select company","",IF(C42 = "","",HLOOKUP(((VLOOKUP($F$1,Lists!$B$4:$C$26,2,FALSE))&amp;"unit"),'SUB list edited'!$A$2:$DP$42,($B42+1),FALSE)))</f>
        <v/>
      </c>
      <c r="G42" s="1384" t="str">
        <f>IF($F$1="Select company","",IF(C42="","",HLOOKUP(((VLOOKUP($F$1,Lists!$B$4:$C$26,2,FALSE))&amp;"DP"),'SUB list edited'!$A$2:$DP$42,($B42+1),FALSE)))</f>
        <v/>
      </c>
      <c r="H42" s="314" t="str">
        <f>IF($F$1="Select company","",IF(C42 = "","",HLOOKUP(((VLOOKUP($F$1,Lists!$B$4:$C$26,2,FALSE))&amp;"201819ActPerf"),'SUB list edited'!$A$2:$DP$42,($B42+1),FALSE)))</f>
        <v/>
      </c>
      <c r="I42" s="550"/>
      <c r="J42" s="551"/>
      <c r="L42" s="528">
        <f t="shared" si="4"/>
        <v>0</v>
      </c>
      <c r="M42" s="528">
        <f t="shared" si="0"/>
        <v>0</v>
      </c>
      <c r="P42" s="524">
        <f t="shared" si="1"/>
        <v>0</v>
      </c>
      <c r="Q42" s="524">
        <f t="shared" si="2"/>
        <v>0</v>
      </c>
      <c r="S42" s="524">
        <f xml:space="preserve"> IF(C42 = "", 0, IF(AND(NOT(INDEX('3A'!I$5:I$60, MATCH('3B'!$C42, '3A'!$C$5:$C$60, 0))=I42), $D42="00"), 1, 0))</f>
        <v>0</v>
      </c>
      <c r="T42" s="524">
        <f xml:space="preserve"> IF(C42 = "", 0, IF(AND(NOT(INDEX('3A'!J$5:J$60, MATCH('3B'!$C42, '3A'!$C$5:$C$60, 0))=J42), $D42="00"), 1, 0))</f>
        <v>0</v>
      </c>
    </row>
    <row r="43" spans="2:20" ht="30.2" customHeight="1">
      <c r="B43" s="529">
        <f t="shared" si="6"/>
        <v>39</v>
      </c>
      <c r="C43" s="530" t="str">
        <f>IF($F$1="Select company","",IF((HLOOKUP((VLOOKUP($F$1,Lists!$B$4:$C$26,2,FALSE)),'SUB list edited'!$A$2:$DP$42,($B43+1),FALSE))=0,"",HLOOKUP((VLOOKUP($F$1,Lists!$B$4:$C$26,2,FALSE)),'SUB list edited'!$A$2:$DP$42,($B43+1),FALSE)))</f>
        <v/>
      </c>
      <c r="D43" s="536" t="str">
        <f>IF($F$1="Select company","",IF(C43 = "","",HLOOKUP(((VLOOKUP($F$1,Lists!$B$4:$C$26,2,FALSE))&amp;"ID"),'SUB list edited'!$A$2:$DP$42,($B43+1),FALSE)))</f>
        <v/>
      </c>
      <c r="E43" s="530" t="str">
        <f>IF($F$1="Select company","",IF(C43 = "","",HLOOKUP(((VLOOKUP($F$1,Lists!$B$4:$C$26,2,FALSE))&amp;"PC"),'SUB list edited'!$A$2:$DP$42,($B43+1),FALSE)))</f>
        <v/>
      </c>
      <c r="F43" s="536" t="str">
        <f>IF($F$1="Select company","",IF(C43 = "","",HLOOKUP(((VLOOKUP($F$1,Lists!$B$4:$C$26,2,FALSE))&amp;"unit"),'SUB list edited'!$A$2:$DP$42,($B43+1),FALSE)))</f>
        <v/>
      </c>
      <c r="G43" s="1384" t="str">
        <f>IF($F$1="Select company","",IF(C43="","",HLOOKUP(((VLOOKUP($F$1,Lists!$B$4:$C$26,2,FALSE))&amp;"DP"),'SUB list edited'!$A$2:$DP$42,($B43+1),FALSE)))</f>
        <v/>
      </c>
      <c r="H43" s="314" t="str">
        <f>IF($F$1="Select company","",IF(C43 = "","",HLOOKUP(((VLOOKUP($F$1,Lists!$B$4:$C$26,2,FALSE))&amp;"201819ActPerf"),'SUB list edited'!$A$2:$DP$42,($B43+1),FALSE)))</f>
        <v/>
      </c>
      <c r="I43" s="550"/>
      <c r="J43" s="551"/>
      <c r="L43" s="528">
        <f t="shared" si="4"/>
        <v>0</v>
      </c>
      <c r="M43" s="528">
        <f t="shared" si="0"/>
        <v>0</v>
      </c>
      <c r="P43" s="524">
        <f t="shared" si="1"/>
        <v>0</v>
      </c>
      <c r="Q43" s="524">
        <f t="shared" si="2"/>
        <v>0</v>
      </c>
      <c r="S43" s="524">
        <f xml:space="preserve"> IF(C43 = "", 0, IF(AND(NOT(INDEX('3A'!I$5:I$60, MATCH('3B'!$C43, '3A'!$C$5:$C$60, 0))=I43), $D43="00"), 1, 0))</f>
        <v>0</v>
      </c>
      <c r="T43" s="524">
        <f xml:space="preserve"> IF(C43 = "", 0, IF(AND(NOT(INDEX('3A'!J$5:J$60, MATCH('3B'!$C43, '3A'!$C$5:$C$60, 0))=J43), $D43="00"), 1, 0))</f>
        <v>0</v>
      </c>
    </row>
    <row r="44" spans="2:20" ht="30.2" customHeight="1" thickBot="1">
      <c r="B44" s="531">
        <f t="shared" si="6"/>
        <v>40</v>
      </c>
      <c r="C44" s="532" t="str">
        <f>IF($F$1="Select company","",IF((HLOOKUP((VLOOKUP($F$1,Lists!$B$4:$C$26,2,FALSE)),'SUB list edited'!$A$2:$DP$42,($B44+1),FALSE))=0,"",HLOOKUP((VLOOKUP($F$1,Lists!$B$4:$C$26,2,FALSE)),'SUB list edited'!$A$2:$DP$42,($B44+1),FALSE)))</f>
        <v/>
      </c>
      <c r="D44" s="537" t="str">
        <f>IF($F$1="Select company","",IF(C44 = "","",HLOOKUP(((VLOOKUP($F$1,Lists!$B$4:$C$26,2,FALSE))&amp;"ID"),'SUB list edited'!$A$2:$DP$42,($B44+1),FALSE)))</f>
        <v/>
      </c>
      <c r="E44" s="532" t="str">
        <f>IF($F$1="Select company","",IF(C44 = "","",HLOOKUP(((VLOOKUP($F$1,Lists!$B$4:$C$26,2,FALSE))&amp;"PC"),'SUB list edited'!$A$2:$DP$42,($B44+1),FALSE)))</f>
        <v/>
      </c>
      <c r="F44" s="537" t="str">
        <f>IF($F$1="Select company","",IF(C44 = "","",HLOOKUP(((VLOOKUP($F$1,Lists!$B$4:$C$26,2,FALSE))&amp;"unit"),'SUB list edited'!$A$2:$DP$42,($B44+1),FALSE)))</f>
        <v/>
      </c>
      <c r="G44" s="1385" t="str">
        <f>IF($F$1="Select company","",IF(C44="","",HLOOKUP(((VLOOKUP($F$1,Lists!$B$4:$C$26,2,FALSE))&amp;"DP"),'SUB list edited'!$A$2:$DP$42,($B44+1),FALSE)))</f>
        <v/>
      </c>
      <c r="H44" s="316" t="str">
        <f>IF($F$1="Select company","",IF(C44 = "","",HLOOKUP(((VLOOKUP($F$1,Lists!$B$4:$C$26,2,FALSE))&amp;"201819ActPerf"),'SUB list edited'!$A$2:$DP$42,($B44+1),FALSE)))</f>
        <v/>
      </c>
      <c r="I44" s="552"/>
      <c r="J44" s="553"/>
      <c r="L44" s="528">
        <f t="shared" si="4"/>
        <v>0</v>
      </c>
      <c r="M44" s="528">
        <f t="shared" si="0"/>
        <v>0</v>
      </c>
      <c r="P44" s="524">
        <f t="shared" si="1"/>
        <v>0</v>
      </c>
      <c r="Q44" s="524">
        <f t="shared" si="2"/>
        <v>0</v>
      </c>
      <c r="S44" s="524">
        <f xml:space="preserve"> IF(C44 = "", 0, IF(AND(NOT(INDEX('3A'!I$5:I$60, MATCH('3B'!$C44, '3A'!$C$5:$C$60, 0))=I44), $D44="00"), 1, 0))</f>
        <v>0</v>
      </c>
      <c r="T44" s="524">
        <f xml:space="preserve"> IF(C44 = "", 0, IF(AND(NOT(INDEX('3A'!J$5:J$60, MATCH('3B'!$C44, '3A'!$C$5:$C$60, 0))=J44), $D44="00"), 1, 0))</f>
        <v>0</v>
      </c>
    </row>
    <row r="45" spans="2:20"/>
    <row r="46" spans="2:20">
      <c r="B46" s="2988" t="s">
        <v>243</v>
      </c>
      <c r="C46" s="2988"/>
    </row>
    <row r="47" spans="2:20">
      <c r="B47" s="141"/>
      <c r="C47" s="141"/>
    </row>
    <row r="48" spans="2:20">
      <c r="B48" s="25"/>
      <c r="C48" s="143" t="s">
        <v>190</v>
      </c>
    </row>
    <row r="49" spans="1:16">
      <c r="B49" s="141"/>
      <c r="C49" s="142"/>
    </row>
    <row r="50" spans="1:16">
      <c r="B50" s="144"/>
      <c r="C50" s="143" t="s">
        <v>191</v>
      </c>
    </row>
    <row r="51" spans="1:16">
      <c r="B51" s="145"/>
      <c r="C51" s="143"/>
    </row>
    <row r="52" spans="1:16" ht="15" thickBot="1"/>
    <row r="53" spans="1:16" ht="16.5" thickBot="1">
      <c r="B53" s="3053" t="s">
        <v>192</v>
      </c>
      <c r="C53" s="147"/>
      <c r="D53" s="148"/>
      <c r="E53" s="148"/>
      <c r="F53" s="148"/>
      <c r="G53" s="148"/>
      <c r="H53" s="148"/>
      <c r="I53" s="148"/>
      <c r="J53" s="251"/>
    </row>
    <row r="54" spans="1:16"/>
    <row r="55" spans="1:16" ht="16.5" hidden="1" thickBot="1">
      <c r="A55" s="1571"/>
      <c r="B55" s="146" t="str">
        <f ca="1" xml:space="preserve"> RIGHT(CELL("filename", $A$1), LEN(CELL("filename", $A$1)) - SEARCH("]", CELL("filename", $A$1)))&amp;" - Column definitions"</f>
        <v>3B - Column definitions</v>
      </c>
      <c r="C55" s="147"/>
      <c r="D55" s="148"/>
      <c r="E55" s="148"/>
      <c r="F55" s="148"/>
      <c r="G55" s="148"/>
      <c r="H55" s="148"/>
      <c r="I55" s="148"/>
      <c r="J55" s="251"/>
      <c r="K55" s="2004"/>
      <c r="L55" s="2004"/>
      <c r="M55" s="2004"/>
      <c r="N55" s="2004"/>
    </row>
    <row r="56" spans="1:16" ht="15" hidden="1" thickBot="1">
      <c r="A56" s="1571"/>
      <c r="B56" s="74"/>
      <c r="C56" s="155"/>
      <c r="D56" s="74"/>
      <c r="E56" s="74"/>
      <c r="F56" s="74"/>
      <c r="G56" s="74"/>
      <c r="H56" s="74"/>
      <c r="I56" s="110"/>
      <c r="J56" s="110"/>
      <c r="K56" s="2004"/>
      <c r="L56" s="2004"/>
      <c r="M56" s="2004"/>
      <c r="N56" s="2004"/>
    </row>
    <row r="57" spans="1:16" ht="15" hidden="1" thickBot="1">
      <c r="A57" s="1571"/>
      <c r="B57" s="156" t="s">
        <v>2344</v>
      </c>
      <c r="C57" s="3025" t="s">
        <v>194</v>
      </c>
      <c r="D57" s="322"/>
      <c r="E57" s="322"/>
      <c r="F57" s="322"/>
      <c r="G57" s="322"/>
      <c r="H57" s="322"/>
      <c r="I57" s="322"/>
      <c r="J57" s="555"/>
      <c r="K57" s="2004"/>
      <c r="L57" s="2004"/>
      <c r="M57" s="2004"/>
      <c r="N57" s="2004"/>
      <c r="P57" s="85" t="s">
        <v>195</v>
      </c>
    </row>
    <row r="58" spans="1:16" ht="33.75" hidden="1" customHeight="1">
      <c r="A58" s="1571"/>
      <c r="B58" s="718" t="s">
        <v>2328</v>
      </c>
      <c r="C58" s="3184" t="s">
        <v>2371</v>
      </c>
      <c r="D58" s="3185"/>
      <c r="E58" s="3185"/>
      <c r="F58" s="3185"/>
      <c r="G58" s="3185"/>
      <c r="H58" s="3185"/>
      <c r="I58" s="3185"/>
      <c r="J58" s="3186"/>
      <c r="K58" s="2004"/>
      <c r="L58" s="2004"/>
      <c r="M58" s="2004"/>
      <c r="N58" s="2004"/>
      <c r="O58" s="556"/>
      <c r="P58" s="624" t="s">
        <v>780</v>
      </c>
    </row>
    <row r="59" spans="1:16" ht="33.75" hidden="1" customHeight="1" thickBot="1">
      <c r="A59" s="1571"/>
      <c r="B59" s="719" t="s">
        <v>2329</v>
      </c>
      <c r="C59" s="3181" t="s">
        <v>2372</v>
      </c>
      <c r="D59" s="3182"/>
      <c r="E59" s="3182"/>
      <c r="F59" s="3182"/>
      <c r="G59" s="3182"/>
      <c r="H59" s="3182"/>
      <c r="I59" s="3182"/>
      <c r="J59" s="3183"/>
      <c r="K59" s="2004"/>
      <c r="L59" s="2004"/>
      <c r="M59" s="2004"/>
      <c r="N59" s="2004"/>
      <c r="O59" s="556"/>
      <c r="P59" s="624" t="s">
        <v>780</v>
      </c>
    </row>
    <row r="60" spans="1:16" hidden="1">
      <c r="A60" s="1571"/>
    </row>
    <row r="61" spans="1:16" hidden="1">
      <c r="A61" s="1571"/>
    </row>
    <row r="62" spans="1:16" hidden="1">
      <c r="A62" s="1571"/>
    </row>
    <row r="63" spans="1:16" hidden="1">
      <c r="A63" s="1571"/>
    </row>
  </sheetData>
  <sheetProtection algorithmName="SHA-512" hashValue="c2R++QWldFI7d4EvzJlH29q5q6KPVtQp34zk9nw4gcLfqUbU7CvwmWLYcPMpvgbTOgv0fg37tP5LVekzvyS8ww==" saltValue="ofqhypKZP2esOYL47ccZVw==" spinCount="100000" sheet="1" objects="1" scenarios="1"/>
  <mergeCells count="2">
    <mergeCell ref="C59:J59"/>
    <mergeCell ref="C58:J58"/>
  </mergeCells>
  <conditionalFormatting sqref="M5:M44">
    <cfRule type="cellIs" dxfId="1194" priority="12" operator="equal">
      <formula>0</formula>
    </cfRule>
  </conditionalFormatting>
  <conditionalFormatting sqref="B5:H44">
    <cfRule type="expression" dxfId="1193" priority="10">
      <formula>$D5="00"</formula>
    </cfRule>
  </conditionalFormatting>
  <conditionalFormatting sqref="L5:L44">
    <cfRule type="cellIs" dxfId="1192" priority="8" operator="equal">
      <formula>0</formula>
    </cfRule>
  </conditionalFormatting>
  <conditionalFormatting sqref="H5:I44">
    <cfRule type="expression" dxfId="1191" priority="1">
      <formula xml:space="preserve"> INDIRECT("G" &amp; ROW()) = 0</formula>
    </cfRule>
    <cfRule type="expression" dxfId="1190" priority="2">
      <formula xml:space="preserve"> INDIRECT("G" &amp; ROW()) = 1</formula>
    </cfRule>
    <cfRule type="expression" dxfId="1189" priority="3">
      <formula xml:space="preserve"> INDIRECT("G" &amp; ROW()) = 2</formula>
    </cfRule>
    <cfRule type="expression" dxfId="1188" priority="4">
      <formula xml:space="preserve"> INDIRECT("G" &amp; ROW()) = 3</formula>
    </cfRule>
    <cfRule type="expression" dxfId="1187" priority="5">
      <formula xml:space="preserve"> INDIRECT("G" &amp; ROW()) = 4</formula>
    </cfRule>
    <cfRule type="expression" dxfId="1186" priority="6">
      <formula xml:space="preserve"> INDIRECT("G" &amp; ROW()) = 5</formula>
    </cfRule>
    <cfRule type="expression" dxfId="1185"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Lists!$F$6:$F$8</xm:f>
          </x14:formula1>
          <xm:sqref>J5:J44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K51"/>
  <sheetViews>
    <sheetView topLeftCell="A28" zoomScaleNormal="100" workbookViewId="0">
      <selection activeCell="J55" sqref="J55"/>
    </sheetView>
  </sheetViews>
  <sheetFormatPr defaultColWidth="0" defaultRowHeight="14.25" zeroHeight="1"/>
  <cols>
    <col min="1" max="1" width="1.125" customWidth="1"/>
    <col min="2" max="2" width="6.125" customWidth="1"/>
    <col min="3" max="3" width="27.125" customWidth="1"/>
    <col min="4" max="4" width="9" customWidth="1"/>
    <col min="5" max="8" width="17" customWidth="1"/>
    <col min="9" max="9" width="23.5" customWidth="1"/>
    <col min="10" max="10" width="2.375" customWidth="1"/>
    <col min="11" max="11" width="33.125" customWidth="1"/>
    <col min="12" max="12" width="25.5" customWidth="1"/>
    <col min="13" max="13" width="1.5" customWidth="1"/>
    <col min="14" max="14" width="1.5" style="565" hidden="1" customWidth="1"/>
    <col min="15" max="19" width="5.5" hidden="1" customWidth="1"/>
    <col min="20" max="20" width="1.5" style="565" hidden="1" customWidth="1"/>
    <col min="21" max="25" width="7.125" hidden="1" customWidth="1"/>
    <col min="26" max="26" width="1.5" style="565" hidden="1" customWidth="1"/>
    <col min="27" max="27" width="0" hidden="1" customWidth="1"/>
    <col min="28" max="28" width="9" customWidth="1"/>
    <col min="29" max="29" width="6.125" customWidth="1"/>
    <col min="30" max="30" width="27.125" customWidth="1"/>
    <col min="31" max="31" width="11.125" customWidth="1"/>
    <col min="32" max="35" width="14.5" customWidth="1"/>
    <col min="36" max="36" width="23.5" customWidth="1"/>
    <col min="37" max="37" width="2.5" customWidth="1"/>
    <col min="38" max="16384" width="9" hidden="1"/>
  </cols>
  <sheetData>
    <row r="1" spans="1:36" ht="20.25">
      <c r="A1" s="162"/>
      <c r="B1" s="66" t="s">
        <v>2373</v>
      </c>
      <c r="C1" s="66"/>
      <c r="D1" s="66"/>
      <c r="E1" s="66"/>
      <c r="F1" s="66"/>
      <c r="G1" s="66"/>
      <c r="H1" s="66"/>
      <c r="I1" s="66" t="str">
        <f>Validation!B3</f>
        <v>Yorkshire Water</v>
      </c>
      <c r="J1" s="66"/>
      <c r="K1" s="69"/>
      <c r="L1" s="69" t="s">
        <v>34</v>
      </c>
      <c r="M1" s="2004"/>
      <c r="O1" s="2004"/>
      <c r="P1" s="2004"/>
      <c r="Q1" s="2004"/>
      <c r="R1" s="2004"/>
      <c r="S1" s="2004"/>
      <c r="U1" s="2004"/>
      <c r="V1" s="2004"/>
      <c r="W1" s="2004"/>
      <c r="X1" s="2004"/>
      <c r="Y1" s="2004"/>
      <c r="AA1" s="2004"/>
      <c r="AB1" s="2004"/>
      <c r="AC1" s="66" t="s">
        <v>2374</v>
      </c>
      <c r="AD1" s="66"/>
      <c r="AE1" s="66"/>
      <c r="AF1" s="66"/>
      <c r="AG1" s="66"/>
      <c r="AH1" s="66"/>
      <c r="AI1" s="66"/>
      <c r="AJ1" s="66"/>
    </row>
    <row r="2" spans="1:36" ht="19.5" thickBot="1">
      <c r="A2" s="2004"/>
      <c r="B2" s="73" t="s">
        <v>20</v>
      </c>
      <c r="C2" s="304"/>
      <c r="D2" s="304"/>
      <c r="E2" s="162"/>
      <c r="F2" s="2004"/>
      <c r="G2" s="2004"/>
      <c r="H2" s="2004"/>
      <c r="I2" s="2004"/>
      <c r="J2" s="2004"/>
      <c r="K2" s="2004"/>
      <c r="L2" s="2004"/>
      <c r="M2" s="2004"/>
      <c r="O2" s="582" t="s">
        <v>47</v>
      </c>
      <c r="P2" s="2004"/>
      <c r="Q2" s="582"/>
      <c r="R2" s="582"/>
      <c r="S2" s="582"/>
      <c r="U2" s="582" t="s">
        <v>2375</v>
      </c>
      <c r="V2" s="2004"/>
      <c r="W2" s="678"/>
      <c r="X2" s="678"/>
      <c r="Y2" s="678"/>
      <c r="AA2" s="2004"/>
      <c r="AB2" s="2004"/>
      <c r="AC2" s="73" t="str">
        <f>+B2</f>
        <v>For the 12 months ended 31 March 2020</v>
      </c>
      <c r="AD2" s="304"/>
      <c r="AE2" s="304"/>
      <c r="AF2" s="162"/>
      <c r="AG2" s="479"/>
      <c r="AH2" s="479"/>
      <c r="AI2" s="479"/>
      <c r="AJ2" s="479"/>
    </row>
    <row r="3" spans="1:36" ht="71.45" customHeight="1" thickBot="1">
      <c r="A3" s="2004"/>
      <c r="B3" s="296" t="s">
        <v>2307</v>
      </c>
      <c r="C3" s="3003" t="s">
        <v>2376</v>
      </c>
      <c r="D3" s="307" t="s">
        <v>2312</v>
      </c>
      <c r="E3" s="307" t="s">
        <v>2377</v>
      </c>
      <c r="F3" s="307" t="s">
        <v>2378</v>
      </c>
      <c r="G3" s="307" t="s">
        <v>2379</v>
      </c>
      <c r="H3" s="307" t="s">
        <v>2380</v>
      </c>
      <c r="I3" s="297" t="s">
        <v>2381</v>
      </c>
      <c r="J3" s="2004"/>
      <c r="K3" s="296" t="s">
        <v>2322</v>
      </c>
      <c r="L3" s="297" t="s">
        <v>43</v>
      </c>
      <c r="M3" s="2004"/>
      <c r="O3" s="584" t="s">
        <v>2382</v>
      </c>
      <c r="P3" s="2004"/>
      <c r="Q3" s="583"/>
      <c r="R3" s="583"/>
      <c r="S3" s="583"/>
      <c r="U3" s="860" t="s">
        <v>2383</v>
      </c>
      <c r="V3" s="2004"/>
      <c r="W3" s="2004"/>
      <c r="X3" s="2004"/>
      <c r="Y3" s="2004"/>
      <c r="AA3" s="2004"/>
      <c r="AB3" s="2004"/>
      <c r="AC3" s="296" t="s">
        <v>2307</v>
      </c>
      <c r="AD3" s="3003" t="s">
        <v>2376</v>
      </c>
      <c r="AE3" s="307" t="s">
        <v>2312</v>
      </c>
      <c r="AF3" s="307" t="s">
        <v>2377</v>
      </c>
      <c r="AG3" s="307" t="s">
        <v>2378</v>
      </c>
      <c r="AH3" s="307" t="s">
        <v>2384</v>
      </c>
      <c r="AI3" s="307" t="s">
        <v>2385</v>
      </c>
      <c r="AJ3" s="297" t="s">
        <v>2381</v>
      </c>
    </row>
    <row r="4" spans="1:36" ht="15" thickBot="1">
      <c r="A4" s="2004"/>
      <c r="B4" s="74"/>
      <c r="C4" s="74"/>
      <c r="D4" s="74"/>
      <c r="E4" s="74"/>
      <c r="F4" s="2004"/>
      <c r="G4" s="2004"/>
      <c r="H4" s="2004"/>
      <c r="I4" s="2004"/>
      <c r="J4" s="2004"/>
      <c r="K4" s="2004"/>
      <c r="L4" s="2004"/>
      <c r="M4" s="2004"/>
      <c r="O4" s="585" t="s">
        <v>392</v>
      </c>
      <c r="P4" s="585" t="s">
        <v>466</v>
      </c>
      <c r="Q4" s="585" t="s">
        <v>2325</v>
      </c>
      <c r="R4" s="585" t="s">
        <v>2326</v>
      </c>
      <c r="S4" s="585" t="s">
        <v>2327</v>
      </c>
      <c r="U4" s="585" t="s">
        <v>392</v>
      </c>
      <c r="V4" s="585" t="s">
        <v>466</v>
      </c>
      <c r="W4" s="585" t="s">
        <v>2325</v>
      </c>
      <c r="X4" s="585" t="s">
        <v>2326</v>
      </c>
      <c r="Y4" s="585" t="s">
        <v>2327</v>
      </c>
      <c r="AA4" s="2004"/>
      <c r="AB4" s="2004"/>
      <c r="AC4" s="74"/>
      <c r="AD4" s="74"/>
      <c r="AE4" s="74"/>
      <c r="AF4" s="74"/>
      <c r="AG4" s="479"/>
      <c r="AH4" s="479"/>
      <c r="AI4" s="479"/>
      <c r="AJ4" s="479"/>
    </row>
    <row r="5" spans="1:36">
      <c r="A5" s="2004"/>
      <c r="B5" s="288">
        <v>1</v>
      </c>
      <c r="C5" s="1991" t="s">
        <v>2386</v>
      </c>
      <c r="D5" s="1991">
        <v>0</v>
      </c>
      <c r="E5" s="1991">
        <v>0</v>
      </c>
      <c r="F5" s="1991">
        <v>0</v>
      </c>
      <c r="G5" s="1991">
        <v>0</v>
      </c>
      <c r="H5" s="1991">
        <v>0</v>
      </c>
      <c r="I5" s="1991" t="s">
        <v>2386</v>
      </c>
      <c r="J5" s="2004"/>
      <c r="K5" s="24">
        <f>IF(SUM(T5:Z5) &gt; 0, $U$3, 0)</f>
        <v>0</v>
      </c>
      <c r="L5" s="24">
        <f>IF(SUM(N5:T5) &gt; 0, $O$3, 0)</f>
        <v>0</v>
      </c>
      <c r="M5" s="2004"/>
      <c r="O5" s="586">
        <f>IF(ISBLANK($C5), 0, IF(ISBLANK(D5), 1, 0))</f>
        <v>0</v>
      </c>
      <c r="P5" s="586">
        <f>IF(ISBLANK($C5), 0, IF(ISBLANK(E5), 1, 0))</f>
        <v>0</v>
      </c>
      <c r="Q5" s="586">
        <f>IF(ISBLANK($C5), 0, IF(ISBLANK(F5), 1, 0))</f>
        <v>0</v>
      </c>
      <c r="R5" s="586">
        <f>IF(ISBLANK($C5), 0, IF(ISBLANK(G5), 1, 0))</f>
        <v>0</v>
      </c>
      <c r="S5" s="586">
        <f>IF(ISBLANK($C5), 0, IF(ISBLANK(H5), 1, 0))</f>
        <v>0</v>
      </c>
      <c r="U5" s="586">
        <f>IF(ISBLANK($C5), 0, IF(ISNUMBER(D5), 0, 1))</f>
        <v>0</v>
      </c>
      <c r="V5" s="586">
        <f>IF(ISBLANK($C5), 0, IF(ISNUMBER(E5), 0, 1))</f>
        <v>0</v>
      </c>
      <c r="W5" s="586">
        <f>IF(ISBLANK($C5), 0, IF(ISNUMBER(F5), 0, 1))</f>
        <v>0</v>
      </c>
      <c r="X5" s="586">
        <f>IF(ISBLANK($C5), 0, IF(ISNUMBER(G5), 0, 1))</f>
        <v>0</v>
      </c>
      <c r="Y5" s="586">
        <f>IF(ISBLANK($C5), 0, IF(ISNUMBER(H5), 0, 1))</f>
        <v>0</v>
      </c>
      <c r="AA5" s="2004"/>
      <c r="AB5" s="2004"/>
      <c r="AC5" s="288">
        <v>1</v>
      </c>
      <c r="AD5" s="2615" t="s">
        <v>2387</v>
      </c>
      <c r="AE5" s="2288" t="s">
        <v>2388</v>
      </c>
      <c r="AF5" s="2616" t="s">
        <v>2389</v>
      </c>
      <c r="AG5" s="2616" t="s">
        <v>2390</v>
      </c>
      <c r="AH5" s="2616" t="s">
        <v>2391</v>
      </c>
      <c r="AI5" s="2616" t="s">
        <v>2392</v>
      </c>
      <c r="AJ5" s="2617" t="s">
        <v>2393</v>
      </c>
    </row>
    <row r="6" spans="1:36">
      <c r="A6" s="2004"/>
      <c r="B6" s="289">
        <v>2</v>
      </c>
      <c r="C6" s="1992"/>
      <c r="D6" s="1920"/>
      <c r="E6" s="1600"/>
      <c r="F6" s="1646"/>
      <c r="G6" s="1600"/>
      <c r="H6" s="1646"/>
      <c r="I6" s="1760"/>
      <c r="J6" s="2004"/>
      <c r="K6" s="24">
        <f t="shared" ref="K6:K29" si="0">IF(SUM(T6:Z6) &gt; 0, $U$3, 0)</f>
        <v>0</v>
      </c>
      <c r="L6" s="24">
        <f t="shared" ref="L6:L29" si="1">IF(SUM(N6:T6) &gt; 0, $O$3, 0)</f>
        <v>0</v>
      </c>
      <c r="M6" s="2004"/>
      <c r="O6" s="586">
        <f t="shared" ref="O6:P29" si="2">IF(ISBLANK($C6), 0, IF(ISBLANK(D6), 1, 0))</f>
        <v>0</v>
      </c>
      <c r="P6" s="586">
        <f t="shared" si="2"/>
        <v>0</v>
      </c>
      <c r="Q6" s="586">
        <f t="shared" ref="Q6:Q29" si="3">IF(ISBLANK($C6), 0, IF(ISBLANK(F6), 1, 0))</f>
        <v>0</v>
      </c>
      <c r="R6" s="586">
        <f t="shared" ref="R6:R29" si="4">IF(ISBLANK($C6), 0, IF(ISBLANK(G6), 1, 0))</f>
        <v>0</v>
      </c>
      <c r="S6" s="586">
        <f t="shared" ref="S6:S29" si="5">IF(ISBLANK($C6), 0, IF(ISBLANK(H6), 1, 0))</f>
        <v>0</v>
      </c>
      <c r="U6" s="586">
        <f t="shared" ref="U6:V29" si="6">IF(ISBLANK($C6), 0, IF(ISNUMBER(D6), 0, 1))</f>
        <v>0</v>
      </c>
      <c r="V6" s="586">
        <f t="shared" si="6"/>
        <v>0</v>
      </c>
      <c r="W6" s="586">
        <f t="shared" ref="W6:W29" si="7">IF(ISBLANK($C6), 0, IF(ISNUMBER(F6), 0, 1))</f>
        <v>0</v>
      </c>
      <c r="X6" s="586">
        <f t="shared" ref="X6:X29" si="8">IF(ISBLANK($C6), 0, IF(ISNUMBER(G6), 0, 1))</f>
        <v>0</v>
      </c>
      <c r="Y6" s="586">
        <f t="shared" ref="Y6:Y29" si="9">IF(ISBLANK($C6), 0, IF(ISNUMBER(H6), 0, 1))</f>
        <v>0</v>
      </c>
      <c r="AA6" s="2004"/>
      <c r="AB6" s="2004"/>
      <c r="AC6" s="289">
        <v>2</v>
      </c>
      <c r="AD6" s="1853"/>
      <c r="AE6" s="792"/>
      <c r="AF6" s="2618"/>
      <c r="AG6" s="2618"/>
      <c r="AH6" s="2618"/>
      <c r="AI6" s="2618"/>
      <c r="AJ6" s="2619"/>
    </row>
    <row r="7" spans="1:36">
      <c r="A7" s="2004"/>
      <c r="B7" s="289">
        <v>3</v>
      </c>
      <c r="C7" s="1992"/>
      <c r="D7" s="1920"/>
      <c r="E7" s="1600"/>
      <c r="F7" s="1646"/>
      <c r="G7" s="1600"/>
      <c r="H7" s="1646"/>
      <c r="I7" s="1760"/>
      <c r="J7" s="2004"/>
      <c r="K7" s="24">
        <f t="shared" si="0"/>
        <v>0</v>
      </c>
      <c r="L7" s="24">
        <f t="shared" si="1"/>
        <v>0</v>
      </c>
      <c r="M7" s="2004"/>
      <c r="O7" s="586">
        <f t="shared" si="2"/>
        <v>0</v>
      </c>
      <c r="P7" s="586">
        <f t="shared" si="2"/>
        <v>0</v>
      </c>
      <c r="Q7" s="586">
        <f t="shared" si="3"/>
        <v>0</v>
      </c>
      <c r="R7" s="586">
        <f t="shared" si="4"/>
        <v>0</v>
      </c>
      <c r="S7" s="586">
        <f t="shared" si="5"/>
        <v>0</v>
      </c>
      <c r="U7" s="586">
        <f t="shared" si="6"/>
        <v>0</v>
      </c>
      <c r="V7" s="586">
        <f t="shared" si="6"/>
        <v>0</v>
      </c>
      <c r="W7" s="586">
        <f t="shared" si="7"/>
        <v>0</v>
      </c>
      <c r="X7" s="586">
        <f t="shared" si="8"/>
        <v>0</v>
      </c>
      <c r="Y7" s="586">
        <f t="shared" si="9"/>
        <v>0</v>
      </c>
      <c r="AA7" s="2004"/>
      <c r="AB7" s="2004"/>
      <c r="AC7" s="289">
        <v>3</v>
      </c>
      <c r="AD7" s="1853"/>
      <c r="AE7" s="792"/>
      <c r="AF7" s="2618"/>
      <c r="AG7" s="2618"/>
      <c r="AH7" s="2618"/>
      <c r="AI7" s="2618"/>
      <c r="AJ7" s="2619"/>
    </row>
    <row r="8" spans="1:36">
      <c r="A8" s="2004"/>
      <c r="B8" s="289">
        <v>4</v>
      </c>
      <c r="C8" s="1992"/>
      <c r="D8" s="1920"/>
      <c r="E8" s="1600"/>
      <c r="F8" s="1646"/>
      <c r="G8" s="1600"/>
      <c r="H8" s="1646"/>
      <c r="I8" s="1760"/>
      <c r="J8" s="2004"/>
      <c r="K8" s="24">
        <f t="shared" si="0"/>
        <v>0</v>
      </c>
      <c r="L8" s="24">
        <f t="shared" si="1"/>
        <v>0</v>
      </c>
      <c r="M8" s="2004"/>
      <c r="O8" s="586">
        <f t="shared" si="2"/>
        <v>0</v>
      </c>
      <c r="P8" s="586">
        <f t="shared" si="2"/>
        <v>0</v>
      </c>
      <c r="Q8" s="586">
        <f t="shared" si="3"/>
        <v>0</v>
      </c>
      <c r="R8" s="586">
        <f t="shared" si="4"/>
        <v>0</v>
      </c>
      <c r="S8" s="586">
        <f t="shared" si="5"/>
        <v>0</v>
      </c>
      <c r="U8" s="586">
        <f t="shared" si="6"/>
        <v>0</v>
      </c>
      <c r="V8" s="586">
        <f t="shared" si="6"/>
        <v>0</v>
      </c>
      <c r="W8" s="586">
        <f t="shared" si="7"/>
        <v>0</v>
      </c>
      <c r="X8" s="586">
        <f t="shared" si="8"/>
        <v>0</v>
      </c>
      <c r="Y8" s="586">
        <f t="shared" si="9"/>
        <v>0</v>
      </c>
      <c r="AA8" s="2004"/>
      <c r="AB8" s="2004"/>
      <c r="AC8" s="289">
        <v>4</v>
      </c>
      <c r="AD8" s="1853"/>
      <c r="AE8" s="792"/>
      <c r="AF8" s="2618"/>
      <c r="AG8" s="2618"/>
      <c r="AH8" s="2618"/>
      <c r="AI8" s="2618"/>
      <c r="AJ8" s="2619"/>
    </row>
    <row r="9" spans="1:36">
      <c r="A9" s="2004"/>
      <c r="B9" s="289">
        <v>5</v>
      </c>
      <c r="C9" s="1992"/>
      <c r="D9" s="1920"/>
      <c r="E9" s="1600"/>
      <c r="F9" s="1646"/>
      <c r="G9" s="1600"/>
      <c r="H9" s="1646"/>
      <c r="I9" s="1760"/>
      <c r="J9" s="2004"/>
      <c r="K9" s="24">
        <f t="shared" si="0"/>
        <v>0</v>
      </c>
      <c r="L9" s="24">
        <f t="shared" si="1"/>
        <v>0</v>
      </c>
      <c r="M9" s="2004"/>
      <c r="O9" s="586">
        <f t="shared" si="2"/>
        <v>0</v>
      </c>
      <c r="P9" s="586">
        <f t="shared" si="2"/>
        <v>0</v>
      </c>
      <c r="Q9" s="586">
        <f t="shared" si="3"/>
        <v>0</v>
      </c>
      <c r="R9" s="586">
        <f t="shared" si="4"/>
        <v>0</v>
      </c>
      <c r="S9" s="586">
        <f t="shared" si="5"/>
        <v>0</v>
      </c>
      <c r="U9" s="586">
        <f t="shared" si="6"/>
        <v>0</v>
      </c>
      <c r="V9" s="586">
        <f t="shared" si="6"/>
        <v>0</v>
      </c>
      <c r="W9" s="586">
        <f t="shared" si="7"/>
        <v>0</v>
      </c>
      <c r="X9" s="586">
        <f t="shared" si="8"/>
        <v>0</v>
      </c>
      <c r="Y9" s="586">
        <f t="shared" si="9"/>
        <v>0</v>
      </c>
      <c r="AA9" s="2004"/>
      <c r="AB9" s="2004"/>
      <c r="AC9" s="289">
        <v>5</v>
      </c>
      <c r="AD9" s="1853"/>
      <c r="AE9" s="792"/>
      <c r="AF9" s="2618"/>
      <c r="AG9" s="2618"/>
      <c r="AH9" s="2618"/>
      <c r="AI9" s="2618"/>
      <c r="AJ9" s="2619"/>
    </row>
    <row r="10" spans="1:36">
      <c r="A10" s="2004"/>
      <c r="B10" s="289">
        <v>6</v>
      </c>
      <c r="C10" s="1992"/>
      <c r="D10" s="1920"/>
      <c r="E10" s="1600"/>
      <c r="F10" s="1646"/>
      <c r="G10" s="1600"/>
      <c r="H10" s="1646"/>
      <c r="I10" s="1760"/>
      <c r="J10" s="2004"/>
      <c r="K10" s="24">
        <f t="shared" si="0"/>
        <v>0</v>
      </c>
      <c r="L10" s="24">
        <f t="shared" si="1"/>
        <v>0</v>
      </c>
      <c r="M10" s="2004"/>
      <c r="O10" s="586">
        <f t="shared" si="2"/>
        <v>0</v>
      </c>
      <c r="P10" s="586">
        <f t="shared" si="2"/>
        <v>0</v>
      </c>
      <c r="Q10" s="586">
        <f t="shared" si="3"/>
        <v>0</v>
      </c>
      <c r="R10" s="586">
        <f t="shared" si="4"/>
        <v>0</v>
      </c>
      <c r="S10" s="586">
        <f t="shared" si="5"/>
        <v>0</v>
      </c>
      <c r="U10" s="586">
        <f t="shared" si="6"/>
        <v>0</v>
      </c>
      <c r="V10" s="586">
        <f t="shared" si="6"/>
        <v>0</v>
      </c>
      <c r="W10" s="586">
        <f t="shared" si="7"/>
        <v>0</v>
      </c>
      <c r="X10" s="586">
        <f t="shared" si="8"/>
        <v>0</v>
      </c>
      <c r="Y10" s="586">
        <f t="shared" si="9"/>
        <v>0</v>
      </c>
      <c r="AA10" s="2004"/>
      <c r="AB10" s="2004"/>
      <c r="AC10" s="289">
        <v>6</v>
      </c>
      <c r="AD10" s="1853"/>
      <c r="AE10" s="792"/>
      <c r="AF10" s="2618"/>
      <c r="AG10" s="2618"/>
      <c r="AH10" s="2618"/>
      <c r="AI10" s="2618"/>
      <c r="AJ10" s="2619"/>
    </row>
    <row r="11" spans="1:36">
      <c r="A11" s="2004"/>
      <c r="B11" s="289">
        <v>7</v>
      </c>
      <c r="C11" s="1992"/>
      <c r="D11" s="1920"/>
      <c r="E11" s="1600"/>
      <c r="F11" s="1646"/>
      <c r="G11" s="1600"/>
      <c r="H11" s="1646"/>
      <c r="I11" s="1760"/>
      <c r="J11" s="2004"/>
      <c r="K11" s="24">
        <f t="shared" si="0"/>
        <v>0</v>
      </c>
      <c r="L11" s="24">
        <f t="shared" si="1"/>
        <v>0</v>
      </c>
      <c r="M11" s="2004"/>
      <c r="O11" s="586">
        <f t="shared" si="2"/>
        <v>0</v>
      </c>
      <c r="P11" s="586">
        <f t="shared" si="2"/>
        <v>0</v>
      </c>
      <c r="Q11" s="586">
        <f t="shared" si="3"/>
        <v>0</v>
      </c>
      <c r="R11" s="586">
        <f t="shared" si="4"/>
        <v>0</v>
      </c>
      <c r="S11" s="586">
        <f t="shared" si="5"/>
        <v>0</v>
      </c>
      <c r="U11" s="586">
        <f t="shared" si="6"/>
        <v>0</v>
      </c>
      <c r="V11" s="586">
        <f t="shared" si="6"/>
        <v>0</v>
      </c>
      <c r="W11" s="586">
        <f t="shared" si="7"/>
        <v>0</v>
      </c>
      <c r="X11" s="586">
        <f t="shared" si="8"/>
        <v>0</v>
      </c>
      <c r="Y11" s="586">
        <f t="shared" si="9"/>
        <v>0</v>
      </c>
      <c r="AA11" s="2004"/>
      <c r="AB11" s="2004"/>
      <c r="AC11" s="289">
        <v>7</v>
      </c>
      <c r="AD11" s="1853"/>
      <c r="AE11" s="792"/>
      <c r="AF11" s="2618"/>
      <c r="AG11" s="2618"/>
      <c r="AH11" s="2618"/>
      <c r="AI11" s="2618"/>
      <c r="AJ11" s="2619"/>
    </row>
    <row r="12" spans="1:36">
      <c r="A12" s="2004"/>
      <c r="B12" s="289">
        <v>8</v>
      </c>
      <c r="C12" s="1992"/>
      <c r="D12" s="1920"/>
      <c r="E12" s="1600"/>
      <c r="F12" s="1646"/>
      <c r="G12" s="1600"/>
      <c r="H12" s="1646"/>
      <c r="I12" s="1760"/>
      <c r="J12" s="2004"/>
      <c r="K12" s="24">
        <f t="shared" si="0"/>
        <v>0</v>
      </c>
      <c r="L12" s="24">
        <f t="shared" si="1"/>
        <v>0</v>
      </c>
      <c r="M12" s="2004"/>
      <c r="O12" s="586">
        <f t="shared" si="2"/>
        <v>0</v>
      </c>
      <c r="P12" s="586">
        <f t="shared" si="2"/>
        <v>0</v>
      </c>
      <c r="Q12" s="586">
        <f t="shared" si="3"/>
        <v>0</v>
      </c>
      <c r="R12" s="586">
        <f t="shared" si="4"/>
        <v>0</v>
      </c>
      <c r="S12" s="586">
        <f t="shared" si="5"/>
        <v>0</v>
      </c>
      <c r="U12" s="586">
        <f t="shared" si="6"/>
        <v>0</v>
      </c>
      <c r="V12" s="586">
        <f t="shared" si="6"/>
        <v>0</v>
      </c>
      <c r="W12" s="586">
        <f t="shared" si="7"/>
        <v>0</v>
      </c>
      <c r="X12" s="586">
        <f t="shared" si="8"/>
        <v>0</v>
      </c>
      <c r="Y12" s="586">
        <f t="shared" si="9"/>
        <v>0</v>
      </c>
      <c r="AA12" s="2004"/>
      <c r="AB12" s="2004"/>
      <c r="AC12" s="289">
        <v>8</v>
      </c>
      <c r="AD12" s="1853"/>
      <c r="AE12" s="792"/>
      <c r="AF12" s="2618"/>
      <c r="AG12" s="2618"/>
      <c r="AH12" s="2618"/>
      <c r="AI12" s="2618"/>
      <c r="AJ12" s="2619"/>
    </row>
    <row r="13" spans="1:36">
      <c r="A13" s="2004"/>
      <c r="B13" s="289">
        <v>9</v>
      </c>
      <c r="C13" s="1992"/>
      <c r="D13" s="1920"/>
      <c r="E13" s="1600"/>
      <c r="F13" s="1646"/>
      <c r="G13" s="1600"/>
      <c r="H13" s="1646"/>
      <c r="I13" s="1760"/>
      <c r="J13" s="2004"/>
      <c r="K13" s="24">
        <f t="shared" si="0"/>
        <v>0</v>
      </c>
      <c r="L13" s="24">
        <f t="shared" si="1"/>
        <v>0</v>
      </c>
      <c r="M13" s="2004"/>
      <c r="O13" s="586">
        <f t="shared" si="2"/>
        <v>0</v>
      </c>
      <c r="P13" s="586">
        <f t="shared" si="2"/>
        <v>0</v>
      </c>
      <c r="Q13" s="586">
        <f t="shared" si="3"/>
        <v>0</v>
      </c>
      <c r="R13" s="586">
        <f t="shared" si="4"/>
        <v>0</v>
      </c>
      <c r="S13" s="586">
        <f t="shared" si="5"/>
        <v>0</v>
      </c>
      <c r="U13" s="586">
        <f t="shared" si="6"/>
        <v>0</v>
      </c>
      <c r="V13" s="586">
        <f t="shared" si="6"/>
        <v>0</v>
      </c>
      <c r="W13" s="586">
        <f t="shared" si="7"/>
        <v>0</v>
      </c>
      <c r="X13" s="586">
        <f t="shared" si="8"/>
        <v>0</v>
      </c>
      <c r="Y13" s="586">
        <f t="shared" si="9"/>
        <v>0</v>
      </c>
      <c r="AA13" s="2004"/>
      <c r="AB13" s="2004"/>
      <c r="AC13" s="289">
        <v>9</v>
      </c>
      <c r="AD13" s="1853"/>
      <c r="AE13" s="792"/>
      <c r="AF13" s="2618"/>
      <c r="AG13" s="2618"/>
      <c r="AH13" s="2618"/>
      <c r="AI13" s="2618"/>
      <c r="AJ13" s="2619"/>
    </row>
    <row r="14" spans="1:36">
      <c r="A14" s="2004"/>
      <c r="B14" s="289">
        <v>10</v>
      </c>
      <c r="C14" s="1992"/>
      <c r="D14" s="1920"/>
      <c r="E14" s="1600"/>
      <c r="F14" s="1646"/>
      <c r="G14" s="1600"/>
      <c r="H14" s="1646"/>
      <c r="I14" s="1760"/>
      <c r="J14" s="2004"/>
      <c r="K14" s="24">
        <f t="shared" si="0"/>
        <v>0</v>
      </c>
      <c r="L14" s="24">
        <f t="shared" si="1"/>
        <v>0</v>
      </c>
      <c r="M14" s="2004"/>
      <c r="O14" s="586">
        <f t="shared" si="2"/>
        <v>0</v>
      </c>
      <c r="P14" s="586">
        <f t="shared" si="2"/>
        <v>0</v>
      </c>
      <c r="Q14" s="586">
        <f t="shared" si="3"/>
        <v>0</v>
      </c>
      <c r="R14" s="586">
        <f t="shared" si="4"/>
        <v>0</v>
      </c>
      <c r="S14" s="586">
        <f t="shared" si="5"/>
        <v>0</v>
      </c>
      <c r="U14" s="586">
        <f t="shared" si="6"/>
        <v>0</v>
      </c>
      <c r="V14" s="586">
        <f t="shared" si="6"/>
        <v>0</v>
      </c>
      <c r="W14" s="586">
        <f t="shared" si="7"/>
        <v>0</v>
      </c>
      <c r="X14" s="586">
        <f t="shared" si="8"/>
        <v>0</v>
      </c>
      <c r="Y14" s="586">
        <f t="shared" si="9"/>
        <v>0</v>
      </c>
      <c r="AA14" s="2004"/>
      <c r="AB14" s="2004"/>
      <c r="AC14" s="289">
        <v>10</v>
      </c>
      <c r="AD14" s="1853"/>
      <c r="AE14" s="792"/>
      <c r="AF14" s="2618"/>
      <c r="AG14" s="2618"/>
      <c r="AH14" s="2618"/>
      <c r="AI14" s="2618"/>
      <c r="AJ14" s="2619"/>
    </row>
    <row r="15" spans="1:36">
      <c r="A15" s="2004"/>
      <c r="B15" s="289">
        <v>11</v>
      </c>
      <c r="C15" s="1992"/>
      <c r="D15" s="1920"/>
      <c r="E15" s="1600"/>
      <c r="F15" s="1646"/>
      <c r="G15" s="1600"/>
      <c r="H15" s="1646"/>
      <c r="I15" s="1760"/>
      <c r="J15" s="2004"/>
      <c r="K15" s="24">
        <f t="shared" si="0"/>
        <v>0</v>
      </c>
      <c r="L15" s="24">
        <f t="shared" si="1"/>
        <v>0</v>
      </c>
      <c r="M15" s="2004"/>
      <c r="O15" s="586">
        <f t="shared" si="2"/>
        <v>0</v>
      </c>
      <c r="P15" s="586">
        <f t="shared" si="2"/>
        <v>0</v>
      </c>
      <c r="Q15" s="586">
        <f t="shared" si="3"/>
        <v>0</v>
      </c>
      <c r="R15" s="586">
        <f t="shared" si="4"/>
        <v>0</v>
      </c>
      <c r="S15" s="586">
        <f t="shared" si="5"/>
        <v>0</v>
      </c>
      <c r="U15" s="586">
        <f t="shared" si="6"/>
        <v>0</v>
      </c>
      <c r="V15" s="586">
        <f t="shared" si="6"/>
        <v>0</v>
      </c>
      <c r="W15" s="586">
        <f t="shared" si="7"/>
        <v>0</v>
      </c>
      <c r="X15" s="586">
        <f t="shared" si="8"/>
        <v>0</v>
      </c>
      <c r="Y15" s="586">
        <f t="shared" si="9"/>
        <v>0</v>
      </c>
      <c r="AA15" s="2004"/>
      <c r="AB15" s="2004"/>
      <c r="AC15" s="289">
        <v>11</v>
      </c>
      <c r="AD15" s="1853"/>
      <c r="AE15" s="792"/>
      <c r="AF15" s="2618"/>
      <c r="AG15" s="2618"/>
      <c r="AH15" s="2618"/>
      <c r="AI15" s="2618"/>
      <c r="AJ15" s="2619"/>
    </row>
    <row r="16" spans="1:36">
      <c r="A16" s="2004"/>
      <c r="B16" s="289">
        <v>12</v>
      </c>
      <c r="C16" s="1992"/>
      <c r="D16" s="1920"/>
      <c r="E16" s="1600"/>
      <c r="F16" s="1646"/>
      <c r="G16" s="1600"/>
      <c r="H16" s="1646"/>
      <c r="I16" s="1760"/>
      <c r="J16" s="2004"/>
      <c r="K16" s="24">
        <f t="shared" si="0"/>
        <v>0</v>
      </c>
      <c r="L16" s="24">
        <f t="shared" si="1"/>
        <v>0</v>
      </c>
      <c r="M16" s="2004"/>
      <c r="O16" s="586">
        <f t="shared" si="2"/>
        <v>0</v>
      </c>
      <c r="P16" s="586">
        <f t="shared" si="2"/>
        <v>0</v>
      </c>
      <c r="Q16" s="586">
        <f t="shared" si="3"/>
        <v>0</v>
      </c>
      <c r="R16" s="586">
        <f t="shared" si="4"/>
        <v>0</v>
      </c>
      <c r="S16" s="586">
        <f t="shared" si="5"/>
        <v>0</v>
      </c>
      <c r="U16" s="586">
        <f t="shared" si="6"/>
        <v>0</v>
      </c>
      <c r="V16" s="586">
        <f t="shared" si="6"/>
        <v>0</v>
      </c>
      <c r="W16" s="586">
        <f t="shared" si="7"/>
        <v>0</v>
      </c>
      <c r="X16" s="586">
        <f t="shared" si="8"/>
        <v>0</v>
      </c>
      <c r="Y16" s="586">
        <f t="shared" si="9"/>
        <v>0</v>
      </c>
      <c r="AA16" s="2004"/>
      <c r="AB16" s="2004"/>
      <c r="AC16" s="289">
        <v>12</v>
      </c>
      <c r="AD16" s="1853"/>
      <c r="AE16" s="792"/>
      <c r="AF16" s="2618"/>
      <c r="AG16" s="2618"/>
      <c r="AH16" s="2618"/>
      <c r="AI16" s="2618"/>
      <c r="AJ16" s="2619"/>
    </row>
    <row r="17" spans="2:36">
      <c r="B17" s="289">
        <v>13</v>
      </c>
      <c r="C17" s="1992"/>
      <c r="D17" s="1920"/>
      <c r="E17" s="1600"/>
      <c r="F17" s="1646"/>
      <c r="G17" s="1600"/>
      <c r="H17" s="1646"/>
      <c r="I17" s="1760"/>
      <c r="J17" s="2004"/>
      <c r="K17" s="24">
        <f t="shared" si="0"/>
        <v>0</v>
      </c>
      <c r="L17" s="24">
        <f t="shared" si="1"/>
        <v>0</v>
      </c>
      <c r="M17" s="2004"/>
      <c r="O17" s="586">
        <f t="shared" si="2"/>
        <v>0</v>
      </c>
      <c r="P17" s="586">
        <f t="shared" si="2"/>
        <v>0</v>
      </c>
      <c r="Q17" s="586">
        <f t="shared" si="3"/>
        <v>0</v>
      </c>
      <c r="R17" s="586">
        <f t="shared" si="4"/>
        <v>0</v>
      </c>
      <c r="S17" s="586">
        <f t="shared" si="5"/>
        <v>0</v>
      </c>
      <c r="U17" s="586">
        <f t="shared" si="6"/>
        <v>0</v>
      </c>
      <c r="V17" s="586">
        <f t="shared" si="6"/>
        <v>0</v>
      </c>
      <c r="W17" s="586">
        <f t="shared" si="7"/>
        <v>0</v>
      </c>
      <c r="X17" s="586">
        <f t="shared" si="8"/>
        <v>0</v>
      </c>
      <c r="Y17" s="586">
        <f t="shared" si="9"/>
        <v>0</v>
      </c>
      <c r="AA17" s="2004"/>
      <c r="AB17" s="2004"/>
      <c r="AC17" s="289">
        <v>13</v>
      </c>
      <c r="AD17" s="1853"/>
      <c r="AE17" s="792"/>
      <c r="AF17" s="2618"/>
      <c r="AG17" s="2618"/>
      <c r="AH17" s="2618"/>
      <c r="AI17" s="2618"/>
      <c r="AJ17" s="2619"/>
    </row>
    <row r="18" spans="2:36">
      <c r="B18" s="289">
        <v>14</v>
      </c>
      <c r="C18" s="1992"/>
      <c r="D18" s="1920"/>
      <c r="E18" s="1600"/>
      <c r="F18" s="1646"/>
      <c r="G18" s="1600"/>
      <c r="H18" s="1646"/>
      <c r="I18" s="1760"/>
      <c r="J18" s="2004"/>
      <c r="K18" s="24">
        <f t="shared" si="0"/>
        <v>0</v>
      </c>
      <c r="L18" s="24">
        <f t="shared" si="1"/>
        <v>0</v>
      </c>
      <c r="M18" s="2004"/>
      <c r="O18" s="586">
        <f t="shared" si="2"/>
        <v>0</v>
      </c>
      <c r="P18" s="586">
        <f t="shared" si="2"/>
        <v>0</v>
      </c>
      <c r="Q18" s="586">
        <f t="shared" si="3"/>
        <v>0</v>
      </c>
      <c r="R18" s="586">
        <f t="shared" si="4"/>
        <v>0</v>
      </c>
      <c r="S18" s="586">
        <f t="shared" si="5"/>
        <v>0</v>
      </c>
      <c r="U18" s="586">
        <f t="shared" si="6"/>
        <v>0</v>
      </c>
      <c r="V18" s="586">
        <f t="shared" si="6"/>
        <v>0</v>
      </c>
      <c r="W18" s="586">
        <f t="shared" si="7"/>
        <v>0</v>
      </c>
      <c r="X18" s="586">
        <f t="shared" si="8"/>
        <v>0</v>
      </c>
      <c r="Y18" s="586">
        <f t="shared" si="9"/>
        <v>0</v>
      </c>
      <c r="AA18" s="2004"/>
      <c r="AB18" s="2004"/>
      <c r="AC18" s="289">
        <v>14</v>
      </c>
      <c r="AD18" s="1853"/>
      <c r="AE18" s="792"/>
      <c r="AF18" s="2618"/>
      <c r="AG18" s="2618"/>
      <c r="AH18" s="2618"/>
      <c r="AI18" s="2618"/>
      <c r="AJ18" s="2619"/>
    </row>
    <row r="19" spans="2:36">
      <c r="B19" s="289">
        <v>15</v>
      </c>
      <c r="C19" s="1992"/>
      <c r="D19" s="1920"/>
      <c r="E19" s="1600"/>
      <c r="F19" s="1646"/>
      <c r="G19" s="1600"/>
      <c r="H19" s="1646"/>
      <c r="I19" s="1760"/>
      <c r="J19" s="2004"/>
      <c r="K19" s="24">
        <f t="shared" si="0"/>
        <v>0</v>
      </c>
      <c r="L19" s="24">
        <f t="shared" si="1"/>
        <v>0</v>
      </c>
      <c r="M19" s="2004"/>
      <c r="O19" s="586">
        <f t="shared" si="2"/>
        <v>0</v>
      </c>
      <c r="P19" s="586">
        <f t="shared" si="2"/>
        <v>0</v>
      </c>
      <c r="Q19" s="586">
        <f t="shared" si="3"/>
        <v>0</v>
      </c>
      <c r="R19" s="586">
        <f t="shared" si="4"/>
        <v>0</v>
      </c>
      <c r="S19" s="586">
        <f t="shared" si="5"/>
        <v>0</v>
      </c>
      <c r="U19" s="586">
        <f t="shared" si="6"/>
        <v>0</v>
      </c>
      <c r="V19" s="586">
        <f t="shared" si="6"/>
        <v>0</v>
      </c>
      <c r="W19" s="586">
        <f t="shared" si="7"/>
        <v>0</v>
      </c>
      <c r="X19" s="586">
        <f t="shared" si="8"/>
        <v>0</v>
      </c>
      <c r="Y19" s="586">
        <f t="shared" si="9"/>
        <v>0</v>
      </c>
      <c r="AA19" s="2004"/>
      <c r="AB19" s="2004"/>
      <c r="AC19" s="289">
        <v>15</v>
      </c>
      <c r="AD19" s="1853"/>
      <c r="AE19" s="792"/>
      <c r="AF19" s="2618"/>
      <c r="AG19" s="2618"/>
      <c r="AH19" s="2618"/>
      <c r="AI19" s="2618"/>
      <c r="AJ19" s="2619"/>
    </row>
    <row r="20" spans="2:36">
      <c r="B20" s="289">
        <v>16</v>
      </c>
      <c r="C20" s="1992"/>
      <c r="D20" s="1920"/>
      <c r="E20" s="1600"/>
      <c r="F20" s="1646"/>
      <c r="G20" s="1600"/>
      <c r="H20" s="1646"/>
      <c r="I20" s="1760"/>
      <c r="J20" s="2004"/>
      <c r="K20" s="24">
        <f t="shared" si="0"/>
        <v>0</v>
      </c>
      <c r="L20" s="24">
        <f t="shared" si="1"/>
        <v>0</v>
      </c>
      <c r="M20" s="2004"/>
      <c r="O20" s="586">
        <f t="shared" si="2"/>
        <v>0</v>
      </c>
      <c r="P20" s="586">
        <f t="shared" si="2"/>
        <v>0</v>
      </c>
      <c r="Q20" s="586">
        <f t="shared" si="3"/>
        <v>0</v>
      </c>
      <c r="R20" s="586">
        <f t="shared" si="4"/>
        <v>0</v>
      </c>
      <c r="S20" s="586">
        <f t="shared" si="5"/>
        <v>0</v>
      </c>
      <c r="U20" s="586">
        <f t="shared" si="6"/>
        <v>0</v>
      </c>
      <c r="V20" s="586">
        <f t="shared" si="6"/>
        <v>0</v>
      </c>
      <c r="W20" s="586">
        <f t="shared" si="7"/>
        <v>0</v>
      </c>
      <c r="X20" s="586">
        <f t="shared" si="8"/>
        <v>0</v>
      </c>
      <c r="Y20" s="586">
        <f t="shared" si="9"/>
        <v>0</v>
      </c>
      <c r="AA20" s="2004"/>
      <c r="AB20" s="2004"/>
      <c r="AC20" s="289">
        <v>16</v>
      </c>
      <c r="AD20" s="1853"/>
      <c r="AE20" s="792"/>
      <c r="AF20" s="2618"/>
      <c r="AG20" s="2618"/>
      <c r="AH20" s="2618"/>
      <c r="AI20" s="2618"/>
      <c r="AJ20" s="2619"/>
    </row>
    <row r="21" spans="2:36">
      <c r="B21" s="289">
        <v>17</v>
      </c>
      <c r="C21" s="1992"/>
      <c r="D21" s="1920"/>
      <c r="E21" s="1600"/>
      <c r="F21" s="1646"/>
      <c r="G21" s="1600"/>
      <c r="H21" s="1646"/>
      <c r="I21" s="1760"/>
      <c r="J21" s="2004"/>
      <c r="K21" s="24">
        <f t="shared" si="0"/>
        <v>0</v>
      </c>
      <c r="L21" s="24">
        <f t="shared" si="1"/>
        <v>0</v>
      </c>
      <c r="M21" s="2004"/>
      <c r="O21" s="586">
        <f t="shared" si="2"/>
        <v>0</v>
      </c>
      <c r="P21" s="586">
        <f t="shared" si="2"/>
        <v>0</v>
      </c>
      <c r="Q21" s="586">
        <f t="shared" si="3"/>
        <v>0</v>
      </c>
      <c r="R21" s="586">
        <f t="shared" si="4"/>
        <v>0</v>
      </c>
      <c r="S21" s="586">
        <f t="shared" si="5"/>
        <v>0</v>
      </c>
      <c r="U21" s="586">
        <f t="shared" si="6"/>
        <v>0</v>
      </c>
      <c r="V21" s="586">
        <f t="shared" si="6"/>
        <v>0</v>
      </c>
      <c r="W21" s="586">
        <f t="shared" si="7"/>
        <v>0</v>
      </c>
      <c r="X21" s="586">
        <f t="shared" si="8"/>
        <v>0</v>
      </c>
      <c r="Y21" s="586">
        <f t="shared" si="9"/>
        <v>0</v>
      </c>
      <c r="AA21" s="2004"/>
      <c r="AB21" s="2004"/>
      <c r="AC21" s="289">
        <v>17</v>
      </c>
      <c r="AD21" s="1853"/>
      <c r="AE21" s="792"/>
      <c r="AF21" s="2618"/>
      <c r="AG21" s="2618"/>
      <c r="AH21" s="2618"/>
      <c r="AI21" s="2618"/>
      <c r="AJ21" s="2619"/>
    </row>
    <row r="22" spans="2:36">
      <c r="B22" s="289">
        <v>18</v>
      </c>
      <c r="C22" s="1992"/>
      <c r="D22" s="1920"/>
      <c r="E22" s="1600"/>
      <c r="F22" s="1646"/>
      <c r="G22" s="1600"/>
      <c r="H22" s="1646"/>
      <c r="I22" s="1760"/>
      <c r="J22" s="2004"/>
      <c r="K22" s="24">
        <f t="shared" si="0"/>
        <v>0</v>
      </c>
      <c r="L22" s="24">
        <f t="shared" si="1"/>
        <v>0</v>
      </c>
      <c r="M22" s="2004"/>
      <c r="O22" s="586">
        <f t="shared" si="2"/>
        <v>0</v>
      </c>
      <c r="P22" s="586">
        <f t="shared" si="2"/>
        <v>0</v>
      </c>
      <c r="Q22" s="586">
        <f t="shared" si="3"/>
        <v>0</v>
      </c>
      <c r="R22" s="586">
        <f t="shared" si="4"/>
        <v>0</v>
      </c>
      <c r="S22" s="586">
        <f t="shared" si="5"/>
        <v>0</v>
      </c>
      <c r="U22" s="586">
        <f t="shared" si="6"/>
        <v>0</v>
      </c>
      <c r="V22" s="586">
        <f t="shared" si="6"/>
        <v>0</v>
      </c>
      <c r="W22" s="586">
        <f t="shared" si="7"/>
        <v>0</v>
      </c>
      <c r="X22" s="586">
        <f t="shared" si="8"/>
        <v>0</v>
      </c>
      <c r="Y22" s="586">
        <f t="shared" si="9"/>
        <v>0</v>
      </c>
      <c r="AA22" s="2004"/>
      <c r="AB22" s="2004"/>
      <c r="AC22" s="289">
        <v>18</v>
      </c>
      <c r="AD22" s="1853"/>
      <c r="AE22" s="792"/>
      <c r="AF22" s="2618"/>
      <c r="AG22" s="2618"/>
      <c r="AH22" s="2618"/>
      <c r="AI22" s="2618"/>
      <c r="AJ22" s="2619"/>
    </row>
    <row r="23" spans="2:36">
      <c r="B23" s="289">
        <v>19</v>
      </c>
      <c r="C23" s="1992"/>
      <c r="D23" s="1920"/>
      <c r="E23" s="1600"/>
      <c r="F23" s="1646"/>
      <c r="G23" s="1600"/>
      <c r="H23" s="1646"/>
      <c r="I23" s="1760"/>
      <c r="J23" s="2004"/>
      <c r="K23" s="24">
        <f t="shared" si="0"/>
        <v>0</v>
      </c>
      <c r="L23" s="24">
        <f t="shared" si="1"/>
        <v>0</v>
      </c>
      <c r="M23" s="2004"/>
      <c r="O23" s="586">
        <f t="shared" si="2"/>
        <v>0</v>
      </c>
      <c r="P23" s="586">
        <f t="shared" si="2"/>
        <v>0</v>
      </c>
      <c r="Q23" s="586">
        <f t="shared" si="3"/>
        <v>0</v>
      </c>
      <c r="R23" s="586">
        <f t="shared" si="4"/>
        <v>0</v>
      </c>
      <c r="S23" s="586">
        <f t="shared" si="5"/>
        <v>0</v>
      </c>
      <c r="U23" s="586">
        <f t="shared" si="6"/>
        <v>0</v>
      </c>
      <c r="V23" s="586">
        <f t="shared" si="6"/>
        <v>0</v>
      </c>
      <c r="W23" s="586">
        <f t="shared" si="7"/>
        <v>0</v>
      </c>
      <c r="X23" s="586">
        <f t="shared" si="8"/>
        <v>0</v>
      </c>
      <c r="Y23" s="586">
        <f t="shared" si="9"/>
        <v>0</v>
      </c>
      <c r="AA23" s="2004"/>
      <c r="AB23" s="2004"/>
      <c r="AC23" s="289">
        <v>19</v>
      </c>
      <c r="AD23" s="1853"/>
      <c r="AE23" s="792"/>
      <c r="AF23" s="2618"/>
      <c r="AG23" s="2618"/>
      <c r="AH23" s="2618"/>
      <c r="AI23" s="2618"/>
      <c r="AJ23" s="2619"/>
    </row>
    <row r="24" spans="2:36">
      <c r="B24" s="289">
        <v>20</v>
      </c>
      <c r="C24" s="1992"/>
      <c r="D24" s="1920"/>
      <c r="E24" s="1600"/>
      <c r="F24" s="1646"/>
      <c r="G24" s="1600"/>
      <c r="H24" s="1646"/>
      <c r="I24" s="1760"/>
      <c r="J24" s="2004"/>
      <c r="K24" s="24">
        <f t="shared" si="0"/>
        <v>0</v>
      </c>
      <c r="L24" s="24">
        <f t="shared" si="1"/>
        <v>0</v>
      </c>
      <c r="M24" s="2004"/>
      <c r="O24" s="586">
        <f t="shared" si="2"/>
        <v>0</v>
      </c>
      <c r="P24" s="586">
        <f t="shared" si="2"/>
        <v>0</v>
      </c>
      <c r="Q24" s="586">
        <f t="shared" si="3"/>
        <v>0</v>
      </c>
      <c r="R24" s="586">
        <f t="shared" si="4"/>
        <v>0</v>
      </c>
      <c r="S24" s="586">
        <f t="shared" si="5"/>
        <v>0</v>
      </c>
      <c r="U24" s="586">
        <f t="shared" si="6"/>
        <v>0</v>
      </c>
      <c r="V24" s="586">
        <f t="shared" si="6"/>
        <v>0</v>
      </c>
      <c r="W24" s="586">
        <f t="shared" si="7"/>
        <v>0</v>
      </c>
      <c r="X24" s="586">
        <f t="shared" si="8"/>
        <v>0</v>
      </c>
      <c r="Y24" s="586">
        <f t="shared" si="9"/>
        <v>0</v>
      </c>
      <c r="AA24" s="2004"/>
      <c r="AB24" s="2004"/>
      <c r="AC24" s="289">
        <v>20</v>
      </c>
      <c r="AD24" s="1853"/>
      <c r="AE24" s="792"/>
      <c r="AF24" s="2618"/>
      <c r="AG24" s="2618"/>
      <c r="AH24" s="2618"/>
      <c r="AI24" s="2618"/>
      <c r="AJ24" s="2619"/>
    </row>
    <row r="25" spans="2:36">
      <c r="B25" s="289">
        <v>21</v>
      </c>
      <c r="C25" s="1992"/>
      <c r="D25" s="1920"/>
      <c r="E25" s="1600"/>
      <c r="F25" s="1646"/>
      <c r="G25" s="1600"/>
      <c r="H25" s="1646"/>
      <c r="I25" s="1760"/>
      <c r="J25" s="2004"/>
      <c r="K25" s="24">
        <f t="shared" si="0"/>
        <v>0</v>
      </c>
      <c r="L25" s="24">
        <f t="shared" si="1"/>
        <v>0</v>
      </c>
      <c r="M25" s="2004"/>
      <c r="O25" s="586">
        <f t="shared" si="2"/>
        <v>0</v>
      </c>
      <c r="P25" s="586">
        <f t="shared" si="2"/>
        <v>0</v>
      </c>
      <c r="Q25" s="586">
        <f t="shared" si="3"/>
        <v>0</v>
      </c>
      <c r="R25" s="586">
        <f t="shared" si="4"/>
        <v>0</v>
      </c>
      <c r="S25" s="586">
        <f t="shared" si="5"/>
        <v>0</v>
      </c>
      <c r="U25" s="586">
        <f t="shared" si="6"/>
        <v>0</v>
      </c>
      <c r="V25" s="586">
        <f t="shared" si="6"/>
        <v>0</v>
      </c>
      <c r="W25" s="586">
        <f t="shared" si="7"/>
        <v>0</v>
      </c>
      <c r="X25" s="586">
        <f t="shared" si="8"/>
        <v>0</v>
      </c>
      <c r="Y25" s="586">
        <f t="shared" si="9"/>
        <v>0</v>
      </c>
      <c r="AA25" s="2004"/>
      <c r="AB25" s="2004"/>
      <c r="AC25" s="289">
        <v>21</v>
      </c>
      <c r="AD25" s="1853"/>
      <c r="AE25" s="792"/>
      <c r="AF25" s="2618"/>
      <c r="AG25" s="2618"/>
      <c r="AH25" s="2618"/>
      <c r="AI25" s="2618"/>
      <c r="AJ25" s="2619"/>
    </row>
    <row r="26" spans="2:36">
      <c r="B26" s="289">
        <v>22</v>
      </c>
      <c r="C26" s="1992"/>
      <c r="D26" s="1920"/>
      <c r="E26" s="1600"/>
      <c r="F26" s="1646"/>
      <c r="G26" s="1600"/>
      <c r="H26" s="1646"/>
      <c r="I26" s="1760"/>
      <c r="J26" s="2004"/>
      <c r="K26" s="24">
        <f t="shared" si="0"/>
        <v>0</v>
      </c>
      <c r="L26" s="24">
        <f t="shared" si="1"/>
        <v>0</v>
      </c>
      <c r="M26" s="2004"/>
      <c r="O26" s="586">
        <f t="shared" si="2"/>
        <v>0</v>
      </c>
      <c r="P26" s="586">
        <f t="shared" si="2"/>
        <v>0</v>
      </c>
      <c r="Q26" s="586">
        <f t="shared" si="3"/>
        <v>0</v>
      </c>
      <c r="R26" s="586">
        <f t="shared" si="4"/>
        <v>0</v>
      </c>
      <c r="S26" s="586">
        <f t="shared" si="5"/>
        <v>0</v>
      </c>
      <c r="U26" s="586">
        <f t="shared" si="6"/>
        <v>0</v>
      </c>
      <c r="V26" s="586">
        <f t="shared" si="6"/>
        <v>0</v>
      </c>
      <c r="W26" s="586">
        <f t="shared" si="7"/>
        <v>0</v>
      </c>
      <c r="X26" s="586">
        <f t="shared" si="8"/>
        <v>0</v>
      </c>
      <c r="Y26" s="586">
        <f t="shared" si="9"/>
        <v>0</v>
      </c>
      <c r="AA26" s="2004"/>
      <c r="AB26" s="2004"/>
      <c r="AC26" s="289">
        <v>22</v>
      </c>
      <c r="AD26" s="1853"/>
      <c r="AE26" s="792"/>
      <c r="AF26" s="2618"/>
      <c r="AG26" s="2618"/>
      <c r="AH26" s="2618"/>
      <c r="AI26" s="2618"/>
      <c r="AJ26" s="2619"/>
    </row>
    <row r="27" spans="2:36">
      <c r="B27" s="289">
        <v>23</v>
      </c>
      <c r="C27" s="1992"/>
      <c r="D27" s="1920"/>
      <c r="E27" s="1600"/>
      <c r="F27" s="1646"/>
      <c r="G27" s="1600"/>
      <c r="H27" s="1646"/>
      <c r="I27" s="1760"/>
      <c r="J27" s="2004"/>
      <c r="K27" s="24">
        <f t="shared" si="0"/>
        <v>0</v>
      </c>
      <c r="L27" s="24">
        <f t="shared" si="1"/>
        <v>0</v>
      </c>
      <c r="M27" s="2004"/>
      <c r="O27" s="586">
        <f t="shared" si="2"/>
        <v>0</v>
      </c>
      <c r="P27" s="586">
        <f t="shared" si="2"/>
        <v>0</v>
      </c>
      <c r="Q27" s="586">
        <f t="shared" si="3"/>
        <v>0</v>
      </c>
      <c r="R27" s="586">
        <f t="shared" si="4"/>
        <v>0</v>
      </c>
      <c r="S27" s="586">
        <f t="shared" si="5"/>
        <v>0</v>
      </c>
      <c r="U27" s="586">
        <f t="shared" si="6"/>
        <v>0</v>
      </c>
      <c r="V27" s="586">
        <f t="shared" si="6"/>
        <v>0</v>
      </c>
      <c r="W27" s="586">
        <f t="shared" si="7"/>
        <v>0</v>
      </c>
      <c r="X27" s="586">
        <f t="shared" si="8"/>
        <v>0</v>
      </c>
      <c r="Y27" s="586">
        <f t="shared" si="9"/>
        <v>0</v>
      </c>
      <c r="AA27" s="2004"/>
      <c r="AB27" s="2004"/>
      <c r="AC27" s="289">
        <v>23</v>
      </c>
      <c r="AD27" s="1853"/>
      <c r="AE27" s="792"/>
      <c r="AF27" s="2618"/>
      <c r="AG27" s="2618"/>
      <c r="AH27" s="2618"/>
      <c r="AI27" s="2618"/>
      <c r="AJ27" s="2619"/>
    </row>
    <row r="28" spans="2:36">
      <c r="B28" s="289">
        <v>24</v>
      </c>
      <c r="C28" s="1992"/>
      <c r="D28" s="1920"/>
      <c r="E28" s="1600"/>
      <c r="F28" s="1646"/>
      <c r="G28" s="1600"/>
      <c r="H28" s="1646"/>
      <c r="I28" s="1760"/>
      <c r="J28" s="2004"/>
      <c r="K28" s="24">
        <f t="shared" si="0"/>
        <v>0</v>
      </c>
      <c r="L28" s="24">
        <f t="shared" si="1"/>
        <v>0</v>
      </c>
      <c r="M28" s="2004"/>
      <c r="O28" s="586">
        <f t="shared" si="2"/>
        <v>0</v>
      </c>
      <c r="P28" s="586">
        <f t="shared" si="2"/>
        <v>0</v>
      </c>
      <c r="Q28" s="586">
        <f t="shared" si="3"/>
        <v>0</v>
      </c>
      <c r="R28" s="586">
        <f t="shared" si="4"/>
        <v>0</v>
      </c>
      <c r="S28" s="586">
        <f t="shared" si="5"/>
        <v>0</v>
      </c>
      <c r="U28" s="586">
        <f t="shared" si="6"/>
        <v>0</v>
      </c>
      <c r="V28" s="586">
        <f t="shared" si="6"/>
        <v>0</v>
      </c>
      <c r="W28" s="586">
        <f t="shared" si="7"/>
        <v>0</v>
      </c>
      <c r="X28" s="586">
        <f t="shared" si="8"/>
        <v>0</v>
      </c>
      <c r="Y28" s="586">
        <f t="shared" si="9"/>
        <v>0</v>
      </c>
      <c r="AA28" s="2004"/>
      <c r="AB28" s="2004"/>
      <c r="AC28" s="289">
        <v>24</v>
      </c>
      <c r="AD28" s="1853"/>
      <c r="AE28" s="792"/>
      <c r="AF28" s="2618"/>
      <c r="AG28" s="2618"/>
      <c r="AH28" s="2618"/>
      <c r="AI28" s="2618"/>
      <c r="AJ28" s="2619"/>
    </row>
    <row r="29" spans="2:36" ht="15" thickBot="1">
      <c r="B29" s="289">
        <v>25</v>
      </c>
      <c r="C29" s="1992"/>
      <c r="D29" s="1920"/>
      <c r="E29" s="1600"/>
      <c r="F29" s="1646"/>
      <c r="G29" s="1600"/>
      <c r="H29" s="1646"/>
      <c r="I29" s="1760"/>
      <c r="J29" s="2004"/>
      <c r="K29" s="24">
        <f t="shared" si="0"/>
        <v>0</v>
      </c>
      <c r="L29" s="24">
        <f t="shared" si="1"/>
        <v>0</v>
      </c>
      <c r="M29" s="2004"/>
      <c r="O29" s="586">
        <f t="shared" si="2"/>
        <v>0</v>
      </c>
      <c r="P29" s="586">
        <f t="shared" si="2"/>
        <v>0</v>
      </c>
      <c r="Q29" s="586">
        <f t="shared" si="3"/>
        <v>0</v>
      </c>
      <c r="R29" s="586">
        <f t="shared" si="4"/>
        <v>0</v>
      </c>
      <c r="S29" s="586">
        <f t="shared" si="5"/>
        <v>0</v>
      </c>
      <c r="U29" s="586">
        <f t="shared" si="6"/>
        <v>0</v>
      </c>
      <c r="V29" s="586">
        <f t="shared" si="6"/>
        <v>0</v>
      </c>
      <c r="W29" s="586">
        <f t="shared" si="7"/>
        <v>0</v>
      </c>
      <c r="X29" s="586">
        <f t="shared" si="8"/>
        <v>0</v>
      </c>
      <c r="Y29" s="586">
        <f t="shared" si="9"/>
        <v>0</v>
      </c>
      <c r="AA29" s="2004"/>
      <c r="AB29" s="2004"/>
      <c r="AC29" s="289">
        <v>25</v>
      </c>
      <c r="AD29" s="1853"/>
      <c r="AE29" s="792"/>
      <c r="AF29" s="2618"/>
      <c r="AG29" s="2618"/>
      <c r="AH29" s="2618"/>
      <c r="AI29" s="2618"/>
      <c r="AJ29" s="2619"/>
    </row>
    <row r="30" spans="2:36" ht="15" thickBot="1">
      <c r="B30" s="590" t="s">
        <v>710</v>
      </c>
      <c r="C30" s="591"/>
      <c r="D30" s="592"/>
      <c r="E30" s="1601">
        <f>SUM(E5:E29)</f>
        <v>0</v>
      </c>
      <c r="F30" s="1647">
        <f>SUM(F5:F29)</f>
        <v>0</v>
      </c>
      <c r="G30" s="1601">
        <f>SUM(G5:G29)</f>
        <v>0</v>
      </c>
      <c r="H30" s="1647">
        <f>SUM(H5:H29)</f>
        <v>0</v>
      </c>
      <c r="I30" s="859"/>
      <c r="J30" s="2004"/>
      <c r="K30" s="2004"/>
      <c r="L30" s="2004"/>
      <c r="M30" s="2004"/>
      <c r="O30" s="2004"/>
      <c r="P30" s="2004"/>
      <c r="Q30" s="2004"/>
      <c r="R30" s="2004"/>
      <c r="S30" s="2004"/>
      <c r="U30" s="2004"/>
      <c r="V30" s="2004"/>
      <c r="W30" s="2004"/>
      <c r="X30" s="2004"/>
      <c r="Y30" s="2004"/>
      <c r="AA30" s="2004"/>
      <c r="AB30" s="2004"/>
      <c r="AC30" s="2620" t="s">
        <v>710</v>
      </c>
      <c r="AD30" s="2621"/>
      <c r="AE30" s="2622"/>
      <c r="AF30" s="1601"/>
      <c r="AG30" s="1601"/>
      <c r="AH30" s="1601"/>
      <c r="AI30" s="1601"/>
      <c r="AJ30" s="859"/>
    </row>
    <row r="31" spans="2:36">
      <c r="B31" s="2004"/>
      <c r="C31" s="2004"/>
      <c r="D31" s="2004"/>
      <c r="E31" s="2004"/>
      <c r="F31" s="2004"/>
      <c r="G31" s="2004"/>
      <c r="H31" s="2004"/>
      <c r="I31" s="2004"/>
      <c r="J31" s="2004"/>
      <c r="K31" s="2004"/>
      <c r="L31" s="2004"/>
      <c r="M31" s="2004"/>
      <c r="O31" s="2004"/>
      <c r="P31" s="2004"/>
      <c r="Q31" s="2004"/>
      <c r="R31" s="2004"/>
      <c r="S31" s="2004"/>
      <c r="U31" s="2004"/>
      <c r="V31" s="2004"/>
      <c r="W31" s="2004"/>
      <c r="X31" s="2004"/>
      <c r="Y31" s="2004"/>
      <c r="AA31" s="2004"/>
      <c r="AB31" s="2004"/>
      <c r="AC31" s="479"/>
      <c r="AD31" s="479"/>
      <c r="AE31" s="479"/>
      <c r="AF31" s="479"/>
      <c r="AG31" s="479"/>
      <c r="AH31" s="479"/>
      <c r="AI31" s="479"/>
      <c r="AJ31" s="479"/>
    </row>
    <row r="32" spans="2:36">
      <c r="B32" s="2988" t="s">
        <v>243</v>
      </c>
      <c r="C32" s="2988"/>
      <c r="D32" s="2004"/>
      <c r="E32" s="2004"/>
      <c r="F32" s="2004"/>
      <c r="G32" s="2004"/>
      <c r="H32" s="2004"/>
      <c r="I32" s="2004"/>
      <c r="J32" s="2004"/>
      <c r="K32" s="2004"/>
      <c r="L32" s="2004"/>
      <c r="M32" s="2004"/>
      <c r="O32" s="2004"/>
      <c r="P32" s="2004"/>
      <c r="Q32" s="2004"/>
      <c r="R32" s="2004"/>
      <c r="S32" s="2004"/>
      <c r="U32" s="2004"/>
      <c r="V32" s="2004"/>
      <c r="W32" s="2004"/>
      <c r="X32" s="2004"/>
      <c r="Y32" s="2004"/>
      <c r="AA32" s="2004"/>
      <c r="AB32" s="2004"/>
      <c r="AC32" s="479"/>
      <c r="AD32" s="479"/>
      <c r="AE32" s="479"/>
      <c r="AF32" s="479"/>
      <c r="AG32" s="479"/>
      <c r="AH32" s="479"/>
      <c r="AI32" s="479"/>
      <c r="AJ32" s="479"/>
    </row>
    <row r="33" spans="1:36" ht="11.25" customHeight="1">
      <c r="A33" s="2004"/>
      <c r="B33" s="141"/>
      <c r="C33" s="141"/>
      <c r="D33" s="2004"/>
      <c r="E33" s="2004"/>
      <c r="F33" s="2004"/>
      <c r="G33" s="2004"/>
      <c r="H33" s="2004"/>
      <c r="I33" s="2004"/>
      <c r="J33" s="2004"/>
      <c r="K33" s="2004"/>
      <c r="L33" s="2004"/>
      <c r="M33" s="2004"/>
      <c r="O33" s="2004"/>
      <c r="P33" s="2004"/>
      <c r="Q33" s="2004"/>
      <c r="R33" s="2004"/>
      <c r="S33" s="2004"/>
      <c r="U33" s="2004"/>
      <c r="V33" s="2004"/>
      <c r="W33" s="2004"/>
      <c r="X33" s="2004"/>
      <c r="Y33" s="2004"/>
      <c r="AA33" s="2004"/>
      <c r="AB33" s="2004"/>
      <c r="AC33" s="479"/>
      <c r="AD33" s="479"/>
      <c r="AE33" s="479"/>
      <c r="AF33" s="479"/>
      <c r="AG33" s="479"/>
      <c r="AH33" s="479"/>
      <c r="AI33" s="479"/>
      <c r="AJ33" s="479"/>
    </row>
    <row r="34" spans="1:36">
      <c r="A34" s="2004"/>
      <c r="B34" s="25"/>
      <c r="C34" s="143" t="s">
        <v>190</v>
      </c>
      <c r="D34" s="2004"/>
      <c r="E34" s="2004"/>
      <c r="F34" s="2004"/>
      <c r="G34" s="2004"/>
      <c r="H34" s="2004"/>
      <c r="I34" s="2004"/>
      <c r="J34" s="2004"/>
      <c r="K34" s="2004"/>
      <c r="L34" s="2004"/>
      <c r="M34" s="2004"/>
      <c r="O34" s="2004"/>
      <c r="P34" s="2004"/>
      <c r="Q34" s="2004"/>
      <c r="R34" s="2004"/>
      <c r="S34" s="2004"/>
      <c r="U34" s="2004"/>
      <c r="V34" s="2004"/>
      <c r="W34" s="2004"/>
      <c r="X34" s="2004"/>
      <c r="Y34" s="2004"/>
      <c r="AA34" s="2004"/>
      <c r="AB34" s="2004"/>
      <c r="AC34" s="2004"/>
      <c r="AD34" s="2004"/>
      <c r="AE34" s="2004"/>
      <c r="AF34" s="2004"/>
      <c r="AG34" s="2004"/>
      <c r="AH34" s="2004"/>
      <c r="AI34" s="2004"/>
      <c r="AJ34" s="2004"/>
    </row>
    <row r="35" spans="1:36" ht="11.25" customHeight="1">
      <c r="A35" s="2004"/>
      <c r="B35" s="141"/>
      <c r="C35" s="142"/>
      <c r="D35" s="2004"/>
      <c r="E35" s="2004"/>
      <c r="F35" s="2004"/>
      <c r="G35" s="2004"/>
      <c r="H35" s="2004"/>
      <c r="I35" s="2004"/>
      <c r="J35" s="2004"/>
      <c r="K35" s="2004"/>
      <c r="L35" s="2004"/>
      <c r="M35" s="2004"/>
      <c r="O35" s="2004"/>
      <c r="P35" s="2004"/>
      <c r="Q35" s="2004"/>
      <c r="R35" s="2004"/>
      <c r="S35" s="2004"/>
      <c r="U35" s="2004"/>
      <c r="V35" s="2004"/>
      <c r="W35" s="2004"/>
      <c r="X35" s="2004"/>
      <c r="Y35" s="2004"/>
      <c r="AA35" s="2004"/>
      <c r="AB35" s="2004"/>
      <c r="AC35" s="2004"/>
      <c r="AD35" s="2004"/>
      <c r="AE35" s="2004"/>
      <c r="AF35" s="2004"/>
      <c r="AG35" s="2004"/>
      <c r="AH35" s="2004"/>
      <c r="AI35" s="2004"/>
      <c r="AJ35" s="2004"/>
    </row>
    <row r="36" spans="1:36">
      <c r="A36" s="2004"/>
      <c r="B36" s="144"/>
      <c r="C36" s="143" t="s">
        <v>191</v>
      </c>
      <c r="D36" s="2004"/>
      <c r="E36" s="2004"/>
      <c r="F36" s="2004"/>
      <c r="G36" s="2004"/>
      <c r="H36" s="2004"/>
      <c r="I36" s="2004"/>
      <c r="J36" s="2004"/>
      <c r="K36" s="2004"/>
      <c r="L36" s="2004"/>
      <c r="M36" s="2004"/>
      <c r="O36" s="2004"/>
      <c r="P36" s="2004"/>
      <c r="Q36" s="2004"/>
      <c r="R36" s="2004"/>
      <c r="S36" s="2004"/>
      <c r="U36" s="2004"/>
      <c r="V36" s="2004"/>
      <c r="W36" s="2004"/>
      <c r="X36" s="2004"/>
      <c r="Y36" s="2004"/>
      <c r="AA36" s="2004"/>
      <c r="AB36" s="2004"/>
      <c r="AC36" s="2004"/>
      <c r="AD36" s="2004"/>
      <c r="AE36" s="2004"/>
      <c r="AF36" s="2004"/>
      <c r="AG36" s="2004"/>
      <c r="AH36" s="2004"/>
      <c r="AI36" s="2004"/>
      <c r="AJ36" s="2004"/>
    </row>
    <row r="37" spans="1:36">
      <c r="A37" s="2004"/>
      <c r="B37" s="145"/>
      <c r="C37" s="143"/>
      <c r="D37" s="2004"/>
      <c r="E37" s="2004"/>
      <c r="F37" s="2004"/>
      <c r="G37" s="2004"/>
      <c r="H37" s="2004"/>
      <c r="I37" s="2004"/>
      <c r="J37" s="2004"/>
      <c r="K37" s="2004"/>
      <c r="L37" s="2004"/>
      <c r="M37" s="2004"/>
      <c r="O37" s="2004"/>
      <c r="P37" s="2004"/>
      <c r="Q37" s="2004"/>
      <c r="R37" s="2004"/>
      <c r="S37" s="2004"/>
      <c r="U37" s="2004"/>
      <c r="V37" s="2004"/>
      <c r="W37" s="2004"/>
      <c r="X37" s="2004"/>
      <c r="Y37" s="2004"/>
      <c r="AA37" s="2004"/>
      <c r="AB37" s="2004"/>
      <c r="AC37" s="2004"/>
      <c r="AD37" s="2004"/>
      <c r="AE37" s="2004"/>
      <c r="AF37" s="2004"/>
      <c r="AG37" s="2004"/>
      <c r="AH37" s="2004"/>
      <c r="AI37" s="2004"/>
      <c r="AJ37" s="2004"/>
    </row>
    <row r="38" spans="1:36" ht="15" thickBot="1">
      <c r="A38" s="2004"/>
      <c r="B38" s="2004"/>
      <c r="C38" s="2004"/>
      <c r="D38" s="2004"/>
      <c r="E38" s="2004"/>
      <c r="F38" s="2004"/>
      <c r="G38" s="2004"/>
      <c r="H38" s="2004"/>
      <c r="I38" s="2004"/>
      <c r="J38" s="2004"/>
      <c r="K38" s="2004"/>
      <c r="L38" s="2004"/>
      <c r="M38" s="2004"/>
      <c r="O38" s="2004"/>
      <c r="P38" s="2004"/>
      <c r="Q38" s="2004"/>
      <c r="R38" s="2004"/>
      <c r="S38" s="2004"/>
      <c r="U38" s="2004"/>
      <c r="V38" s="2004"/>
      <c r="W38" s="2004"/>
      <c r="X38" s="2004"/>
      <c r="Y38" s="2004"/>
      <c r="AA38" s="2004"/>
      <c r="AB38" s="2004"/>
      <c r="AC38" s="2004"/>
      <c r="AD38" s="2004"/>
      <c r="AE38" s="2004"/>
      <c r="AF38" s="2004"/>
      <c r="AG38" s="2004"/>
      <c r="AH38" s="2004"/>
      <c r="AI38" s="2004"/>
      <c r="AJ38" s="2004"/>
    </row>
    <row r="39" spans="1:36" ht="16.5" thickBot="1">
      <c r="A39" s="2004"/>
      <c r="B39" s="3053" t="s">
        <v>192</v>
      </c>
      <c r="C39" s="147"/>
      <c r="D39" s="148"/>
      <c r="E39" s="148"/>
      <c r="F39" s="148"/>
      <c r="G39" s="148"/>
      <c r="H39" s="148"/>
      <c r="I39" s="251"/>
      <c r="J39" s="2004"/>
      <c r="K39" s="2004"/>
      <c r="L39" s="2004"/>
      <c r="M39" s="2004"/>
      <c r="O39" s="2004"/>
      <c r="P39" s="2004"/>
      <c r="Q39" s="2004"/>
      <c r="R39" s="2004"/>
      <c r="S39" s="2004"/>
      <c r="U39" s="2004"/>
      <c r="V39" s="2004"/>
      <c r="W39" s="2004"/>
      <c r="X39" s="2004"/>
      <c r="Y39" s="2004"/>
      <c r="AA39" s="2004"/>
      <c r="AB39" s="2004"/>
      <c r="AC39" s="2004"/>
      <c r="AD39" s="2004"/>
      <c r="AE39" s="2004"/>
      <c r="AF39" s="2004"/>
      <c r="AG39" s="2004"/>
      <c r="AH39" s="2004"/>
      <c r="AI39" s="2004"/>
      <c r="AJ39" s="2004"/>
    </row>
    <row r="40" spans="1:36">
      <c r="A40" s="2004"/>
      <c r="B40" s="2004"/>
      <c r="C40" s="2004"/>
      <c r="D40" s="2004"/>
      <c r="E40" s="2004"/>
      <c r="F40" s="2004"/>
      <c r="G40" s="2004"/>
      <c r="H40" s="2004"/>
      <c r="I40" s="2004"/>
      <c r="J40" s="2004"/>
      <c r="K40" s="2004"/>
      <c r="L40" s="2004"/>
      <c r="M40" s="2004"/>
      <c r="O40" s="2004"/>
      <c r="P40" s="2004"/>
      <c r="Q40" s="2004"/>
      <c r="R40" s="2004"/>
      <c r="S40" s="2004"/>
      <c r="U40" s="2004"/>
      <c r="V40" s="2004"/>
      <c r="W40" s="2004"/>
      <c r="X40" s="2004"/>
      <c r="Y40" s="2004"/>
      <c r="AA40" s="2004"/>
      <c r="AB40" s="2004"/>
      <c r="AC40" s="2004"/>
      <c r="AD40" s="2004"/>
      <c r="AE40" s="2004"/>
      <c r="AF40" s="2004"/>
      <c r="AG40" s="2004"/>
      <c r="AH40" s="2004"/>
      <c r="AI40" s="2004"/>
      <c r="AJ40" s="2004"/>
    </row>
    <row r="41" spans="1:36" ht="16.5" hidden="1" thickBot="1">
      <c r="A41" s="1602"/>
      <c r="B41" s="146" t="str">
        <f ca="1" xml:space="preserve"> RIGHT(CELL("filename", $A$1), LEN(CELL("filename", $A$1)) - SEARCH("]", CELL("filename", $A$1)))&amp;" - Column definitions"</f>
        <v>3C - Column definitions</v>
      </c>
      <c r="C41" s="147"/>
      <c r="D41" s="148"/>
      <c r="E41" s="148"/>
      <c r="F41" s="148"/>
      <c r="G41" s="148"/>
      <c r="H41" s="148"/>
      <c r="I41" s="251"/>
      <c r="J41" s="2004"/>
      <c r="K41" s="2004"/>
      <c r="L41" s="2004"/>
      <c r="M41" s="2004"/>
      <c r="O41" s="2004"/>
      <c r="P41" s="2004"/>
      <c r="Q41" s="2004"/>
      <c r="R41" s="2004"/>
      <c r="S41" s="2004"/>
      <c r="U41" s="2004"/>
      <c r="V41" s="2004"/>
      <c r="W41" s="2004"/>
      <c r="X41" s="2004"/>
      <c r="Y41" s="2004"/>
      <c r="AA41" s="2004"/>
      <c r="AB41" s="2004"/>
      <c r="AC41" s="2004"/>
      <c r="AD41" s="2004"/>
      <c r="AE41" s="2004"/>
      <c r="AF41" s="2004"/>
      <c r="AG41" s="2004"/>
      <c r="AH41" s="2004"/>
      <c r="AI41" s="2004"/>
      <c r="AJ41" s="2004"/>
    </row>
    <row r="42" spans="1:36" ht="15" hidden="1" thickBot="1">
      <c r="A42" s="1602"/>
      <c r="B42" s="74"/>
      <c r="C42" s="155"/>
      <c r="D42" s="74"/>
      <c r="E42" s="74"/>
      <c r="F42" s="74"/>
      <c r="G42" s="2004"/>
      <c r="H42" s="2004"/>
      <c r="I42" s="2004"/>
      <c r="J42" s="2004"/>
      <c r="K42" s="2004"/>
      <c r="L42" s="2004"/>
      <c r="M42" s="2004"/>
      <c r="O42" s="2004"/>
      <c r="P42" s="2004"/>
      <c r="Q42" s="2004"/>
      <c r="R42" s="2004"/>
      <c r="S42" s="2004"/>
      <c r="U42" s="2004"/>
      <c r="V42" s="2004"/>
      <c r="W42" s="2004"/>
      <c r="X42" s="2004"/>
      <c r="Y42" s="2004"/>
      <c r="AA42" s="2004"/>
      <c r="AB42" s="2004"/>
      <c r="AC42" s="2004"/>
      <c r="AD42" s="2004"/>
      <c r="AE42" s="2004"/>
      <c r="AF42" s="2004"/>
      <c r="AG42" s="2004"/>
      <c r="AH42" s="2004"/>
      <c r="AI42" s="2004"/>
      <c r="AJ42" s="2004"/>
    </row>
    <row r="43" spans="1:36" ht="15" hidden="1" thickBot="1">
      <c r="A43" s="1602"/>
      <c r="B43" s="3017" t="s">
        <v>2344</v>
      </c>
      <c r="C43" s="3189" t="s">
        <v>194</v>
      </c>
      <c r="D43" s="3190"/>
      <c r="E43" s="3190"/>
      <c r="F43" s="3190"/>
      <c r="G43" s="3190"/>
      <c r="H43" s="3190"/>
      <c r="I43" s="3191"/>
      <c r="J43" s="2004"/>
      <c r="K43" s="2004"/>
      <c r="L43" s="2004"/>
      <c r="M43" s="2004"/>
      <c r="O43" s="85"/>
      <c r="P43" s="85" t="s">
        <v>195</v>
      </c>
      <c r="Q43" s="2004"/>
      <c r="R43" s="2004"/>
      <c r="S43" s="2004"/>
      <c r="U43" s="2004"/>
      <c r="V43" s="2004"/>
      <c r="W43" s="2004"/>
      <c r="X43" s="2004"/>
      <c r="Y43" s="2004"/>
      <c r="AA43" s="2004"/>
      <c r="AB43" s="2004"/>
      <c r="AC43" s="2004"/>
      <c r="AD43" s="2004"/>
      <c r="AE43" s="2004"/>
      <c r="AF43" s="2004"/>
      <c r="AG43" s="2004"/>
      <c r="AH43" s="2004"/>
      <c r="AI43" s="2004"/>
      <c r="AJ43" s="2004"/>
    </row>
    <row r="44" spans="1:36" ht="16.5" hidden="1" customHeight="1">
      <c r="A44" s="1602"/>
      <c r="B44" s="587" t="s">
        <v>2394</v>
      </c>
      <c r="C44" s="3192" t="s">
        <v>2395</v>
      </c>
      <c r="D44" s="3193"/>
      <c r="E44" s="3193"/>
      <c r="F44" s="3193"/>
      <c r="G44" s="3193"/>
      <c r="H44" s="3193"/>
      <c r="I44" s="3194"/>
      <c r="J44" s="2004"/>
      <c r="K44" s="2004"/>
      <c r="L44" s="2004"/>
      <c r="M44" s="2004"/>
      <c r="O44" s="645"/>
      <c r="P44" s="645">
        <v>1</v>
      </c>
      <c r="Q44" s="2004"/>
      <c r="R44" s="2004"/>
      <c r="S44" s="2004"/>
      <c r="U44" s="2004"/>
      <c r="V44" s="2004"/>
      <c r="W44" s="2004"/>
      <c r="X44" s="2004"/>
      <c r="Y44" s="2004"/>
      <c r="AA44" s="2004"/>
      <c r="AB44" s="2004"/>
      <c r="AC44" s="2004"/>
      <c r="AD44" s="2004"/>
      <c r="AE44" s="2004"/>
      <c r="AF44" s="2004"/>
      <c r="AG44" s="2004"/>
      <c r="AH44" s="2004"/>
      <c r="AI44" s="2004"/>
      <c r="AJ44" s="2004"/>
    </row>
    <row r="45" spans="1:36" ht="16.5" hidden="1" customHeight="1">
      <c r="A45" s="1602"/>
      <c r="B45" s="587" t="s">
        <v>2396</v>
      </c>
      <c r="C45" s="3187" t="s">
        <v>2397</v>
      </c>
      <c r="D45" s="3195"/>
      <c r="E45" s="3195"/>
      <c r="F45" s="3195"/>
      <c r="G45" s="3195"/>
      <c r="H45" s="3195"/>
      <c r="I45" s="3196"/>
      <c r="J45" s="2004"/>
      <c r="K45" s="2004"/>
      <c r="L45" s="2004"/>
      <c r="M45" s="2004"/>
      <c r="O45" s="645"/>
      <c r="P45" s="645">
        <v>1</v>
      </c>
      <c r="Q45" s="2004"/>
      <c r="R45" s="2004"/>
      <c r="S45" s="2004"/>
      <c r="U45" s="2004"/>
      <c r="V45" s="2004"/>
      <c r="W45" s="2004"/>
      <c r="X45" s="2004"/>
      <c r="Y45" s="2004"/>
      <c r="AA45" s="2004"/>
      <c r="AB45" s="2004"/>
      <c r="AC45" s="2004"/>
      <c r="AD45" s="2004"/>
      <c r="AE45" s="2004"/>
      <c r="AF45" s="2004"/>
      <c r="AG45" s="2004"/>
      <c r="AH45" s="2004"/>
      <c r="AI45" s="2004"/>
      <c r="AJ45" s="2004"/>
    </row>
    <row r="46" spans="1:36" ht="93.2" hidden="1" customHeight="1">
      <c r="A46" s="1602"/>
      <c r="B46" s="587" t="s">
        <v>2398</v>
      </c>
      <c r="C46" s="3192" t="s">
        <v>2399</v>
      </c>
      <c r="D46" s="3193"/>
      <c r="E46" s="3193"/>
      <c r="F46" s="3193"/>
      <c r="G46" s="3193"/>
      <c r="H46" s="3193"/>
      <c r="I46" s="3194"/>
      <c r="J46" s="2004"/>
      <c r="K46" s="2004"/>
      <c r="L46" s="2004"/>
      <c r="M46" s="2004"/>
      <c r="N46" s="579"/>
      <c r="O46" s="645"/>
      <c r="P46" s="645" t="s">
        <v>780</v>
      </c>
      <c r="Q46" s="2004"/>
      <c r="R46" s="2004"/>
      <c r="S46" s="2004"/>
      <c r="U46" s="2004"/>
      <c r="V46" s="2004"/>
      <c r="W46" s="2004"/>
      <c r="X46" s="2004"/>
      <c r="Y46" s="2004"/>
      <c r="AA46" s="2004"/>
      <c r="AB46" s="2004"/>
      <c r="AC46" s="2004"/>
      <c r="AD46" s="2004"/>
      <c r="AE46" s="2004"/>
      <c r="AF46" s="2004"/>
      <c r="AG46" s="2004"/>
      <c r="AH46" s="2004"/>
      <c r="AI46" s="2004"/>
      <c r="AJ46" s="2004"/>
    </row>
    <row r="47" spans="1:36" ht="27" hidden="1" customHeight="1">
      <c r="A47" s="1602"/>
      <c r="B47" s="588" t="s">
        <v>2400</v>
      </c>
      <c r="C47" s="3187" t="s">
        <v>2401</v>
      </c>
      <c r="D47" s="3126"/>
      <c r="E47" s="3126"/>
      <c r="F47" s="3126"/>
      <c r="G47" s="3126"/>
      <c r="H47" s="3126"/>
      <c r="I47" s="3127"/>
      <c r="J47" s="2004"/>
      <c r="K47" s="2004"/>
      <c r="L47" s="2004"/>
      <c r="M47" s="2004"/>
      <c r="N47" s="579"/>
      <c r="O47" s="645"/>
      <c r="P47" s="645" t="s">
        <v>197</v>
      </c>
      <c r="Q47" s="2004"/>
      <c r="R47" s="2004"/>
      <c r="S47" s="2004"/>
      <c r="U47" s="2004"/>
      <c r="V47" s="2004"/>
      <c r="W47" s="2004"/>
      <c r="X47" s="2004"/>
      <c r="Y47" s="2004"/>
      <c r="AA47" s="2004"/>
      <c r="AB47" s="2004"/>
      <c r="AC47" s="2004"/>
      <c r="AD47" s="2004"/>
      <c r="AE47" s="2004"/>
      <c r="AF47" s="2004"/>
      <c r="AG47" s="2004"/>
      <c r="AH47" s="2004"/>
      <c r="AI47" s="2004"/>
      <c r="AJ47" s="2004"/>
    </row>
    <row r="48" spans="1:36" ht="56.85" hidden="1" customHeight="1">
      <c r="A48" s="1602"/>
      <c r="B48" s="588" t="s">
        <v>2402</v>
      </c>
      <c r="C48" s="3187" t="s">
        <v>2403</v>
      </c>
      <c r="D48" s="3126"/>
      <c r="E48" s="3126"/>
      <c r="F48" s="3126"/>
      <c r="G48" s="3126"/>
      <c r="H48" s="3126"/>
      <c r="I48" s="3127"/>
      <c r="J48" s="2004"/>
      <c r="K48" s="2004"/>
      <c r="L48" s="2004"/>
      <c r="M48" s="2004"/>
      <c r="O48" s="646"/>
      <c r="P48" s="646">
        <v>1</v>
      </c>
      <c r="Q48" s="2004"/>
      <c r="R48" s="2004"/>
      <c r="S48" s="2004"/>
      <c r="U48" s="2004"/>
      <c r="V48" s="2004"/>
      <c r="W48" s="2004"/>
      <c r="X48" s="2004"/>
      <c r="Y48" s="2004"/>
      <c r="AA48" s="2004"/>
      <c r="AB48" s="2004"/>
      <c r="AC48" s="2004"/>
      <c r="AD48" s="2004"/>
      <c r="AE48" s="2004"/>
      <c r="AF48" s="2004"/>
      <c r="AG48" s="2004"/>
      <c r="AH48" s="2004"/>
      <c r="AI48" s="2004"/>
      <c r="AJ48" s="2004"/>
    </row>
    <row r="49" spans="1:16" ht="69" hidden="1" customHeight="1">
      <c r="A49" s="1602"/>
      <c r="B49" s="588" t="s">
        <v>2404</v>
      </c>
      <c r="C49" s="3187" t="s">
        <v>2405</v>
      </c>
      <c r="D49" s="3126"/>
      <c r="E49" s="3126"/>
      <c r="F49" s="3126"/>
      <c r="G49" s="3126"/>
      <c r="H49" s="3126"/>
      <c r="I49" s="3127"/>
      <c r="J49" s="2004"/>
      <c r="K49" s="2004"/>
      <c r="L49" s="2004"/>
      <c r="M49" s="2004"/>
      <c r="O49" s="645"/>
      <c r="P49" s="645">
        <v>1</v>
      </c>
    </row>
    <row r="50" spans="1:16" ht="41.25" hidden="1" customHeight="1" thickBot="1">
      <c r="A50" s="1602"/>
      <c r="B50" s="589" t="s">
        <v>2406</v>
      </c>
      <c r="C50" s="3188" t="s">
        <v>2407</v>
      </c>
      <c r="D50" s="3132"/>
      <c r="E50" s="3132"/>
      <c r="F50" s="3132"/>
      <c r="G50" s="3132"/>
      <c r="H50" s="3132"/>
      <c r="I50" s="3133"/>
      <c r="J50" s="2004"/>
      <c r="K50" s="2004"/>
      <c r="L50" s="2004"/>
      <c r="M50" s="2004"/>
      <c r="N50" s="579"/>
      <c r="O50" s="645"/>
      <c r="P50" s="645" t="s">
        <v>780</v>
      </c>
    </row>
    <row r="51" spans="1:16" hidden="1">
      <c r="A51" s="1602"/>
      <c r="B51" s="2004"/>
      <c r="C51" s="2004"/>
      <c r="D51" s="2004"/>
      <c r="E51" s="2004"/>
      <c r="F51" s="2004"/>
      <c r="G51" s="2004"/>
      <c r="H51" s="2004"/>
      <c r="I51" s="2004"/>
      <c r="J51" s="2004"/>
      <c r="K51" s="2004"/>
      <c r="L51" s="2004"/>
      <c r="M51" s="2004"/>
      <c r="O51" s="2004"/>
      <c r="P51" s="2004"/>
    </row>
  </sheetData>
  <sheetProtection algorithmName="SHA-512" hashValue="90OAEduEAnO9E2mE6vEMFo+5yPRhMO32XSsAylfd7wxYayu0OlYtlCAXG1OO01uOpvODZB7bgch7eQ+FSIm+DA==" saltValue="0jevdI5/SgUna16Mln+5r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1184" priority="2" operator="equal">
      <formula>0</formula>
    </cfRule>
  </conditionalFormatting>
  <conditionalFormatting sqref="K5:K29">
    <cfRule type="cellIs" dxfId="1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XFC37"/>
  <sheetViews>
    <sheetView workbookViewId="0">
      <selection activeCell="F10" sqref="F10"/>
    </sheetView>
  </sheetViews>
  <sheetFormatPr defaultColWidth="0" defaultRowHeight="14.25" zeroHeight="1"/>
  <cols>
    <col min="1" max="1" width="1.125" customWidth="1"/>
    <col min="2" max="2" width="5" customWidth="1"/>
    <col min="3" max="3" width="34.5" customWidth="1"/>
    <col min="4" max="5" width="5.125" customWidth="1"/>
    <col min="6" max="6" width="11.125" customWidth="1"/>
    <col min="7" max="7" width="3" customWidth="1"/>
    <col min="8" max="8" width="27.375" customWidth="1"/>
    <col min="9" max="9" width="24" customWidth="1"/>
    <col min="10" max="10" width="1.5" customWidth="1"/>
    <col min="11" max="11" width="1.5" style="565" hidden="1" customWidth="1"/>
    <col min="12" max="12" width="14.5" hidden="1" customWidth="1"/>
    <col min="13" max="13" width="1.5" style="565" hidden="1" customWidth="1"/>
    <col min="14" max="16" width="21.5" hidden="1" customWidth="1"/>
    <col min="17" max="17" width="1.5" style="565" hidden="1" customWidth="1"/>
    <col min="18" max="25" width="9" hidden="1" customWidth="1"/>
    <col min="26" max="26" width="9" customWidth="1"/>
    <col min="27" max="27" width="5" customWidth="1"/>
    <col min="28" max="28" width="34.5" customWidth="1"/>
    <col min="29" max="30" width="5.125" customWidth="1"/>
    <col min="31" max="31" width="14" customWidth="1"/>
    <col min="32" max="32" width="0.5" customWidth="1"/>
    <col min="33" max="16383" width="9" hidden="1"/>
    <col min="16384" max="16384" width="0.375" customWidth="1"/>
  </cols>
  <sheetData>
    <row r="1" spans="2:31" ht="20.25">
      <c r="B1" s="66" t="s">
        <v>2408</v>
      </c>
      <c r="C1" s="66"/>
      <c r="D1" s="67" t="str">
        <f>Validation!B3</f>
        <v>Yorkshire Water</v>
      </c>
      <c r="E1" s="66"/>
      <c r="F1" s="66"/>
      <c r="G1" s="66"/>
      <c r="H1" s="69"/>
      <c r="I1" s="69" t="s">
        <v>34</v>
      </c>
      <c r="J1" s="2004"/>
      <c r="L1" s="2004"/>
      <c r="N1" s="2004"/>
      <c r="O1" s="2004"/>
      <c r="P1" s="2004"/>
      <c r="R1" s="2004"/>
      <c r="S1" s="2004"/>
      <c r="T1" s="2004"/>
      <c r="U1" s="2004"/>
      <c r="V1" s="2004"/>
      <c r="W1" s="2004"/>
      <c r="X1" s="2004"/>
      <c r="Y1" s="2004"/>
      <c r="Z1" s="2004"/>
      <c r="AA1" s="66" t="s">
        <v>35</v>
      </c>
      <c r="AB1" s="66"/>
      <c r="AC1" s="67"/>
      <c r="AD1" s="66"/>
      <c r="AE1" s="66"/>
    </row>
    <row r="2" spans="2:31">
      <c r="B2" s="73" t="s">
        <v>20</v>
      </c>
      <c r="C2" s="2004"/>
      <c r="D2" s="2004"/>
      <c r="E2" s="2004"/>
      <c r="F2" s="2004"/>
      <c r="G2" s="2004"/>
      <c r="H2" s="2004"/>
      <c r="I2" s="2004"/>
      <c r="J2" s="2004"/>
      <c r="L2" s="567" t="s">
        <v>47</v>
      </c>
      <c r="M2" s="568"/>
      <c r="N2" s="569" t="s">
        <v>2409</v>
      </c>
      <c r="O2" s="569"/>
      <c r="P2" s="570"/>
      <c r="Q2" s="568"/>
      <c r="R2" s="570"/>
      <c r="S2" s="570"/>
      <c r="T2" s="2004"/>
      <c r="U2" s="2004"/>
      <c r="V2" s="2004"/>
      <c r="W2" s="2004"/>
      <c r="X2" s="2004"/>
      <c r="Y2" s="2004"/>
      <c r="Z2" s="2004"/>
      <c r="AA2" s="73" t="str">
        <f>+B2</f>
        <v>For the 12 months ended 31 March 2020</v>
      </c>
      <c r="AB2" s="479"/>
      <c r="AC2" s="479"/>
      <c r="AD2" s="479"/>
      <c r="AE2" s="479"/>
    </row>
    <row r="3" spans="2:31" ht="15" thickBot="1">
      <c r="B3" s="2004"/>
      <c r="C3" s="2004"/>
      <c r="D3" s="2004"/>
      <c r="E3" s="2004"/>
      <c r="F3" s="2004"/>
      <c r="G3" s="2004"/>
      <c r="H3" s="2004"/>
      <c r="I3" s="2004"/>
      <c r="J3" s="2004"/>
      <c r="L3" s="164" t="s">
        <v>2410</v>
      </c>
      <c r="M3" s="568"/>
      <c r="N3" s="570" t="s">
        <v>2411</v>
      </c>
      <c r="O3" s="570" t="s">
        <v>2412</v>
      </c>
      <c r="P3" s="570" t="s">
        <v>711</v>
      </c>
      <c r="Q3" s="568"/>
      <c r="R3" s="570"/>
      <c r="S3" s="570"/>
      <c r="T3" s="2004"/>
      <c r="U3" s="2004"/>
      <c r="V3" s="2004"/>
      <c r="W3" s="2004"/>
      <c r="X3" s="2004"/>
      <c r="Y3" s="2004"/>
      <c r="Z3" s="2004"/>
      <c r="AA3" s="479"/>
      <c r="AB3" s="479"/>
      <c r="AC3" s="479"/>
      <c r="AD3" s="479"/>
      <c r="AE3" s="479"/>
    </row>
    <row r="4" spans="2:31" s="563" customFormat="1" ht="15" thickBot="1">
      <c r="B4" s="3155" t="s">
        <v>36</v>
      </c>
      <c r="C4" s="3156"/>
      <c r="D4" s="376" t="s">
        <v>38</v>
      </c>
      <c r="E4" s="297" t="s">
        <v>39</v>
      </c>
      <c r="F4" s="377" t="s">
        <v>2413</v>
      </c>
      <c r="G4" s="564"/>
      <c r="H4" s="261" t="s">
        <v>2414</v>
      </c>
      <c r="I4" s="377" t="s">
        <v>43</v>
      </c>
      <c r="K4" s="566"/>
      <c r="L4" s="571"/>
      <c r="M4" s="572"/>
      <c r="N4" s="573"/>
      <c r="O4" s="573"/>
      <c r="P4" s="573"/>
      <c r="Q4" s="572"/>
      <c r="R4" s="573"/>
      <c r="S4" s="573"/>
      <c r="AA4" s="3155" t="s">
        <v>36</v>
      </c>
      <c r="AB4" s="3156"/>
      <c r="AC4" s="376" t="s">
        <v>38</v>
      </c>
      <c r="AD4" s="297" t="s">
        <v>39</v>
      </c>
      <c r="AE4" s="377" t="s">
        <v>2413</v>
      </c>
    </row>
    <row r="5" spans="2:31" ht="15" thickBot="1">
      <c r="B5" s="2004"/>
      <c r="C5" s="2004"/>
      <c r="D5" s="2004"/>
      <c r="E5" s="2004"/>
      <c r="F5" s="2004"/>
      <c r="G5" s="2004"/>
      <c r="H5" s="2004"/>
      <c r="I5" s="2004"/>
      <c r="J5" s="2004"/>
      <c r="L5" s="570"/>
      <c r="M5" s="574"/>
      <c r="N5" s="570"/>
      <c r="O5" s="570"/>
      <c r="P5" s="570"/>
      <c r="Q5" s="574"/>
      <c r="R5" s="570"/>
      <c r="S5" s="570"/>
      <c r="T5" s="2004"/>
      <c r="U5" s="2004"/>
      <c r="V5" s="2004"/>
      <c r="W5" s="2004"/>
      <c r="X5" s="2004"/>
      <c r="Y5" s="2004"/>
      <c r="Z5" s="2004"/>
      <c r="AA5" s="479"/>
      <c r="AB5" s="479"/>
      <c r="AC5" s="479"/>
      <c r="AD5" s="479"/>
      <c r="AE5" s="479"/>
    </row>
    <row r="6" spans="2:31" ht="15" thickBot="1">
      <c r="B6" s="580" t="s">
        <v>155</v>
      </c>
      <c r="C6" s="557" t="s">
        <v>2415</v>
      </c>
      <c r="D6" s="2004"/>
      <c r="E6" s="2004"/>
      <c r="F6" s="2004"/>
      <c r="G6" s="2004"/>
      <c r="H6" s="2004"/>
      <c r="I6" s="2004"/>
      <c r="J6" s="2004"/>
      <c r="L6" s="575"/>
      <c r="M6" s="574"/>
      <c r="N6" s="576" t="s">
        <v>2416</v>
      </c>
      <c r="O6" s="576" t="s">
        <v>2417</v>
      </c>
      <c r="P6" s="575" t="s">
        <v>2418</v>
      </c>
      <c r="Q6" s="574"/>
      <c r="R6" s="570"/>
      <c r="S6" s="570"/>
      <c r="T6" s="2004"/>
      <c r="U6" s="2004"/>
      <c r="V6" s="2004"/>
      <c r="W6" s="2004"/>
      <c r="X6" s="2004"/>
      <c r="Y6" s="2004"/>
      <c r="Z6" s="2004"/>
      <c r="AA6" s="580" t="s">
        <v>155</v>
      </c>
      <c r="AB6" s="557" t="s">
        <v>2415</v>
      </c>
      <c r="AC6" s="479"/>
      <c r="AD6" s="479"/>
      <c r="AE6" s="479"/>
    </row>
    <row r="7" spans="2:31">
      <c r="B7" s="288" t="s">
        <v>2419</v>
      </c>
      <c r="C7" s="1590" t="s">
        <v>2420</v>
      </c>
      <c r="D7" s="1592" t="s">
        <v>766</v>
      </c>
      <c r="E7" s="1751">
        <v>2</v>
      </c>
      <c r="F7" s="1753">
        <v>4.32</v>
      </c>
      <c r="G7" s="2004"/>
      <c r="H7" s="1594">
        <f>IF(SUM(N7&gt;0),$N$3,0)</f>
        <v>0</v>
      </c>
      <c r="I7" s="1594">
        <f>IF(L7&gt;0, $L$3, 0)</f>
        <v>0</v>
      </c>
      <c r="J7" s="2004"/>
      <c r="L7" s="577">
        <f>IF(ISBLANK(F7), 1, 0)</f>
        <v>0</v>
      </c>
      <c r="M7" s="574"/>
      <c r="N7" s="578">
        <f>IF(AND(F7&gt;=1, F7&lt;=5), 0, 1)</f>
        <v>0</v>
      </c>
      <c r="O7" s="727"/>
      <c r="P7" s="575"/>
      <c r="Q7" s="574"/>
      <c r="R7" s="570"/>
      <c r="S7" s="570"/>
      <c r="T7" s="2004"/>
      <c r="U7" s="2004"/>
      <c r="V7" s="2004"/>
      <c r="W7" s="2004"/>
      <c r="X7" s="2004"/>
      <c r="Y7" s="2004"/>
      <c r="Z7" s="2004"/>
      <c r="AA7" s="288" t="s">
        <v>2419</v>
      </c>
      <c r="AB7" s="2623" t="s">
        <v>2420</v>
      </c>
      <c r="AC7" s="2624" t="s">
        <v>766</v>
      </c>
      <c r="AD7" s="2625">
        <v>2</v>
      </c>
      <c r="AE7" s="2626" t="s">
        <v>2421</v>
      </c>
    </row>
    <row r="8" spans="2:31">
      <c r="B8" s="289" t="s">
        <v>2422</v>
      </c>
      <c r="C8" s="1591" t="s">
        <v>2423</v>
      </c>
      <c r="D8" s="1593" t="s">
        <v>766</v>
      </c>
      <c r="E8" s="1752">
        <v>2</v>
      </c>
      <c r="F8" s="1754">
        <v>4.01</v>
      </c>
      <c r="G8" s="2004"/>
      <c r="H8" s="1594">
        <f t="shared" ref="H8:H9" si="0">IF(SUM(N8&gt;0),$N$3,0)</f>
        <v>0</v>
      </c>
      <c r="I8" s="1594">
        <f t="shared" ref="I8:I10" si="1">IF(L8&gt;0, $L$3, 0)</f>
        <v>0</v>
      </c>
      <c r="J8" s="2004"/>
      <c r="L8" s="577">
        <f t="shared" ref="L8:L10" si="2">IF(ISBLANK(F8), 1, 0)</f>
        <v>0</v>
      </c>
      <c r="M8" s="574"/>
      <c r="N8" s="578">
        <f t="shared" ref="N8:N10" si="3">IF(AND(F8&gt;=1, F8&lt;=5), 0, 1)</f>
        <v>0</v>
      </c>
      <c r="O8" s="727"/>
      <c r="P8" s="575"/>
      <c r="Q8" s="574"/>
      <c r="R8" s="570"/>
      <c r="S8" s="570"/>
      <c r="T8" s="2004"/>
      <c r="U8" s="2004"/>
      <c r="V8" s="2004"/>
      <c r="W8" s="2004"/>
      <c r="X8" s="2004"/>
      <c r="Y8" s="2004"/>
      <c r="Z8" s="2004"/>
      <c r="AA8" s="289" t="s">
        <v>2422</v>
      </c>
      <c r="AB8" s="2627" t="s">
        <v>2423</v>
      </c>
      <c r="AC8" s="2628" t="s">
        <v>766</v>
      </c>
      <c r="AD8" s="2629">
        <v>2</v>
      </c>
      <c r="AE8" s="2630" t="s">
        <v>2424</v>
      </c>
    </row>
    <row r="9" spans="2:31">
      <c r="B9" s="289" t="s">
        <v>2425</v>
      </c>
      <c r="C9" s="1591" t="s">
        <v>2426</v>
      </c>
      <c r="D9" s="1593" t="s">
        <v>766</v>
      </c>
      <c r="E9" s="1752">
        <v>2</v>
      </c>
      <c r="F9" s="1754">
        <v>4.26</v>
      </c>
      <c r="G9" s="2004"/>
      <c r="H9" s="1594">
        <f t="shared" si="0"/>
        <v>0</v>
      </c>
      <c r="I9" s="1594">
        <f t="shared" si="1"/>
        <v>0</v>
      </c>
      <c r="J9" s="2004"/>
      <c r="L9" s="577">
        <f t="shared" si="2"/>
        <v>0</v>
      </c>
      <c r="M9" s="574"/>
      <c r="N9" s="578">
        <f t="shared" si="3"/>
        <v>0</v>
      </c>
      <c r="O9" s="727"/>
      <c r="P9" s="575"/>
      <c r="Q9" s="574"/>
      <c r="R9" s="570"/>
      <c r="S9" s="570"/>
      <c r="T9" s="2004"/>
      <c r="U9" s="2004"/>
      <c r="V9" s="2004"/>
      <c r="W9" s="2004"/>
      <c r="X9" s="2004"/>
      <c r="Y9" s="2004"/>
      <c r="Z9" s="2004"/>
      <c r="AA9" s="289" t="s">
        <v>2425</v>
      </c>
      <c r="AB9" s="2627" t="s">
        <v>2426</v>
      </c>
      <c r="AC9" s="2628" t="s">
        <v>766</v>
      </c>
      <c r="AD9" s="2629">
        <v>2</v>
      </c>
      <c r="AE9" s="2630" t="s">
        <v>2427</v>
      </c>
    </row>
    <row r="10" spans="2:31">
      <c r="B10" s="289" t="s">
        <v>2428</v>
      </c>
      <c r="C10" s="1591" t="s">
        <v>2429</v>
      </c>
      <c r="D10" s="1593" t="s">
        <v>766</v>
      </c>
      <c r="E10" s="1752">
        <v>2</v>
      </c>
      <c r="F10" s="1754">
        <v>4.43</v>
      </c>
      <c r="G10" s="2004"/>
      <c r="H10" s="1594">
        <f>IF(SUM(N10&gt;0),$N$3,0)</f>
        <v>0</v>
      </c>
      <c r="I10" s="1594">
        <f t="shared" si="1"/>
        <v>0</v>
      </c>
      <c r="J10" s="2004"/>
      <c r="L10" s="577">
        <f t="shared" si="2"/>
        <v>0</v>
      </c>
      <c r="M10" s="574"/>
      <c r="N10" s="578">
        <f t="shared" si="3"/>
        <v>0</v>
      </c>
      <c r="O10" s="727"/>
      <c r="P10" s="575"/>
      <c r="Q10" s="574"/>
      <c r="R10" s="570"/>
      <c r="S10" s="570"/>
      <c r="T10" s="2004"/>
      <c r="U10" s="2004"/>
      <c r="V10" s="2004"/>
      <c r="W10" s="2004"/>
      <c r="X10" s="2004"/>
      <c r="Y10" s="2004"/>
      <c r="Z10" s="2004"/>
      <c r="AA10" s="289" t="s">
        <v>2428</v>
      </c>
      <c r="AB10" s="2627" t="s">
        <v>2429</v>
      </c>
      <c r="AC10" s="2628" t="s">
        <v>766</v>
      </c>
      <c r="AD10" s="2629">
        <v>2</v>
      </c>
      <c r="AE10" s="2630" t="s">
        <v>2430</v>
      </c>
    </row>
    <row r="11" spans="2:31" ht="15" thickBot="1">
      <c r="B11" s="2186" t="s">
        <v>2431</v>
      </c>
      <c r="C11" s="1591" t="s">
        <v>2432</v>
      </c>
      <c r="D11" s="1593" t="s">
        <v>766</v>
      </c>
      <c r="E11" s="1752">
        <v>2</v>
      </c>
      <c r="F11" s="1754">
        <v>63.75</v>
      </c>
      <c r="G11" s="2004"/>
      <c r="H11" s="1594">
        <f>IF(SUM(O11&gt;0),$O$3,0)</f>
        <v>0</v>
      </c>
      <c r="I11" s="1594">
        <f>IF(L11&gt;0, $L$3, 0)</f>
        <v>0</v>
      </c>
      <c r="J11" s="2004"/>
      <c r="L11" s="577">
        <f t="shared" ref="L11" si="4">IF(ISBLANK(F11), 1, 0)</f>
        <v>0</v>
      </c>
      <c r="M11" s="574"/>
      <c r="N11" s="576"/>
      <c r="O11" s="578">
        <f>IF(AND(F11&gt;=1, F11&lt;=75), 0, 1)</f>
        <v>0</v>
      </c>
      <c r="P11" s="575"/>
      <c r="Q11" s="574"/>
      <c r="R11" s="570"/>
      <c r="S11" s="570"/>
      <c r="T11" s="2004"/>
      <c r="U11" s="2004"/>
      <c r="V11" s="2004"/>
      <c r="W11" s="2004"/>
      <c r="X11" s="2004"/>
      <c r="Y11" s="2004"/>
      <c r="Z11" s="2004"/>
      <c r="AA11" s="290" t="s">
        <v>2431</v>
      </c>
      <c r="AB11" s="2631" t="s">
        <v>2432</v>
      </c>
      <c r="AC11" s="2632" t="s">
        <v>766</v>
      </c>
      <c r="AD11" s="2633">
        <v>2</v>
      </c>
      <c r="AE11" s="2634" t="s">
        <v>2433</v>
      </c>
    </row>
    <row r="12" spans="2:31">
      <c r="B12" s="2178" t="s">
        <v>2434</v>
      </c>
      <c r="C12" s="2251" t="s">
        <v>2435</v>
      </c>
      <c r="D12" s="2179" t="s">
        <v>766</v>
      </c>
      <c r="E12" s="2180">
        <v>2</v>
      </c>
      <c r="F12" s="2181">
        <v>16.579999999999998</v>
      </c>
      <c r="G12" s="2004"/>
      <c r="H12" s="1594">
        <f>IF(SUM(P12)&gt;0, P3, 0)</f>
        <v>0</v>
      </c>
      <c r="I12" s="1594">
        <f t="shared" ref="I12" si="5">IF(L12&gt;0, $L$3, 0)</f>
        <v>0</v>
      </c>
      <c r="J12" s="2004"/>
      <c r="L12" s="577">
        <f t="shared" ref="L12" si="6">IF(ISBLANK(F12), 1, 0)</f>
        <v>0</v>
      </c>
      <c r="M12" s="574"/>
      <c r="N12" s="576"/>
      <c r="O12" s="576"/>
      <c r="P12" s="577">
        <f>IF(ISNUMBER(F12), IF(F12&gt;0, 0, 1), 1)</f>
        <v>0</v>
      </c>
      <c r="Q12" s="574"/>
      <c r="R12" s="570"/>
      <c r="S12" s="570"/>
      <c r="T12" s="2004"/>
      <c r="U12" s="2004"/>
      <c r="V12" s="2004"/>
      <c r="W12" s="2004"/>
      <c r="X12" s="2004"/>
      <c r="Y12" s="2004"/>
      <c r="Z12" s="2004"/>
      <c r="AA12" s="558" t="s">
        <v>2434</v>
      </c>
      <c r="AB12" s="2635" t="s">
        <v>2435</v>
      </c>
      <c r="AC12" s="2624" t="s">
        <v>766</v>
      </c>
      <c r="AD12" s="2625">
        <v>2</v>
      </c>
      <c r="AE12" s="2626" t="s">
        <v>2436</v>
      </c>
    </row>
    <row r="13" spans="2:31" ht="15" thickBot="1">
      <c r="B13" s="2186" t="s">
        <v>2437</v>
      </c>
      <c r="C13" s="1591" t="s">
        <v>2438</v>
      </c>
      <c r="D13" s="1593" t="s">
        <v>766</v>
      </c>
      <c r="E13" s="1752">
        <v>2</v>
      </c>
      <c r="F13" s="2187">
        <f>IF(F12&gt;75, 0, (1-((F12-0)/(75-0)))*25)</f>
        <v>19.473333333333333</v>
      </c>
      <c r="G13" s="2004"/>
      <c r="H13" s="570"/>
      <c r="I13" s="570"/>
      <c r="J13" s="2004"/>
      <c r="L13" s="570"/>
      <c r="M13" s="574"/>
      <c r="N13" s="570"/>
      <c r="O13" s="570"/>
      <c r="P13" s="570"/>
      <c r="Q13" s="574"/>
      <c r="R13" s="570"/>
      <c r="S13" s="570"/>
      <c r="T13" s="2004"/>
      <c r="U13" s="2004"/>
      <c r="V13" s="2004"/>
      <c r="W13" s="2004"/>
      <c r="X13" s="2004"/>
      <c r="Y13" s="2004"/>
      <c r="Z13" s="2004"/>
      <c r="AA13" s="559" t="s">
        <v>2437</v>
      </c>
      <c r="AB13" s="2636" t="s">
        <v>2438</v>
      </c>
      <c r="AC13" s="2632" t="s">
        <v>766</v>
      </c>
      <c r="AD13" s="2633">
        <v>2</v>
      </c>
      <c r="AE13" s="581" t="s">
        <v>2439</v>
      </c>
    </row>
    <row r="14" spans="2:31" ht="15" thickBot="1">
      <c r="B14" s="2250" t="s">
        <v>2440</v>
      </c>
      <c r="C14" s="2182" t="s">
        <v>2441</v>
      </c>
      <c r="D14" s="2183" t="s">
        <v>766</v>
      </c>
      <c r="E14" s="2184">
        <v>2</v>
      </c>
      <c r="F14" s="2185">
        <f>F13+F11</f>
        <v>83.223333333333329</v>
      </c>
      <c r="G14" s="2004"/>
      <c r="H14" s="570"/>
      <c r="I14" s="570"/>
      <c r="J14" s="2004"/>
      <c r="L14" s="2004"/>
      <c r="N14" s="2004"/>
      <c r="O14" s="2004"/>
      <c r="P14" s="2004"/>
      <c r="R14" s="2004"/>
      <c r="S14" s="2004"/>
      <c r="T14" s="2004"/>
      <c r="U14" s="2004"/>
      <c r="V14" s="2004"/>
      <c r="W14" s="2004"/>
      <c r="X14" s="2004"/>
      <c r="Y14" s="2004"/>
      <c r="Z14" s="2004"/>
      <c r="AA14" s="338" t="s">
        <v>2440</v>
      </c>
      <c r="AB14" s="2637" t="s">
        <v>2441</v>
      </c>
      <c r="AC14" s="2638" t="s">
        <v>766</v>
      </c>
      <c r="AD14" s="2639">
        <v>2</v>
      </c>
      <c r="AE14" s="861" t="s">
        <v>2442</v>
      </c>
    </row>
    <row r="15" spans="2:31">
      <c r="B15" s="2004"/>
      <c r="C15" s="2004"/>
      <c r="D15" s="2004"/>
      <c r="E15" s="2004"/>
      <c r="F15" s="2004"/>
      <c r="G15" s="2004"/>
      <c r="H15" s="2004"/>
      <c r="I15" s="2004"/>
      <c r="J15" s="2004"/>
      <c r="L15" s="2004"/>
      <c r="N15" s="2004"/>
      <c r="O15" s="2004"/>
      <c r="P15" s="2004"/>
      <c r="R15" s="2004"/>
      <c r="S15" s="2004"/>
      <c r="T15" s="2004"/>
      <c r="U15" s="2004"/>
      <c r="V15" s="2004"/>
      <c r="W15" s="2004"/>
      <c r="X15" s="2004"/>
      <c r="Y15" s="2004"/>
      <c r="Z15" s="2004"/>
      <c r="AA15" s="479"/>
      <c r="AB15" s="479"/>
      <c r="AC15" s="479"/>
      <c r="AD15" s="479"/>
      <c r="AE15" s="479"/>
    </row>
    <row r="16" spans="2:31">
      <c r="B16" s="2988" t="s">
        <v>243</v>
      </c>
      <c r="C16" s="2988"/>
      <c r="D16" s="2004"/>
      <c r="E16" s="2004"/>
      <c r="F16" s="2004"/>
      <c r="G16" s="2004"/>
      <c r="H16" s="2004"/>
      <c r="I16" s="2004"/>
      <c r="J16" s="2004"/>
      <c r="L16" s="2004"/>
      <c r="N16" s="2004"/>
      <c r="O16" s="2004"/>
      <c r="P16" s="2004"/>
      <c r="R16" s="2004"/>
      <c r="S16" s="2004"/>
      <c r="T16" s="2004"/>
      <c r="U16" s="2004"/>
      <c r="V16" s="2004"/>
      <c r="W16" s="2004"/>
      <c r="X16" s="2004"/>
      <c r="Y16" s="2004"/>
      <c r="Z16" s="2004"/>
      <c r="AA16" s="479"/>
      <c r="AB16" s="479"/>
      <c r="AC16" s="479"/>
      <c r="AD16" s="479"/>
      <c r="AE16" s="479"/>
    </row>
    <row r="17" spans="1:12" ht="11.25" customHeight="1">
      <c r="A17" s="2004"/>
      <c r="B17" s="141"/>
      <c r="C17" s="141"/>
      <c r="D17" s="2004"/>
      <c r="E17" s="2004"/>
      <c r="F17" s="2004"/>
      <c r="G17" s="2004"/>
      <c r="H17" s="2004"/>
      <c r="I17" s="2004"/>
      <c r="J17" s="2004"/>
      <c r="L17" s="2004"/>
    </row>
    <row r="18" spans="1:12">
      <c r="A18" s="2004"/>
      <c r="B18" s="25"/>
      <c r="C18" s="143" t="s">
        <v>190</v>
      </c>
      <c r="D18" s="2004"/>
      <c r="E18" s="2004"/>
      <c r="F18" s="2004"/>
      <c r="G18" s="2004"/>
      <c r="H18" s="2004"/>
      <c r="I18" s="2004"/>
      <c r="J18" s="2004"/>
      <c r="L18" s="2004"/>
    </row>
    <row r="19" spans="1:12" ht="11.25" customHeight="1">
      <c r="A19" s="2004"/>
      <c r="B19" s="141"/>
      <c r="C19" s="142"/>
      <c r="D19" s="2004"/>
      <c r="E19" s="2004"/>
      <c r="F19" s="2004"/>
      <c r="G19" s="2004"/>
      <c r="H19" s="2004"/>
      <c r="I19" s="2004"/>
      <c r="J19" s="2004"/>
      <c r="L19" s="2004"/>
    </row>
    <row r="20" spans="1:12">
      <c r="A20" s="2004"/>
      <c r="B20" s="144"/>
      <c r="C20" s="143" t="s">
        <v>191</v>
      </c>
      <c r="D20" s="2004"/>
      <c r="E20" s="2004"/>
      <c r="F20" s="2004"/>
      <c r="G20" s="2004"/>
      <c r="H20" s="2004"/>
      <c r="I20" s="2004"/>
      <c r="J20" s="2004"/>
      <c r="L20" s="2004"/>
    </row>
    <row r="21" spans="1:12">
      <c r="A21" s="2004"/>
      <c r="B21" s="145"/>
      <c r="C21" s="143"/>
      <c r="D21" s="2004"/>
      <c r="E21" s="2004"/>
      <c r="F21" s="2004"/>
      <c r="G21" s="2004"/>
      <c r="H21" s="2004"/>
      <c r="I21" s="2004"/>
      <c r="J21" s="2004"/>
      <c r="L21" s="2004"/>
    </row>
    <row r="22" spans="1:12" ht="15" thickBot="1">
      <c r="A22" s="2004"/>
      <c r="B22" s="2004"/>
      <c r="C22" s="2004"/>
      <c r="D22" s="2004"/>
      <c r="E22" s="2004"/>
      <c r="F22" s="2004"/>
      <c r="G22" s="2004"/>
      <c r="H22" s="2004"/>
      <c r="I22" s="2004"/>
      <c r="J22" s="2004"/>
      <c r="L22" s="2004"/>
    </row>
    <row r="23" spans="1:12" ht="66.599999999999994" customHeight="1">
      <c r="A23" s="2004"/>
      <c r="B23" s="3197" t="s">
        <v>2443</v>
      </c>
      <c r="C23" s="3198"/>
      <c r="D23" s="3198"/>
      <c r="E23" s="3198"/>
      <c r="F23" s="3199"/>
      <c r="G23" s="2004"/>
      <c r="H23" s="2004"/>
      <c r="I23" s="2004"/>
      <c r="J23" s="2004"/>
      <c r="L23" s="1322" t="s">
        <v>780</v>
      </c>
    </row>
    <row r="24" spans="1:12">
      <c r="A24" s="2004"/>
      <c r="B24" s="2004"/>
      <c r="C24" s="2004"/>
      <c r="D24" s="2004"/>
      <c r="E24" s="2004"/>
      <c r="F24" s="2004"/>
      <c r="G24" s="2004"/>
      <c r="H24" s="2004"/>
      <c r="I24" s="2004"/>
      <c r="J24" s="2004"/>
      <c r="L24" s="2004"/>
    </row>
    <row r="25" spans="1:12" ht="16.5" hidden="1" thickBot="1">
      <c r="A25" s="1602"/>
      <c r="B25" s="146" t="str">
        <f ca="1" xml:space="preserve"> RIGHT(CELL("filename", $A$1), LEN(CELL("filename", $A$1)) - SEARCH("]", CELL("filename", $A$1)))&amp;" - Line definitions"</f>
        <v>3D - Line definitions</v>
      </c>
      <c r="C25" s="147"/>
      <c r="D25" s="148"/>
      <c r="E25" s="148"/>
      <c r="F25" s="251"/>
      <c r="G25" s="2004"/>
      <c r="H25" s="2004"/>
      <c r="I25" s="2004"/>
      <c r="J25" s="2004"/>
      <c r="L25" s="2004"/>
    </row>
    <row r="26" spans="1:12" ht="15" hidden="1" thickBot="1">
      <c r="A26" s="1602"/>
      <c r="B26" s="74"/>
      <c r="C26" s="155"/>
      <c r="D26" s="74"/>
      <c r="E26" s="74"/>
      <c r="F26" s="74"/>
      <c r="G26" s="2004"/>
      <c r="H26" s="2004"/>
      <c r="I26" s="2004"/>
      <c r="J26" s="2004"/>
      <c r="L26" s="2004"/>
    </row>
    <row r="27" spans="1:12" ht="15" hidden="1" thickBot="1">
      <c r="A27" s="1602"/>
      <c r="B27" s="3024" t="s">
        <v>193</v>
      </c>
      <c r="C27" s="3019" t="s">
        <v>194</v>
      </c>
      <c r="D27" s="322"/>
      <c r="E27" s="322"/>
      <c r="F27" s="560"/>
      <c r="G27" s="2004"/>
      <c r="H27" s="2004"/>
      <c r="I27" s="2004"/>
      <c r="J27" s="2004"/>
      <c r="L27" s="85" t="s">
        <v>195</v>
      </c>
    </row>
    <row r="28" spans="1:12" ht="13.7" hidden="1" customHeight="1">
      <c r="A28" s="1602"/>
      <c r="B28" s="561" t="s">
        <v>2419</v>
      </c>
      <c r="C28" s="3128" t="s">
        <v>2444</v>
      </c>
      <c r="D28" s="3129"/>
      <c r="E28" s="3129"/>
      <c r="F28" s="3130"/>
      <c r="G28" s="2004"/>
      <c r="H28" s="2004"/>
      <c r="I28" s="2004"/>
      <c r="J28" s="2004"/>
      <c r="L28" s="648">
        <v>1</v>
      </c>
    </row>
    <row r="29" spans="1:12" ht="13.7" hidden="1" customHeight="1">
      <c r="A29" s="1602"/>
      <c r="B29" s="561" t="s">
        <v>2422</v>
      </c>
      <c r="C29" s="3125" t="s">
        <v>2445</v>
      </c>
      <c r="D29" s="3126"/>
      <c r="E29" s="3126"/>
      <c r="F29" s="3127"/>
      <c r="G29" s="2004"/>
      <c r="H29" s="2004"/>
      <c r="I29" s="2004"/>
      <c r="J29" s="2004"/>
      <c r="L29" s="648">
        <v>1</v>
      </c>
    </row>
    <row r="30" spans="1:12" ht="13.7" hidden="1" customHeight="1">
      <c r="A30" s="1602"/>
      <c r="B30" s="561" t="s">
        <v>2425</v>
      </c>
      <c r="C30" s="3125" t="s">
        <v>2446</v>
      </c>
      <c r="D30" s="3126"/>
      <c r="E30" s="3126"/>
      <c r="F30" s="3127"/>
      <c r="G30" s="2004"/>
      <c r="H30" s="2004"/>
      <c r="I30" s="2004"/>
      <c r="J30" s="2004"/>
      <c r="L30" s="648">
        <v>1</v>
      </c>
    </row>
    <row r="31" spans="1:12" ht="14.25" hidden="1" customHeight="1">
      <c r="A31" s="1602"/>
      <c r="B31" s="561" t="s">
        <v>2428</v>
      </c>
      <c r="C31" s="3125" t="s">
        <v>2447</v>
      </c>
      <c r="D31" s="3126"/>
      <c r="E31" s="3126"/>
      <c r="F31" s="3127"/>
      <c r="G31" s="2004"/>
      <c r="H31" s="2004"/>
      <c r="I31" s="2004"/>
      <c r="J31" s="2004"/>
      <c r="L31" s="647">
        <v>1</v>
      </c>
    </row>
    <row r="32" spans="1:12" ht="108" hidden="1" customHeight="1">
      <c r="A32" s="1602"/>
      <c r="B32" s="561" t="s">
        <v>2431</v>
      </c>
      <c r="C32" s="3200" t="s">
        <v>2448</v>
      </c>
      <c r="D32" s="3201"/>
      <c r="E32" s="3201"/>
      <c r="F32" s="3202"/>
      <c r="G32" s="2004"/>
      <c r="H32" s="2004"/>
      <c r="I32" s="2004"/>
      <c r="J32" s="2004"/>
      <c r="K32" s="579"/>
      <c r="L32" s="790" t="s">
        <v>789</v>
      </c>
    </row>
    <row r="33" spans="1:12" ht="59.25" hidden="1" customHeight="1">
      <c r="A33" s="1602"/>
      <c r="B33" s="561" t="s">
        <v>2434</v>
      </c>
      <c r="C33" s="3200" t="s">
        <v>2449</v>
      </c>
      <c r="D33" s="3201"/>
      <c r="E33" s="3201"/>
      <c r="F33" s="3202"/>
      <c r="G33" s="2004"/>
      <c r="H33" s="2004"/>
      <c r="I33" s="2004"/>
      <c r="J33" s="2004"/>
      <c r="K33" s="579"/>
      <c r="L33" s="643" t="s">
        <v>2214</v>
      </c>
    </row>
    <row r="34" spans="1:12" ht="90.75" hidden="1" customHeight="1">
      <c r="A34" s="1602"/>
      <c r="B34" s="561" t="s">
        <v>2437</v>
      </c>
      <c r="C34" s="3200" t="s">
        <v>2450</v>
      </c>
      <c r="D34" s="3201"/>
      <c r="E34" s="3201"/>
      <c r="F34" s="3202"/>
      <c r="G34" s="2004"/>
      <c r="H34" s="2004"/>
      <c r="I34" s="2004"/>
      <c r="J34" s="2004"/>
      <c r="K34" s="579"/>
      <c r="L34" s="790" t="s">
        <v>784</v>
      </c>
    </row>
    <row r="35" spans="1:12" ht="27.75" hidden="1" customHeight="1" thickBot="1">
      <c r="A35" s="1602"/>
      <c r="B35" s="562" t="s">
        <v>2440</v>
      </c>
      <c r="C35" s="3203" t="s">
        <v>2451</v>
      </c>
      <c r="D35" s="3204"/>
      <c r="E35" s="3204"/>
      <c r="F35" s="3205"/>
      <c r="G35" s="2004"/>
      <c r="H35" s="2004"/>
      <c r="I35" s="2004"/>
      <c r="J35" s="2004"/>
      <c r="L35" s="791" t="s">
        <v>197</v>
      </c>
    </row>
    <row r="36" spans="1:12" hidden="1">
      <c r="A36" s="1602"/>
      <c r="B36" s="2004"/>
      <c r="C36" s="2004"/>
      <c r="D36" s="2004"/>
      <c r="E36" s="2004"/>
      <c r="F36" s="2004"/>
      <c r="G36" s="2004"/>
      <c r="H36" s="2004"/>
      <c r="I36" s="2004"/>
      <c r="J36" s="2004"/>
      <c r="L36" s="644"/>
    </row>
    <row r="37" spans="1:12" hidden="1">
      <c r="A37" s="1602"/>
      <c r="B37" s="2004"/>
      <c r="C37" s="2004"/>
      <c r="D37" s="2004"/>
      <c r="E37" s="2004"/>
      <c r="F37" s="2004"/>
      <c r="G37" s="2004"/>
      <c r="H37" s="2004"/>
      <c r="I37" s="2004"/>
      <c r="J37" s="2004"/>
      <c r="L37" s="2004"/>
    </row>
  </sheetData>
  <sheetProtection algorithmName="SHA-512" hashValue="rS53ruPiy/+Blh5mgmgFeRmj4644TF7u0LIzLhk1HePSoyYBeT0kGeQYUqJ2Tf0fZnKvtjkxTJvGnmy7iNt6kw==" saltValue="gdP34Y43qLpKtvkK8MPfxQ==" spinCount="100000" sheet="1" objects="1" scenarios="1"/>
  <mergeCells count="11">
    <mergeCell ref="C35:F35"/>
    <mergeCell ref="C28:F28"/>
    <mergeCell ref="C29:F29"/>
    <mergeCell ref="C30:F30"/>
    <mergeCell ref="C31:F31"/>
    <mergeCell ref="C32:F32"/>
    <mergeCell ref="AA4:AB4"/>
    <mergeCell ref="B4:C4"/>
    <mergeCell ref="B23:F23"/>
    <mergeCell ref="C33:F33"/>
    <mergeCell ref="C34:F34"/>
  </mergeCells>
  <conditionalFormatting sqref="I7:I10 I12">
    <cfRule type="cellIs" dxfId="1182" priority="6" operator="equal">
      <formula>0</formula>
    </cfRule>
  </conditionalFormatting>
  <conditionalFormatting sqref="H12">
    <cfRule type="cellIs" dxfId="1181" priority="4" operator="equal">
      <formula>0</formula>
    </cfRule>
  </conditionalFormatting>
  <conditionalFormatting sqref="H7:H10">
    <cfRule type="cellIs" dxfId="1180" priority="5" operator="equal">
      <formula>0</formula>
    </cfRule>
  </conditionalFormatting>
  <conditionalFormatting sqref="I11">
    <cfRule type="cellIs" dxfId="1179" priority="3" operator="equal">
      <formula>0</formula>
    </cfRule>
  </conditionalFormatting>
  <conditionalFormatting sqref="H11">
    <cfRule type="cellIs" dxfId="11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2">
    <pageSetUpPr fitToPage="1"/>
  </sheetPr>
  <dimension ref="A1:XC177"/>
  <sheetViews>
    <sheetView topLeftCell="A29" zoomScale="85" zoomScaleNormal="85" workbookViewId="0">
      <selection activeCell="J55" sqref="J55"/>
    </sheetView>
  </sheetViews>
  <sheetFormatPr defaultColWidth="0" defaultRowHeight="14.25" zeroHeight="1"/>
  <cols>
    <col min="1" max="1" width="1.125" style="479" customWidth="1"/>
    <col min="2" max="2" width="6.5" style="479" customWidth="1"/>
    <col min="3" max="3" width="68.5" style="479" customWidth="1"/>
    <col min="4" max="4" width="17.125" style="479" customWidth="1"/>
    <col min="5" max="313" width="8.5" style="479" customWidth="1"/>
    <col min="314" max="314" width="1.5" style="479" customWidth="1"/>
    <col min="315" max="315" width="30.125" style="479" customWidth="1"/>
    <col min="316" max="316" width="2.125" style="479" customWidth="1"/>
    <col min="317" max="317" width="1.125" style="565" customWidth="1"/>
    <col min="318" max="318" width="25.5" style="479" hidden="1" customWidth="1"/>
    <col min="319" max="626" width="8.5" style="479" hidden="1" customWidth="1"/>
    <col min="627" max="627" width="1.5" style="565" customWidth="1"/>
    <col min="628" max="16384" width="8.5" style="479" hidden="1"/>
  </cols>
  <sheetData>
    <row r="1" spans="1:627" ht="7.5" customHeight="1">
      <c r="A1" s="479" t="s">
        <v>2452</v>
      </c>
    </row>
    <row r="2" spans="1:627" ht="22.7" customHeight="1">
      <c r="A2" s="1802"/>
      <c r="B2" s="1803" t="s">
        <v>2453</v>
      </c>
      <c r="C2" s="1804"/>
      <c r="D2" s="1805"/>
      <c r="E2" s="1805"/>
      <c r="F2" s="1806"/>
      <c r="G2" s="1805"/>
      <c r="H2" s="1807"/>
      <c r="I2" s="1808"/>
      <c r="J2" s="2964" t="str">
        <f>Validation!B3</f>
        <v>Yorkshire Water</v>
      </c>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c r="AT2" s="1808"/>
      <c r="AU2" s="1808"/>
      <c r="AV2" s="1808"/>
      <c r="AW2" s="1808"/>
      <c r="AX2" s="1808"/>
      <c r="AY2" s="1808"/>
      <c r="AZ2" s="1808"/>
      <c r="BA2" s="1808"/>
      <c r="BB2" s="1808"/>
      <c r="BC2" s="1808"/>
      <c r="BD2" s="1808"/>
      <c r="BE2" s="1808"/>
      <c r="BF2" s="1808"/>
      <c r="BG2" s="1808"/>
      <c r="BH2" s="1808"/>
      <c r="BI2" s="1808"/>
      <c r="BJ2" s="1808"/>
      <c r="BK2" s="1808"/>
      <c r="BL2" s="1808"/>
      <c r="BM2" s="1808"/>
      <c r="BN2" s="1808"/>
      <c r="BO2" s="1808"/>
      <c r="BP2" s="1808"/>
      <c r="BQ2" s="1808"/>
      <c r="BR2" s="1808"/>
      <c r="BS2" s="1808"/>
      <c r="BT2" s="1808"/>
      <c r="BU2" s="68"/>
      <c r="BV2" s="1808"/>
      <c r="BW2" s="1808"/>
      <c r="BX2" s="1808"/>
      <c r="BY2" s="1808"/>
      <c r="BZ2" s="1808"/>
      <c r="CA2" s="1808"/>
      <c r="CB2" s="1808"/>
      <c r="CC2" s="1808"/>
      <c r="CD2" s="2964" t="str">
        <f>Validation!B3</f>
        <v>Yorkshire Water</v>
      </c>
      <c r="CE2" s="1808"/>
      <c r="CF2" s="1808"/>
      <c r="CG2" s="1808"/>
      <c r="CH2" s="1808"/>
      <c r="CI2" s="1808"/>
      <c r="CJ2" s="1808"/>
      <c r="CK2" s="1808"/>
      <c r="CL2" s="1808"/>
      <c r="CM2" s="1808"/>
      <c r="CN2" s="1808"/>
      <c r="CO2" s="68"/>
      <c r="CP2" s="1808"/>
      <c r="CQ2" s="1808"/>
      <c r="CR2" s="1808"/>
      <c r="CS2" s="1808"/>
      <c r="CT2" s="1808"/>
      <c r="CU2" s="1808"/>
      <c r="CV2" s="1808"/>
      <c r="CW2" s="1808"/>
      <c r="CX2" s="1808"/>
      <c r="CY2" s="1808"/>
      <c r="CZ2" s="1808"/>
      <c r="DA2" s="1808"/>
      <c r="DB2" s="2965" t="str">
        <f>Validation!B3</f>
        <v>Yorkshire Water</v>
      </c>
      <c r="DC2" s="1808"/>
      <c r="DD2" s="1808"/>
      <c r="DE2" s="1808"/>
      <c r="DF2" s="1808"/>
      <c r="DG2" s="1808"/>
      <c r="DH2" s="1808"/>
      <c r="DI2" s="68"/>
      <c r="DJ2" s="1808"/>
      <c r="DK2" s="1808"/>
      <c r="DL2" s="1808"/>
      <c r="DM2" s="1808"/>
      <c r="DN2" s="1808"/>
      <c r="DO2" s="1808"/>
      <c r="DP2" s="1808"/>
      <c r="DQ2" s="1808"/>
      <c r="DR2" s="1808"/>
      <c r="DS2" s="1808"/>
      <c r="DT2" s="1808"/>
      <c r="DU2" s="1808"/>
      <c r="DV2" s="1808"/>
      <c r="DW2" s="1808"/>
      <c r="DX2" s="1808"/>
      <c r="DY2" s="1808"/>
      <c r="DZ2" s="2965" t="str">
        <f>Validation!B3</f>
        <v>Yorkshire Water</v>
      </c>
      <c r="EA2" s="1808"/>
      <c r="EB2" s="1808"/>
      <c r="EC2" s="68"/>
      <c r="ED2" s="1808"/>
      <c r="EE2" s="1808"/>
      <c r="EF2" s="1808"/>
      <c r="EG2" s="1808"/>
      <c r="EH2" s="1808"/>
      <c r="EI2" s="1808"/>
      <c r="EJ2" s="1808"/>
      <c r="EK2" s="1808"/>
      <c r="EL2" s="1808"/>
      <c r="EM2" s="1808"/>
      <c r="EN2" s="1808"/>
      <c r="EO2" s="1808"/>
      <c r="EP2" s="1808"/>
      <c r="EQ2" s="1808"/>
      <c r="ER2" s="1808"/>
      <c r="ES2" s="1808"/>
      <c r="ET2" s="1808"/>
      <c r="EU2" s="1808"/>
      <c r="EV2" s="1808"/>
      <c r="EW2" s="68"/>
      <c r="EX2" s="2965" t="str">
        <f>Validation!B3</f>
        <v>Yorkshire Water</v>
      </c>
      <c r="EY2" s="1808"/>
      <c r="EZ2" s="1808"/>
      <c r="FA2" s="1808"/>
      <c r="FB2" s="1808"/>
      <c r="FC2" s="1808"/>
      <c r="FD2" s="1808"/>
      <c r="FE2" s="1808"/>
      <c r="FF2" s="1808"/>
      <c r="FG2" s="1808"/>
      <c r="FH2" s="1808"/>
      <c r="FI2" s="1808"/>
      <c r="FJ2" s="1808"/>
      <c r="FK2" s="1808"/>
      <c r="FL2" s="1808"/>
      <c r="FM2" s="1808"/>
      <c r="FN2" s="1808"/>
      <c r="FO2" s="1808"/>
      <c r="FP2" s="1808"/>
      <c r="FQ2" s="68"/>
      <c r="FR2" s="1808"/>
      <c r="FS2" s="1808"/>
      <c r="FT2" s="1808"/>
      <c r="FU2" s="1808"/>
      <c r="FV2" s="1808"/>
      <c r="FW2" s="1808"/>
      <c r="FX2" s="1808"/>
      <c r="FY2" s="1808"/>
      <c r="FZ2" s="1808"/>
      <c r="GA2" s="1808"/>
      <c r="GB2" s="1808"/>
      <c r="GC2" s="1808"/>
      <c r="GD2" s="1808"/>
      <c r="GE2" s="1808"/>
      <c r="GF2" s="1808"/>
      <c r="GG2" s="1808"/>
      <c r="GH2" s="2965" t="str">
        <f>Validation!B3</f>
        <v>Yorkshire Water</v>
      </c>
      <c r="GI2" s="1808"/>
      <c r="GJ2" s="1808"/>
      <c r="GK2" s="68"/>
      <c r="GL2" s="1808"/>
      <c r="GM2" s="1808"/>
      <c r="GN2" s="1808"/>
      <c r="GO2" s="1808"/>
      <c r="GP2" s="1808"/>
      <c r="GQ2" s="1808"/>
      <c r="GR2" s="1808"/>
      <c r="GS2" s="1808"/>
      <c r="GT2" s="1808"/>
      <c r="GU2" s="1808"/>
      <c r="GV2" s="1808"/>
      <c r="GW2" s="1808"/>
      <c r="GX2" s="1808"/>
      <c r="GY2" s="1808"/>
      <c r="GZ2" s="1808"/>
      <c r="HA2" s="1808"/>
      <c r="HB2" s="1808"/>
      <c r="HC2" s="1808"/>
      <c r="HD2" s="1808"/>
      <c r="HE2" s="68"/>
      <c r="HF2" s="1808"/>
      <c r="HG2" s="1808"/>
      <c r="HH2" s="1808"/>
      <c r="HI2" s="1808"/>
      <c r="HJ2" s="1808"/>
      <c r="HK2" s="1808"/>
      <c r="HL2" s="1808"/>
      <c r="HM2" s="1808"/>
      <c r="HN2" s="1808"/>
      <c r="HO2" s="1808"/>
      <c r="HP2" s="1808"/>
      <c r="HQ2" s="1808"/>
      <c r="HR2" s="1808"/>
      <c r="HS2" s="1808"/>
      <c r="HT2" s="1808"/>
      <c r="HU2" s="1808"/>
      <c r="HV2" s="1808"/>
      <c r="HW2" s="1808"/>
      <c r="HX2" s="1808"/>
      <c r="HY2" s="68"/>
      <c r="HZ2" s="2965" t="str">
        <f>Validation!B3</f>
        <v>Yorkshire Water</v>
      </c>
      <c r="IA2" s="1808"/>
      <c r="IB2" s="1808"/>
      <c r="IC2" s="1808"/>
      <c r="ID2" s="1808"/>
      <c r="IE2" s="1808"/>
      <c r="IF2" s="1808"/>
      <c r="IG2" s="1808"/>
      <c r="IH2" s="1808"/>
      <c r="II2" s="1808"/>
      <c r="IJ2" s="1808"/>
      <c r="IK2" s="1808"/>
      <c r="IL2" s="1808"/>
      <c r="IM2" s="1808"/>
      <c r="IN2" s="1808"/>
      <c r="IO2" s="1808"/>
      <c r="IP2" s="1808"/>
      <c r="IQ2" s="1808"/>
      <c r="IR2" s="1808"/>
      <c r="IS2" s="68"/>
      <c r="IT2" s="1808"/>
      <c r="IU2" s="1808"/>
      <c r="IV2" s="1808"/>
      <c r="IW2" s="1808"/>
      <c r="IX2" s="1808"/>
      <c r="IY2" s="1808"/>
      <c r="IZ2" s="1808"/>
      <c r="JA2" s="1808"/>
      <c r="JB2" s="2965" t="str">
        <f>Validation!B3</f>
        <v>Yorkshire Water</v>
      </c>
      <c r="JC2" s="1808"/>
      <c r="JD2" s="1808"/>
      <c r="JE2" s="1808"/>
      <c r="JF2" s="1808"/>
      <c r="JG2" s="1808"/>
      <c r="JH2" s="1808"/>
      <c r="JI2" s="1808"/>
      <c r="JJ2" s="1808"/>
      <c r="JK2" s="1808"/>
      <c r="JL2" s="1808"/>
      <c r="JM2" s="68"/>
      <c r="JN2" s="1808"/>
      <c r="JO2" s="1808"/>
      <c r="JP2" s="1808"/>
      <c r="JQ2" s="1808"/>
      <c r="JR2" s="1808"/>
      <c r="JS2" s="1808"/>
      <c r="JT2" s="1808"/>
      <c r="JU2" s="1808"/>
      <c r="JV2" s="1808"/>
      <c r="JW2" s="1808"/>
      <c r="JX2" s="1808"/>
      <c r="JY2" s="1808"/>
      <c r="JZ2" s="1808"/>
      <c r="KA2" s="1808"/>
      <c r="KB2" s="1808"/>
      <c r="KC2" s="1808"/>
      <c r="KD2" s="2965" t="str">
        <f>Validation!B3</f>
        <v>Yorkshire Water</v>
      </c>
      <c r="KE2" s="1808"/>
      <c r="KF2" s="1808"/>
      <c r="KG2" s="68"/>
      <c r="KH2" s="1808"/>
      <c r="KI2" s="1808"/>
      <c r="KJ2" s="1808"/>
      <c r="KK2" s="1808"/>
      <c r="KL2" s="1808"/>
      <c r="KM2" s="1808"/>
      <c r="KN2" s="1808"/>
      <c r="KO2" s="1808"/>
      <c r="KP2" s="1808"/>
      <c r="KQ2" s="1808"/>
      <c r="KR2" s="1808"/>
      <c r="KS2" s="68"/>
      <c r="KT2" s="1808"/>
      <c r="KU2" s="1808"/>
      <c r="KV2" s="1808"/>
      <c r="KW2" s="68"/>
      <c r="KX2" s="1808"/>
      <c r="KY2" s="1808"/>
      <c r="KZ2" s="1808"/>
      <c r="LA2" s="68" t="str">
        <f>Validation!B3</f>
        <v>Yorkshire Water</v>
      </c>
      <c r="LC2" s="69" t="s">
        <v>34</v>
      </c>
      <c r="LG2" s="76" t="s">
        <v>47</v>
      </c>
    </row>
    <row r="3" spans="1:627" ht="15.75" thickBot="1">
      <c r="A3" s="1809"/>
      <c r="B3" s="1809"/>
      <c r="C3" s="817"/>
      <c r="D3" s="817"/>
      <c r="E3" s="817"/>
      <c r="F3" s="817"/>
      <c r="G3" s="817"/>
      <c r="H3" s="1809"/>
      <c r="I3" s="1809"/>
      <c r="J3" s="1809"/>
      <c r="K3" s="817"/>
      <c r="L3" s="1809"/>
      <c r="M3" s="1809"/>
      <c r="N3" s="1809"/>
      <c r="O3" s="817"/>
      <c r="P3" s="1809"/>
      <c r="Q3" s="1809"/>
      <c r="R3" s="1809"/>
      <c r="S3" s="817"/>
      <c r="T3" s="1809"/>
      <c r="U3" s="1809"/>
      <c r="V3" s="1809"/>
      <c r="W3" s="817"/>
      <c r="X3" s="1809"/>
      <c r="Y3" s="1809"/>
      <c r="Z3" s="1809"/>
      <c r="AA3" s="817"/>
      <c r="AB3" s="1809"/>
      <c r="AC3" s="1809"/>
      <c r="AD3" s="1809"/>
      <c r="AE3" s="817"/>
      <c r="AF3" s="1809"/>
      <c r="AG3" s="1809"/>
      <c r="AH3" s="1809"/>
      <c r="AI3" s="817"/>
      <c r="AJ3" s="1809"/>
      <c r="AK3" s="1809"/>
      <c r="AL3" s="1809"/>
      <c r="AM3" s="817"/>
      <c r="AN3" s="1809"/>
      <c r="AO3" s="1809"/>
      <c r="AP3" s="1809"/>
      <c r="AQ3" s="817"/>
      <c r="AR3" s="1809"/>
      <c r="AS3" s="1809"/>
      <c r="AT3" s="1809"/>
      <c r="AU3" s="817"/>
      <c r="AV3" s="1809"/>
      <c r="AW3" s="1809"/>
      <c r="AX3" s="1809"/>
      <c r="AY3" s="817"/>
      <c r="AZ3" s="1809"/>
      <c r="BA3" s="1809"/>
      <c r="BB3" s="1809"/>
      <c r="BC3" s="817"/>
      <c r="BD3" s="1809"/>
      <c r="BE3" s="1809"/>
      <c r="BF3" s="1809"/>
      <c r="BG3" s="817"/>
      <c r="BH3" s="1809"/>
      <c r="BI3" s="1809"/>
      <c r="BJ3" s="1809"/>
      <c r="BK3" s="817"/>
      <c r="BL3" s="1809"/>
      <c r="BM3" s="1809"/>
      <c r="BN3" s="1809"/>
      <c r="BO3" s="817"/>
      <c r="BP3" s="1809"/>
      <c r="BQ3" s="1809"/>
      <c r="BR3" s="1809"/>
      <c r="BS3" s="817"/>
      <c r="BT3" s="1809"/>
      <c r="BU3" s="1809"/>
      <c r="BV3" s="1809"/>
      <c r="BW3" s="817"/>
      <c r="BX3" s="1809"/>
      <c r="BY3" s="1809"/>
      <c r="BZ3" s="1809"/>
      <c r="CA3" s="817"/>
      <c r="CB3" s="1809"/>
      <c r="CC3" s="1809"/>
      <c r="CD3" s="1809"/>
      <c r="CE3" s="817"/>
      <c r="CF3" s="1809"/>
      <c r="CG3" s="1809"/>
      <c r="CH3" s="1809"/>
      <c r="CI3" s="817"/>
      <c r="CJ3" s="1809"/>
      <c r="CK3" s="1809"/>
      <c r="CL3" s="1809"/>
      <c r="CM3" s="817"/>
      <c r="CN3" s="1809"/>
      <c r="CO3" s="1809"/>
      <c r="CP3" s="1809"/>
      <c r="CQ3" s="817"/>
      <c r="CR3" s="1809"/>
      <c r="CS3" s="1809"/>
      <c r="CT3" s="1809"/>
      <c r="CU3" s="817"/>
      <c r="CV3" s="1809"/>
      <c r="CW3" s="1809"/>
      <c r="CX3" s="1809"/>
      <c r="CY3" s="817"/>
      <c r="CZ3" s="1809"/>
      <c r="DA3" s="1809"/>
      <c r="DB3" s="1809"/>
      <c r="DC3" s="817"/>
      <c r="DD3" s="1809"/>
      <c r="DE3" s="1809"/>
      <c r="DF3" s="1809"/>
      <c r="DG3" s="817"/>
      <c r="DH3" s="1809"/>
      <c r="DI3" s="1809"/>
      <c r="DJ3" s="1809"/>
      <c r="DK3" s="817"/>
      <c r="DL3" s="1809"/>
      <c r="DM3" s="1809"/>
      <c r="DN3" s="1809"/>
      <c r="DO3" s="817"/>
      <c r="DP3" s="1809"/>
      <c r="DQ3" s="1809"/>
      <c r="DR3" s="1809"/>
      <c r="DS3" s="817"/>
      <c r="DT3" s="1809"/>
      <c r="DU3" s="1809"/>
      <c r="DV3" s="1809"/>
      <c r="DW3" s="817"/>
      <c r="DX3" s="1809"/>
      <c r="DY3" s="1809"/>
      <c r="DZ3" s="1809"/>
      <c r="EA3" s="817"/>
      <c r="EB3" s="1809"/>
      <c r="EC3" s="1809"/>
      <c r="ED3" s="1809"/>
      <c r="EE3" s="817"/>
      <c r="EF3" s="1809"/>
      <c r="EG3" s="1809"/>
      <c r="EH3" s="1809"/>
      <c r="EI3" s="817"/>
      <c r="EJ3" s="1809"/>
      <c r="EK3" s="1809"/>
      <c r="EL3" s="1809"/>
      <c r="EM3" s="817"/>
      <c r="EN3" s="1809"/>
      <c r="EO3" s="1809"/>
      <c r="EP3" s="1809"/>
      <c r="EQ3" s="817"/>
      <c r="ER3" s="1809"/>
      <c r="ES3" s="1809"/>
      <c r="ET3" s="1809"/>
      <c r="EU3" s="817"/>
      <c r="EV3" s="1809"/>
      <c r="EW3" s="1809"/>
      <c r="EX3" s="1809"/>
      <c r="EY3" s="817"/>
      <c r="EZ3" s="1809"/>
      <c r="FA3" s="1809"/>
      <c r="FB3" s="1809"/>
      <c r="FC3" s="817"/>
      <c r="FD3" s="1809"/>
      <c r="FE3" s="1809"/>
      <c r="FF3" s="1809"/>
      <c r="FG3" s="817"/>
      <c r="FH3" s="1809"/>
      <c r="FI3" s="1809"/>
      <c r="FJ3" s="1809"/>
      <c r="FK3" s="817"/>
      <c r="FL3" s="1809"/>
      <c r="FM3" s="1809"/>
      <c r="FN3" s="1809"/>
      <c r="FO3" s="817"/>
      <c r="FP3" s="1809"/>
      <c r="FQ3" s="1809"/>
      <c r="FR3" s="1809"/>
      <c r="FS3" s="817"/>
      <c r="FT3" s="1809"/>
      <c r="FU3" s="1809"/>
      <c r="FV3" s="1809"/>
      <c r="FW3" s="817"/>
      <c r="FX3" s="1809"/>
      <c r="FY3" s="1809"/>
      <c r="FZ3" s="1809"/>
      <c r="GA3" s="817"/>
      <c r="GB3" s="1809"/>
      <c r="GC3" s="1809"/>
      <c r="GD3" s="1809"/>
      <c r="GE3" s="817"/>
      <c r="GF3" s="1809"/>
      <c r="GG3" s="1809"/>
      <c r="GH3" s="1809"/>
      <c r="GI3" s="817"/>
      <c r="GJ3" s="1809"/>
      <c r="GK3" s="1809"/>
      <c r="GL3" s="1809"/>
      <c r="GM3" s="817"/>
      <c r="GN3" s="1809"/>
      <c r="GO3" s="1809"/>
      <c r="GP3" s="1809"/>
      <c r="GQ3" s="817"/>
      <c r="GR3" s="1809"/>
      <c r="GS3" s="1809"/>
      <c r="GT3" s="1809"/>
      <c r="GU3" s="817"/>
      <c r="GV3" s="1809"/>
      <c r="GW3" s="1809"/>
      <c r="GX3" s="1809"/>
      <c r="GY3" s="817"/>
      <c r="GZ3" s="1809"/>
      <c r="HA3" s="1809"/>
      <c r="HB3" s="1809"/>
      <c r="HC3" s="817"/>
      <c r="HD3" s="1809"/>
      <c r="HE3" s="1809"/>
      <c r="HF3" s="1809"/>
      <c r="HG3" s="817"/>
      <c r="HH3" s="1809"/>
      <c r="HI3" s="1809"/>
      <c r="HJ3" s="1809"/>
      <c r="HK3" s="817"/>
      <c r="HL3" s="1809"/>
      <c r="HM3" s="1809"/>
      <c r="HN3" s="1809"/>
      <c r="HO3" s="817"/>
      <c r="HP3" s="1809"/>
      <c r="HQ3" s="1809"/>
      <c r="HR3" s="1809"/>
      <c r="HS3" s="817"/>
      <c r="HT3" s="1809"/>
      <c r="HU3" s="1809"/>
      <c r="HV3" s="1809"/>
      <c r="HW3" s="817"/>
      <c r="HX3" s="1809"/>
      <c r="HY3" s="1809"/>
      <c r="HZ3" s="1809"/>
      <c r="IA3" s="817"/>
      <c r="IB3" s="1809"/>
      <c r="IC3" s="1809"/>
      <c r="ID3" s="1809"/>
      <c r="IE3" s="817"/>
      <c r="IF3" s="1809"/>
      <c r="IG3" s="1809"/>
      <c r="IH3" s="1809"/>
      <c r="II3" s="817"/>
      <c r="IJ3" s="1809"/>
      <c r="IK3" s="1809"/>
      <c r="IL3" s="1809"/>
      <c r="IM3" s="817"/>
      <c r="IN3" s="1809"/>
      <c r="IO3" s="1809"/>
      <c r="IP3" s="1809"/>
      <c r="IQ3" s="817"/>
      <c r="IR3" s="1809"/>
      <c r="IS3" s="1809"/>
      <c r="IT3" s="1809"/>
      <c r="IU3" s="817"/>
      <c r="IV3" s="1809"/>
      <c r="IW3" s="1809"/>
      <c r="IX3" s="1809"/>
      <c r="IY3" s="817"/>
      <c r="IZ3" s="1809"/>
      <c r="JA3" s="1809"/>
      <c r="JB3" s="1809"/>
      <c r="JC3" s="817"/>
      <c r="JD3" s="1809"/>
      <c r="JE3" s="1809"/>
      <c r="JF3" s="1809"/>
      <c r="JG3" s="817"/>
      <c r="JH3" s="1809"/>
      <c r="JI3" s="1809"/>
      <c r="JJ3" s="1809"/>
      <c r="JK3" s="817"/>
      <c r="JL3" s="1809"/>
      <c r="JM3" s="1809"/>
      <c r="JN3" s="1809"/>
      <c r="JO3" s="817"/>
      <c r="JP3" s="1809"/>
      <c r="JQ3" s="1809"/>
      <c r="JR3" s="1809"/>
      <c r="JS3" s="817"/>
      <c r="JT3" s="1809"/>
      <c r="JU3" s="1809"/>
      <c r="JV3" s="1809"/>
      <c r="JW3" s="817"/>
      <c r="JX3" s="1809"/>
      <c r="JY3" s="1809"/>
      <c r="JZ3" s="1809"/>
      <c r="KA3" s="817"/>
      <c r="KB3" s="1809"/>
      <c r="KC3" s="1809"/>
      <c r="KD3" s="1809"/>
      <c r="KE3" s="817"/>
      <c r="KF3" s="1809"/>
      <c r="KG3" s="1809"/>
      <c r="KH3" s="1809"/>
      <c r="KI3" s="817"/>
      <c r="KJ3" s="1809"/>
      <c r="KK3" s="1809"/>
      <c r="KL3" s="1809"/>
      <c r="KM3" s="817"/>
      <c r="KN3" s="1809"/>
      <c r="KO3" s="1809"/>
      <c r="KP3" s="1809"/>
      <c r="KQ3" s="817"/>
      <c r="KR3" s="1809"/>
      <c r="KS3" s="1809"/>
      <c r="KT3" s="1809"/>
      <c r="KU3" s="817"/>
      <c r="KV3" s="1809"/>
      <c r="KW3" s="1809"/>
      <c r="LG3" s="164" t="s">
        <v>48</v>
      </c>
    </row>
    <row r="4" spans="1:627" ht="71.45" customHeight="1" thickBot="1">
      <c r="A4" s="1809"/>
      <c r="B4" s="3232" t="s">
        <v>2454</v>
      </c>
      <c r="C4" s="3233"/>
      <c r="D4" s="3233"/>
      <c r="E4" s="3234"/>
      <c r="F4" s="3234"/>
      <c r="G4" s="3234"/>
      <c r="H4" s="3234"/>
      <c r="I4" s="3234"/>
      <c r="J4" s="3234"/>
      <c r="K4" s="3234"/>
      <c r="L4" s="3234"/>
      <c r="M4" s="3234"/>
      <c r="N4" s="3234"/>
      <c r="O4" s="3234"/>
      <c r="P4" s="3234"/>
      <c r="Q4" s="3234"/>
      <c r="R4" s="3234"/>
      <c r="S4" s="3234"/>
      <c r="T4" s="3234"/>
      <c r="U4" s="3235"/>
      <c r="V4" s="1809"/>
      <c r="W4" s="817"/>
      <c r="X4" s="1809"/>
      <c r="Y4" s="1809"/>
      <c r="Z4" s="1809"/>
      <c r="AA4" s="817"/>
      <c r="AB4" s="1809"/>
      <c r="AC4" s="1809"/>
      <c r="AD4" s="1809"/>
      <c r="AE4" s="817"/>
      <c r="AF4" s="1809"/>
      <c r="AG4" s="1809"/>
      <c r="AH4" s="1809"/>
      <c r="AI4" s="817"/>
      <c r="AJ4" s="1809"/>
      <c r="AK4" s="1809"/>
      <c r="AL4" s="1809"/>
      <c r="AM4" s="817"/>
      <c r="AN4" s="1809"/>
      <c r="AO4" s="1809"/>
      <c r="AP4" s="1809"/>
      <c r="AQ4" s="817"/>
      <c r="AR4" s="1809"/>
      <c r="AS4" s="1809"/>
      <c r="AT4" s="1809"/>
      <c r="AU4" s="817"/>
      <c r="AV4" s="1809"/>
      <c r="AW4" s="1809"/>
      <c r="AX4" s="1809"/>
      <c r="AY4" s="817"/>
      <c r="AZ4" s="1809"/>
      <c r="BA4" s="1809"/>
      <c r="BB4" s="1809"/>
      <c r="BC4" s="817"/>
      <c r="BD4" s="1809"/>
      <c r="BE4" s="1809"/>
      <c r="BF4" s="1809"/>
      <c r="BG4" s="817"/>
      <c r="BH4" s="1809"/>
      <c r="BI4" s="1809"/>
      <c r="BJ4" s="1809"/>
      <c r="BK4" s="817"/>
      <c r="BL4" s="1809"/>
      <c r="BM4" s="1809"/>
      <c r="BN4" s="1809"/>
      <c r="BO4" s="817"/>
      <c r="BP4" s="1809"/>
      <c r="BQ4" s="1809"/>
      <c r="BR4" s="1809"/>
      <c r="BS4" s="817"/>
      <c r="BT4" s="1809"/>
      <c r="BU4" s="1809"/>
      <c r="BV4" s="1809"/>
      <c r="BW4" s="817"/>
      <c r="BX4" s="1809"/>
      <c r="BY4" s="1809"/>
      <c r="BZ4" s="1809"/>
      <c r="CA4" s="817"/>
      <c r="CB4" s="1809"/>
      <c r="CC4" s="1809"/>
      <c r="CD4" s="1809"/>
      <c r="CE4" s="817"/>
      <c r="CF4" s="1809"/>
      <c r="CG4" s="1809"/>
      <c r="CH4" s="1809"/>
      <c r="CI4" s="817"/>
      <c r="CJ4" s="1809"/>
      <c r="CK4" s="1809"/>
      <c r="CL4" s="1809"/>
      <c r="CM4" s="817"/>
      <c r="CN4" s="1809"/>
      <c r="CO4" s="1809"/>
      <c r="CP4" s="1809"/>
      <c r="CQ4" s="817"/>
      <c r="CR4" s="1809"/>
      <c r="CS4" s="1809"/>
      <c r="CT4" s="1809"/>
      <c r="CU4" s="817"/>
      <c r="CV4" s="1809"/>
      <c r="CW4" s="1809"/>
      <c r="CX4" s="1809"/>
      <c r="CY4" s="817"/>
      <c r="CZ4" s="1809"/>
      <c r="DA4" s="1809"/>
      <c r="DB4" s="1809"/>
      <c r="DC4" s="817"/>
      <c r="DD4" s="1809"/>
      <c r="DE4" s="1809"/>
      <c r="DF4" s="1809"/>
      <c r="DG4" s="817"/>
      <c r="DH4" s="1809"/>
      <c r="DI4" s="1809"/>
      <c r="DJ4" s="1809"/>
      <c r="DK4" s="817"/>
      <c r="DL4" s="1809"/>
      <c r="DM4" s="1809"/>
      <c r="DN4" s="1809"/>
      <c r="DO4" s="817"/>
      <c r="DP4" s="1809"/>
      <c r="DQ4" s="1809"/>
      <c r="DR4" s="1809"/>
      <c r="DS4" s="817"/>
      <c r="DT4" s="1809"/>
      <c r="DU4" s="1809"/>
      <c r="DV4" s="1809"/>
      <c r="DW4" s="817"/>
      <c r="DX4" s="1809"/>
      <c r="DY4" s="1809"/>
      <c r="DZ4" s="1809"/>
      <c r="EA4" s="817"/>
      <c r="EB4" s="1809"/>
      <c r="EC4" s="1809"/>
      <c r="ED4" s="1809"/>
      <c r="EE4" s="817"/>
      <c r="EF4" s="1809"/>
      <c r="EG4" s="1809"/>
      <c r="EH4" s="1809"/>
      <c r="EI4" s="817"/>
      <c r="EJ4" s="1809"/>
      <c r="EK4" s="1809"/>
      <c r="EL4" s="1809"/>
      <c r="EM4" s="817"/>
      <c r="EN4" s="1809"/>
      <c r="EO4" s="1809"/>
      <c r="EP4" s="1809"/>
      <c r="EQ4" s="817"/>
      <c r="ER4" s="1809"/>
      <c r="ES4" s="1809"/>
      <c r="ET4" s="1809"/>
      <c r="EU4" s="817"/>
      <c r="EV4" s="1809"/>
      <c r="EW4" s="1809"/>
      <c r="EX4" s="1809"/>
      <c r="EY4" s="817"/>
      <c r="EZ4" s="1809"/>
      <c r="FA4" s="1809"/>
      <c r="FB4" s="1809"/>
      <c r="FC4" s="817"/>
      <c r="FD4" s="1809"/>
      <c r="FE4" s="1809"/>
      <c r="FF4" s="1809"/>
      <c r="FG4" s="817"/>
      <c r="FH4" s="1809"/>
      <c r="FI4" s="1809"/>
      <c r="FJ4" s="1809"/>
      <c r="FK4" s="817"/>
      <c r="FL4" s="1809"/>
      <c r="FM4" s="1809"/>
      <c r="FN4" s="1809"/>
      <c r="FO4" s="817"/>
      <c r="FP4" s="1809"/>
      <c r="FQ4" s="1809"/>
      <c r="FR4" s="1809"/>
      <c r="FS4" s="817"/>
      <c r="FT4" s="1809"/>
      <c r="FU4" s="1809"/>
      <c r="FV4" s="1809"/>
      <c r="FW4" s="817"/>
      <c r="FX4" s="1809"/>
      <c r="FY4" s="1809"/>
      <c r="FZ4" s="1809"/>
      <c r="GA4" s="817"/>
      <c r="GB4" s="1809"/>
      <c r="GC4" s="1809"/>
      <c r="GD4" s="1809"/>
      <c r="GE4" s="817"/>
      <c r="GF4" s="1809"/>
      <c r="GG4" s="1809"/>
      <c r="GH4" s="1809"/>
      <c r="GI4" s="817"/>
      <c r="GJ4" s="1809"/>
      <c r="GK4" s="1809"/>
      <c r="GL4" s="1809"/>
      <c r="GM4" s="817"/>
      <c r="GN4" s="1809"/>
      <c r="GO4" s="1809"/>
      <c r="GP4" s="1809"/>
      <c r="GQ4" s="817"/>
      <c r="GR4" s="1809"/>
      <c r="GS4" s="1809"/>
      <c r="GT4" s="1809"/>
      <c r="GU4" s="817"/>
      <c r="GV4" s="1809"/>
      <c r="GW4" s="1809"/>
      <c r="GX4" s="1809"/>
      <c r="GY4" s="817"/>
      <c r="GZ4" s="1809"/>
      <c r="HA4" s="1809"/>
      <c r="HB4" s="1809"/>
      <c r="HC4" s="817"/>
      <c r="HD4" s="1809"/>
      <c r="HE4" s="1809"/>
      <c r="HF4" s="1809"/>
      <c r="HG4" s="817"/>
      <c r="HH4" s="1809"/>
      <c r="HI4" s="1809"/>
      <c r="HJ4" s="1809"/>
      <c r="HK4" s="817"/>
      <c r="HL4" s="1809"/>
      <c r="HM4" s="1809"/>
      <c r="HN4" s="1809"/>
      <c r="HO4" s="817"/>
      <c r="HP4" s="1809"/>
      <c r="HQ4" s="1809"/>
      <c r="HR4" s="1809"/>
      <c r="HS4" s="817"/>
      <c r="HT4" s="1809"/>
      <c r="HU4" s="1809"/>
      <c r="HV4" s="1809"/>
      <c r="HW4" s="817"/>
      <c r="HX4" s="1809"/>
      <c r="HY4" s="1809"/>
      <c r="HZ4" s="1809"/>
      <c r="IA4" s="817"/>
      <c r="IB4" s="1809"/>
      <c r="IC4" s="1809"/>
      <c r="ID4" s="1809"/>
      <c r="IE4" s="817"/>
      <c r="IF4" s="1809"/>
      <c r="IG4" s="1809"/>
      <c r="IH4" s="1809"/>
      <c r="II4" s="817"/>
      <c r="IJ4" s="1809"/>
      <c r="IK4" s="1809"/>
      <c r="IL4" s="1809"/>
      <c r="IM4" s="817"/>
      <c r="IN4" s="1809"/>
      <c r="IO4" s="1809"/>
      <c r="IP4" s="1809"/>
      <c r="IQ4" s="817"/>
      <c r="IR4" s="1809"/>
      <c r="IS4" s="1809"/>
      <c r="IT4" s="1809"/>
      <c r="IU4" s="817"/>
      <c r="IV4" s="1809"/>
      <c r="IW4" s="1809"/>
      <c r="IX4" s="1809"/>
      <c r="IY4" s="817"/>
      <c r="IZ4" s="1809"/>
      <c r="JA4" s="1809"/>
      <c r="JB4" s="1809"/>
      <c r="JC4" s="817"/>
      <c r="JD4" s="1809"/>
      <c r="JE4" s="1809"/>
      <c r="JF4" s="1809"/>
      <c r="JG4" s="817"/>
      <c r="JH4" s="1809"/>
      <c r="JI4" s="1809"/>
      <c r="JJ4" s="1809"/>
      <c r="JK4" s="817"/>
      <c r="JL4" s="1809"/>
      <c r="JM4" s="1809"/>
      <c r="JN4" s="1809"/>
      <c r="JO4" s="817"/>
      <c r="JP4" s="1809"/>
      <c r="JQ4" s="1809"/>
      <c r="JR4" s="1809"/>
      <c r="JS4" s="817"/>
      <c r="JT4" s="1809"/>
      <c r="JU4" s="1809"/>
      <c r="JV4" s="1809"/>
      <c r="JW4" s="817"/>
      <c r="JX4" s="1809"/>
      <c r="JY4" s="1809"/>
      <c r="JZ4" s="1809"/>
      <c r="KA4" s="817"/>
      <c r="KB4" s="1809"/>
      <c r="KC4" s="1809"/>
      <c r="KD4" s="1809"/>
      <c r="KE4" s="817"/>
      <c r="KF4" s="1809"/>
      <c r="KG4" s="1809"/>
      <c r="KH4" s="1809"/>
      <c r="KI4" s="817"/>
      <c r="KJ4" s="1809"/>
      <c r="KK4" s="1809"/>
      <c r="KL4" s="1809"/>
      <c r="KM4" s="817"/>
      <c r="KN4" s="1809"/>
      <c r="KO4" s="1809"/>
      <c r="KP4" s="1809"/>
      <c r="KQ4" s="817"/>
      <c r="KR4" s="1809"/>
      <c r="KS4" s="1809"/>
      <c r="KT4" s="1809"/>
      <c r="KU4" s="817"/>
      <c r="KV4" s="1809"/>
      <c r="KW4" s="1809"/>
    </row>
    <row r="5" spans="1:627" ht="15.75" thickBot="1">
      <c r="A5" s="1809"/>
      <c r="B5" s="1809"/>
      <c r="C5" s="817"/>
      <c r="D5" s="817"/>
      <c r="E5" s="817"/>
      <c r="F5" s="817"/>
      <c r="G5" s="817"/>
      <c r="H5" s="1809"/>
      <c r="I5" s="1809"/>
      <c r="J5" s="1809"/>
      <c r="K5" s="817"/>
      <c r="L5" s="1809"/>
      <c r="M5" s="1809"/>
      <c r="N5" s="1809"/>
      <c r="O5" s="817"/>
      <c r="P5" s="1809"/>
      <c r="Q5" s="1809"/>
      <c r="R5" s="1809"/>
      <c r="S5" s="817"/>
      <c r="T5" s="1809"/>
      <c r="U5" s="1809"/>
      <c r="V5" s="1809"/>
      <c r="W5" s="817"/>
      <c r="X5" s="1809"/>
      <c r="Y5" s="1809"/>
      <c r="Z5" s="1809"/>
      <c r="AA5" s="817"/>
      <c r="AB5" s="1809"/>
      <c r="AC5" s="1809"/>
      <c r="AD5" s="1809"/>
      <c r="AE5" s="817"/>
      <c r="AF5" s="1809"/>
      <c r="AG5" s="1809"/>
      <c r="AH5" s="1809"/>
      <c r="AI5" s="817"/>
      <c r="AJ5" s="1809"/>
      <c r="AK5" s="1809"/>
      <c r="AL5" s="1809"/>
      <c r="AM5" s="817"/>
      <c r="AN5" s="1809"/>
      <c r="AO5" s="1809"/>
      <c r="AP5" s="1809"/>
      <c r="AQ5" s="817"/>
      <c r="AR5" s="1809"/>
      <c r="AS5" s="1809"/>
      <c r="AT5" s="1809"/>
      <c r="AU5" s="817"/>
      <c r="AV5" s="1809"/>
      <c r="AW5" s="1809"/>
      <c r="AX5" s="1809"/>
      <c r="AY5" s="817"/>
      <c r="AZ5" s="1809"/>
      <c r="BA5" s="1809"/>
      <c r="BB5" s="1809"/>
      <c r="BC5" s="817"/>
      <c r="BD5" s="1809"/>
      <c r="BE5" s="1809"/>
      <c r="BF5" s="1809"/>
      <c r="BG5" s="817"/>
      <c r="BH5" s="1809"/>
      <c r="BI5" s="1809"/>
      <c r="BJ5" s="1809"/>
      <c r="BK5" s="817"/>
      <c r="BL5" s="1809"/>
      <c r="BM5" s="1809"/>
      <c r="BN5" s="1809"/>
      <c r="BO5" s="817"/>
      <c r="BP5" s="1809"/>
      <c r="BQ5" s="1809"/>
      <c r="BR5" s="1809"/>
      <c r="BS5" s="817"/>
      <c r="BT5" s="1809"/>
      <c r="BU5" s="1809"/>
      <c r="BV5" s="1809"/>
      <c r="BW5" s="817"/>
      <c r="BX5" s="1809"/>
      <c r="BY5" s="1809"/>
      <c r="BZ5" s="1809"/>
      <c r="CA5" s="817"/>
      <c r="CB5" s="1809"/>
      <c r="CC5" s="1809"/>
      <c r="CD5" s="1809"/>
      <c r="CE5" s="817"/>
      <c r="CF5" s="1809"/>
      <c r="CG5" s="1809"/>
      <c r="CH5" s="1809"/>
      <c r="CI5" s="817"/>
      <c r="CJ5" s="1809"/>
      <c r="CK5" s="1809"/>
      <c r="CL5" s="1809"/>
      <c r="CM5" s="817"/>
      <c r="CN5" s="1809"/>
      <c r="CO5" s="1809"/>
      <c r="CP5" s="1809"/>
      <c r="CQ5" s="817"/>
      <c r="CR5" s="1809"/>
      <c r="CS5" s="1809"/>
      <c r="CT5" s="1809"/>
      <c r="CU5" s="817"/>
      <c r="CV5" s="1809"/>
      <c r="CW5" s="1809"/>
      <c r="CX5" s="1809"/>
      <c r="CY5" s="817"/>
      <c r="CZ5" s="1809"/>
      <c r="DA5" s="1809"/>
      <c r="DB5" s="1809"/>
      <c r="DC5" s="817"/>
      <c r="DD5" s="1809"/>
      <c r="DE5" s="1809"/>
      <c r="DF5" s="1809"/>
      <c r="DG5" s="817"/>
      <c r="DH5" s="1809"/>
      <c r="DI5" s="1809"/>
      <c r="DJ5" s="1809"/>
      <c r="DK5" s="817"/>
      <c r="DL5" s="1809"/>
      <c r="DM5" s="1809"/>
      <c r="DN5" s="1809"/>
      <c r="DO5" s="817"/>
      <c r="DP5" s="1809"/>
      <c r="DQ5" s="1809"/>
      <c r="DR5" s="1809"/>
      <c r="DS5" s="817"/>
      <c r="DT5" s="1809"/>
      <c r="DU5" s="1809"/>
      <c r="DV5" s="1809"/>
      <c r="DW5" s="817"/>
      <c r="DX5" s="1809"/>
      <c r="DY5" s="1809"/>
      <c r="DZ5" s="1809"/>
      <c r="EA5" s="817"/>
      <c r="EB5" s="1809"/>
      <c r="EC5" s="1809"/>
      <c r="ED5" s="1809"/>
      <c r="EE5" s="817"/>
      <c r="EF5" s="1809"/>
      <c r="EG5" s="1809"/>
      <c r="EH5" s="1809"/>
      <c r="EI5" s="817"/>
      <c r="EJ5" s="1809"/>
      <c r="EK5" s="1809"/>
      <c r="EL5" s="1809"/>
      <c r="EM5" s="817"/>
      <c r="EN5" s="1809"/>
      <c r="EO5" s="1809"/>
      <c r="EP5" s="1809"/>
      <c r="EQ5" s="817"/>
      <c r="ER5" s="1809"/>
      <c r="ES5" s="1809"/>
      <c r="ET5" s="1809"/>
      <c r="EU5" s="817"/>
      <c r="EV5" s="1809"/>
      <c r="EW5" s="1809"/>
      <c r="EX5" s="1809"/>
      <c r="EY5" s="817"/>
      <c r="EZ5" s="1809"/>
      <c r="FA5" s="1809"/>
      <c r="FB5" s="1809"/>
      <c r="FC5" s="817"/>
      <c r="FD5" s="1809"/>
      <c r="FE5" s="1809"/>
      <c r="FF5" s="1809"/>
      <c r="FG5" s="817"/>
      <c r="FH5" s="1809"/>
      <c r="FI5" s="1809"/>
      <c r="FJ5" s="1809"/>
      <c r="FK5" s="817"/>
      <c r="FL5" s="1809"/>
      <c r="FM5" s="1809"/>
      <c r="FN5" s="1809"/>
      <c r="FO5" s="817"/>
      <c r="FP5" s="1809"/>
      <c r="FQ5" s="1809"/>
      <c r="FR5" s="1809"/>
      <c r="FS5" s="817"/>
      <c r="FT5" s="1809"/>
      <c r="FU5" s="1809"/>
      <c r="FV5" s="1809"/>
      <c r="FW5" s="817"/>
      <c r="FX5" s="1809"/>
      <c r="FY5" s="1809"/>
      <c r="FZ5" s="1809"/>
      <c r="GA5" s="817"/>
      <c r="GB5" s="1809"/>
      <c r="GC5" s="1809"/>
      <c r="GD5" s="1809"/>
      <c r="GE5" s="817"/>
      <c r="GF5" s="1809"/>
      <c r="GG5" s="1809"/>
      <c r="GH5" s="1809"/>
      <c r="GI5" s="817"/>
      <c r="GJ5" s="1809"/>
      <c r="GK5" s="1809"/>
      <c r="GL5" s="1809"/>
      <c r="GM5" s="817"/>
      <c r="GN5" s="1809"/>
      <c r="GO5" s="1809"/>
      <c r="GP5" s="1809"/>
      <c r="GQ5" s="817"/>
      <c r="GR5" s="1809"/>
      <c r="GS5" s="1809"/>
      <c r="GT5" s="1809"/>
      <c r="GU5" s="817"/>
      <c r="GV5" s="1809"/>
      <c r="GW5" s="1809"/>
      <c r="GX5" s="1809"/>
      <c r="GY5" s="817"/>
      <c r="GZ5" s="1809"/>
      <c r="HA5" s="1809"/>
      <c r="HB5" s="1809"/>
      <c r="HC5" s="817"/>
      <c r="HD5" s="1809"/>
      <c r="HE5" s="1809"/>
      <c r="HF5" s="1809"/>
      <c r="HG5" s="817"/>
      <c r="HH5" s="1809"/>
      <c r="HI5" s="1809"/>
      <c r="HJ5" s="1809"/>
      <c r="HK5" s="817"/>
      <c r="HL5" s="1809"/>
      <c r="HM5" s="1809"/>
      <c r="HN5" s="1809"/>
      <c r="HO5" s="817"/>
      <c r="HP5" s="1809"/>
      <c r="HQ5" s="1809"/>
      <c r="HR5" s="1809"/>
      <c r="HS5" s="817"/>
      <c r="HT5" s="1809"/>
      <c r="HU5" s="1809"/>
      <c r="HV5" s="1809"/>
      <c r="HW5" s="817"/>
      <c r="HX5" s="1809"/>
      <c r="HY5" s="1809"/>
      <c r="HZ5" s="1809"/>
      <c r="IA5" s="817"/>
      <c r="IB5" s="1809"/>
      <c r="IC5" s="1809"/>
      <c r="ID5" s="1809"/>
      <c r="IE5" s="817"/>
      <c r="IF5" s="1809"/>
      <c r="IG5" s="1809"/>
      <c r="IH5" s="1809"/>
      <c r="II5" s="817"/>
      <c r="IJ5" s="1809"/>
      <c r="IK5" s="1809"/>
      <c r="IL5" s="1809"/>
      <c r="IM5" s="817"/>
      <c r="IN5" s="1809"/>
      <c r="IO5" s="1809"/>
      <c r="IP5" s="1809"/>
      <c r="IQ5" s="817"/>
      <c r="IR5" s="1809"/>
      <c r="IS5" s="1809"/>
      <c r="IT5" s="1809"/>
      <c r="IU5" s="817"/>
      <c r="IV5" s="1809"/>
      <c r="IW5" s="1809"/>
      <c r="IX5" s="1809"/>
      <c r="IY5" s="817"/>
      <c r="IZ5" s="1809"/>
      <c r="JA5" s="1809"/>
      <c r="JB5" s="1809"/>
      <c r="JC5" s="817"/>
      <c r="JD5" s="1809"/>
      <c r="JE5" s="1809"/>
      <c r="JF5" s="1809"/>
      <c r="JG5" s="817"/>
      <c r="JH5" s="1809"/>
      <c r="JI5" s="1809"/>
      <c r="JJ5" s="1809"/>
      <c r="JK5" s="817"/>
      <c r="JL5" s="1809"/>
      <c r="JM5" s="1809"/>
      <c r="JN5" s="1809"/>
      <c r="JO5" s="817"/>
      <c r="JP5" s="1809"/>
      <c r="JQ5" s="1809"/>
      <c r="JR5" s="1809"/>
      <c r="JS5" s="817"/>
      <c r="JT5" s="1809"/>
      <c r="JU5" s="1809"/>
      <c r="JV5" s="1809"/>
      <c r="JW5" s="817"/>
      <c r="JX5" s="1809"/>
      <c r="JY5" s="1809"/>
      <c r="JZ5" s="1809"/>
      <c r="KA5" s="817"/>
      <c r="KB5" s="1809"/>
      <c r="KC5" s="1809"/>
      <c r="KD5" s="1809"/>
      <c r="KE5" s="817"/>
      <c r="KF5" s="1809"/>
      <c r="KG5" s="1809"/>
      <c r="KH5" s="1809"/>
      <c r="KI5" s="817"/>
      <c r="KJ5" s="1809"/>
      <c r="KK5" s="1809"/>
      <c r="KL5" s="1809"/>
      <c r="KM5" s="817"/>
      <c r="KN5" s="1809"/>
      <c r="KO5" s="1809"/>
      <c r="KP5" s="1809"/>
      <c r="KQ5" s="817"/>
      <c r="KR5" s="1809"/>
      <c r="KS5" s="1809"/>
      <c r="KT5" s="1809"/>
      <c r="KU5" s="817"/>
      <c r="KV5" s="1809"/>
      <c r="KW5" s="1809"/>
    </row>
    <row r="6" spans="1:627" ht="15.75">
      <c r="A6" s="1809"/>
      <c r="B6" s="1810" t="s">
        <v>2455</v>
      </c>
      <c r="C6" s="1811"/>
      <c r="D6" s="817"/>
      <c r="E6" s="847"/>
      <c r="F6" s="817"/>
      <c r="G6" s="817"/>
      <c r="H6" s="1809"/>
      <c r="I6" s="1809"/>
      <c r="J6" s="1809"/>
      <c r="K6" s="817"/>
      <c r="L6" s="1809"/>
      <c r="M6" s="1809"/>
      <c r="N6" s="1809"/>
      <c r="O6" s="817"/>
      <c r="P6" s="1809"/>
      <c r="Q6" s="1809"/>
      <c r="R6" s="1809"/>
      <c r="S6" s="817"/>
      <c r="T6" s="1809"/>
      <c r="U6" s="1809"/>
      <c r="V6" s="1809"/>
      <c r="W6" s="817"/>
      <c r="X6" s="1809"/>
      <c r="Y6" s="1809"/>
      <c r="Z6" s="1809"/>
      <c r="AA6" s="817"/>
      <c r="AB6" s="1809"/>
      <c r="AC6" s="1809"/>
      <c r="AD6" s="1809"/>
      <c r="AE6" s="817"/>
      <c r="AF6" s="1809"/>
      <c r="AG6" s="1809"/>
      <c r="AH6" s="1809"/>
      <c r="AI6" s="817"/>
      <c r="AJ6" s="1809"/>
      <c r="AK6" s="1809"/>
      <c r="AL6" s="1809"/>
      <c r="AM6" s="817"/>
      <c r="AN6" s="1809"/>
      <c r="AO6" s="1809"/>
      <c r="AP6" s="1809"/>
      <c r="AQ6" s="817"/>
      <c r="AR6" s="1809"/>
      <c r="AS6" s="1809"/>
      <c r="AT6" s="1809"/>
      <c r="AU6" s="817"/>
      <c r="AV6" s="1809"/>
      <c r="AW6" s="1809"/>
      <c r="AX6" s="1809"/>
      <c r="AY6" s="817"/>
      <c r="AZ6" s="1809"/>
      <c r="BA6" s="1809"/>
      <c r="BB6" s="1809"/>
      <c r="BC6" s="817"/>
      <c r="BD6" s="1809"/>
      <c r="BE6" s="1809"/>
      <c r="BF6" s="1809"/>
      <c r="BG6" s="817"/>
      <c r="BH6" s="1809"/>
      <c r="BI6" s="1809"/>
      <c r="BJ6" s="1809"/>
      <c r="BK6" s="817"/>
      <c r="BL6" s="1809"/>
      <c r="BM6" s="1809"/>
      <c r="BN6" s="1809"/>
      <c r="BO6" s="817"/>
      <c r="BP6" s="1809"/>
      <c r="BQ6" s="1809"/>
      <c r="BR6" s="1809"/>
      <c r="BS6" s="817"/>
      <c r="BT6" s="1809"/>
      <c r="BU6" s="1809"/>
      <c r="BV6" s="1809"/>
      <c r="BW6" s="817"/>
      <c r="BX6" s="1809"/>
      <c r="BY6" s="1809"/>
      <c r="BZ6" s="1809"/>
      <c r="CA6" s="817"/>
      <c r="CB6" s="1809"/>
      <c r="CC6" s="1809"/>
      <c r="CD6" s="1809"/>
      <c r="CE6" s="817"/>
      <c r="CF6" s="1809"/>
      <c r="CG6" s="1809"/>
      <c r="CH6" s="1809"/>
      <c r="CI6" s="817"/>
      <c r="CJ6" s="1809"/>
      <c r="CK6" s="1809"/>
      <c r="CL6" s="1809"/>
      <c r="CM6" s="817"/>
      <c r="CN6" s="1809"/>
      <c r="CO6" s="1809"/>
      <c r="CP6" s="1809"/>
      <c r="CQ6" s="817"/>
      <c r="CR6" s="1809"/>
      <c r="CS6" s="1809"/>
      <c r="CT6" s="1809"/>
      <c r="CU6" s="817"/>
      <c r="CV6" s="1809"/>
      <c r="CW6" s="1809"/>
      <c r="CX6" s="1809"/>
      <c r="CY6" s="817"/>
      <c r="CZ6" s="1809"/>
      <c r="DA6" s="1809"/>
      <c r="DB6" s="1809"/>
      <c r="DC6" s="817"/>
      <c r="DD6" s="1809"/>
      <c r="DE6" s="1809"/>
      <c r="DF6" s="1809"/>
      <c r="DG6" s="817"/>
      <c r="DH6" s="1809"/>
      <c r="DI6" s="1809"/>
      <c r="DJ6" s="1809"/>
      <c r="DK6" s="817"/>
      <c r="DL6" s="1809"/>
      <c r="DM6" s="1809"/>
      <c r="DN6" s="1809"/>
      <c r="DO6" s="817"/>
      <c r="DP6" s="1809"/>
      <c r="DQ6" s="1809"/>
      <c r="DR6" s="1809"/>
      <c r="DS6" s="817"/>
      <c r="DT6" s="1809"/>
      <c r="DU6" s="1809"/>
      <c r="DV6" s="1809"/>
      <c r="DW6" s="817"/>
      <c r="DX6" s="1809"/>
      <c r="DY6" s="1809"/>
      <c r="DZ6" s="1809"/>
      <c r="EA6" s="817"/>
      <c r="EB6" s="1809"/>
      <c r="EC6" s="1809"/>
      <c r="ED6" s="1809"/>
      <c r="EE6" s="817"/>
      <c r="EF6" s="1809"/>
      <c r="EG6" s="1809"/>
      <c r="EH6" s="1809"/>
      <c r="EI6" s="817"/>
      <c r="EJ6" s="1809"/>
      <c r="EK6" s="1809"/>
      <c r="EL6" s="1809"/>
      <c r="EM6" s="817"/>
      <c r="EN6" s="1809"/>
      <c r="EO6" s="1809"/>
      <c r="EP6" s="1809"/>
      <c r="EQ6" s="817"/>
      <c r="ER6" s="1809"/>
      <c r="ES6" s="1809"/>
      <c r="ET6" s="1809"/>
      <c r="EU6" s="817"/>
      <c r="EV6" s="1809"/>
      <c r="EW6" s="1809"/>
      <c r="EX6" s="1809"/>
      <c r="EY6" s="817"/>
      <c r="EZ6" s="1809"/>
      <c r="FA6" s="1809"/>
      <c r="FB6" s="1809"/>
      <c r="FC6" s="817"/>
      <c r="FD6" s="1809"/>
      <c r="FE6" s="1809"/>
      <c r="FF6" s="1809"/>
      <c r="FG6" s="817"/>
      <c r="FH6" s="1809"/>
      <c r="FI6" s="1809"/>
      <c r="FJ6" s="1809"/>
      <c r="FK6" s="817"/>
      <c r="FL6" s="1809"/>
      <c r="FM6" s="1809"/>
      <c r="FN6" s="1809"/>
      <c r="FO6" s="817"/>
      <c r="FP6" s="1809"/>
      <c r="FQ6" s="1809"/>
      <c r="FR6" s="1809"/>
      <c r="FS6" s="817"/>
      <c r="FT6" s="1809"/>
      <c r="FU6" s="1809"/>
      <c r="FV6" s="1809"/>
      <c r="FW6" s="817"/>
      <c r="FX6" s="1809"/>
      <c r="FY6" s="1809"/>
      <c r="FZ6" s="1809"/>
      <c r="GA6" s="817"/>
      <c r="GB6" s="1809"/>
      <c r="GC6" s="1809"/>
      <c r="GD6" s="1809"/>
      <c r="GE6" s="817"/>
      <c r="GF6" s="1809"/>
      <c r="GG6" s="1809"/>
      <c r="GH6" s="1809"/>
      <c r="GI6" s="817"/>
      <c r="GJ6" s="1809"/>
      <c r="GK6" s="1809"/>
      <c r="GL6" s="1809"/>
      <c r="GM6" s="817"/>
      <c r="GN6" s="1809"/>
      <c r="GO6" s="1809"/>
      <c r="GP6" s="1809"/>
      <c r="GQ6" s="817"/>
      <c r="GR6" s="1809"/>
      <c r="GS6" s="1809"/>
      <c r="GT6" s="1809"/>
      <c r="GU6" s="817"/>
      <c r="GV6" s="1809"/>
      <c r="GW6" s="1809"/>
      <c r="GX6" s="1809"/>
      <c r="GY6" s="817"/>
      <c r="GZ6" s="1809"/>
      <c r="HA6" s="1809"/>
      <c r="HB6" s="1809"/>
      <c r="HC6" s="817"/>
      <c r="HD6" s="1809"/>
      <c r="HE6" s="1809"/>
      <c r="HF6" s="1809"/>
      <c r="HG6" s="817"/>
      <c r="HH6" s="1809"/>
      <c r="HI6" s="1809"/>
      <c r="HJ6" s="1809"/>
      <c r="HK6" s="817"/>
      <c r="HL6" s="1809"/>
      <c r="HM6" s="1809"/>
      <c r="HN6" s="1809"/>
      <c r="HO6" s="817"/>
      <c r="HP6" s="1809"/>
      <c r="HQ6" s="1809"/>
      <c r="HR6" s="1809"/>
      <c r="HS6" s="817"/>
      <c r="HT6" s="1809"/>
      <c r="HU6" s="1809"/>
      <c r="HV6" s="1809"/>
      <c r="HW6" s="817"/>
      <c r="HX6" s="1809"/>
      <c r="HY6" s="1809"/>
      <c r="HZ6" s="1809"/>
      <c r="IA6" s="817"/>
      <c r="IB6" s="1809"/>
      <c r="IC6" s="1809"/>
      <c r="ID6" s="1809"/>
      <c r="IE6" s="817"/>
      <c r="IF6" s="1809"/>
      <c r="IG6" s="1809"/>
      <c r="IH6" s="1809"/>
      <c r="II6" s="817"/>
      <c r="IJ6" s="1809"/>
      <c r="IK6" s="1809"/>
      <c r="IL6" s="1809"/>
      <c r="IM6" s="817"/>
      <c r="IN6" s="1809"/>
      <c r="IO6" s="1809"/>
      <c r="IP6" s="1809"/>
      <c r="IQ6" s="817"/>
      <c r="IR6" s="1809"/>
      <c r="IS6" s="1809"/>
      <c r="IT6" s="1809"/>
      <c r="IU6" s="817"/>
      <c r="IV6" s="1809"/>
      <c r="IW6" s="1809"/>
      <c r="IX6" s="1809"/>
      <c r="IY6" s="817"/>
      <c r="IZ6" s="1809"/>
      <c r="JA6" s="1809"/>
      <c r="JB6" s="1809"/>
      <c r="JC6" s="817"/>
      <c r="JD6" s="1809"/>
      <c r="JE6" s="1809"/>
      <c r="JF6" s="1809"/>
      <c r="JG6" s="817"/>
      <c r="JH6" s="1809"/>
      <c r="JI6" s="1809"/>
      <c r="JJ6" s="1809"/>
      <c r="JK6" s="817"/>
      <c r="JL6" s="1809"/>
      <c r="JM6" s="1809"/>
      <c r="JN6" s="1809"/>
      <c r="JO6" s="817"/>
      <c r="JP6" s="1809"/>
      <c r="JQ6" s="1809"/>
      <c r="JR6" s="1809"/>
      <c r="JS6" s="817"/>
      <c r="JT6" s="1809"/>
      <c r="JU6" s="1809"/>
      <c r="JV6" s="1809"/>
      <c r="JW6" s="817"/>
      <c r="JX6" s="1809"/>
      <c r="JY6" s="1809"/>
      <c r="JZ6" s="1809"/>
      <c r="KA6" s="817"/>
      <c r="KB6" s="1809"/>
      <c r="KC6" s="1809"/>
      <c r="KD6" s="1809"/>
      <c r="KE6" s="817"/>
      <c r="KF6" s="1809"/>
      <c r="KG6" s="1809"/>
      <c r="KH6" s="1809"/>
      <c r="KI6" s="817"/>
      <c r="KJ6" s="1809"/>
      <c r="KK6" s="1809"/>
      <c r="KL6" s="1809"/>
      <c r="KM6" s="817"/>
      <c r="KN6" s="1809"/>
      <c r="KO6" s="1809"/>
      <c r="KP6" s="1809"/>
      <c r="KQ6" s="817"/>
      <c r="KR6" s="1809"/>
      <c r="KS6" s="1809"/>
      <c r="KT6" s="1809"/>
      <c r="KU6" s="817"/>
      <c r="KV6" s="1809"/>
      <c r="KW6" s="1809"/>
      <c r="LE6" s="71"/>
      <c r="LF6" s="1558" t="s">
        <v>2456</v>
      </c>
    </row>
    <row r="7" spans="1:627" ht="15.75" thickBot="1">
      <c r="A7" s="1809"/>
      <c r="B7" s="1812"/>
      <c r="C7" s="1813" t="s">
        <v>2337</v>
      </c>
      <c r="D7" s="817"/>
      <c r="E7" s="817"/>
      <c r="F7" s="817"/>
      <c r="G7" s="817"/>
      <c r="H7" s="1809"/>
      <c r="I7" s="1809"/>
      <c r="J7" s="1809"/>
      <c r="K7" s="817"/>
      <c r="L7" s="1809"/>
      <c r="M7" s="1809"/>
      <c r="N7" s="1809"/>
      <c r="O7" s="817"/>
      <c r="P7" s="1809"/>
      <c r="Q7" s="1809"/>
      <c r="R7" s="1809"/>
      <c r="S7" s="817"/>
      <c r="T7" s="1809"/>
      <c r="U7" s="1809"/>
      <c r="V7" s="1809"/>
      <c r="W7" s="817"/>
      <c r="X7" s="1809"/>
      <c r="Y7" s="1809"/>
      <c r="Z7" s="1809"/>
      <c r="AA7" s="817"/>
      <c r="AB7" s="1809"/>
      <c r="AC7" s="1809"/>
      <c r="AD7" s="1809"/>
      <c r="AE7" s="817"/>
      <c r="AF7" s="1809"/>
      <c r="AG7" s="1809"/>
      <c r="AH7" s="1809"/>
      <c r="AI7" s="817"/>
      <c r="AJ7" s="1809"/>
      <c r="AK7" s="1809"/>
      <c r="AL7" s="1809"/>
      <c r="AM7" s="817"/>
      <c r="AN7" s="1809"/>
      <c r="AO7" s="1809"/>
      <c r="AP7" s="1809"/>
      <c r="AQ7" s="817"/>
      <c r="AR7" s="1809"/>
      <c r="AS7" s="1809"/>
      <c r="AT7" s="1809"/>
      <c r="AU7" s="817"/>
      <c r="AV7" s="1809"/>
      <c r="AW7" s="1809"/>
      <c r="AX7" s="1809"/>
      <c r="AY7" s="817"/>
      <c r="AZ7" s="1809"/>
      <c r="BA7" s="1809"/>
      <c r="BB7" s="1809"/>
      <c r="BC7" s="817"/>
      <c r="BD7" s="1809"/>
      <c r="BE7" s="1809"/>
      <c r="BF7" s="1809"/>
      <c r="BG7" s="817"/>
      <c r="BH7" s="1809"/>
      <c r="BI7" s="1809"/>
      <c r="BJ7" s="1809"/>
      <c r="BK7" s="817"/>
      <c r="BL7" s="1809"/>
      <c r="BM7" s="1809"/>
      <c r="BN7" s="1809"/>
      <c r="BO7" s="817"/>
      <c r="BP7" s="1809"/>
      <c r="BQ7" s="1809"/>
      <c r="BR7" s="1809"/>
      <c r="BS7" s="817"/>
      <c r="BT7" s="1809"/>
      <c r="BU7" s="1809"/>
      <c r="BV7" s="1809"/>
      <c r="BW7" s="817"/>
      <c r="BX7" s="1809"/>
      <c r="BY7" s="1809"/>
      <c r="BZ7" s="1809"/>
      <c r="CA7" s="817"/>
      <c r="CB7" s="1809"/>
      <c r="CC7" s="1809"/>
      <c r="CD7" s="1809"/>
      <c r="CE7" s="817"/>
      <c r="CF7" s="1809"/>
      <c r="CG7" s="1809"/>
      <c r="CH7" s="1809"/>
      <c r="CI7" s="817"/>
      <c r="CJ7" s="1809"/>
      <c r="CK7" s="1809"/>
      <c r="CL7" s="1809"/>
      <c r="CM7" s="817"/>
      <c r="CN7" s="1809"/>
      <c r="CO7" s="1809"/>
      <c r="CP7" s="1809"/>
      <c r="CQ7" s="817"/>
      <c r="CR7" s="1809"/>
      <c r="CS7" s="1809"/>
      <c r="CT7" s="1809"/>
      <c r="CU7" s="817"/>
      <c r="CV7" s="1809"/>
      <c r="CW7" s="1809"/>
      <c r="CX7" s="1809"/>
      <c r="CY7" s="817"/>
      <c r="CZ7" s="1809"/>
      <c r="DA7" s="1809"/>
      <c r="DB7" s="1809"/>
      <c r="DC7" s="817"/>
      <c r="DD7" s="1809"/>
      <c r="DE7" s="1809"/>
      <c r="DF7" s="1809"/>
      <c r="DG7" s="817"/>
      <c r="DH7" s="1809"/>
      <c r="DI7" s="1809"/>
      <c r="DJ7" s="1809"/>
      <c r="DK7" s="817"/>
      <c r="DL7" s="1809"/>
      <c r="DM7" s="1809"/>
      <c r="DN7" s="1809"/>
      <c r="DO7" s="817"/>
      <c r="DP7" s="1809"/>
      <c r="DQ7" s="1809"/>
      <c r="DR7" s="1809"/>
      <c r="DS7" s="817"/>
      <c r="DT7" s="1809"/>
      <c r="DU7" s="1809"/>
      <c r="DV7" s="1809"/>
      <c r="DW7" s="817"/>
      <c r="DX7" s="1809"/>
      <c r="DY7" s="1809"/>
      <c r="DZ7" s="1809"/>
      <c r="EA7" s="817"/>
      <c r="EB7" s="1809"/>
      <c r="EC7" s="1809"/>
      <c r="ED7" s="1809"/>
      <c r="EE7" s="817"/>
      <c r="EF7" s="1809"/>
      <c r="EG7" s="1809"/>
      <c r="EH7" s="1809"/>
      <c r="EI7" s="817"/>
      <c r="EJ7" s="1809"/>
      <c r="EK7" s="1809"/>
      <c r="EL7" s="1809"/>
      <c r="EM7" s="817"/>
      <c r="EN7" s="1809"/>
      <c r="EO7" s="1809"/>
      <c r="EP7" s="1809"/>
      <c r="EQ7" s="817"/>
      <c r="ER7" s="1809"/>
      <c r="ES7" s="1809"/>
      <c r="ET7" s="1809"/>
      <c r="EU7" s="817"/>
      <c r="EV7" s="1809"/>
      <c r="EW7" s="1809"/>
      <c r="EX7" s="1809"/>
      <c r="EY7" s="817"/>
      <c r="EZ7" s="1809"/>
      <c r="FA7" s="1809"/>
      <c r="FB7" s="1809"/>
      <c r="FC7" s="817"/>
      <c r="FD7" s="1809"/>
      <c r="FE7" s="1809"/>
      <c r="FF7" s="1809"/>
      <c r="FG7" s="817"/>
      <c r="FH7" s="1809"/>
      <c r="FI7" s="1809"/>
      <c r="FJ7" s="1809"/>
      <c r="FK7" s="817"/>
      <c r="FL7" s="1809"/>
      <c r="FM7" s="1809"/>
      <c r="FN7" s="1809"/>
      <c r="FO7" s="817"/>
      <c r="FP7" s="1809"/>
      <c r="FQ7" s="1809"/>
      <c r="FR7" s="1809"/>
      <c r="FS7" s="817"/>
      <c r="FT7" s="1809"/>
      <c r="FU7" s="1809"/>
      <c r="FV7" s="1809"/>
      <c r="FW7" s="817"/>
      <c r="FX7" s="1809"/>
      <c r="FY7" s="1809"/>
      <c r="FZ7" s="1809"/>
      <c r="GA7" s="817"/>
      <c r="GB7" s="1809"/>
      <c r="GC7" s="1809"/>
      <c r="GD7" s="1809"/>
      <c r="GE7" s="817"/>
      <c r="GF7" s="1809"/>
      <c r="GG7" s="1809"/>
      <c r="GH7" s="1809"/>
      <c r="GI7" s="817"/>
      <c r="GJ7" s="1809"/>
      <c r="GK7" s="1809"/>
      <c r="GL7" s="1809"/>
      <c r="GM7" s="817"/>
      <c r="GN7" s="1809"/>
      <c r="GO7" s="1809"/>
      <c r="GP7" s="1809"/>
      <c r="GQ7" s="817"/>
      <c r="GR7" s="1809"/>
      <c r="GS7" s="1809"/>
      <c r="GT7" s="1809"/>
      <c r="GU7" s="817"/>
      <c r="GV7" s="1809"/>
      <c r="GW7" s="1809"/>
      <c r="GX7" s="1809"/>
      <c r="GY7" s="817"/>
      <c r="GZ7" s="1809"/>
      <c r="HA7" s="1809"/>
      <c r="HB7" s="1809"/>
      <c r="HC7" s="817"/>
      <c r="HD7" s="1809"/>
      <c r="HE7" s="1809"/>
      <c r="HF7" s="1809"/>
      <c r="HG7" s="817"/>
      <c r="HH7" s="1809"/>
      <c r="HI7" s="1809"/>
      <c r="HJ7" s="1809"/>
      <c r="HK7" s="817"/>
      <c r="HL7" s="1809"/>
      <c r="HM7" s="1809"/>
      <c r="HN7" s="1809"/>
      <c r="HO7" s="817"/>
      <c r="HP7" s="1809"/>
      <c r="HQ7" s="1809"/>
      <c r="HR7" s="1809"/>
      <c r="HS7" s="817"/>
      <c r="HT7" s="1809"/>
      <c r="HU7" s="1809"/>
      <c r="HV7" s="1809"/>
      <c r="HW7" s="817"/>
      <c r="HX7" s="1809"/>
      <c r="HY7" s="1809"/>
      <c r="HZ7" s="1809"/>
      <c r="IA7" s="817"/>
      <c r="IB7" s="1809"/>
      <c r="IC7" s="1809"/>
      <c r="ID7" s="1809"/>
      <c r="IE7" s="817"/>
      <c r="IF7" s="1809"/>
      <c r="IG7" s="1809"/>
      <c r="IH7" s="1809"/>
      <c r="II7" s="817"/>
      <c r="IJ7" s="1809"/>
      <c r="IK7" s="1809"/>
      <c r="IL7" s="1809"/>
      <c r="IM7" s="817"/>
      <c r="IN7" s="1809"/>
      <c r="IO7" s="1809"/>
      <c r="IP7" s="1809"/>
      <c r="IQ7" s="817"/>
      <c r="IR7" s="1809"/>
      <c r="IS7" s="1809"/>
      <c r="IT7" s="1809"/>
      <c r="IU7" s="817"/>
      <c r="IV7" s="1809"/>
      <c r="IW7" s="1809"/>
      <c r="IX7" s="1809"/>
      <c r="IY7" s="817"/>
      <c r="IZ7" s="1809"/>
      <c r="JA7" s="1809"/>
      <c r="JB7" s="1809"/>
      <c r="JC7" s="817"/>
      <c r="JD7" s="1809"/>
      <c r="JE7" s="1809"/>
      <c r="JF7" s="1809"/>
      <c r="JG7" s="817"/>
      <c r="JH7" s="1809"/>
      <c r="JI7" s="1809"/>
      <c r="JJ7" s="1809"/>
      <c r="JK7" s="817"/>
      <c r="JL7" s="1809"/>
      <c r="JM7" s="1809"/>
      <c r="JN7" s="1809"/>
      <c r="JO7" s="817"/>
      <c r="JP7" s="1809"/>
      <c r="JQ7" s="1809"/>
      <c r="JR7" s="1809"/>
      <c r="JS7" s="817"/>
      <c r="JT7" s="1809"/>
      <c r="JU7" s="1809"/>
      <c r="JV7" s="1809"/>
      <c r="JW7" s="817"/>
      <c r="JX7" s="1809"/>
      <c r="JY7" s="1809"/>
      <c r="JZ7" s="1809"/>
      <c r="KA7" s="817"/>
      <c r="KB7" s="1809"/>
      <c r="KC7" s="1809"/>
      <c r="KD7" s="1809"/>
      <c r="KE7" s="817"/>
      <c r="KF7" s="1809"/>
      <c r="KG7" s="1809"/>
      <c r="KH7" s="1809"/>
      <c r="KI7" s="817"/>
      <c r="KJ7" s="1809"/>
      <c r="KK7" s="1809"/>
      <c r="KL7" s="1809"/>
      <c r="KM7" s="817"/>
      <c r="KN7" s="1809"/>
      <c r="KO7" s="1809"/>
      <c r="KP7" s="1809"/>
      <c r="KQ7" s="817"/>
      <c r="KR7" s="1809"/>
      <c r="KS7" s="1809"/>
      <c r="KT7" s="1809"/>
      <c r="KU7" s="817"/>
      <c r="KV7" s="1809"/>
      <c r="KW7" s="1809"/>
      <c r="LC7" s="503">
        <f xml:space="preserve"> IF( SUM( LE7:XC7 ) = 0, 0, $LG$3 )</f>
        <v>0</v>
      </c>
      <c r="LF7" s="1558">
        <f>SUM(LG7:XC7)</f>
        <v>0</v>
      </c>
      <c r="LG7" s="93">
        <f xml:space="preserve"> IF( OR( C7 = "Yes", C7 = "No"), 0, 1)</f>
        <v>0</v>
      </c>
    </row>
    <row r="8" spans="1:627" ht="15" thickBot="1">
      <c r="LG8" s="633" t="s">
        <v>2457</v>
      </c>
    </row>
    <row r="9" spans="1:627" ht="15" customHeight="1" thickBot="1">
      <c r="A9" s="1814"/>
      <c r="B9" s="3005" t="s">
        <v>36</v>
      </c>
      <c r="C9" s="307"/>
      <c r="D9" s="307" t="s">
        <v>38</v>
      </c>
      <c r="E9" s="307" t="s">
        <v>39</v>
      </c>
      <c r="F9" s="1815" t="s">
        <v>2458</v>
      </c>
      <c r="G9" s="1816"/>
      <c r="H9" s="1816"/>
      <c r="I9" s="1817"/>
      <c r="J9" s="1818" t="s">
        <v>2459</v>
      </c>
      <c r="K9" s="1819"/>
      <c r="L9" s="1819"/>
      <c r="M9" s="1820"/>
      <c r="N9" s="1818" t="str">
        <f>$J$9</f>
        <v>Component / sub-component</v>
      </c>
      <c r="O9" s="1819"/>
      <c r="P9" s="1819"/>
      <c r="Q9" s="1820"/>
      <c r="R9" s="1818" t="str">
        <f>$J$9</f>
        <v>Component / sub-component</v>
      </c>
      <c r="S9" s="1819"/>
      <c r="T9" s="1819"/>
      <c r="U9" s="1820"/>
      <c r="V9" s="1818" t="str">
        <f>$J$9</f>
        <v>Component / sub-component</v>
      </c>
      <c r="W9" s="1819"/>
      <c r="X9" s="1819"/>
      <c r="Y9" s="1820"/>
      <c r="Z9" s="1818" t="str">
        <f>$J$9</f>
        <v>Component / sub-component</v>
      </c>
      <c r="AA9" s="1819"/>
      <c r="AB9" s="1819"/>
      <c r="AC9" s="1820"/>
      <c r="AD9" s="1818" t="str">
        <f>$J$9</f>
        <v>Component / sub-component</v>
      </c>
      <c r="AE9" s="1819"/>
      <c r="AF9" s="1819"/>
      <c r="AG9" s="1820"/>
      <c r="AH9" s="1818" t="str">
        <f>$J$9</f>
        <v>Component / sub-component</v>
      </c>
      <c r="AI9" s="1819"/>
      <c r="AJ9" s="1819"/>
      <c r="AK9" s="1820"/>
      <c r="AL9" s="1818" t="str">
        <f>$J$9</f>
        <v>Component / sub-component</v>
      </c>
      <c r="AM9" s="1819"/>
      <c r="AN9" s="1819"/>
      <c r="AO9" s="1820"/>
      <c r="AP9" s="1818" t="str">
        <f>$J$9</f>
        <v>Component / sub-component</v>
      </c>
      <c r="AQ9" s="1819"/>
      <c r="AR9" s="1819"/>
      <c r="AS9" s="1820"/>
      <c r="AT9" s="1818" t="str">
        <f>$J$9</f>
        <v>Component / sub-component</v>
      </c>
      <c r="AU9" s="1819"/>
      <c r="AV9" s="1819"/>
      <c r="AW9" s="1820"/>
      <c r="AX9" s="1818" t="str">
        <f>$J$9</f>
        <v>Component / sub-component</v>
      </c>
      <c r="AY9" s="1819"/>
      <c r="AZ9" s="1819"/>
      <c r="BA9" s="1820"/>
      <c r="BB9" s="1818" t="str">
        <f>$J$9</f>
        <v>Component / sub-component</v>
      </c>
      <c r="BC9" s="1819"/>
      <c r="BD9" s="1819"/>
      <c r="BE9" s="1820"/>
      <c r="BF9" s="1818" t="str">
        <f>$J$9</f>
        <v>Component / sub-component</v>
      </c>
      <c r="BG9" s="1819"/>
      <c r="BH9" s="1819"/>
      <c r="BI9" s="1820"/>
      <c r="BJ9" s="1818" t="str">
        <f>$J$9</f>
        <v>Component / sub-component</v>
      </c>
      <c r="BK9" s="1819"/>
      <c r="BL9" s="1819"/>
      <c r="BM9" s="1820"/>
      <c r="BN9" s="1818" t="str">
        <f>$J$9</f>
        <v>Component / sub-component</v>
      </c>
      <c r="BO9" s="1819"/>
      <c r="BP9" s="1819"/>
      <c r="BQ9" s="1820"/>
      <c r="BR9" s="1818" t="str">
        <f>$J$9</f>
        <v>Component / sub-component</v>
      </c>
      <c r="BS9" s="1819"/>
      <c r="BT9" s="1819"/>
      <c r="BU9" s="1820"/>
      <c r="BV9" s="1818" t="str">
        <f>$J$9</f>
        <v>Component / sub-component</v>
      </c>
      <c r="BW9" s="1819"/>
      <c r="BX9" s="1819"/>
      <c r="BY9" s="1820"/>
      <c r="BZ9" s="1818" t="str">
        <f>$J$9</f>
        <v>Component / sub-component</v>
      </c>
      <c r="CA9" s="1819"/>
      <c r="CB9" s="1819"/>
      <c r="CC9" s="1820"/>
      <c r="CD9" s="1818" t="str">
        <f>$J$9</f>
        <v>Component / sub-component</v>
      </c>
      <c r="CE9" s="1819"/>
      <c r="CF9" s="1819"/>
      <c r="CG9" s="1820"/>
      <c r="CH9" s="1818" t="str">
        <f>$J$9</f>
        <v>Component / sub-component</v>
      </c>
      <c r="CI9" s="1819"/>
      <c r="CJ9" s="1819"/>
      <c r="CK9" s="1820"/>
      <c r="CL9" s="1818" t="str">
        <f>$J$9</f>
        <v>Component / sub-component</v>
      </c>
      <c r="CM9" s="1819"/>
      <c r="CN9" s="1819"/>
      <c r="CO9" s="1820"/>
      <c r="CP9" s="1818" t="str">
        <f>$J$9</f>
        <v>Component / sub-component</v>
      </c>
      <c r="CQ9" s="1819"/>
      <c r="CR9" s="1819"/>
      <c r="CS9" s="1820"/>
      <c r="CT9" s="1818" t="str">
        <f>$J$9</f>
        <v>Component / sub-component</v>
      </c>
      <c r="CU9" s="1819"/>
      <c r="CV9" s="1819"/>
      <c r="CW9" s="1820"/>
      <c r="CX9" s="1818" t="str">
        <f>$J$9</f>
        <v>Component / sub-component</v>
      </c>
      <c r="CY9" s="1819"/>
      <c r="CZ9" s="1819"/>
      <c r="DA9" s="1820"/>
      <c r="DB9" s="1818" t="str">
        <f>$J$9</f>
        <v>Component / sub-component</v>
      </c>
      <c r="DC9" s="1819"/>
      <c r="DD9" s="1819"/>
      <c r="DE9" s="1820"/>
      <c r="DF9" s="1818" t="str">
        <f>$J$9</f>
        <v>Component / sub-component</v>
      </c>
      <c r="DG9" s="1819"/>
      <c r="DH9" s="1819"/>
      <c r="DI9" s="1820"/>
      <c r="DJ9" s="1818" t="str">
        <f>$J$9</f>
        <v>Component / sub-component</v>
      </c>
      <c r="DK9" s="1819"/>
      <c r="DL9" s="1819"/>
      <c r="DM9" s="1820"/>
      <c r="DN9" s="1818" t="str">
        <f>$J$9</f>
        <v>Component / sub-component</v>
      </c>
      <c r="DO9" s="1819"/>
      <c r="DP9" s="1819"/>
      <c r="DQ9" s="1820"/>
      <c r="DR9" s="1818" t="str">
        <f>$J$9</f>
        <v>Component / sub-component</v>
      </c>
      <c r="DS9" s="1819"/>
      <c r="DT9" s="1819"/>
      <c r="DU9" s="1820"/>
      <c r="DV9" s="1818" t="str">
        <f>$J$9</f>
        <v>Component / sub-component</v>
      </c>
      <c r="DW9" s="1819"/>
      <c r="DX9" s="1819"/>
      <c r="DY9" s="1820"/>
      <c r="DZ9" s="1818" t="str">
        <f>$J$9</f>
        <v>Component / sub-component</v>
      </c>
      <c r="EA9" s="1819"/>
      <c r="EB9" s="1819"/>
      <c r="EC9" s="1820"/>
      <c r="ED9" s="1818" t="str">
        <f>$J$9</f>
        <v>Component / sub-component</v>
      </c>
      <c r="EE9" s="1819"/>
      <c r="EF9" s="1819"/>
      <c r="EG9" s="1820"/>
      <c r="EH9" s="1818" t="str">
        <f>$J$9</f>
        <v>Component / sub-component</v>
      </c>
      <c r="EI9" s="1819"/>
      <c r="EJ9" s="1819"/>
      <c r="EK9" s="1820"/>
      <c r="EL9" s="1818" t="str">
        <f>$J$9</f>
        <v>Component / sub-component</v>
      </c>
      <c r="EM9" s="1819"/>
      <c r="EN9" s="1819"/>
      <c r="EO9" s="1820"/>
      <c r="EP9" s="1818" t="str">
        <f>$J$9</f>
        <v>Component / sub-component</v>
      </c>
      <c r="EQ9" s="1819"/>
      <c r="ER9" s="1819"/>
      <c r="ES9" s="1820"/>
      <c r="ET9" s="1818" t="str">
        <f>$J$9</f>
        <v>Component / sub-component</v>
      </c>
      <c r="EU9" s="1819"/>
      <c r="EV9" s="1819"/>
      <c r="EW9" s="1820"/>
      <c r="EX9" s="1818" t="str">
        <f>$J$9</f>
        <v>Component / sub-component</v>
      </c>
      <c r="EY9" s="1819"/>
      <c r="EZ9" s="1819"/>
      <c r="FA9" s="1820"/>
      <c r="FB9" s="1818" t="str">
        <f>$J$9</f>
        <v>Component / sub-component</v>
      </c>
      <c r="FC9" s="1819"/>
      <c r="FD9" s="1819"/>
      <c r="FE9" s="1820"/>
      <c r="FF9" s="1818" t="str">
        <f>$J$9</f>
        <v>Component / sub-component</v>
      </c>
      <c r="FG9" s="1819"/>
      <c r="FH9" s="1819"/>
      <c r="FI9" s="1820"/>
      <c r="FJ9" s="1818" t="str">
        <f>$J$9</f>
        <v>Component / sub-component</v>
      </c>
      <c r="FK9" s="1819"/>
      <c r="FL9" s="1819"/>
      <c r="FM9" s="1820"/>
      <c r="FN9" s="1818" t="str">
        <f>$J$9</f>
        <v>Component / sub-component</v>
      </c>
      <c r="FO9" s="1819"/>
      <c r="FP9" s="1819"/>
      <c r="FQ9" s="1820"/>
      <c r="FR9" s="1818" t="str">
        <f>$J$9</f>
        <v>Component / sub-component</v>
      </c>
      <c r="FS9" s="1819"/>
      <c r="FT9" s="1819"/>
      <c r="FU9" s="1820"/>
      <c r="FV9" s="1818" t="str">
        <f>$J$9</f>
        <v>Component / sub-component</v>
      </c>
      <c r="FW9" s="1819"/>
      <c r="FX9" s="1819"/>
      <c r="FY9" s="1820"/>
      <c r="FZ9" s="1818" t="str">
        <f>$J$9</f>
        <v>Component / sub-component</v>
      </c>
      <c r="GA9" s="1819"/>
      <c r="GB9" s="1819"/>
      <c r="GC9" s="1820"/>
      <c r="GD9" s="1818" t="str">
        <f>$J$9</f>
        <v>Component / sub-component</v>
      </c>
      <c r="GE9" s="1819"/>
      <c r="GF9" s="1819"/>
      <c r="GG9" s="1820"/>
      <c r="GH9" s="1818" t="str">
        <f>$J$9</f>
        <v>Component / sub-component</v>
      </c>
      <c r="GI9" s="1819"/>
      <c r="GJ9" s="1819"/>
      <c r="GK9" s="1820"/>
      <c r="GL9" s="1818" t="str">
        <f>$J$9</f>
        <v>Component / sub-component</v>
      </c>
      <c r="GM9" s="1819"/>
      <c r="GN9" s="1819"/>
      <c r="GO9" s="1820"/>
      <c r="GP9" s="1818" t="str">
        <f>$J$9</f>
        <v>Component / sub-component</v>
      </c>
      <c r="GQ9" s="1819"/>
      <c r="GR9" s="1819"/>
      <c r="GS9" s="1820"/>
      <c r="GT9" s="1818" t="str">
        <f>$J$9</f>
        <v>Component / sub-component</v>
      </c>
      <c r="GU9" s="1819"/>
      <c r="GV9" s="1819"/>
      <c r="GW9" s="1820"/>
      <c r="GX9" s="1818" t="str">
        <f>$J$9</f>
        <v>Component / sub-component</v>
      </c>
      <c r="GY9" s="1819"/>
      <c r="GZ9" s="1819"/>
      <c r="HA9" s="1820"/>
      <c r="HB9" s="1818" t="str">
        <f>$J$9</f>
        <v>Component / sub-component</v>
      </c>
      <c r="HC9" s="1819"/>
      <c r="HD9" s="1819"/>
      <c r="HE9" s="1820"/>
      <c r="HF9" s="1818" t="str">
        <f>$J$9</f>
        <v>Component / sub-component</v>
      </c>
      <c r="HG9" s="1819"/>
      <c r="HH9" s="1819"/>
      <c r="HI9" s="1820"/>
      <c r="HJ9" s="1818" t="str">
        <f>$J$9</f>
        <v>Component / sub-component</v>
      </c>
      <c r="HK9" s="1819"/>
      <c r="HL9" s="1819"/>
      <c r="HM9" s="1820"/>
      <c r="HN9" s="1818" t="str">
        <f>$J$9</f>
        <v>Component / sub-component</v>
      </c>
      <c r="HO9" s="1819"/>
      <c r="HP9" s="1819"/>
      <c r="HQ9" s="1820"/>
      <c r="HR9" s="1818" t="str">
        <f>$J$9</f>
        <v>Component / sub-component</v>
      </c>
      <c r="HS9" s="1819"/>
      <c r="HT9" s="1819"/>
      <c r="HU9" s="1820"/>
      <c r="HV9" s="1818" t="str">
        <f>$J$9</f>
        <v>Component / sub-component</v>
      </c>
      <c r="HW9" s="1819"/>
      <c r="HX9" s="1819"/>
      <c r="HY9" s="1820"/>
      <c r="HZ9" s="1818" t="str">
        <f>$J$9</f>
        <v>Component / sub-component</v>
      </c>
      <c r="IA9" s="1819"/>
      <c r="IB9" s="1819"/>
      <c r="IC9" s="1820"/>
      <c r="ID9" s="1818" t="str">
        <f>$J$9</f>
        <v>Component / sub-component</v>
      </c>
      <c r="IE9" s="1819"/>
      <c r="IF9" s="1819"/>
      <c r="IG9" s="1820"/>
      <c r="IH9" s="1818" t="str">
        <f>$J$9</f>
        <v>Component / sub-component</v>
      </c>
      <c r="II9" s="1819"/>
      <c r="IJ9" s="1819"/>
      <c r="IK9" s="1820"/>
      <c r="IL9" s="1818" t="str">
        <f>$J$9</f>
        <v>Component / sub-component</v>
      </c>
      <c r="IM9" s="1819"/>
      <c r="IN9" s="1819"/>
      <c r="IO9" s="1820"/>
      <c r="IP9" s="1818" t="str">
        <f>$J$9</f>
        <v>Component / sub-component</v>
      </c>
      <c r="IQ9" s="1819"/>
      <c r="IR9" s="1819"/>
      <c r="IS9" s="1820"/>
      <c r="IT9" s="1818" t="str">
        <f>$J$9</f>
        <v>Component / sub-component</v>
      </c>
      <c r="IU9" s="1819"/>
      <c r="IV9" s="1819"/>
      <c r="IW9" s="1820"/>
      <c r="IX9" s="1818" t="str">
        <f>$J$9</f>
        <v>Component / sub-component</v>
      </c>
      <c r="IY9" s="1819"/>
      <c r="IZ9" s="1819"/>
      <c r="JA9" s="1820"/>
      <c r="JB9" s="1818" t="str">
        <f>$J$9</f>
        <v>Component / sub-component</v>
      </c>
      <c r="JC9" s="1819"/>
      <c r="JD9" s="1819"/>
      <c r="JE9" s="1820"/>
      <c r="JF9" s="1818" t="str">
        <f>$J$9</f>
        <v>Component / sub-component</v>
      </c>
      <c r="JG9" s="1819"/>
      <c r="JH9" s="1819"/>
      <c r="JI9" s="1820"/>
      <c r="JJ9" s="1818" t="str">
        <f>$J$9</f>
        <v>Component / sub-component</v>
      </c>
      <c r="JK9" s="1819"/>
      <c r="JL9" s="1819"/>
      <c r="JM9" s="1820"/>
      <c r="JN9" s="1818" t="str">
        <f>$J$9</f>
        <v>Component / sub-component</v>
      </c>
      <c r="JO9" s="1819"/>
      <c r="JP9" s="1819"/>
      <c r="JQ9" s="1820"/>
      <c r="JR9" s="1818" t="str">
        <f>$J$9</f>
        <v>Component / sub-component</v>
      </c>
      <c r="JS9" s="1819"/>
      <c r="JT9" s="1819"/>
      <c r="JU9" s="1820"/>
      <c r="JV9" s="1818" t="str">
        <f>$J$9</f>
        <v>Component / sub-component</v>
      </c>
      <c r="JW9" s="1819"/>
      <c r="JX9" s="1819"/>
      <c r="JY9" s="1820"/>
      <c r="JZ9" s="1818" t="str">
        <f>$J$9</f>
        <v>Component / sub-component</v>
      </c>
      <c r="KA9" s="1819"/>
      <c r="KB9" s="1819"/>
      <c r="KC9" s="1820"/>
      <c r="KD9" s="1818" t="str">
        <f>$J$9</f>
        <v>Component / sub-component</v>
      </c>
      <c r="KE9" s="1819"/>
      <c r="KF9" s="1819"/>
      <c r="KG9" s="1820"/>
      <c r="KH9" s="1818" t="str">
        <f>$J$9</f>
        <v>Component / sub-component</v>
      </c>
      <c r="KI9" s="1819"/>
      <c r="KJ9" s="1819"/>
      <c r="KK9" s="1820"/>
      <c r="KL9" s="1818" t="str">
        <f>$J$9</f>
        <v>Component / sub-component</v>
      </c>
      <c r="KM9" s="1819"/>
      <c r="KN9" s="1819"/>
      <c r="KO9" s="1820"/>
      <c r="KP9" s="1818" t="str">
        <f>$J$9</f>
        <v>Component / sub-component</v>
      </c>
      <c r="KQ9" s="1819"/>
      <c r="KR9" s="1819"/>
      <c r="KS9" s="1820"/>
      <c r="KT9" s="1818" t="str">
        <f>$J$9</f>
        <v>Component / sub-component</v>
      </c>
      <c r="KU9" s="1819"/>
      <c r="KV9" s="1819"/>
      <c r="KW9" s="1820"/>
      <c r="KX9" s="1818"/>
      <c r="KY9" s="1819"/>
      <c r="KZ9" s="1819"/>
      <c r="LA9" s="1820"/>
      <c r="LC9" s="378" t="s">
        <v>43</v>
      </c>
      <c r="LG9" s="849" t="s">
        <v>2325</v>
      </c>
      <c r="LH9" s="849" t="s">
        <v>2326</v>
      </c>
      <c r="LI9" s="849" t="s">
        <v>2327</v>
      </c>
      <c r="LJ9" s="849" t="s">
        <v>2328</v>
      </c>
      <c r="LK9" s="849" t="s">
        <v>2329</v>
      </c>
      <c r="LL9" s="849" t="s">
        <v>2330</v>
      </c>
      <c r="LM9" s="849" t="s">
        <v>2331</v>
      </c>
      <c r="LN9" s="849" t="s">
        <v>2332</v>
      </c>
      <c r="LO9" s="849" t="s">
        <v>2333</v>
      </c>
      <c r="LP9" s="849" t="s">
        <v>2460</v>
      </c>
      <c r="LQ9" s="849" t="s">
        <v>2461</v>
      </c>
      <c r="LR9" s="849" t="s">
        <v>2462</v>
      </c>
      <c r="LS9" s="849" t="s">
        <v>2463</v>
      </c>
      <c r="LT9" s="849" t="s">
        <v>2464</v>
      </c>
      <c r="LU9" s="849" t="s">
        <v>2465</v>
      </c>
      <c r="LV9" s="849" t="s">
        <v>2466</v>
      </c>
      <c r="LW9" s="849" t="s">
        <v>2467</v>
      </c>
      <c r="LX9" s="849" t="s">
        <v>2468</v>
      </c>
      <c r="LY9" s="849" t="s">
        <v>2469</v>
      </c>
      <c r="LZ9" s="849" t="s">
        <v>2470</v>
      </c>
      <c r="MA9" s="849" t="s">
        <v>2471</v>
      </c>
      <c r="MB9" s="849" t="s">
        <v>2472</v>
      </c>
      <c r="MC9" s="849" t="s">
        <v>2473</v>
      </c>
      <c r="MD9" s="849" t="s">
        <v>2474</v>
      </c>
      <c r="ME9" s="849" t="s">
        <v>2475</v>
      </c>
      <c r="MF9" s="849" t="s">
        <v>2476</v>
      </c>
      <c r="MG9" s="849" t="s">
        <v>2477</v>
      </c>
      <c r="MH9" s="849" t="s">
        <v>2478</v>
      </c>
      <c r="MI9" s="849" t="s">
        <v>2479</v>
      </c>
      <c r="MJ9" s="849" t="s">
        <v>2480</v>
      </c>
      <c r="MK9" s="849" t="s">
        <v>2481</v>
      </c>
      <c r="ML9" s="849" t="s">
        <v>2482</v>
      </c>
      <c r="MM9" s="849" t="s">
        <v>2483</v>
      </c>
      <c r="MN9" s="849" t="s">
        <v>2484</v>
      </c>
      <c r="MO9" s="849" t="s">
        <v>2485</v>
      </c>
      <c r="MP9" s="849" t="s">
        <v>2486</v>
      </c>
      <c r="MQ9" s="849" t="s">
        <v>2487</v>
      </c>
      <c r="MR9" s="849" t="s">
        <v>2488</v>
      </c>
      <c r="MS9" s="849" t="s">
        <v>2489</v>
      </c>
      <c r="MT9" s="849" t="s">
        <v>2490</v>
      </c>
      <c r="MU9" s="849" t="s">
        <v>2491</v>
      </c>
      <c r="MV9" s="849" t="s">
        <v>2492</v>
      </c>
      <c r="MW9" s="849" t="s">
        <v>2493</v>
      </c>
      <c r="MX9" s="849" t="s">
        <v>2494</v>
      </c>
      <c r="MY9" s="849" t="s">
        <v>2495</v>
      </c>
      <c r="MZ9" s="849" t="s">
        <v>2496</v>
      </c>
      <c r="NA9" s="849" t="s">
        <v>2497</v>
      </c>
      <c r="NB9" s="849" t="s">
        <v>2498</v>
      </c>
      <c r="NC9" s="849" t="s">
        <v>2499</v>
      </c>
      <c r="ND9" s="849" t="s">
        <v>2500</v>
      </c>
      <c r="NE9" s="849" t="s">
        <v>2501</v>
      </c>
      <c r="NF9" s="849" t="s">
        <v>2502</v>
      </c>
      <c r="NG9" s="849" t="s">
        <v>2503</v>
      </c>
      <c r="NH9" s="849" t="s">
        <v>2504</v>
      </c>
      <c r="NI9" s="849" t="s">
        <v>2505</v>
      </c>
      <c r="NJ9" s="849" t="s">
        <v>2506</v>
      </c>
      <c r="NK9" s="849" t="s">
        <v>2507</v>
      </c>
      <c r="NL9" s="849" t="s">
        <v>2508</v>
      </c>
      <c r="NM9" s="849" t="s">
        <v>2509</v>
      </c>
      <c r="NN9" s="849" t="s">
        <v>2510</v>
      </c>
      <c r="NO9" s="849" t="s">
        <v>2511</v>
      </c>
      <c r="NP9" s="849" t="s">
        <v>2512</v>
      </c>
      <c r="NQ9" s="849" t="s">
        <v>2513</v>
      </c>
      <c r="NR9" s="849" t="s">
        <v>2514</v>
      </c>
      <c r="NS9" s="849" t="s">
        <v>2515</v>
      </c>
      <c r="NT9" s="849" t="s">
        <v>2516</v>
      </c>
      <c r="NU9" s="849" t="s">
        <v>2517</v>
      </c>
      <c r="NV9" s="849" t="s">
        <v>2518</v>
      </c>
      <c r="NW9" s="849" t="s">
        <v>2519</v>
      </c>
      <c r="NX9" s="849" t="s">
        <v>2520</v>
      </c>
      <c r="NY9" s="849" t="s">
        <v>2521</v>
      </c>
      <c r="NZ9" s="849" t="s">
        <v>2522</v>
      </c>
      <c r="OA9" s="849" t="s">
        <v>2523</v>
      </c>
      <c r="OB9" s="849" t="s">
        <v>2524</v>
      </c>
      <c r="OC9" s="849" t="s">
        <v>2525</v>
      </c>
      <c r="OD9" s="849" t="s">
        <v>2526</v>
      </c>
      <c r="OE9" s="849" t="s">
        <v>2527</v>
      </c>
      <c r="OF9" s="849" t="s">
        <v>2528</v>
      </c>
      <c r="OG9" s="849" t="s">
        <v>2529</v>
      </c>
      <c r="OH9" s="849" t="s">
        <v>2530</v>
      </c>
      <c r="OI9" s="849" t="s">
        <v>2531</v>
      </c>
      <c r="OJ9" s="849" t="s">
        <v>2532</v>
      </c>
      <c r="OK9" s="849" t="s">
        <v>2533</v>
      </c>
      <c r="OL9" s="849" t="s">
        <v>2534</v>
      </c>
      <c r="OM9" s="849" t="s">
        <v>2535</v>
      </c>
      <c r="ON9" s="849" t="s">
        <v>2536</v>
      </c>
      <c r="OO9" s="849" t="s">
        <v>2537</v>
      </c>
      <c r="OP9" s="849" t="s">
        <v>2538</v>
      </c>
      <c r="OQ9" s="849" t="s">
        <v>2539</v>
      </c>
      <c r="OR9" s="849" t="s">
        <v>2540</v>
      </c>
      <c r="OS9" s="849" t="s">
        <v>2541</v>
      </c>
      <c r="OT9" s="849" t="s">
        <v>2542</v>
      </c>
      <c r="OU9" s="849" t="s">
        <v>2543</v>
      </c>
      <c r="OV9" s="849" t="s">
        <v>2544</v>
      </c>
      <c r="OW9" s="849" t="s">
        <v>2545</v>
      </c>
      <c r="OX9" s="849" t="s">
        <v>2546</v>
      </c>
      <c r="OY9" s="849" t="s">
        <v>2547</v>
      </c>
      <c r="OZ9" s="849" t="s">
        <v>2548</v>
      </c>
      <c r="PA9" s="849" t="s">
        <v>2549</v>
      </c>
      <c r="PB9" s="849" t="s">
        <v>2550</v>
      </c>
      <c r="PC9" s="849" t="s">
        <v>2551</v>
      </c>
      <c r="PD9" s="849" t="s">
        <v>2552</v>
      </c>
      <c r="PE9" s="849" t="s">
        <v>2553</v>
      </c>
      <c r="PF9" s="849" t="s">
        <v>2554</v>
      </c>
      <c r="PG9" s="849" t="s">
        <v>2555</v>
      </c>
      <c r="PH9" s="849" t="s">
        <v>2556</v>
      </c>
      <c r="PI9" s="849" t="s">
        <v>2557</v>
      </c>
      <c r="PJ9" s="849" t="s">
        <v>2558</v>
      </c>
      <c r="PK9" s="849" t="s">
        <v>2559</v>
      </c>
      <c r="PL9" s="849" t="s">
        <v>2560</v>
      </c>
      <c r="PM9" s="849" t="s">
        <v>2561</v>
      </c>
      <c r="PN9" s="849" t="s">
        <v>2562</v>
      </c>
      <c r="PO9" s="849" t="s">
        <v>2563</v>
      </c>
      <c r="PP9" s="849" t="s">
        <v>2564</v>
      </c>
      <c r="PQ9" s="849" t="s">
        <v>2565</v>
      </c>
      <c r="PR9" s="849" t="s">
        <v>2566</v>
      </c>
      <c r="PS9" s="849" t="s">
        <v>2567</v>
      </c>
      <c r="PT9" s="849" t="s">
        <v>2568</v>
      </c>
      <c r="PU9" s="849" t="s">
        <v>2569</v>
      </c>
      <c r="PV9" s="849" t="s">
        <v>2570</v>
      </c>
      <c r="PW9" s="849" t="s">
        <v>2571</v>
      </c>
      <c r="PX9" s="849" t="s">
        <v>2572</v>
      </c>
      <c r="PY9" s="849" t="s">
        <v>2573</v>
      </c>
      <c r="PZ9" s="849" t="s">
        <v>2574</v>
      </c>
      <c r="QA9" s="849" t="s">
        <v>2575</v>
      </c>
      <c r="QB9" s="849" t="s">
        <v>2576</v>
      </c>
      <c r="QC9" s="849" t="s">
        <v>2577</v>
      </c>
      <c r="QD9" s="849" t="s">
        <v>2578</v>
      </c>
      <c r="QE9" s="849" t="s">
        <v>2579</v>
      </c>
      <c r="QF9" s="849" t="s">
        <v>2580</v>
      </c>
      <c r="QG9" s="849" t="s">
        <v>2581</v>
      </c>
      <c r="QH9" s="849" t="s">
        <v>2582</v>
      </c>
      <c r="QI9" s="849" t="s">
        <v>2583</v>
      </c>
      <c r="QJ9" s="849" t="s">
        <v>2584</v>
      </c>
      <c r="QK9" s="849" t="s">
        <v>2585</v>
      </c>
      <c r="QL9" s="849" t="s">
        <v>2586</v>
      </c>
      <c r="QM9" s="849" t="s">
        <v>2587</v>
      </c>
      <c r="QN9" s="849" t="s">
        <v>2588</v>
      </c>
      <c r="QO9" s="849" t="s">
        <v>2589</v>
      </c>
      <c r="QP9" s="849" t="s">
        <v>2590</v>
      </c>
      <c r="QQ9" s="849" t="s">
        <v>2591</v>
      </c>
      <c r="QR9" s="849" t="s">
        <v>2592</v>
      </c>
      <c r="QS9" s="849" t="s">
        <v>2593</v>
      </c>
      <c r="QT9" s="849" t="s">
        <v>2594</v>
      </c>
      <c r="QU9" s="849" t="s">
        <v>2595</v>
      </c>
      <c r="QV9" s="849" t="s">
        <v>2596</v>
      </c>
      <c r="QW9" s="849" t="s">
        <v>2597</v>
      </c>
      <c r="QX9" s="849" t="s">
        <v>2598</v>
      </c>
      <c r="QY9" s="849" t="s">
        <v>2599</v>
      </c>
      <c r="QZ9" s="849" t="s">
        <v>2600</v>
      </c>
      <c r="RA9" s="849" t="s">
        <v>2601</v>
      </c>
      <c r="RB9" s="849" t="s">
        <v>2602</v>
      </c>
      <c r="RC9" s="849" t="s">
        <v>2603</v>
      </c>
      <c r="RD9" s="849" t="s">
        <v>2604</v>
      </c>
      <c r="RE9" s="849" t="s">
        <v>2605</v>
      </c>
      <c r="RF9" s="849" t="s">
        <v>2606</v>
      </c>
      <c r="RG9" s="849" t="s">
        <v>2607</v>
      </c>
      <c r="RH9" s="849" t="s">
        <v>2608</v>
      </c>
      <c r="RI9" s="849" t="s">
        <v>2609</v>
      </c>
      <c r="RJ9" s="849" t="s">
        <v>2610</v>
      </c>
      <c r="RK9" s="849" t="s">
        <v>2611</v>
      </c>
      <c r="RL9" s="849" t="s">
        <v>2612</v>
      </c>
      <c r="RM9" s="849" t="s">
        <v>2613</v>
      </c>
      <c r="RN9" s="849" t="s">
        <v>2614</v>
      </c>
      <c r="RO9" s="849" t="s">
        <v>2615</v>
      </c>
      <c r="RP9" s="849" t="s">
        <v>2616</v>
      </c>
      <c r="RQ9" s="849" t="s">
        <v>2617</v>
      </c>
      <c r="RR9" s="849" t="s">
        <v>2618</v>
      </c>
      <c r="RS9" s="849" t="s">
        <v>2619</v>
      </c>
      <c r="RT9" s="849" t="s">
        <v>2620</v>
      </c>
      <c r="RU9" s="849" t="s">
        <v>2621</v>
      </c>
      <c r="RV9" s="849" t="s">
        <v>2622</v>
      </c>
      <c r="RW9" s="849" t="s">
        <v>2623</v>
      </c>
      <c r="RX9" s="849" t="s">
        <v>2624</v>
      </c>
      <c r="RY9" s="849" t="s">
        <v>2625</v>
      </c>
      <c r="RZ9" s="849" t="s">
        <v>2626</v>
      </c>
      <c r="SA9" s="849" t="s">
        <v>2627</v>
      </c>
      <c r="SB9" s="849" t="s">
        <v>2628</v>
      </c>
      <c r="SC9" s="849" t="s">
        <v>2629</v>
      </c>
      <c r="SD9" s="849" t="s">
        <v>2630</v>
      </c>
      <c r="SE9" s="849" t="s">
        <v>2631</v>
      </c>
      <c r="SF9" s="849" t="s">
        <v>2632</v>
      </c>
      <c r="SG9" s="849" t="s">
        <v>2633</v>
      </c>
      <c r="SH9" s="849" t="s">
        <v>2634</v>
      </c>
      <c r="SI9" s="849" t="s">
        <v>2635</v>
      </c>
      <c r="SJ9" s="849" t="s">
        <v>2636</v>
      </c>
      <c r="SK9" s="849" t="s">
        <v>2637</v>
      </c>
      <c r="SL9" s="849" t="s">
        <v>2638</v>
      </c>
      <c r="SM9" s="849" t="s">
        <v>2639</v>
      </c>
      <c r="SN9" s="849" t="s">
        <v>2640</v>
      </c>
      <c r="SO9" s="849" t="s">
        <v>2641</v>
      </c>
      <c r="SP9" s="849" t="s">
        <v>2642</v>
      </c>
      <c r="SQ9" s="849" t="s">
        <v>2643</v>
      </c>
      <c r="SR9" s="849" t="s">
        <v>2644</v>
      </c>
      <c r="SS9" s="849" t="s">
        <v>2645</v>
      </c>
      <c r="ST9" s="849" t="s">
        <v>2646</v>
      </c>
      <c r="SU9" s="849" t="s">
        <v>2647</v>
      </c>
      <c r="SV9" s="849" t="s">
        <v>2648</v>
      </c>
      <c r="SW9" s="849" t="s">
        <v>2649</v>
      </c>
      <c r="SX9" s="849" t="s">
        <v>2650</v>
      </c>
      <c r="SY9" s="849" t="s">
        <v>2651</v>
      </c>
      <c r="SZ9" s="849" t="s">
        <v>2652</v>
      </c>
      <c r="TA9" s="849" t="s">
        <v>2653</v>
      </c>
      <c r="TB9" s="849" t="s">
        <v>2654</v>
      </c>
      <c r="TC9" s="849" t="s">
        <v>2655</v>
      </c>
      <c r="TD9" s="849" t="s">
        <v>2656</v>
      </c>
      <c r="TE9" s="849" t="s">
        <v>2657</v>
      </c>
      <c r="TF9" s="849" t="s">
        <v>2658</v>
      </c>
      <c r="TG9" s="849" t="s">
        <v>2659</v>
      </c>
      <c r="TH9" s="849" t="s">
        <v>2660</v>
      </c>
      <c r="TI9" s="849" t="s">
        <v>2661</v>
      </c>
      <c r="TJ9" s="849" t="s">
        <v>2662</v>
      </c>
      <c r="TK9" s="849" t="s">
        <v>2663</v>
      </c>
      <c r="TL9" s="849" t="s">
        <v>2664</v>
      </c>
      <c r="TM9" s="849" t="s">
        <v>2665</v>
      </c>
      <c r="TN9" s="849" t="s">
        <v>2666</v>
      </c>
      <c r="TO9" s="849" t="s">
        <v>2667</v>
      </c>
      <c r="TP9" s="849" t="s">
        <v>2668</v>
      </c>
      <c r="TQ9" s="849" t="s">
        <v>2669</v>
      </c>
      <c r="TR9" s="849" t="s">
        <v>2670</v>
      </c>
      <c r="TS9" s="849" t="s">
        <v>2671</v>
      </c>
      <c r="TT9" s="849" t="s">
        <v>2672</v>
      </c>
      <c r="TU9" s="849" t="s">
        <v>2673</v>
      </c>
      <c r="TV9" s="849" t="s">
        <v>2674</v>
      </c>
      <c r="TW9" s="849" t="s">
        <v>2675</v>
      </c>
      <c r="TX9" s="849" t="s">
        <v>2676</v>
      </c>
      <c r="TY9" s="849" t="s">
        <v>2677</v>
      </c>
      <c r="TZ9" s="849" t="s">
        <v>2678</v>
      </c>
      <c r="UA9" s="849" t="s">
        <v>2679</v>
      </c>
      <c r="UB9" s="849" t="s">
        <v>2680</v>
      </c>
      <c r="UC9" s="849" t="s">
        <v>2681</v>
      </c>
      <c r="UD9" s="849" t="s">
        <v>2682</v>
      </c>
      <c r="UE9" s="849" t="s">
        <v>2683</v>
      </c>
      <c r="UF9" s="849" t="s">
        <v>2684</v>
      </c>
      <c r="UG9" s="849" t="s">
        <v>2685</v>
      </c>
      <c r="UH9" s="849" t="s">
        <v>2686</v>
      </c>
      <c r="UI9" s="849" t="s">
        <v>2687</v>
      </c>
      <c r="UJ9" s="849" t="s">
        <v>2688</v>
      </c>
      <c r="UK9" s="849" t="s">
        <v>2689</v>
      </c>
      <c r="UL9" s="849" t="s">
        <v>2690</v>
      </c>
      <c r="UM9" s="849" t="s">
        <v>2691</v>
      </c>
      <c r="UN9" s="849" t="s">
        <v>2692</v>
      </c>
      <c r="UO9" s="849" t="s">
        <v>2693</v>
      </c>
      <c r="UP9" s="849" t="s">
        <v>2694</v>
      </c>
      <c r="UQ9" s="849" t="s">
        <v>2695</v>
      </c>
      <c r="UR9" s="849" t="s">
        <v>2696</v>
      </c>
      <c r="US9" s="849" t="s">
        <v>2697</v>
      </c>
      <c r="UT9" s="849" t="s">
        <v>2698</v>
      </c>
      <c r="UU9" s="849" t="s">
        <v>2699</v>
      </c>
      <c r="UV9" s="849" t="s">
        <v>2700</v>
      </c>
      <c r="UW9" s="849" t="s">
        <v>2701</v>
      </c>
      <c r="UX9" s="849" t="s">
        <v>2702</v>
      </c>
      <c r="UY9" s="849" t="s">
        <v>2703</v>
      </c>
      <c r="UZ9" s="849" t="s">
        <v>2704</v>
      </c>
      <c r="VA9" s="849" t="s">
        <v>2705</v>
      </c>
      <c r="VB9" s="849" t="s">
        <v>2706</v>
      </c>
      <c r="VC9" s="849" t="s">
        <v>2707</v>
      </c>
      <c r="VD9" s="849" t="s">
        <v>2708</v>
      </c>
      <c r="VE9" s="849" t="s">
        <v>2709</v>
      </c>
      <c r="VF9" s="849" t="s">
        <v>2710</v>
      </c>
      <c r="VG9" s="849" t="s">
        <v>2711</v>
      </c>
      <c r="VH9" s="849" t="s">
        <v>2712</v>
      </c>
      <c r="VI9" s="849" t="s">
        <v>2713</v>
      </c>
      <c r="VJ9" s="849" t="s">
        <v>2714</v>
      </c>
      <c r="VK9" s="849" t="s">
        <v>2715</v>
      </c>
      <c r="VL9" s="849" t="s">
        <v>2716</v>
      </c>
      <c r="VM9" s="849" t="s">
        <v>2717</v>
      </c>
      <c r="VN9" s="849" t="s">
        <v>2718</v>
      </c>
      <c r="VO9" s="849" t="s">
        <v>2719</v>
      </c>
      <c r="VP9" s="849" t="s">
        <v>2720</v>
      </c>
      <c r="VQ9" s="849" t="s">
        <v>2721</v>
      </c>
      <c r="VR9" s="849" t="s">
        <v>2722</v>
      </c>
      <c r="VS9" s="849" t="s">
        <v>2723</v>
      </c>
      <c r="VT9" s="849" t="s">
        <v>2724</v>
      </c>
      <c r="VU9" s="849" t="s">
        <v>2725</v>
      </c>
      <c r="VV9" s="849" t="s">
        <v>2726</v>
      </c>
      <c r="VW9" s="849" t="s">
        <v>2727</v>
      </c>
      <c r="VX9" s="849" t="s">
        <v>2728</v>
      </c>
      <c r="VY9" s="849" t="s">
        <v>2729</v>
      </c>
      <c r="VZ9" s="849" t="s">
        <v>2730</v>
      </c>
      <c r="WA9" s="849" t="s">
        <v>2731</v>
      </c>
      <c r="WB9" s="849" t="s">
        <v>2732</v>
      </c>
      <c r="WC9" s="849" t="s">
        <v>2733</v>
      </c>
      <c r="WD9" s="849" t="s">
        <v>2734</v>
      </c>
      <c r="WE9" s="849" t="s">
        <v>2735</v>
      </c>
      <c r="WF9" s="849" t="s">
        <v>2736</v>
      </c>
      <c r="WG9" s="849" t="s">
        <v>2737</v>
      </c>
      <c r="WH9" s="849" t="s">
        <v>2738</v>
      </c>
      <c r="WI9" s="849" t="s">
        <v>2739</v>
      </c>
      <c r="WJ9" s="849" t="s">
        <v>2740</v>
      </c>
      <c r="WK9" s="849" t="s">
        <v>2741</v>
      </c>
      <c r="WL9" s="849" t="s">
        <v>2742</v>
      </c>
      <c r="WM9" s="849" t="s">
        <v>2743</v>
      </c>
      <c r="WN9" s="849" t="s">
        <v>2744</v>
      </c>
      <c r="WO9" s="849" t="s">
        <v>2745</v>
      </c>
      <c r="WP9" s="849" t="s">
        <v>2746</v>
      </c>
      <c r="WQ9" s="849" t="s">
        <v>2747</v>
      </c>
      <c r="WR9" s="849" t="s">
        <v>2748</v>
      </c>
      <c r="WS9" s="849" t="s">
        <v>2749</v>
      </c>
      <c r="WT9" s="849" t="s">
        <v>2750</v>
      </c>
      <c r="WU9" s="849" t="s">
        <v>2751</v>
      </c>
      <c r="WV9" s="849" t="s">
        <v>2752</v>
      </c>
      <c r="WW9" s="849" t="s">
        <v>2753</v>
      </c>
      <c r="WX9" s="849" t="s">
        <v>2754</v>
      </c>
      <c r="WY9" s="849" t="s">
        <v>2755</v>
      </c>
      <c r="WZ9" s="849" t="s">
        <v>2756</v>
      </c>
      <c r="XA9" s="849" t="s">
        <v>2757</v>
      </c>
      <c r="XB9" s="849" t="s">
        <v>2758</v>
      </c>
    </row>
    <row r="10" spans="1:627" ht="15">
      <c r="A10" s="1809"/>
      <c r="B10" s="1809"/>
      <c r="C10" s="1821"/>
      <c r="D10" s="818"/>
      <c r="E10" s="818"/>
      <c r="F10" s="818"/>
      <c r="G10" s="1809"/>
      <c r="H10" s="1809"/>
      <c r="I10" s="1809"/>
      <c r="J10" s="1822"/>
      <c r="K10" s="1823"/>
      <c r="L10" s="1823"/>
      <c r="M10" s="1823"/>
      <c r="N10" s="1822"/>
      <c r="O10" s="1823"/>
      <c r="P10" s="1823"/>
      <c r="Q10" s="1823"/>
      <c r="R10" s="1822"/>
      <c r="S10" s="1823"/>
      <c r="T10" s="1823"/>
      <c r="U10" s="1823"/>
      <c r="V10" s="1822"/>
      <c r="W10" s="1823"/>
      <c r="X10" s="1823"/>
      <c r="Y10" s="1823"/>
      <c r="Z10" s="1822"/>
      <c r="AA10" s="1823"/>
      <c r="AB10" s="1823"/>
      <c r="AC10" s="1823"/>
      <c r="AD10" s="1822"/>
      <c r="AE10" s="1823"/>
      <c r="AF10" s="1823"/>
      <c r="AG10" s="1823"/>
      <c r="AH10" s="1822"/>
      <c r="AI10" s="1823"/>
      <c r="AJ10" s="1823"/>
      <c r="AK10" s="1823"/>
      <c r="AL10" s="1822"/>
      <c r="AM10" s="1823"/>
      <c r="AN10" s="1823"/>
      <c r="AO10" s="1823"/>
      <c r="AP10" s="1822"/>
      <c r="AQ10" s="1823"/>
      <c r="AR10" s="1823"/>
      <c r="AS10" s="1823"/>
      <c r="AT10" s="1822"/>
      <c r="AU10" s="1823"/>
      <c r="AV10" s="1823"/>
      <c r="AW10" s="1823"/>
      <c r="AX10" s="1822"/>
      <c r="AY10" s="1823"/>
      <c r="AZ10" s="1823"/>
      <c r="BA10" s="1823"/>
      <c r="BB10" s="1822"/>
      <c r="BC10" s="1823"/>
      <c r="BD10" s="1823"/>
      <c r="BE10" s="1823"/>
      <c r="BF10" s="1822"/>
      <c r="BG10" s="1823"/>
      <c r="BH10" s="1823"/>
      <c r="BI10" s="1823"/>
      <c r="BJ10" s="1822"/>
      <c r="BK10" s="1823"/>
      <c r="BL10" s="1823"/>
      <c r="BM10" s="1823"/>
      <c r="BN10" s="1822"/>
      <c r="BO10" s="1823"/>
      <c r="BP10" s="1823"/>
      <c r="BQ10" s="1823"/>
      <c r="BR10" s="1822"/>
      <c r="BS10" s="1823"/>
      <c r="BT10" s="1823"/>
      <c r="BU10" s="1823"/>
      <c r="BV10" s="1822"/>
      <c r="BW10" s="1823"/>
      <c r="BX10" s="1823"/>
      <c r="BY10" s="1823"/>
      <c r="BZ10" s="1822"/>
      <c r="CA10" s="1823"/>
      <c r="CB10" s="1823"/>
      <c r="CC10" s="1823"/>
      <c r="CD10" s="1822"/>
      <c r="CE10" s="1823"/>
      <c r="CF10" s="1823"/>
      <c r="CG10" s="1823"/>
      <c r="CH10" s="1822"/>
      <c r="CI10" s="1823"/>
      <c r="CJ10" s="1823"/>
      <c r="CK10" s="1823"/>
      <c r="CL10" s="1822"/>
      <c r="CM10" s="1823"/>
      <c r="CN10" s="1823"/>
      <c r="CO10" s="1823"/>
      <c r="CP10" s="1822"/>
      <c r="CQ10" s="1823"/>
      <c r="CR10" s="1823"/>
      <c r="CS10" s="1823"/>
      <c r="CT10" s="1822"/>
      <c r="CU10" s="1823"/>
      <c r="CV10" s="1823"/>
      <c r="CW10" s="1823"/>
      <c r="CX10" s="1822"/>
      <c r="CY10" s="1823"/>
      <c r="CZ10" s="1823"/>
      <c r="DA10" s="1823"/>
      <c r="DB10" s="1822"/>
      <c r="DC10" s="1823"/>
      <c r="DD10" s="1823"/>
      <c r="DE10" s="1823"/>
      <c r="DF10" s="1822"/>
      <c r="DG10" s="1823"/>
      <c r="DH10" s="1823"/>
      <c r="DI10" s="1823"/>
      <c r="DJ10" s="1822"/>
      <c r="DK10" s="1823"/>
      <c r="DL10" s="1823"/>
      <c r="DM10" s="1823"/>
      <c r="DN10" s="1822"/>
      <c r="DO10" s="1823"/>
      <c r="DP10" s="1823"/>
      <c r="DQ10" s="1823"/>
      <c r="DR10" s="1822"/>
      <c r="DS10" s="1823"/>
      <c r="DT10" s="1823"/>
      <c r="DU10" s="1823"/>
      <c r="DV10" s="1822"/>
      <c r="DW10" s="1823"/>
      <c r="DX10" s="1823"/>
      <c r="DY10" s="1823"/>
      <c r="DZ10" s="1822"/>
      <c r="EA10" s="1823"/>
      <c r="EB10" s="1823"/>
      <c r="EC10" s="1823"/>
      <c r="ED10" s="1822"/>
      <c r="EE10" s="1823"/>
      <c r="EF10" s="1823"/>
      <c r="EG10" s="1823"/>
      <c r="EH10" s="1822"/>
      <c r="EI10" s="1823"/>
      <c r="EJ10" s="1823"/>
      <c r="EK10" s="1823"/>
      <c r="EL10" s="1822"/>
      <c r="EM10" s="1823"/>
      <c r="EN10" s="1823"/>
      <c r="EO10" s="1823"/>
      <c r="EP10" s="1822"/>
      <c r="EQ10" s="1823"/>
      <c r="ER10" s="1823"/>
      <c r="ES10" s="1823"/>
      <c r="ET10" s="1822"/>
      <c r="EU10" s="1823"/>
      <c r="EV10" s="1823"/>
      <c r="EW10" s="1823"/>
      <c r="EX10" s="1822"/>
      <c r="EY10" s="1823"/>
      <c r="EZ10" s="1823"/>
      <c r="FA10" s="1823"/>
      <c r="FB10" s="1822"/>
      <c r="FC10" s="1823"/>
      <c r="FD10" s="1823"/>
      <c r="FE10" s="1823"/>
      <c r="FF10" s="1822"/>
      <c r="FG10" s="1823"/>
      <c r="FH10" s="1823"/>
      <c r="FI10" s="1823"/>
      <c r="FJ10" s="1822"/>
      <c r="FK10" s="1823"/>
      <c r="FL10" s="1823"/>
      <c r="FM10" s="1823"/>
      <c r="FN10" s="1822"/>
      <c r="FO10" s="1823"/>
      <c r="FP10" s="1823"/>
      <c r="FQ10" s="1823"/>
      <c r="FR10" s="1822"/>
      <c r="FS10" s="1823"/>
      <c r="FT10" s="1823"/>
      <c r="FU10" s="1823"/>
      <c r="FV10" s="1822"/>
      <c r="FW10" s="1823"/>
      <c r="FX10" s="1823"/>
      <c r="FY10" s="1823"/>
      <c r="FZ10" s="1822"/>
      <c r="GA10" s="1823"/>
      <c r="GB10" s="1823"/>
      <c r="GC10" s="1823"/>
      <c r="GD10" s="1822"/>
      <c r="GE10" s="1823"/>
      <c r="GF10" s="1823"/>
      <c r="GG10" s="1823"/>
      <c r="GH10" s="1822"/>
      <c r="GI10" s="1823"/>
      <c r="GJ10" s="1823"/>
      <c r="GK10" s="1823"/>
      <c r="GL10" s="1822"/>
      <c r="GM10" s="1823"/>
      <c r="GN10" s="1823"/>
      <c r="GO10" s="1823"/>
      <c r="GP10" s="1822"/>
      <c r="GQ10" s="1823"/>
      <c r="GR10" s="1823"/>
      <c r="GS10" s="1823"/>
      <c r="GT10" s="1822"/>
      <c r="GU10" s="1823"/>
      <c r="GV10" s="1823"/>
      <c r="GW10" s="1823"/>
      <c r="GX10" s="1822"/>
      <c r="GY10" s="1823"/>
      <c r="GZ10" s="1823"/>
      <c r="HA10" s="1823"/>
      <c r="HB10" s="1822"/>
      <c r="HC10" s="1823"/>
      <c r="HD10" s="1823"/>
      <c r="HE10" s="1823"/>
      <c r="HF10" s="1822"/>
      <c r="HG10" s="1823"/>
      <c r="HH10" s="1823"/>
      <c r="HI10" s="1823"/>
      <c r="HJ10" s="1822"/>
      <c r="HK10" s="1823"/>
      <c r="HL10" s="1823"/>
      <c r="HM10" s="1823"/>
      <c r="HN10" s="1822"/>
      <c r="HO10" s="1823"/>
      <c r="HP10" s="1823"/>
      <c r="HQ10" s="1823"/>
      <c r="HR10" s="1822"/>
      <c r="HS10" s="1823"/>
      <c r="HT10" s="1823"/>
      <c r="HU10" s="1823"/>
      <c r="HV10" s="1822"/>
      <c r="HW10" s="1823"/>
      <c r="HX10" s="1823"/>
      <c r="HY10" s="1823"/>
      <c r="HZ10" s="1822"/>
      <c r="IA10" s="1823"/>
      <c r="IB10" s="1823"/>
      <c r="IC10" s="1823"/>
      <c r="ID10" s="1822"/>
      <c r="IE10" s="1823"/>
      <c r="IF10" s="1823"/>
      <c r="IG10" s="1823"/>
      <c r="IH10" s="1822"/>
      <c r="II10" s="1823"/>
      <c r="IJ10" s="1823"/>
      <c r="IK10" s="1823"/>
      <c r="IL10" s="1822"/>
      <c r="IM10" s="1823"/>
      <c r="IN10" s="1823"/>
      <c r="IO10" s="1823"/>
      <c r="IP10" s="1822"/>
      <c r="IQ10" s="1823"/>
      <c r="IR10" s="1823"/>
      <c r="IS10" s="1823"/>
      <c r="IT10" s="1822"/>
      <c r="IU10" s="1823"/>
      <c r="IV10" s="1823"/>
      <c r="IW10" s="1823"/>
      <c r="IX10" s="1822"/>
      <c r="IY10" s="1823"/>
      <c r="IZ10" s="1823"/>
      <c r="JA10" s="1823"/>
      <c r="JB10" s="1822"/>
      <c r="JC10" s="1823"/>
      <c r="JD10" s="1823"/>
      <c r="JE10" s="1823"/>
      <c r="JF10" s="1822"/>
      <c r="JG10" s="1823"/>
      <c r="JH10" s="1823"/>
      <c r="JI10" s="1823"/>
      <c r="JJ10" s="1822"/>
      <c r="JK10" s="1823"/>
      <c r="JL10" s="1823"/>
      <c r="JM10" s="1823"/>
      <c r="JN10" s="1822"/>
      <c r="JO10" s="1823"/>
      <c r="JP10" s="1823"/>
      <c r="JQ10" s="1823"/>
      <c r="JR10" s="1822"/>
      <c r="JS10" s="1823"/>
      <c r="JT10" s="1823"/>
      <c r="JU10" s="1823"/>
      <c r="JV10" s="1822"/>
      <c r="JW10" s="1823"/>
      <c r="JX10" s="1823"/>
      <c r="JY10" s="1823"/>
      <c r="JZ10" s="1822"/>
      <c r="KA10" s="1823"/>
      <c r="KB10" s="1823"/>
      <c r="KC10" s="1823"/>
      <c r="KD10" s="1822"/>
      <c r="KE10" s="1823"/>
      <c r="KF10" s="1823"/>
      <c r="KG10" s="1823"/>
      <c r="KH10" s="1822"/>
      <c r="KI10" s="1823"/>
      <c r="KJ10" s="1823"/>
      <c r="KK10" s="1823"/>
      <c r="KL10" s="1822"/>
      <c r="KM10" s="1823"/>
      <c r="KN10" s="1823"/>
      <c r="KO10" s="1823"/>
      <c r="KP10" s="1822"/>
      <c r="KQ10" s="1823"/>
      <c r="KR10" s="1823"/>
      <c r="KS10" s="1823"/>
      <c r="KT10" s="1822"/>
      <c r="KU10" s="1823"/>
      <c r="KV10" s="1823"/>
      <c r="KW10" s="1823"/>
      <c r="KX10" s="1822"/>
      <c r="KY10" s="1823"/>
      <c r="KZ10" s="1823"/>
      <c r="LA10" s="1823"/>
      <c r="LG10" s="127"/>
      <c r="LH10" s="816"/>
      <c r="LI10" s="816"/>
      <c r="LJ10" s="816"/>
      <c r="LK10" s="816"/>
      <c r="LL10" s="816"/>
      <c r="LM10" s="816"/>
      <c r="LN10" s="816"/>
      <c r="LO10" s="816"/>
      <c r="LP10" s="816"/>
      <c r="LQ10" s="816"/>
      <c r="LR10" s="816"/>
      <c r="LS10" s="816"/>
      <c r="LT10" s="816"/>
      <c r="LU10" s="816"/>
      <c r="LV10" s="816"/>
      <c r="LW10" s="816"/>
      <c r="LX10" s="816"/>
      <c r="LY10" s="816"/>
      <c r="LZ10" s="816"/>
      <c r="MA10" s="816"/>
      <c r="MB10" s="816"/>
      <c r="MC10" s="816"/>
      <c r="MD10" s="816"/>
      <c r="ME10" s="816"/>
      <c r="MF10" s="816"/>
      <c r="MG10" s="816"/>
      <c r="MH10" s="816"/>
      <c r="MI10" s="816"/>
      <c r="MJ10" s="816"/>
      <c r="MK10" s="816"/>
      <c r="ML10" s="816"/>
      <c r="MM10" s="816"/>
      <c r="MN10" s="816"/>
      <c r="MO10" s="816"/>
      <c r="MP10" s="816"/>
      <c r="MQ10" s="816"/>
      <c r="MR10" s="816"/>
      <c r="MS10" s="816"/>
      <c r="MT10" s="816"/>
      <c r="MU10" s="816"/>
      <c r="MV10" s="816"/>
      <c r="MW10" s="816"/>
      <c r="MX10" s="816"/>
      <c r="MY10" s="816"/>
      <c r="MZ10" s="816"/>
      <c r="NA10" s="816"/>
      <c r="NB10" s="816"/>
      <c r="NC10" s="816"/>
      <c r="ND10" s="816"/>
      <c r="NE10" s="816"/>
      <c r="NF10" s="816"/>
      <c r="NG10" s="816"/>
      <c r="NH10" s="816"/>
      <c r="NI10" s="816"/>
      <c r="NJ10" s="816"/>
      <c r="NK10" s="816"/>
      <c r="NL10" s="816"/>
      <c r="NM10" s="816"/>
      <c r="NN10" s="816"/>
      <c r="NO10" s="816"/>
      <c r="NP10" s="816"/>
      <c r="NQ10" s="816"/>
      <c r="NR10" s="816"/>
      <c r="NS10" s="816"/>
      <c r="NT10" s="816"/>
      <c r="NU10" s="816"/>
      <c r="NV10" s="816"/>
    </row>
    <row r="11" spans="1:627" ht="16.5" thickBot="1">
      <c r="A11" s="1809"/>
      <c r="B11" s="1809"/>
      <c r="C11" s="1821"/>
      <c r="D11" s="818"/>
      <c r="E11" s="818"/>
      <c r="F11" s="818"/>
      <c r="G11" s="1809"/>
      <c r="H11" s="1809"/>
      <c r="I11" s="1809"/>
      <c r="J11" s="1822"/>
      <c r="K11" s="1823"/>
      <c r="L11" s="1823"/>
      <c r="M11" s="1823"/>
      <c r="N11" s="1822"/>
      <c r="O11" s="1823"/>
      <c r="P11" s="1823"/>
      <c r="Q11" s="1823"/>
      <c r="R11" s="1822"/>
      <c r="S11" s="1823"/>
      <c r="T11" s="1823"/>
      <c r="U11" s="1823"/>
      <c r="V11" s="1822"/>
      <c r="W11" s="1823"/>
      <c r="X11" s="1823"/>
      <c r="Y11" s="1823"/>
      <c r="Z11" s="1822"/>
      <c r="AA11" s="1823"/>
      <c r="AB11" s="1823"/>
      <c r="AC11" s="1823"/>
      <c r="AD11" s="1822"/>
      <c r="AE11" s="1823"/>
      <c r="AF11" s="1823"/>
      <c r="AG11" s="1823"/>
      <c r="AH11" s="1822"/>
      <c r="AI11" s="1823"/>
      <c r="AJ11" s="1823"/>
      <c r="AK11" s="1823"/>
      <c r="AL11" s="1822"/>
      <c r="AM11" s="1823"/>
      <c r="AN11" s="1823"/>
      <c r="AO11" s="1823"/>
      <c r="AP11" s="1822"/>
      <c r="AQ11" s="1823"/>
      <c r="AR11" s="1823"/>
      <c r="AS11" s="1823"/>
      <c r="AT11" s="1822"/>
      <c r="AU11" s="1823"/>
      <c r="AV11" s="1823"/>
      <c r="AW11" s="1823"/>
      <c r="AX11" s="1822"/>
      <c r="AY11" s="1823"/>
      <c r="AZ11" s="1823"/>
      <c r="BA11" s="1823"/>
      <c r="BB11" s="1822"/>
      <c r="BC11" s="1823"/>
      <c r="BD11" s="1823"/>
      <c r="BE11" s="1823"/>
      <c r="BF11" s="1822"/>
      <c r="BG11" s="1823"/>
      <c r="BH11" s="1823"/>
      <c r="BI11" s="1823"/>
      <c r="BJ11" s="1822"/>
      <c r="BK11" s="1823"/>
      <c r="BL11" s="1823"/>
      <c r="BM11" s="1823"/>
      <c r="BN11" s="1822"/>
      <c r="BO11" s="1823"/>
      <c r="BP11" s="1823"/>
      <c r="BQ11" s="1823"/>
      <c r="BR11" s="1822"/>
      <c r="BS11" s="1823"/>
      <c r="BT11" s="1823"/>
      <c r="BU11" s="1823"/>
      <c r="BV11" s="1822"/>
      <c r="BW11" s="1823"/>
      <c r="BX11" s="1823"/>
      <c r="BY11" s="1823"/>
      <c r="BZ11" s="1822"/>
      <c r="CA11" s="1823"/>
      <c r="CB11" s="1823"/>
      <c r="CC11" s="1823"/>
      <c r="CD11" s="1822"/>
      <c r="CE11" s="1823"/>
      <c r="CF11" s="1823"/>
      <c r="CG11" s="1823"/>
      <c r="CH11" s="1822"/>
      <c r="CI11" s="1823"/>
      <c r="CJ11" s="1823"/>
      <c r="CK11" s="1823"/>
      <c r="CL11" s="1822"/>
      <c r="CM11" s="1823"/>
      <c r="CN11" s="1823"/>
      <c r="CO11" s="1823"/>
      <c r="CP11" s="1822"/>
      <c r="CQ11" s="1823"/>
      <c r="CR11" s="1823"/>
      <c r="CS11" s="1823"/>
      <c r="CT11" s="1822"/>
      <c r="CU11" s="1823"/>
      <c r="CV11" s="1823"/>
      <c r="CW11" s="1823"/>
      <c r="CX11" s="1822"/>
      <c r="CY11" s="1823"/>
      <c r="CZ11" s="1823"/>
      <c r="DA11" s="1823"/>
      <c r="DB11" s="1822"/>
      <c r="DC11" s="1823"/>
      <c r="DD11" s="1823"/>
      <c r="DE11" s="1823"/>
      <c r="DF11" s="1822"/>
      <c r="DG11" s="1823"/>
      <c r="DH11" s="1823"/>
      <c r="DI11" s="1823"/>
      <c r="DJ11" s="1822"/>
      <c r="DK11" s="1823"/>
      <c r="DL11" s="1823"/>
      <c r="DM11" s="1823"/>
      <c r="DN11" s="1822"/>
      <c r="DO11" s="1823"/>
      <c r="DP11" s="1823"/>
      <c r="DQ11" s="1823"/>
      <c r="DR11" s="1822"/>
      <c r="DS11" s="1823"/>
      <c r="DT11" s="1823"/>
      <c r="DU11" s="1823"/>
      <c r="DV11" s="1822"/>
      <c r="DW11" s="1823"/>
      <c r="DX11" s="1823"/>
      <c r="DY11" s="1823"/>
      <c r="DZ11" s="1822"/>
      <c r="EA11" s="1823"/>
      <c r="EB11" s="1823"/>
      <c r="EC11" s="1823"/>
      <c r="ED11" s="1822"/>
      <c r="EE11" s="1823"/>
      <c r="EF11" s="1823"/>
      <c r="EG11" s="1823"/>
      <c r="EH11" s="1822"/>
      <c r="EI11" s="1823"/>
      <c r="EJ11" s="1823"/>
      <c r="EK11" s="1823"/>
      <c r="EL11" s="1822"/>
      <c r="EM11" s="1823"/>
      <c r="EN11" s="1823"/>
      <c r="EO11" s="1823"/>
      <c r="EP11" s="1822"/>
      <c r="EQ11" s="1823"/>
      <c r="ER11" s="1823"/>
      <c r="ES11" s="1823"/>
      <c r="ET11" s="1822"/>
      <c r="EU11" s="1823"/>
      <c r="EV11" s="1823"/>
      <c r="EW11" s="1823"/>
      <c r="EX11" s="1822"/>
      <c r="EY11" s="1823"/>
      <c r="EZ11" s="1823"/>
      <c r="FA11" s="1823"/>
      <c r="FB11" s="1822"/>
      <c r="FC11" s="1823"/>
      <c r="FD11" s="1823"/>
      <c r="FE11" s="1823"/>
      <c r="FF11" s="1822"/>
      <c r="FG11" s="1823"/>
      <c r="FH11" s="1823"/>
      <c r="FI11" s="1823"/>
      <c r="FJ11" s="1822"/>
      <c r="FK11" s="1823"/>
      <c r="FL11" s="1823"/>
      <c r="FM11" s="1823"/>
      <c r="FN11" s="1822"/>
      <c r="FO11" s="1823"/>
      <c r="FP11" s="1823"/>
      <c r="FQ11" s="1823"/>
      <c r="FR11" s="1822"/>
      <c r="FS11" s="1823"/>
      <c r="FT11" s="1823"/>
      <c r="FU11" s="1823"/>
      <c r="FV11" s="1822"/>
      <c r="FW11" s="1823"/>
      <c r="FX11" s="1823"/>
      <c r="FY11" s="1823"/>
      <c r="FZ11" s="1822"/>
      <c r="GA11" s="1823"/>
      <c r="GB11" s="1823"/>
      <c r="GC11" s="1823"/>
      <c r="GD11" s="1822"/>
      <c r="GE11" s="1823"/>
      <c r="GF11" s="1823"/>
      <c r="GG11" s="1823"/>
      <c r="GH11" s="1822"/>
      <c r="GI11" s="1823"/>
      <c r="GJ11" s="1823"/>
      <c r="GK11" s="1823"/>
      <c r="GL11" s="1822"/>
      <c r="GM11" s="1823"/>
      <c r="GN11" s="1823"/>
      <c r="GO11" s="1823"/>
      <c r="GP11" s="1822"/>
      <c r="GQ11" s="1823"/>
      <c r="GR11" s="1823"/>
      <c r="GS11" s="1823"/>
      <c r="GT11" s="1822"/>
      <c r="GU11" s="1823"/>
      <c r="GV11" s="1823"/>
      <c r="GW11" s="1823"/>
      <c r="GX11" s="1822"/>
      <c r="GY11" s="1823"/>
      <c r="GZ11" s="1823"/>
      <c r="HA11" s="1823"/>
      <c r="HB11" s="1822"/>
      <c r="HC11" s="1823"/>
      <c r="HD11" s="1823"/>
      <c r="HE11" s="1823"/>
      <c r="HF11" s="1822"/>
      <c r="HG11" s="1823"/>
      <c r="HH11" s="1823"/>
      <c r="HI11" s="1823"/>
      <c r="HJ11" s="1822"/>
      <c r="HK11" s="1823"/>
      <c r="HL11" s="1823"/>
      <c r="HM11" s="1823"/>
      <c r="HN11" s="1822"/>
      <c r="HO11" s="1823"/>
      <c r="HP11" s="1823"/>
      <c r="HQ11" s="1823"/>
      <c r="HR11" s="1822"/>
      <c r="HS11" s="1823"/>
      <c r="HT11" s="1823"/>
      <c r="HU11" s="1823"/>
      <c r="HV11" s="1822"/>
      <c r="HW11" s="1823"/>
      <c r="HX11" s="1823"/>
      <c r="HY11" s="1823"/>
      <c r="HZ11" s="1822"/>
      <c r="IA11" s="1823"/>
      <c r="IB11" s="1823"/>
      <c r="IC11" s="1823"/>
      <c r="ID11" s="1822"/>
      <c r="IE11" s="1823"/>
      <c r="IF11" s="1823"/>
      <c r="IG11" s="1823"/>
      <c r="IH11" s="1822"/>
      <c r="II11" s="1823"/>
      <c r="IJ11" s="1823"/>
      <c r="IK11" s="1823"/>
      <c r="IL11" s="1822"/>
      <c r="IM11" s="1823"/>
      <c r="IN11" s="1823"/>
      <c r="IO11" s="1823"/>
      <c r="IP11" s="1822"/>
      <c r="IQ11" s="1823"/>
      <c r="IR11" s="1823"/>
      <c r="IS11" s="1823"/>
      <c r="IT11" s="1822"/>
      <c r="IU11" s="1823"/>
      <c r="IV11" s="1823"/>
      <c r="IW11" s="1823"/>
      <c r="IX11" s="1822"/>
      <c r="IY11" s="1823"/>
      <c r="IZ11" s="1823"/>
      <c r="JA11" s="1823"/>
      <c r="JB11" s="1822"/>
      <c r="JC11" s="1823"/>
      <c r="JD11" s="1823"/>
      <c r="JE11" s="1823"/>
      <c r="JF11" s="1822"/>
      <c r="JG11" s="1823"/>
      <c r="JH11" s="1823"/>
      <c r="JI11" s="1823"/>
      <c r="JJ11" s="1822"/>
      <c r="JK11" s="1823"/>
      <c r="JL11" s="1823"/>
      <c r="JM11" s="1823"/>
      <c r="JN11" s="1822"/>
      <c r="JO11" s="1823"/>
      <c r="JP11" s="1823"/>
      <c r="JQ11" s="1823"/>
      <c r="JR11" s="1822"/>
      <c r="JS11" s="1823"/>
      <c r="JT11" s="1823"/>
      <c r="JU11" s="1823"/>
      <c r="JV11" s="1822"/>
      <c r="JW11" s="1823"/>
      <c r="JX11" s="1823"/>
      <c r="JY11" s="1823"/>
      <c r="JZ11" s="1822"/>
      <c r="KA11" s="1823"/>
      <c r="KB11" s="1823"/>
      <c r="KC11" s="1823"/>
      <c r="KD11" s="1822"/>
      <c r="KE11" s="1823"/>
      <c r="KF11" s="1823"/>
      <c r="KG11" s="1823"/>
      <c r="KH11" s="1822"/>
      <c r="KI11" s="1823"/>
      <c r="KJ11" s="1823"/>
      <c r="KK11" s="1823"/>
      <c r="KL11" s="1822"/>
      <c r="KM11" s="1823"/>
      <c r="KN11" s="1823"/>
      <c r="KO11" s="1823"/>
      <c r="KP11" s="1822"/>
      <c r="KQ11" s="1823"/>
      <c r="KR11" s="1823"/>
      <c r="KS11" s="1823"/>
      <c r="KT11" s="1822"/>
      <c r="KU11" s="1823"/>
      <c r="KV11" s="1823"/>
      <c r="KW11" s="1823"/>
      <c r="KX11" s="1822"/>
      <c r="KY11" s="1823"/>
      <c r="KZ11" s="1823"/>
      <c r="LA11" s="1823"/>
      <c r="LG11" s="849"/>
      <c r="LH11" s="850"/>
      <c r="LI11" s="850"/>
      <c r="LJ11" s="850"/>
      <c r="LK11" s="849"/>
      <c r="LL11" s="850"/>
      <c r="LM11" s="850"/>
      <c r="LN11" s="850"/>
      <c r="LO11" s="849"/>
      <c r="LP11" s="850"/>
      <c r="LQ11" s="850"/>
      <c r="LR11" s="850"/>
      <c r="LS11" s="849"/>
      <c r="LT11" s="850"/>
      <c r="LU11" s="850"/>
      <c r="LV11" s="850"/>
      <c r="LW11" s="849"/>
      <c r="LX11" s="850"/>
      <c r="LY11" s="850"/>
      <c r="LZ11" s="850"/>
      <c r="MA11" s="849"/>
      <c r="MB11" s="850"/>
      <c r="MC11" s="850"/>
      <c r="MD11" s="850"/>
      <c r="ME11" s="849"/>
      <c r="MF11" s="850"/>
      <c r="MG11" s="850"/>
      <c r="MH11" s="850"/>
      <c r="MI11" s="849"/>
      <c r="MJ11" s="850"/>
      <c r="MK11" s="850"/>
      <c r="ML11" s="850"/>
      <c r="MM11" s="849"/>
      <c r="MN11" s="850"/>
      <c r="MO11" s="850"/>
      <c r="MP11" s="850"/>
      <c r="MQ11" s="849"/>
      <c r="MR11" s="850"/>
      <c r="MS11" s="850"/>
      <c r="MT11" s="850"/>
      <c r="MU11" s="849"/>
      <c r="MV11" s="850"/>
      <c r="MW11" s="850"/>
      <c r="MX11" s="850"/>
      <c r="MY11" s="849"/>
      <c r="MZ11" s="850"/>
      <c r="NA11" s="850"/>
      <c r="NB11" s="850"/>
      <c r="NC11" s="849"/>
      <c r="ND11" s="850"/>
      <c r="NE11" s="850"/>
      <c r="NF11" s="850"/>
      <c r="NG11" s="849"/>
      <c r="NH11" s="850"/>
      <c r="NI11" s="850"/>
      <c r="NJ11" s="850"/>
      <c r="NK11" s="849"/>
      <c r="NL11" s="850"/>
      <c r="NM11" s="850"/>
      <c r="NN11" s="850"/>
      <c r="NO11" s="849"/>
      <c r="NP11" s="850"/>
      <c r="NQ11" s="850"/>
      <c r="NR11" s="850"/>
      <c r="NS11" s="849"/>
      <c r="NT11" s="850"/>
      <c r="NU11" s="850"/>
      <c r="NV11" s="850"/>
      <c r="NW11" s="849"/>
      <c r="NX11" s="850"/>
      <c r="NY11" s="850"/>
      <c r="NZ11" s="850"/>
      <c r="OA11" s="849"/>
      <c r="OB11" s="850"/>
      <c r="OC11" s="850"/>
      <c r="OD11" s="850"/>
      <c r="OE11" s="849"/>
      <c r="OF11" s="850"/>
      <c r="OG11" s="850"/>
      <c r="OH11" s="850"/>
      <c r="OI11" s="849"/>
      <c r="OJ11" s="850"/>
      <c r="OK11" s="850"/>
      <c r="OL11" s="850"/>
      <c r="OM11" s="849"/>
      <c r="ON11" s="850"/>
      <c r="OO11" s="850"/>
      <c r="OP11" s="850"/>
      <c r="OQ11" s="849"/>
      <c r="OR11" s="850"/>
      <c r="OS11" s="850"/>
      <c r="OT11" s="850"/>
      <c r="OU11" s="849"/>
      <c r="OV11" s="850"/>
      <c r="OW11" s="850"/>
      <c r="OX11" s="850"/>
      <c r="OY11" s="849"/>
      <c r="OZ11" s="850"/>
      <c r="PA11" s="850"/>
      <c r="PB11" s="850"/>
      <c r="PC11" s="849"/>
      <c r="PD11" s="850"/>
      <c r="PE11" s="850"/>
      <c r="PF11" s="850"/>
      <c r="PG11" s="849"/>
      <c r="PH11" s="850"/>
      <c r="PI11" s="850"/>
      <c r="PJ11" s="850"/>
      <c r="PK11" s="849"/>
      <c r="PL11" s="850"/>
      <c r="PM11" s="850"/>
      <c r="PN11" s="850"/>
      <c r="PO11" s="849"/>
      <c r="PP11" s="850"/>
      <c r="PQ11" s="850"/>
      <c r="PR11" s="850"/>
      <c r="PS11" s="849"/>
      <c r="PT11" s="850"/>
      <c r="PU11" s="850"/>
      <c r="PV11" s="850"/>
      <c r="PW11" s="849"/>
      <c r="PX11" s="850"/>
      <c r="PY11" s="850"/>
      <c r="PZ11" s="850"/>
      <c r="QA11" s="849"/>
      <c r="QB11" s="850"/>
      <c r="QC11" s="850"/>
      <c r="QD11" s="850"/>
      <c r="QE11" s="849"/>
      <c r="QF11" s="850"/>
      <c r="QG11" s="850"/>
      <c r="QH11" s="850"/>
      <c r="QI11" s="849"/>
      <c r="QJ11" s="850"/>
      <c r="QK11" s="850"/>
      <c r="QL11" s="850"/>
      <c r="QM11" s="849"/>
      <c r="QN11" s="850"/>
      <c r="QO11" s="850"/>
      <c r="QP11" s="850"/>
      <c r="QQ11" s="849"/>
      <c r="QR11" s="850"/>
      <c r="QS11" s="850"/>
      <c r="QT11" s="850"/>
      <c r="QU11" s="849"/>
      <c r="QV11" s="850"/>
      <c r="QW11" s="850"/>
      <c r="QX11" s="850"/>
      <c r="QY11" s="849"/>
      <c r="QZ11" s="850"/>
      <c r="RA11" s="850"/>
      <c r="RB11" s="850"/>
      <c r="RC11" s="849"/>
      <c r="RD11" s="850"/>
      <c r="RE11" s="850"/>
      <c r="RF11" s="850"/>
      <c r="RG11" s="849"/>
      <c r="RH11" s="850"/>
      <c r="RI11" s="850"/>
      <c r="RJ11" s="850"/>
      <c r="RK11" s="849"/>
      <c r="RL11" s="850"/>
      <c r="RM11" s="850"/>
      <c r="RN11" s="850"/>
      <c r="RO11" s="849"/>
      <c r="RP11" s="850"/>
      <c r="RQ11" s="850"/>
      <c r="RR11" s="850"/>
      <c r="RS11" s="849"/>
      <c r="RT11" s="850"/>
      <c r="RU11" s="850"/>
      <c r="RV11" s="850"/>
      <c r="RW11" s="849"/>
      <c r="RX11" s="850"/>
      <c r="RY11" s="850"/>
      <c r="RZ11" s="850"/>
      <c r="SA11" s="849"/>
      <c r="SB11" s="850"/>
      <c r="SC11" s="850"/>
      <c r="SD11" s="850"/>
      <c r="SE11" s="849"/>
      <c r="SF11" s="850"/>
      <c r="SG11" s="850"/>
      <c r="SH11" s="850"/>
      <c r="SI11" s="849"/>
      <c r="SJ11" s="850"/>
      <c r="SK11" s="850"/>
      <c r="SL11" s="850"/>
      <c r="SM11" s="849"/>
      <c r="SN11" s="850"/>
      <c r="SO11" s="850"/>
      <c r="SP11" s="850"/>
      <c r="SQ11" s="849"/>
      <c r="SR11" s="850"/>
      <c r="SS11" s="850"/>
      <c r="ST11" s="850"/>
      <c r="SU11" s="849"/>
      <c r="SV11" s="850"/>
      <c r="SW11" s="850"/>
      <c r="SX11" s="850"/>
      <c r="SY11" s="849"/>
      <c r="SZ11" s="850"/>
      <c r="TA11" s="850"/>
      <c r="TB11" s="850"/>
      <c r="TC11" s="849"/>
      <c r="TD11" s="850"/>
      <c r="TE11" s="850"/>
      <c r="TF11" s="850"/>
      <c r="TG11" s="849"/>
      <c r="TH11" s="850"/>
      <c r="TI11" s="850"/>
      <c r="TJ11" s="850"/>
      <c r="TK11" s="849"/>
      <c r="TL11" s="850"/>
      <c r="TM11" s="850"/>
      <c r="TN11" s="850"/>
      <c r="TO11" s="849"/>
      <c r="TP11" s="850"/>
      <c r="TQ11" s="850"/>
      <c r="TR11" s="850"/>
      <c r="TS11" s="849"/>
      <c r="TT11" s="850"/>
      <c r="TU11" s="850"/>
      <c r="TV11" s="850"/>
      <c r="TW11" s="849"/>
      <c r="TX11" s="850"/>
      <c r="TY11" s="850"/>
      <c r="TZ11" s="850"/>
      <c r="UA11" s="849"/>
      <c r="UB11" s="850"/>
      <c r="UC11" s="850"/>
      <c r="UD11" s="850"/>
      <c r="UE11" s="849"/>
      <c r="UF11" s="850"/>
      <c r="UG11" s="850"/>
      <c r="UH11" s="850"/>
      <c r="UI11" s="849"/>
      <c r="UJ11" s="850"/>
      <c r="UK11" s="850"/>
      <c r="UL11" s="850"/>
      <c r="UM11" s="849"/>
      <c r="UN11" s="850"/>
      <c r="UO11" s="850"/>
      <c r="UP11" s="850"/>
      <c r="UQ11" s="849"/>
      <c r="UR11" s="850"/>
      <c r="US11" s="850"/>
      <c r="UT11" s="850"/>
      <c r="UU11" s="849"/>
      <c r="UV11" s="850"/>
      <c r="UW11" s="850"/>
      <c r="UX11" s="850"/>
      <c r="UY11" s="849"/>
      <c r="UZ11" s="850"/>
      <c r="VA11" s="850"/>
      <c r="VB11" s="850"/>
      <c r="VC11" s="849"/>
      <c r="VD11" s="850"/>
      <c r="VE11" s="850"/>
      <c r="VF11" s="850"/>
      <c r="VG11" s="849"/>
      <c r="VH11" s="850"/>
      <c r="VI11" s="850"/>
      <c r="VJ11" s="850"/>
      <c r="VK11" s="849"/>
      <c r="VL11" s="850"/>
      <c r="VM11" s="850"/>
      <c r="VN11" s="850"/>
      <c r="VO11" s="849"/>
      <c r="VP11" s="850"/>
      <c r="VQ11" s="850"/>
      <c r="VR11" s="850"/>
      <c r="VS11" s="849"/>
      <c r="VT11" s="850"/>
      <c r="VU11" s="850"/>
      <c r="VV11" s="850"/>
      <c r="VW11" s="849"/>
      <c r="VX11" s="850"/>
      <c r="VY11" s="850"/>
      <c r="VZ11" s="850"/>
      <c r="WA11" s="849"/>
      <c r="WB11" s="850"/>
      <c r="WC11" s="850"/>
      <c r="WD11" s="850"/>
      <c r="WE11" s="849"/>
      <c r="WF11" s="850"/>
      <c r="WG11" s="850"/>
      <c r="WH11" s="850"/>
      <c r="WI11" s="849"/>
      <c r="WJ11" s="850"/>
      <c r="WK11" s="850"/>
      <c r="WL11" s="850"/>
      <c r="WM11" s="849"/>
      <c r="WN11" s="850"/>
      <c r="WO11" s="850"/>
      <c r="WP11" s="850"/>
      <c r="WQ11" s="849"/>
      <c r="WR11" s="850"/>
      <c r="WS11" s="850"/>
      <c r="WT11" s="850"/>
      <c r="WU11" s="849"/>
      <c r="WV11" s="850"/>
      <c r="WW11" s="850"/>
      <c r="WX11" s="850"/>
      <c r="WY11" s="849"/>
      <c r="WZ11" s="850"/>
      <c r="XA11" s="850"/>
      <c r="XB11" s="850"/>
    </row>
    <row r="12" spans="1:627" ht="30.2" customHeight="1" thickBot="1">
      <c r="A12" s="1809"/>
      <c r="B12" s="1809"/>
      <c r="C12" s="1821"/>
      <c r="D12" s="818"/>
      <c r="E12" s="818"/>
      <c r="F12" s="818"/>
      <c r="G12" s="1809"/>
      <c r="H12" s="1809"/>
      <c r="I12" s="1809"/>
      <c r="J12" s="1824" t="s">
        <v>2759</v>
      </c>
      <c r="K12" s="1825"/>
      <c r="L12" s="1825"/>
      <c r="M12" s="1826"/>
      <c r="N12" s="1827" t="s">
        <v>2760</v>
      </c>
      <c r="O12" s="1828"/>
      <c r="P12" s="1828"/>
      <c r="Q12" s="1829"/>
      <c r="R12" s="1828" t="s">
        <v>2761</v>
      </c>
      <c r="S12" s="1828"/>
      <c r="T12" s="1829"/>
      <c r="U12" s="1830"/>
      <c r="V12" s="1827" t="s">
        <v>2761</v>
      </c>
      <c r="W12" s="1828"/>
      <c r="X12" s="1829"/>
      <c r="Y12" s="1829"/>
      <c r="Z12" s="1827" t="s">
        <v>2761</v>
      </c>
      <c r="AA12" s="1828"/>
      <c r="AB12" s="1829"/>
      <c r="AC12" s="1829"/>
      <c r="AD12" s="1827" t="s">
        <v>2761</v>
      </c>
      <c r="AE12" s="1828"/>
      <c r="AF12" s="1829"/>
      <c r="AG12" s="1829"/>
      <c r="AH12" s="1827" t="s">
        <v>2761</v>
      </c>
      <c r="AI12" s="1828"/>
      <c r="AJ12" s="1829"/>
      <c r="AK12" s="1829"/>
      <c r="AL12" s="1827" t="s">
        <v>2762</v>
      </c>
      <c r="AM12" s="1828"/>
      <c r="AN12" s="1829"/>
      <c r="AO12" s="1829"/>
      <c r="AP12" s="1827" t="s">
        <v>2762</v>
      </c>
      <c r="AQ12" s="1828"/>
      <c r="AR12" s="1829"/>
      <c r="AS12" s="1829"/>
      <c r="AT12" s="1827" t="s">
        <v>2762</v>
      </c>
      <c r="AU12" s="1828"/>
      <c r="AV12" s="1829"/>
      <c r="AW12" s="1829"/>
      <c r="AX12" s="1827" t="s">
        <v>2762</v>
      </c>
      <c r="AY12" s="1828"/>
      <c r="AZ12" s="1829"/>
      <c r="BA12" s="1829"/>
      <c r="BB12" s="1827" t="s">
        <v>2762</v>
      </c>
      <c r="BC12" s="1828"/>
      <c r="BD12" s="1829"/>
      <c r="BE12" s="1829"/>
      <c r="BF12" s="1827" t="s">
        <v>2762</v>
      </c>
      <c r="BG12" s="1828"/>
      <c r="BH12" s="1829"/>
      <c r="BI12" s="1829"/>
      <c r="BJ12" s="1827" t="s">
        <v>2762</v>
      </c>
      <c r="BK12" s="1828"/>
      <c r="BL12" s="1829"/>
      <c r="BM12" s="1829"/>
      <c r="BN12" s="1827" t="s">
        <v>2762</v>
      </c>
      <c r="BO12" s="1828"/>
      <c r="BP12" s="1829"/>
      <c r="BQ12" s="1829"/>
      <c r="BR12" s="1827" t="s">
        <v>2762</v>
      </c>
      <c r="BS12" s="1828"/>
      <c r="BT12" s="1829"/>
      <c r="BU12" s="1829"/>
      <c r="BV12" s="1827" t="s">
        <v>2762</v>
      </c>
      <c r="BW12" s="1828"/>
      <c r="BX12" s="1829"/>
      <c r="BY12" s="1829"/>
      <c r="BZ12" s="1827" t="s">
        <v>2762</v>
      </c>
      <c r="CA12" s="1828"/>
      <c r="CB12" s="1829"/>
      <c r="CC12" s="1829"/>
      <c r="CD12" s="1827" t="s">
        <v>2763</v>
      </c>
      <c r="CE12" s="1828"/>
      <c r="CF12" s="1829"/>
      <c r="CG12" s="1829"/>
      <c r="CH12" s="1827" t="s">
        <v>2763</v>
      </c>
      <c r="CI12" s="1828"/>
      <c r="CJ12" s="1829"/>
      <c r="CK12" s="1829"/>
      <c r="CL12" s="1827" t="s">
        <v>2763</v>
      </c>
      <c r="CM12" s="1828"/>
      <c r="CN12" s="1829"/>
      <c r="CO12" s="1829"/>
      <c r="CP12" s="1827" t="s">
        <v>2763</v>
      </c>
      <c r="CQ12" s="1828"/>
      <c r="CR12" s="1829"/>
      <c r="CS12" s="1829"/>
      <c r="CT12" s="1827" t="s">
        <v>2763</v>
      </c>
      <c r="CU12" s="1828"/>
      <c r="CV12" s="1829"/>
      <c r="CW12" s="1829"/>
      <c r="CX12" s="1827" t="s">
        <v>2763</v>
      </c>
      <c r="CY12" s="1828"/>
      <c r="CZ12" s="1829"/>
      <c r="DA12" s="1829"/>
      <c r="DB12" s="1827" t="s">
        <v>2763</v>
      </c>
      <c r="DC12" s="1828"/>
      <c r="DD12" s="1829"/>
      <c r="DE12" s="1829"/>
      <c r="DF12" s="1827" t="s">
        <v>2764</v>
      </c>
      <c r="DG12" s="1828"/>
      <c r="DH12" s="1829"/>
      <c r="DI12" s="1829"/>
      <c r="DJ12" s="1827" t="s">
        <v>2764</v>
      </c>
      <c r="DK12" s="1828"/>
      <c r="DL12" s="1829"/>
      <c r="DM12" s="1829"/>
      <c r="DN12" s="1827" t="s">
        <v>2764</v>
      </c>
      <c r="DO12" s="1828"/>
      <c r="DP12" s="1829"/>
      <c r="DQ12" s="1829"/>
      <c r="DR12" s="1827" t="s">
        <v>2764</v>
      </c>
      <c r="DS12" s="1828"/>
      <c r="DT12" s="1829"/>
      <c r="DU12" s="1829"/>
      <c r="DV12" s="1827" t="s">
        <v>2764</v>
      </c>
      <c r="DW12" s="1828"/>
      <c r="DX12" s="1829"/>
      <c r="DY12" s="1829"/>
      <c r="DZ12" s="1827" t="s">
        <v>2764</v>
      </c>
      <c r="EA12" s="1828"/>
      <c r="EB12" s="1829"/>
      <c r="EC12" s="1829"/>
      <c r="ED12" s="1827" t="s">
        <v>2764</v>
      </c>
      <c r="EE12" s="1828"/>
      <c r="EF12" s="1829"/>
      <c r="EG12" s="1829"/>
      <c r="EH12" s="1827" t="s">
        <v>2764</v>
      </c>
      <c r="EI12" s="1828"/>
      <c r="EJ12" s="1829"/>
      <c r="EK12" s="1829"/>
      <c r="EL12" s="1827" t="s">
        <v>2765</v>
      </c>
      <c r="EM12" s="1828"/>
      <c r="EN12" s="1829"/>
      <c r="EO12" s="1829"/>
      <c r="EP12" s="1827" t="s">
        <v>2765</v>
      </c>
      <c r="EQ12" s="1828"/>
      <c r="ER12" s="1829"/>
      <c r="ES12" s="1829"/>
      <c r="ET12" s="1827" t="s">
        <v>2765</v>
      </c>
      <c r="EU12" s="1828"/>
      <c r="EV12" s="1829"/>
      <c r="EW12" s="1829"/>
      <c r="EX12" s="1827" t="s">
        <v>2766</v>
      </c>
      <c r="EY12" s="1828"/>
      <c r="EZ12" s="1829"/>
      <c r="FA12" s="1829"/>
      <c r="FB12" s="1827" t="s">
        <v>2766</v>
      </c>
      <c r="FC12" s="1828"/>
      <c r="FD12" s="1829"/>
      <c r="FE12" s="1829"/>
      <c r="FF12" s="1831" t="s">
        <v>2767</v>
      </c>
      <c r="FG12" s="1828"/>
      <c r="FH12" s="1829"/>
      <c r="FI12" s="1829"/>
      <c r="FJ12" s="1831" t="s">
        <v>2767</v>
      </c>
      <c r="FK12" s="1828"/>
      <c r="FL12" s="1829"/>
      <c r="FM12" s="1829"/>
      <c r="FN12" s="1831" t="s">
        <v>2767</v>
      </c>
      <c r="FO12" s="1828"/>
      <c r="FP12" s="1829"/>
      <c r="FQ12" s="1829"/>
      <c r="FR12" s="1831" t="s">
        <v>2768</v>
      </c>
      <c r="FS12" s="1828"/>
      <c r="FT12" s="1829"/>
      <c r="FU12" s="1829"/>
      <c r="FV12" s="1831" t="s">
        <v>2768</v>
      </c>
      <c r="FW12" s="1828"/>
      <c r="FX12" s="1829"/>
      <c r="FY12" s="1829"/>
      <c r="FZ12" s="1831" t="s">
        <v>2768</v>
      </c>
      <c r="GA12" s="1828"/>
      <c r="GB12" s="1829"/>
      <c r="GC12" s="1829"/>
      <c r="GD12" s="1827" t="s">
        <v>2769</v>
      </c>
      <c r="GE12" s="1828"/>
      <c r="GF12" s="1829"/>
      <c r="GG12" s="1829"/>
      <c r="GH12" s="1827" t="s">
        <v>2769</v>
      </c>
      <c r="GI12" s="1828"/>
      <c r="GJ12" s="1829"/>
      <c r="GK12" s="1829"/>
      <c r="GL12" s="1827" t="s">
        <v>2769</v>
      </c>
      <c r="GM12" s="1828"/>
      <c r="GN12" s="1829"/>
      <c r="GO12" s="1829"/>
      <c r="GP12" s="1827" t="s">
        <v>2769</v>
      </c>
      <c r="GQ12" s="1828"/>
      <c r="GR12" s="1829"/>
      <c r="GS12" s="1829"/>
      <c r="GT12" s="1827" t="s">
        <v>2769</v>
      </c>
      <c r="GU12" s="1828"/>
      <c r="GV12" s="1829"/>
      <c r="GW12" s="1829"/>
      <c r="GX12" s="1827" t="s">
        <v>2769</v>
      </c>
      <c r="GY12" s="1828"/>
      <c r="GZ12" s="1829"/>
      <c r="HA12" s="1829"/>
      <c r="HB12" s="1827" t="s">
        <v>2770</v>
      </c>
      <c r="HC12" s="1828"/>
      <c r="HD12" s="1829"/>
      <c r="HE12" s="1829"/>
      <c r="HF12" s="1827" t="s">
        <v>2770</v>
      </c>
      <c r="HG12" s="1828"/>
      <c r="HH12" s="1829"/>
      <c r="HI12" s="1829"/>
      <c r="HJ12" s="1827" t="s">
        <v>2770</v>
      </c>
      <c r="HK12" s="1828"/>
      <c r="HL12" s="1829"/>
      <c r="HM12" s="1829"/>
      <c r="HN12" s="1827" t="s">
        <v>2770</v>
      </c>
      <c r="HO12" s="1828"/>
      <c r="HP12" s="1829"/>
      <c r="HQ12" s="1829"/>
      <c r="HR12" s="1827" t="s">
        <v>2770</v>
      </c>
      <c r="HS12" s="1828"/>
      <c r="HT12" s="1829"/>
      <c r="HU12" s="1829"/>
      <c r="HV12" s="1827" t="s">
        <v>2771</v>
      </c>
      <c r="HW12" s="1828"/>
      <c r="HX12" s="1829"/>
      <c r="HY12" s="1829"/>
      <c r="HZ12" s="1827" t="s">
        <v>2771</v>
      </c>
      <c r="IA12" s="1828"/>
      <c r="IB12" s="1829"/>
      <c r="IC12" s="1829"/>
      <c r="ID12" s="1827" t="s">
        <v>2771</v>
      </c>
      <c r="IE12" s="1828"/>
      <c r="IF12" s="1829"/>
      <c r="IG12" s="1829"/>
      <c r="IH12" s="1827" t="s">
        <v>2771</v>
      </c>
      <c r="II12" s="1828"/>
      <c r="IJ12" s="1829"/>
      <c r="IK12" s="1829"/>
      <c r="IL12" s="1827" t="s">
        <v>2771</v>
      </c>
      <c r="IM12" s="1828"/>
      <c r="IN12" s="1829"/>
      <c r="IO12" s="1829"/>
      <c r="IP12" s="1827" t="s">
        <v>2771</v>
      </c>
      <c r="IQ12" s="1828"/>
      <c r="IR12" s="1829"/>
      <c r="IS12" s="1829"/>
      <c r="IT12" s="1827" t="s">
        <v>2771</v>
      </c>
      <c r="IU12" s="1828"/>
      <c r="IV12" s="1829"/>
      <c r="IW12" s="1829"/>
      <c r="IX12" s="1827" t="s">
        <v>2771</v>
      </c>
      <c r="IY12" s="1828"/>
      <c r="IZ12" s="1829"/>
      <c r="JA12" s="1829"/>
      <c r="JB12" s="1827" t="s">
        <v>2771</v>
      </c>
      <c r="JC12" s="1828"/>
      <c r="JD12" s="1829"/>
      <c r="JE12" s="1829"/>
      <c r="JF12" s="1827" t="s">
        <v>2771</v>
      </c>
      <c r="JG12" s="1828"/>
      <c r="JH12" s="1829"/>
      <c r="JI12" s="1829"/>
      <c r="JJ12" s="1827" t="s">
        <v>2772</v>
      </c>
      <c r="JK12" s="1828"/>
      <c r="JL12" s="1829"/>
      <c r="JM12" s="1829"/>
      <c r="JN12" s="1827" t="s">
        <v>2772</v>
      </c>
      <c r="JO12" s="1828"/>
      <c r="JP12" s="1829"/>
      <c r="JQ12" s="1829"/>
      <c r="JR12" s="1827" t="s">
        <v>2772</v>
      </c>
      <c r="JS12" s="1828"/>
      <c r="JT12" s="1829"/>
      <c r="JU12" s="1829"/>
      <c r="JV12" s="1827" t="s">
        <v>2773</v>
      </c>
      <c r="JW12" s="1828"/>
      <c r="JX12" s="1829"/>
      <c r="JY12" s="1829"/>
      <c r="JZ12" s="1827" t="s">
        <v>2773</v>
      </c>
      <c r="KA12" s="1828"/>
      <c r="KB12" s="1829"/>
      <c r="KC12" s="1829"/>
      <c r="KD12" s="1827" t="s">
        <v>2773</v>
      </c>
      <c r="KE12" s="1828"/>
      <c r="KF12" s="1829"/>
      <c r="KG12" s="1829"/>
      <c r="KH12" s="1827" t="s">
        <v>2774</v>
      </c>
      <c r="KI12" s="1828"/>
      <c r="KJ12" s="1829"/>
      <c r="KK12" s="1829"/>
      <c r="KL12" s="1827" t="s">
        <v>2774</v>
      </c>
      <c r="KM12" s="1828"/>
      <c r="KN12" s="1829"/>
      <c r="KO12" s="1829"/>
      <c r="KP12" s="1827" t="s">
        <v>2774</v>
      </c>
      <c r="KQ12" s="1828"/>
      <c r="KR12" s="1829"/>
      <c r="KS12" s="1829"/>
      <c r="KT12" s="1827" t="s">
        <v>2774</v>
      </c>
      <c r="KU12" s="1828"/>
      <c r="KV12" s="1829"/>
      <c r="KW12" s="1829"/>
      <c r="KX12" s="1827" t="s">
        <v>2774</v>
      </c>
      <c r="KY12" s="1828"/>
      <c r="KZ12" s="1829"/>
      <c r="LA12" s="1829"/>
      <c r="LG12" s="818"/>
      <c r="LH12" s="1809"/>
      <c r="LI12" s="1809"/>
      <c r="LJ12" s="1809"/>
      <c r="LK12" s="1824" t="s">
        <v>2759</v>
      </c>
      <c r="LL12" s="1825"/>
      <c r="LM12" s="1825"/>
      <c r="LN12" s="1826"/>
      <c r="LO12" s="1827" t="s">
        <v>2760</v>
      </c>
      <c r="LP12" s="1828"/>
      <c r="LQ12" s="1828"/>
      <c r="LR12" s="1829"/>
      <c r="LS12" s="1828" t="s">
        <v>2761</v>
      </c>
      <c r="LT12" s="1828"/>
      <c r="LU12" s="1829"/>
      <c r="LV12" s="1830"/>
      <c r="LW12" s="1827" t="s">
        <v>2761</v>
      </c>
      <c r="LX12" s="1828"/>
      <c r="LY12" s="1829"/>
      <c r="LZ12" s="1829"/>
      <c r="MA12" s="1827" t="s">
        <v>2761</v>
      </c>
      <c r="MB12" s="1828"/>
      <c r="MC12" s="1829"/>
      <c r="MD12" s="1829"/>
      <c r="ME12" s="1827" t="s">
        <v>2761</v>
      </c>
      <c r="MF12" s="1828"/>
      <c r="MG12" s="1829"/>
      <c r="MH12" s="1829"/>
      <c r="MI12" s="1827" t="s">
        <v>2761</v>
      </c>
      <c r="MJ12" s="1828"/>
      <c r="MK12" s="1829"/>
      <c r="ML12" s="1829"/>
      <c r="MM12" s="1827" t="s">
        <v>2762</v>
      </c>
      <c r="MN12" s="1828"/>
      <c r="MO12" s="1829"/>
      <c r="MP12" s="1829"/>
      <c r="MQ12" s="1827" t="s">
        <v>2762</v>
      </c>
      <c r="MR12" s="1828"/>
      <c r="MS12" s="1829"/>
      <c r="MT12" s="1829"/>
      <c r="MU12" s="1827" t="s">
        <v>2762</v>
      </c>
      <c r="MV12" s="1828"/>
      <c r="MW12" s="1829"/>
      <c r="MX12" s="1829"/>
      <c r="MY12" s="1827" t="s">
        <v>2762</v>
      </c>
      <c r="MZ12" s="1828"/>
      <c r="NA12" s="1829"/>
      <c r="NB12" s="1829"/>
      <c r="NC12" s="1827" t="s">
        <v>2762</v>
      </c>
      <c r="ND12" s="1828"/>
      <c r="NE12" s="1829"/>
      <c r="NF12" s="1829"/>
      <c r="NG12" s="1827" t="s">
        <v>2762</v>
      </c>
      <c r="NH12" s="1828"/>
      <c r="NI12" s="1829"/>
      <c r="NJ12" s="1829"/>
      <c r="NK12" s="1827" t="s">
        <v>2762</v>
      </c>
      <c r="NL12" s="1828"/>
      <c r="NM12" s="1829"/>
      <c r="NN12" s="1829"/>
      <c r="NO12" s="1827" t="s">
        <v>2762</v>
      </c>
      <c r="NP12" s="1828"/>
      <c r="NQ12" s="1829"/>
      <c r="NR12" s="1829"/>
      <c r="NS12" s="1827" t="s">
        <v>2762</v>
      </c>
      <c r="NT12" s="1828"/>
      <c r="NU12" s="1829"/>
      <c r="NV12" s="1829"/>
      <c r="NW12" s="1827" t="s">
        <v>2762</v>
      </c>
      <c r="NX12" s="1828"/>
      <c r="NY12" s="1829"/>
      <c r="NZ12" s="1829"/>
      <c r="OA12" s="1827" t="s">
        <v>2762</v>
      </c>
      <c r="OB12" s="1828"/>
      <c r="OC12" s="1829"/>
      <c r="OD12" s="1829"/>
      <c r="OE12" s="1827" t="s">
        <v>2763</v>
      </c>
      <c r="OF12" s="1828"/>
      <c r="OG12" s="1829"/>
      <c r="OH12" s="1829"/>
      <c r="OI12" s="1827" t="s">
        <v>2763</v>
      </c>
      <c r="OJ12" s="1828"/>
      <c r="OK12" s="1829"/>
      <c r="OL12" s="1829"/>
      <c r="OM12" s="1827" t="s">
        <v>2763</v>
      </c>
      <c r="ON12" s="1828"/>
      <c r="OO12" s="1829"/>
      <c r="OP12" s="1829"/>
      <c r="OQ12" s="1827" t="s">
        <v>2763</v>
      </c>
      <c r="OR12" s="1828"/>
      <c r="OS12" s="1829"/>
      <c r="OT12" s="1829"/>
      <c r="OU12" s="1827" t="s">
        <v>2763</v>
      </c>
      <c r="OV12" s="1828"/>
      <c r="OW12" s="1829"/>
      <c r="OX12" s="1829"/>
      <c r="OY12" s="1827" t="s">
        <v>2763</v>
      </c>
      <c r="OZ12" s="1828"/>
      <c r="PA12" s="1829"/>
      <c r="PB12" s="1829"/>
      <c r="PC12" s="1827" t="s">
        <v>2763</v>
      </c>
      <c r="PD12" s="1828"/>
      <c r="PE12" s="1829"/>
      <c r="PF12" s="1829"/>
      <c r="PG12" s="1827" t="s">
        <v>2764</v>
      </c>
      <c r="PH12" s="1828"/>
      <c r="PI12" s="1829"/>
      <c r="PJ12" s="1829"/>
      <c r="PK12" s="1827" t="s">
        <v>2764</v>
      </c>
      <c r="PL12" s="1828"/>
      <c r="PM12" s="1829"/>
      <c r="PN12" s="1829"/>
      <c r="PO12" s="1827" t="s">
        <v>2764</v>
      </c>
      <c r="PP12" s="1828"/>
      <c r="PQ12" s="1829"/>
      <c r="PR12" s="1829"/>
      <c r="PS12" s="1827" t="s">
        <v>2764</v>
      </c>
      <c r="PT12" s="1828"/>
      <c r="PU12" s="1829"/>
      <c r="PV12" s="1829"/>
      <c r="PW12" s="1827" t="s">
        <v>2764</v>
      </c>
      <c r="PX12" s="1828"/>
      <c r="PY12" s="1829"/>
      <c r="PZ12" s="1829"/>
      <c r="QA12" s="1827" t="s">
        <v>2764</v>
      </c>
      <c r="QB12" s="1828"/>
      <c r="QC12" s="1829"/>
      <c r="QD12" s="1829"/>
      <c r="QE12" s="1827" t="s">
        <v>2764</v>
      </c>
      <c r="QF12" s="1828"/>
      <c r="QG12" s="1829"/>
      <c r="QH12" s="1829"/>
      <c r="QI12" s="1827" t="s">
        <v>2764</v>
      </c>
      <c r="QJ12" s="1828"/>
      <c r="QK12" s="1829"/>
      <c r="QL12" s="1829"/>
      <c r="QM12" s="1827" t="s">
        <v>2765</v>
      </c>
      <c r="QN12" s="1828"/>
      <c r="QO12" s="1829"/>
      <c r="QP12" s="1829"/>
      <c r="QQ12" s="1827" t="s">
        <v>2765</v>
      </c>
      <c r="QR12" s="1828"/>
      <c r="QS12" s="1829"/>
      <c r="QT12" s="1829"/>
      <c r="QU12" s="1827" t="s">
        <v>2765</v>
      </c>
      <c r="QV12" s="1828"/>
      <c r="QW12" s="1829"/>
      <c r="QX12" s="1829"/>
      <c r="QY12" s="1827" t="s">
        <v>2766</v>
      </c>
      <c r="QZ12" s="1828"/>
      <c r="RA12" s="1829"/>
      <c r="RB12" s="1829"/>
      <c r="RC12" s="1827" t="s">
        <v>2766</v>
      </c>
      <c r="RD12" s="1828"/>
      <c r="RE12" s="1829"/>
      <c r="RF12" s="1829"/>
      <c r="RG12" s="1831" t="s">
        <v>2767</v>
      </c>
      <c r="RH12" s="1828"/>
      <c r="RI12" s="1829"/>
      <c r="RJ12" s="1829"/>
      <c r="RK12" s="1831" t="s">
        <v>2767</v>
      </c>
      <c r="RL12" s="1828"/>
      <c r="RM12" s="1829"/>
      <c r="RN12" s="1829"/>
      <c r="RO12" s="1831" t="s">
        <v>2767</v>
      </c>
      <c r="RP12" s="1828"/>
      <c r="RQ12" s="1829"/>
      <c r="RR12" s="1829"/>
      <c r="RS12" s="1831" t="s">
        <v>2768</v>
      </c>
      <c r="RT12" s="1828"/>
      <c r="RU12" s="1829"/>
      <c r="RV12" s="1829"/>
      <c r="RW12" s="1831" t="s">
        <v>2768</v>
      </c>
      <c r="RX12" s="1828"/>
      <c r="RY12" s="1829"/>
      <c r="RZ12" s="1829"/>
      <c r="SA12" s="1831" t="s">
        <v>2768</v>
      </c>
      <c r="SB12" s="1828"/>
      <c r="SC12" s="1829"/>
      <c r="SD12" s="1829"/>
      <c r="SE12" s="1827" t="s">
        <v>2769</v>
      </c>
      <c r="SF12" s="1828"/>
      <c r="SG12" s="1829"/>
      <c r="SH12" s="1829"/>
      <c r="SI12" s="1827" t="s">
        <v>2769</v>
      </c>
      <c r="SJ12" s="1828"/>
      <c r="SK12" s="1829"/>
      <c r="SL12" s="1829"/>
      <c r="SM12" s="1827" t="s">
        <v>2769</v>
      </c>
      <c r="SN12" s="1828"/>
      <c r="SO12" s="1829"/>
      <c r="SP12" s="1829"/>
      <c r="SQ12" s="1827" t="s">
        <v>2769</v>
      </c>
      <c r="SR12" s="1828"/>
      <c r="SS12" s="1829"/>
      <c r="ST12" s="1829"/>
      <c r="SU12" s="1827" t="s">
        <v>2769</v>
      </c>
      <c r="SV12" s="1828"/>
      <c r="SW12" s="1829"/>
      <c r="SX12" s="1829"/>
      <c r="SY12" s="1827" t="s">
        <v>2769</v>
      </c>
      <c r="SZ12" s="1828"/>
      <c r="TA12" s="1829"/>
      <c r="TB12" s="1829"/>
      <c r="TC12" s="1827" t="s">
        <v>2770</v>
      </c>
      <c r="TD12" s="1828"/>
      <c r="TE12" s="1829"/>
      <c r="TF12" s="1829"/>
      <c r="TG12" s="1827" t="s">
        <v>2770</v>
      </c>
      <c r="TH12" s="1828"/>
      <c r="TI12" s="1829"/>
      <c r="TJ12" s="1829"/>
      <c r="TK12" s="1827" t="s">
        <v>2770</v>
      </c>
      <c r="TL12" s="1828"/>
      <c r="TM12" s="1829"/>
      <c r="TN12" s="1829"/>
      <c r="TO12" s="1827" t="s">
        <v>2770</v>
      </c>
      <c r="TP12" s="1828"/>
      <c r="TQ12" s="1829"/>
      <c r="TR12" s="1829"/>
      <c r="TS12" s="1827" t="s">
        <v>2770</v>
      </c>
      <c r="TT12" s="1828"/>
      <c r="TU12" s="1829"/>
      <c r="TV12" s="1829"/>
      <c r="TW12" s="1827" t="s">
        <v>2771</v>
      </c>
      <c r="TX12" s="1828"/>
      <c r="TY12" s="1829"/>
      <c r="TZ12" s="1829"/>
      <c r="UA12" s="1827" t="s">
        <v>2771</v>
      </c>
      <c r="UB12" s="1828"/>
      <c r="UC12" s="1829"/>
      <c r="UD12" s="1829"/>
      <c r="UE12" s="1827" t="s">
        <v>2771</v>
      </c>
      <c r="UF12" s="1828"/>
      <c r="UG12" s="1829"/>
      <c r="UH12" s="1829"/>
      <c r="UI12" s="1827" t="s">
        <v>2771</v>
      </c>
      <c r="UJ12" s="1828"/>
      <c r="UK12" s="1829"/>
      <c r="UL12" s="1829"/>
      <c r="UM12" s="1827" t="s">
        <v>2771</v>
      </c>
      <c r="UN12" s="1828"/>
      <c r="UO12" s="1829"/>
      <c r="UP12" s="1829"/>
      <c r="UQ12" s="1827" t="s">
        <v>2771</v>
      </c>
      <c r="UR12" s="1828"/>
      <c r="US12" s="1829"/>
      <c r="UT12" s="1829"/>
      <c r="UU12" s="1827" t="s">
        <v>2771</v>
      </c>
      <c r="UV12" s="1828"/>
      <c r="UW12" s="1829"/>
      <c r="UX12" s="1829"/>
      <c r="UY12" s="1827" t="s">
        <v>2771</v>
      </c>
      <c r="UZ12" s="1828"/>
      <c r="VA12" s="1829"/>
      <c r="VB12" s="1829"/>
      <c r="VC12" s="1827" t="s">
        <v>2771</v>
      </c>
      <c r="VD12" s="1828"/>
      <c r="VE12" s="1829"/>
      <c r="VF12" s="1829"/>
      <c r="VG12" s="1827" t="s">
        <v>2771</v>
      </c>
      <c r="VH12" s="1828"/>
      <c r="VI12" s="1829"/>
      <c r="VJ12" s="1829"/>
      <c r="VK12" s="1827" t="s">
        <v>2772</v>
      </c>
      <c r="VL12" s="1828"/>
      <c r="VM12" s="1829"/>
      <c r="VN12" s="1829"/>
      <c r="VO12" s="1827" t="s">
        <v>2772</v>
      </c>
      <c r="VP12" s="1828"/>
      <c r="VQ12" s="1829"/>
      <c r="VR12" s="1829"/>
      <c r="VS12" s="1827" t="s">
        <v>2772</v>
      </c>
      <c r="VT12" s="1828"/>
      <c r="VU12" s="1829"/>
      <c r="VV12" s="1829"/>
      <c r="VW12" s="1827" t="s">
        <v>2773</v>
      </c>
      <c r="VX12" s="1828"/>
      <c r="VY12" s="1829"/>
      <c r="VZ12" s="1829"/>
      <c r="WA12" s="1827" t="s">
        <v>2773</v>
      </c>
      <c r="WB12" s="1828"/>
      <c r="WC12" s="1829"/>
      <c r="WD12" s="1829"/>
      <c r="WE12" s="1827" t="s">
        <v>2773</v>
      </c>
      <c r="WF12" s="1828"/>
      <c r="WG12" s="1829"/>
      <c r="WH12" s="1829"/>
      <c r="WI12" s="1827" t="s">
        <v>2774</v>
      </c>
      <c r="WJ12" s="1828"/>
      <c r="WK12" s="1829"/>
      <c r="WL12" s="1829"/>
      <c r="WM12" s="1827" t="s">
        <v>2774</v>
      </c>
      <c r="WN12" s="1828"/>
      <c r="WO12" s="1829"/>
      <c r="WP12" s="1829"/>
      <c r="WQ12" s="1827" t="s">
        <v>2774</v>
      </c>
      <c r="WR12" s="1828"/>
      <c r="WS12" s="1829"/>
      <c r="WT12" s="1829"/>
      <c r="WU12" s="1827" t="s">
        <v>2774</v>
      </c>
      <c r="WV12" s="1828"/>
      <c r="WW12" s="1829"/>
      <c r="WX12" s="1829"/>
      <c r="WY12" s="1827" t="s">
        <v>2774</v>
      </c>
      <c r="WZ12" s="1828"/>
      <c r="XA12" s="1829"/>
      <c r="XB12" s="1829"/>
    </row>
    <row r="13" spans="1:627" ht="15.75" customHeight="1">
      <c r="A13" s="831"/>
      <c r="B13" s="831"/>
      <c r="C13" s="832"/>
      <c r="D13" s="819"/>
      <c r="E13" s="819"/>
      <c r="F13" s="819"/>
      <c r="G13" s="831"/>
      <c r="H13" s="831"/>
      <c r="I13" s="831"/>
      <c r="J13" s="1824" t="s">
        <v>2775</v>
      </c>
      <c r="K13" s="1825"/>
      <c r="L13" s="1825"/>
      <c r="M13" s="1826"/>
      <c r="N13" s="1824" t="s">
        <v>2776</v>
      </c>
      <c r="O13" s="1825"/>
      <c r="P13" s="1825"/>
      <c r="Q13" s="1826"/>
      <c r="R13" s="1824" t="s">
        <v>2777</v>
      </c>
      <c r="S13" s="1825"/>
      <c r="T13" s="1825"/>
      <c r="U13" s="1826"/>
      <c r="V13" s="1824" t="s">
        <v>2778</v>
      </c>
      <c r="W13" s="1825"/>
      <c r="X13" s="1825"/>
      <c r="Y13" s="1826"/>
      <c r="Z13" s="1824" t="s">
        <v>2779</v>
      </c>
      <c r="AA13" s="1825"/>
      <c r="AB13" s="1825"/>
      <c r="AC13" s="1826"/>
      <c r="AD13" s="1824" t="s">
        <v>2780</v>
      </c>
      <c r="AE13" s="1825"/>
      <c r="AF13" s="1825"/>
      <c r="AG13" s="1826"/>
      <c r="AH13" s="1824" t="s">
        <v>2781</v>
      </c>
      <c r="AI13" s="1825"/>
      <c r="AJ13" s="1825"/>
      <c r="AK13" s="1826"/>
      <c r="AL13" s="1824" t="s">
        <v>2782</v>
      </c>
      <c r="AM13" s="1825"/>
      <c r="AN13" s="1825"/>
      <c r="AO13" s="1826"/>
      <c r="AP13" s="1824" t="s">
        <v>2783</v>
      </c>
      <c r="AQ13" s="1825"/>
      <c r="AR13" s="1825"/>
      <c r="AS13" s="1826"/>
      <c r="AT13" s="1824" t="s">
        <v>2784</v>
      </c>
      <c r="AU13" s="1825"/>
      <c r="AV13" s="1825"/>
      <c r="AW13" s="1826"/>
      <c r="AX13" s="1824" t="s">
        <v>2785</v>
      </c>
      <c r="AY13" s="1825"/>
      <c r="AZ13" s="1825"/>
      <c r="BA13" s="1826"/>
      <c r="BB13" s="1824" t="s">
        <v>2786</v>
      </c>
      <c r="BC13" s="1825"/>
      <c r="BD13" s="1825"/>
      <c r="BE13" s="1826"/>
      <c r="BF13" s="1824" t="s">
        <v>2787</v>
      </c>
      <c r="BG13" s="1825"/>
      <c r="BH13" s="1825"/>
      <c r="BI13" s="1826"/>
      <c r="BJ13" s="1824" t="s">
        <v>2788</v>
      </c>
      <c r="BK13" s="1825"/>
      <c r="BL13" s="1825"/>
      <c r="BM13" s="1826"/>
      <c r="BN13" s="1824" t="s">
        <v>2789</v>
      </c>
      <c r="BO13" s="1825"/>
      <c r="BP13" s="1825"/>
      <c r="BQ13" s="1826"/>
      <c r="BR13" s="1824" t="s">
        <v>2790</v>
      </c>
      <c r="BS13" s="1825"/>
      <c r="BT13" s="1825"/>
      <c r="BU13" s="1826"/>
      <c r="BV13" s="1824" t="s">
        <v>2791</v>
      </c>
      <c r="BW13" s="1825"/>
      <c r="BX13" s="1825"/>
      <c r="BY13" s="1826"/>
      <c r="BZ13" s="1824" t="s">
        <v>2792</v>
      </c>
      <c r="CA13" s="1825"/>
      <c r="CB13" s="1825"/>
      <c r="CC13" s="1826"/>
      <c r="CD13" s="1824" t="s">
        <v>2793</v>
      </c>
      <c r="CE13" s="1825"/>
      <c r="CF13" s="1825"/>
      <c r="CG13" s="1826"/>
      <c r="CH13" s="1824" t="s">
        <v>2794</v>
      </c>
      <c r="CI13" s="1825"/>
      <c r="CJ13" s="1825"/>
      <c r="CK13" s="1826"/>
      <c r="CL13" s="1824" t="s">
        <v>2795</v>
      </c>
      <c r="CM13" s="1825"/>
      <c r="CN13" s="1825"/>
      <c r="CO13" s="1826"/>
      <c r="CP13" s="1824" t="s">
        <v>2796</v>
      </c>
      <c r="CQ13" s="1825"/>
      <c r="CR13" s="1825"/>
      <c r="CS13" s="1826"/>
      <c r="CT13" s="1824" t="s">
        <v>2797</v>
      </c>
      <c r="CU13" s="1825"/>
      <c r="CV13" s="1825"/>
      <c r="CW13" s="1826"/>
      <c r="CX13" s="1824" t="s">
        <v>2798</v>
      </c>
      <c r="CY13" s="1825"/>
      <c r="CZ13" s="1825"/>
      <c r="DA13" s="1826"/>
      <c r="DB13" s="1824" t="s">
        <v>2799</v>
      </c>
      <c r="DC13" s="1825"/>
      <c r="DD13" s="1825"/>
      <c r="DE13" s="1826"/>
      <c r="DF13" s="1824" t="s">
        <v>2800</v>
      </c>
      <c r="DG13" s="1825"/>
      <c r="DH13" s="1825"/>
      <c r="DI13" s="1826"/>
      <c r="DJ13" s="1824" t="s">
        <v>2801</v>
      </c>
      <c r="DK13" s="1825"/>
      <c r="DL13" s="1825"/>
      <c r="DM13" s="1826"/>
      <c r="DN13" s="1824" t="s">
        <v>2802</v>
      </c>
      <c r="DO13" s="1825"/>
      <c r="DP13" s="1825"/>
      <c r="DQ13" s="1826"/>
      <c r="DR13" s="1824" t="s">
        <v>2803</v>
      </c>
      <c r="DS13" s="1825"/>
      <c r="DT13" s="1825"/>
      <c r="DU13" s="1826"/>
      <c r="DV13" s="1824" t="s">
        <v>2804</v>
      </c>
      <c r="DW13" s="1825"/>
      <c r="DX13" s="1825"/>
      <c r="DY13" s="1826"/>
      <c r="DZ13" s="1824" t="s">
        <v>2805</v>
      </c>
      <c r="EA13" s="1825"/>
      <c r="EB13" s="1825"/>
      <c r="EC13" s="1826"/>
      <c r="ED13" s="1824" t="s">
        <v>2806</v>
      </c>
      <c r="EE13" s="1825"/>
      <c r="EF13" s="1825"/>
      <c r="EG13" s="1826"/>
      <c r="EH13" s="1824" t="s">
        <v>2807</v>
      </c>
      <c r="EI13" s="1825"/>
      <c r="EJ13" s="1825"/>
      <c r="EK13" s="1826"/>
      <c r="EL13" s="1824" t="s">
        <v>2808</v>
      </c>
      <c r="EM13" s="1825"/>
      <c r="EN13" s="1825"/>
      <c r="EO13" s="1826"/>
      <c r="EP13" s="1824" t="s">
        <v>2809</v>
      </c>
      <c r="EQ13" s="1825"/>
      <c r="ER13" s="1825"/>
      <c r="ES13" s="1826"/>
      <c r="ET13" s="1824" t="s">
        <v>2810</v>
      </c>
      <c r="EU13" s="1825"/>
      <c r="EV13" s="1825"/>
      <c r="EW13" s="1826"/>
      <c r="EX13" s="1824" t="s">
        <v>2811</v>
      </c>
      <c r="EY13" s="1825"/>
      <c r="EZ13" s="1825"/>
      <c r="FA13" s="1826"/>
      <c r="FB13" s="1824" t="s">
        <v>2812</v>
      </c>
      <c r="FC13" s="1825"/>
      <c r="FD13" s="1825"/>
      <c r="FE13" s="1826"/>
      <c r="FF13" s="1824" t="s">
        <v>2813</v>
      </c>
      <c r="FG13" s="1825"/>
      <c r="FH13" s="1825"/>
      <c r="FI13" s="1826"/>
      <c r="FJ13" s="1824" t="s">
        <v>2814</v>
      </c>
      <c r="FK13" s="1825"/>
      <c r="FL13" s="1825"/>
      <c r="FM13" s="1826"/>
      <c r="FN13" s="1824" t="s">
        <v>2815</v>
      </c>
      <c r="FO13" s="1825"/>
      <c r="FP13" s="1825"/>
      <c r="FQ13" s="1826"/>
      <c r="FR13" s="1824" t="s">
        <v>2816</v>
      </c>
      <c r="FS13" s="1825"/>
      <c r="FT13" s="1825"/>
      <c r="FU13" s="1826"/>
      <c r="FV13" s="1824" t="s">
        <v>2817</v>
      </c>
      <c r="FW13" s="1825"/>
      <c r="FX13" s="1825"/>
      <c r="FY13" s="1826"/>
      <c r="FZ13" s="1824" t="s">
        <v>2818</v>
      </c>
      <c r="GA13" s="1825"/>
      <c r="GB13" s="1825"/>
      <c r="GC13" s="1826"/>
      <c r="GD13" s="1824" t="s">
        <v>2819</v>
      </c>
      <c r="GE13" s="1825"/>
      <c r="GF13" s="1825"/>
      <c r="GG13" s="1826"/>
      <c r="GH13" s="1824" t="s">
        <v>2820</v>
      </c>
      <c r="GI13" s="1825"/>
      <c r="GJ13" s="1825"/>
      <c r="GK13" s="1826"/>
      <c r="GL13" s="1824" t="s">
        <v>2821</v>
      </c>
      <c r="GM13" s="1825"/>
      <c r="GN13" s="1825"/>
      <c r="GO13" s="1826"/>
      <c r="GP13" s="1824" t="s">
        <v>2822</v>
      </c>
      <c r="GQ13" s="1825"/>
      <c r="GR13" s="1825"/>
      <c r="GS13" s="1826"/>
      <c r="GT13" s="1824" t="s">
        <v>2823</v>
      </c>
      <c r="GU13" s="1825"/>
      <c r="GV13" s="1825"/>
      <c r="GW13" s="1826"/>
      <c r="GX13" s="1824" t="s">
        <v>2824</v>
      </c>
      <c r="GY13" s="1825"/>
      <c r="GZ13" s="1825"/>
      <c r="HA13" s="1826"/>
      <c r="HB13" s="1824" t="s">
        <v>2825</v>
      </c>
      <c r="HC13" s="1825"/>
      <c r="HD13" s="1825"/>
      <c r="HE13" s="1826"/>
      <c r="HF13" s="1824" t="s">
        <v>2826</v>
      </c>
      <c r="HG13" s="1825"/>
      <c r="HH13" s="1825"/>
      <c r="HI13" s="1826"/>
      <c r="HJ13" s="1824" t="s">
        <v>2827</v>
      </c>
      <c r="HK13" s="1825"/>
      <c r="HL13" s="1825"/>
      <c r="HM13" s="1826"/>
      <c r="HN13" s="1824" t="s">
        <v>2828</v>
      </c>
      <c r="HO13" s="1825"/>
      <c r="HP13" s="1825"/>
      <c r="HQ13" s="1826"/>
      <c r="HR13" s="1824" t="s">
        <v>2829</v>
      </c>
      <c r="HS13" s="1825"/>
      <c r="HT13" s="1825"/>
      <c r="HU13" s="1826"/>
      <c r="HV13" s="1824" t="s">
        <v>2830</v>
      </c>
      <c r="HW13" s="1825"/>
      <c r="HX13" s="1825"/>
      <c r="HY13" s="1826"/>
      <c r="HZ13" s="1824" t="s">
        <v>2831</v>
      </c>
      <c r="IA13" s="1825"/>
      <c r="IB13" s="1825"/>
      <c r="IC13" s="1826"/>
      <c r="ID13" s="1824" t="s">
        <v>2832</v>
      </c>
      <c r="IE13" s="1825"/>
      <c r="IF13" s="1825"/>
      <c r="IG13" s="1826"/>
      <c r="IH13" s="1824" t="s">
        <v>2833</v>
      </c>
      <c r="II13" s="1825"/>
      <c r="IJ13" s="1825"/>
      <c r="IK13" s="1826"/>
      <c r="IL13" s="1824" t="s">
        <v>2834</v>
      </c>
      <c r="IM13" s="1825"/>
      <c r="IN13" s="1825"/>
      <c r="IO13" s="1826"/>
      <c r="IP13" s="1824" t="s">
        <v>2835</v>
      </c>
      <c r="IQ13" s="1825"/>
      <c r="IR13" s="1825"/>
      <c r="IS13" s="1826"/>
      <c r="IT13" s="1824" t="s">
        <v>2836</v>
      </c>
      <c r="IU13" s="1825"/>
      <c r="IV13" s="1825"/>
      <c r="IW13" s="1826"/>
      <c r="IX13" s="1824" t="s">
        <v>2837</v>
      </c>
      <c r="IY13" s="1825"/>
      <c r="IZ13" s="1825"/>
      <c r="JA13" s="1826"/>
      <c r="JB13" s="1824" t="s">
        <v>2838</v>
      </c>
      <c r="JC13" s="1825"/>
      <c r="JD13" s="1825"/>
      <c r="JE13" s="1826"/>
      <c r="JF13" s="1824" t="s">
        <v>2839</v>
      </c>
      <c r="JG13" s="1825"/>
      <c r="JH13" s="1825"/>
      <c r="JI13" s="1826"/>
      <c r="JJ13" s="1824" t="s">
        <v>2840</v>
      </c>
      <c r="JK13" s="1825"/>
      <c r="JL13" s="1825"/>
      <c r="JM13" s="1826"/>
      <c r="JN13" s="1824" t="s">
        <v>2841</v>
      </c>
      <c r="JO13" s="1825"/>
      <c r="JP13" s="1825"/>
      <c r="JQ13" s="1826"/>
      <c r="JR13" s="1824" t="s">
        <v>2842</v>
      </c>
      <c r="JS13" s="1825"/>
      <c r="JT13" s="1825"/>
      <c r="JU13" s="1826"/>
      <c r="JV13" s="1824" t="s">
        <v>2843</v>
      </c>
      <c r="JW13" s="1825"/>
      <c r="JX13" s="1825"/>
      <c r="JY13" s="1826"/>
      <c r="JZ13" s="1824" t="s">
        <v>2844</v>
      </c>
      <c r="KA13" s="1825"/>
      <c r="KB13" s="1825"/>
      <c r="KC13" s="1826"/>
      <c r="KD13" s="1824" t="s">
        <v>2845</v>
      </c>
      <c r="KE13" s="1825"/>
      <c r="KF13" s="1825"/>
      <c r="KG13" s="1826"/>
      <c r="KH13" s="1824" t="s">
        <v>2846</v>
      </c>
      <c r="KI13" s="1825"/>
      <c r="KJ13" s="1825"/>
      <c r="KK13" s="1826"/>
      <c r="KL13" s="1824" t="s">
        <v>2847</v>
      </c>
      <c r="KM13" s="1825"/>
      <c r="KN13" s="1825"/>
      <c r="KO13" s="1826"/>
      <c r="KP13" s="1824" t="s">
        <v>2848</v>
      </c>
      <c r="KQ13" s="1825"/>
      <c r="KR13" s="1825"/>
      <c r="KS13" s="1826"/>
      <c r="KT13" s="1824" t="s">
        <v>2849</v>
      </c>
      <c r="KU13" s="1825"/>
      <c r="KV13" s="1825"/>
      <c r="KW13" s="1826"/>
      <c r="KX13" s="1824" t="s">
        <v>2850</v>
      </c>
      <c r="KY13" s="1825"/>
      <c r="KZ13" s="1825"/>
      <c r="LA13" s="1826"/>
      <c r="LG13" s="819"/>
      <c r="LH13" s="831"/>
      <c r="LI13" s="831"/>
      <c r="LJ13" s="831"/>
      <c r="LK13" s="1824" t="s">
        <v>2775</v>
      </c>
      <c r="LL13" s="1825"/>
      <c r="LM13" s="1825"/>
      <c r="LN13" s="1826"/>
      <c r="LO13" s="1824" t="s">
        <v>2776</v>
      </c>
      <c r="LP13" s="1825"/>
      <c r="LQ13" s="1825"/>
      <c r="LR13" s="1826"/>
      <c r="LS13" s="1824" t="s">
        <v>2777</v>
      </c>
      <c r="LT13" s="1825"/>
      <c r="LU13" s="1825"/>
      <c r="LV13" s="1826"/>
      <c r="LW13" s="1824" t="s">
        <v>2778</v>
      </c>
      <c r="LX13" s="1825"/>
      <c r="LY13" s="1825"/>
      <c r="LZ13" s="1826"/>
      <c r="MA13" s="1824" t="s">
        <v>2779</v>
      </c>
      <c r="MB13" s="1825"/>
      <c r="MC13" s="1825"/>
      <c r="MD13" s="1826"/>
      <c r="ME13" s="1824" t="s">
        <v>2780</v>
      </c>
      <c r="MF13" s="1825"/>
      <c r="MG13" s="1825"/>
      <c r="MH13" s="1826"/>
      <c r="MI13" s="1824" t="s">
        <v>2781</v>
      </c>
      <c r="MJ13" s="1825"/>
      <c r="MK13" s="1825"/>
      <c r="ML13" s="1826"/>
      <c r="MM13" s="1824" t="s">
        <v>2782</v>
      </c>
      <c r="MN13" s="1825"/>
      <c r="MO13" s="1825"/>
      <c r="MP13" s="1826"/>
      <c r="MQ13" s="1824" t="s">
        <v>2783</v>
      </c>
      <c r="MR13" s="1825"/>
      <c r="MS13" s="1825"/>
      <c r="MT13" s="1826"/>
      <c r="MU13" s="1824" t="s">
        <v>2784</v>
      </c>
      <c r="MV13" s="1825"/>
      <c r="MW13" s="1825"/>
      <c r="MX13" s="1826"/>
      <c r="MY13" s="1824" t="s">
        <v>2785</v>
      </c>
      <c r="MZ13" s="1825"/>
      <c r="NA13" s="1825"/>
      <c r="NB13" s="1826"/>
      <c r="NC13" s="1824" t="s">
        <v>2786</v>
      </c>
      <c r="ND13" s="1825"/>
      <c r="NE13" s="1825"/>
      <c r="NF13" s="1826"/>
      <c r="NG13" s="1824" t="s">
        <v>2787</v>
      </c>
      <c r="NH13" s="1825"/>
      <c r="NI13" s="1825"/>
      <c r="NJ13" s="1826"/>
      <c r="NK13" s="1824" t="s">
        <v>2788</v>
      </c>
      <c r="NL13" s="1825"/>
      <c r="NM13" s="1825"/>
      <c r="NN13" s="1826"/>
      <c r="NO13" s="1824" t="s">
        <v>2789</v>
      </c>
      <c r="NP13" s="1825"/>
      <c r="NQ13" s="1825"/>
      <c r="NR13" s="1826"/>
      <c r="NS13" s="1824" t="s">
        <v>2790</v>
      </c>
      <c r="NT13" s="1825"/>
      <c r="NU13" s="1825"/>
      <c r="NV13" s="1826"/>
      <c r="NW13" s="1824" t="s">
        <v>2791</v>
      </c>
      <c r="NX13" s="1825"/>
      <c r="NY13" s="1825"/>
      <c r="NZ13" s="1826"/>
      <c r="OA13" s="1824" t="s">
        <v>2792</v>
      </c>
      <c r="OB13" s="1825"/>
      <c r="OC13" s="1825"/>
      <c r="OD13" s="1826"/>
      <c r="OE13" s="1824" t="s">
        <v>2793</v>
      </c>
      <c r="OF13" s="1825"/>
      <c r="OG13" s="1825"/>
      <c r="OH13" s="1826"/>
      <c r="OI13" s="1824" t="s">
        <v>2794</v>
      </c>
      <c r="OJ13" s="1825"/>
      <c r="OK13" s="1825"/>
      <c r="OL13" s="1826"/>
      <c r="OM13" s="1824" t="s">
        <v>2795</v>
      </c>
      <c r="ON13" s="1825"/>
      <c r="OO13" s="1825"/>
      <c r="OP13" s="1826"/>
      <c r="OQ13" s="1824" t="s">
        <v>2796</v>
      </c>
      <c r="OR13" s="1825"/>
      <c r="OS13" s="1825"/>
      <c r="OT13" s="1826"/>
      <c r="OU13" s="1824" t="s">
        <v>2797</v>
      </c>
      <c r="OV13" s="1825"/>
      <c r="OW13" s="1825"/>
      <c r="OX13" s="1826"/>
      <c r="OY13" s="1824" t="s">
        <v>2798</v>
      </c>
      <c r="OZ13" s="1825"/>
      <c r="PA13" s="1825"/>
      <c r="PB13" s="1826"/>
      <c r="PC13" s="1824" t="s">
        <v>2799</v>
      </c>
      <c r="PD13" s="1825"/>
      <c r="PE13" s="1825"/>
      <c r="PF13" s="1826"/>
      <c r="PG13" s="1824" t="s">
        <v>2800</v>
      </c>
      <c r="PH13" s="1825"/>
      <c r="PI13" s="1825"/>
      <c r="PJ13" s="1826"/>
      <c r="PK13" s="1824" t="s">
        <v>2801</v>
      </c>
      <c r="PL13" s="1825"/>
      <c r="PM13" s="1825"/>
      <c r="PN13" s="1826"/>
      <c r="PO13" s="1824" t="s">
        <v>2802</v>
      </c>
      <c r="PP13" s="1825"/>
      <c r="PQ13" s="1825"/>
      <c r="PR13" s="1826"/>
      <c r="PS13" s="1824" t="s">
        <v>2803</v>
      </c>
      <c r="PT13" s="1825"/>
      <c r="PU13" s="1825"/>
      <c r="PV13" s="1826"/>
      <c r="PW13" s="1824" t="s">
        <v>2804</v>
      </c>
      <c r="PX13" s="1825"/>
      <c r="PY13" s="1825"/>
      <c r="PZ13" s="1826"/>
      <c r="QA13" s="1824" t="s">
        <v>2805</v>
      </c>
      <c r="QB13" s="1825"/>
      <c r="QC13" s="1825"/>
      <c r="QD13" s="1826"/>
      <c r="QE13" s="1824" t="s">
        <v>2806</v>
      </c>
      <c r="QF13" s="1825"/>
      <c r="QG13" s="1825"/>
      <c r="QH13" s="1826"/>
      <c r="QI13" s="1824" t="s">
        <v>2807</v>
      </c>
      <c r="QJ13" s="1825"/>
      <c r="QK13" s="1825"/>
      <c r="QL13" s="1826"/>
      <c r="QM13" s="1824" t="s">
        <v>2808</v>
      </c>
      <c r="QN13" s="1825"/>
      <c r="QO13" s="1825"/>
      <c r="QP13" s="1826"/>
      <c r="QQ13" s="1824" t="s">
        <v>2809</v>
      </c>
      <c r="QR13" s="1825"/>
      <c r="QS13" s="1825"/>
      <c r="QT13" s="1826"/>
      <c r="QU13" s="1824" t="s">
        <v>2810</v>
      </c>
      <c r="QV13" s="1825"/>
      <c r="QW13" s="1825"/>
      <c r="QX13" s="1826"/>
      <c r="QY13" s="1824" t="s">
        <v>2811</v>
      </c>
      <c r="QZ13" s="1825"/>
      <c r="RA13" s="1825"/>
      <c r="RB13" s="1826"/>
      <c r="RC13" s="1824" t="s">
        <v>2812</v>
      </c>
      <c r="RD13" s="1825"/>
      <c r="RE13" s="1825"/>
      <c r="RF13" s="1826"/>
      <c r="RG13" s="1824" t="s">
        <v>2813</v>
      </c>
      <c r="RH13" s="1825"/>
      <c r="RI13" s="1825"/>
      <c r="RJ13" s="1826"/>
      <c r="RK13" s="1824" t="s">
        <v>2814</v>
      </c>
      <c r="RL13" s="1825"/>
      <c r="RM13" s="1825"/>
      <c r="RN13" s="1826"/>
      <c r="RO13" s="1824" t="s">
        <v>2815</v>
      </c>
      <c r="RP13" s="1825"/>
      <c r="RQ13" s="1825"/>
      <c r="RR13" s="1826"/>
      <c r="RS13" s="1824" t="s">
        <v>2816</v>
      </c>
      <c r="RT13" s="1825"/>
      <c r="RU13" s="1825"/>
      <c r="RV13" s="1826"/>
      <c r="RW13" s="1824" t="s">
        <v>2817</v>
      </c>
      <c r="RX13" s="1825"/>
      <c r="RY13" s="1825"/>
      <c r="RZ13" s="1826"/>
      <c r="SA13" s="1824" t="s">
        <v>2818</v>
      </c>
      <c r="SB13" s="1825"/>
      <c r="SC13" s="1825"/>
      <c r="SD13" s="1826"/>
      <c r="SE13" s="1824" t="s">
        <v>2819</v>
      </c>
      <c r="SF13" s="1825"/>
      <c r="SG13" s="1825"/>
      <c r="SH13" s="1826"/>
      <c r="SI13" s="1824" t="s">
        <v>2820</v>
      </c>
      <c r="SJ13" s="1825"/>
      <c r="SK13" s="1825"/>
      <c r="SL13" s="1826"/>
      <c r="SM13" s="1824" t="s">
        <v>2821</v>
      </c>
      <c r="SN13" s="1825"/>
      <c r="SO13" s="1825"/>
      <c r="SP13" s="1826"/>
      <c r="SQ13" s="1824" t="s">
        <v>2822</v>
      </c>
      <c r="SR13" s="1825"/>
      <c r="SS13" s="1825"/>
      <c r="ST13" s="1826"/>
      <c r="SU13" s="1824" t="s">
        <v>2823</v>
      </c>
      <c r="SV13" s="1825"/>
      <c r="SW13" s="1825"/>
      <c r="SX13" s="1826"/>
      <c r="SY13" s="1824" t="s">
        <v>2824</v>
      </c>
      <c r="SZ13" s="1825"/>
      <c r="TA13" s="1825"/>
      <c r="TB13" s="1826"/>
      <c r="TC13" s="1824" t="s">
        <v>2825</v>
      </c>
      <c r="TD13" s="1825"/>
      <c r="TE13" s="1825"/>
      <c r="TF13" s="1826"/>
      <c r="TG13" s="1824" t="s">
        <v>2826</v>
      </c>
      <c r="TH13" s="1825"/>
      <c r="TI13" s="1825"/>
      <c r="TJ13" s="1826"/>
      <c r="TK13" s="1824" t="s">
        <v>2827</v>
      </c>
      <c r="TL13" s="1825"/>
      <c r="TM13" s="1825"/>
      <c r="TN13" s="1826"/>
      <c r="TO13" s="1824" t="s">
        <v>2828</v>
      </c>
      <c r="TP13" s="1825"/>
      <c r="TQ13" s="1825"/>
      <c r="TR13" s="1826"/>
      <c r="TS13" s="1824" t="s">
        <v>2829</v>
      </c>
      <c r="TT13" s="1825"/>
      <c r="TU13" s="1825"/>
      <c r="TV13" s="1826"/>
      <c r="TW13" s="1824" t="s">
        <v>2830</v>
      </c>
      <c r="TX13" s="1825"/>
      <c r="TY13" s="1825"/>
      <c r="TZ13" s="1826"/>
      <c r="UA13" s="1824" t="s">
        <v>2831</v>
      </c>
      <c r="UB13" s="1825"/>
      <c r="UC13" s="1825"/>
      <c r="UD13" s="1826"/>
      <c r="UE13" s="1824" t="s">
        <v>2832</v>
      </c>
      <c r="UF13" s="1825"/>
      <c r="UG13" s="1825"/>
      <c r="UH13" s="1826"/>
      <c r="UI13" s="1824" t="s">
        <v>2833</v>
      </c>
      <c r="UJ13" s="1825"/>
      <c r="UK13" s="1825"/>
      <c r="UL13" s="1826"/>
      <c r="UM13" s="1824" t="s">
        <v>2834</v>
      </c>
      <c r="UN13" s="1825"/>
      <c r="UO13" s="1825"/>
      <c r="UP13" s="1826"/>
      <c r="UQ13" s="1824" t="s">
        <v>2835</v>
      </c>
      <c r="UR13" s="1825"/>
      <c r="US13" s="1825"/>
      <c r="UT13" s="1826"/>
      <c r="UU13" s="1824" t="s">
        <v>2836</v>
      </c>
      <c r="UV13" s="1825"/>
      <c r="UW13" s="1825"/>
      <c r="UX13" s="1826"/>
      <c r="UY13" s="1824" t="s">
        <v>2837</v>
      </c>
      <c r="UZ13" s="1825"/>
      <c r="VA13" s="1825"/>
      <c r="VB13" s="1826"/>
      <c r="VC13" s="1824" t="s">
        <v>2838</v>
      </c>
      <c r="VD13" s="1825"/>
      <c r="VE13" s="1825"/>
      <c r="VF13" s="1826"/>
      <c r="VG13" s="1824" t="s">
        <v>2839</v>
      </c>
      <c r="VH13" s="1825"/>
      <c r="VI13" s="1825"/>
      <c r="VJ13" s="1826"/>
      <c r="VK13" s="1824" t="s">
        <v>2840</v>
      </c>
      <c r="VL13" s="1825"/>
      <c r="VM13" s="1825"/>
      <c r="VN13" s="1826"/>
      <c r="VO13" s="1824" t="s">
        <v>2841</v>
      </c>
      <c r="VP13" s="1825"/>
      <c r="VQ13" s="1825"/>
      <c r="VR13" s="1826"/>
      <c r="VS13" s="1824" t="s">
        <v>2842</v>
      </c>
      <c r="VT13" s="1825"/>
      <c r="VU13" s="1825"/>
      <c r="VV13" s="1826"/>
      <c r="VW13" s="1824" t="s">
        <v>2843</v>
      </c>
      <c r="VX13" s="1825"/>
      <c r="VY13" s="1825"/>
      <c r="VZ13" s="1826"/>
      <c r="WA13" s="1824" t="s">
        <v>2844</v>
      </c>
      <c r="WB13" s="1825"/>
      <c r="WC13" s="1825"/>
      <c r="WD13" s="1826"/>
      <c r="WE13" s="1824" t="s">
        <v>2845</v>
      </c>
      <c r="WF13" s="1825"/>
      <c r="WG13" s="1825"/>
      <c r="WH13" s="1826"/>
      <c r="WI13" s="1824" t="s">
        <v>2846</v>
      </c>
      <c r="WJ13" s="1825"/>
      <c r="WK13" s="1825"/>
      <c r="WL13" s="1826"/>
      <c r="WM13" s="1824" t="s">
        <v>2847</v>
      </c>
      <c r="WN13" s="1825"/>
      <c r="WO13" s="1825"/>
      <c r="WP13" s="1826"/>
      <c r="WQ13" s="1824" t="s">
        <v>2848</v>
      </c>
      <c r="WR13" s="1825"/>
      <c r="WS13" s="1825"/>
      <c r="WT13" s="1826"/>
      <c r="WU13" s="1824" t="s">
        <v>2849</v>
      </c>
      <c r="WV13" s="1825"/>
      <c r="WW13" s="1825"/>
      <c r="WX13" s="1826"/>
      <c r="WY13" s="1824" t="s">
        <v>2850</v>
      </c>
      <c r="WZ13" s="1825"/>
      <c r="XA13" s="1825"/>
      <c r="XB13" s="1826"/>
    </row>
    <row r="14" spans="1:627" s="1801" customFormat="1" ht="150" customHeight="1" thickBot="1">
      <c r="A14" s="1832"/>
      <c r="B14" s="1832"/>
      <c r="C14" s="1833"/>
      <c r="D14" s="1833"/>
      <c r="E14" s="1833"/>
      <c r="F14" s="1833"/>
      <c r="G14" s="1832"/>
      <c r="H14" s="1832"/>
      <c r="I14" s="1832"/>
      <c r="J14" s="1834" t="s">
        <v>2851</v>
      </c>
      <c r="K14" s="1835"/>
      <c r="L14" s="1835"/>
      <c r="M14" s="1836"/>
      <c r="N14" s="1834" t="s">
        <v>2852</v>
      </c>
      <c r="O14" s="1835"/>
      <c r="P14" s="1835"/>
      <c r="Q14" s="1836"/>
      <c r="R14" s="1834" t="s">
        <v>2853</v>
      </c>
      <c r="S14" s="1835"/>
      <c r="T14" s="1835"/>
      <c r="U14" s="1836"/>
      <c r="V14" s="1834" t="s">
        <v>2854</v>
      </c>
      <c r="W14" s="1835"/>
      <c r="X14" s="1835"/>
      <c r="Y14" s="1836"/>
      <c r="Z14" s="1834" t="s">
        <v>2855</v>
      </c>
      <c r="AA14" s="1835"/>
      <c r="AB14" s="1835"/>
      <c r="AC14" s="1836"/>
      <c r="AD14" s="1834" t="s">
        <v>2856</v>
      </c>
      <c r="AE14" s="1835"/>
      <c r="AF14" s="1835"/>
      <c r="AG14" s="1836"/>
      <c r="AH14" s="1834" t="s">
        <v>2857</v>
      </c>
      <c r="AI14" s="1835"/>
      <c r="AJ14" s="1835"/>
      <c r="AK14" s="1836"/>
      <c r="AL14" s="1834" t="s">
        <v>2858</v>
      </c>
      <c r="AM14" s="1835"/>
      <c r="AN14" s="1835"/>
      <c r="AO14" s="1836"/>
      <c r="AP14" s="1834" t="s">
        <v>2859</v>
      </c>
      <c r="AQ14" s="1835"/>
      <c r="AR14" s="1835"/>
      <c r="AS14" s="1836"/>
      <c r="AT14" s="1834" t="s">
        <v>2860</v>
      </c>
      <c r="AU14" s="1835"/>
      <c r="AV14" s="1835"/>
      <c r="AW14" s="1836"/>
      <c r="AX14" s="1834" t="s">
        <v>2856</v>
      </c>
      <c r="AY14" s="1835"/>
      <c r="AZ14" s="1835"/>
      <c r="BA14" s="1836"/>
      <c r="BB14" s="1834" t="s">
        <v>2861</v>
      </c>
      <c r="BC14" s="1835"/>
      <c r="BD14" s="1835"/>
      <c r="BE14" s="1836"/>
      <c r="BF14" s="1834" t="s">
        <v>2862</v>
      </c>
      <c r="BG14" s="1835"/>
      <c r="BH14" s="1835"/>
      <c r="BI14" s="1836"/>
      <c r="BJ14" s="1834" t="s">
        <v>2863</v>
      </c>
      <c r="BK14" s="1835"/>
      <c r="BL14" s="1835"/>
      <c r="BM14" s="1836"/>
      <c r="BN14" s="1834" t="s">
        <v>2864</v>
      </c>
      <c r="BO14" s="1835"/>
      <c r="BP14" s="1835"/>
      <c r="BQ14" s="1836"/>
      <c r="BR14" s="1834" t="s">
        <v>2865</v>
      </c>
      <c r="BS14" s="1835"/>
      <c r="BT14" s="1835"/>
      <c r="BU14" s="1836"/>
      <c r="BV14" s="1834" t="s">
        <v>2866</v>
      </c>
      <c r="BW14" s="1835"/>
      <c r="BX14" s="1835"/>
      <c r="BY14" s="1836"/>
      <c r="BZ14" s="1834" t="s">
        <v>2867</v>
      </c>
      <c r="CA14" s="1835"/>
      <c r="CB14" s="1835"/>
      <c r="CC14" s="1836"/>
      <c r="CD14" s="1834" t="s">
        <v>2868</v>
      </c>
      <c r="CE14" s="1835"/>
      <c r="CF14" s="1835"/>
      <c r="CG14" s="1836"/>
      <c r="CH14" s="1834" t="s">
        <v>2869</v>
      </c>
      <c r="CI14" s="1835"/>
      <c r="CJ14" s="1835"/>
      <c r="CK14" s="1836"/>
      <c r="CL14" s="1834" t="s">
        <v>2870</v>
      </c>
      <c r="CM14" s="1835"/>
      <c r="CN14" s="1835"/>
      <c r="CO14" s="1836"/>
      <c r="CP14" s="1834" t="s">
        <v>2871</v>
      </c>
      <c r="CQ14" s="1835"/>
      <c r="CR14" s="1835"/>
      <c r="CS14" s="1836"/>
      <c r="CT14" s="1834" t="s">
        <v>2872</v>
      </c>
      <c r="CU14" s="1835"/>
      <c r="CV14" s="1835"/>
      <c r="CW14" s="1836"/>
      <c r="CX14" s="1834" t="s">
        <v>2873</v>
      </c>
      <c r="CY14" s="1835"/>
      <c r="CZ14" s="1835"/>
      <c r="DA14" s="1836"/>
      <c r="DB14" s="1834" t="s">
        <v>2874</v>
      </c>
      <c r="DC14" s="1835"/>
      <c r="DD14" s="1835"/>
      <c r="DE14" s="1836"/>
      <c r="DF14" s="1834" t="s">
        <v>2875</v>
      </c>
      <c r="DG14" s="1835"/>
      <c r="DH14" s="1835"/>
      <c r="DI14" s="1836"/>
      <c r="DJ14" s="1834" t="s">
        <v>2876</v>
      </c>
      <c r="DK14" s="1835"/>
      <c r="DL14" s="1835"/>
      <c r="DM14" s="1836"/>
      <c r="DN14" s="1834" t="s">
        <v>2877</v>
      </c>
      <c r="DO14" s="1835"/>
      <c r="DP14" s="1835"/>
      <c r="DQ14" s="1836"/>
      <c r="DR14" s="1834" t="s">
        <v>2878</v>
      </c>
      <c r="DS14" s="1835"/>
      <c r="DT14" s="1835"/>
      <c r="DU14" s="1836"/>
      <c r="DV14" s="1834" t="s">
        <v>2879</v>
      </c>
      <c r="DW14" s="1835"/>
      <c r="DX14" s="1835"/>
      <c r="DY14" s="1836"/>
      <c r="DZ14" s="1834" t="s">
        <v>2880</v>
      </c>
      <c r="EA14" s="1835"/>
      <c r="EB14" s="1835"/>
      <c r="EC14" s="1836"/>
      <c r="ED14" s="1834" t="s">
        <v>2881</v>
      </c>
      <c r="EE14" s="1835"/>
      <c r="EF14" s="1835"/>
      <c r="EG14" s="1836"/>
      <c r="EH14" s="1834" t="s">
        <v>2882</v>
      </c>
      <c r="EI14" s="1835"/>
      <c r="EJ14" s="1835"/>
      <c r="EK14" s="1836"/>
      <c r="EL14" s="1834" t="s">
        <v>2883</v>
      </c>
      <c r="EM14" s="1835"/>
      <c r="EN14" s="1835"/>
      <c r="EO14" s="1836"/>
      <c r="EP14" s="1834" t="s">
        <v>2884</v>
      </c>
      <c r="EQ14" s="1835"/>
      <c r="ER14" s="1835"/>
      <c r="ES14" s="1836"/>
      <c r="ET14" s="1834" t="s">
        <v>2885</v>
      </c>
      <c r="EU14" s="1835"/>
      <c r="EV14" s="1835"/>
      <c r="EW14" s="1836"/>
      <c r="EX14" s="1834" t="s">
        <v>2886</v>
      </c>
      <c r="EY14" s="1835"/>
      <c r="EZ14" s="1835"/>
      <c r="FA14" s="1836"/>
      <c r="FB14" s="1834" t="s">
        <v>2887</v>
      </c>
      <c r="FC14" s="1835"/>
      <c r="FD14" s="1835"/>
      <c r="FE14" s="1836"/>
      <c r="FF14" s="1834" t="s">
        <v>2888</v>
      </c>
      <c r="FG14" s="1835"/>
      <c r="FH14" s="1835"/>
      <c r="FI14" s="1836"/>
      <c r="FJ14" s="1834" t="s">
        <v>2889</v>
      </c>
      <c r="FK14" s="1835"/>
      <c r="FL14" s="1835"/>
      <c r="FM14" s="1836"/>
      <c r="FN14" s="1834" t="s">
        <v>2890</v>
      </c>
      <c r="FO14" s="1835"/>
      <c r="FP14" s="1835"/>
      <c r="FQ14" s="1836"/>
      <c r="FR14" s="1834" t="s">
        <v>2891</v>
      </c>
      <c r="FS14" s="1835"/>
      <c r="FT14" s="1835"/>
      <c r="FU14" s="1836"/>
      <c r="FV14" s="1834" t="s">
        <v>2892</v>
      </c>
      <c r="FW14" s="1835"/>
      <c r="FX14" s="1835"/>
      <c r="FY14" s="1836"/>
      <c r="FZ14" s="1834" t="s">
        <v>2893</v>
      </c>
      <c r="GA14" s="1835"/>
      <c r="GB14" s="1835"/>
      <c r="GC14" s="1836"/>
      <c r="GD14" s="1834" t="s">
        <v>2894</v>
      </c>
      <c r="GE14" s="1835"/>
      <c r="GF14" s="1835"/>
      <c r="GG14" s="1836"/>
      <c r="GH14" s="1834" t="s">
        <v>2895</v>
      </c>
      <c r="GI14" s="1835"/>
      <c r="GJ14" s="1835"/>
      <c r="GK14" s="1836"/>
      <c r="GL14" s="1834" t="s">
        <v>2896</v>
      </c>
      <c r="GM14" s="1835"/>
      <c r="GN14" s="1835"/>
      <c r="GO14" s="1836"/>
      <c r="GP14" s="1834" t="s">
        <v>2897</v>
      </c>
      <c r="GQ14" s="1835"/>
      <c r="GR14" s="1835"/>
      <c r="GS14" s="1836"/>
      <c r="GT14" s="1834" t="s">
        <v>2898</v>
      </c>
      <c r="GU14" s="1835"/>
      <c r="GV14" s="1835"/>
      <c r="GW14" s="1836"/>
      <c r="GX14" s="1834" t="s">
        <v>2899</v>
      </c>
      <c r="GY14" s="1835"/>
      <c r="GZ14" s="1835"/>
      <c r="HA14" s="1836"/>
      <c r="HB14" s="1834" t="s">
        <v>2900</v>
      </c>
      <c r="HC14" s="1835"/>
      <c r="HD14" s="1835"/>
      <c r="HE14" s="1836"/>
      <c r="HF14" s="1834" t="s">
        <v>2901</v>
      </c>
      <c r="HG14" s="1835"/>
      <c r="HH14" s="1835"/>
      <c r="HI14" s="1836"/>
      <c r="HJ14" s="1834" t="s">
        <v>2902</v>
      </c>
      <c r="HK14" s="1835"/>
      <c r="HL14" s="1835"/>
      <c r="HM14" s="1836"/>
      <c r="HN14" s="1834" t="s">
        <v>2903</v>
      </c>
      <c r="HO14" s="1835"/>
      <c r="HP14" s="1835"/>
      <c r="HQ14" s="1836"/>
      <c r="HR14" s="1834" t="s">
        <v>2904</v>
      </c>
      <c r="HS14" s="1835"/>
      <c r="HT14" s="1835"/>
      <c r="HU14" s="1836"/>
      <c r="HV14" s="1834" t="s">
        <v>2905</v>
      </c>
      <c r="HW14" s="1835"/>
      <c r="HX14" s="1835"/>
      <c r="HY14" s="1836"/>
      <c r="HZ14" s="1834" t="s">
        <v>2906</v>
      </c>
      <c r="IA14" s="1835"/>
      <c r="IB14" s="1835"/>
      <c r="IC14" s="1836"/>
      <c r="ID14" s="1834" t="s">
        <v>2907</v>
      </c>
      <c r="IE14" s="1835"/>
      <c r="IF14" s="1835"/>
      <c r="IG14" s="1836"/>
      <c r="IH14" s="1834" t="s">
        <v>2908</v>
      </c>
      <c r="II14" s="1835"/>
      <c r="IJ14" s="1835"/>
      <c r="IK14" s="1836"/>
      <c r="IL14" s="1834" t="s">
        <v>2909</v>
      </c>
      <c r="IM14" s="1835"/>
      <c r="IN14" s="1835"/>
      <c r="IO14" s="1836"/>
      <c r="IP14" s="1834" t="s">
        <v>2910</v>
      </c>
      <c r="IQ14" s="1835"/>
      <c r="IR14" s="1835"/>
      <c r="IS14" s="1836"/>
      <c r="IT14" s="1834" t="s">
        <v>2911</v>
      </c>
      <c r="IU14" s="1835"/>
      <c r="IV14" s="1835"/>
      <c r="IW14" s="1836"/>
      <c r="IX14" s="1834" t="s">
        <v>2912</v>
      </c>
      <c r="IY14" s="1835"/>
      <c r="IZ14" s="1835"/>
      <c r="JA14" s="1836"/>
      <c r="JB14" s="1834" t="s">
        <v>2913</v>
      </c>
      <c r="JC14" s="1835"/>
      <c r="JD14" s="1835"/>
      <c r="JE14" s="1836"/>
      <c r="JF14" s="1834" t="s">
        <v>2914</v>
      </c>
      <c r="JG14" s="1835"/>
      <c r="JH14" s="1835"/>
      <c r="JI14" s="1836"/>
      <c r="JJ14" s="1834" t="s">
        <v>2915</v>
      </c>
      <c r="JK14" s="1835"/>
      <c r="JL14" s="1835"/>
      <c r="JM14" s="1836"/>
      <c r="JN14" s="1834" t="s">
        <v>2916</v>
      </c>
      <c r="JO14" s="1835"/>
      <c r="JP14" s="1835"/>
      <c r="JQ14" s="1836"/>
      <c r="JR14" s="1834" t="s">
        <v>2917</v>
      </c>
      <c r="JS14" s="1835"/>
      <c r="JT14" s="1835"/>
      <c r="JU14" s="1836"/>
      <c r="JV14" s="1834" t="s">
        <v>2918</v>
      </c>
      <c r="JW14" s="1835"/>
      <c r="JX14" s="1835"/>
      <c r="JY14" s="1836"/>
      <c r="JZ14" s="1834" t="s">
        <v>2919</v>
      </c>
      <c r="KA14" s="1835"/>
      <c r="KB14" s="1835"/>
      <c r="KC14" s="1836"/>
      <c r="KD14" s="1834" t="s">
        <v>2920</v>
      </c>
      <c r="KE14" s="1835"/>
      <c r="KF14" s="1835"/>
      <c r="KG14" s="1836"/>
      <c r="KH14" s="1834" t="s">
        <v>2921</v>
      </c>
      <c r="KI14" s="1835"/>
      <c r="KJ14" s="1835"/>
      <c r="KK14" s="1836"/>
      <c r="KL14" s="1834" t="s">
        <v>2922</v>
      </c>
      <c r="KM14" s="1835"/>
      <c r="KN14" s="1835"/>
      <c r="KO14" s="1836"/>
      <c r="KP14" s="1834" t="s">
        <v>2923</v>
      </c>
      <c r="KQ14" s="1835"/>
      <c r="KR14" s="1835"/>
      <c r="KS14" s="1836"/>
      <c r="KT14" s="1834" t="s">
        <v>2924</v>
      </c>
      <c r="KU14" s="1835"/>
      <c r="KV14" s="1835"/>
      <c r="KW14" s="1836"/>
      <c r="KX14" s="1834" t="s">
        <v>2925</v>
      </c>
      <c r="KY14" s="1835"/>
      <c r="KZ14" s="1835"/>
      <c r="LA14" s="1836"/>
      <c r="LB14" s="3009"/>
      <c r="LC14" s="3009"/>
      <c r="LD14" s="3009"/>
      <c r="LE14" s="565"/>
      <c r="LF14" s="3009"/>
      <c r="LG14" s="1833"/>
      <c r="LH14" s="1832"/>
      <c r="LI14" s="1832"/>
      <c r="LJ14" s="1832"/>
      <c r="LK14" s="1834" t="s">
        <v>2851</v>
      </c>
      <c r="LL14" s="1835"/>
      <c r="LM14" s="1835"/>
      <c r="LN14" s="1836"/>
      <c r="LO14" s="1834" t="s">
        <v>2852</v>
      </c>
      <c r="LP14" s="1835"/>
      <c r="LQ14" s="1835"/>
      <c r="LR14" s="1836"/>
      <c r="LS14" s="1834" t="s">
        <v>2853</v>
      </c>
      <c r="LT14" s="1835"/>
      <c r="LU14" s="1835"/>
      <c r="LV14" s="1836"/>
      <c r="LW14" s="1834" t="s">
        <v>2854</v>
      </c>
      <c r="LX14" s="1835"/>
      <c r="LY14" s="1835"/>
      <c r="LZ14" s="1836"/>
      <c r="MA14" s="1834" t="s">
        <v>2855</v>
      </c>
      <c r="MB14" s="1835"/>
      <c r="MC14" s="1835"/>
      <c r="MD14" s="1836"/>
      <c r="ME14" s="1834" t="s">
        <v>2856</v>
      </c>
      <c r="MF14" s="1835"/>
      <c r="MG14" s="1835"/>
      <c r="MH14" s="1836"/>
      <c r="MI14" s="1834" t="s">
        <v>2857</v>
      </c>
      <c r="MJ14" s="1835"/>
      <c r="MK14" s="1835"/>
      <c r="ML14" s="1836"/>
      <c r="MM14" s="1834" t="s">
        <v>2858</v>
      </c>
      <c r="MN14" s="1835"/>
      <c r="MO14" s="1835"/>
      <c r="MP14" s="1836"/>
      <c r="MQ14" s="1834" t="s">
        <v>2859</v>
      </c>
      <c r="MR14" s="1835"/>
      <c r="MS14" s="1835"/>
      <c r="MT14" s="1836"/>
      <c r="MU14" s="1834" t="s">
        <v>2860</v>
      </c>
      <c r="MV14" s="1835"/>
      <c r="MW14" s="1835"/>
      <c r="MX14" s="1836"/>
      <c r="MY14" s="1834" t="s">
        <v>2856</v>
      </c>
      <c r="MZ14" s="1835"/>
      <c r="NA14" s="1835"/>
      <c r="NB14" s="1836"/>
      <c r="NC14" s="1834" t="s">
        <v>2861</v>
      </c>
      <c r="ND14" s="1835"/>
      <c r="NE14" s="1835"/>
      <c r="NF14" s="1836"/>
      <c r="NG14" s="1834" t="s">
        <v>2862</v>
      </c>
      <c r="NH14" s="1835"/>
      <c r="NI14" s="1835"/>
      <c r="NJ14" s="1836"/>
      <c r="NK14" s="1834" t="s">
        <v>2863</v>
      </c>
      <c r="NL14" s="1835"/>
      <c r="NM14" s="1835"/>
      <c r="NN14" s="1836"/>
      <c r="NO14" s="1834" t="s">
        <v>2864</v>
      </c>
      <c r="NP14" s="1835"/>
      <c r="NQ14" s="1835"/>
      <c r="NR14" s="1836"/>
      <c r="NS14" s="1834" t="s">
        <v>2865</v>
      </c>
      <c r="NT14" s="1835"/>
      <c r="NU14" s="1835"/>
      <c r="NV14" s="1836"/>
      <c r="NW14" s="1834" t="s">
        <v>2866</v>
      </c>
      <c r="NX14" s="1835"/>
      <c r="NY14" s="1835"/>
      <c r="NZ14" s="1836"/>
      <c r="OA14" s="1834" t="s">
        <v>2867</v>
      </c>
      <c r="OB14" s="1835"/>
      <c r="OC14" s="1835"/>
      <c r="OD14" s="1836"/>
      <c r="OE14" s="1834" t="s">
        <v>2868</v>
      </c>
      <c r="OF14" s="1835"/>
      <c r="OG14" s="1835"/>
      <c r="OH14" s="1836"/>
      <c r="OI14" s="1834" t="s">
        <v>2869</v>
      </c>
      <c r="OJ14" s="1835"/>
      <c r="OK14" s="1835"/>
      <c r="OL14" s="1836"/>
      <c r="OM14" s="1834" t="s">
        <v>2870</v>
      </c>
      <c r="ON14" s="1835"/>
      <c r="OO14" s="1835"/>
      <c r="OP14" s="1836"/>
      <c r="OQ14" s="1834" t="s">
        <v>2871</v>
      </c>
      <c r="OR14" s="1835"/>
      <c r="OS14" s="1835"/>
      <c r="OT14" s="1836"/>
      <c r="OU14" s="1834" t="s">
        <v>2872</v>
      </c>
      <c r="OV14" s="1835"/>
      <c r="OW14" s="1835"/>
      <c r="OX14" s="1836"/>
      <c r="OY14" s="1834" t="s">
        <v>2926</v>
      </c>
      <c r="OZ14" s="1835"/>
      <c r="PA14" s="1835"/>
      <c r="PB14" s="1836"/>
      <c r="PC14" s="1834" t="s">
        <v>2874</v>
      </c>
      <c r="PD14" s="1835"/>
      <c r="PE14" s="1835"/>
      <c r="PF14" s="1836"/>
      <c r="PG14" s="1834" t="s">
        <v>2875</v>
      </c>
      <c r="PH14" s="1835"/>
      <c r="PI14" s="1835"/>
      <c r="PJ14" s="1836"/>
      <c r="PK14" s="1834" t="s">
        <v>2876</v>
      </c>
      <c r="PL14" s="1835"/>
      <c r="PM14" s="1835"/>
      <c r="PN14" s="1836"/>
      <c r="PO14" s="1834" t="s">
        <v>2877</v>
      </c>
      <c r="PP14" s="1835"/>
      <c r="PQ14" s="1835"/>
      <c r="PR14" s="1836"/>
      <c r="PS14" s="1834" t="s">
        <v>2878</v>
      </c>
      <c r="PT14" s="1835"/>
      <c r="PU14" s="1835"/>
      <c r="PV14" s="1836"/>
      <c r="PW14" s="1834" t="s">
        <v>2879</v>
      </c>
      <c r="PX14" s="1835"/>
      <c r="PY14" s="1835"/>
      <c r="PZ14" s="1836"/>
      <c r="QA14" s="1834" t="s">
        <v>2880</v>
      </c>
      <c r="QB14" s="1835"/>
      <c r="QC14" s="1835"/>
      <c r="QD14" s="1836"/>
      <c r="QE14" s="1834" t="s">
        <v>2881</v>
      </c>
      <c r="QF14" s="1835"/>
      <c r="QG14" s="1835"/>
      <c r="QH14" s="1836"/>
      <c r="QI14" s="1834" t="s">
        <v>2882</v>
      </c>
      <c r="QJ14" s="1835"/>
      <c r="QK14" s="1835"/>
      <c r="QL14" s="1836"/>
      <c r="QM14" s="1834" t="s">
        <v>2883</v>
      </c>
      <c r="QN14" s="1835"/>
      <c r="QO14" s="1835"/>
      <c r="QP14" s="1836"/>
      <c r="QQ14" s="1834" t="s">
        <v>2884</v>
      </c>
      <c r="QR14" s="1835"/>
      <c r="QS14" s="1835"/>
      <c r="QT14" s="1836"/>
      <c r="QU14" s="1834" t="s">
        <v>2885</v>
      </c>
      <c r="QV14" s="1835"/>
      <c r="QW14" s="1835"/>
      <c r="QX14" s="1836"/>
      <c r="QY14" s="1834" t="s">
        <v>2886</v>
      </c>
      <c r="QZ14" s="1835"/>
      <c r="RA14" s="1835"/>
      <c r="RB14" s="1836"/>
      <c r="RC14" s="1834" t="s">
        <v>2887</v>
      </c>
      <c r="RD14" s="1835"/>
      <c r="RE14" s="1835"/>
      <c r="RF14" s="1836"/>
      <c r="RG14" s="1834" t="s">
        <v>2888</v>
      </c>
      <c r="RH14" s="1835"/>
      <c r="RI14" s="1835"/>
      <c r="RJ14" s="1836"/>
      <c r="RK14" s="1834" t="s">
        <v>2889</v>
      </c>
      <c r="RL14" s="1835"/>
      <c r="RM14" s="1835"/>
      <c r="RN14" s="1836"/>
      <c r="RO14" s="1834" t="s">
        <v>2890</v>
      </c>
      <c r="RP14" s="1835"/>
      <c r="RQ14" s="1835"/>
      <c r="RR14" s="1836"/>
      <c r="RS14" s="1834" t="s">
        <v>2891</v>
      </c>
      <c r="RT14" s="1835"/>
      <c r="RU14" s="1835"/>
      <c r="RV14" s="1836"/>
      <c r="RW14" s="1834" t="s">
        <v>2892</v>
      </c>
      <c r="RX14" s="1835"/>
      <c r="RY14" s="1835"/>
      <c r="RZ14" s="1836"/>
      <c r="SA14" s="1834" t="s">
        <v>2893</v>
      </c>
      <c r="SB14" s="1835"/>
      <c r="SC14" s="1835"/>
      <c r="SD14" s="1836"/>
      <c r="SE14" s="1834" t="s">
        <v>2894</v>
      </c>
      <c r="SF14" s="1835"/>
      <c r="SG14" s="1835"/>
      <c r="SH14" s="1836"/>
      <c r="SI14" s="1834" t="s">
        <v>2895</v>
      </c>
      <c r="SJ14" s="1835"/>
      <c r="SK14" s="1835"/>
      <c r="SL14" s="1836"/>
      <c r="SM14" s="1834" t="s">
        <v>2896</v>
      </c>
      <c r="SN14" s="1835"/>
      <c r="SO14" s="1835"/>
      <c r="SP14" s="1836"/>
      <c r="SQ14" s="1834" t="s">
        <v>2897</v>
      </c>
      <c r="SR14" s="1835"/>
      <c r="SS14" s="1835"/>
      <c r="ST14" s="1836"/>
      <c r="SU14" s="1834" t="s">
        <v>2898</v>
      </c>
      <c r="SV14" s="1835"/>
      <c r="SW14" s="1835"/>
      <c r="SX14" s="1836"/>
      <c r="SY14" s="1834" t="s">
        <v>2899</v>
      </c>
      <c r="SZ14" s="1835"/>
      <c r="TA14" s="1835"/>
      <c r="TB14" s="1836"/>
      <c r="TC14" s="1834" t="s">
        <v>2900</v>
      </c>
      <c r="TD14" s="1835"/>
      <c r="TE14" s="1835"/>
      <c r="TF14" s="1836"/>
      <c r="TG14" s="1834" t="s">
        <v>2901</v>
      </c>
      <c r="TH14" s="1835"/>
      <c r="TI14" s="1835"/>
      <c r="TJ14" s="1836"/>
      <c r="TK14" s="1834" t="s">
        <v>2902</v>
      </c>
      <c r="TL14" s="1835"/>
      <c r="TM14" s="1835"/>
      <c r="TN14" s="1836"/>
      <c r="TO14" s="1834" t="s">
        <v>2903</v>
      </c>
      <c r="TP14" s="1835"/>
      <c r="TQ14" s="1835"/>
      <c r="TR14" s="1836"/>
      <c r="TS14" s="1834" t="s">
        <v>2904</v>
      </c>
      <c r="TT14" s="1835"/>
      <c r="TU14" s="1835"/>
      <c r="TV14" s="1836"/>
      <c r="TW14" s="1834" t="s">
        <v>2905</v>
      </c>
      <c r="TX14" s="1835"/>
      <c r="TY14" s="1835"/>
      <c r="TZ14" s="1836"/>
      <c r="UA14" s="1834" t="s">
        <v>2906</v>
      </c>
      <c r="UB14" s="1835"/>
      <c r="UC14" s="1835"/>
      <c r="UD14" s="1836"/>
      <c r="UE14" s="1834" t="s">
        <v>2907</v>
      </c>
      <c r="UF14" s="1835"/>
      <c r="UG14" s="1835"/>
      <c r="UH14" s="1836"/>
      <c r="UI14" s="1834" t="s">
        <v>2908</v>
      </c>
      <c r="UJ14" s="1835"/>
      <c r="UK14" s="1835"/>
      <c r="UL14" s="1836"/>
      <c r="UM14" s="1834" t="s">
        <v>2909</v>
      </c>
      <c r="UN14" s="1835"/>
      <c r="UO14" s="1835"/>
      <c r="UP14" s="1836"/>
      <c r="UQ14" s="1834" t="s">
        <v>2910</v>
      </c>
      <c r="UR14" s="1835"/>
      <c r="US14" s="1835"/>
      <c r="UT14" s="1836"/>
      <c r="UU14" s="1834" t="s">
        <v>2911</v>
      </c>
      <c r="UV14" s="1835"/>
      <c r="UW14" s="1835"/>
      <c r="UX14" s="1836"/>
      <c r="UY14" s="1834" t="s">
        <v>2912</v>
      </c>
      <c r="UZ14" s="1835"/>
      <c r="VA14" s="1835"/>
      <c r="VB14" s="1836"/>
      <c r="VC14" s="1834" t="s">
        <v>2913</v>
      </c>
      <c r="VD14" s="1835"/>
      <c r="VE14" s="1835"/>
      <c r="VF14" s="1836"/>
      <c r="VG14" s="1834" t="s">
        <v>2914</v>
      </c>
      <c r="VH14" s="1835"/>
      <c r="VI14" s="1835"/>
      <c r="VJ14" s="1836"/>
      <c r="VK14" s="1834" t="s">
        <v>2915</v>
      </c>
      <c r="VL14" s="1835"/>
      <c r="VM14" s="1835"/>
      <c r="VN14" s="1836"/>
      <c r="VO14" s="1834" t="s">
        <v>2916</v>
      </c>
      <c r="VP14" s="1835"/>
      <c r="VQ14" s="1835"/>
      <c r="VR14" s="1836"/>
      <c r="VS14" s="1834" t="s">
        <v>2917</v>
      </c>
      <c r="VT14" s="1835"/>
      <c r="VU14" s="1835"/>
      <c r="VV14" s="1836"/>
      <c r="VW14" s="1834" t="s">
        <v>2918</v>
      </c>
      <c r="VX14" s="1835"/>
      <c r="VY14" s="1835"/>
      <c r="VZ14" s="1836"/>
      <c r="WA14" s="1834" t="s">
        <v>2919</v>
      </c>
      <c r="WB14" s="1835"/>
      <c r="WC14" s="1835"/>
      <c r="WD14" s="1836"/>
      <c r="WE14" s="1834" t="s">
        <v>2920</v>
      </c>
      <c r="WF14" s="1835"/>
      <c r="WG14" s="1835"/>
      <c r="WH14" s="1836"/>
      <c r="WI14" s="1834" t="s">
        <v>2921</v>
      </c>
      <c r="WJ14" s="1835"/>
      <c r="WK14" s="1835"/>
      <c r="WL14" s="1836"/>
      <c r="WM14" s="1834" t="s">
        <v>2922</v>
      </c>
      <c r="WN14" s="1835"/>
      <c r="WO14" s="1835"/>
      <c r="WP14" s="1836"/>
      <c r="WQ14" s="1834" t="s">
        <v>2923</v>
      </c>
      <c r="WR14" s="1835"/>
      <c r="WS14" s="1835"/>
      <c r="WT14" s="1836"/>
      <c r="WU14" s="1834" t="s">
        <v>2924</v>
      </c>
      <c r="WV14" s="1835"/>
      <c r="WW14" s="1835"/>
      <c r="WX14" s="1836"/>
      <c r="WY14" s="1834" t="s">
        <v>2925</v>
      </c>
      <c r="WZ14" s="1835"/>
      <c r="XA14" s="1835"/>
      <c r="XB14" s="1836"/>
      <c r="XC14" s="565"/>
    </row>
    <row r="15" spans="1:627" ht="15" customHeight="1">
      <c r="A15" s="1814"/>
      <c r="B15" s="833" t="s">
        <v>155</v>
      </c>
      <c r="C15" s="1837" t="s">
        <v>2927</v>
      </c>
      <c r="D15" s="820" t="s">
        <v>38</v>
      </c>
      <c r="E15" s="820" t="s">
        <v>39</v>
      </c>
      <c r="F15" s="828" t="s">
        <v>2928</v>
      </c>
      <c r="G15" s="828" t="s">
        <v>2929</v>
      </c>
      <c r="H15" s="828" t="s">
        <v>2930</v>
      </c>
      <c r="I15" s="829" t="s">
        <v>2931</v>
      </c>
      <c r="J15" s="1744" t="s">
        <v>2928</v>
      </c>
      <c r="K15" s="1745" t="s">
        <v>2929</v>
      </c>
      <c r="L15" s="1745" t="s">
        <v>2930</v>
      </c>
      <c r="M15" s="1746" t="s">
        <v>2931</v>
      </c>
      <c r="N15" s="1744" t="str">
        <f>$J$15</f>
        <v>2016-17</v>
      </c>
      <c r="O15" s="1745" t="str">
        <f>$K$15</f>
        <v>2017-18</v>
      </c>
      <c r="P15" s="1745" t="str">
        <f>$L$15</f>
        <v>2018-19</v>
      </c>
      <c r="Q15" s="1746" t="str">
        <f>$M$15</f>
        <v>2019-20</v>
      </c>
      <c r="R15" s="1744" t="str">
        <f>$J$15</f>
        <v>2016-17</v>
      </c>
      <c r="S15" s="1745" t="str">
        <f>$K$15</f>
        <v>2017-18</v>
      </c>
      <c r="T15" s="1745" t="str">
        <f>$L$15</f>
        <v>2018-19</v>
      </c>
      <c r="U15" s="1746" t="str">
        <f>$M$15</f>
        <v>2019-20</v>
      </c>
      <c r="V15" s="1744" t="str">
        <f>$J$15</f>
        <v>2016-17</v>
      </c>
      <c r="W15" s="1745" t="str">
        <f>$K$15</f>
        <v>2017-18</v>
      </c>
      <c r="X15" s="1745" t="str">
        <f>$L$15</f>
        <v>2018-19</v>
      </c>
      <c r="Y15" s="1746" t="str">
        <f>$M$15</f>
        <v>2019-20</v>
      </c>
      <c r="Z15" s="1744" t="str">
        <f>$J$15</f>
        <v>2016-17</v>
      </c>
      <c r="AA15" s="1745" t="str">
        <f>$K$15</f>
        <v>2017-18</v>
      </c>
      <c r="AB15" s="1745" t="str">
        <f>$L$15</f>
        <v>2018-19</v>
      </c>
      <c r="AC15" s="1746" t="str">
        <f>$M$15</f>
        <v>2019-20</v>
      </c>
      <c r="AD15" s="1744" t="str">
        <f>$J$15</f>
        <v>2016-17</v>
      </c>
      <c r="AE15" s="1745" t="str">
        <f>$K$15</f>
        <v>2017-18</v>
      </c>
      <c r="AF15" s="1745" t="str">
        <f>$L$15</f>
        <v>2018-19</v>
      </c>
      <c r="AG15" s="1746" t="str">
        <f>$M$15</f>
        <v>2019-20</v>
      </c>
      <c r="AH15" s="1744" t="str">
        <f>$J$15</f>
        <v>2016-17</v>
      </c>
      <c r="AI15" s="1745" t="str">
        <f>$K$15</f>
        <v>2017-18</v>
      </c>
      <c r="AJ15" s="1745" t="str">
        <f>$L$15</f>
        <v>2018-19</v>
      </c>
      <c r="AK15" s="1746" t="str">
        <f>$M$15</f>
        <v>2019-20</v>
      </c>
      <c r="AL15" s="1744" t="str">
        <f>$J$15</f>
        <v>2016-17</v>
      </c>
      <c r="AM15" s="1745" t="str">
        <f>$K$15</f>
        <v>2017-18</v>
      </c>
      <c r="AN15" s="1745" t="str">
        <f>$L$15</f>
        <v>2018-19</v>
      </c>
      <c r="AO15" s="1746" t="str">
        <f>$M$15</f>
        <v>2019-20</v>
      </c>
      <c r="AP15" s="1744" t="str">
        <f>$J$15</f>
        <v>2016-17</v>
      </c>
      <c r="AQ15" s="1745" t="str">
        <f>$K$15</f>
        <v>2017-18</v>
      </c>
      <c r="AR15" s="1745" t="str">
        <f>$L$15</f>
        <v>2018-19</v>
      </c>
      <c r="AS15" s="1746" t="str">
        <f>$M$15</f>
        <v>2019-20</v>
      </c>
      <c r="AT15" s="580" t="str">
        <f>$J$15</f>
        <v>2016-17</v>
      </c>
      <c r="AU15" s="828" t="str">
        <f>$K$15</f>
        <v>2017-18</v>
      </c>
      <c r="AV15" s="828" t="str">
        <f>$L$15</f>
        <v>2018-19</v>
      </c>
      <c r="AW15" s="830" t="str">
        <f>$M$15</f>
        <v>2019-20</v>
      </c>
      <c r="AX15" s="580" t="str">
        <f>$J$15</f>
        <v>2016-17</v>
      </c>
      <c r="AY15" s="828" t="str">
        <f>$K$15</f>
        <v>2017-18</v>
      </c>
      <c r="AZ15" s="828" t="str">
        <f>$L$15</f>
        <v>2018-19</v>
      </c>
      <c r="BA15" s="830" t="str">
        <f>$M$15</f>
        <v>2019-20</v>
      </c>
      <c r="BB15" s="580" t="str">
        <f>$J$15</f>
        <v>2016-17</v>
      </c>
      <c r="BC15" s="828" t="str">
        <f>$K$15</f>
        <v>2017-18</v>
      </c>
      <c r="BD15" s="828" t="str">
        <f>$L$15</f>
        <v>2018-19</v>
      </c>
      <c r="BE15" s="830" t="str">
        <f>$M$15</f>
        <v>2019-20</v>
      </c>
      <c r="BF15" s="580" t="str">
        <f>$J$15</f>
        <v>2016-17</v>
      </c>
      <c r="BG15" s="828" t="str">
        <f>$K$15</f>
        <v>2017-18</v>
      </c>
      <c r="BH15" s="828" t="str">
        <f>$L$15</f>
        <v>2018-19</v>
      </c>
      <c r="BI15" s="830" t="str">
        <f>$M$15</f>
        <v>2019-20</v>
      </c>
      <c r="BJ15" s="580" t="str">
        <f>$J$15</f>
        <v>2016-17</v>
      </c>
      <c r="BK15" s="828" t="str">
        <f>$K$15</f>
        <v>2017-18</v>
      </c>
      <c r="BL15" s="828" t="str">
        <f>$L$15</f>
        <v>2018-19</v>
      </c>
      <c r="BM15" s="830" t="str">
        <f>$M$15</f>
        <v>2019-20</v>
      </c>
      <c r="BN15" s="580" t="str">
        <f>$J$15</f>
        <v>2016-17</v>
      </c>
      <c r="BO15" s="828" t="str">
        <f>$K$15</f>
        <v>2017-18</v>
      </c>
      <c r="BP15" s="828" t="str">
        <f>$L$15</f>
        <v>2018-19</v>
      </c>
      <c r="BQ15" s="830" t="str">
        <f>$M$15</f>
        <v>2019-20</v>
      </c>
      <c r="BR15" s="580" t="str">
        <f>$J$15</f>
        <v>2016-17</v>
      </c>
      <c r="BS15" s="828" t="str">
        <f>$K$15</f>
        <v>2017-18</v>
      </c>
      <c r="BT15" s="828" t="str">
        <f>$L$15</f>
        <v>2018-19</v>
      </c>
      <c r="BU15" s="830" t="str">
        <f>$M$15</f>
        <v>2019-20</v>
      </c>
      <c r="BV15" s="580" t="str">
        <f>$J$15</f>
        <v>2016-17</v>
      </c>
      <c r="BW15" s="828" t="str">
        <f>$K$15</f>
        <v>2017-18</v>
      </c>
      <c r="BX15" s="828" t="str">
        <f>$L$15</f>
        <v>2018-19</v>
      </c>
      <c r="BY15" s="830" t="str">
        <f>$M$15</f>
        <v>2019-20</v>
      </c>
      <c r="BZ15" s="580" t="str">
        <f>$J$15</f>
        <v>2016-17</v>
      </c>
      <c r="CA15" s="828" t="str">
        <f>$K$15</f>
        <v>2017-18</v>
      </c>
      <c r="CB15" s="828" t="str">
        <f>$L$15</f>
        <v>2018-19</v>
      </c>
      <c r="CC15" s="830" t="str">
        <f>$M$15</f>
        <v>2019-20</v>
      </c>
      <c r="CD15" s="580" t="str">
        <f>$J$15</f>
        <v>2016-17</v>
      </c>
      <c r="CE15" s="828" t="str">
        <f>$K$15</f>
        <v>2017-18</v>
      </c>
      <c r="CF15" s="828" t="str">
        <f>$L$15</f>
        <v>2018-19</v>
      </c>
      <c r="CG15" s="830" t="str">
        <f>$M$15</f>
        <v>2019-20</v>
      </c>
      <c r="CH15" s="580" t="str">
        <f>$J$15</f>
        <v>2016-17</v>
      </c>
      <c r="CI15" s="828" t="str">
        <f>$K$15</f>
        <v>2017-18</v>
      </c>
      <c r="CJ15" s="828" t="str">
        <f>$L$15</f>
        <v>2018-19</v>
      </c>
      <c r="CK15" s="830" t="str">
        <f>$M$15</f>
        <v>2019-20</v>
      </c>
      <c r="CL15" s="580" t="str">
        <f>$J$15</f>
        <v>2016-17</v>
      </c>
      <c r="CM15" s="828" t="str">
        <f>$K$15</f>
        <v>2017-18</v>
      </c>
      <c r="CN15" s="828" t="str">
        <f>$L$15</f>
        <v>2018-19</v>
      </c>
      <c r="CO15" s="830" t="str">
        <f>$M$15</f>
        <v>2019-20</v>
      </c>
      <c r="CP15" s="580" t="str">
        <f>$J$15</f>
        <v>2016-17</v>
      </c>
      <c r="CQ15" s="828" t="str">
        <f>$K$15</f>
        <v>2017-18</v>
      </c>
      <c r="CR15" s="828" t="str">
        <f>$L$15</f>
        <v>2018-19</v>
      </c>
      <c r="CS15" s="830" t="str">
        <f>$M$15</f>
        <v>2019-20</v>
      </c>
      <c r="CT15" s="580" t="str">
        <f>$J$15</f>
        <v>2016-17</v>
      </c>
      <c r="CU15" s="828" t="str">
        <f>$K$15</f>
        <v>2017-18</v>
      </c>
      <c r="CV15" s="828" t="str">
        <f>$L$15</f>
        <v>2018-19</v>
      </c>
      <c r="CW15" s="830" t="str">
        <f>$M$15</f>
        <v>2019-20</v>
      </c>
      <c r="CX15" s="580" t="str">
        <f>$J$15</f>
        <v>2016-17</v>
      </c>
      <c r="CY15" s="828" t="str">
        <f>$K$15</f>
        <v>2017-18</v>
      </c>
      <c r="CZ15" s="828" t="str">
        <f>$L$15</f>
        <v>2018-19</v>
      </c>
      <c r="DA15" s="830" t="str">
        <f>$M$15</f>
        <v>2019-20</v>
      </c>
      <c r="DB15" s="580" t="str">
        <f>$J$15</f>
        <v>2016-17</v>
      </c>
      <c r="DC15" s="828" t="str">
        <f>$K$15</f>
        <v>2017-18</v>
      </c>
      <c r="DD15" s="828" t="str">
        <f>$L$15</f>
        <v>2018-19</v>
      </c>
      <c r="DE15" s="830" t="str">
        <f>$M$15</f>
        <v>2019-20</v>
      </c>
      <c r="DF15" s="580" t="str">
        <f>$J$15</f>
        <v>2016-17</v>
      </c>
      <c r="DG15" s="828" t="str">
        <f>$K$15</f>
        <v>2017-18</v>
      </c>
      <c r="DH15" s="828" t="str">
        <f>$L$15</f>
        <v>2018-19</v>
      </c>
      <c r="DI15" s="830" t="str">
        <f>$M$15</f>
        <v>2019-20</v>
      </c>
      <c r="DJ15" s="580" t="str">
        <f>$J$15</f>
        <v>2016-17</v>
      </c>
      <c r="DK15" s="828" t="str">
        <f>$K$15</f>
        <v>2017-18</v>
      </c>
      <c r="DL15" s="828" t="str">
        <f>$L$15</f>
        <v>2018-19</v>
      </c>
      <c r="DM15" s="830" t="str">
        <f>$M$15</f>
        <v>2019-20</v>
      </c>
      <c r="DN15" s="580" t="str">
        <f>$J$15</f>
        <v>2016-17</v>
      </c>
      <c r="DO15" s="828" t="str">
        <f>$K$15</f>
        <v>2017-18</v>
      </c>
      <c r="DP15" s="828" t="str">
        <f>$L$15</f>
        <v>2018-19</v>
      </c>
      <c r="DQ15" s="830" t="str">
        <f>$M$15</f>
        <v>2019-20</v>
      </c>
      <c r="DR15" s="580" t="str">
        <f>$J$15</f>
        <v>2016-17</v>
      </c>
      <c r="DS15" s="828" t="str">
        <f>$K$15</f>
        <v>2017-18</v>
      </c>
      <c r="DT15" s="828" t="str">
        <f>$L$15</f>
        <v>2018-19</v>
      </c>
      <c r="DU15" s="830" t="str">
        <f>$M$15</f>
        <v>2019-20</v>
      </c>
      <c r="DV15" s="580" t="str">
        <f>$J$15</f>
        <v>2016-17</v>
      </c>
      <c r="DW15" s="828" t="str">
        <f>$K$15</f>
        <v>2017-18</v>
      </c>
      <c r="DX15" s="828" t="str">
        <f>$L$15</f>
        <v>2018-19</v>
      </c>
      <c r="DY15" s="830" t="str">
        <f>$M$15</f>
        <v>2019-20</v>
      </c>
      <c r="DZ15" s="580" t="str">
        <f>$J$15</f>
        <v>2016-17</v>
      </c>
      <c r="EA15" s="828" t="str">
        <f>$K$15</f>
        <v>2017-18</v>
      </c>
      <c r="EB15" s="828" t="str">
        <f>$L$15</f>
        <v>2018-19</v>
      </c>
      <c r="EC15" s="830" t="str">
        <f>$M$15</f>
        <v>2019-20</v>
      </c>
      <c r="ED15" s="580" t="str">
        <f>$J$15</f>
        <v>2016-17</v>
      </c>
      <c r="EE15" s="828" t="str">
        <f>$K$15</f>
        <v>2017-18</v>
      </c>
      <c r="EF15" s="828" t="str">
        <f>$L$15</f>
        <v>2018-19</v>
      </c>
      <c r="EG15" s="830" t="str">
        <f>$M$15</f>
        <v>2019-20</v>
      </c>
      <c r="EH15" s="580" t="str">
        <f>$J$15</f>
        <v>2016-17</v>
      </c>
      <c r="EI15" s="828" t="str">
        <f>$K$15</f>
        <v>2017-18</v>
      </c>
      <c r="EJ15" s="828" t="str">
        <f>$L$15</f>
        <v>2018-19</v>
      </c>
      <c r="EK15" s="830" t="str">
        <f>$M$15</f>
        <v>2019-20</v>
      </c>
      <c r="EL15" s="580" t="str">
        <f>$J$15</f>
        <v>2016-17</v>
      </c>
      <c r="EM15" s="828" t="str">
        <f>$K$15</f>
        <v>2017-18</v>
      </c>
      <c r="EN15" s="828" t="str">
        <f>$L$15</f>
        <v>2018-19</v>
      </c>
      <c r="EO15" s="830" t="str">
        <f>$M$15</f>
        <v>2019-20</v>
      </c>
      <c r="EP15" s="580" t="str">
        <f>$J$15</f>
        <v>2016-17</v>
      </c>
      <c r="EQ15" s="828" t="str">
        <f>$K$15</f>
        <v>2017-18</v>
      </c>
      <c r="ER15" s="828" t="str">
        <f>$L$15</f>
        <v>2018-19</v>
      </c>
      <c r="ES15" s="830" t="str">
        <f>$M$15</f>
        <v>2019-20</v>
      </c>
      <c r="ET15" s="580" t="str">
        <f>$J$15</f>
        <v>2016-17</v>
      </c>
      <c r="EU15" s="828" t="str">
        <f>$K$15</f>
        <v>2017-18</v>
      </c>
      <c r="EV15" s="828" t="str">
        <f>$L$15</f>
        <v>2018-19</v>
      </c>
      <c r="EW15" s="830" t="str">
        <f>$M$15</f>
        <v>2019-20</v>
      </c>
      <c r="EX15" s="580" t="str">
        <f>$J$15</f>
        <v>2016-17</v>
      </c>
      <c r="EY15" s="828" t="str">
        <f>$K$15</f>
        <v>2017-18</v>
      </c>
      <c r="EZ15" s="828" t="str">
        <f>$L$15</f>
        <v>2018-19</v>
      </c>
      <c r="FA15" s="830" t="str">
        <f>$M$15</f>
        <v>2019-20</v>
      </c>
      <c r="FB15" s="580" t="str">
        <f>$J$15</f>
        <v>2016-17</v>
      </c>
      <c r="FC15" s="828" t="str">
        <f>$K$15</f>
        <v>2017-18</v>
      </c>
      <c r="FD15" s="828" t="str">
        <f>$L$15</f>
        <v>2018-19</v>
      </c>
      <c r="FE15" s="830" t="str">
        <f>$M$15</f>
        <v>2019-20</v>
      </c>
      <c r="FF15" s="580" t="str">
        <f>$J$15</f>
        <v>2016-17</v>
      </c>
      <c r="FG15" s="828" t="str">
        <f>$K$15</f>
        <v>2017-18</v>
      </c>
      <c r="FH15" s="828" t="str">
        <f>$L$15</f>
        <v>2018-19</v>
      </c>
      <c r="FI15" s="830" t="str">
        <f>$M$15</f>
        <v>2019-20</v>
      </c>
      <c r="FJ15" s="580" t="str">
        <f>$J$15</f>
        <v>2016-17</v>
      </c>
      <c r="FK15" s="828" t="str">
        <f>$K$15</f>
        <v>2017-18</v>
      </c>
      <c r="FL15" s="828" t="str">
        <f>$L$15</f>
        <v>2018-19</v>
      </c>
      <c r="FM15" s="830" t="str">
        <f>$M$15</f>
        <v>2019-20</v>
      </c>
      <c r="FN15" s="580" t="str">
        <f>$J$15</f>
        <v>2016-17</v>
      </c>
      <c r="FO15" s="828" t="str">
        <f>$K$15</f>
        <v>2017-18</v>
      </c>
      <c r="FP15" s="828" t="str">
        <f>$L$15</f>
        <v>2018-19</v>
      </c>
      <c r="FQ15" s="830" t="str">
        <f>$M$15</f>
        <v>2019-20</v>
      </c>
      <c r="FR15" s="580" t="str">
        <f>$J$15</f>
        <v>2016-17</v>
      </c>
      <c r="FS15" s="828" t="str">
        <f>$K$15</f>
        <v>2017-18</v>
      </c>
      <c r="FT15" s="828" t="str">
        <f>$L$15</f>
        <v>2018-19</v>
      </c>
      <c r="FU15" s="830" t="str">
        <f>$M$15</f>
        <v>2019-20</v>
      </c>
      <c r="FV15" s="580" t="str">
        <f>$J$15</f>
        <v>2016-17</v>
      </c>
      <c r="FW15" s="828" t="str">
        <f>$K$15</f>
        <v>2017-18</v>
      </c>
      <c r="FX15" s="828" t="str">
        <f>$L$15</f>
        <v>2018-19</v>
      </c>
      <c r="FY15" s="830" t="str">
        <f>$M$15</f>
        <v>2019-20</v>
      </c>
      <c r="FZ15" s="580" t="str">
        <f>$J$15</f>
        <v>2016-17</v>
      </c>
      <c r="GA15" s="828" t="str">
        <f>$K$15</f>
        <v>2017-18</v>
      </c>
      <c r="GB15" s="828" t="str">
        <f>$L$15</f>
        <v>2018-19</v>
      </c>
      <c r="GC15" s="830" t="str">
        <f>$M$15</f>
        <v>2019-20</v>
      </c>
      <c r="GD15" s="580" t="str">
        <f>$J$15</f>
        <v>2016-17</v>
      </c>
      <c r="GE15" s="828" t="str">
        <f>$K$15</f>
        <v>2017-18</v>
      </c>
      <c r="GF15" s="828" t="str">
        <f>$L$15</f>
        <v>2018-19</v>
      </c>
      <c r="GG15" s="830" t="str">
        <f>$M$15</f>
        <v>2019-20</v>
      </c>
      <c r="GH15" s="580" t="str">
        <f>$J$15</f>
        <v>2016-17</v>
      </c>
      <c r="GI15" s="828" t="str">
        <f>$K$15</f>
        <v>2017-18</v>
      </c>
      <c r="GJ15" s="828" t="str">
        <f>$L$15</f>
        <v>2018-19</v>
      </c>
      <c r="GK15" s="830" t="str">
        <f>$M$15</f>
        <v>2019-20</v>
      </c>
      <c r="GL15" s="580" t="str">
        <f>$J$15</f>
        <v>2016-17</v>
      </c>
      <c r="GM15" s="828" t="str">
        <f>$K$15</f>
        <v>2017-18</v>
      </c>
      <c r="GN15" s="828" t="str">
        <f>$L$15</f>
        <v>2018-19</v>
      </c>
      <c r="GO15" s="830" t="str">
        <f>$M$15</f>
        <v>2019-20</v>
      </c>
      <c r="GP15" s="580" t="str">
        <f>$J$15</f>
        <v>2016-17</v>
      </c>
      <c r="GQ15" s="828" t="str">
        <f>$K$15</f>
        <v>2017-18</v>
      </c>
      <c r="GR15" s="828" t="str">
        <f>$L$15</f>
        <v>2018-19</v>
      </c>
      <c r="GS15" s="830" t="str">
        <f>$M$15</f>
        <v>2019-20</v>
      </c>
      <c r="GT15" s="580" t="str">
        <f>$J$15</f>
        <v>2016-17</v>
      </c>
      <c r="GU15" s="828" t="str">
        <f>$K$15</f>
        <v>2017-18</v>
      </c>
      <c r="GV15" s="828" t="str">
        <f>$L$15</f>
        <v>2018-19</v>
      </c>
      <c r="GW15" s="830" t="str">
        <f>$M$15</f>
        <v>2019-20</v>
      </c>
      <c r="GX15" s="580" t="str">
        <f>$J$15</f>
        <v>2016-17</v>
      </c>
      <c r="GY15" s="828" t="str">
        <f>$K$15</f>
        <v>2017-18</v>
      </c>
      <c r="GZ15" s="828" t="str">
        <f>$L$15</f>
        <v>2018-19</v>
      </c>
      <c r="HA15" s="830" t="str">
        <f>$M$15</f>
        <v>2019-20</v>
      </c>
      <c r="HB15" s="580" t="str">
        <f>$J$15</f>
        <v>2016-17</v>
      </c>
      <c r="HC15" s="828" t="str">
        <f>$K$15</f>
        <v>2017-18</v>
      </c>
      <c r="HD15" s="828" t="str">
        <f>$L$15</f>
        <v>2018-19</v>
      </c>
      <c r="HE15" s="830" t="str">
        <f>$M$15</f>
        <v>2019-20</v>
      </c>
      <c r="HF15" s="580" t="str">
        <f>$J$15</f>
        <v>2016-17</v>
      </c>
      <c r="HG15" s="828" t="str">
        <f>$K$15</f>
        <v>2017-18</v>
      </c>
      <c r="HH15" s="828" t="str">
        <f>$L$15</f>
        <v>2018-19</v>
      </c>
      <c r="HI15" s="830" t="str">
        <f>$M$15</f>
        <v>2019-20</v>
      </c>
      <c r="HJ15" s="580" t="str">
        <f>$J$15</f>
        <v>2016-17</v>
      </c>
      <c r="HK15" s="828" t="str">
        <f>$K$15</f>
        <v>2017-18</v>
      </c>
      <c r="HL15" s="828" t="str">
        <f>$L$15</f>
        <v>2018-19</v>
      </c>
      <c r="HM15" s="830" t="str">
        <f>$M$15</f>
        <v>2019-20</v>
      </c>
      <c r="HN15" s="580" t="str">
        <f>$J$15</f>
        <v>2016-17</v>
      </c>
      <c r="HO15" s="828" t="str">
        <f>$K$15</f>
        <v>2017-18</v>
      </c>
      <c r="HP15" s="828" t="str">
        <f>$L$15</f>
        <v>2018-19</v>
      </c>
      <c r="HQ15" s="830" t="str">
        <f>$M$15</f>
        <v>2019-20</v>
      </c>
      <c r="HR15" s="580" t="str">
        <f>$J$15</f>
        <v>2016-17</v>
      </c>
      <c r="HS15" s="828" t="str">
        <f>$K$15</f>
        <v>2017-18</v>
      </c>
      <c r="HT15" s="828" t="str">
        <f>$L$15</f>
        <v>2018-19</v>
      </c>
      <c r="HU15" s="830" t="str">
        <f>$M$15</f>
        <v>2019-20</v>
      </c>
      <c r="HV15" s="580" t="str">
        <f>$J$15</f>
        <v>2016-17</v>
      </c>
      <c r="HW15" s="828" t="str">
        <f>$K$15</f>
        <v>2017-18</v>
      </c>
      <c r="HX15" s="828" t="str">
        <f>$L$15</f>
        <v>2018-19</v>
      </c>
      <c r="HY15" s="830" t="str">
        <f>$M$15</f>
        <v>2019-20</v>
      </c>
      <c r="HZ15" s="580" t="str">
        <f>$J$15</f>
        <v>2016-17</v>
      </c>
      <c r="IA15" s="828" t="str">
        <f>$K$15</f>
        <v>2017-18</v>
      </c>
      <c r="IB15" s="828" t="str">
        <f>$L$15</f>
        <v>2018-19</v>
      </c>
      <c r="IC15" s="830" t="str">
        <f>$M$15</f>
        <v>2019-20</v>
      </c>
      <c r="ID15" s="580" t="str">
        <f>$J$15</f>
        <v>2016-17</v>
      </c>
      <c r="IE15" s="828" t="str">
        <f>$K$15</f>
        <v>2017-18</v>
      </c>
      <c r="IF15" s="828" t="str">
        <f>$L$15</f>
        <v>2018-19</v>
      </c>
      <c r="IG15" s="830" t="str">
        <f>$M$15</f>
        <v>2019-20</v>
      </c>
      <c r="IH15" s="580" t="str">
        <f>$J$15</f>
        <v>2016-17</v>
      </c>
      <c r="II15" s="828" t="str">
        <f>$K$15</f>
        <v>2017-18</v>
      </c>
      <c r="IJ15" s="828" t="str">
        <f>$L$15</f>
        <v>2018-19</v>
      </c>
      <c r="IK15" s="830" t="str">
        <f>$M$15</f>
        <v>2019-20</v>
      </c>
      <c r="IL15" s="580" t="str">
        <f>$J$15</f>
        <v>2016-17</v>
      </c>
      <c r="IM15" s="828" t="str">
        <f>$K$15</f>
        <v>2017-18</v>
      </c>
      <c r="IN15" s="828" t="str">
        <f>$L$15</f>
        <v>2018-19</v>
      </c>
      <c r="IO15" s="830" t="str">
        <f>$M$15</f>
        <v>2019-20</v>
      </c>
      <c r="IP15" s="580" t="str">
        <f>$J$15</f>
        <v>2016-17</v>
      </c>
      <c r="IQ15" s="828" t="str">
        <f>$K$15</f>
        <v>2017-18</v>
      </c>
      <c r="IR15" s="828" t="str">
        <f>$L$15</f>
        <v>2018-19</v>
      </c>
      <c r="IS15" s="830" t="str">
        <f>$M$15</f>
        <v>2019-20</v>
      </c>
      <c r="IT15" s="580" t="str">
        <f>$J$15</f>
        <v>2016-17</v>
      </c>
      <c r="IU15" s="828" t="str">
        <f>$K$15</f>
        <v>2017-18</v>
      </c>
      <c r="IV15" s="828" t="str">
        <f>$L$15</f>
        <v>2018-19</v>
      </c>
      <c r="IW15" s="830" t="str">
        <f>$M$15</f>
        <v>2019-20</v>
      </c>
      <c r="IX15" s="580" t="str">
        <f>$J$15</f>
        <v>2016-17</v>
      </c>
      <c r="IY15" s="828" t="str">
        <f>$K$15</f>
        <v>2017-18</v>
      </c>
      <c r="IZ15" s="828" t="str">
        <f>$L$15</f>
        <v>2018-19</v>
      </c>
      <c r="JA15" s="830" t="str">
        <f>$M$15</f>
        <v>2019-20</v>
      </c>
      <c r="JB15" s="580" t="str">
        <f>$J$15</f>
        <v>2016-17</v>
      </c>
      <c r="JC15" s="828" t="str">
        <f>$K$15</f>
        <v>2017-18</v>
      </c>
      <c r="JD15" s="828" t="str">
        <f>$L$15</f>
        <v>2018-19</v>
      </c>
      <c r="JE15" s="830" t="str">
        <f>$M$15</f>
        <v>2019-20</v>
      </c>
      <c r="JF15" s="580" t="str">
        <f>$J$15</f>
        <v>2016-17</v>
      </c>
      <c r="JG15" s="828" t="str">
        <f>$K$15</f>
        <v>2017-18</v>
      </c>
      <c r="JH15" s="828" t="str">
        <f>$L$15</f>
        <v>2018-19</v>
      </c>
      <c r="JI15" s="830" t="str">
        <f>$M$15</f>
        <v>2019-20</v>
      </c>
      <c r="JJ15" s="580" t="str">
        <f>$J$15</f>
        <v>2016-17</v>
      </c>
      <c r="JK15" s="828" t="str">
        <f>$K$15</f>
        <v>2017-18</v>
      </c>
      <c r="JL15" s="828" t="str">
        <f>$L$15</f>
        <v>2018-19</v>
      </c>
      <c r="JM15" s="830" t="str">
        <f>$M$15</f>
        <v>2019-20</v>
      </c>
      <c r="JN15" s="580" t="str">
        <f>$J$15</f>
        <v>2016-17</v>
      </c>
      <c r="JO15" s="828" t="str">
        <f>$K$15</f>
        <v>2017-18</v>
      </c>
      <c r="JP15" s="828" t="str">
        <f>$L$15</f>
        <v>2018-19</v>
      </c>
      <c r="JQ15" s="830" t="str">
        <f>$M$15</f>
        <v>2019-20</v>
      </c>
      <c r="JR15" s="580" t="str">
        <f>$J$15</f>
        <v>2016-17</v>
      </c>
      <c r="JS15" s="828" t="str">
        <f>$K$15</f>
        <v>2017-18</v>
      </c>
      <c r="JT15" s="828" t="str">
        <f>$L$15</f>
        <v>2018-19</v>
      </c>
      <c r="JU15" s="830" t="str">
        <f>$M$15</f>
        <v>2019-20</v>
      </c>
      <c r="JV15" s="580" t="str">
        <f>$J$15</f>
        <v>2016-17</v>
      </c>
      <c r="JW15" s="828" t="str">
        <f>$K$15</f>
        <v>2017-18</v>
      </c>
      <c r="JX15" s="828" t="str">
        <f>$L$15</f>
        <v>2018-19</v>
      </c>
      <c r="JY15" s="830" t="str">
        <f>$M$15</f>
        <v>2019-20</v>
      </c>
      <c r="JZ15" s="580" t="str">
        <f>$J$15</f>
        <v>2016-17</v>
      </c>
      <c r="KA15" s="828" t="str">
        <f>$K$15</f>
        <v>2017-18</v>
      </c>
      <c r="KB15" s="828" t="str">
        <f>$L$15</f>
        <v>2018-19</v>
      </c>
      <c r="KC15" s="830" t="str">
        <f>$M$15</f>
        <v>2019-20</v>
      </c>
      <c r="KD15" s="580" t="str">
        <f>$J$15</f>
        <v>2016-17</v>
      </c>
      <c r="KE15" s="828" t="str">
        <f>$K$15</f>
        <v>2017-18</v>
      </c>
      <c r="KF15" s="828" t="str">
        <f>$L$15</f>
        <v>2018-19</v>
      </c>
      <c r="KG15" s="830" t="str">
        <f>$M$15</f>
        <v>2019-20</v>
      </c>
      <c r="KH15" s="580" t="str">
        <f>$J$15</f>
        <v>2016-17</v>
      </c>
      <c r="KI15" s="828" t="str">
        <f>$K$15</f>
        <v>2017-18</v>
      </c>
      <c r="KJ15" s="828" t="str">
        <f>$L$15</f>
        <v>2018-19</v>
      </c>
      <c r="KK15" s="830" t="str">
        <f>$M$15</f>
        <v>2019-20</v>
      </c>
      <c r="KL15" s="580" t="str">
        <f>$J$15</f>
        <v>2016-17</v>
      </c>
      <c r="KM15" s="828" t="str">
        <f>$K$15</f>
        <v>2017-18</v>
      </c>
      <c r="KN15" s="828" t="str">
        <f>$L$15</f>
        <v>2018-19</v>
      </c>
      <c r="KO15" s="830" t="str">
        <f>$M$15</f>
        <v>2019-20</v>
      </c>
      <c r="KP15" s="580" t="str">
        <f>$J$15</f>
        <v>2016-17</v>
      </c>
      <c r="KQ15" s="828" t="str">
        <f>$K$15</f>
        <v>2017-18</v>
      </c>
      <c r="KR15" s="828" t="str">
        <f>$L$15</f>
        <v>2018-19</v>
      </c>
      <c r="KS15" s="830" t="str">
        <f>$M$15</f>
        <v>2019-20</v>
      </c>
      <c r="KT15" s="580" t="str">
        <f>$J$15</f>
        <v>2016-17</v>
      </c>
      <c r="KU15" s="828" t="str">
        <f>$K$15</f>
        <v>2017-18</v>
      </c>
      <c r="KV15" s="828" t="str">
        <f>$L$15</f>
        <v>2018-19</v>
      </c>
      <c r="KW15" s="830" t="str">
        <f>$M$15</f>
        <v>2019-20</v>
      </c>
      <c r="KX15" s="580" t="str">
        <f>$J$15</f>
        <v>2016-17</v>
      </c>
      <c r="KY15" s="828" t="str">
        <f>$K$15</f>
        <v>2017-18</v>
      </c>
      <c r="KZ15" s="828" t="str">
        <f>$L$15</f>
        <v>2018-19</v>
      </c>
      <c r="LA15" s="830" t="str">
        <f>$M$15</f>
        <v>2019-20</v>
      </c>
      <c r="LF15" s="1837" t="s">
        <v>2927</v>
      </c>
      <c r="LG15" s="828" t="s">
        <v>2928</v>
      </c>
      <c r="LH15" s="828" t="s">
        <v>2929</v>
      </c>
      <c r="LI15" s="828" t="s">
        <v>2930</v>
      </c>
      <c r="LJ15" s="829" t="s">
        <v>2931</v>
      </c>
      <c r="LK15" s="1744" t="s">
        <v>2928</v>
      </c>
      <c r="LL15" s="1745" t="s">
        <v>2929</v>
      </c>
      <c r="LM15" s="1745" t="s">
        <v>2930</v>
      </c>
      <c r="LN15" s="1746" t="s">
        <v>2931</v>
      </c>
      <c r="LO15" s="1744" t="str">
        <f>$J$15</f>
        <v>2016-17</v>
      </c>
      <c r="LP15" s="1745" t="str">
        <f>$K$15</f>
        <v>2017-18</v>
      </c>
      <c r="LQ15" s="1745" t="str">
        <f>$L$15</f>
        <v>2018-19</v>
      </c>
      <c r="LR15" s="1746" t="str">
        <f>$M$15</f>
        <v>2019-20</v>
      </c>
      <c r="LS15" s="1744" t="str">
        <f>$J$15</f>
        <v>2016-17</v>
      </c>
      <c r="LT15" s="1745" t="str">
        <f>$K$15</f>
        <v>2017-18</v>
      </c>
      <c r="LU15" s="1745" t="str">
        <f>$L$15</f>
        <v>2018-19</v>
      </c>
      <c r="LV15" s="1746" t="str">
        <f>$M$15</f>
        <v>2019-20</v>
      </c>
      <c r="LW15" s="1744" t="str">
        <f>$J$15</f>
        <v>2016-17</v>
      </c>
      <c r="LX15" s="1745" t="str">
        <f>$K$15</f>
        <v>2017-18</v>
      </c>
      <c r="LY15" s="1745" t="str">
        <f>$L$15</f>
        <v>2018-19</v>
      </c>
      <c r="LZ15" s="1746" t="str">
        <f>$M$15</f>
        <v>2019-20</v>
      </c>
      <c r="MA15" s="1744" t="str">
        <f>$J$15</f>
        <v>2016-17</v>
      </c>
      <c r="MB15" s="1745" t="str">
        <f>$K$15</f>
        <v>2017-18</v>
      </c>
      <c r="MC15" s="1745" t="str">
        <f>$L$15</f>
        <v>2018-19</v>
      </c>
      <c r="MD15" s="1746" t="str">
        <f>$M$15</f>
        <v>2019-20</v>
      </c>
      <c r="ME15" s="1744" t="str">
        <f>$J$15</f>
        <v>2016-17</v>
      </c>
      <c r="MF15" s="1745" t="str">
        <f>$K$15</f>
        <v>2017-18</v>
      </c>
      <c r="MG15" s="1745" t="str">
        <f>$L$15</f>
        <v>2018-19</v>
      </c>
      <c r="MH15" s="1746" t="str">
        <f>$M$15</f>
        <v>2019-20</v>
      </c>
      <c r="MI15" s="1744" t="str">
        <f>$J$15</f>
        <v>2016-17</v>
      </c>
      <c r="MJ15" s="1745" t="str">
        <f>$K$15</f>
        <v>2017-18</v>
      </c>
      <c r="MK15" s="1745" t="str">
        <f>$L$15</f>
        <v>2018-19</v>
      </c>
      <c r="ML15" s="1746" t="str">
        <f>$M$15</f>
        <v>2019-20</v>
      </c>
      <c r="MM15" s="1744" t="str">
        <f>$J$15</f>
        <v>2016-17</v>
      </c>
      <c r="MN15" s="1745" t="str">
        <f>$K$15</f>
        <v>2017-18</v>
      </c>
      <c r="MO15" s="1745" t="str">
        <f>$L$15</f>
        <v>2018-19</v>
      </c>
      <c r="MP15" s="1746" t="str">
        <f>$M$15</f>
        <v>2019-20</v>
      </c>
      <c r="MQ15" s="1744" t="str">
        <f>$J$15</f>
        <v>2016-17</v>
      </c>
      <c r="MR15" s="1745" t="str">
        <f>$K$15</f>
        <v>2017-18</v>
      </c>
      <c r="MS15" s="1745" t="str">
        <f>$L$15</f>
        <v>2018-19</v>
      </c>
      <c r="MT15" s="1746" t="str">
        <f>$M$15</f>
        <v>2019-20</v>
      </c>
      <c r="MU15" s="580" t="str">
        <f>$J$15</f>
        <v>2016-17</v>
      </c>
      <c r="MV15" s="828" t="str">
        <f>$K$15</f>
        <v>2017-18</v>
      </c>
      <c r="MW15" s="828" t="str">
        <f>$L$15</f>
        <v>2018-19</v>
      </c>
      <c r="MX15" s="830" t="str">
        <f>$M$15</f>
        <v>2019-20</v>
      </c>
      <c r="MY15" s="580" t="str">
        <f>$J$15</f>
        <v>2016-17</v>
      </c>
      <c r="MZ15" s="828" t="str">
        <f>$K$15</f>
        <v>2017-18</v>
      </c>
      <c r="NA15" s="828" t="str">
        <f>$L$15</f>
        <v>2018-19</v>
      </c>
      <c r="NB15" s="830" t="str">
        <f>$M$15</f>
        <v>2019-20</v>
      </c>
      <c r="NC15" s="580" t="str">
        <f>$J$15</f>
        <v>2016-17</v>
      </c>
      <c r="ND15" s="828" t="str">
        <f>$K$15</f>
        <v>2017-18</v>
      </c>
      <c r="NE15" s="828" t="str">
        <f>$L$15</f>
        <v>2018-19</v>
      </c>
      <c r="NF15" s="830" t="str">
        <f>$M$15</f>
        <v>2019-20</v>
      </c>
      <c r="NG15" s="580" t="str">
        <f>$J$15</f>
        <v>2016-17</v>
      </c>
      <c r="NH15" s="828" t="str">
        <f>$K$15</f>
        <v>2017-18</v>
      </c>
      <c r="NI15" s="828" t="str">
        <f>$L$15</f>
        <v>2018-19</v>
      </c>
      <c r="NJ15" s="830" t="str">
        <f>$M$15</f>
        <v>2019-20</v>
      </c>
      <c r="NK15" s="580" t="str">
        <f>$J$15</f>
        <v>2016-17</v>
      </c>
      <c r="NL15" s="828" t="str">
        <f>$K$15</f>
        <v>2017-18</v>
      </c>
      <c r="NM15" s="828" t="str">
        <f>$L$15</f>
        <v>2018-19</v>
      </c>
      <c r="NN15" s="830" t="str">
        <f>$M$15</f>
        <v>2019-20</v>
      </c>
      <c r="NO15" s="580" t="str">
        <f>$J$15</f>
        <v>2016-17</v>
      </c>
      <c r="NP15" s="828" t="str">
        <f>$K$15</f>
        <v>2017-18</v>
      </c>
      <c r="NQ15" s="828" t="str">
        <f>$L$15</f>
        <v>2018-19</v>
      </c>
      <c r="NR15" s="830" t="str">
        <f>$M$15</f>
        <v>2019-20</v>
      </c>
      <c r="NS15" s="580" t="str">
        <f>$J$15</f>
        <v>2016-17</v>
      </c>
      <c r="NT15" s="828" t="str">
        <f>$K$15</f>
        <v>2017-18</v>
      </c>
      <c r="NU15" s="828" t="str">
        <f>$L$15</f>
        <v>2018-19</v>
      </c>
      <c r="NV15" s="830" t="str">
        <f>$M$15</f>
        <v>2019-20</v>
      </c>
      <c r="NW15" s="580" t="str">
        <f>$J$15</f>
        <v>2016-17</v>
      </c>
      <c r="NX15" s="828" t="str">
        <f>$K$15</f>
        <v>2017-18</v>
      </c>
      <c r="NY15" s="828" t="str">
        <f>$L$15</f>
        <v>2018-19</v>
      </c>
      <c r="NZ15" s="830" t="str">
        <f>$M$15</f>
        <v>2019-20</v>
      </c>
      <c r="OA15" s="580" t="str">
        <f>$J$15</f>
        <v>2016-17</v>
      </c>
      <c r="OB15" s="828" t="str">
        <f>$K$15</f>
        <v>2017-18</v>
      </c>
      <c r="OC15" s="828" t="str">
        <f>$L$15</f>
        <v>2018-19</v>
      </c>
      <c r="OD15" s="830" t="str">
        <f>$M$15</f>
        <v>2019-20</v>
      </c>
      <c r="OE15" s="580" t="str">
        <f>$J$15</f>
        <v>2016-17</v>
      </c>
      <c r="OF15" s="828" t="str">
        <f>$K$15</f>
        <v>2017-18</v>
      </c>
      <c r="OG15" s="828" t="str">
        <f>$L$15</f>
        <v>2018-19</v>
      </c>
      <c r="OH15" s="830" t="str">
        <f>$M$15</f>
        <v>2019-20</v>
      </c>
      <c r="OI15" s="580" t="str">
        <f>$J$15</f>
        <v>2016-17</v>
      </c>
      <c r="OJ15" s="828" t="str">
        <f>$K$15</f>
        <v>2017-18</v>
      </c>
      <c r="OK15" s="828" t="str">
        <f>$L$15</f>
        <v>2018-19</v>
      </c>
      <c r="OL15" s="830" t="str">
        <f>$M$15</f>
        <v>2019-20</v>
      </c>
      <c r="OM15" s="580" t="str">
        <f>$J$15</f>
        <v>2016-17</v>
      </c>
      <c r="ON15" s="828" t="str">
        <f>$K$15</f>
        <v>2017-18</v>
      </c>
      <c r="OO15" s="828" t="str">
        <f>$L$15</f>
        <v>2018-19</v>
      </c>
      <c r="OP15" s="830" t="str">
        <f>$M$15</f>
        <v>2019-20</v>
      </c>
      <c r="OQ15" s="580" t="str">
        <f>$J$15</f>
        <v>2016-17</v>
      </c>
      <c r="OR15" s="828" t="str">
        <f>$K$15</f>
        <v>2017-18</v>
      </c>
      <c r="OS15" s="828" t="str">
        <f>$L$15</f>
        <v>2018-19</v>
      </c>
      <c r="OT15" s="830" t="str">
        <f>$M$15</f>
        <v>2019-20</v>
      </c>
      <c r="OU15" s="580" t="str">
        <f>$J$15</f>
        <v>2016-17</v>
      </c>
      <c r="OV15" s="828" t="str">
        <f>$K$15</f>
        <v>2017-18</v>
      </c>
      <c r="OW15" s="828" t="str">
        <f>$L$15</f>
        <v>2018-19</v>
      </c>
      <c r="OX15" s="830" t="str">
        <f>$M$15</f>
        <v>2019-20</v>
      </c>
      <c r="OY15" s="580" t="str">
        <f>$J$15</f>
        <v>2016-17</v>
      </c>
      <c r="OZ15" s="828" t="str">
        <f>$K$15</f>
        <v>2017-18</v>
      </c>
      <c r="PA15" s="828" t="str">
        <f>$L$15</f>
        <v>2018-19</v>
      </c>
      <c r="PB15" s="830" t="str">
        <f>$M$15</f>
        <v>2019-20</v>
      </c>
      <c r="PC15" s="580" t="str">
        <f>$J$15</f>
        <v>2016-17</v>
      </c>
      <c r="PD15" s="828" t="str">
        <f>$K$15</f>
        <v>2017-18</v>
      </c>
      <c r="PE15" s="828" t="str">
        <f>$L$15</f>
        <v>2018-19</v>
      </c>
      <c r="PF15" s="830" t="str">
        <f>$M$15</f>
        <v>2019-20</v>
      </c>
      <c r="PG15" s="580" t="str">
        <f>$J$15</f>
        <v>2016-17</v>
      </c>
      <c r="PH15" s="828" t="str">
        <f>$K$15</f>
        <v>2017-18</v>
      </c>
      <c r="PI15" s="828" t="str">
        <f>$L$15</f>
        <v>2018-19</v>
      </c>
      <c r="PJ15" s="830" t="str">
        <f>$M$15</f>
        <v>2019-20</v>
      </c>
      <c r="PK15" s="580" t="str">
        <f>$J$15</f>
        <v>2016-17</v>
      </c>
      <c r="PL15" s="828" t="str">
        <f>$K$15</f>
        <v>2017-18</v>
      </c>
      <c r="PM15" s="828" t="str">
        <f>$L$15</f>
        <v>2018-19</v>
      </c>
      <c r="PN15" s="830" t="str">
        <f>$M$15</f>
        <v>2019-20</v>
      </c>
      <c r="PO15" s="580" t="str">
        <f>$J$15</f>
        <v>2016-17</v>
      </c>
      <c r="PP15" s="828" t="str">
        <f>$K$15</f>
        <v>2017-18</v>
      </c>
      <c r="PQ15" s="828" t="str">
        <f>$L$15</f>
        <v>2018-19</v>
      </c>
      <c r="PR15" s="830" t="str">
        <f>$M$15</f>
        <v>2019-20</v>
      </c>
      <c r="PS15" s="580" t="str">
        <f>$J$15</f>
        <v>2016-17</v>
      </c>
      <c r="PT15" s="828" t="str">
        <f>$K$15</f>
        <v>2017-18</v>
      </c>
      <c r="PU15" s="828" t="str">
        <f>$L$15</f>
        <v>2018-19</v>
      </c>
      <c r="PV15" s="830" t="str">
        <f>$M$15</f>
        <v>2019-20</v>
      </c>
      <c r="PW15" s="580" t="str">
        <f>$J$15</f>
        <v>2016-17</v>
      </c>
      <c r="PX15" s="828" t="str">
        <f>$K$15</f>
        <v>2017-18</v>
      </c>
      <c r="PY15" s="828" t="str">
        <f>$L$15</f>
        <v>2018-19</v>
      </c>
      <c r="PZ15" s="830" t="str">
        <f>$M$15</f>
        <v>2019-20</v>
      </c>
      <c r="QA15" s="580" t="str">
        <f>$J$15</f>
        <v>2016-17</v>
      </c>
      <c r="QB15" s="828" t="str">
        <f>$K$15</f>
        <v>2017-18</v>
      </c>
      <c r="QC15" s="828" t="str">
        <f>$L$15</f>
        <v>2018-19</v>
      </c>
      <c r="QD15" s="830" t="str">
        <f>$M$15</f>
        <v>2019-20</v>
      </c>
      <c r="QE15" s="580" t="str">
        <f>$J$15</f>
        <v>2016-17</v>
      </c>
      <c r="QF15" s="828" t="str">
        <f>$K$15</f>
        <v>2017-18</v>
      </c>
      <c r="QG15" s="828" t="str">
        <f>$L$15</f>
        <v>2018-19</v>
      </c>
      <c r="QH15" s="830" t="str">
        <f>$M$15</f>
        <v>2019-20</v>
      </c>
      <c r="QI15" s="580" t="str">
        <f>$J$15</f>
        <v>2016-17</v>
      </c>
      <c r="QJ15" s="828" t="str">
        <f>$K$15</f>
        <v>2017-18</v>
      </c>
      <c r="QK15" s="828" t="str">
        <f>$L$15</f>
        <v>2018-19</v>
      </c>
      <c r="QL15" s="830" t="str">
        <f>$M$15</f>
        <v>2019-20</v>
      </c>
      <c r="QM15" s="580" t="str">
        <f>$J$15</f>
        <v>2016-17</v>
      </c>
      <c r="QN15" s="828" t="str">
        <f>$K$15</f>
        <v>2017-18</v>
      </c>
      <c r="QO15" s="828" t="str">
        <f>$L$15</f>
        <v>2018-19</v>
      </c>
      <c r="QP15" s="830" t="str">
        <f>$M$15</f>
        <v>2019-20</v>
      </c>
      <c r="QQ15" s="580" t="str">
        <f>$J$15</f>
        <v>2016-17</v>
      </c>
      <c r="QR15" s="828" t="str">
        <f>$K$15</f>
        <v>2017-18</v>
      </c>
      <c r="QS15" s="828" t="str">
        <f>$L$15</f>
        <v>2018-19</v>
      </c>
      <c r="QT15" s="830" t="str">
        <f>$M$15</f>
        <v>2019-20</v>
      </c>
      <c r="QU15" s="580" t="str">
        <f>$J$15</f>
        <v>2016-17</v>
      </c>
      <c r="QV15" s="828" t="str">
        <f>$K$15</f>
        <v>2017-18</v>
      </c>
      <c r="QW15" s="828" t="str">
        <f>$L$15</f>
        <v>2018-19</v>
      </c>
      <c r="QX15" s="830" t="str">
        <f>$M$15</f>
        <v>2019-20</v>
      </c>
      <c r="QY15" s="580" t="str">
        <f>$J$15</f>
        <v>2016-17</v>
      </c>
      <c r="QZ15" s="828" t="str">
        <f>$K$15</f>
        <v>2017-18</v>
      </c>
      <c r="RA15" s="828" t="str">
        <f>$L$15</f>
        <v>2018-19</v>
      </c>
      <c r="RB15" s="830" t="str">
        <f>$M$15</f>
        <v>2019-20</v>
      </c>
      <c r="RC15" s="580" t="str">
        <f>$J$15</f>
        <v>2016-17</v>
      </c>
      <c r="RD15" s="828" t="str">
        <f>$K$15</f>
        <v>2017-18</v>
      </c>
      <c r="RE15" s="828" t="str">
        <f>$L$15</f>
        <v>2018-19</v>
      </c>
      <c r="RF15" s="830" t="str">
        <f>$M$15</f>
        <v>2019-20</v>
      </c>
      <c r="RG15" s="580" t="str">
        <f>$J$15</f>
        <v>2016-17</v>
      </c>
      <c r="RH15" s="828" t="str">
        <f>$K$15</f>
        <v>2017-18</v>
      </c>
      <c r="RI15" s="828" t="str">
        <f>$L$15</f>
        <v>2018-19</v>
      </c>
      <c r="RJ15" s="830" t="str">
        <f>$M$15</f>
        <v>2019-20</v>
      </c>
      <c r="RK15" s="580" t="str">
        <f>$J$15</f>
        <v>2016-17</v>
      </c>
      <c r="RL15" s="828" t="str">
        <f>$K$15</f>
        <v>2017-18</v>
      </c>
      <c r="RM15" s="828" t="str">
        <f>$L$15</f>
        <v>2018-19</v>
      </c>
      <c r="RN15" s="830" t="str">
        <f>$M$15</f>
        <v>2019-20</v>
      </c>
      <c r="RO15" s="580" t="str">
        <f>$J$15</f>
        <v>2016-17</v>
      </c>
      <c r="RP15" s="828" t="str">
        <f>$K$15</f>
        <v>2017-18</v>
      </c>
      <c r="RQ15" s="828" t="str">
        <f>$L$15</f>
        <v>2018-19</v>
      </c>
      <c r="RR15" s="830" t="str">
        <f>$M$15</f>
        <v>2019-20</v>
      </c>
      <c r="RS15" s="580" t="str">
        <f>$J$15</f>
        <v>2016-17</v>
      </c>
      <c r="RT15" s="828" t="str">
        <f>$K$15</f>
        <v>2017-18</v>
      </c>
      <c r="RU15" s="828" t="str">
        <f>$L$15</f>
        <v>2018-19</v>
      </c>
      <c r="RV15" s="830" t="str">
        <f>$M$15</f>
        <v>2019-20</v>
      </c>
      <c r="RW15" s="580" t="str">
        <f>$J$15</f>
        <v>2016-17</v>
      </c>
      <c r="RX15" s="828" t="str">
        <f>$K$15</f>
        <v>2017-18</v>
      </c>
      <c r="RY15" s="828" t="str">
        <f>$L$15</f>
        <v>2018-19</v>
      </c>
      <c r="RZ15" s="830" t="str">
        <f>$M$15</f>
        <v>2019-20</v>
      </c>
      <c r="SA15" s="580" t="str">
        <f>$J$15</f>
        <v>2016-17</v>
      </c>
      <c r="SB15" s="828" t="str">
        <f>$K$15</f>
        <v>2017-18</v>
      </c>
      <c r="SC15" s="828" t="str">
        <f>$L$15</f>
        <v>2018-19</v>
      </c>
      <c r="SD15" s="830" t="str">
        <f>$M$15</f>
        <v>2019-20</v>
      </c>
      <c r="SE15" s="580" t="str">
        <f>$J$15</f>
        <v>2016-17</v>
      </c>
      <c r="SF15" s="828" t="str">
        <f>$K$15</f>
        <v>2017-18</v>
      </c>
      <c r="SG15" s="828" t="str">
        <f>$L$15</f>
        <v>2018-19</v>
      </c>
      <c r="SH15" s="830" t="str">
        <f>$M$15</f>
        <v>2019-20</v>
      </c>
      <c r="SI15" s="580" t="str">
        <f>$J$15</f>
        <v>2016-17</v>
      </c>
      <c r="SJ15" s="828" t="str">
        <f>$K$15</f>
        <v>2017-18</v>
      </c>
      <c r="SK15" s="828" t="str">
        <f>$L$15</f>
        <v>2018-19</v>
      </c>
      <c r="SL15" s="830" t="str">
        <f>$M$15</f>
        <v>2019-20</v>
      </c>
      <c r="SM15" s="580" t="str">
        <f>$J$15</f>
        <v>2016-17</v>
      </c>
      <c r="SN15" s="828" t="str">
        <f>$K$15</f>
        <v>2017-18</v>
      </c>
      <c r="SO15" s="828" t="str">
        <f>$L$15</f>
        <v>2018-19</v>
      </c>
      <c r="SP15" s="830" t="str">
        <f>$M$15</f>
        <v>2019-20</v>
      </c>
      <c r="SQ15" s="580" t="str">
        <f>$J$15</f>
        <v>2016-17</v>
      </c>
      <c r="SR15" s="828" t="str">
        <f>$K$15</f>
        <v>2017-18</v>
      </c>
      <c r="SS15" s="828" t="str">
        <f>$L$15</f>
        <v>2018-19</v>
      </c>
      <c r="ST15" s="830" t="str">
        <f>$M$15</f>
        <v>2019-20</v>
      </c>
      <c r="SU15" s="580" t="str">
        <f>$J$15</f>
        <v>2016-17</v>
      </c>
      <c r="SV15" s="828" t="str">
        <f>$K$15</f>
        <v>2017-18</v>
      </c>
      <c r="SW15" s="828" t="str">
        <f>$L$15</f>
        <v>2018-19</v>
      </c>
      <c r="SX15" s="830" t="str">
        <f>$M$15</f>
        <v>2019-20</v>
      </c>
      <c r="SY15" s="580" t="str">
        <f>$J$15</f>
        <v>2016-17</v>
      </c>
      <c r="SZ15" s="828" t="str">
        <f>$K$15</f>
        <v>2017-18</v>
      </c>
      <c r="TA15" s="828" t="str">
        <f>$L$15</f>
        <v>2018-19</v>
      </c>
      <c r="TB15" s="830" t="str">
        <f>$M$15</f>
        <v>2019-20</v>
      </c>
      <c r="TC15" s="580" t="str">
        <f>$J$15</f>
        <v>2016-17</v>
      </c>
      <c r="TD15" s="828" t="str">
        <f>$K$15</f>
        <v>2017-18</v>
      </c>
      <c r="TE15" s="828" t="str">
        <f>$L$15</f>
        <v>2018-19</v>
      </c>
      <c r="TF15" s="830" t="str">
        <f>$M$15</f>
        <v>2019-20</v>
      </c>
      <c r="TG15" s="580" t="str">
        <f>$J$15</f>
        <v>2016-17</v>
      </c>
      <c r="TH15" s="828" t="str">
        <f>$K$15</f>
        <v>2017-18</v>
      </c>
      <c r="TI15" s="828" t="str">
        <f>$L$15</f>
        <v>2018-19</v>
      </c>
      <c r="TJ15" s="830" t="str">
        <f>$M$15</f>
        <v>2019-20</v>
      </c>
      <c r="TK15" s="580" t="str">
        <f>$J$15</f>
        <v>2016-17</v>
      </c>
      <c r="TL15" s="828" t="str">
        <f>$K$15</f>
        <v>2017-18</v>
      </c>
      <c r="TM15" s="828" t="str">
        <f>$L$15</f>
        <v>2018-19</v>
      </c>
      <c r="TN15" s="830" t="str">
        <f>$M$15</f>
        <v>2019-20</v>
      </c>
      <c r="TO15" s="580" t="str">
        <f>$J$15</f>
        <v>2016-17</v>
      </c>
      <c r="TP15" s="828" t="str">
        <f>$K$15</f>
        <v>2017-18</v>
      </c>
      <c r="TQ15" s="828" t="str">
        <f>$L$15</f>
        <v>2018-19</v>
      </c>
      <c r="TR15" s="830" t="str">
        <f>$M$15</f>
        <v>2019-20</v>
      </c>
      <c r="TS15" s="580" t="str">
        <f>$J$15</f>
        <v>2016-17</v>
      </c>
      <c r="TT15" s="828" t="str">
        <f>$K$15</f>
        <v>2017-18</v>
      </c>
      <c r="TU15" s="828" t="str">
        <f>$L$15</f>
        <v>2018-19</v>
      </c>
      <c r="TV15" s="830" t="str">
        <f>$M$15</f>
        <v>2019-20</v>
      </c>
      <c r="TW15" s="580" t="str">
        <f>$J$15</f>
        <v>2016-17</v>
      </c>
      <c r="TX15" s="828" t="str">
        <f>$K$15</f>
        <v>2017-18</v>
      </c>
      <c r="TY15" s="828" t="str">
        <f>$L$15</f>
        <v>2018-19</v>
      </c>
      <c r="TZ15" s="830" t="str">
        <f>$M$15</f>
        <v>2019-20</v>
      </c>
      <c r="UA15" s="580" t="str">
        <f>$J$15</f>
        <v>2016-17</v>
      </c>
      <c r="UB15" s="828" t="str">
        <f>$K$15</f>
        <v>2017-18</v>
      </c>
      <c r="UC15" s="828" t="str">
        <f>$L$15</f>
        <v>2018-19</v>
      </c>
      <c r="UD15" s="830" t="str">
        <f>$M$15</f>
        <v>2019-20</v>
      </c>
      <c r="UE15" s="580" t="str">
        <f>$J$15</f>
        <v>2016-17</v>
      </c>
      <c r="UF15" s="828" t="str">
        <f>$K$15</f>
        <v>2017-18</v>
      </c>
      <c r="UG15" s="828" t="str">
        <f>$L$15</f>
        <v>2018-19</v>
      </c>
      <c r="UH15" s="830" t="str">
        <f>$M$15</f>
        <v>2019-20</v>
      </c>
      <c r="UI15" s="580" t="str">
        <f>$J$15</f>
        <v>2016-17</v>
      </c>
      <c r="UJ15" s="828" t="str">
        <f>$K$15</f>
        <v>2017-18</v>
      </c>
      <c r="UK15" s="828" t="str">
        <f>$L$15</f>
        <v>2018-19</v>
      </c>
      <c r="UL15" s="830" t="str">
        <f>$M$15</f>
        <v>2019-20</v>
      </c>
      <c r="UM15" s="580" t="str">
        <f>$J$15</f>
        <v>2016-17</v>
      </c>
      <c r="UN15" s="828" t="str">
        <f>$K$15</f>
        <v>2017-18</v>
      </c>
      <c r="UO15" s="828" t="str">
        <f>$L$15</f>
        <v>2018-19</v>
      </c>
      <c r="UP15" s="830" t="str">
        <f>$M$15</f>
        <v>2019-20</v>
      </c>
      <c r="UQ15" s="580" t="str">
        <f>$J$15</f>
        <v>2016-17</v>
      </c>
      <c r="UR15" s="828" t="str">
        <f>$K$15</f>
        <v>2017-18</v>
      </c>
      <c r="US15" s="828" t="str">
        <f>$L$15</f>
        <v>2018-19</v>
      </c>
      <c r="UT15" s="830" t="str">
        <f>$M$15</f>
        <v>2019-20</v>
      </c>
      <c r="UU15" s="580" t="str">
        <f>$J$15</f>
        <v>2016-17</v>
      </c>
      <c r="UV15" s="828" t="str">
        <f>$K$15</f>
        <v>2017-18</v>
      </c>
      <c r="UW15" s="828" t="str">
        <f>$L$15</f>
        <v>2018-19</v>
      </c>
      <c r="UX15" s="830" t="str">
        <f>$M$15</f>
        <v>2019-20</v>
      </c>
      <c r="UY15" s="580" t="str">
        <f>$J$15</f>
        <v>2016-17</v>
      </c>
      <c r="UZ15" s="828" t="str">
        <f>$K$15</f>
        <v>2017-18</v>
      </c>
      <c r="VA15" s="828" t="str">
        <f>$L$15</f>
        <v>2018-19</v>
      </c>
      <c r="VB15" s="830" t="str">
        <f>$M$15</f>
        <v>2019-20</v>
      </c>
      <c r="VC15" s="580" t="str">
        <f>$J$15</f>
        <v>2016-17</v>
      </c>
      <c r="VD15" s="828" t="str">
        <f>$K$15</f>
        <v>2017-18</v>
      </c>
      <c r="VE15" s="828" t="str">
        <f>$L$15</f>
        <v>2018-19</v>
      </c>
      <c r="VF15" s="830" t="str">
        <f>$M$15</f>
        <v>2019-20</v>
      </c>
      <c r="VG15" s="580" t="str">
        <f>$J$15</f>
        <v>2016-17</v>
      </c>
      <c r="VH15" s="828" t="str">
        <f>$K$15</f>
        <v>2017-18</v>
      </c>
      <c r="VI15" s="828" t="str">
        <f>$L$15</f>
        <v>2018-19</v>
      </c>
      <c r="VJ15" s="830" t="str">
        <f>$M$15</f>
        <v>2019-20</v>
      </c>
      <c r="VK15" s="580" t="str">
        <f>$J$15</f>
        <v>2016-17</v>
      </c>
      <c r="VL15" s="828" t="str">
        <f>$K$15</f>
        <v>2017-18</v>
      </c>
      <c r="VM15" s="828" t="str">
        <f>$L$15</f>
        <v>2018-19</v>
      </c>
      <c r="VN15" s="830" t="str">
        <f>$M$15</f>
        <v>2019-20</v>
      </c>
      <c r="VO15" s="580" t="str">
        <f>$J$15</f>
        <v>2016-17</v>
      </c>
      <c r="VP15" s="828" t="str">
        <f>$K$15</f>
        <v>2017-18</v>
      </c>
      <c r="VQ15" s="828" t="str">
        <f>$L$15</f>
        <v>2018-19</v>
      </c>
      <c r="VR15" s="830" t="str">
        <f>$M$15</f>
        <v>2019-20</v>
      </c>
      <c r="VS15" s="580" t="str">
        <f>$J$15</f>
        <v>2016-17</v>
      </c>
      <c r="VT15" s="828" t="str">
        <f>$K$15</f>
        <v>2017-18</v>
      </c>
      <c r="VU15" s="828" t="str">
        <f>$L$15</f>
        <v>2018-19</v>
      </c>
      <c r="VV15" s="830" t="str">
        <f>$M$15</f>
        <v>2019-20</v>
      </c>
      <c r="VW15" s="580" t="str">
        <f>$J$15</f>
        <v>2016-17</v>
      </c>
      <c r="VX15" s="828" t="str">
        <f>$K$15</f>
        <v>2017-18</v>
      </c>
      <c r="VY15" s="828" t="str">
        <f>$L$15</f>
        <v>2018-19</v>
      </c>
      <c r="VZ15" s="830" t="str">
        <f>$M$15</f>
        <v>2019-20</v>
      </c>
      <c r="WA15" s="580" t="str">
        <f>$J$15</f>
        <v>2016-17</v>
      </c>
      <c r="WB15" s="828" t="str">
        <f>$K$15</f>
        <v>2017-18</v>
      </c>
      <c r="WC15" s="828" t="str">
        <f>$L$15</f>
        <v>2018-19</v>
      </c>
      <c r="WD15" s="830" t="str">
        <f>$M$15</f>
        <v>2019-20</v>
      </c>
      <c r="WE15" s="580" t="str">
        <f>$J$15</f>
        <v>2016-17</v>
      </c>
      <c r="WF15" s="828" t="str">
        <f>$K$15</f>
        <v>2017-18</v>
      </c>
      <c r="WG15" s="828" t="str">
        <f>$L$15</f>
        <v>2018-19</v>
      </c>
      <c r="WH15" s="830" t="str">
        <f>$M$15</f>
        <v>2019-20</v>
      </c>
      <c r="WI15" s="580" t="str">
        <f>$J$15</f>
        <v>2016-17</v>
      </c>
      <c r="WJ15" s="828" t="str">
        <f>$K$15</f>
        <v>2017-18</v>
      </c>
      <c r="WK15" s="828" t="str">
        <f>$L$15</f>
        <v>2018-19</v>
      </c>
      <c r="WL15" s="830" t="str">
        <f>$M$15</f>
        <v>2019-20</v>
      </c>
      <c r="WM15" s="580" t="str">
        <f>$J$15</f>
        <v>2016-17</v>
      </c>
      <c r="WN15" s="828" t="str">
        <f>$K$15</f>
        <v>2017-18</v>
      </c>
      <c r="WO15" s="828" t="str">
        <f>$L$15</f>
        <v>2018-19</v>
      </c>
      <c r="WP15" s="830" t="str">
        <f>$M$15</f>
        <v>2019-20</v>
      </c>
      <c r="WQ15" s="580" t="str">
        <f>$J$15</f>
        <v>2016-17</v>
      </c>
      <c r="WR15" s="828" t="str">
        <f>$K$15</f>
        <v>2017-18</v>
      </c>
      <c r="WS15" s="828" t="str">
        <f>$L$15</f>
        <v>2018-19</v>
      </c>
      <c r="WT15" s="830" t="str">
        <f>$M$15</f>
        <v>2019-20</v>
      </c>
      <c r="WU15" s="580" t="str">
        <f>$J$15</f>
        <v>2016-17</v>
      </c>
      <c r="WV15" s="828" t="str">
        <f>$K$15</f>
        <v>2017-18</v>
      </c>
      <c r="WW15" s="828" t="str">
        <f>$L$15</f>
        <v>2018-19</v>
      </c>
      <c r="WX15" s="830" t="str">
        <f>$M$15</f>
        <v>2019-20</v>
      </c>
      <c r="WY15" s="580" t="str">
        <f>$J$15</f>
        <v>2016-17</v>
      </c>
      <c r="WZ15" s="828" t="str">
        <f>$K$15</f>
        <v>2017-18</v>
      </c>
      <c r="XA15" s="828" t="str">
        <f>$L$15</f>
        <v>2018-19</v>
      </c>
      <c r="XB15" s="830" t="str">
        <f>$M$15</f>
        <v>2019-20</v>
      </c>
    </row>
    <row r="16" spans="1:627" ht="16.5" customHeight="1">
      <c r="B16" s="840">
        <v>1</v>
      </c>
      <c r="C16" s="1369" t="s">
        <v>2932</v>
      </c>
      <c r="D16" s="824" t="s">
        <v>2933</v>
      </c>
      <c r="E16" s="826">
        <v>1</v>
      </c>
      <c r="F16" s="1838"/>
      <c r="G16" s="2976">
        <v>327</v>
      </c>
      <c r="H16" s="2976">
        <v>318</v>
      </c>
      <c r="I16" s="2949">
        <v>295.2</v>
      </c>
      <c r="J16" s="2026"/>
      <c r="K16" s="2028"/>
      <c r="L16" s="2028"/>
      <c r="M16" s="2954" t="s">
        <v>2934</v>
      </c>
      <c r="N16" s="2026"/>
      <c r="O16" s="2028"/>
      <c r="P16" s="2028"/>
      <c r="Q16" s="2954" t="s">
        <v>2934</v>
      </c>
      <c r="R16" s="2026"/>
      <c r="S16" s="2028"/>
      <c r="T16" s="2028"/>
      <c r="U16" s="2954" t="s">
        <v>2934</v>
      </c>
      <c r="V16" s="2026"/>
      <c r="W16" s="2028"/>
      <c r="X16" s="2028"/>
      <c r="Y16" s="2954" t="s">
        <v>2934</v>
      </c>
      <c r="Z16" s="2026"/>
      <c r="AA16" s="2028"/>
      <c r="AB16" s="2028"/>
      <c r="AC16" s="2954" t="s">
        <v>2934</v>
      </c>
      <c r="AD16" s="2026"/>
      <c r="AE16" s="2028"/>
      <c r="AF16" s="2028"/>
      <c r="AG16" s="2954" t="s">
        <v>2934</v>
      </c>
      <c r="AH16" s="2026"/>
      <c r="AI16" s="2028"/>
      <c r="AJ16" s="2028"/>
      <c r="AK16" s="2954" t="s">
        <v>2934</v>
      </c>
      <c r="AL16" s="2026"/>
      <c r="AM16" s="2028"/>
      <c r="AN16" s="2028"/>
      <c r="AO16" s="2954" t="s">
        <v>2934</v>
      </c>
      <c r="AP16" s="2026"/>
      <c r="AQ16" s="2028"/>
      <c r="AR16" s="2028"/>
      <c r="AS16" s="2954" t="s">
        <v>2934</v>
      </c>
      <c r="AT16" s="2026"/>
      <c r="AU16" s="2028"/>
      <c r="AV16" s="2028"/>
      <c r="AW16" s="2954" t="s">
        <v>2934</v>
      </c>
      <c r="AX16" s="2026"/>
      <c r="AY16" s="2028"/>
      <c r="AZ16" s="2028"/>
      <c r="BA16" s="2954" t="s">
        <v>2934</v>
      </c>
      <c r="BB16" s="2026"/>
      <c r="BC16" s="2028"/>
      <c r="BD16" s="2028"/>
      <c r="BE16" s="2954" t="s">
        <v>2934</v>
      </c>
      <c r="BF16" s="2026"/>
      <c r="BG16" s="2028"/>
      <c r="BH16" s="2028"/>
      <c r="BI16" s="2954" t="s">
        <v>2934</v>
      </c>
      <c r="BJ16" s="2026"/>
      <c r="BK16" s="2028"/>
      <c r="BL16" s="2028"/>
      <c r="BM16" s="2954" t="s">
        <v>2935</v>
      </c>
      <c r="BN16" s="2026"/>
      <c r="BO16" s="2028"/>
      <c r="BP16" s="2028"/>
      <c r="BQ16" s="2954" t="s">
        <v>2934</v>
      </c>
      <c r="BR16" s="2026"/>
      <c r="BS16" s="2028"/>
      <c r="BT16" s="2028"/>
      <c r="BU16" s="2954" t="s">
        <v>2934</v>
      </c>
      <c r="BV16" s="2026"/>
      <c r="BW16" s="2028"/>
      <c r="BX16" s="2028"/>
      <c r="BY16" s="2954" t="s">
        <v>2934</v>
      </c>
      <c r="BZ16" s="2026"/>
      <c r="CA16" s="2028"/>
      <c r="CB16" s="2028"/>
      <c r="CC16" s="2954" t="s">
        <v>2934</v>
      </c>
      <c r="CD16" s="2026"/>
      <c r="CE16" s="2028"/>
      <c r="CF16" s="2028"/>
      <c r="CG16" s="2954" t="s">
        <v>2934</v>
      </c>
      <c r="CH16" s="2026"/>
      <c r="CI16" s="2028"/>
      <c r="CJ16" s="2028"/>
      <c r="CK16" s="2954" t="s">
        <v>2934</v>
      </c>
      <c r="CL16" s="2026"/>
      <c r="CM16" s="2028"/>
      <c r="CN16" s="2028"/>
      <c r="CO16" s="2954" t="s">
        <v>2934</v>
      </c>
      <c r="CP16" s="2026"/>
      <c r="CQ16" s="2028"/>
      <c r="CR16" s="2028"/>
      <c r="CS16" s="2954" t="s">
        <v>2934</v>
      </c>
      <c r="CT16" s="2026"/>
      <c r="CU16" s="2028"/>
      <c r="CV16" s="2028"/>
      <c r="CW16" s="2954" t="s">
        <v>2935</v>
      </c>
      <c r="CX16" s="2026"/>
      <c r="CY16" s="2028"/>
      <c r="CZ16" s="2028"/>
      <c r="DA16" s="2954" t="s">
        <v>2934</v>
      </c>
      <c r="DB16" s="2026"/>
      <c r="DC16" s="2028"/>
      <c r="DD16" s="2028"/>
      <c r="DE16" s="2954" t="s">
        <v>2934</v>
      </c>
      <c r="DF16" s="2026"/>
      <c r="DG16" s="2028"/>
      <c r="DH16" s="2028"/>
      <c r="DI16" s="2954" t="s">
        <v>2934</v>
      </c>
      <c r="DJ16" s="2026"/>
      <c r="DK16" s="2028"/>
      <c r="DL16" s="2028"/>
      <c r="DM16" s="2954" t="s">
        <v>2934</v>
      </c>
      <c r="DN16" s="2026"/>
      <c r="DO16" s="2028"/>
      <c r="DP16" s="2028"/>
      <c r="DQ16" s="2954" t="s">
        <v>2934</v>
      </c>
      <c r="DR16" s="2026"/>
      <c r="DS16" s="2028"/>
      <c r="DT16" s="2028"/>
      <c r="DU16" s="2954" t="s">
        <v>2934</v>
      </c>
      <c r="DV16" s="2026"/>
      <c r="DW16" s="2028"/>
      <c r="DX16" s="2028"/>
      <c r="DY16" s="2954" t="s">
        <v>2934</v>
      </c>
      <c r="DZ16" s="2026"/>
      <c r="EA16" s="2028"/>
      <c r="EB16" s="2028"/>
      <c r="EC16" s="2954" t="s">
        <v>2935</v>
      </c>
      <c r="ED16" s="2026"/>
      <c r="EE16" s="2028"/>
      <c r="EF16" s="2028"/>
      <c r="EG16" s="2954" t="s">
        <v>2934</v>
      </c>
      <c r="EH16" s="2026"/>
      <c r="EI16" s="2028"/>
      <c r="EJ16" s="2028"/>
      <c r="EK16" s="2954" t="s">
        <v>2935</v>
      </c>
      <c r="EL16" s="2026"/>
      <c r="EM16" s="2028"/>
      <c r="EN16" s="2028"/>
      <c r="EO16" s="2954" t="s">
        <v>2934</v>
      </c>
      <c r="EP16" s="2026"/>
      <c r="EQ16" s="2028"/>
      <c r="ER16" s="2028"/>
      <c r="ES16" s="2954" t="s">
        <v>2934</v>
      </c>
      <c r="ET16" s="2026"/>
      <c r="EU16" s="2028"/>
      <c r="EV16" s="2028"/>
      <c r="EW16" s="2954" t="s">
        <v>2934</v>
      </c>
      <c r="EX16" s="2026"/>
      <c r="EY16" s="2028"/>
      <c r="EZ16" s="2028"/>
      <c r="FA16" s="2954" t="s">
        <v>2934</v>
      </c>
      <c r="FB16" s="2026"/>
      <c r="FC16" s="2028"/>
      <c r="FD16" s="2028"/>
      <c r="FE16" s="2954" t="s">
        <v>2934</v>
      </c>
      <c r="FF16" s="2026"/>
      <c r="FG16" s="2028"/>
      <c r="FH16" s="2028"/>
      <c r="FI16" s="2954" t="s">
        <v>2934</v>
      </c>
      <c r="FJ16" s="2026"/>
      <c r="FK16" s="2028"/>
      <c r="FL16" s="2028"/>
      <c r="FM16" s="2954" t="s">
        <v>2934</v>
      </c>
      <c r="FN16" s="2026"/>
      <c r="FO16" s="2028"/>
      <c r="FP16" s="2028"/>
      <c r="FQ16" s="2954" t="s">
        <v>2934</v>
      </c>
      <c r="FR16" s="2026"/>
      <c r="FS16" s="2028"/>
      <c r="FT16" s="2028"/>
      <c r="FU16" s="2954" t="s">
        <v>2934</v>
      </c>
      <c r="FV16" s="2026"/>
      <c r="FW16" s="2028"/>
      <c r="FX16" s="2028"/>
      <c r="FY16" s="2954" t="s">
        <v>2934</v>
      </c>
      <c r="FZ16" s="2026"/>
      <c r="GA16" s="2028"/>
      <c r="GB16" s="2028"/>
      <c r="GC16" s="2954" t="s">
        <v>2934</v>
      </c>
      <c r="GD16" s="2026"/>
      <c r="GE16" s="2028"/>
      <c r="GF16" s="2028"/>
      <c r="GG16" s="2954" t="s">
        <v>2934</v>
      </c>
      <c r="GH16" s="2026"/>
      <c r="GI16" s="2028"/>
      <c r="GJ16" s="2028"/>
      <c r="GK16" s="2954" t="s">
        <v>2934</v>
      </c>
      <c r="GL16" s="2026"/>
      <c r="GM16" s="2028"/>
      <c r="GN16" s="2028"/>
      <c r="GO16" s="2954" t="s">
        <v>2934</v>
      </c>
      <c r="GP16" s="2026"/>
      <c r="GQ16" s="2028"/>
      <c r="GR16" s="2028"/>
      <c r="GS16" s="2954" t="s">
        <v>2934</v>
      </c>
      <c r="GT16" s="2026"/>
      <c r="GU16" s="2028"/>
      <c r="GV16" s="2028"/>
      <c r="GW16" s="2954" t="s">
        <v>2934</v>
      </c>
      <c r="GX16" s="2026"/>
      <c r="GY16" s="2028"/>
      <c r="GZ16" s="2028"/>
      <c r="HA16" s="2954" t="s">
        <v>2934</v>
      </c>
      <c r="HB16" s="2026"/>
      <c r="HC16" s="2028"/>
      <c r="HD16" s="2028"/>
      <c r="HE16" s="2954" t="s">
        <v>2934</v>
      </c>
      <c r="HF16" s="2026"/>
      <c r="HG16" s="2028"/>
      <c r="HH16" s="2028"/>
      <c r="HI16" s="2954" t="s">
        <v>2934</v>
      </c>
      <c r="HJ16" s="2026"/>
      <c r="HK16" s="2028"/>
      <c r="HL16" s="2028"/>
      <c r="HM16" s="2954" t="s">
        <v>2934</v>
      </c>
      <c r="HN16" s="2026"/>
      <c r="HO16" s="2028"/>
      <c r="HP16" s="2028"/>
      <c r="HQ16" s="2954" t="s">
        <v>2934</v>
      </c>
      <c r="HR16" s="2026"/>
      <c r="HS16" s="2028"/>
      <c r="HT16" s="2028"/>
      <c r="HU16" s="2954" t="s">
        <v>2934</v>
      </c>
      <c r="HV16" s="2026"/>
      <c r="HW16" s="2028"/>
      <c r="HX16" s="2028"/>
      <c r="HY16" s="2954" t="s">
        <v>2934</v>
      </c>
      <c r="HZ16" s="2026"/>
      <c r="IA16" s="2028"/>
      <c r="IB16" s="2028"/>
      <c r="IC16" s="2954" t="s">
        <v>2934</v>
      </c>
      <c r="ID16" s="2026"/>
      <c r="IE16" s="2028"/>
      <c r="IF16" s="2028"/>
      <c r="IG16" s="2954" t="s">
        <v>2934</v>
      </c>
      <c r="IH16" s="2026"/>
      <c r="II16" s="2028"/>
      <c r="IJ16" s="2028"/>
      <c r="IK16" s="2954" t="s">
        <v>2935</v>
      </c>
      <c r="IL16" s="2026"/>
      <c r="IM16" s="2028"/>
      <c r="IN16" s="2028"/>
      <c r="IO16" s="2954" t="s">
        <v>2934</v>
      </c>
      <c r="IP16" s="2026"/>
      <c r="IQ16" s="2028"/>
      <c r="IR16" s="2028"/>
      <c r="IS16" s="2954" t="s">
        <v>2934</v>
      </c>
      <c r="IT16" s="2026"/>
      <c r="IU16" s="2028"/>
      <c r="IV16" s="2028"/>
      <c r="IW16" s="2954" t="s">
        <v>2934</v>
      </c>
      <c r="IX16" s="2026"/>
      <c r="IY16" s="2028"/>
      <c r="IZ16" s="2028"/>
      <c r="JA16" s="2954" t="s">
        <v>2934</v>
      </c>
      <c r="JB16" s="2026"/>
      <c r="JC16" s="2028"/>
      <c r="JD16" s="2028"/>
      <c r="JE16" s="2954" t="s">
        <v>2934</v>
      </c>
      <c r="JF16" s="2026"/>
      <c r="JG16" s="2028"/>
      <c r="JH16" s="2028"/>
      <c r="JI16" s="2954" t="s">
        <v>2934</v>
      </c>
      <c r="JJ16" s="2026"/>
      <c r="JK16" s="2028"/>
      <c r="JL16" s="2028"/>
      <c r="JM16" s="2954" t="s">
        <v>2935</v>
      </c>
      <c r="JN16" s="2026"/>
      <c r="JO16" s="2028"/>
      <c r="JP16" s="2028"/>
      <c r="JQ16" s="2954" t="s">
        <v>2934</v>
      </c>
      <c r="JR16" s="2026"/>
      <c r="JS16" s="2028"/>
      <c r="JT16" s="2028"/>
      <c r="JU16" s="2954" t="s">
        <v>2934</v>
      </c>
      <c r="JV16" s="2026"/>
      <c r="JW16" s="2028"/>
      <c r="JX16" s="2028"/>
      <c r="JY16" s="2954" t="s">
        <v>2934</v>
      </c>
      <c r="JZ16" s="2026"/>
      <c r="KA16" s="2028"/>
      <c r="KB16" s="2028"/>
      <c r="KC16" s="2954" t="s">
        <v>2935</v>
      </c>
      <c r="KD16" s="2026"/>
      <c r="KE16" s="2028"/>
      <c r="KF16" s="2028"/>
      <c r="KG16" s="2954" t="s">
        <v>2934</v>
      </c>
      <c r="KH16" s="2026"/>
      <c r="KI16" s="2028"/>
      <c r="KJ16" s="2028"/>
      <c r="KK16" s="2954" t="s">
        <v>2934</v>
      </c>
      <c r="KL16" s="2026"/>
      <c r="KM16" s="2028"/>
      <c r="KN16" s="2028"/>
      <c r="KO16" s="2954" t="s">
        <v>2934</v>
      </c>
      <c r="KP16" s="2026"/>
      <c r="KQ16" s="2028"/>
      <c r="KR16" s="2028"/>
      <c r="KS16" s="2954" t="s">
        <v>2934</v>
      </c>
      <c r="KT16" s="2026"/>
      <c r="KU16" s="2028"/>
      <c r="KV16" s="2028"/>
      <c r="KW16" s="2954" t="s">
        <v>2934</v>
      </c>
      <c r="KX16" s="2026"/>
      <c r="KY16" s="2028"/>
      <c r="KZ16" s="2028"/>
      <c r="LA16" s="2954" t="s">
        <v>2934</v>
      </c>
      <c r="LC16" s="503">
        <f xml:space="preserve"> IF( SUM( LE16:XC16 ) = 0, 0, $LG$3 )</f>
        <v>0</v>
      </c>
      <c r="LF16" s="1558">
        <f>SUM(LG16:XC16)</f>
        <v>0</v>
      </c>
      <c r="LI16" s="127"/>
      <c r="LJ16" s="93">
        <f>IF(ISBLANK($C16), 0, IF(ISNUMBER(I16), 0, 1))</f>
        <v>0</v>
      </c>
      <c r="LM16" s="93"/>
      <c r="LN16" s="93">
        <f>IF(ISBLANK($C16), 0, IF(ISBLANK(M16), 1, 0))</f>
        <v>0</v>
      </c>
      <c r="LQ16" s="93"/>
      <c r="LR16" s="93">
        <f>IF(ISBLANK($C16), 0, IF(ISBLANK(Q16), 1, 0))</f>
        <v>0</v>
      </c>
      <c r="LU16" s="93"/>
      <c r="LV16" s="93">
        <f>IF(ISBLANK($C16), 0, IF(ISBLANK(U16), 1, 0))</f>
        <v>0</v>
      </c>
      <c r="LY16" s="93"/>
      <c r="LZ16" s="93">
        <f>IF(ISBLANK($C16), 0, IF(ISBLANK(Y16), 1, 0))</f>
        <v>0</v>
      </c>
      <c r="MC16" s="93"/>
      <c r="MD16" s="93">
        <f>IF(ISBLANK($C16), 0, IF(ISBLANK(AC16), 1, 0))</f>
        <v>0</v>
      </c>
      <c r="MG16" s="93"/>
      <c r="MH16" s="93">
        <f>IF(ISBLANK($C16), 0, IF(ISBLANK(AG16), 1, 0))</f>
        <v>0</v>
      </c>
      <c r="MK16" s="93"/>
      <c r="ML16" s="93">
        <f>IF(ISBLANK($C16), 0, IF(ISBLANK(AK16), 1, 0))</f>
        <v>0</v>
      </c>
      <c r="MO16" s="93"/>
      <c r="MP16" s="93">
        <f>IF(ISBLANK($C16), 0, IF(ISBLANK(AO16), 1, 0))</f>
        <v>0</v>
      </c>
      <c r="MS16" s="93"/>
      <c r="MT16" s="93">
        <f>IF(ISBLANK($C16), 0, IF(ISBLANK(AS16), 1, 0))</f>
        <v>0</v>
      </c>
      <c r="MW16" s="93"/>
      <c r="MX16" s="93">
        <f>IF(ISBLANK($C16), 0, IF(ISBLANK(AW16), 1, 0))</f>
        <v>0</v>
      </c>
      <c r="NA16" s="93"/>
      <c r="NB16" s="93">
        <f>IF(ISBLANK($C16), 0, IF(ISBLANK(BA16), 1, 0))</f>
        <v>0</v>
      </c>
      <c r="NE16" s="93"/>
      <c r="NF16" s="93">
        <f>IF(ISBLANK($C16), 0, IF(ISBLANK(BE16), 1, 0))</f>
        <v>0</v>
      </c>
      <c r="NI16" s="93"/>
      <c r="NJ16" s="93">
        <f>IF(ISBLANK($C16), 0, IF(ISBLANK(BI16), 1, 0))</f>
        <v>0</v>
      </c>
      <c r="NM16" s="93"/>
      <c r="NN16" s="93">
        <f>IF(ISBLANK($C16), 0, IF(ISBLANK(BM16), 1, 0))</f>
        <v>0</v>
      </c>
      <c r="NQ16" s="93"/>
      <c r="NR16" s="93">
        <f>IF(ISBLANK($C16), 0, IF(ISBLANK(BQ16), 1, 0))</f>
        <v>0</v>
      </c>
      <c r="NU16" s="93"/>
      <c r="NV16" s="93">
        <f>IF(ISBLANK($C16), 0, IF(ISBLANK(BU16), 1, 0))</f>
        <v>0</v>
      </c>
      <c r="NY16" s="93"/>
      <c r="NZ16" s="93">
        <f>IF(ISBLANK($C16), 0, IF(ISBLANK(BY16), 1, 0))</f>
        <v>0</v>
      </c>
      <c r="OC16" s="93"/>
      <c r="OD16" s="93">
        <f>IF(ISBLANK($C16), 0, IF(ISBLANK(CC16), 1, 0))</f>
        <v>0</v>
      </c>
      <c r="OG16" s="93"/>
      <c r="OH16" s="93">
        <f>IF(ISBLANK($C16), 0, IF(ISBLANK(CG16), 1, 0))</f>
        <v>0</v>
      </c>
      <c r="OK16" s="93"/>
      <c r="OL16" s="93">
        <f>IF(ISBLANK($C16), 0, IF(ISBLANK(CK16), 1, 0))</f>
        <v>0</v>
      </c>
      <c r="OO16" s="93"/>
      <c r="OP16" s="93">
        <f>IF(ISBLANK($C16), 0, IF(ISBLANK(CO16), 1, 0))</f>
        <v>0</v>
      </c>
      <c r="OS16" s="93"/>
      <c r="OT16" s="93">
        <f>IF(ISBLANK($C16), 0, IF(ISBLANK(CS16), 1, 0))</f>
        <v>0</v>
      </c>
      <c r="OW16" s="93"/>
      <c r="OX16" s="93">
        <f>IF(ISBLANK($C16), 0, IF(ISBLANK(CW16), 1, 0))</f>
        <v>0</v>
      </c>
      <c r="PA16" s="93"/>
      <c r="PB16" s="93">
        <f>IF(ISBLANK($C16), 0, IF(ISBLANK(DA16), 1, 0))</f>
        <v>0</v>
      </c>
      <c r="PE16" s="93"/>
      <c r="PF16" s="93">
        <f>IF(ISBLANK($C16), 0, IF(ISBLANK(DE16), 1, 0))</f>
        <v>0</v>
      </c>
      <c r="PI16" s="93"/>
      <c r="PJ16" s="93">
        <f>IF(ISBLANK($C16), 0, IF(ISBLANK(DI16), 1, 0))</f>
        <v>0</v>
      </c>
      <c r="PM16" s="93"/>
      <c r="PN16" s="93">
        <f>IF(ISBLANK($C16), 0, IF(ISBLANK(DM16), 1, 0))</f>
        <v>0</v>
      </c>
      <c r="PQ16" s="93"/>
      <c r="PR16" s="93">
        <f>IF(ISBLANK($C16), 0, IF(ISBLANK(DQ16), 1, 0))</f>
        <v>0</v>
      </c>
      <c r="PU16" s="93"/>
      <c r="PV16" s="93">
        <f>IF(ISBLANK($C16), 0, IF(ISBLANK(DU16), 1, 0))</f>
        <v>0</v>
      </c>
      <c r="PY16" s="93"/>
      <c r="PZ16" s="93">
        <f>IF(ISBLANK($C16), 0, IF(ISBLANK(DY16), 1, 0))</f>
        <v>0</v>
      </c>
      <c r="QC16" s="93"/>
      <c r="QD16" s="93">
        <f>IF(ISBLANK($C16), 0, IF(ISBLANK(EC16), 1, 0))</f>
        <v>0</v>
      </c>
      <c r="QG16" s="93"/>
      <c r="QH16" s="93">
        <f>IF(ISBLANK($C16), 0, IF(ISBLANK(EG16), 1, 0))</f>
        <v>0</v>
      </c>
      <c r="QK16" s="93"/>
      <c r="QL16" s="93">
        <f>IF(ISBLANK($C16), 0, IF(ISBLANK(EK16), 1, 0))</f>
        <v>0</v>
      </c>
      <c r="QO16" s="93"/>
      <c r="QP16" s="93">
        <f>IF(ISBLANK($C16), 0, IF(ISBLANK(EO16), 1, 0))</f>
        <v>0</v>
      </c>
      <c r="QS16" s="93"/>
      <c r="QT16" s="93">
        <f>IF(ISBLANK($C16), 0, IF(ISBLANK(ES16), 1, 0))</f>
        <v>0</v>
      </c>
      <c r="QW16" s="93"/>
      <c r="QX16" s="93">
        <f>IF(ISBLANK($C16), 0, IF(ISBLANK(EW16), 1, 0))</f>
        <v>0</v>
      </c>
      <c r="RA16" s="93"/>
      <c r="RB16" s="93">
        <f>IF(ISBLANK($C16), 0, IF(ISBLANK(FA16), 1, 0))</f>
        <v>0</v>
      </c>
      <c r="RE16" s="93"/>
      <c r="RF16" s="93">
        <f>IF(ISBLANK($C16), 0, IF(ISBLANK(FE16), 1, 0))</f>
        <v>0</v>
      </c>
      <c r="RI16" s="93"/>
      <c r="RJ16" s="93">
        <f>IF(ISBLANK($C16), 0, IF(ISBLANK(FI16), 1, 0))</f>
        <v>0</v>
      </c>
      <c r="RM16" s="93"/>
      <c r="RN16" s="93">
        <f>IF(ISBLANK($C16), 0, IF(ISBLANK(FM16), 1, 0))</f>
        <v>0</v>
      </c>
      <c r="RQ16" s="93"/>
      <c r="RR16" s="93">
        <f>IF(ISBLANK($C16), 0, IF(ISBLANK(FQ16), 1, 0))</f>
        <v>0</v>
      </c>
      <c r="RU16" s="93"/>
      <c r="RV16" s="93">
        <f>IF(ISBLANK($C16), 0, IF(ISBLANK(FU16), 1, 0))</f>
        <v>0</v>
      </c>
      <c r="RY16" s="93"/>
      <c r="RZ16" s="93">
        <f>IF(ISBLANK($C16), 0, IF(ISBLANK(FY16), 1, 0))</f>
        <v>0</v>
      </c>
      <c r="SC16" s="93"/>
      <c r="SD16" s="93">
        <f>IF(ISBLANK($C16), 0, IF(ISBLANK(GC16), 1, 0))</f>
        <v>0</v>
      </c>
      <c r="SG16" s="93"/>
      <c r="SH16" s="93">
        <f>IF(ISBLANK($C16), 0, IF(ISBLANK(GG16), 1, 0))</f>
        <v>0</v>
      </c>
      <c r="SK16" s="93"/>
      <c r="SL16" s="93">
        <f>IF(ISBLANK($C16), 0, IF(ISBLANK(GK16), 1, 0))</f>
        <v>0</v>
      </c>
      <c r="SO16" s="93"/>
      <c r="SP16" s="93">
        <f>IF(ISBLANK($C16), 0, IF(ISBLANK(GO16), 1, 0))</f>
        <v>0</v>
      </c>
      <c r="SS16" s="93"/>
      <c r="ST16" s="93">
        <f>IF(ISBLANK($C16), 0, IF(ISBLANK(GS16), 1, 0))</f>
        <v>0</v>
      </c>
      <c r="SW16" s="93"/>
      <c r="SX16" s="93">
        <f>IF(ISBLANK($C16), 0, IF(ISBLANK(GW16), 1, 0))</f>
        <v>0</v>
      </c>
      <c r="TA16" s="93"/>
      <c r="TB16" s="93">
        <f>IF(ISBLANK($C16), 0, IF(ISBLANK(HA16), 1, 0))</f>
        <v>0</v>
      </c>
      <c r="TE16" s="93"/>
      <c r="TF16" s="93">
        <f>IF(ISBLANK($C16), 0, IF(ISBLANK(HE16), 1, 0))</f>
        <v>0</v>
      </c>
      <c r="TI16" s="93"/>
      <c r="TJ16" s="93">
        <f>IF(ISBLANK($C16), 0, IF(ISBLANK(HI16), 1, 0))</f>
        <v>0</v>
      </c>
      <c r="TM16" s="93"/>
      <c r="TN16" s="93">
        <f>IF(ISBLANK($C16), 0, IF(ISBLANK(HM16), 1, 0))</f>
        <v>0</v>
      </c>
      <c r="TQ16" s="93"/>
      <c r="TR16" s="93">
        <f>IF(ISBLANK($C16), 0, IF(ISBLANK(HQ16), 1, 0))</f>
        <v>0</v>
      </c>
      <c r="TU16" s="93"/>
      <c r="TV16" s="93">
        <f>IF(ISBLANK($C16), 0, IF(ISBLANK(HU16), 1, 0))</f>
        <v>0</v>
      </c>
      <c r="TY16" s="93"/>
      <c r="TZ16" s="93">
        <f>IF(ISBLANK($C16), 0, IF(ISBLANK(HY16), 1, 0))</f>
        <v>0</v>
      </c>
      <c r="UC16" s="93"/>
      <c r="UD16" s="93">
        <f>IF(ISBLANK($C16), 0, IF(ISBLANK(IC16), 1, 0))</f>
        <v>0</v>
      </c>
      <c r="UG16" s="93"/>
      <c r="UH16" s="93">
        <f>IF(ISBLANK($C16), 0, IF(ISBLANK(IG16), 1, 0))</f>
        <v>0</v>
      </c>
      <c r="UK16" s="93"/>
      <c r="UL16" s="93">
        <f>IF(ISBLANK($C16), 0, IF(ISBLANK(IK16), 1, 0))</f>
        <v>0</v>
      </c>
      <c r="UO16" s="93"/>
      <c r="UP16" s="93">
        <f>IF(ISBLANK($C16), 0, IF(ISBLANK(IO16), 1, 0))</f>
        <v>0</v>
      </c>
      <c r="US16" s="93"/>
      <c r="UT16" s="93">
        <f>IF(ISBLANK($C16), 0, IF(ISBLANK(IS16), 1, 0))</f>
        <v>0</v>
      </c>
      <c r="UW16" s="93"/>
      <c r="UX16" s="93">
        <f>IF(ISBLANK($C16), 0, IF(ISBLANK(IW16), 1, 0))</f>
        <v>0</v>
      </c>
      <c r="VA16" s="93"/>
      <c r="VB16" s="93">
        <f>IF(ISBLANK($C16), 0, IF(ISBLANK(JA16), 1, 0))</f>
        <v>0</v>
      </c>
      <c r="VE16" s="93"/>
      <c r="VF16" s="93">
        <f>IF(ISBLANK($C16), 0, IF(ISBLANK(JE16), 1, 0))</f>
        <v>0</v>
      </c>
      <c r="VI16" s="93"/>
      <c r="VJ16" s="93">
        <f>IF(ISBLANK($C16), 0, IF(ISBLANK(JI16), 1, 0))</f>
        <v>0</v>
      </c>
      <c r="VM16" s="93"/>
      <c r="VN16" s="93">
        <f>IF(ISBLANK($C16), 0, IF(ISBLANK(JM16), 1, 0))</f>
        <v>0</v>
      </c>
      <c r="VQ16" s="93"/>
      <c r="VR16" s="93">
        <f>IF(ISBLANK($C16), 0, IF(ISBLANK(JQ16), 1, 0))</f>
        <v>0</v>
      </c>
      <c r="VU16" s="93"/>
      <c r="VV16" s="93">
        <f>IF(ISBLANK($C16), 0, IF(ISBLANK(JU16), 1, 0))</f>
        <v>0</v>
      </c>
      <c r="VY16" s="93"/>
      <c r="VZ16" s="93">
        <f>IF(ISBLANK($C16), 0, IF(ISBLANK(JY16), 1, 0))</f>
        <v>0</v>
      </c>
      <c r="WC16" s="93"/>
      <c r="WD16" s="93">
        <f>IF(ISBLANK($C16), 0, IF(ISBLANK(KC16), 1, 0))</f>
        <v>0</v>
      </c>
      <c r="WG16" s="93"/>
      <c r="WH16" s="93">
        <f>IF(ISBLANK($C16), 0, IF(ISBLANK(KG16), 1, 0))</f>
        <v>0</v>
      </c>
      <c r="WK16" s="93"/>
      <c r="WL16" s="93">
        <f>IF(ISBLANK($C16), 0, IF(ISBLANK(KK16), 1, 0))</f>
        <v>0</v>
      </c>
      <c r="WO16" s="93"/>
      <c r="WP16" s="93">
        <f>IF(ISBLANK($C16), 0, IF(ISBLANK(KO16), 1, 0))</f>
        <v>0</v>
      </c>
      <c r="WS16" s="93"/>
      <c r="WT16" s="93">
        <f>IF(ISBLANK($C16), 0, IF(ISBLANK(KS16), 1, 0))</f>
        <v>0</v>
      </c>
      <c r="WW16" s="93"/>
      <c r="WX16" s="93">
        <f>IF(ISBLANK($C16), 0, IF(ISBLANK(KW16), 1, 0))</f>
        <v>0</v>
      </c>
      <c r="XA16" s="93"/>
      <c r="XB16" s="93">
        <f>IF(ISBLANK($C16), 0, IF(ISBLANK(LA16), 1, 0))</f>
        <v>0</v>
      </c>
    </row>
    <row r="17" spans="2:626" ht="15" customHeight="1">
      <c r="B17" s="840">
        <v>2</v>
      </c>
      <c r="C17" s="1369"/>
      <c r="D17" s="824" t="s">
        <v>2933</v>
      </c>
      <c r="E17" s="826">
        <v>1</v>
      </c>
      <c r="F17" s="1838"/>
      <c r="G17" s="1838"/>
      <c r="H17" s="1838"/>
      <c r="I17" s="2949"/>
      <c r="J17" s="2026"/>
      <c r="K17" s="2028"/>
      <c r="L17" s="2028"/>
      <c r="M17" s="2954"/>
      <c r="N17" s="1839"/>
      <c r="O17" s="2028"/>
      <c r="P17" s="2028"/>
      <c r="Q17" s="2954"/>
      <c r="R17" s="1839"/>
      <c r="S17" s="2028"/>
      <c r="T17" s="2028"/>
      <c r="U17" s="2954"/>
      <c r="V17" s="1839"/>
      <c r="W17" s="2028"/>
      <c r="X17" s="2028"/>
      <c r="Y17" s="2954"/>
      <c r="Z17" s="1839"/>
      <c r="AA17" s="2028"/>
      <c r="AB17" s="2028"/>
      <c r="AC17" s="2954"/>
      <c r="AD17" s="1839"/>
      <c r="AE17" s="2028"/>
      <c r="AF17" s="2028"/>
      <c r="AG17" s="2954"/>
      <c r="AH17" s="1839"/>
      <c r="AI17" s="2028"/>
      <c r="AJ17" s="2028"/>
      <c r="AK17" s="2954"/>
      <c r="AL17" s="1839"/>
      <c r="AM17" s="2028"/>
      <c r="AN17" s="2028"/>
      <c r="AO17" s="2954"/>
      <c r="AP17" s="1839"/>
      <c r="AQ17" s="2028"/>
      <c r="AR17" s="2028"/>
      <c r="AS17" s="2954"/>
      <c r="AT17" s="1839"/>
      <c r="AU17" s="2028"/>
      <c r="AV17" s="2028"/>
      <c r="AW17" s="2954"/>
      <c r="AX17" s="1839"/>
      <c r="AY17" s="2028"/>
      <c r="AZ17" s="2028"/>
      <c r="BA17" s="2954"/>
      <c r="BB17" s="1839"/>
      <c r="BC17" s="2028"/>
      <c r="BD17" s="2028"/>
      <c r="BE17" s="2954"/>
      <c r="BF17" s="1839"/>
      <c r="BG17" s="2028"/>
      <c r="BH17" s="2028"/>
      <c r="BI17" s="2954"/>
      <c r="BJ17" s="1839"/>
      <c r="BK17" s="2028"/>
      <c r="BL17" s="2028"/>
      <c r="BM17" s="2954"/>
      <c r="BN17" s="1839"/>
      <c r="BO17" s="2028"/>
      <c r="BP17" s="2028"/>
      <c r="BQ17" s="2954"/>
      <c r="BR17" s="1839"/>
      <c r="BS17" s="2028"/>
      <c r="BT17" s="2028"/>
      <c r="BU17" s="2954"/>
      <c r="BV17" s="1839"/>
      <c r="BW17" s="2028"/>
      <c r="BX17" s="2028"/>
      <c r="BY17" s="2954"/>
      <c r="BZ17" s="1839"/>
      <c r="CA17" s="2028"/>
      <c r="CB17" s="2028"/>
      <c r="CC17" s="2954"/>
      <c r="CD17" s="1839"/>
      <c r="CE17" s="2028"/>
      <c r="CF17" s="2028"/>
      <c r="CG17" s="2954"/>
      <c r="CH17" s="1839"/>
      <c r="CI17" s="2028"/>
      <c r="CJ17" s="2028"/>
      <c r="CK17" s="2954"/>
      <c r="CL17" s="1839"/>
      <c r="CM17" s="2028"/>
      <c r="CN17" s="2028"/>
      <c r="CO17" s="2954"/>
      <c r="CP17" s="1839"/>
      <c r="CQ17" s="2028"/>
      <c r="CR17" s="2028"/>
      <c r="CS17" s="2954"/>
      <c r="CT17" s="1839"/>
      <c r="CU17" s="2028"/>
      <c r="CV17" s="2028"/>
      <c r="CW17" s="2954"/>
      <c r="CX17" s="1839"/>
      <c r="CY17" s="2028"/>
      <c r="CZ17" s="2028"/>
      <c r="DA17" s="2954"/>
      <c r="DB17" s="1839"/>
      <c r="DC17" s="2028"/>
      <c r="DD17" s="2028"/>
      <c r="DE17" s="2954"/>
      <c r="DF17" s="1839"/>
      <c r="DG17" s="2028"/>
      <c r="DH17" s="2028"/>
      <c r="DI17" s="2954"/>
      <c r="DJ17" s="1839"/>
      <c r="DK17" s="2028"/>
      <c r="DL17" s="2028"/>
      <c r="DM17" s="2954"/>
      <c r="DN17" s="1839"/>
      <c r="DO17" s="2028"/>
      <c r="DP17" s="2028"/>
      <c r="DQ17" s="2954"/>
      <c r="DR17" s="1839"/>
      <c r="DS17" s="2028"/>
      <c r="DT17" s="2028"/>
      <c r="DU17" s="2954"/>
      <c r="DV17" s="1839"/>
      <c r="DW17" s="2028"/>
      <c r="DX17" s="2028"/>
      <c r="DY17" s="2954"/>
      <c r="DZ17" s="1839"/>
      <c r="EA17" s="2028"/>
      <c r="EB17" s="2028"/>
      <c r="EC17" s="2954"/>
      <c r="ED17" s="1839"/>
      <c r="EE17" s="2028"/>
      <c r="EF17" s="2028"/>
      <c r="EG17" s="2954"/>
      <c r="EH17" s="1839"/>
      <c r="EI17" s="2028"/>
      <c r="EJ17" s="2028"/>
      <c r="EK17" s="2954"/>
      <c r="EL17" s="1839"/>
      <c r="EM17" s="2028"/>
      <c r="EN17" s="2028"/>
      <c r="EO17" s="2954"/>
      <c r="EP17" s="1839"/>
      <c r="EQ17" s="2028"/>
      <c r="ER17" s="2028"/>
      <c r="ES17" s="2954"/>
      <c r="ET17" s="1839"/>
      <c r="EU17" s="2028"/>
      <c r="EV17" s="2028"/>
      <c r="EW17" s="2954"/>
      <c r="EX17" s="1839"/>
      <c r="EY17" s="2028"/>
      <c r="EZ17" s="2028"/>
      <c r="FA17" s="2954"/>
      <c r="FB17" s="1839"/>
      <c r="FC17" s="2028"/>
      <c r="FD17" s="2028"/>
      <c r="FE17" s="2954"/>
      <c r="FF17" s="1839"/>
      <c r="FG17" s="2028"/>
      <c r="FH17" s="2028"/>
      <c r="FI17" s="2954"/>
      <c r="FJ17" s="1839"/>
      <c r="FK17" s="2028"/>
      <c r="FL17" s="2028"/>
      <c r="FM17" s="2954"/>
      <c r="FN17" s="1839"/>
      <c r="FO17" s="2028"/>
      <c r="FP17" s="2028"/>
      <c r="FQ17" s="2954"/>
      <c r="FR17" s="1839"/>
      <c r="FS17" s="2028"/>
      <c r="FT17" s="2028"/>
      <c r="FU17" s="2954"/>
      <c r="FV17" s="1839"/>
      <c r="FW17" s="2028"/>
      <c r="FX17" s="2028"/>
      <c r="FY17" s="2954"/>
      <c r="FZ17" s="1839"/>
      <c r="GA17" s="2028"/>
      <c r="GB17" s="2028"/>
      <c r="GC17" s="2954"/>
      <c r="GD17" s="1839"/>
      <c r="GE17" s="2028"/>
      <c r="GF17" s="2028"/>
      <c r="GG17" s="2954"/>
      <c r="GH17" s="1839"/>
      <c r="GI17" s="2028"/>
      <c r="GJ17" s="2028"/>
      <c r="GK17" s="2954"/>
      <c r="GL17" s="1839"/>
      <c r="GM17" s="2028"/>
      <c r="GN17" s="2028"/>
      <c r="GO17" s="2954"/>
      <c r="GP17" s="1839"/>
      <c r="GQ17" s="2028"/>
      <c r="GR17" s="2028"/>
      <c r="GS17" s="2954"/>
      <c r="GT17" s="1839"/>
      <c r="GU17" s="2028"/>
      <c r="GV17" s="2028"/>
      <c r="GW17" s="2954"/>
      <c r="GX17" s="1839"/>
      <c r="GY17" s="2028"/>
      <c r="GZ17" s="2028"/>
      <c r="HA17" s="2954"/>
      <c r="HB17" s="1839"/>
      <c r="HC17" s="2028"/>
      <c r="HD17" s="2028"/>
      <c r="HE17" s="2954"/>
      <c r="HF17" s="1839"/>
      <c r="HG17" s="2028"/>
      <c r="HH17" s="2028"/>
      <c r="HI17" s="2954"/>
      <c r="HJ17" s="1839"/>
      <c r="HK17" s="2028"/>
      <c r="HL17" s="2028"/>
      <c r="HM17" s="2954"/>
      <c r="HN17" s="1839"/>
      <c r="HO17" s="2028"/>
      <c r="HP17" s="2028"/>
      <c r="HQ17" s="2954"/>
      <c r="HR17" s="1839"/>
      <c r="HS17" s="2028"/>
      <c r="HT17" s="2028"/>
      <c r="HU17" s="2954"/>
      <c r="HV17" s="1839"/>
      <c r="HW17" s="2028"/>
      <c r="HX17" s="2028"/>
      <c r="HY17" s="2954"/>
      <c r="HZ17" s="1839"/>
      <c r="IA17" s="2028"/>
      <c r="IB17" s="2028"/>
      <c r="IC17" s="2954"/>
      <c r="ID17" s="1839"/>
      <c r="IE17" s="2028"/>
      <c r="IF17" s="2028"/>
      <c r="IG17" s="2954"/>
      <c r="IH17" s="1839"/>
      <c r="II17" s="2028"/>
      <c r="IJ17" s="2028"/>
      <c r="IK17" s="2954"/>
      <c r="IL17" s="1839"/>
      <c r="IM17" s="2028"/>
      <c r="IN17" s="2028"/>
      <c r="IO17" s="2954"/>
      <c r="IP17" s="1839"/>
      <c r="IQ17" s="2028"/>
      <c r="IR17" s="2028"/>
      <c r="IS17" s="2954"/>
      <c r="IT17" s="1839"/>
      <c r="IU17" s="2028"/>
      <c r="IV17" s="2028"/>
      <c r="IW17" s="2954"/>
      <c r="IX17" s="1839"/>
      <c r="IY17" s="2028"/>
      <c r="IZ17" s="2028"/>
      <c r="JA17" s="2954"/>
      <c r="JB17" s="1839"/>
      <c r="JC17" s="2028"/>
      <c r="JD17" s="2028"/>
      <c r="JE17" s="2954"/>
      <c r="JF17" s="1839"/>
      <c r="JG17" s="2028"/>
      <c r="JH17" s="2028"/>
      <c r="JI17" s="2954"/>
      <c r="JJ17" s="1839"/>
      <c r="JK17" s="2028"/>
      <c r="JL17" s="2028"/>
      <c r="JM17" s="2954"/>
      <c r="JN17" s="1839"/>
      <c r="JO17" s="2028"/>
      <c r="JP17" s="2028"/>
      <c r="JQ17" s="2954"/>
      <c r="JR17" s="1839"/>
      <c r="JS17" s="2028"/>
      <c r="JT17" s="2028"/>
      <c r="JU17" s="2954"/>
      <c r="JV17" s="1839"/>
      <c r="JW17" s="2028"/>
      <c r="JX17" s="2028"/>
      <c r="JY17" s="2954"/>
      <c r="JZ17" s="1839"/>
      <c r="KA17" s="2028"/>
      <c r="KB17" s="2028"/>
      <c r="KC17" s="2954"/>
      <c r="KD17" s="1839"/>
      <c r="KE17" s="2028"/>
      <c r="KF17" s="2028"/>
      <c r="KG17" s="2954"/>
      <c r="KH17" s="1839"/>
      <c r="KI17" s="2028"/>
      <c r="KJ17" s="2028"/>
      <c r="KK17" s="2954"/>
      <c r="KL17" s="1839"/>
      <c r="KM17" s="2028"/>
      <c r="KN17" s="2028"/>
      <c r="KO17" s="2954"/>
      <c r="KP17" s="1839"/>
      <c r="KQ17" s="2028"/>
      <c r="KR17" s="2028"/>
      <c r="KS17" s="2954"/>
      <c r="KT17" s="1839"/>
      <c r="KU17" s="2028"/>
      <c r="KV17" s="2028"/>
      <c r="KW17" s="2954"/>
      <c r="KX17" s="1839"/>
      <c r="KY17" s="2028"/>
      <c r="KZ17" s="2028"/>
      <c r="LA17" s="2954"/>
      <c r="LC17" s="503">
        <f xml:space="preserve"> IF( SUM( LE17:XC17 ) = 0, 0, $LG$3 )</f>
        <v>0</v>
      </c>
      <c r="LF17" s="1558">
        <f t="shared" ref="LF17:LF19" si="0">SUM(LG17:XC17)</f>
        <v>0</v>
      </c>
      <c r="LI17" s="127"/>
      <c r="LJ17" s="93">
        <f>IF(ISBLANK($C17), 0, IF(ISNUMBER(I17), 0, 1))</f>
        <v>0</v>
      </c>
      <c r="LM17" s="93"/>
      <c r="LN17" s="93">
        <f t="shared" ref="LN17:LN19" si="1">IF(ISBLANK($C17), 0, IF(ISBLANK(M17), 1, 0))</f>
        <v>0</v>
      </c>
      <c r="LQ17" s="93"/>
      <c r="LR17" s="93">
        <f t="shared" ref="LR17:LR19" si="2">IF(ISBLANK($C17), 0, IF(ISBLANK(Q17), 1, 0))</f>
        <v>0</v>
      </c>
      <c r="LU17" s="93"/>
      <c r="LV17" s="93">
        <f t="shared" ref="LV17:LV19" si="3">IF(ISBLANK($C17), 0, IF(ISBLANK(U17), 1, 0))</f>
        <v>0</v>
      </c>
      <c r="LY17" s="93"/>
      <c r="LZ17" s="93">
        <f t="shared" ref="LZ17:LZ19" si="4">IF(ISBLANK($C17), 0, IF(ISBLANK(Y17), 1, 0))</f>
        <v>0</v>
      </c>
      <c r="MC17" s="93"/>
      <c r="MD17" s="93">
        <f t="shared" ref="MD17:MD19" si="5">IF(ISBLANK($C17), 0, IF(ISBLANK(AC17), 1, 0))</f>
        <v>0</v>
      </c>
      <c r="MG17" s="93"/>
      <c r="MH17" s="93">
        <f t="shared" ref="MH17:MH19" si="6">IF(ISBLANK($C17), 0, IF(ISBLANK(AG17), 1, 0))</f>
        <v>0</v>
      </c>
      <c r="MK17" s="93"/>
      <c r="ML17" s="93">
        <f t="shared" ref="ML17:ML19" si="7">IF(ISBLANK($C17), 0, IF(ISBLANK(AK17), 1, 0))</f>
        <v>0</v>
      </c>
      <c r="MO17" s="93"/>
      <c r="MP17" s="93">
        <f t="shared" ref="MP17:MP19" si="8">IF(ISBLANK($C17), 0, IF(ISBLANK(AO17), 1, 0))</f>
        <v>0</v>
      </c>
      <c r="MS17" s="93"/>
      <c r="MT17" s="93">
        <f t="shared" ref="MT17:MT19" si="9">IF(ISBLANK($C17), 0, IF(ISBLANK(AS17), 1, 0))</f>
        <v>0</v>
      </c>
      <c r="MW17" s="93"/>
      <c r="MX17" s="93">
        <f t="shared" ref="MX17:MX19" si="10">IF(ISBLANK($C17), 0, IF(ISBLANK(AW17), 1, 0))</f>
        <v>0</v>
      </c>
      <c r="NA17" s="93"/>
      <c r="NB17" s="93">
        <f t="shared" ref="NB17:NB19" si="11">IF(ISBLANK($C17), 0, IF(ISBLANK(BA17), 1, 0))</f>
        <v>0</v>
      </c>
      <c r="NE17" s="93"/>
      <c r="NF17" s="93">
        <f t="shared" ref="NF17:NF19" si="12">IF(ISBLANK($C17), 0, IF(ISBLANK(BE17), 1, 0))</f>
        <v>0</v>
      </c>
      <c r="NI17" s="93"/>
      <c r="NJ17" s="93">
        <f t="shared" ref="NJ17:NJ19" si="13">IF(ISBLANK($C17), 0, IF(ISBLANK(BI17), 1, 0))</f>
        <v>0</v>
      </c>
      <c r="NM17" s="93"/>
      <c r="NN17" s="93">
        <f t="shared" ref="NN17:NN19" si="14">IF(ISBLANK($C17), 0, IF(ISBLANK(BM17), 1, 0))</f>
        <v>0</v>
      </c>
      <c r="NQ17" s="93"/>
      <c r="NR17" s="93">
        <f t="shared" ref="NR17:NR19" si="15">IF(ISBLANK($C17), 0, IF(ISBLANK(BQ17), 1, 0))</f>
        <v>0</v>
      </c>
      <c r="NU17" s="93"/>
      <c r="NV17" s="93">
        <f t="shared" ref="NV17:NV19" si="16">IF(ISBLANK($C17), 0, IF(ISBLANK(BU17), 1, 0))</f>
        <v>0</v>
      </c>
      <c r="NY17" s="93"/>
      <c r="NZ17" s="93">
        <f t="shared" ref="NZ17:NZ19" si="17">IF(ISBLANK($C17), 0, IF(ISBLANK(BY17), 1, 0))</f>
        <v>0</v>
      </c>
      <c r="OC17" s="93"/>
      <c r="OD17" s="93">
        <f t="shared" ref="OD17:OD19" si="18">IF(ISBLANK($C17), 0, IF(ISBLANK(CC17), 1, 0))</f>
        <v>0</v>
      </c>
      <c r="OG17" s="93"/>
      <c r="OH17" s="93">
        <f t="shared" ref="OH17:OH19" si="19">IF(ISBLANK($C17), 0, IF(ISBLANK(CG17), 1, 0))</f>
        <v>0</v>
      </c>
      <c r="OK17" s="93"/>
      <c r="OL17" s="93">
        <f t="shared" ref="OL17:OL19" si="20">IF(ISBLANK($C17), 0, IF(ISBLANK(CK17), 1, 0))</f>
        <v>0</v>
      </c>
      <c r="OO17" s="93"/>
      <c r="OP17" s="93">
        <f t="shared" ref="OP17:OP19" si="21">IF(ISBLANK($C17), 0, IF(ISBLANK(CO17), 1, 0))</f>
        <v>0</v>
      </c>
      <c r="OS17" s="93"/>
      <c r="OT17" s="93">
        <f t="shared" ref="OT17:OT19" si="22">IF(ISBLANK($C17), 0, IF(ISBLANK(CS17), 1, 0))</f>
        <v>0</v>
      </c>
      <c r="OW17" s="93"/>
      <c r="OX17" s="93">
        <f t="shared" ref="OX17:OX19" si="23">IF(ISBLANK($C17), 0, IF(ISBLANK(CW17), 1, 0))</f>
        <v>0</v>
      </c>
      <c r="PA17" s="93"/>
      <c r="PB17" s="93">
        <f t="shared" ref="PB17:PB19" si="24">IF(ISBLANK($C17), 0, IF(ISBLANK(DA17), 1, 0))</f>
        <v>0</v>
      </c>
      <c r="PE17" s="93"/>
      <c r="PF17" s="93">
        <f t="shared" ref="PF17:PF19" si="25">IF(ISBLANK($C17), 0, IF(ISBLANK(DE17), 1, 0))</f>
        <v>0</v>
      </c>
      <c r="PI17" s="93"/>
      <c r="PJ17" s="93">
        <f t="shared" ref="PJ17:PJ19" si="26">IF(ISBLANK($C17), 0, IF(ISBLANK(DI17), 1, 0))</f>
        <v>0</v>
      </c>
      <c r="PM17" s="93"/>
      <c r="PN17" s="93">
        <f t="shared" ref="PN17:PN19" si="27">IF(ISBLANK($C17), 0, IF(ISBLANK(DM17), 1, 0))</f>
        <v>0</v>
      </c>
      <c r="PQ17" s="93"/>
      <c r="PR17" s="93">
        <f t="shared" ref="PR17:PR19" si="28">IF(ISBLANK($C17), 0, IF(ISBLANK(DQ17), 1, 0))</f>
        <v>0</v>
      </c>
      <c r="PU17" s="93"/>
      <c r="PV17" s="93">
        <f t="shared" ref="PV17:PV19" si="29">IF(ISBLANK($C17), 0, IF(ISBLANK(DU17), 1, 0))</f>
        <v>0</v>
      </c>
      <c r="PY17" s="93"/>
      <c r="PZ17" s="93">
        <f t="shared" ref="PZ17:PZ19" si="30">IF(ISBLANK($C17), 0, IF(ISBLANK(DY17), 1, 0))</f>
        <v>0</v>
      </c>
      <c r="QC17" s="93"/>
      <c r="QD17" s="93">
        <f t="shared" ref="QD17:QD19" si="31">IF(ISBLANK($C17), 0, IF(ISBLANK(EC17), 1, 0))</f>
        <v>0</v>
      </c>
      <c r="QG17" s="93"/>
      <c r="QH17" s="93">
        <f t="shared" ref="QH17:QH19" si="32">IF(ISBLANK($C17), 0, IF(ISBLANK(EG17), 1, 0))</f>
        <v>0</v>
      </c>
      <c r="QK17" s="93"/>
      <c r="QL17" s="93">
        <f t="shared" ref="QL17:QL19" si="33">IF(ISBLANK($C17), 0, IF(ISBLANK(EK17), 1, 0))</f>
        <v>0</v>
      </c>
      <c r="QO17" s="93"/>
      <c r="QP17" s="93">
        <f t="shared" ref="QP17:QP19" si="34">IF(ISBLANK($C17), 0, IF(ISBLANK(EO17), 1, 0))</f>
        <v>0</v>
      </c>
      <c r="QS17" s="93"/>
      <c r="QT17" s="93">
        <f t="shared" ref="QT17:QT19" si="35">IF(ISBLANK($C17), 0, IF(ISBLANK(ES17), 1, 0))</f>
        <v>0</v>
      </c>
      <c r="QW17" s="93"/>
      <c r="QX17" s="93">
        <f t="shared" ref="QX17:QX19" si="36">IF(ISBLANK($C17), 0, IF(ISBLANK(EW17), 1, 0))</f>
        <v>0</v>
      </c>
      <c r="RA17" s="93"/>
      <c r="RB17" s="93">
        <f t="shared" ref="RB17:RB19" si="37">IF(ISBLANK($C17), 0, IF(ISBLANK(FA17), 1, 0))</f>
        <v>0</v>
      </c>
      <c r="RE17" s="93"/>
      <c r="RF17" s="93">
        <f t="shared" ref="RF17:RF19" si="38">IF(ISBLANK($C17), 0, IF(ISBLANK(FE17), 1, 0))</f>
        <v>0</v>
      </c>
      <c r="RI17" s="93"/>
      <c r="RJ17" s="93">
        <f t="shared" ref="RJ17:RJ19" si="39">IF(ISBLANK($C17), 0, IF(ISBLANK(FI17), 1, 0))</f>
        <v>0</v>
      </c>
      <c r="RM17" s="93"/>
      <c r="RN17" s="93">
        <f t="shared" ref="RN17:RN19" si="40">IF(ISBLANK($C17), 0, IF(ISBLANK(FM17), 1, 0))</f>
        <v>0</v>
      </c>
      <c r="RQ17" s="93"/>
      <c r="RR17" s="93">
        <f t="shared" ref="RR17:RR19" si="41">IF(ISBLANK($C17), 0, IF(ISBLANK(FQ17), 1, 0))</f>
        <v>0</v>
      </c>
      <c r="RU17" s="93"/>
      <c r="RV17" s="93">
        <f t="shared" ref="RV17:RV19" si="42">IF(ISBLANK($C17), 0, IF(ISBLANK(FU17), 1, 0))</f>
        <v>0</v>
      </c>
      <c r="RY17" s="93"/>
      <c r="RZ17" s="93">
        <f t="shared" ref="RZ17:RZ19" si="43">IF(ISBLANK($C17), 0, IF(ISBLANK(FY17), 1, 0))</f>
        <v>0</v>
      </c>
      <c r="SC17" s="93"/>
      <c r="SD17" s="93">
        <f t="shared" ref="SD17:SD19" si="44">IF(ISBLANK($C17), 0, IF(ISBLANK(GC17), 1, 0))</f>
        <v>0</v>
      </c>
      <c r="SG17" s="93"/>
      <c r="SH17" s="93">
        <f t="shared" ref="SH17:SH19" si="45">IF(ISBLANK($C17), 0, IF(ISBLANK(GG17), 1, 0))</f>
        <v>0</v>
      </c>
      <c r="SK17" s="93"/>
      <c r="SL17" s="93">
        <f t="shared" ref="SL17:SL19" si="46">IF(ISBLANK($C17), 0, IF(ISBLANK(GK17), 1, 0))</f>
        <v>0</v>
      </c>
      <c r="SO17" s="93"/>
      <c r="SP17" s="93">
        <f t="shared" ref="SP17:SP19" si="47">IF(ISBLANK($C17), 0, IF(ISBLANK(GO17), 1, 0))</f>
        <v>0</v>
      </c>
      <c r="SS17" s="93"/>
      <c r="ST17" s="93">
        <f t="shared" ref="ST17:ST19" si="48">IF(ISBLANK($C17), 0, IF(ISBLANK(GS17), 1, 0))</f>
        <v>0</v>
      </c>
      <c r="SW17" s="93"/>
      <c r="SX17" s="93">
        <f t="shared" ref="SX17:SX19" si="49">IF(ISBLANK($C17), 0, IF(ISBLANK(GW17), 1, 0))</f>
        <v>0</v>
      </c>
      <c r="TA17" s="93"/>
      <c r="TB17" s="93">
        <f t="shared" ref="TB17:TB19" si="50">IF(ISBLANK($C17), 0, IF(ISBLANK(HA17), 1, 0))</f>
        <v>0</v>
      </c>
      <c r="TE17" s="93"/>
      <c r="TF17" s="93">
        <f t="shared" ref="TF17:TF19" si="51">IF(ISBLANK($C17), 0, IF(ISBLANK(HE17), 1, 0))</f>
        <v>0</v>
      </c>
      <c r="TI17" s="93"/>
      <c r="TJ17" s="93">
        <f t="shared" ref="TJ17:TJ19" si="52">IF(ISBLANK($C17), 0, IF(ISBLANK(HI17), 1, 0))</f>
        <v>0</v>
      </c>
      <c r="TM17" s="93"/>
      <c r="TN17" s="93">
        <f t="shared" ref="TN17:TN19" si="53">IF(ISBLANK($C17), 0, IF(ISBLANK(HM17), 1, 0))</f>
        <v>0</v>
      </c>
      <c r="TQ17" s="93"/>
      <c r="TR17" s="93">
        <f t="shared" ref="TR17:TR19" si="54">IF(ISBLANK($C17), 0, IF(ISBLANK(HQ17), 1, 0))</f>
        <v>0</v>
      </c>
      <c r="TU17" s="93"/>
      <c r="TV17" s="93">
        <f t="shared" ref="TV17:TV19" si="55">IF(ISBLANK($C17), 0, IF(ISBLANK(HU17), 1, 0))</f>
        <v>0</v>
      </c>
      <c r="TY17" s="93"/>
      <c r="TZ17" s="93">
        <f t="shared" ref="TZ17:TZ19" si="56">IF(ISBLANK($C17), 0, IF(ISBLANK(HY17), 1, 0))</f>
        <v>0</v>
      </c>
      <c r="UC17" s="93"/>
      <c r="UD17" s="93">
        <f t="shared" ref="UD17:UD19" si="57">IF(ISBLANK($C17), 0, IF(ISBLANK(IC17), 1, 0))</f>
        <v>0</v>
      </c>
      <c r="UG17" s="93"/>
      <c r="UH17" s="93">
        <f t="shared" ref="UH17:UH19" si="58">IF(ISBLANK($C17), 0, IF(ISBLANK(IG17), 1, 0))</f>
        <v>0</v>
      </c>
      <c r="UK17" s="93"/>
      <c r="UL17" s="93">
        <f t="shared" ref="UL17:UL19" si="59">IF(ISBLANK($C17), 0, IF(ISBLANK(IK17), 1, 0))</f>
        <v>0</v>
      </c>
      <c r="UO17" s="93"/>
      <c r="UP17" s="93">
        <f t="shared" ref="UP17:UP19" si="60">IF(ISBLANK($C17), 0, IF(ISBLANK(IO17), 1, 0))</f>
        <v>0</v>
      </c>
      <c r="US17" s="93"/>
      <c r="UT17" s="93">
        <f t="shared" ref="UT17:UT19" si="61">IF(ISBLANK($C17), 0, IF(ISBLANK(IS17), 1, 0))</f>
        <v>0</v>
      </c>
      <c r="UW17" s="93"/>
      <c r="UX17" s="93">
        <f t="shared" ref="UX17:UX19" si="62">IF(ISBLANK($C17), 0, IF(ISBLANK(IW17), 1, 0))</f>
        <v>0</v>
      </c>
      <c r="VA17" s="93"/>
      <c r="VB17" s="93">
        <f t="shared" ref="VB17:VB19" si="63">IF(ISBLANK($C17), 0, IF(ISBLANK(JA17), 1, 0))</f>
        <v>0</v>
      </c>
      <c r="VE17" s="93"/>
      <c r="VF17" s="93">
        <f t="shared" ref="VF17:VF19" si="64">IF(ISBLANK($C17), 0, IF(ISBLANK(JE17), 1, 0))</f>
        <v>0</v>
      </c>
      <c r="VI17" s="93"/>
      <c r="VJ17" s="93">
        <f t="shared" ref="VJ17:VJ19" si="65">IF(ISBLANK($C17), 0, IF(ISBLANK(JI17), 1, 0))</f>
        <v>0</v>
      </c>
      <c r="VM17" s="93"/>
      <c r="VN17" s="93">
        <f t="shared" ref="VN17:VN19" si="66">IF(ISBLANK($C17), 0, IF(ISBLANK(JM17), 1, 0))</f>
        <v>0</v>
      </c>
      <c r="VQ17" s="93"/>
      <c r="VR17" s="93">
        <f t="shared" ref="VR17:VR19" si="67">IF(ISBLANK($C17), 0, IF(ISBLANK(JQ17), 1, 0))</f>
        <v>0</v>
      </c>
      <c r="VU17" s="93"/>
      <c r="VV17" s="93">
        <f t="shared" ref="VV17:VV19" si="68">IF(ISBLANK($C17), 0, IF(ISBLANK(JU17), 1, 0))</f>
        <v>0</v>
      </c>
      <c r="VY17" s="93"/>
      <c r="VZ17" s="93">
        <f t="shared" ref="VZ17:VZ19" si="69">IF(ISBLANK($C17), 0, IF(ISBLANK(JY17), 1, 0))</f>
        <v>0</v>
      </c>
      <c r="WC17" s="93"/>
      <c r="WD17" s="93">
        <f t="shared" ref="WD17:WD19" si="70">IF(ISBLANK($C17), 0, IF(ISBLANK(KC17), 1, 0))</f>
        <v>0</v>
      </c>
      <c r="WG17" s="93"/>
      <c r="WH17" s="93">
        <f t="shared" ref="WH17:WH19" si="71">IF(ISBLANK($C17), 0, IF(ISBLANK(KG17), 1, 0))</f>
        <v>0</v>
      </c>
      <c r="WK17" s="93"/>
      <c r="WL17" s="93">
        <f t="shared" ref="WL17:WL19" si="72">IF(ISBLANK($C17), 0, IF(ISBLANK(KK17), 1, 0))</f>
        <v>0</v>
      </c>
      <c r="WO17" s="93"/>
      <c r="WP17" s="93">
        <f t="shared" ref="WP17:WP19" si="73">IF(ISBLANK($C17), 0, IF(ISBLANK(KO17), 1, 0))</f>
        <v>0</v>
      </c>
      <c r="WS17" s="93"/>
      <c r="WT17" s="93">
        <f t="shared" ref="WT17:WT19" si="74">IF(ISBLANK($C17), 0, IF(ISBLANK(KS17), 1, 0))</f>
        <v>0</v>
      </c>
      <c r="WW17" s="93"/>
      <c r="WX17" s="93">
        <f t="shared" ref="WX17:WX19" si="75">IF(ISBLANK($C17), 0, IF(ISBLANK(KW17), 1, 0))</f>
        <v>0</v>
      </c>
      <c r="XA17" s="93"/>
      <c r="XB17" s="93">
        <f t="shared" ref="XB17:XB19" si="76">IF(ISBLANK($C17), 0, IF(ISBLANK(LA17), 1, 0))</f>
        <v>0</v>
      </c>
    </row>
    <row r="18" spans="2:626" ht="15" customHeight="1">
      <c r="B18" s="840">
        <v>3</v>
      </c>
      <c r="C18" s="1369"/>
      <c r="D18" s="824" t="s">
        <v>2933</v>
      </c>
      <c r="E18" s="826">
        <v>1</v>
      </c>
      <c r="F18" s="1838"/>
      <c r="G18" s="1838"/>
      <c r="H18" s="1838"/>
      <c r="I18" s="2949"/>
      <c r="J18" s="2026"/>
      <c r="K18" s="2028"/>
      <c r="L18" s="2028"/>
      <c r="M18" s="2954"/>
      <c r="N18" s="1839"/>
      <c r="O18" s="2028"/>
      <c r="P18" s="2028"/>
      <c r="Q18" s="2954"/>
      <c r="R18" s="1839"/>
      <c r="S18" s="2028"/>
      <c r="T18" s="2028"/>
      <c r="U18" s="2954"/>
      <c r="V18" s="1839"/>
      <c r="W18" s="2028"/>
      <c r="X18" s="2028"/>
      <c r="Y18" s="2954"/>
      <c r="Z18" s="1839"/>
      <c r="AA18" s="2028"/>
      <c r="AB18" s="2028"/>
      <c r="AC18" s="2954"/>
      <c r="AD18" s="1839"/>
      <c r="AE18" s="2028"/>
      <c r="AF18" s="2028"/>
      <c r="AG18" s="2954"/>
      <c r="AH18" s="1839"/>
      <c r="AI18" s="2028"/>
      <c r="AJ18" s="2028"/>
      <c r="AK18" s="2954"/>
      <c r="AL18" s="1839"/>
      <c r="AM18" s="2028"/>
      <c r="AN18" s="2028"/>
      <c r="AO18" s="2954"/>
      <c r="AP18" s="1839"/>
      <c r="AQ18" s="2028"/>
      <c r="AR18" s="2028"/>
      <c r="AS18" s="2954"/>
      <c r="AT18" s="1839"/>
      <c r="AU18" s="2028"/>
      <c r="AV18" s="2028"/>
      <c r="AW18" s="2954"/>
      <c r="AX18" s="1839"/>
      <c r="AY18" s="2028"/>
      <c r="AZ18" s="2028"/>
      <c r="BA18" s="2954"/>
      <c r="BB18" s="1839"/>
      <c r="BC18" s="2028"/>
      <c r="BD18" s="2028"/>
      <c r="BE18" s="2954"/>
      <c r="BF18" s="1839"/>
      <c r="BG18" s="2028"/>
      <c r="BH18" s="2028"/>
      <c r="BI18" s="2954"/>
      <c r="BJ18" s="1839"/>
      <c r="BK18" s="2028"/>
      <c r="BL18" s="2028"/>
      <c r="BM18" s="2954"/>
      <c r="BN18" s="1839"/>
      <c r="BO18" s="2028"/>
      <c r="BP18" s="2028"/>
      <c r="BQ18" s="2954"/>
      <c r="BR18" s="1839"/>
      <c r="BS18" s="2028"/>
      <c r="BT18" s="2028"/>
      <c r="BU18" s="2954"/>
      <c r="BV18" s="1839"/>
      <c r="BW18" s="2028"/>
      <c r="BX18" s="2028"/>
      <c r="BY18" s="2954"/>
      <c r="BZ18" s="1839"/>
      <c r="CA18" s="2028"/>
      <c r="CB18" s="2028"/>
      <c r="CC18" s="2954"/>
      <c r="CD18" s="1839"/>
      <c r="CE18" s="2028"/>
      <c r="CF18" s="2028"/>
      <c r="CG18" s="2954"/>
      <c r="CH18" s="1839"/>
      <c r="CI18" s="2028"/>
      <c r="CJ18" s="2028"/>
      <c r="CK18" s="2954"/>
      <c r="CL18" s="1839"/>
      <c r="CM18" s="2028"/>
      <c r="CN18" s="2028"/>
      <c r="CO18" s="2954"/>
      <c r="CP18" s="1839"/>
      <c r="CQ18" s="2028"/>
      <c r="CR18" s="2028"/>
      <c r="CS18" s="2954"/>
      <c r="CT18" s="1839"/>
      <c r="CU18" s="2028"/>
      <c r="CV18" s="2028"/>
      <c r="CW18" s="2954"/>
      <c r="CX18" s="1839"/>
      <c r="CY18" s="2028"/>
      <c r="CZ18" s="2028"/>
      <c r="DA18" s="2954"/>
      <c r="DB18" s="1839"/>
      <c r="DC18" s="2028"/>
      <c r="DD18" s="2028"/>
      <c r="DE18" s="2954"/>
      <c r="DF18" s="1839"/>
      <c r="DG18" s="2028"/>
      <c r="DH18" s="2028"/>
      <c r="DI18" s="2954"/>
      <c r="DJ18" s="1839"/>
      <c r="DK18" s="2028"/>
      <c r="DL18" s="2028"/>
      <c r="DM18" s="2954"/>
      <c r="DN18" s="1839"/>
      <c r="DO18" s="2028"/>
      <c r="DP18" s="2028"/>
      <c r="DQ18" s="2954"/>
      <c r="DR18" s="1839"/>
      <c r="DS18" s="2028"/>
      <c r="DT18" s="2028"/>
      <c r="DU18" s="2954"/>
      <c r="DV18" s="1839"/>
      <c r="DW18" s="2028"/>
      <c r="DX18" s="2028"/>
      <c r="DY18" s="2954"/>
      <c r="DZ18" s="1839"/>
      <c r="EA18" s="2028"/>
      <c r="EB18" s="2028"/>
      <c r="EC18" s="2954"/>
      <c r="ED18" s="1839"/>
      <c r="EE18" s="2028"/>
      <c r="EF18" s="2028"/>
      <c r="EG18" s="2954"/>
      <c r="EH18" s="1839"/>
      <c r="EI18" s="2028"/>
      <c r="EJ18" s="2028"/>
      <c r="EK18" s="2954"/>
      <c r="EL18" s="1839"/>
      <c r="EM18" s="2028"/>
      <c r="EN18" s="2028"/>
      <c r="EO18" s="2954"/>
      <c r="EP18" s="1839"/>
      <c r="EQ18" s="2028"/>
      <c r="ER18" s="2028"/>
      <c r="ES18" s="2954"/>
      <c r="ET18" s="1839"/>
      <c r="EU18" s="2028"/>
      <c r="EV18" s="2028"/>
      <c r="EW18" s="2954"/>
      <c r="EX18" s="1839"/>
      <c r="EY18" s="2028"/>
      <c r="EZ18" s="2028"/>
      <c r="FA18" s="2954"/>
      <c r="FB18" s="1839"/>
      <c r="FC18" s="2028"/>
      <c r="FD18" s="2028"/>
      <c r="FE18" s="2954"/>
      <c r="FF18" s="1839"/>
      <c r="FG18" s="2028"/>
      <c r="FH18" s="2028"/>
      <c r="FI18" s="2954"/>
      <c r="FJ18" s="1839"/>
      <c r="FK18" s="2028"/>
      <c r="FL18" s="2028"/>
      <c r="FM18" s="2954"/>
      <c r="FN18" s="1839"/>
      <c r="FO18" s="2028"/>
      <c r="FP18" s="2028"/>
      <c r="FQ18" s="2954"/>
      <c r="FR18" s="1839"/>
      <c r="FS18" s="2028"/>
      <c r="FT18" s="2028"/>
      <c r="FU18" s="2954"/>
      <c r="FV18" s="1839"/>
      <c r="FW18" s="2028"/>
      <c r="FX18" s="2028"/>
      <c r="FY18" s="2954"/>
      <c r="FZ18" s="1839"/>
      <c r="GA18" s="2028"/>
      <c r="GB18" s="2028"/>
      <c r="GC18" s="2954"/>
      <c r="GD18" s="1839"/>
      <c r="GE18" s="2028"/>
      <c r="GF18" s="2028"/>
      <c r="GG18" s="2954"/>
      <c r="GH18" s="1839"/>
      <c r="GI18" s="2028"/>
      <c r="GJ18" s="2028"/>
      <c r="GK18" s="2954"/>
      <c r="GL18" s="1839"/>
      <c r="GM18" s="2028"/>
      <c r="GN18" s="2028"/>
      <c r="GO18" s="2954"/>
      <c r="GP18" s="1839"/>
      <c r="GQ18" s="2028"/>
      <c r="GR18" s="2028"/>
      <c r="GS18" s="2954"/>
      <c r="GT18" s="1839"/>
      <c r="GU18" s="2028"/>
      <c r="GV18" s="2028"/>
      <c r="GW18" s="2954"/>
      <c r="GX18" s="1839"/>
      <c r="GY18" s="2028"/>
      <c r="GZ18" s="2028"/>
      <c r="HA18" s="2954"/>
      <c r="HB18" s="1839"/>
      <c r="HC18" s="2028"/>
      <c r="HD18" s="2028"/>
      <c r="HE18" s="2954"/>
      <c r="HF18" s="1839"/>
      <c r="HG18" s="2028"/>
      <c r="HH18" s="2028"/>
      <c r="HI18" s="2954"/>
      <c r="HJ18" s="1839"/>
      <c r="HK18" s="2028"/>
      <c r="HL18" s="2028"/>
      <c r="HM18" s="2954"/>
      <c r="HN18" s="1839"/>
      <c r="HO18" s="2028"/>
      <c r="HP18" s="2028"/>
      <c r="HQ18" s="2954"/>
      <c r="HR18" s="1839"/>
      <c r="HS18" s="2028"/>
      <c r="HT18" s="2028"/>
      <c r="HU18" s="2954"/>
      <c r="HV18" s="1839"/>
      <c r="HW18" s="2028"/>
      <c r="HX18" s="2028"/>
      <c r="HY18" s="2954"/>
      <c r="HZ18" s="1839"/>
      <c r="IA18" s="2028"/>
      <c r="IB18" s="2028"/>
      <c r="IC18" s="2954"/>
      <c r="ID18" s="1839"/>
      <c r="IE18" s="2028"/>
      <c r="IF18" s="2028"/>
      <c r="IG18" s="2954"/>
      <c r="IH18" s="1839"/>
      <c r="II18" s="2028"/>
      <c r="IJ18" s="2028"/>
      <c r="IK18" s="2954"/>
      <c r="IL18" s="1839"/>
      <c r="IM18" s="2028"/>
      <c r="IN18" s="2028"/>
      <c r="IO18" s="2954"/>
      <c r="IP18" s="1839"/>
      <c r="IQ18" s="2028"/>
      <c r="IR18" s="2028"/>
      <c r="IS18" s="2954"/>
      <c r="IT18" s="1839"/>
      <c r="IU18" s="2028"/>
      <c r="IV18" s="2028"/>
      <c r="IW18" s="2954"/>
      <c r="IX18" s="1839"/>
      <c r="IY18" s="2028"/>
      <c r="IZ18" s="2028"/>
      <c r="JA18" s="2954"/>
      <c r="JB18" s="1839"/>
      <c r="JC18" s="2028"/>
      <c r="JD18" s="2028"/>
      <c r="JE18" s="2954"/>
      <c r="JF18" s="1839"/>
      <c r="JG18" s="2028"/>
      <c r="JH18" s="2028"/>
      <c r="JI18" s="2954"/>
      <c r="JJ18" s="1839"/>
      <c r="JK18" s="2028"/>
      <c r="JL18" s="2028"/>
      <c r="JM18" s="2954"/>
      <c r="JN18" s="1839"/>
      <c r="JO18" s="2028"/>
      <c r="JP18" s="2028"/>
      <c r="JQ18" s="2954"/>
      <c r="JR18" s="1839"/>
      <c r="JS18" s="2028"/>
      <c r="JT18" s="2028"/>
      <c r="JU18" s="2954"/>
      <c r="JV18" s="1839"/>
      <c r="JW18" s="2028"/>
      <c r="JX18" s="2028"/>
      <c r="JY18" s="2954"/>
      <c r="JZ18" s="1839"/>
      <c r="KA18" s="2028"/>
      <c r="KB18" s="2028"/>
      <c r="KC18" s="2954"/>
      <c r="KD18" s="1839"/>
      <c r="KE18" s="2028"/>
      <c r="KF18" s="2028"/>
      <c r="KG18" s="2954"/>
      <c r="KH18" s="1839"/>
      <c r="KI18" s="2028"/>
      <c r="KJ18" s="2028"/>
      <c r="KK18" s="2954"/>
      <c r="KL18" s="1839"/>
      <c r="KM18" s="2028"/>
      <c r="KN18" s="2028"/>
      <c r="KO18" s="2954"/>
      <c r="KP18" s="1839"/>
      <c r="KQ18" s="2028"/>
      <c r="KR18" s="2028"/>
      <c r="KS18" s="2954"/>
      <c r="KT18" s="1839"/>
      <c r="KU18" s="2028"/>
      <c r="KV18" s="2028"/>
      <c r="KW18" s="2954"/>
      <c r="KX18" s="1839"/>
      <c r="KY18" s="2028"/>
      <c r="KZ18" s="2028"/>
      <c r="LA18" s="2954"/>
      <c r="LC18" s="503">
        <f xml:space="preserve"> IF( SUM( LE18:XC18 ) = 0, 0, $LG$3 )</f>
        <v>0</v>
      </c>
      <c r="LF18" s="1558">
        <f t="shared" si="0"/>
        <v>0</v>
      </c>
      <c r="LI18" s="127"/>
      <c r="LJ18" s="93">
        <f>IF(ISBLANK($C18), 0, IF(ISNUMBER(I18), 0, 1))</f>
        <v>0</v>
      </c>
      <c r="LM18" s="93"/>
      <c r="LN18" s="93">
        <f t="shared" si="1"/>
        <v>0</v>
      </c>
      <c r="LQ18" s="93"/>
      <c r="LR18" s="93">
        <f t="shared" si="2"/>
        <v>0</v>
      </c>
      <c r="LU18" s="93"/>
      <c r="LV18" s="93">
        <f t="shared" si="3"/>
        <v>0</v>
      </c>
      <c r="LY18" s="93"/>
      <c r="LZ18" s="93">
        <f t="shared" si="4"/>
        <v>0</v>
      </c>
      <c r="MC18" s="93"/>
      <c r="MD18" s="93">
        <f t="shared" si="5"/>
        <v>0</v>
      </c>
      <c r="MG18" s="93"/>
      <c r="MH18" s="93">
        <f t="shared" si="6"/>
        <v>0</v>
      </c>
      <c r="MK18" s="93"/>
      <c r="ML18" s="93">
        <f t="shared" si="7"/>
        <v>0</v>
      </c>
      <c r="MO18" s="93"/>
      <c r="MP18" s="93">
        <f t="shared" si="8"/>
        <v>0</v>
      </c>
      <c r="MS18" s="93"/>
      <c r="MT18" s="93">
        <f t="shared" si="9"/>
        <v>0</v>
      </c>
      <c r="MW18" s="93"/>
      <c r="MX18" s="93">
        <f t="shared" si="10"/>
        <v>0</v>
      </c>
      <c r="NA18" s="93"/>
      <c r="NB18" s="93">
        <f t="shared" si="11"/>
        <v>0</v>
      </c>
      <c r="NE18" s="93"/>
      <c r="NF18" s="93">
        <f t="shared" si="12"/>
        <v>0</v>
      </c>
      <c r="NI18" s="93"/>
      <c r="NJ18" s="93">
        <f t="shared" si="13"/>
        <v>0</v>
      </c>
      <c r="NM18" s="93"/>
      <c r="NN18" s="93">
        <f t="shared" si="14"/>
        <v>0</v>
      </c>
      <c r="NQ18" s="93"/>
      <c r="NR18" s="93">
        <f t="shared" si="15"/>
        <v>0</v>
      </c>
      <c r="NU18" s="93"/>
      <c r="NV18" s="93">
        <f t="shared" si="16"/>
        <v>0</v>
      </c>
      <c r="NY18" s="93"/>
      <c r="NZ18" s="93">
        <f t="shared" si="17"/>
        <v>0</v>
      </c>
      <c r="OC18" s="93"/>
      <c r="OD18" s="93">
        <f t="shared" si="18"/>
        <v>0</v>
      </c>
      <c r="OG18" s="93"/>
      <c r="OH18" s="93">
        <f t="shared" si="19"/>
        <v>0</v>
      </c>
      <c r="OK18" s="93"/>
      <c r="OL18" s="93">
        <f t="shared" si="20"/>
        <v>0</v>
      </c>
      <c r="OO18" s="93"/>
      <c r="OP18" s="93">
        <f t="shared" si="21"/>
        <v>0</v>
      </c>
      <c r="OS18" s="93"/>
      <c r="OT18" s="93">
        <f t="shared" si="22"/>
        <v>0</v>
      </c>
      <c r="OW18" s="93"/>
      <c r="OX18" s="93">
        <f t="shared" si="23"/>
        <v>0</v>
      </c>
      <c r="PA18" s="93"/>
      <c r="PB18" s="93">
        <f t="shared" si="24"/>
        <v>0</v>
      </c>
      <c r="PE18" s="93"/>
      <c r="PF18" s="93">
        <f t="shared" si="25"/>
        <v>0</v>
      </c>
      <c r="PI18" s="93"/>
      <c r="PJ18" s="93">
        <f t="shared" si="26"/>
        <v>0</v>
      </c>
      <c r="PM18" s="93"/>
      <c r="PN18" s="93">
        <f t="shared" si="27"/>
        <v>0</v>
      </c>
      <c r="PQ18" s="93"/>
      <c r="PR18" s="93">
        <f t="shared" si="28"/>
        <v>0</v>
      </c>
      <c r="PU18" s="93"/>
      <c r="PV18" s="93">
        <f t="shared" si="29"/>
        <v>0</v>
      </c>
      <c r="PY18" s="93"/>
      <c r="PZ18" s="93">
        <f t="shared" si="30"/>
        <v>0</v>
      </c>
      <c r="QC18" s="93"/>
      <c r="QD18" s="93">
        <f t="shared" si="31"/>
        <v>0</v>
      </c>
      <c r="QG18" s="93"/>
      <c r="QH18" s="93">
        <f t="shared" si="32"/>
        <v>0</v>
      </c>
      <c r="QK18" s="93"/>
      <c r="QL18" s="93">
        <f t="shared" si="33"/>
        <v>0</v>
      </c>
      <c r="QO18" s="93"/>
      <c r="QP18" s="93">
        <f t="shared" si="34"/>
        <v>0</v>
      </c>
      <c r="QS18" s="93"/>
      <c r="QT18" s="93">
        <f t="shared" si="35"/>
        <v>0</v>
      </c>
      <c r="QW18" s="93"/>
      <c r="QX18" s="93">
        <f t="shared" si="36"/>
        <v>0</v>
      </c>
      <c r="RA18" s="93"/>
      <c r="RB18" s="93">
        <f t="shared" si="37"/>
        <v>0</v>
      </c>
      <c r="RE18" s="93"/>
      <c r="RF18" s="93">
        <f t="shared" si="38"/>
        <v>0</v>
      </c>
      <c r="RI18" s="93"/>
      <c r="RJ18" s="93">
        <f t="shared" si="39"/>
        <v>0</v>
      </c>
      <c r="RM18" s="93"/>
      <c r="RN18" s="93">
        <f t="shared" si="40"/>
        <v>0</v>
      </c>
      <c r="RQ18" s="93"/>
      <c r="RR18" s="93">
        <f t="shared" si="41"/>
        <v>0</v>
      </c>
      <c r="RU18" s="93"/>
      <c r="RV18" s="93">
        <f t="shared" si="42"/>
        <v>0</v>
      </c>
      <c r="RY18" s="93"/>
      <c r="RZ18" s="93">
        <f t="shared" si="43"/>
        <v>0</v>
      </c>
      <c r="SC18" s="93"/>
      <c r="SD18" s="93">
        <f t="shared" si="44"/>
        <v>0</v>
      </c>
      <c r="SG18" s="93"/>
      <c r="SH18" s="93">
        <f t="shared" si="45"/>
        <v>0</v>
      </c>
      <c r="SK18" s="93"/>
      <c r="SL18" s="93">
        <f t="shared" si="46"/>
        <v>0</v>
      </c>
      <c r="SO18" s="93"/>
      <c r="SP18" s="93">
        <f t="shared" si="47"/>
        <v>0</v>
      </c>
      <c r="SS18" s="93"/>
      <c r="ST18" s="93">
        <f t="shared" si="48"/>
        <v>0</v>
      </c>
      <c r="SW18" s="93"/>
      <c r="SX18" s="93">
        <f t="shared" si="49"/>
        <v>0</v>
      </c>
      <c r="TA18" s="93"/>
      <c r="TB18" s="93">
        <f t="shared" si="50"/>
        <v>0</v>
      </c>
      <c r="TE18" s="93"/>
      <c r="TF18" s="93">
        <f t="shared" si="51"/>
        <v>0</v>
      </c>
      <c r="TI18" s="93"/>
      <c r="TJ18" s="93">
        <f t="shared" si="52"/>
        <v>0</v>
      </c>
      <c r="TM18" s="93"/>
      <c r="TN18" s="93">
        <f t="shared" si="53"/>
        <v>0</v>
      </c>
      <c r="TQ18" s="93"/>
      <c r="TR18" s="93">
        <f t="shared" si="54"/>
        <v>0</v>
      </c>
      <c r="TU18" s="93"/>
      <c r="TV18" s="93">
        <f t="shared" si="55"/>
        <v>0</v>
      </c>
      <c r="TY18" s="93"/>
      <c r="TZ18" s="93">
        <f t="shared" si="56"/>
        <v>0</v>
      </c>
      <c r="UC18" s="93"/>
      <c r="UD18" s="93">
        <f t="shared" si="57"/>
        <v>0</v>
      </c>
      <c r="UG18" s="93"/>
      <c r="UH18" s="93">
        <f t="shared" si="58"/>
        <v>0</v>
      </c>
      <c r="UK18" s="93"/>
      <c r="UL18" s="93">
        <f t="shared" si="59"/>
        <v>0</v>
      </c>
      <c r="UO18" s="93"/>
      <c r="UP18" s="93">
        <f t="shared" si="60"/>
        <v>0</v>
      </c>
      <c r="US18" s="93"/>
      <c r="UT18" s="93">
        <f t="shared" si="61"/>
        <v>0</v>
      </c>
      <c r="UW18" s="93"/>
      <c r="UX18" s="93">
        <f t="shared" si="62"/>
        <v>0</v>
      </c>
      <c r="VA18" s="93"/>
      <c r="VB18" s="93">
        <f t="shared" si="63"/>
        <v>0</v>
      </c>
      <c r="VE18" s="93"/>
      <c r="VF18" s="93">
        <f t="shared" si="64"/>
        <v>0</v>
      </c>
      <c r="VI18" s="93"/>
      <c r="VJ18" s="93">
        <f t="shared" si="65"/>
        <v>0</v>
      </c>
      <c r="VM18" s="93"/>
      <c r="VN18" s="93">
        <f t="shared" si="66"/>
        <v>0</v>
      </c>
      <c r="VQ18" s="93"/>
      <c r="VR18" s="93">
        <f t="shared" si="67"/>
        <v>0</v>
      </c>
      <c r="VU18" s="93"/>
      <c r="VV18" s="93">
        <f t="shared" si="68"/>
        <v>0</v>
      </c>
      <c r="VY18" s="93"/>
      <c r="VZ18" s="93">
        <f t="shared" si="69"/>
        <v>0</v>
      </c>
      <c r="WC18" s="93"/>
      <c r="WD18" s="93">
        <f t="shared" si="70"/>
        <v>0</v>
      </c>
      <c r="WG18" s="93"/>
      <c r="WH18" s="93">
        <f t="shared" si="71"/>
        <v>0</v>
      </c>
      <c r="WK18" s="93"/>
      <c r="WL18" s="93">
        <f t="shared" si="72"/>
        <v>0</v>
      </c>
      <c r="WO18" s="93"/>
      <c r="WP18" s="93">
        <f t="shared" si="73"/>
        <v>0</v>
      </c>
      <c r="WS18" s="93"/>
      <c r="WT18" s="93">
        <f t="shared" si="74"/>
        <v>0</v>
      </c>
      <c r="WW18" s="93"/>
      <c r="WX18" s="93">
        <f t="shared" si="75"/>
        <v>0</v>
      </c>
      <c r="XA18" s="93"/>
      <c r="XB18" s="93">
        <f t="shared" si="76"/>
        <v>0</v>
      </c>
    </row>
    <row r="19" spans="2:626" ht="15" thickBot="1">
      <c r="B19" s="835">
        <v>4</v>
      </c>
      <c r="C19" s="1368"/>
      <c r="D19" s="825" t="s">
        <v>2933</v>
      </c>
      <c r="E19" s="827">
        <v>1</v>
      </c>
      <c r="F19" s="1840"/>
      <c r="G19" s="1840"/>
      <c r="H19" s="1840"/>
      <c r="I19" s="2950"/>
      <c r="J19" s="2027"/>
      <c r="K19" s="2029"/>
      <c r="L19" s="2029"/>
      <c r="M19" s="2955"/>
      <c r="N19" s="1841"/>
      <c r="O19" s="2029"/>
      <c r="P19" s="2029"/>
      <c r="Q19" s="2955"/>
      <c r="R19" s="1841"/>
      <c r="S19" s="2029"/>
      <c r="T19" s="2029"/>
      <c r="U19" s="2955"/>
      <c r="V19" s="1841"/>
      <c r="W19" s="2029"/>
      <c r="X19" s="2029"/>
      <c r="Y19" s="2955"/>
      <c r="Z19" s="1841"/>
      <c r="AA19" s="2029"/>
      <c r="AB19" s="2029"/>
      <c r="AC19" s="2955"/>
      <c r="AD19" s="1841"/>
      <c r="AE19" s="2029"/>
      <c r="AF19" s="2029"/>
      <c r="AG19" s="2955"/>
      <c r="AH19" s="1841"/>
      <c r="AI19" s="2029"/>
      <c r="AJ19" s="2029"/>
      <c r="AK19" s="2955"/>
      <c r="AL19" s="1841"/>
      <c r="AM19" s="2029"/>
      <c r="AN19" s="2029"/>
      <c r="AO19" s="2955"/>
      <c r="AP19" s="1841"/>
      <c r="AQ19" s="2029"/>
      <c r="AR19" s="2029"/>
      <c r="AS19" s="2955"/>
      <c r="AT19" s="1841"/>
      <c r="AU19" s="2029"/>
      <c r="AV19" s="2029"/>
      <c r="AW19" s="2955"/>
      <c r="AX19" s="1841"/>
      <c r="AY19" s="2029"/>
      <c r="AZ19" s="2029"/>
      <c r="BA19" s="2955"/>
      <c r="BB19" s="1841"/>
      <c r="BC19" s="2029"/>
      <c r="BD19" s="2029"/>
      <c r="BE19" s="2955"/>
      <c r="BF19" s="1841"/>
      <c r="BG19" s="2029"/>
      <c r="BH19" s="2029"/>
      <c r="BI19" s="2955"/>
      <c r="BJ19" s="1841"/>
      <c r="BK19" s="2029"/>
      <c r="BL19" s="2029"/>
      <c r="BM19" s="2955"/>
      <c r="BN19" s="1841"/>
      <c r="BO19" s="2029"/>
      <c r="BP19" s="2029"/>
      <c r="BQ19" s="2955"/>
      <c r="BR19" s="1841"/>
      <c r="BS19" s="2029"/>
      <c r="BT19" s="2029"/>
      <c r="BU19" s="2955"/>
      <c r="BV19" s="1841"/>
      <c r="BW19" s="2029"/>
      <c r="BX19" s="2029"/>
      <c r="BY19" s="2955"/>
      <c r="BZ19" s="1841"/>
      <c r="CA19" s="2029"/>
      <c r="CB19" s="2029"/>
      <c r="CC19" s="2955"/>
      <c r="CD19" s="1841"/>
      <c r="CE19" s="2029"/>
      <c r="CF19" s="2029"/>
      <c r="CG19" s="2955"/>
      <c r="CH19" s="1841"/>
      <c r="CI19" s="2029"/>
      <c r="CJ19" s="2029"/>
      <c r="CK19" s="2955"/>
      <c r="CL19" s="1841"/>
      <c r="CM19" s="2029"/>
      <c r="CN19" s="2029"/>
      <c r="CO19" s="2955"/>
      <c r="CP19" s="1841"/>
      <c r="CQ19" s="2029"/>
      <c r="CR19" s="2029"/>
      <c r="CS19" s="2955"/>
      <c r="CT19" s="1841"/>
      <c r="CU19" s="2029"/>
      <c r="CV19" s="2029"/>
      <c r="CW19" s="2955"/>
      <c r="CX19" s="1841"/>
      <c r="CY19" s="2029"/>
      <c r="CZ19" s="2029"/>
      <c r="DA19" s="2955"/>
      <c r="DB19" s="1841"/>
      <c r="DC19" s="2029"/>
      <c r="DD19" s="2029"/>
      <c r="DE19" s="2955"/>
      <c r="DF19" s="1841"/>
      <c r="DG19" s="2029"/>
      <c r="DH19" s="2029"/>
      <c r="DI19" s="2955"/>
      <c r="DJ19" s="1841"/>
      <c r="DK19" s="2029"/>
      <c r="DL19" s="2029"/>
      <c r="DM19" s="2955"/>
      <c r="DN19" s="1841"/>
      <c r="DO19" s="2029"/>
      <c r="DP19" s="2029"/>
      <c r="DQ19" s="2955"/>
      <c r="DR19" s="1841"/>
      <c r="DS19" s="2029"/>
      <c r="DT19" s="2029"/>
      <c r="DU19" s="2955"/>
      <c r="DV19" s="1841"/>
      <c r="DW19" s="2029"/>
      <c r="DX19" s="2029"/>
      <c r="DY19" s="2955"/>
      <c r="DZ19" s="1841"/>
      <c r="EA19" s="2029"/>
      <c r="EB19" s="2029"/>
      <c r="EC19" s="2955"/>
      <c r="ED19" s="1841"/>
      <c r="EE19" s="2029"/>
      <c r="EF19" s="2029"/>
      <c r="EG19" s="2955"/>
      <c r="EH19" s="1841"/>
      <c r="EI19" s="2029"/>
      <c r="EJ19" s="2029"/>
      <c r="EK19" s="2955"/>
      <c r="EL19" s="1841"/>
      <c r="EM19" s="2029"/>
      <c r="EN19" s="2029"/>
      <c r="EO19" s="2955"/>
      <c r="EP19" s="1841"/>
      <c r="EQ19" s="2029"/>
      <c r="ER19" s="2029"/>
      <c r="ES19" s="2955"/>
      <c r="ET19" s="1841"/>
      <c r="EU19" s="2029"/>
      <c r="EV19" s="2029"/>
      <c r="EW19" s="2955"/>
      <c r="EX19" s="1841"/>
      <c r="EY19" s="2029"/>
      <c r="EZ19" s="2029"/>
      <c r="FA19" s="2955"/>
      <c r="FB19" s="1841"/>
      <c r="FC19" s="2029"/>
      <c r="FD19" s="2029"/>
      <c r="FE19" s="2955"/>
      <c r="FF19" s="1841"/>
      <c r="FG19" s="2029"/>
      <c r="FH19" s="2029"/>
      <c r="FI19" s="2955"/>
      <c r="FJ19" s="1841"/>
      <c r="FK19" s="2029"/>
      <c r="FL19" s="2029"/>
      <c r="FM19" s="2955"/>
      <c r="FN19" s="1841"/>
      <c r="FO19" s="2029"/>
      <c r="FP19" s="2029"/>
      <c r="FQ19" s="2955"/>
      <c r="FR19" s="1841"/>
      <c r="FS19" s="2029"/>
      <c r="FT19" s="2029"/>
      <c r="FU19" s="2955"/>
      <c r="FV19" s="1841"/>
      <c r="FW19" s="2029"/>
      <c r="FX19" s="2029"/>
      <c r="FY19" s="2955"/>
      <c r="FZ19" s="1841"/>
      <c r="GA19" s="2029"/>
      <c r="GB19" s="2029"/>
      <c r="GC19" s="2955"/>
      <c r="GD19" s="1841"/>
      <c r="GE19" s="2029"/>
      <c r="GF19" s="2029"/>
      <c r="GG19" s="2955"/>
      <c r="GH19" s="1841"/>
      <c r="GI19" s="2029"/>
      <c r="GJ19" s="2029"/>
      <c r="GK19" s="2955"/>
      <c r="GL19" s="1841"/>
      <c r="GM19" s="2029"/>
      <c r="GN19" s="2029"/>
      <c r="GO19" s="2955"/>
      <c r="GP19" s="1841"/>
      <c r="GQ19" s="2029"/>
      <c r="GR19" s="2029"/>
      <c r="GS19" s="2955"/>
      <c r="GT19" s="1841"/>
      <c r="GU19" s="2029"/>
      <c r="GV19" s="2029"/>
      <c r="GW19" s="2955"/>
      <c r="GX19" s="1841"/>
      <c r="GY19" s="2029"/>
      <c r="GZ19" s="2029"/>
      <c r="HA19" s="2955"/>
      <c r="HB19" s="1841"/>
      <c r="HC19" s="2029"/>
      <c r="HD19" s="2029"/>
      <c r="HE19" s="2955"/>
      <c r="HF19" s="1841"/>
      <c r="HG19" s="2029"/>
      <c r="HH19" s="2029"/>
      <c r="HI19" s="2955"/>
      <c r="HJ19" s="1841"/>
      <c r="HK19" s="2029"/>
      <c r="HL19" s="2029"/>
      <c r="HM19" s="2955"/>
      <c r="HN19" s="1841"/>
      <c r="HO19" s="2029"/>
      <c r="HP19" s="2029"/>
      <c r="HQ19" s="2955"/>
      <c r="HR19" s="1841"/>
      <c r="HS19" s="2029"/>
      <c r="HT19" s="2029"/>
      <c r="HU19" s="2955"/>
      <c r="HV19" s="1841"/>
      <c r="HW19" s="2029"/>
      <c r="HX19" s="2029"/>
      <c r="HY19" s="2955"/>
      <c r="HZ19" s="1841"/>
      <c r="IA19" s="2029"/>
      <c r="IB19" s="2029"/>
      <c r="IC19" s="2955"/>
      <c r="ID19" s="1841"/>
      <c r="IE19" s="2029"/>
      <c r="IF19" s="2029"/>
      <c r="IG19" s="2955"/>
      <c r="IH19" s="1841"/>
      <c r="II19" s="2029"/>
      <c r="IJ19" s="2029"/>
      <c r="IK19" s="2955"/>
      <c r="IL19" s="1841"/>
      <c r="IM19" s="2029"/>
      <c r="IN19" s="2029"/>
      <c r="IO19" s="2955"/>
      <c r="IP19" s="1841"/>
      <c r="IQ19" s="2029"/>
      <c r="IR19" s="2029"/>
      <c r="IS19" s="2955"/>
      <c r="IT19" s="1841"/>
      <c r="IU19" s="2029"/>
      <c r="IV19" s="2029"/>
      <c r="IW19" s="2955"/>
      <c r="IX19" s="1841"/>
      <c r="IY19" s="2029"/>
      <c r="IZ19" s="2029"/>
      <c r="JA19" s="2955"/>
      <c r="JB19" s="1841"/>
      <c r="JC19" s="2029"/>
      <c r="JD19" s="2029"/>
      <c r="JE19" s="2955"/>
      <c r="JF19" s="1841"/>
      <c r="JG19" s="2029"/>
      <c r="JH19" s="2029"/>
      <c r="JI19" s="2955"/>
      <c r="JJ19" s="1841"/>
      <c r="JK19" s="2029"/>
      <c r="JL19" s="2029"/>
      <c r="JM19" s="2955"/>
      <c r="JN19" s="1841"/>
      <c r="JO19" s="2029"/>
      <c r="JP19" s="2029"/>
      <c r="JQ19" s="2955"/>
      <c r="JR19" s="1841"/>
      <c r="JS19" s="2029"/>
      <c r="JT19" s="2029"/>
      <c r="JU19" s="2955"/>
      <c r="JV19" s="1841"/>
      <c r="JW19" s="2029"/>
      <c r="JX19" s="2029"/>
      <c r="JY19" s="2955"/>
      <c r="JZ19" s="1841"/>
      <c r="KA19" s="2029"/>
      <c r="KB19" s="2029"/>
      <c r="KC19" s="2955"/>
      <c r="KD19" s="1841"/>
      <c r="KE19" s="2029"/>
      <c r="KF19" s="2029"/>
      <c r="KG19" s="2955"/>
      <c r="KH19" s="1841"/>
      <c r="KI19" s="2029"/>
      <c r="KJ19" s="2029"/>
      <c r="KK19" s="2955"/>
      <c r="KL19" s="1841"/>
      <c r="KM19" s="2029"/>
      <c r="KN19" s="2029"/>
      <c r="KO19" s="2955"/>
      <c r="KP19" s="1841"/>
      <c r="KQ19" s="2029"/>
      <c r="KR19" s="2029"/>
      <c r="KS19" s="2955"/>
      <c r="KT19" s="1841"/>
      <c r="KU19" s="2029"/>
      <c r="KV19" s="2029"/>
      <c r="KW19" s="2955"/>
      <c r="KX19" s="1841"/>
      <c r="KY19" s="2029"/>
      <c r="KZ19" s="2029"/>
      <c r="LA19" s="2955"/>
      <c r="LC19" s="503">
        <f xml:space="preserve"> IF( SUM( LE19:XC19 ) = 0, 0, $LG$3 )</f>
        <v>0</v>
      </c>
      <c r="LF19" s="1558">
        <f t="shared" si="0"/>
        <v>0</v>
      </c>
      <c r="LI19" s="127"/>
      <c r="LJ19" s="93">
        <f>IF(ISBLANK($C19), 0, IF(ISNUMBER(I19), 0, 1))</f>
        <v>0</v>
      </c>
      <c r="LM19" s="93"/>
      <c r="LN19" s="93">
        <f t="shared" si="1"/>
        <v>0</v>
      </c>
      <c r="LQ19" s="93"/>
      <c r="LR19" s="93">
        <f t="shared" si="2"/>
        <v>0</v>
      </c>
      <c r="LU19" s="93"/>
      <c r="LV19" s="93">
        <f t="shared" si="3"/>
        <v>0</v>
      </c>
      <c r="LY19" s="93"/>
      <c r="LZ19" s="93">
        <f t="shared" si="4"/>
        <v>0</v>
      </c>
      <c r="MC19" s="93"/>
      <c r="MD19" s="93">
        <f t="shared" si="5"/>
        <v>0</v>
      </c>
      <c r="MG19" s="93"/>
      <c r="MH19" s="93">
        <f t="shared" si="6"/>
        <v>0</v>
      </c>
      <c r="MK19" s="93"/>
      <c r="ML19" s="93">
        <f t="shared" si="7"/>
        <v>0</v>
      </c>
      <c r="MO19" s="93"/>
      <c r="MP19" s="93">
        <f t="shared" si="8"/>
        <v>0</v>
      </c>
      <c r="MS19" s="93"/>
      <c r="MT19" s="93">
        <f t="shared" si="9"/>
        <v>0</v>
      </c>
      <c r="MW19" s="93"/>
      <c r="MX19" s="93">
        <f t="shared" si="10"/>
        <v>0</v>
      </c>
      <c r="NA19" s="93"/>
      <c r="NB19" s="93">
        <f t="shared" si="11"/>
        <v>0</v>
      </c>
      <c r="NE19" s="93"/>
      <c r="NF19" s="93">
        <f t="shared" si="12"/>
        <v>0</v>
      </c>
      <c r="NI19" s="93"/>
      <c r="NJ19" s="93">
        <f t="shared" si="13"/>
        <v>0</v>
      </c>
      <c r="NM19" s="93"/>
      <c r="NN19" s="93">
        <f t="shared" si="14"/>
        <v>0</v>
      </c>
      <c r="NQ19" s="93"/>
      <c r="NR19" s="93">
        <f t="shared" si="15"/>
        <v>0</v>
      </c>
      <c r="NU19" s="93"/>
      <c r="NV19" s="93">
        <f t="shared" si="16"/>
        <v>0</v>
      </c>
      <c r="NY19" s="93"/>
      <c r="NZ19" s="93">
        <f t="shared" si="17"/>
        <v>0</v>
      </c>
      <c r="OC19" s="93"/>
      <c r="OD19" s="93">
        <f t="shared" si="18"/>
        <v>0</v>
      </c>
      <c r="OG19" s="93"/>
      <c r="OH19" s="93">
        <f t="shared" si="19"/>
        <v>0</v>
      </c>
      <c r="OK19" s="93"/>
      <c r="OL19" s="93">
        <f t="shared" si="20"/>
        <v>0</v>
      </c>
      <c r="OO19" s="93"/>
      <c r="OP19" s="93">
        <f t="shared" si="21"/>
        <v>0</v>
      </c>
      <c r="OS19" s="93"/>
      <c r="OT19" s="93">
        <f t="shared" si="22"/>
        <v>0</v>
      </c>
      <c r="OW19" s="93"/>
      <c r="OX19" s="93">
        <f t="shared" si="23"/>
        <v>0</v>
      </c>
      <c r="PA19" s="93"/>
      <c r="PB19" s="93">
        <f t="shared" si="24"/>
        <v>0</v>
      </c>
      <c r="PE19" s="93"/>
      <c r="PF19" s="93">
        <f t="shared" si="25"/>
        <v>0</v>
      </c>
      <c r="PI19" s="93"/>
      <c r="PJ19" s="93">
        <f t="shared" si="26"/>
        <v>0</v>
      </c>
      <c r="PM19" s="93"/>
      <c r="PN19" s="93">
        <f t="shared" si="27"/>
        <v>0</v>
      </c>
      <c r="PQ19" s="93"/>
      <c r="PR19" s="93">
        <f t="shared" si="28"/>
        <v>0</v>
      </c>
      <c r="PU19" s="93"/>
      <c r="PV19" s="93">
        <f t="shared" si="29"/>
        <v>0</v>
      </c>
      <c r="PY19" s="93"/>
      <c r="PZ19" s="93">
        <f t="shared" si="30"/>
        <v>0</v>
      </c>
      <c r="QC19" s="93"/>
      <c r="QD19" s="93">
        <f t="shared" si="31"/>
        <v>0</v>
      </c>
      <c r="QG19" s="93"/>
      <c r="QH19" s="93">
        <f t="shared" si="32"/>
        <v>0</v>
      </c>
      <c r="QK19" s="93"/>
      <c r="QL19" s="93">
        <f t="shared" si="33"/>
        <v>0</v>
      </c>
      <c r="QO19" s="93"/>
      <c r="QP19" s="93">
        <f t="shared" si="34"/>
        <v>0</v>
      </c>
      <c r="QS19" s="93"/>
      <c r="QT19" s="93">
        <f t="shared" si="35"/>
        <v>0</v>
      </c>
      <c r="QW19" s="93"/>
      <c r="QX19" s="93">
        <f t="shared" si="36"/>
        <v>0</v>
      </c>
      <c r="RA19" s="93"/>
      <c r="RB19" s="93">
        <f t="shared" si="37"/>
        <v>0</v>
      </c>
      <c r="RE19" s="93"/>
      <c r="RF19" s="93">
        <f t="shared" si="38"/>
        <v>0</v>
      </c>
      <c r="RI19" s="93"/>
      <c r="RJ19" s="93">
        <f t="shared" si="39"/>
        <v>0</v>
      </c>
      <c r="RM19" s="93"/>
      <c r="RN19" s="93">
        <f t="shared" si="40"/>
        <v>0</v>
      </c>
      <c r="RQ19" s="93"/>
      <c r="RR19" s="93">
        <f t="shared" si="41"/>
        <v>0</v>
      </c>
      <c r="RU19" s="93"/>
      <c r="RV19" s="93">
        <f t="shared" si="42"/>
        <v>0</v>
      </c>
      <c r="RY19" s="93"/>
      <c r="RZ19" s="93">
        <f t="shared" si="43"/>
        <v>0</v>
      </c>
      <c r="SC19" s="93"/>
      <c r="SD19" s="93">
        <f t="shared" si="44"/>
        <v>0</v>
      </c>
      <c r="SG19" s="93"/>
      <c r="SH19" s="93">
        <f t="shared" si="45"/>
        <v>0</v>
      </c>
      <c r="SK19" s="93"/>
      <c r="SL19" s="93">
        <f t="shared" si="46"/>
        <v>0</v>
      </c>
      <c r="SO19" s="93"/>
      <c r="SP19" s="93">
        <f t="shared" si="47"/>
        <v>0</v>
      </c>
      <c r="SS19" s="93"/>
      <c r="ST19" s="93">
        <f t="shared" si="48"/>
        <v>0</v>
      </c>
      <c r="SW19" s="93"/>
      <c r="SX19" s="93">
        <f t="shared" si="49"/>
        <v>0</v>
      </c>
      <c r="TA19" s="93"/>
      <c r="TB19" s="93">
        <f t="shared" si="50"/>
        <v>0</v>
      </c>
      <c r="TE19" s="93"/>
      <c r="TF19" s="93">
        <f t="shared" si="51"/>
        <v>0</v>
      </c>
      <c r="TI19" s="93"/>
      <c r="TJ19" s="93">
        <f t="shared" si="52"/>
        <v>0</v>
      </c>
      <c r="TM19" s="93"/>
      <c r="TN19" s="93">
        <f t="shared" si="53"/>
        <v>0</v>
      </c>
      <c r="TQ19" s="93"/>
      <c r="TR19" s="93">
        <f t="shared" si="54"/>
        <v>0</v>
      </c>
      <c r="TU19" s="93"/>
      <c r="TV19" s="93">
        <f t="shared" si="55"/>
        <v>0</v>
      </c>
      <c r="TY19" s="93"/>
      <c r="TZ19" s="93">
        <f t="shared" si="56"/>
        <v>0</v>
      </c>
      <c r="UC19" s="93"/>
      <c r="UD19" s="93">
        <f t="shared" si="57"/>
        <v>0</v>
      </c>
      <c r="UG19" s="93"/>
      <c r="UH19" s="93">
        <f t="shared" si="58"/>
        <v>0</v>
      </c>
      <c r="UK19" s="93"/>
      <c r="UL19" s="93">
        <f t="shared" si="59"/>
        <v>0</v>
      </c>
      <c r="UO19" s="93"/>
      <c r="UP19" s="93">
        <f t="shared" si="60"/>
        <v>0</v>
      </c>
      <c r="US19" s="93"/>
      <c r="UT19" s="93">
        <f t="shared" si="61"/>
        <v>0</v>
      </c>
      <c r="UW19" s="93"/>
      <c r="UX19" s="93">
        <f t="shared" si="62"/>
        <v>0</v>
      </c>
      <c r="VA19" s="93"/>
      <c r="VB19" s="93">
        <f t="shared" si="63"/>
        <v>0</v>
      </c>
      <c r="VE19" s="93"/>
      <c r="VF19" s="93">
        <f t="shared" si="64"/>
        <v>0</v>
      </c>
      <c r="VI19" s="93"/>
      <c r="VJ19" s="93">
        <f t="shared" si="65"/>
        <v>0</v>
      </c>
      <c r="VM19" s="93"/>
      <c r="VN19" s="93">
        <f t="shared" si="66"/>
        <v>0</v>
      </c>
      <c r="VQ19" s="93"/>
      <c r="VR19" s="93">
        <f t="shared" si="67"/>
        <v>0</v>
      </c>
      <c r="VU19" s="93"/>
      <c r="VV19" s="93">
        <f t="shared" si="68"/>
        <v>0</v>
      </c>
      <c r="VY19" s="93"/>
      <c r="VZ19" s="93">
        <f t="shared" si="69"/>
        <v>0</v>
      </c>
      <c r="WC19" s="93"/>
      <c r="WD19" s="93">
        <f t="shared" si="70"/>
        <v>0</v>
      </c>
      <c r="WG19" s="93"/>
      <c r="WH19" s="93">
        <f t="shared" si="71"/>
        <v>0</v>
      </c>
      <c r="WK19" s="93"/>
      <c r="WL19" s="93">
        <f t="shared" si="72"/>
        <v>0</v>
      </c>
      <c r="WO19" s="93"/>
      <c r="WP19" s="93">
        <f t="shared" si="73"/>
        <v>0</v>
      </c>
      <c r="WS19" s="93"/>
      <c r="WT19" s="93">
        <f t="shared" si="74"/>
        <v>0</v>
      </c>
      <c r="WW19" s="93"/>
      <c r="WX19" s="93">
        <f t="shared" si="75"/>
        <v>0</v>
      </c>
      <c r="XA19" s="93"/>
      <c r="XB19" s="93">
        <f t="shared" si="76"/>
        <v>0</v>
      </c>
    </row>
    <row r="20" spans="2:626" ht="15" thickBot="1">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c r="AN20" s="1842"/>
      <c r="AO20" s="1842"/>
      <c r="AP20" s="1842"/>
      <c r="AQ20" s="1842"/>
      <c r="AR20" s="1842"/>
      <c r="AS20" s="1842"/>
    </row>
    <row r="21" spans="2:626" ht="18.75" customHeight="1">
      <c r="J21" s="1827" t="s">
        <v>2936</v>
      </c>
      <c r="K21" s="1828"/>
      <c r="L21" s="1828"/>
      <c r="M21" s="1829"/>
      <c r="N21" s="1827" t="s">
        <v>2937</v>
      </c>
      <c r="O21" s="1828"/>
      <c r="P21" s="1828"/>
      <c r="Q21" s="1829"/>
      <c r="R21" s="1827" t="s">
        <v>2937</v>
      </c>
      <c r="S21" s="1828"/>
      <c r="T21" s="1828"/>
      <c r="U21" s="1829"/>
      <c r="V21" s="1827" t="s">
        <v>2937</v>
      </c>
      <c r="W21" s="1828"/>
      <c r="X21" s="1828"/>
      <c r="Y21" s="1829"/>
      <c r="Z21" s="1827" t="s">
        <v>2938</v>
      </c>
      <c r="AA21" s="1828"/>
      <c r="AB21" s="1828"/>
      <c r="AC21" s="1829"/>
      <c r="AD21" s="1827" t="s">
        <v>2938</v>
      </c>
      <c r="AE21" s="1828"/>
      <c r="AF21" s="1828"/>
      <c r="AG21" s="1829"/>
      <c r="AH21" s="1827" t="s">
        <v>2938</v>
      </c>
      <c r="AI21" s="1828"/>
      <c r="AJ21" s="1828"/>
      <c r="AK21" s="1829"/>
      <c r="AL21" s="1827" t="s">
        <v>2939</v>
      </c>
      <c r="AM21" s="1828"/>
      <c r="AN21" s="1828"/>
      <c r="AO21" s="1829"/>
      <c r="AP21" s="1827" t="s">
        <v>2940</v>
      </c>
      <c r="AQ21" s="1828"/>
      <c r="AR21" s="1828"/>
      <c r="AS21" s="1829"/>
      <c r="AT21" s="1827" t="s">
        <v>2941</v>
      </c>
      <c r="AU21" s="1828"/>
      <c r="AV21" s="1828"/>
      <c r="AW21" s="1829"/>
      <c r="AX21" s="1827" t="s">
        <v>2942</v>
      </c>
      <c r="AY21" s="1828"/>
      <c r="AZ21" s="1828"/>
      <c r="BA21" s="1829"/>
      <c r="BB21" s="1827" t="s">
        <v>2943</v>
      </c>
      <c r="BC21" s="1828"/>
      <c r="BD21" s="1828"/>
      <c r="BE21" s="1829"/>
      <c r="BF21" s="1827" t="s">
        <v>2944</v>
      </c>
      <c r="BG21" s="1828"/>
      <c r="BH21" s="1828"/>
      <c r="BI21" s="1829"/>
      <c r="CU21" s="82"/>
      <c r="CV21" s="82"/>
      <c r="CW21" s="82"/>
      <c r="CX21" s="82"/>
      <c r="CY21" s="82"/>
      <c r="CZ21" s="82"/>
      <c r="DA21" s="82"/>
      <c r="DB21" s="82"/>
      <c r="LK21" s="1827" t="s">
        <v>2936</v>
      </c>
      <c r="LL21" s="1828"/>
      <c r="LM21" s="1828"/>
      <c r="LN21" s="1829"/>
      <c r="LO21" s="1827" t="s">
        <v>2937</v>
      </c>
      <c r="LP21" s="1828"/>
      <c r="LQ21" s="1828"/>
      <c r="LR21" s="1829"/>
      <c r="LS21" s="1827" t="s">
        <v>2937</v>
      </c>
      <c r="LT21" s="1828"/>
      <c r="LU21" s="1828"/>
      <c r="LV21" s="1829"/>
      <c r="LW21" s="1827" t="s">
        <v>2937</v>
      </c>
      <c r="LX21" s="1828"/>
      <c r="LY21" s="1828"/>
      <c r="LZ21" s="1829"/>
      <c r="MA21" s="1827" t="s">
        <v>2938</v>
      </c>
      <c r="MB21" s="1828"/>
      <c r="MC21" s="1828"/>
      <c r="MD21" s="1829"/>
      <c r="ME21" s="1827" t="s">
        <v>2938</v>
      </c>
      <c r="MF21" s="1828"/>
      <c r="MG21" s="1828"/>
      <c r="MH21" s="1829"/>
      <c r="MI21" s="1827" t="s">
        <v>2938</v>
      </c>
      <c r="MJ21" s="1828"/>
      <c r="MK21" s="1828"/>
      <c r="ML21" s="1829"/>
      <c r="MM21" s="1827" t="s">
        <v>2939</v>
      </c>
      <c r="MN21" s="1828"/>
      <c r="MO21" s="1828"/>
      <c r="MP21" s="1829"/>
      <c r="MQ21" s="1827" t="s">
        <v>2940</v>
      </c>
      <c r="MR21" s="1828"/>
      <c r="MS21" s="1828"/>
      <c r="MT21" s="1829"/>
      <c r="MU21" s="1827" t="s">
        <v>2941</v>
      </c>
      <c r="MV21" s="1828"/>
      <c r="MW21" s="1828"/>
      <c r="MX21" s="1829"/>
      <c r="MY21" s="1827" t="s">
        <v>2942</v>
      </c>
      <c r="MZ21" s="1828"/>
      <c r="NA21" s="1828"/>
      <c r="NB21" s="1829"/>
      <c r="NC21" s="1827" t="s">
        <v>2943</v>
      </c>
      <c r="ND21" s="1828"/>
      <c r="NE21" s="1828"/>
      <c r="NF21" s="1829"/>
      <c r="NG21" s="1827" t="s">
        <v>2944</v>
      </c>
      <c r="NH21" s="1828"/>
      <c r="NI21" s="1828"/>
      <c r="NJ21" s="1829"/>
    </row>
    <row r="22" spans="2:626" ht="18.75" customHeight="1" thickBot="1">
      <c r="B22" s="831"/>
      <c r="C22" s="832"/>
      <c r="D22" s="819"/>
      <c r="E22" s="819"/>
      <c r="F22" s="819"/>
      <c r="G22" s="1843"/>
      <c r="H22" s="1843"/>
      <c r="I22" s="1843"/>
      <c r="J22" s="1844" t="s">
        <v>2775</v>
      </c>
      <c r="K22" s="1845"/>
      <c r="L22" s="1845"/>
      <c r="M22" s="1846"/>
      <c r="N22" s="1844" t="s">
        <v>2945</v>
      </c>
      <c r="O22" s="1845"/>
      <c r="P22" s="1845"/>
      <c r="Q22" s="1846"/>
      <c r="R22" s="1844" t="s">
        <v>2946</v>
      </c>
      <c r="S22" s="1845"/>
      <c r="T22" s="1845"/>
      <c r="U22" s="1846"/>
      <c r="V22" s="1844" t="s">
        <v>2947</v>
      </c>
      <c r="W22" s="1845"/>
      <c r="X22" s="1845"/>
      <c r="Y22" s="1846"/>
      <c r="Z22" s="1844" t="s">
        <v>2948</v>
      </c>
      <c r="AA22" s="1845"/>
      <c r="AB22" s="1845"/>
      <c r="AC22" s="1846"/>
      <c r="AD22" s="1844" t="s">
        <v>2949</v>
      </c>
      <c r="AE22" s="1845"/>
      <c r="AF22" s="1845"/>
      <c r="AG22" s="1846"/>
      <c r="AH22" s="1844" t="s">
        <v>2950</v>
      </c>
      <c r="AI22" s="1845"/>
      <c r="AJ22" s="1845"/>
      <c r="AK22" s="1846"/>
      <c r="AL22" s="1844" t="s">
        <v>2782</v>
      </c>
      <c r="AM22" s="1845"/>
      <c r="AN22" s="1845"/>
      <c r="AO22" s="1846"/>
      <c r="AP22" s="1844" t="s">
        <v>2793</v>
      </c>
      <c r="AQ22" s="1845"/>
      <c r="AR22" s="1845"/>
      <c r="AS22" s="1846"/>
      <c r="AT22" s="1844" t="s">
        <v>2800</v>
      </c>
      <c r="AU22" s="1845"/>
      <c r="AV22" s="1845"/>
      <c r="AW22" s="1846"/>
      <c r="AX22" s="1844" t="s">
        <v>2808</v>
      </c>
      <c r="AY22" s="1845"/>
      <c r="AZ22" s="1845"/>
      <c r="BA22" s="1846"/>
      <c r="BB22" s="1844" t="s">
        <v>2811</v>
      </c>
      <c r="BC22" s="1845"/>
      <c r="BD22" s="1845"/>
      <c r="BE22" s="1846"/>
      <c r="BF22" s="1844" t="s">
        <v>2813</v>
      </c>
      <c r="BG22" s="1845"/>
      <c r="BH22" s="1845"/>
      <c r="BI22" s="1846"/>
      <c r="CU22" s="82"/>
      <c r="CV22" s="82"/>
      <c r="CW22" s="82"/>
      <c r="CX22" s="82"/>
      <c r="CY22" s="82"/>
      <c r="CZ22" s="82"/>
      <c r="DA22" s="82"/>
      <c r="DB22" s="82"/>
      <c r="LG22" s="819"/>
      <c r="LH22" s="1843"/>
      <c r="LI22" s="1843"/>
      <c r="LJ22" s="1843"/>
      <c r="LK22" s="1844" t="s">
        <v>2775</v>
      </c>
      <c r="LL22" s="1845"/>
      <c r="LM22" s="1845"/>
      <c r="LN22" s="1846"/>
      <c r="LO22" s="1844" t="s">
        <v>2945</v>
      </c>
      <c r="LP22" s="1845"/>
      <c r="LQ22" s="1845"/>
      <c r="LR22" s="1846"/>
      <c r="LS22" s="1844" t="s">
        <v>2946</v>
      </c>
      <c r="LT22" s="1845"/>
      <c r="LU22" s="1845"/>
      <c r="LV22" s="1846"/>
      <c r="LW22" s="1844" t="s">
        <v>2947</v>
      </c>
      <c r="LX22" s="1845"/>
      <c r="LY22" s="1845"/>
      <c r="LZ22" s="1846"/>
      <c r="MA22" s="1844" t="s">
        <v>2948</v>
      </c>
      <c r="MB22" s="1845"/>
      <c r="MC22" s="1845"/>
      <c r="MD22" s="1846"/>
      <c r="ME22" s="1844" t="s">
        <v>2949</v>
      </c>
      <c r="MF22" s="1845"/>
      <c r="MG22" s="1845"/>
      <c r="MH22" s="1846"/>
      <c r="MI22" s="1844" t="s">
        <v>2950</v>
      </c>
      <c r="MJ22" s="1845"/>
      <c r="MK22" s="1845"/>
      <c r="ML22" s="1846"/>
      <c r="MM22" s="1844" t="s">
        <v>2782</v>
      </c>
      <c r="MN22" s="1845"/>
      <c r="MO22" s="1845"/>
      <c r="MP22" s="1846"/>
      <c r="MQ22" s="1844" t="s">
        <v>2793</v>
      </c>
      <c r="MR22" s="1845"/>
      <c r="MS22" s="1845"/>
      <c r="MT22" s="1846"/>
      <c r="MU22" s="1844" t="s">
        <v>2800</v>
      </c>
      <c r="MV22" s="1845"/>
      <c r="MW22" s="1845"/>
      <c r="MX22" s="1846"/>
      <c r="MY22" s="1844" t="s">
        <v>2808</v>
      </c>
      <c r="MZ22" s="1845"/>
      <c r="NA22" s="1845"/>
      <c r="NB22" s="1846"/>
      <c r="NC22" s="1844" t="s">
        <v>2811</v>
      </c>
      <c r="ND22" s="1845"/>
      <c r="NE22" s="1845"/>
      <c r="NF22" s="1846"/>
      <c r="NG22" s="1844" t="s">
        <v>2813</v>
      </c>
      <c r="NH22" s="1845"/>
      <c r="NI22" s="1845"/>
      <c r="NJ22" s="1846"/>
    </row>
    <row r="23" spans="2:626" ht="15" customHeight="1">
      <c r="B23" s="833" t="s">
        <v>177</v>
      </c>
      <c r="C23" s="834" t="s">
        <v>2951</v>
      </c>
      <c r="D23" s="820" t="str">
        <f t="shared" ref="D23:I23" si="77">D15</f>
        <v>Units</v>
      </c>
      <c r="E23" s="820" t="str">
        <f t="shared" si="77"/>
        <v>DPs</v>
      </c>
      <c r="F23" s="820" t="str">
        <f t="shared" si="77"/>
        <v>2016-17</v>
      </c>
      <c r="G23" s="820" t="str">
        <f t="shared" si="77"/>
        <v>2017-18</v>
      </c>
      <c r="H23" s="820" t="str">
        <f t="shared" si="77"/>
        <v>2018-19</v>
      </c>
      <c r="I23" s="821" t="str">
        <f t="shared" si="77"/>
        <v>2019-20</v>
      </c>
      <c r="J23" s="1747" t="str">
        <f>$J$15</f>
        <v>2016-17</v>
      </c>
      <c r="K23" s="1748" t="str">
        <f>$K$15</f>
        <v>2017-18</v>
      </c>
      <c r="L23" s="1748" t="str">
        <f>$L$15</f>
        <v>2018-19</v>
      </c>
      <c r="M23" s="1749" t="str">
        <f>$M$15</f>
        <v>2019-20</v>
      </c>
      <c r="N23" s="1747" t="str">
        <f>$J$15</f>
        <v>2016-17</v>
      </c>
      <c r="O23" s="1748" t="str">
        <f>$K$15</f>
        <v>2017-18</v>
      </c>
      <c r="P23" s="1748" t="str">
        <f>$L$15</f>
        <v>2018-19</v>
      </c>
      <c r="Q23" s="1749" t="str">
        <f>$M$15</f>
        <v>2019-20</v>
      </c>
      <c r="R23" s="1747" t="str">
        <f>$J$15</f>
        <v>2016-17</v>
      </c>
      <c r="S23" s="1748" t="str">
        <f>$K$15</f>
        <v>2017-18</v>
      </c>
      <c r="T23" s="1748" t="str">
        <f>$L$15</f>
        <v>2018-19</v>
      </c>
      <c r="U23" s="1749" t="str">
        <f>$M$15</f>
        <v>2019-20</v>
      </c>
      <c r="V23" s="1747" t="str">
        <f>$J$15</f>
        <v>2016-17</v>
      </c>
      <c r="W23" s="1748" t="str">
        <f>$K$15</f>
        <v>2017-18</v>
      </c>
      <c r="X23" s="1748" t="str">
        <f>$L$15</f>
        <v>2018-19</v>
      </c>
      <c r="Y23" s="1749" t="str">
        <f>$M$15</f>
        <v>2019-20</v>
      </c>
      <c r="Z23" s="1747" t="str">
        <f>$J$15</f>
        <v>2016-17</v>
      </c>
      <c r="AA23" s="1748" t="str">
        <f>$K$15</f>
        <v>2017-18</v>
      </c>
      <c r="AB23" s="1748" t="str">
        <f>$L$15</f>
        <v>2018-19</v>
      </c>
      <c r="AC23" s="1749" t="str">
        <f>$M$15</f>
        <v>2019-20</v>
      </c>
      <c r="AD23" s="1747" t="str">
        <f>$J$15</f>
        <v>2016-17</v>
      </c>
      <c r="AE23" s="1748" t="str">
        <f>$K$15</f>
        <v>2017-18</v>
      </c>
      <c r="AF23" s="1748" t="str">
        <f>$L$15</f>
        <v>2018-19</v>
      </c>
      <c r="AG23" s="1749" t="str">
        <f>$M$15</f>
        <v>2019-20</v>
      </c>
      <c r="AH23" s="1747" t="str">
        <f>$J$15</f>
        <v>2016-17</v>
      </c>
      <c r="AI23" s="1748" t="str">
        <f>$K$15</f>
        <v>2017-18</v>
      </c>
      <c r="AJ23" s="1748" t="str">
        <f>$L$15</f>
        <v>2018-19</v>
      </c>
      <c r="AK23" s="1749" t="str">
        <f>$M$15</f>
        <v>2019-20</v>
      </c>
      <c r="AL23" s="1747" t="str">
        <f>$J$15</f>
        <v>2016-17</v>
      </c>
      <c r="AM23" s="1748" t="str">
        <f>$K$15</f>
        <v>2017-18</v>
      </c>
      <c r="AN23" s="1748" t="str">
        <f>$L$15</f>
        <v>2018-19</v>
      </c>
      <c r="AO23" s="1749" t="str">
        <f>$M$15</f>
        <v>2019-20</v>
      </c>
      <c r="AP23" s="1747" t="str">
        <f>$J$15</f>
        <v>2016-17</v>
      </c>
      <c r="AQ23" s="1748" t="str">
        <f>$K$15</f>
        <v>2017-18</v>
      </c>
      <c r="AR23" s="1748" t="str">
        <f>$L$15</f>
        <v>2018-19</v>
      </c>
      <c r="AS23" s="1749" t="str">
        <f>$M$15</f>
        <v>2019-20</v>
      </c>
      <c r="AT23" s="1747" t="str">
        <f>$J$15</f>
        <v>2016-17</v>
      </c>
      <c r="AU23" s="1748" t="str">
        <f>$K$15</f>
        <v>2017-18</v>
      </c>
      <c r="AV23" s="1748" t="str">
        <f>$L$15</f>
        <v>2018-19</v>
      </c>
      <c r="AW23" s="1749" t="str">
        <f>$M$15</f>
        <v>2019-20</v>
      </c>
      <c r="AX23" s="1747" t="str">
        <f>$J$15</f>
        <v>2016-17</v>
      </c>
      <c r="AY23" s="1748" t="str">
        <f>$K$15</f>
        <v>2017-18</v>
      </c>
      <c r="AZ23" s="1748" t="str">
        <f>$L$15</f>
        <v>2018-19</v>
      </c>
      <c r="BA23" s="1749" t="str">
        <f>$M$15</f>
        <v>2019-20</v>
      </c>
      <c r="BB23" s="1747" t="str">
        <f>$J$15</f>
        <v>2016-17</v>
      </c>
      <c r="BC23" s="1748" t="str">
        <f>$K$15</f>
        <v>2017-18</v>
      </c>
      <c r="BD23" s="1748" t="str">
        <f>$L$15</f>
        <v>2018-19</v>
      </c>
      <c r="BE23" s="1749" t="str">
        <f>$M$15</f>
        <v>2019-20</v>
      </c>
      <c r="BF23" s="1747" t="str">
        <f>$J$15</f>
        <v>2016-17</v>
      </c>
      <c r="BG23" s="1748" t="str">
        <f>$K$15</f>
        <v>2017-18</v>
      </c>
      <c r="BH23" s="1748" t="str">
        <f>$L$15</f>
        <v>2018-19</v>
      </c>
      <c r="BI23" s="1749" t="str">
        <f>$M$15</f>
        <v>2019-20</v>
      </c>
      <c r="CU23" s="82"/>
      <c r="CV23" s="82"/>
      <c r="CW23" s="82"/>
      <c r="CX23" s="82"/>
      <c r="CY23" s="82"/>
      <c r="CZ23" s="82"/>
      <c r="DA23" s="82"/>
      <c r="DB23" s="82"/>
      <c r="LF23" s="834" t="s">
        <v>2951</v>
      </c>
      <c r="LG23" s="820" t="str">
        <f t="shared" ref="LG23:LJ23" si="78">LG15</f>
        <v>2016-17</v>
      </c>
      <c r="LH23" s="820" t="str">
        <f t="shared" si="78"/>
        <v>2017-18</v>
      </c>
      <c r="LI23" s="820" t="str">
        <f t="shared" si="78"/>
        <v>2018-19</v>
      </c>
      <c r="LJ23" s="821" t="str">
        <f t="shared" si="78"/>
        <v>2019-20</v>
      </c>
      <c r="LK23" s="1747" t="str">
        <f>$J$15</f>
        <v>2016-17</v>
      </c>
      <c r="LL23" s="1748" t="str">
        <f>$K$15</f>
        <v>2017-18</v>
      </c>
      <c r="LM23" s="1748" t="str">
        <f>$L$15</f>
        <v>2018-19</v>
      </c>
      <c r="LN23" s="1749" t="str">
        <f>$M$15</f>
        <v>2019-20</v>
      </c>
      <c r="LO23" s="1747" t="str">
        <f>$J$15</f>
        <v>2016-17</v>
      </c>
      <c r="LP23" s="1748" t="str">
        <f>$K$15</f>
        <v>2017-18</v>
      </c>
      <c r="LQ23" s="1748" t="str">
        <f>$L$15</f>
        <v>2018-19</v>
      </c>
      <c r="LR23" s="1749" t="str">
        <f>$M$15</f>
        <v>2019-20</v>
      </c>
      <c r="LS23" s="1747" t="str">
        <f>$J$15</f>
        <v>2016-17</v>
      </c>
      <c r="LT23" s="1748" t="str">
        <f>$K$15</f>
        <v>2017-18</v>
      </c>
      <c r="LU23" s="1748" t="str">
        <f>$L$15</f>
        <v>2018-19</v>
      </c>
      <c r="LV23" s="1749" t="str">
        <f>$M$15</f>
        <v>2019-20</v>
      </c>
      <c r="LW23" s="1747" t="str">
        <f>$J$15</f>
        <v>2016-17</v>
      </c>
      <c r="LX23" s="1748" t="str">
        <f>$K$15</f>
        <v>2017-18</v>
      </c>
      <c r="LY23" s="1748" t="str">
        <f>$L$15</f>
        <v>2018-19</v>
      </c>
      <c r="LZ23" s="1749" t="str">
        <f>$M$15</f>
        <v>2019-20</v>
      </c>
      <c r="MA23" s="1747" t="str">
        <f>$J$15</f>
        <v>2016-17</v>
      </c>
      <c r="MB23" s="1748" t="str">
        <f>$K$15</f>
        <v>2017-18</v>
      </c>
      <c r="MC23" s="1748" t="str">
        <f>$L$15</f>
        <v>2018-19</v>
      </c>
      <c r="MD23" s="1749" t="str">
        <f>$M$15</f>
        <v>2019-20</v>
      </c>
      <c r="ME23" s="1747" t="str">
        <f>$J$15</f>
        <v>2016-17</v>
      </c>
      <c r="MF23" s="1748" t="str">
        <f>$K$15</f>
        <v>2017-18</v>
      </c>
      <c r="MG23" s="1748" t="str">
        <f>$L$15</f>
        <v>2018-19</v>
      </c>
      <c r="MH23" s="1749" t="str">
        <f>$M$15</f>
        <v>2019-20</v>
      </c>
      <c r="MI23" s="1747" t="str">
        <f>$J$15</f>
        <v>2016-17</v>
      </c>
      <c r="MJ23" s="1748" t="str">
        <f>$K$15</f>
        <v>2017-18</v>
      </c>
      <c r="MK23" s="1748" t="str">
        <f>$L$15</f>
        <v>2018-19</v>
      </c>
      <c r="ML23" s="1749" t="str">
        <f>$M$15</f>
        <v>2019-20</v>
      </c>
      <c r="MM23" s="1747" t="str">
        <f>$J$15</f>
        <v>2016-17</v>
      </c>
      <c r="MN23" s="1748" t="str">
        <f>$K$15</f>
        <v>2017-18</v>
      </c>
      <c r="MO23" s="1748" t="str">
        <f>$L$15</f>
        <v>2018-19</v>
      </c>
      <c r="MP23" s="1749" t="str">
        <f>$M$15</f>
        <v>2019-20</v>
      </c>
      <c r="MQ23" s="1747" t="str">
        <f>$J$15</f>
        <v>2016-17</v>
      </c>
      <c r="MR23" s="1748" t="str">
        <f>$K$15</f>
        <v>2017-18</v>
      </c>
      <c r="MS23" s="1748" t="str">
        <f>$L$15</f>
        <v>2018-19</v>
      </c>
      <c r="MT23" s="1749" t="str">
        <f>$M$15</f>
        <v>2019-20</v>
      </c>
      <c r="MU23" s="1747" t="str">
        <f>$J$15</f>
        <v>2016-17</v>
      </c>
      <c r="MV23" s="1748" t="str">
        <f>$K$15</f>
        <v>2017-18</v>
      </c>
      <c r="MW23" s="1748" t="str">
        <f>$L$15</f>
        <v>2018-19</v>
      </c>
      <c r="MX23" s="1749" t="str">
        <f>$M$15</f>
        <v>2019-20</v>
      </c>
      <c r="MY23" s="1747" t="str">
        <f>$J$15</f>
        <v>2016-17</v>
      </c>
      <c r="MZ23" s="1748" t="str">
        <f>$K$15</f>
        <v>2017-18</v>
      </c>
      <c r="NA23" s="1748" t="str">
        <f>$L$15</f>
        <v>2018-19</v>
      </c>
      <c r="NB23" s="1749" t="str">
        <f>$M$15</f>
        <v>2019-20</v>
      </c>
      <c r="NC23" s="1747" t="str">
        <f>$J$15</f>
        <v>2016-17</v>
      </c>
      <c r="ND23" s="1748" t="str">
        <f>$K$15</f>
        <v>2017-18</v>
      </c>
      <c r="NE23" s="1748" t="str">
        <f>$L$15</f>
        <v>2018-19</v>
      </c>
      <c r="NF23" s="1749" t="str">
        <f>$M$15</f>
        <v>2019-20</v>
      </c>
      <c r="NG23" s="1747" t="str">
        <f>$J$15</f>
        <v>2016-17</v>
      </c>
      <c r="NH23" s="1748" t="str">
        <f>$K$15</f>
        <v>2017-18</v>
      </c>
      <c r="NI23" s="1748" t="str">
        <f>$L$15</f>
        <v>2018-19</v>
      </c>
      <c r="NJ23" s="1749" t="str">
        <f>$M$15</f>
        <v>2019-20</v>
      </c>
    </row>
    <row r="24" spans="2:626" ht="30.2" customHeight="1" thickBot="1">
      <c r="B24" s="835">
        <v>5</v>
      </c>
      <c r="C24" s="836" t="s">
        <v>2952</v>
      </c>
      <c r="D24" s="823" t="s">
        <v>2953</v>
      </c>
      <c r="E24" s="837" t="s">
        <v>2335</v>
      </c>
      <c r="F24" s="1847"/>
      <c r="G24" s="1847"/>
      <c r="H24" s="1847"/>
      <c r="I24" s="2951">
        <v>4.6527777777777774E-3</v>
      </c>
      <c r="J24" s="1841"/>
      <c r="K24" s="2029"/>
      <c r="L24" s="2029"/>
      <c r="M24" s="2955" t="s">
        <v>2934</v>
      </c>
      <c r="N24" s="1841"/>
      <c r="O24" s="2029"/>
      <c r="P24" s="2029"/>
      <c r="Q24" s="2955" t="s">
        <v>2934</v>
      </c>
      <c r="R24" s="1841"/>
      <c r="S24" s="2029"/>
      <c r="T24" s="2029"/>
      <c r="U24" s="2955" t="s">
        <v>2934</v>
      </c>
      <c r="V24" s="1841"/>
      <c r="W24" s="2029"/>
      <c r="X24" s="2029"/>
      <c r="Y24" s="2955" t="s">
        <v>2934</v>
      </c>
      <c r="Z24" s="1841"/>
      <c r="AA24" s="2029"/>
      <c r="AB24" s="2029"/>
      <c r="AC24" s="2955" t="s">
        <v>2934</v>
      </c>
      <c r="AD24" s="1841"/>
      <c r="AE24" s="2029"/>
      <c r="AF24" s="2029"/>
      <c r="AG24" s="2955" t="s">
        <v>2934</v>
      </c>
      <c r="AH24" s="1841"/>
      <c r="AI24" s="2029"/>
      <c r="AJ24" s="2029"/>
      <c r="AK24" s="2955" t="s">
        <v>2934</v>
      </c>
      <c r="AL24" s="1841"/>
      <c r="AM24" s="2029"/>
      <c r="AN24" s="2029"/>
      <c r="AO24" s="2955" t="s">
        <v>2934</v>
      </c>
      <c r="AP24" s="1841"/>
      <c r="AQ24" s="2029"/>
      <c r="AR24" s="2029"/>
      <c r="AS24" s="2955" t="s">
        <v>2934</v>
      </c>
      <c r="AT24" s="1841"/>
      <c r="AU24" s="2029"/>
      <c r="AV24" s="2029"/>
      <c r="AW24" s="2955" t="s">
        <v>2934</v>
      </c>
      <c r="AX24" s="1841"/>
      <c r="AY24" s="2029"/>
      <c r="AZ24" s="2029"/>
      <c r="BA24" s="2955" t="s">
        <v>2934</v>
      </c>
      <c r="BB24" s="1841"/>
      <c r="BC24" s="2029"/>
      <c r="BD24" s="2029"/>
      <c r="BE24" s="2955" t="s">
        <v>2934</v>
      </c>
      <c r="BF24" s="1841"/>
      <c r="BG24" s="2029"/>
      <c r="BH24" s="2029"/>
      <c r="BI24" s="2955" t="s">
        <v>2934</v>
      </c>
      <c r="CU24" s="82"/>
      <c r="CV24" s="82"/>
      <c r="CW24" s="82"/>
      <c r="CX24" s="82"/>
      <c r="CY24" s="82"/>
      <c r="CZ24" s="82"/>
      <c r="DA24" s="82"/>
      <c r="DB24" s="82"/>
      <c r="LC24" s="503">
        <f xml:space="preserve"> IF( SUM( LE24:XC24 ) = 0, 0, $LG$3 )</f>
        <v>0</v>
      </c>
      <c r="LF24" s="1558">
        <f>SUM(LG24:XC24)</f>
        <v>0</v>
      </c>
      <c r="LI24" s="93"/>
      <c r="LJ24" s="93">
        <f>IF(ISNUMBER(I24),0,1)</f>
        <v>0</v>
      </c>
      <c r="LM24" s="93"/>
      <c r="LN24" s="93">
        <f>IF(ISBLANK(M24),1,0)</f>
        <v>0</v>
      </c>
      <c r="LQ24" s="93"/>
      <c r="LR24" s="93">
        <f>IF(ISBLANK(Q24),1,0)</f>
        <v>0</v>
      </c>
      <c r="LU24" s="93"/>
      <c r="LV24" s="93">
        <f>IF(ISBLANK(U24),1,0)</f>
        <v>0</v>
      </c>
      <c r="LY24" s="93"/>
      <c r="LZ24" s="93">
        <f>IF(ISBLANK(Y24),1,0)</f>
        <v>0</v>
      </c>
      <c r="MC24" s="93"/>
      <c r="MD24" s="93">
        <f>IF(ISBLANK(AC24),1,0)</f>
        <v>0</v>
      </c>
      <c r="MG24" s="93"/>
      <c r="MH24" s="93">
        <f>IF(ISBLANK(AG24),1,0)</f>
        <v>0</v>
      </c>
      <c r="MK24" s="93"/>
      <c r="ML24" s="93">
        <f>IF(ISBLANK(AK24),1,0)</f>
        <v>0</v>
      </c>
      <c r="MO24" s="93"/>
      <c r="MP24" s="93">
        <f>IF(ISBLANK(AO24),1,0)</f>
        <v>0</v>
      </c>
      <c r="MS24" s="93"/>
      <c r="MT24" s="93">
        <f>IF(ISBLANK(AS24),1,0)</f>
        <v>0</v>
      </c>
      <c r="MW24" s="93"/>
      <c r="MX24" s="93">
        <f>IF(ISBLANK(AW24),1,0)</f>
        <v>0</v>
      </c>
      <c r="NA24" s="93"/>
      <c r="NB24" s="93">
        <f>IF(ISBLANK(BA24),1,0)</f>
        <v>0</v>
      </c>
      <c r="NE24" s="93"/>
      <c r="NF24" s="93">
        <f>IF(ISBLANK(BE24),1,0)</f>
        <v>0</v>
      </c>
      <c r="NI24" s="93"/>
      <c r="NJ24" s="93">
        <f>IF(ISBLANK(BI24),1,0)</f>
        <v>0</v>
      </c>
    </row>
    <row r="25" spans="2:626" ht="15.75" customHeight="1" thickBot="1">
      <c r="J25" s="1842"/>
      <c r="K25" s="1842"/>
      <c r="L25" s="1842"/>
      <c r="M25" s="1842"/>
      <c r="N25" s="1842"/>
      <c r="O25" s="1842"/>
      <c r="P25" s="1842"/>
      <c r="Q25" s="1842"/>
      <c r="R25" s="1842"/>
      <c r="S25" s="1842"/>
      <c r="T25" s="1842"/>
      <c r="U25" s="1842"/>
      <c r="V25" s="1842"/>
      <c r="W25" s="1842"/>
      <c r="X25" s="1842"/>
      <c r="Y25" s="1842"/>
      <c r="Z25" s="1842"/>
      <c r="AA25" s="1842"/>
      <c r="AB25" s="1842"/>
      <c r="AC25" s="1842"/>
      <c r="AD25" s="1842"/>
      <c r="AE25" s="1842"/>
      <c r="AF25" s="1842"/>
      <c r="AG25" s="1842"/>
      <c r="AH25" s="1842"/>
      <c r="AI25" s="1842"/>
      <c r="AJ25" s="1842"/>
      <c r="AK25" s="1842"/>
      <c r="AL25" s="1842"/>
      <c r="AM25" s="1842"/>
      <c r="AN25" s="1842"/>
      <c r="AO25" s="1842"/>
      <c r="AP25" s="1842"/>
      <c r="AQ25" s="1842"/>
      <c r="AR25" s="1842"/>
      <c r="AS25" s="1842"/>
      <c r="CU25" s="82"/>
      <c r="CV25" s="82"/>
      <c r="CW25" s="82"/>
      <c r="CX25" s="82"/>
      <c r="CY25" s="82"/>
      <c r="CZ25" s="82"/>
      <c r="DA25" s="82"/>
      <c r="DB25" s="82"/>
    </row>
    <row r="26" spans="2:626" ht="18.75" customHeight="1">
      <c r="J26" s="1827" t="s">
        <v>2954</v>
      </c>
      <c r="K26" s="1828"/>
      <c r="L26" s="1828"/>
      <c r="M26" s="1829"/>
      <c r="N26" s="1827" t="s">
        <v>2955</v>
      </c>
      <c r="O26" s="1828"/>
      <c r="P26" s="1828"/>
      <c r="Q26" s="1829"/>
      <c r="R26" s="1827" t="s">
        <v>2956</v>
      </c>
      <c r="S26" s="1828"/>
      <c r="T26" s="1828"/>
      <c r="U26" s="1829"/>
      <c r="V26" s="1827" t="s">
        <v>2957</v>
      </c>
      <c r="W26" s="1828"/>
      <c r="X26" s="1828"/>
      <c r="Y26" s="1829"/>
      <c r="Z26" s="1842"/>
      <c r="AA26" s="1842"/>
      <c r="AB26" s="1842"/>
      <c r="AC26" s="1842"/>
      <c r="AD26" s="1842"/>
      <c r="AE26" s="1842"/>
      <c r="AF26" s="1842"/>
      <c r="AG26" s="1842"/>
      <c r="AH26" s="1842"/>
      <c r="AI26" s="1842"/>
      <c r="AJ26" s="1842"/>
      <c r="AK26" s="1842"/>
      <c r="AL26" s="1842"/>
      <c r="AM26" s="1842"/>
      <c r="AN26" s="1842"/>
      <c r="AO26" s="1842"/>
      <c r="AP26" s="1842"/>
      <c r="AQ26" s="1842"/>
      <c r="AR26" s="1842"/>
      <c r="AS26" s="1842"/>
      <c r="CU26" s="82"/>
      <c r="CV26" s="82"/>
      <c r="CW26" s="82"/>
      <c r="CX26" s="82"/>
      <c r="CY26" s="82"/>
      <c r="CZ26" s="82"/>
      <c r="DA26" s="82"/>
      <c r="DB26" s="82"/>
      <c r="LK26" s="1827" t="s">
        <v>2954</v>
      </c>
      <c r="LL26" s="1828"/>
      <c r="LM26" s="1828"/>
      <c r="LN26" s="1829"/>
      <c r="LO26" s="1827" t="s">
        <v>2955</v>
      </c>
      <c r="LP26" s="1828"/>
      <c r="LQ26" s="1828"/>
      <c r="LR26" s="1829"/>
      <c r="LS26" s="1827" t="s">
        <v>2956</v>
      </c>
      <c r="LT26" s="1828"/>
      <c r="LU26" s="1828"/>
      <c r="LV26" s="1829"/>
      <c r="LW26" s="1827" t="s">
        <v>2957</v>
      </c>
      <c r="LX26" s="1828"/>
      <c r="LY26" s="1828"/>
      <c r="LZ26" s="1829"/>
    </row>
    <row r="27" spans="2:626" ht="18.75" customHeight="1" thickBot="1">
      <c r="B27" s="831"/>
      <c r="C27" s="832"/>
      <c r="D27" s="819"/>
      <c r="E27" s="819"/>
      <c r="F27" s="819"/>
      <c r="G27" s="1843"/>
      <c r="H27" s="1843"/>
      <c r="I27" s="1843"/>
      <c r="J27" s="1844" t="s">
        <v>2775</v>
      </c>
      <c r="K27" s="1845"/>
      <c r="L27" s="1845"/>
      <c r="M27" s="1846"/>
      <c r="N27" s="1844" t="s">
        <v>2776</v>
      </c>
      <c r="O27" s="1845"/>
      <c r="P27" s="1845"/>
      <c r="Q27" s="1846"/>
      <c r="R27" s="1844" t="s">
        <v>2777</v>
      </c>
      <c r="S27" s="1845"/>
      <c r="T27" s="1845"/>
      <c r="U27" s="1846"/>
      <c r="V27" s="1844" t="s">
        <v>2782</v>
      </c>
      <c r="W27" s="1845"/>
      <c r="X27" s="1845"/>
      <c r="Y27" s="1846"/>
      <c r="Z27" s="1842"/>
      <c r="AA27" s="1842"/>
      <c r="AB27" s="1842"/>
      <c r="AC27" s="1842"/>
      <c r="AD27" s="1842"/>
      <c r="AE27" s="1842"/>
      <c r="AF27" s="1842"/>
      <c r="AG27" s="1842"/>
      <c r="AH27" s="1842"/>
      <c r="AI27" s="1842"/>
      <c r="AJ27" s="1842"/>
      <c r="AK27" s="1842"/>
      <c r="AL27" s="1842"/>
      <c r="AM27" s="1842"/>
      <c r="AN27" s="1842"/>
      <c r="AO27" s="1842"/>
      <c r="AP27" s="1842"/>
      <c r="AQ27" s="1842"/>
      <c r="AR27" s="1842"/>
      <c r="AS27" s="1842"/>
      <c r="CU27" s="82"/>
      <c r="CV27" s="82"/>
      <c r="CW27" s="82"/>
      <c r="CX27" s="82"/>
      <c r="CY27" s="82"/>
      <c r="CZ27" s="82"/>
      <c r="DA27" s="82"/>
      <c r="DB27" s="82"/>
      <c r="IO27" s="82"/>
      <c r="LG27" s="819"/>
      <c r="LH27" s="1843"/>
      <c r="LI27" s="1843"/>
      <c r="LJ27" s="1843"/>
      <c r="LK27" s="1844" t="s">
        <v>2775</v>
      </c>
      <c r="LL27" s="1845"/>
      <c r="LM27" s="1845"/>
      <c r="LN27" s="1846"/>
      <c r="LO27" s="1844" t="s">
        <v>2776</v>
      </c>
      <c r="LP27" s="1845"/>
      <c r="LQ27" s="1845"/>
      <c r="LR27" s="1846"/>
      <c r="LS27" s="1844" t="s">
        <v>2777</v>
      </c>
      <c r="LT27" s="1845"/>
      <c r="LU27" s="1845"/>
      <c r="LV27" s="1846"/>
      <c r="LW27" s="1844" t="s">
        <v>2782</v>
      </c>
      <c r="LX27" s="1845"/>
      <c r="LY27" s="1845"/>
      <c r="LZ27" s="1846"/>
    </row>
    <row r="28" spans="2:626" ht="15" customHeight="1">
      <c r="B28" s="833" t="s">
        <v>335</v>
      </c>
      <c r="C28" s="834" t="s">
        <v>2958</v>
      </c>
      <c r="D28" s="820" t="s">
        <v>38</v>
      </c>
      <c r="E28" s="820" t="s">
        <v>39</v>
      </c>
      <c r="F28" s="820" t="str">
        <f>F15</f>
        <v>2016-17</v>
      </c>
      <c r="G28" s="820" t="str">
        <f t="shared" ref="G28:Y28" si="79">G15</f>
        <v>2017-18</v>
      </c>
      <c r="H28" s="820" t="str">
        <f t="shared" si="79"/>
        <v>2018-19</v>
      </c>
      <c r="I28" s="821" t="str">
        <f t="shared" si="79"/>
        <v>2019-20</v>
      </c>
      <c r="J28" s="1747" t="str">
        <f>$J$15</f>
        <v>2016-17</v>
      </c>
      <c r="K28" s="1748" t="str">
        <f>$K$15</f>
        <v>2017-18</v>
      </c>
      <c r="L28" s="1748" t="str">
        <f>$L$15</f>
        <v>2018-19</v>
      </c>
      <c r="M28" s="1749" t="str">
        <f>$M$15</f>
        <v>2019-20</v>
      </c>
      <c r="N28" s="1747" t="str">
        <f t="shared" si="79"/>
        <v>2016-17</v>
      </c>
      <c r="O28" s="1748" t="str">
        <f t="shared" si="79"/>
        <v>2017-18</v>
      </c>
      <c r="P28" s="1748" t="str">
        <f t="shared" si="79"/>
        <v>2018-19</v>
      </c>
      <c r="Q28" s="1749" t="str">
        <f t="shared" si="79"/>
        <v>2019-20</v>
      </c>
      <c r="R28" s="1747" t="str">
        <f t="shared" si="79"/>
        <v>2016-17</v>
      </c>
      <c r="S28" s="1748" t="str">
        <f t="shared" si="79"/>
        <v>2017-18</v>
      </c>
      <c r="T28" s="1748" t="str">
        <f t="shared" si="79"/>
        <v>2018-19</v>
      </c>
      <c r="U28" s="1749" t="str">
        <f t="shared" si="79"/>
        <v>2019-20</v>
      </c>
      <c r="V28" s="1747" t="str">
        <f t="shared" si="79"/>
        <v>2016-17</v>
      </c>
      <c r="W28" s="1748" t="str">
        <f t="shared" si="79"/>
        <v>2017-18</v>
      </c>
      <c r="X28" s="1748" t="str">
        <f t="shared" si="79"/>
        <v>2018-19</v>
      </c>
      <c r="Y28" s="1749" t="str">
        <f t="shared" si="79"/>
        <v>2019-20</v>
      </c>
      <c r="Z28" s="1842"/>
      <c r="AA28" s="1842"/>
      <c r="AB28" s="1842"/>
      <c r="AC28" s="1842"/>
      <c r="AD28" s="1842"/>
      <c r="AE28" s="1842"/>
      <c r="AF28" s="1842"/>
      <c r="AG28" s="1842"/>
      <c r="AH28" s="1842"/>
      <c r="AI28" s="1842"/>
      <c r="AJ28" s="1842"/>
      <c r="AK28" s="1842"/>
      <c r="AL28" s="1842"/>
      <c r="AM28" s="1842"/>
      <c r="AN28" s="1842"/>
      <c r="AO28" s="1842"/>
      <c r="AP28" s="1842"/>
      <c r="AQ28" s="1842"/>
      <c r="AR28" s="1842"/>
      <c r="AS28" s="1842"/>
      <c r="CU28" s="82"/>
      <c r="CV28" s="82"/>
      <c r="CW28" s="82"/>
      <c r="CX28" s="82"/>
      <c r="CY28" s="82"/>
      <c r="CZ28" s="82"/>
      <c r="DA28" s="82"/>
      <c r="DB28" s="82"/>
      <c r="LF28" s="834" t="s">
        <v>2958</v>
      </c>
      <c r="LG28" s="820" t="str">
        <f>LG15</f>
        <v>2016-17</v>
      </c>
      <c r="LH28" s="820" t="str">
        <f t="shared" ref="LH28:LJ28" si="80">LH15</f>
        <v>2017-18</v>
      </c>
      <c r="LI28" s="820" t="str">
        <f t="shared" si="80"/>
        <v>2018-19</v>
      </c>
      <c r="LJ28" s="821" t="str">
        <f t="shared" si="80"/>
        <v>2019-20</v>
      </c>
      <c r="LK28" s="1747" t="str">
        <f>$J$15</f>
        <v>2016-17</v>
      </c>
      <c r="LL28" s="1748" t="str">
        <f>$K$15</f>
        <v>2017-18</v>
      </c>
      <c r="LM28" s="1748" t="str">
        <f>$L$15</f>
        <v>2018-19</v>
      </c>
      <c r="LN28" s="1749" t="str">
        <f>$M$15</f>
        <v>2019-20</v>
      </c>
      <c r="LO28" s="1747" t="str">
        <f t="shared" ref="LO28:LZ28" si="81">LO15</f>
        <v>2016-17</v>
      </c>
      <c r="LP28" s="1748" t="str">
        <f t="shared" si="81"/>
        <v>2017-18</v>
      </c>
      <c r="LQ28" s="1748" t="str">
        <f t="shared" si="81"/>
        <v>2018-19</v>
      </c>
      <c r="LR28" s="1749" t="str">
        <f t="shared" si="81"/>
        <v>2019-20</v>
      </c>
      <c r="LS28" s="1747" t="str">
        <f t="shared" si="81"/>
        <v>2016-17</v>
      </c>
      <c r="LT28" s="1748" t="str">
        <f t="shared" si="81"/>
        <v>2017-18</v>
      </c>
      <c r="LU28" s="1748" t="str">
        <f t="shared" si="81"/>
        <v>2018-19</v>
      </c>
      <c r="LV28" s="1749" t="str">
        <f t="shared" si="81"/>
        <v>2019-20</v>
      </c>
      <c r="LW28" s="1747" t="str">
        <f t="shared" si="81"/>
        <v>2016-17</v>
      </c>
      <c r="LX28" s="1748" t="str">
        <f t="shared" si="81"/>
        <v>2017-18</v>
      </c>
      <c r="LY28" s="1748" t="str">
        <f t="shared" si="81"/>
        <v>2018-19</v>
      </c>
      <c r="LZ28" s="1749" t="str">
        <f t="shared" si="81"/>
        <v>2019-20</v>
      </c>
    </row>
    <row r="29" spans="2:626" ht="15" thickBot="1">
      <c r="B29" s="835">
        <v>6</v>
      </c>
      <c r="C29" s="836" t="s">
        <v>2959</v>
      </c>
      <c r="D29" s="823" t="s">
        <v>766</v>
      </c>
      <c r="E29" s="837" t="s">
        <v>2960</v>
      </c>
      <c r="F29" s="1848"/>
      <c r="G29" s="1848"/>
      <c r="H29" s="1848"/>
      <c r="I29" s="2952">
        <v>194.5</v>
      </c>
      <c r="J29" s="1841"/>
      <c r="K29" s="2029"/>
      <c r="L29" s="2029"/>
      <c r="M29" s="2955" t="s">
        <v>2934</v>
      </c>
      <c r="N29" s="1841"/>
      <c r="O29" s="2029"/>
      <c r="P29" s="2029"/>
      <c r="Q29" s="2955" t="s">
        <v>2934</v>
      </c>
      <c r="R29" s="1841"/>
      <c r="S29" s="2029"/>
      <c r="T29" s="2029"/>
      <c r="U29" s="2955" t="s">
        <v>2934</v>
      </c>
      <c r="V29" s="1841"/>
      <c r="W29" s="2029"/>
      <c r="X29" s="2029"/>
      <c r="Y29" s="2955" t="s">
        <v>2934</v>
      </c>
      <c r="Z29" s="1842"/>
      <c r="AA29" s="1842"/>
      <c r="AB29" s="1842"/>
      <c r="AC29" s="1842"/>
      <c r="AD29" s="1842"/>
      <c r="AE29" s="1842"/>
      <c r="AF29" s="1842"/>
      <c r="AG29" s="1842"/>
      <c r="AH29" s="1842"/>
      <c r="AI29" s="1842"/>
      <c r="AJ29" s="1842"/>
      <c r="AK29" s="1842"/>
      <c r="AL29" s="1842"/>
      <c r="AM29" s="1842"/>
      <c r="AN29" s="1842"/>
      <c r="AO29" s="1842"/>
      <c r="AP29" s="1842"/>
      <c r="AQ29" s="1842"/>
      <c r="AR29" s="1842"/>
      <c r="AS29" s="1842"/>
      <c r="CU29" s="82"/>
      <c r="CV29" s="82"/>
      <c r="CW29" s="82"/>
      <c r="CX29" s="82"/>
      <c r="CY29" s="82"/>
      <c r="CZ29" s="82"/>
      <c r="DA29" s="82"/>
      <c r="DB29" s="82"/>
      <c r="LC29" s="503">
        <f xml:space="preserve"> IF( SUM( LE29:XC29 ) = 0, 0, $LG$3 )</f>
        <v>0</v>
      </c>
      <c r="LF29" s="1558">
        <f>SUM(LG29:XC29)</f>
        <v>0</v>
      </c>
      <c r="LI29" s="93"/>
      <c r="LJ29" s="93">
        <f>IF(ISNUMBER(I29),0,1)</f>
        <v>0</v>
      </c>
      <c r="LM29" s="93"/>
      <c r="LN29" s="93">
        <f>IF(ISBLANK(M29),1,0)</f>
        <v>0</v>
      </c>
      <c r="LQ29" s="93"/>
      <c r="LR29" s="93">
        <f>IF(ISBLANK(Q29),1,0)</f>
        <v>0</v>
      </c>
      <c r="LU29" s="93"/>
      <c r="LV29" s="93">
        <f>IF(ISBLANK(U29),1,0)</f>
        <v>0</v>
      </c>
      <c r="LY29" s="93"/>
      <c r="LZ29" s="93">
        <f>IF(ISBLANK(Y29),1,0)</f>
        <v>0</v>
      </c>
    </row>
    <row r="30" spans="2:626" ht="15.75" customHeight="1" thickBot="1">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c r="AN30" s="1842"/>
      <c r="AO30" s="1842"/>
      <c r="AP30" s="1842"/>
      <c r="AQ30" s="1842"/>
      <c r="AR30" s="1842"/>
      <c r="AS30" s="1842"/>
      <c r="CU30" s="82"/>
      <c r="CV30" s="82"/>
      <c r="CW30" s="82"/>
      <c r="CX30" s="82"/>
      <c r="CY30" s="82"/>
      <c r="CZ30" s="82"/>
      <c r="DA30" s="82"/>
      <c r="DB30" s="82"/>
    </row>
    <row r="31" spans="2:626" ht="18.75" customHeight="1">
      <c r="J31" s="1827" t="s">
        <v>2961</v>
      </c>
      <c r="K31" s="1828"/>
      <c r="L31" s="1828"/>
      <c r="M31" s="1829"/>
      <c r="N31" s="1827" t="s">
        <v>2961</v>
      </c>
      <c r="O31" s="1828"/>
      <c r="P31" s="1828"/>
      <c r="Q31" s="1829"/>
      <c r="R31" s="1827" t="s">
        <v>2961</v>
      </c>
      <c r="S31" s="1828"/>
      <c r="T31" s="1828"/>
      <c r="U31" s="1829"/>
      <c r="V31" s="1827" t="s">
        <v>2962</v>
      </c>
      <c r="W31" s="1828"/>
      <c r="X31" s="1828"/>
      <c r="Y31" s="1829"/>
      <c r="Z31" s="1827" t="s">
        <v>2963</v>
      </c>
      <c r="AA31" s="1828"/>
      <c r="AB31" s="1828"/>
      <c r="AC31" s="1829"/>
      <c r="AD31" s="1827" t="s">
        <v>2964</v>
      </c>
      <c r="AE31" s="1828"/>
      <c r="AF31" s="1828"/>
      <c r="AG31" s="1829"/>
      <c r="AH31" s="1827" t="s">
        <v>2964</v>
      </c>
      <c r="AI31" s="1828"/>
      <c r="AJ31" s="1828"/>
      <c r="AK31" s="1829"/>
      <c r="AL31" s="1827" t="s">
        <v>2964</v>
      </c>
      <c r="AM31" s="1828"/>
      <c r="AN31" s="1828"/>
      <c r="AO31" s="1829"/>
      <c r="AP31" s="1827" t="s">
        <v>2965</v>
      </c>
      <c r="AQ31" s="1828"/>
      <c r="AR31" s="1828"/>
      <c r="AS31" s="1829"/>
      <c r="AT31" s="1827" t="s">
        <v>2965</v>
      </c>
      <c r="AU31" s="1828"/>
      <c r="AV31" s="1828"/>
      <c r="AW31" s="1829"/>
      <c r="AX31" s="1827" t="s">
        <v>2966</v>
      </c>
      <c r="AY31" s="1828"/>
      <c r="AZ31" s="1828"/>
      <c r="BA31" s="1829"/>
      <c r="BB31" s="1827" t="s">
        <v>2966</v>
      </c>
      <c r="BC31" s="1828"/>
      <c r="BD31" s="1828"/>
      <c r="BE31" s="1829"/>
      <c r="CU31" s="82"/>
      <c r="CV31" s="82"/>
      <c r="CW31" s="82"/>
      <c r="CX31" s="82"/>
      <c r="CY31" s="82"/>
      <c r="CZ31" s="82"/>
      <c r="DA31" s="82"/>
      <c r="DB31" s="82"/>
      <c r="FP31" s="82"/>
      <c r="LK31" s="1827" t="s">
        <v>2961</v>
      </c>
      <c r="LL31" s="1828"/>
      <c r="LM31" s="1828"/>
      <c r="LN31" s="1829"/>
      <c r="LO31" s="1827" t="s">
        <v>2961</v>
      </c>
      <c r="LP31" s="1828"/>
      <c r="LQ31" s="1828"/>
      <c r="LR31" s="1829"/>
      <c r="LS31" s="1827" t="s">
        <v>2961</v>
      </c>
      <c r="LT31" s="1828"/>
      <c r="LU31" s="1828"/>
      <c r="LV31" s="1829"/>
      <c r="LW31" s="1827" t="s">
        <v>2962</v>
      </c>
      <c r="LX31" s="1828"/>
      <c r="LY31" s="1828"/>
      <c r="LZ31" s="1829"/>
      <c r="MA31" s="1827" t="s">
        <v>2963</v>
      </c>
      <c r="MB31" s="1828"/>
      <c r="MC31" s="1828"/>
      <c r="MD31" s="1829"/>
      <c r="ME31" s="1827" t="s">
        <v>2964</v>
      </c>
      <c r="MF31" s="1828"/>
      <c r="MG31" s="1828"/>
      <c r="MH31" s="1829"/>
      <c r="MI31" s="1827" t="s">
        <v>2964</v>
      </c>
      <c r="MJ31" s="1828"/>
      <c r="MK31" s="1828"/>
      <c r="ML31" s="1829"/>
      <c r="MM31" s="1827" t="s">
        <v>2964</v>
      </c>
      <c r="MN31" s="1828"/>
      <c r="MO31" s="1828"/>
      <c r="MP31" s="1829"/>
      <c r="MQ31" s="1827" t="s">
        <v>2965</v>
      </c>
      <c r="MR31" s="1828"/>
      <c r="MS31" s="1828"/>
      <c r="MT31" s="1829"/>
      <c r="MU31" s="1827" t="s">
        <v>2965</v>
      </c>
      <c r="MV31" s="1828"/>
      <c r="MW31" s="1828"/>
      <c r="MX31" s="1829"/>
      <c r="MY31" s="1827" t="s">
        <v>2966</v>
      </c>
      <c r="MZ31" s="1828"/>
      <c r="NA31" s="1828"/>
      <c r="NB31" s="1829"/>
      <c r="NC31" s="1827" t="s">
        <v>2966</v>
      </c>
      <c r="ND31" s="1828"/>
      <c r="NE31" s="1828"/>
      <c r="NF31" s="1829"/>
    </row>
    <row r="32" spans="2:626" ht="18.75" customHeight="1" thickBot="1">
      <c r="B32" s="831"/>
      <c r="C32" s="832"/>
      <c r="D32" s="819"/>
      <c r="E32" s="819"/>
      <c r="F32" s="819"/>
      <c r="G32" s="1843"/>
      <c r="H32" s="1843"/>
      <c r="I32" s="1843"/>
      <c r="J32" s="1844" t="s">
        <v>2967</v>
      </c>
      <c r="K32" s="1845"/>
      <c r="L32" s="1845"/>
      <c r="M32" s="1846"/>
      <c r="N32" s="1844" t="s">
        <v>2968</v>
      </c>
      <c r="O32" s="1845"/>
      <c r="P32" s="1845"/>
      <c r="Q32" s="1846"/>
      <c r="R32" s="1844" t="s">
        <v>2969</v>
      </c>
      <c r="S32" s="1845"/>
      <c r="T32" s="1845"/>
      <c r="U32" s="1846"/>
      <c r="V32" s="1844" t="s">
        <v>2970</v>
      </c>
      <c r="W32" s="1845"/>
      <c r="X32" s="1845"/>
      <c r="Y32" s="1846"/>
      <c r="Z32" s="1844" t="s">
        <v>2971</v>
      </c>
      <c r="AA32" s="1845"/>
      <c r="AB32" s="1845"/>
      <c r="AC32" s="1846"/>
      <c r="AD32" s="1844" t="s">
        <v>2972</v>
      </c>
      <c r="AE32" s="1845"/>
      <c r="AF32" s="1845"/>
      <c r="AG32" s="1846"/>
      <c r="AH32" s="1844" t="s">
        <v>2973</v>
      </c>
      <c r="AI32" s="1845"/>
      <c r="AJ32" s="1845"/>
      <c r="AK32" s="1846"/>
      <c r="AL32" s="1844" t="s">
        <v>2974</v>
      </c>
      <c r="AM32" s="1845"/>
      <c r="AN32" s="1845"/>
      <c r="AO32" s="1846"/>
      <c r="AP32" s="1844" t="s">
        <v>2975</v>
      </c>
      <c r="AQ32" s="1845"/>
      <c r="AR32" s="1845"/>
      <c r="AS32" s="1846"/>
      <c r="AT32" s="1844" t="s">
        <v>2976</v>
      </c>
      <c r="AU32" s="1845"/>
      <c r="AV32" s="1845"/>
      <c r="AW32" s="1846"/>
      <c r="AX32" s="1844" t="s">
        <v>2977</v>
      </c>
      <c r="AY32" s="1845"/>
      <c r="AZ32" s="1845"/>
      <c r="BA32" s="1846"/>
      <c r="BB32" s="1844" t="s">
        <v>2978</v>
      </c>
      <c r="BC32" s="1845"/>
      <c r="BD32" s="1845"/>
      <c r="BE32" s="1846"/>
      <c r="CU32" s="82"/>
      <c r="CV32" s="82"/>
      <c r="CW32" s="82"/>
      <c r="CX32" s="82"/>
      <c r="CY32" s="82"/>
      <c r="CZ32" s="82"/>
      <c r="DA32" s="82"/>
      <c r="DB32" s="82"/>
      <c r="KN32" s="82"/>
      <c r="LG32" s="819"/>
      <c r="LH32" s="1843"/>
      <c r="LI32" s="1843"/>
      <c r="LJ32" s="1843"/>
      <c r="LK32" s="1844" t="s">
        <v>2967</v>
      </c>
      <c r="LL32" s="1845"/>
      <c r="LM32" s="1845"/>
      <c r="LN32" s="1846"/>
      <c r="LO32" s="1844" t="s">
        <v>2968</v>
      </c>
      <c r="LP32" s="1845"/>
      <c r="LQ32" s="1845"/>
      <c r="LR32" s="1846"/>
      <c r="LS32" s="1844" t="s">
        <v>2969</v>
      </c>
      <c r="LT32" s="1845"/>
      <c r="LU32" s="1845"/>
      <c r="LV32" s="1846"/>
      <c r="LW32" s="1844" t="s">
        <v>2970</v>
      </c>
      <c r="LX32" s="1845"/>
      <c r="LY32" s="1845"/>
      <c r="LZ32" s="1846"/>
      <c r="MA32" s="1844" t="s">
        <v>2971</v>
      </c>
      <c r="MB32" s="1845"/>
      <c r="MC32" s="1845"/>
      <c r="MD32" s="1846"/>
      <c r="ME32" s="1844" t="s">
        <v>2972</v>
      </c>
      <c r="MF32" s="1845"/>
      <c r="MG32" s="1845"/>
      <c r="MH32" s="1846"/>
      <c r="MI32" s="1844" t="s">
        <v>2973</v>
      </c>
      <c r="MJ32" s="1845"/>
      <c r="MK32" s="1845"/>
      <c r="ML32" s="1846"/>
      <c r="MM32" s="1844" t="s">
        <v>2974</v>
      </c>
      <c r="MN32" s="1845"/>
      <c r="MO32" s="1845"/>
      <c r="MP32" s="1846"/>
      <c r="MQ32" s="1844" t="s">
        <v>2975</v>
      </c>
      <c r="MR32" s="1845"/>
      <c r="MS32" s="1845"/>
      <c r="MT32" s="1846"/>
      <c r="MU32" s="1844" t="s">
        <v>2976</v>
      </c>
      <c r="MV32" s="1845"/>
      <c r="MW32" s="1845"/>
      <c r="MX32" s="1846"/>
      <c r="MY32" s="1844" t="s">
        <v>2977</v>
      </c>
      <c r="MZ32" s="1845"/>
      <c r="NA32" s="1845"/>
      <c r="NB32" s="1846"/>
      <c r="NC32" s="1844" t="s">
        <v>2978</v>
      </c>
      <c r="ND32" s="1845"/>
      <c r="NE32" s="1845"/>
      <c r="NF32" s="1846"/>
    </row>
    <row r="33" spans="2:418" ht="15" customHeight="1">
      <c r="B33" s="833" t="s">
        <v>392</v>
      </c>
      <c r="C33" s="834" t="s">
        <v>2979</v>
      </c>
      <c r="D33" s="820" t="s">
        <v>38</v>
      </c>
      <c r="E33" s="820" t="s">
        <v>39</v>
      </c>
      <c r="F33" s="820" t="str">
        <f>F15</f>
        <v>2016-17</v>
      </c>
      <c r="G33" s="820" t="str">
        <f t="shared" ref="G33:I33" si="82">G15</f>
        <v>2017-18</v>
      </c>
      <c r="H33" s="820" t="str">
        <f t="shared" si="82"/>
        <v>2018-19</v>
      </c>
      <c r="I33" s="821" t="str">
        <f t="shared" si="82"/>
        <v>2019-20</v>
      </c>
      <c r="J33" s="1747" t="str">
        <f>$J$15</f>
        <v>2016-17</v>
      </c>
      <c r="K33" s="1748" t="str">
        <f>$K$15</f>
        <v>2017-18</v>
      </c>
      <c r="L33" s="1748" t="str">
        <f>$L$15</f>
        <v>2018-19</v>
      </c>
      <c r="M33" s="1749" t="str">
        <f>$M$15</f>
        <v>2019-20</v>
      </c>
      <c r="N33" s="1747" t="str">
        <f>$J$15</f>
        <v>2016-17</v>
      </c>
      <c r="O33" s="1748" t="str">
        <f>$K$15</f>
        <v>2017-18</v>
      </c>
      <c r="P33" s="1748" t="str">
        <f>$L$15</f>
        <v>2018-19</v>
      </c>
      <c r="Q33" s="1749" t="str">
        <f>$M$15</f>
        <v>2019-20</v>
      </c>
      <c r="R33" s="1747" t="str">
        <f>$J$15</f>
        <v>2016-17</v>
      </c>
      <c r="S33" s="1748" t="str">
        <f>$K$15</f>
        <v>2017-18</v>
      </c>
      <c r="T33" s="1748" t="str">
        <f>$L$15</f>
        <v>2018-19</v>
      </c>
      <c r="U33" s="1749" t="str">
        <f>$M$15</f>
        <v>2019-20</v>
      </c>
      <c r="V33" s="1747" t="str">
        <f>$J$15</f>
        <v>2016-17</v>
      </c>
      <c r="W33" s="1748" t="str">
        <f>$K$15</f>
        <v>2017-18</v>
      </c>
      <c r="X33" s="1748" t="str">
        <f>$L$15</f>
        <v>2018-19</v>
      </c>
      <c r="Y33" s="1749" t="str">
        <f>$M$15</f>
        <v>2019-20</v>
      </c>
      <c r="Z33" s="1747" t="str">
        <f>$J$15</f>
        <v>2016-17</v>
      </c>
      <c r="AA33" s="1748" t="str">
        <f>$K$15</f>
        <v>2017-18</v>
      </c>
      <c r="AB33" s="1748" t="str">
        <f>$L$15</f>
        <v>2018-19</v>
      </c>
      <c r="AC33" s="1749" t="str">
        <f>$M$15</f>
        <v>2019-20</v>
      </c>
      <c r="AD33" s="1747" t="str">
        <f>$J$15</f>
        <v>2016-17</v>
      </c>
      <c r="AE33" s="1748" t="str">
        <f>$K$15</f>
        <v>2017-18</v>
      </c>
      <c r="AF33" s="1748" t="str">
        <f>$L$15</f>
        <v>2018-19</v>
      </c>
      <c r="AG33" s="1749" t="str">
        <f>$M$15</f>
        <v>2019-20</v>
      </c>
      <c r="AH33" s="1747" t="str">
        <f>$J$15</f>
        <v>2016-17</v>
      </c>
      <c r="AI33" s="1748" t="str">
        <f>$K$15</f>
        <v>2017-18</v>
      </c>
      <c r="AJ33" s="1748" t="str">
        <f>$L$15</f>
        <v>2018-19</v>
      </c>
      <c r="AK33" s="1749" t="str">
        <f>$M$15</f>
        <v>2019-20</v>
      </c>
      <c r="AL33" s="1747" t="str">
        <f>$J$15</f>
        <v>2016-17</v>
      </c>
      <c r="AM33" s="1748" t="str">
        <f>$K$15</f>
        <v>2017-18</v>
      </c>
      <c r="AN33" s="1748" t="str">
        <f>$L$15</f>
        <v>2018-19</v>
      </c>
      <c r="AO33" s="1749" t="str">
        <f>$M$15</f>
        <v>2019-20</v>
      </c>
      <c r="AP33" s="1747" t="str">
        <f>$J$15</f>
        <v>2016-17</v>
      </c>
      <c r="AQ33" s="1748" t="str">
        <f>$K$15</f>
        <v>2017-18</v>
      </c>
      <c r="AR33" s="1748" t="str">
        <f>$L$15</f>
        <v>2018-19</v>
      </c>
      <c r="AS33" s="1749" t="str">
        <f>$M$15</f>
        <v>2019-20</v>
      </c>
      <c r="AT33" s="1747" t="str">
        <f>$J$15</f>
        <v>2016-17</v>
      </c>
      <c r="AU33" s="1748" t="str">
        <f>$K$15</f>
        <v>2017-18</v>
      </c>
      <c r="AV33" s="1748" t="str">
        <f>$L$15</f>
        <v>2018-19</v>
      </c>
      <c r="AW33" s="1749" t="str">
        <f>$M$15</f>
        <v>2019-20</v>
      </c>
      <c r="AX33" s="1747" t="str">
        <f>$J$15</f>
        <v>2016-17</v>
      </c>
      <c r="AY33" s="1748" t="str">
        <f>$K$15</f>
        <v>2017-18</v>
      </c>
      <c r="AZ33" s="1748" t="str">
        <f>$L$15</f>
        <v>2018-19</v>
      </c>
      <c r="BA33" s="1749" t="str">
        <f>$M$15</f>
        <v>2019-20</v>
      </c>
      <c r="BB33" s="1747" t="str">
        <f>$J$15</f>
        <v>2016-17</v>
      </c>
      <c r="BC33" s="1748" t="str">
        <f>$K$15</f>
        <v>2017-18</v>
      </c>
      <c r="BD33" s="1748" t="str">
        <f>$L$15</f>
        <v>2018-19</v>
      </c>
      <c r="BE33" s="1749" t="str">
        <f>$M$15</f>
        <v>2019-20</v>
      </c>
      <c r="CU33" s="82"/>
      <c r="CV33" s="82"/>
      <c r="CW33" s="82"/>
      <c r="CX33" s="82"/>
      <c r="CY33" s="82"/>
      <c r="CZ33" s="82"/>
      <c r="DA33" s="82"/>
      <c r="DB33" s="82"/>
      <c r="LF33" s="834" t="s">
        <v>2979</v>
      </c>
      <c r="LG33" s="820" t="str">
        <f>LG15</f>
        <v>2016-17</v>
      </c>
      <c r="LH33" s="820" t="str">
        <f t="shared" ref="LH33:LJ33" si="83">LH15</f>
        <v>2017-18</v>
      </c>
      <c r="LI33" s="820" t="str">
        <f t="shared" si="83"/>
        <v>2018-19</v>
      </c>
      <c r="LJ33" s="821" t="str">
        <f t="shared" si="83"/>
        <v>2019-20</v>
      </c>
      <c r="LK33" s="1747" t="str">
        <f>$J$15</f>
        <v>2016-17</v>
      </c>
      <c r="LL33" s="1748" t="str">
        <f>$K$15</f>
        <v>2017-18</v>
      </c>
      <c r="LM33" s="1748" t="str">
        <f>$L$15</f>
        <v>2018-19</v>
      </c>
      <c r="LN33" s="1749" t="str">
        <f>$M$15</f>
        <v>2019-20</v>
      </c>
      <c r="LO33" s="1747" t="str">
        <f>$J$15</f>
        <v>2016-17</v>
      </c>
      <c r="LP33" s="1748" t="str">
        <f>$K$15</f>
        <v>2017-18</v>
      </c>
      <c r="LQ33" s="1748" t="str">
        <f>$L$15</f>
        <v>2018-19</v>
      </c>
      <c r="LR33" s="1749" t="str">
        <f>$M$15</f>
        <v>2019-20</v>
      </c>
      <c r="LS33" s="1747" t="str">
        <f>$J$15</f>
        <v>2016-17</v>
      </c>
      <c r="LT33" s="1748" t="str">
        <f>$K$15</f>
        <v>2017-18</v>
      </c>
      <c r="LU33" s="1748" t="str">
        <f>$L$15</f>
        <v>2018-19</v>
      </c>
      <c r="LV33" s="1749" t="str">
        <f>$M$15</f>
        <v>2019-20</v>
      </c>
      <c r="LW33" s="1747" t="str">
        <f>$J$15</f>
        <v>2016-17</v>
      </c>
      <c r="LX33" s="1748" t="str">
        <f>$K$15</f>
        <v>2017-18</v>
      </c>
      <c r="LY33" s="1748" t="str">
        <f>$L$15</f>
        <v>2018-19</v>
      </c>
      <c r="LZ33" s="1749" t="str">
        <f>$M$15</f>
        <v>2019-20</v>
      </c>
      <c r="MA33" s="1747" t="str">
        <f>$J$15</f>
        <v>2016-17</v>
      </c>
      <c r="MB33" s="1748" t="str">
        <f>$K$15</f>
        <v>2017-18</v>
      </c>
      <c r="MC33" s="1748" t="str">
        <f>$L$15</f>
        <v>2018-19</v>
      </c>
      <c r="MD33" s="1749" t="str">
        <f>$M$15</f>
        <v>2019-20</v>
      </c>
      <c r="ME33" s="1747" t="str">
        <f>$J$15</f>
        <v>2016-17</v>
      </c>
      <c r="MF33" s="1748" t="str">
        <f>$K$15</f>
        <v>2017-18</v>
      </c>
      <c r="MG33" s="1748" t="str">
        <f>$L$15</f>
        <v>2018-19</v>
      </c>
      <c r="MH33" s="1749" t="str">
        <f>$M$15</f>
        <v>2019-20</v>
      </c>
      <c r="MI33" s="1747" t="str">
        <f>$J$15</f>
        <v>2016-17</v>
      </c>
      <c r="MJ33" s="1748" t="str">
        <f>$K$15</f>
        <v>2017-18</v>
      </c>
      <c r="MK33" s="1748" t="str">
        <f>$L$15</f>
        <v>2018-19</v>
      </c>
      <c r="ML33" s="1749" t="str">
        <f>$M$15</f>
        <v>2019-20</v>
      </c>
      <c r="MM33" s="1747" t="str">
        <f>$J$15</f>
        <v>2016-17</v>
      </c>
      <c r="MN33" s="1748" t="str">
        <f>$K$15</f>
        <v>2017-18</v>
      </c>
      <c r="MO33" s="1748" t="str">
        <f>$L$15</f>
        <v>2018-19</v>
      </c>
      <c r="MP33" s="1749" t="str">
        <f>$M$15</f>
        <v>2019-20</v>
      </c>
      <c r="MQ33" s="1747" t="str">
        <f>$J$15</f>
        <v>2016-17</v>
      </c>
      <c r="MR33" s="1748" t="str">
        <f>$K$15</f>
        <v>2017-18</v>
      </c>
      <c r="MS33" s="1748" t="str">
        <f>$L$15</f>
        <v>2018-19</v>
      </c>
      <c r="MT33" s="1749" t="str">
        <f>$M$15</f>
        <v>2019-20</v>
      </c>
      <c r="MU33" s="1747" t="str">
        <f>$J$15</f>
        <v>2016-17</v>
      </c>
      <c r="MV33" s="1748" t="str">
        <f>$K$15</f>
        <v>2017-18</v>
      </c>
      <c r="MW33" s="1748" t="str">
        <f>$L$15</f>
        <v>2018-19</v>
      </c>
      <c r="MX33" s="1749" t="str">
        <f>$M$15</f>
        <v>2019-20</v>
      </c>
      <c r="MY33" s="1747" t="str">
        <f>$J$15</f>
        <v>2016-17</v>
      </c>
      <c r="MZ33" s="1748" t="str">
        <f>$K$15</f>
        <v>2017-18</v>
      </c>
      <c r="NA33" s="1748" t="str">
        <f>$L$15</f>
        <v>2018-19</v>
      </c>
      <c r="NB33" s="1749" t="str">
        <f>$M$15</f>
        <v>2019-20</v>
      </c>
      <c r="NC33" s="1747" t="str">
        <f>$J$15</f>
        <v>2016-17</v>
      </c>
      <c r="ND33" s="1748" t="str">
        <f>$K$15</f>
        <v>2017-18</v>
      </c>
      <c r="NE33" s="1748" t="str">
        <f>$L$15</f>
        <v>2018-19</v>
      </c>
      <c r="NF33" s="1749" t="str">
        <f>$M$15</f>
        <v>2019-20</v>
      </c>
    </row>
    <row r="34" spans="2:418" ht="15" thickBot="1">
      <c r="B34" s="835">
        <v>7</v>
      </c>
      <c r="C34" s="836" t="s">
        <v>2980</v>
      </c>
      <c r="D34" s="823" t="s">
        <v>734</v>
      </c>
      <c r="E34" s="837" t="s">
        <v>2981</v>
      </c>
      <c r="F34" s="1849"/>
      <c r="G34" s="1849"/>
      <c r="H34" s="1849"/>
      <c r="I34" s="2953">
        <v>5.2499999999999998E-2</v>
      </c>
      <c r="J34" s="1841"/>
      <c r="K34" s="2029"/>
      <c r="L34" s="2029"/>
      <c r="M34" s="2955" t="s">
        <v>2934</v>
      </c>
      <c r="N34" s="1841"/>
      <c r="O34" s="2029"/>
      <c r="P34" s="2029"/>
      <c r="Q34" s="2955" t="s">
        <v>2934</v>
      </c>
      <c r="R34" s="1841"/>
      <c r="S34" s="2029"/>
      <c r="T34" s="2029"/>
      <c r="U34" s="2955" t="s">
        <v>2934</v>
      </c>
      <c r="V34" s="1841"/>
      <c r="W34" s="2029"/>
      <c r="X34" s="2029"/>
      <c r="Y34" s="2955" t="s">
        <v>2934</v>
      </c>
      <c r="Z34" s="1841"/>
      <c r="AA34" s="2029"/>
      <c r="AB34" s="2029"/>
      <c r="AC34" s="2955" t="s">
        <v>2934</v>
      </c>
      <c r="AD34" s="1841"/>
      <c r="AE34" s="2029"/>
      <c r="AF34" s="2029"/>
      <c r="AG34" s="2955" t="s">
        <v>2934</v>
      </c>
      <c r="AH34" s="1841"/>
      <c r="AI34" s="2029"/>
      <c r="AJ34" s="2029"/>
      <c r="AK34" s="2955" t="s">
        <v>2934</v>
      </c>
      <c r="AL34" s="1841"/>
      <c r="AM34" s="2029"/>
      <c r="AN34" s="2029"/>
      <c r="AO34" s="2955" t="s">
        <v>2934</v>
      </c>
      <c r="AP34" s="1841"/>
      <c r="AQ34" s="2029"/>
      <c r="AR34" s="2029"/>
      <c r="AS34" s="2955" t="s">
        <v>2934</v>
      </c>
      <c r="AT34" s="1841"/>
      <c r="AU34" s="2029"/>
      <c r="AV34" s="2029"/>
      <c r="AW34" s="2955" t="s">
        <v>2934</v>
      </c>
      <c r="AX34" s="1841"/>
      <c r="AY34" s="2029"/>
      <c r="AZ34" s="2029"/>
      <c r="BA34" s="2955" t="s">
        <v>2934</v>
      </c>
      <c r="BB34" s="1841"/>
      <c r="BC34" s="2029"/>
      <c r="BD34" s="2029"/>
      <c r="BE34" s="2955" t="s">
        <v>2934</v>
      </c>
      <c r="CU34" s="82"/>
      <c r="CV34" s="82"/>
      <c r="CW34" s="82"/>
      <c r="CX34" s="82"/>
      <c r="CY34" s="82"/>
      <c r="CZ34" s="82"/>
      <c r="DA34" s="82"/>
      <c r="DB34" s="82"/>
      <c r="LC34" s="503">
        <f xml:space="preserve"> IF( SUM( LE34:XC34 ) = 0, 0, $LG$3 )</f>
        <v>0</v>
      </c>
      <c r="LF34" s="1558">
        <f>SUM(LG34:XC34)</f>
        <v>0</v>
      </c>
      <c r="LI34" s="93"/>
      <c r="LJ34" s="93">
        <f>IF(ISNUMBER(I34),0,1)</f>
        <v>0</v>
      </c>
      <c r="LM34" s="93"/>
      <c r="LN34" s="93">
        <f>IF(ISBLANK(M34),1,0)</f>
        <v>0</v>
      </c>
      <c r="LQ34" s="93"/>
      <c r="LR34" s="93">
        <f>IF(ISBLANK(Q34),1,0)</f>
        <v>0</v>
      </c>
      <c r="LU34" s="93"/>
      <c r="LV34" s="93">
        <f>IF(ISBLANK(U34),1,0)</f>
        <v>0</v>
      </c>
      <c r="LY34" s="93"/>
      <c r="LZ34" s="93">
        <f>IF(ISBLANK(Y34),1,0)</f>
        <v>0</v>
      </c>
      <c r="MC34" s="93"/>
      <c r="MD34" s="93">
        <f>IF(ISBLANK(AC34),1,0)</f>
        <v>0</v>
      </c>
      <c r="MG34" s="93"/>
      <c r="MH34" s="93">
        <f>IF(ISBLANK(AG34),1,0)</f>
        <v>0</v>
      </c>
      <c r="MK34" s="93"/>
      <c r="ML34" s="93">
        <f>IF(ISBLANK(AK34),1,0)</f>
        <v>0</v>
      </c>
      <c r="MO34" s="93"/>
      <c r="MP34" s="93">
        <f>IF(ISBLANK(AO34),1,0)</f>
        <v>0</v>
      </c>
      <c r="MS34" s="93"/>
      <c r="MT34" s="93">
        <f>IF(ISBLANK(AS34),1,0)</f>
        <v>0</v>
      </c>
      <c r="MW34" s="93"/>
      <c r="MX34" s="93">
        <f>IF(ISBLANK(AW34),1,0)</f>
        <v>0</v>
      </c>
      <c r="NA34" s="93"/>
      <c r="NB34" s="93">
        <f>IF(ISBLANK(BA34),1,0)</f>
        <v>0</v>
      </c>
      <c r="NE34" s="93"/>
      <c r="NF34" s="93">
        <f>IF(ISBLANK(BE34),1,0)</f>
        <v>0</v>
      </c>
    </row>
    <row r="35" spans="2:418" ht="15.75" customHeight="1" thickBot="1">
      <c r="J35" s="1842"/>
      <c r="K35" s="1842"/>
      <c r="L35" s="1842"/>
      <c r="M35" s="1842"/>
      <c r="N35" s="1842"/>
      <c r="O35" s="1842"/>
      <c r="P35" s="1842"/>
      <c r="Q35" s="1842"/>
      <c r="R35" s="1842"/>
      <c r="S35" s="1842"/>
      <c r="T35" s="1842"/>
      <c r="U35" s="1842"/>
      <c r="V35" s="1842"/>
      <c r="W35" s="1842"/>
      <c r="X35" s="1842"/>
      <c r="Y35" s="1842"/>
      <c r="Z35" s="1842"/>
      <c r="AA35" s="1842"/>
      <c r="AB35" s="1842"/>
      <c r="AC35" s="1842"/>
      <c r="AD35" s="1842"/>
      <c r="AE35" s="1842"/>
      <c r="AF35" s="1842"/>
      <c r="AG35" s="1842"/>
      <c r="AH35" s="1842"/>
      <c r="AI35" s="1842"/>
      <c r="AJ35" s="1842"/>
      <c r="AK35" s="1842"/>
      <c r="AL35" s="1842"/>
      <c r="AM35" s="1842"/>
      <c r="AN35" s="1842"/>
      <c r="AO35" s="1842"/>
      <c r="AP35" s="1842"/>
      <c r="AQ35" s="1842"/>
      <c r="AR35" s="1842"/>
      <c r="AS35" s="1842"/>
      <c r="CU35" s="82"/>
      <c r="CV35" s="82"/>
      <c r="CW35" s="82"/>
      <c r="CX35" s="82"/>
      <c r="CY35" s="82"/>
      <c r="CZ35" s="82"/>
      <c r="DA35" s="82"/>
      <c r="DB35" s="82"/>
    </row>
    <row r="36" spans="2:418" ht="31.7" customHeight="1" thickBot="1">
      <c r="J36" s="1824" t="s">
        <v>2982</v>
      </c>
      <c r="K36" s="1825"/>
      <c r="L36" s="1825"/>
      <c r="M36" s="1826"/>
      <c r="N36" s="1827" t="s">
        <v>2982</v>
      </c>
      <c r="O36" s="1828"/>
      <c r="P36" s="1828"/>
      <c r="Q36" s="1829"/>
      <c r="R36" s="1828" t="s">
        <v>2982</v>
      </c>
      <c r="S36" s="1828"/>
      <c r="T36" s="1829"/>
      <c r="U36" s="1830"/>
      <c r="V36" s="1827" t="s">
        <v>2982</v>
      </c>
      <c r="W36" s="1828"/>
      <c r="X36" s="1829"/>
      <c r="Y36" s="1829"/>
      <c r="Z36" s="1827" t="s">
        <v>2983</v>
      </c>
      <c r="AA36" s="1828"/>
      <c r="AB36" s="1829"/>
      <c r="AC36" s="1829"/>
      <c r="AD36" s="1827" t="s">
        <v>2983</v>
      </c>
      <c r="AE36" s="1828"/>
      <c r="AF36" s="1829"/>
      <c r="AG36" s="1829"/>
      <c r="AH36" s="1827" t="s">
        <v>2983</v>
      </c>
      <c r="AI36" s="1828"/>
      <c r="AJ36" s="1829"/>
      <c r="AK36" s="1829"/>
      <c r="AL36" s="1831" t="s">
        <v>2984</v>
      </c>
      <c r="AM36" s="1828"/>
      <c r="AN36" s="1829"/>
      <c r="AO36" s="1829"/>
      <c r="AP36" s="1831" t="s">
        <v>2984</v>
      </c>
      <c r="AQ36" s="1828"/>
      <c r="AR36" s="1829"/>
      <c r="AS36" s="1829"/>
      <c r="AT36" s="1831" t="s">
        <v>2984</v>
      </c>
      <c r="AU36" s="1828"/>
      <c r="AV36" s="1829"/>
      <c r="AW36" s="1829"/>
      <c r="AX36" s="1831" t="s">
        <v>2984</v>
      </c>
      <c r="AY36" s="1828"/>
      <c r="AZ36" s="1829"/>
      <c r="BA36" s="1829"/>
      <c r="BB36" s="1831" t="s">
        <v>2984</v>
      </c>
      <c r="BC36" s="1828"/>
      <c r="BD36" s="1829"/>
      <c r="BE36" s="1829"/>
      <c r="BF36" s="1831" t="s">
        <v>2985</v>
      </c>
      <c r="BG36" s="1828"/>
      <c r="BH36" s="1829"/>
      <c r="BI36" s="1829"/>
      <c r="BJ36" s="1831" t="s">
        <v>2986</v>
      </c>
      <c r="BK36" s="1828"/>
      <c r="BL36" s="1829"/>
      <c r="BM36" s="1829"/>
      <c r="BN36" s="1831" t="s">
        <v>2986</v>
      </c>
      <c r="BO36" s="1828"/>
      <c r="BP36" s="1829"/>
      <c r="BQ36" s="1829"/>
      <c r="BR36" s="1831" t="s">
        <v>2986</v>
      </c>
      <c r="BS36" s="1828"/>
      <c r="BT36" s="1829"/>
      <c r="BU36" s="1829"/>
      <c r="BV36" s="1831" t="s">
        <v>2986</v>
      </c>
      <c r="BW36" s="1828"/>
      <c r="BX36" s="1829"/>
      <c r="BY36" s="1829"/>
      <c r="BZ36" s="1831" t="s">
        <v>2986</v>
      </c>
      <c r="CA36" s="1828"/>
      <c r="CB36" s="1829"/>
      <c r="CC36" s="1829"/>
      <c r="CD36" s="1831" t="s">
        <v>2986</v>
      </c>
      <c r="CE36" s="1828"/>
      <c r="CF36" s="1829"/>
      <c r="CG36" s="1829"/>
      <c r="CH36" s="1831" t="s">
        <v>2986</v>
      </c>
      <c r="CI36" s="1828"/>
      <c r="CJ36" s="1829"/>
      <c r="CK36" s="1829"/>
      <c r="CL36" s="1831" t="s">
        <v>2986</v>
      </c>
      <c r="CM36" s="1828"/>
      <c r="CN36" s="1829"/>
      <c r="CO36" s="1829"/>
      <c r="CP36" s="1831" t="s">
        <v>2986</v>
      </c>
      <c r="CQ36" s="1828"/>
      <c r="CR36" s="1829"/>
      <c r="CS36" s="1829"/>
      <c r="CT36" s="1831" t="s">
        <v>2986</v>
      </c>
      <c r="CU36" s="1828"/>
      <c r="CV36" s="1829"/>
      <c r="CW36" s="1829"/>
      <c r="CX36" s="1831" t="s">
        <v>2986</v>
      </c>
      <c r="CY36" s="1828"/>
      <c r="CZ36" s="1829"/>
      <c r="DA36" s="1829"/>
      <c r="LK36" s="1824" t="s">
        <v>2982</v>
      </c>
      <c r="LL36" s="1825"/>
      <c r="LM36" s="1825"/>
      <c r="LN36" s="1826"/>
      <c r="LO36" s="1827" t="s">
        <v>2982</v>
      </c>
      <c r="LP36" s="1828"/>
      <c r="LQ36" s="1828"/>
      <c r="LR36" s="1829"/>
      <c r="LS36" s="1828" t="s">
        <v>2982</v>
      </c>
      <c r="LT36" s="1828"/>
      <c r="LU36" s="1829"/>
      <c r="LV36" s="1830"/>
      <c r="LW36" s="1827" t="s">
        <v>2982</v>
      </c>
      <c r="LX36" s="1828"/>
      <c r="LY36" s="1829"/>
      <c r="LZ36" s="1829"/>
      <c r="MA36" s="1827" t="s">
        <v>2983</v>
      </c>
      <c r="MB36" s="1828"/>
      <c r="MC36" s="1829"/>
      <c r="MD36" s="1829"/>
      <c r="ME36" s="1827" t="s">
        <v>2983</v>
      </c>
      <c r="MF36" s="1828"/>
      <c r="MG36" s="1829"/>
      <c r="MH36" s="1829"/>
      <c r="MI36" s="1827" t="s">
        <v>2983</v>
      </c>
      <c r="MJ36" s="1828"/>
      <c r="MK36" s="1829"/>
      <c r="ML36" s="1829"/>
      <c r="MM36" s="1831" t="s">
        <v>2984</v>
      </c>
      <c r="MN36" s="1828"/>
      <c r="MO36" s="1829"/>
      <c r="MP36" s="1829"/>
      <c r="MQ36" s="1831" t="s">
        <v>2984</v>
      </c>
      <c r="MR36" s="1828"/>
      <c r="MS36" s="1829"/>
      <c r="MT36" s="1829"/>
      <c r="MU36" s="1831" t="s">
        <v>2984</v>
      </c>
      <c r="MV36" s="1828"/>
      <c r="MW36" s="1829"/>
      <c r="MX36" s="1829"/>
      <c r="MY36" s="1831" t="s">
        <v>2984</v>
      </c>
      <c r="MZ36" s="1828"/>
      <c r="NA36" s="1829"/>
      <c r="NB36" s="1829"/>
      <c r="NC36" s="1831" t="s">
        <v>2984</v>
      </c>
      <c r="ND36" s="1828"/>
      <c r="NE36" s="1829"/>
      <c r="NF36" s="1829"/>
      <c r="NG36" s="1831" t="s">
        <v>2985</v>
      </c>
      <c r="NH36" s="1828"/>
      <c r="NI36" s="1829"/>
      <c r="NJ36" s="1829"/>
      <c r="NK36" s="1831" t="s">
        <v>2986</v>
      </c>
      <c r="NL36" s="1828"/>
      <c r="NM36" s="1829"/>
      <c r="NN36" s="1829"/>
      <c r="NO36" s="1831" t="s">
        <v>2986</v>
      </c>
      <c r="NP36" s="1828"/>
      <c r="NQ36" s="1829"/>
      <c r="NR36" s="1829"/>
      <c r="NS36" s="1831" t="s">
        <v>2986</v>
      </c>
      <c r="NT36" s="1828"/>
      <c r="NU36" s="1829"/>
      <c r="NV36" s="1829"/>
      <c r="NW36" s="1831" t="s">
        <v>2986</v>
      </c>
      <c r="NX36" s="1828"/>
      <c r="NY36" s="1829"/>
      <c r="NZ36" s="1829"/>
      <c r="OA36" s="1831" t="s">
        <v>2986</v>
      </c>
      <c r="OB36" s="1828"/>
      <c r="OC36" s="1829"/>
      <c r="OD36" s="1829"/>
      <c r="OE36" s="1831" t="s">
        <v>2986</v>
      </c>
      <c r="OF36" s="1828"/>
      <c r="OG36" s="1829"/>
      <c r="OH36" s="1829"/>
      <c r="OI36" s="1831" t="s">
        <v>2986</v>
      </c>
      <c r="OJ36" s="1828"/>
      <c r="OK36" s="1829"/>
      <c r="OL36" s="1829"/>
      <c r="OM36" s="1831" t="s">
        <v>2986</v>
      </c>
      <c r="ON36" s="1828"/>
      <c r="OO36" s="1829"/>
      <c r="OP36" s="1829"/>
      <c r="OQ36" s="1831" t="s">
        <v>2986</v>
      </c>
      <c r="OR36" s="1828"/>
      <c r="OS36" s="1829"/>
      <c r="OT36" s="1829"/>
      <c r="OU36" s="1831" t="s">
        <v>2986</v>
      </c>
      <c r="OV36" s="1828"/>
      <c r="OW36" s="1829"/>
      <c r="OX36" s="1829"/>
      <c r="OY36" s="1831" t="s">
        <v>2986</v>
      </c>
      <c r="OZ36" s="1828"/>
      <c r="PA36" s="1829"/>
      <c r="PB36" s="1829"/>
    </row>
    <row r="37" spans="2:418" ht="18.75" customHeight="1">
      <c r="J37" s="1824" t="s">
        <v>2775</v>
      </c>
      <c r="K37" s="1825"/>
      <c r="L37" s="1825"/>
      <c r="M37" s="1826"/>
      <c r="N37" s="1824" t="s">
        <v>2987</v>
      </c>
      <c r="O37" s="1825"/>
      <c r="P37" s="1825"/>
      <c r="Q37" s="1826"/>
      <c r="R37" s="1824" t="s">
        <v>2988</v>
      </c>
      <c r="S37" s="1825"/>
      <c r="T37" s="1825"/>
      <c r="U37" s="1826"/>
      <c r="V37" s="1824" t="s">
        <v>2989</v>
      </c>
      <c r="W37" s="1825"/>
      <c r="X37" s="1825"/>
      <c r="Y37" s="1826"/>
      <c r="Z37" s="1824" t="s">
        <v>2776</v>
      </c>
      <c r="AA37" s="1825"/>
      <c r="AB37" s="1825"/>
      <c r="AC37" s="1826"/>
      <c r="AD37" s="1824" t="s">
        <v>2990</v>
      </c>
      <c r="AE37" s="1825"/>
      <c r="AF37" s="1825"/>
      <c r="AG37" s="1826"/>
      <c r="AH37" s="1824" t="s">
        <v>2991</v>
      </c>
      <c r="AI37" s="1825"/>
      <c r="AJ37" s="1825"/>
      <c r="AK37" s="1826"/>
      <c r="AL37" s="1824" t="s">
        <v>2777</v>
      </c>
      <c r="AM37" s="1825"/>
      <c r="AN37" s="1825"/>
      <c r="AO37" s="1826"/>
      <c r="AP37" s="1824" t="s">
        <v>2778</v>
      </c>
      <c r="AQ37" s="1825"/>
      <c r="AR37" s="1825"/>
      <c r="AS37" s="1826"/>
      <c r="AT37" s="1824" t="s">
        <v>2779</v>
      </c>
      <c r="AU37" s="1825"/>
      <c r="AV37" s="1825"/>
      <c r="AW37" s="1826"/>
      <c r="AX37" s="1824" t="s">
        <v>2780</v>
      </c>
      <c r="AY37" s="1825"/>
      <c r="AZ37" s="1825"/>
      <c r="BA37" s="1826"/>
      <c r="BB37" s="1824" t="s">
        <v>2781</v>
      </c>
      <c r="BC37" s="1825"/>
      <c r="BD37" s="1825"/>
      <c r="BE37" s="1826"/>
      <c r="BF37" s="1824" t="s">
        <v>2782</v>
      </c>
      <c r="BG37" s="1825"/>
      <c r="BH37" s="1825"/>
      <c r="BI37" s="1826"/>
      <c r="BJ37" s="1824" t="s">
        <v>2783</v>
      </c>
      <c r="BK37" s="1825"/>
      <c r="BL37" s="1825"/>
      <c r="BM37" s="1826"/>
      <c r="BN37" s="1824" t="s">
        <v>2784</v>
      </c>
      <c r="BO37" s="1825"/>
      <c r="BP37" s="1825"/>
      <c r="BQ37" s="1826"/>
      <c r="BR37" s="1824" t="s">
        <v>2785</v>
      </c>
      <c r="BS37" s="1825"/>
      <c r="BT37" s="1825"/>
      <c r="BU37" s="1826"/>
      <c r="BV37" s="1824" t="s">
        <v>2786</v>
      </c>
      <c r="BW37" s="1825"/>
      <c r="BX37" s="1825"/>
      <c r="BY37" s="1826"/>
      <c r="BZ37" s="1824" t="s">
        <v>2787</v>
      </c>
      <c r="CA37" s="1825"/>
      <c r="CB37" s="1825"/>
      <c r="CC37" s="1826"/>
      <c r="CD37" s="1824" t="s">
        <v>2788</v>
      </c>
      <c r="CE37" s="1825"/>
      <c r="CF37" s="1825"/>
      <c r="CG37" s="1826"/>
      <c r="CH37" s="1824" t="s">
        <v>2789</v>
      </c>
      <c r="CI37" s="1825"/>
      <c r="CJ37" s="1825"/>
      <c r="CK37" s="1826"/>
      <c r="CL37" s="1824" t="s">
        <v>2790</v>
      </c>
      <c r="CM37" s="1825"/>
      <c r="CN37" s="1825"/>
      <c r="CO37" s="1826"/>
      <c r="CP37" s="1824" t="s">
        <v>2791</v>
      </c>
      <c r="CQ37" s="1825"/>
      <c r="CR37" s="1825"/>
      <c r="CS37" s="1826"/>
      <c r="CT37" s="1824" t="s">
        <v>2792</v>
      </c>
      <c r="CU37" s="1825"/>
      <c r="CV37" s="1825"/>
      <c r="CW37" s="1826"/>
      <c r="CX37" s="1824" t="s">
        <v>2992</v>
      </c>
      <c r="CY37" s="1825"/>
      <c r="CZ37" s="1825"/>
      <c r="DA37" s="1826"/>
      <c r="LK37" s="1824" t="s">
        <v>2775</v>
      </c>
      <c r="LL37" s="1825"/>
      <c r="LM37" s="1825"/>
      <c r="LN37" s="1826"/>
      <c r="LO37" s="1824" t="s">
        <v>2987</v>
      </c>
      <c r="LP37" s="1825"/>
      <c r="LQ37" s="1825"/>
      <c r="LR37" s="1826"/>
      <c r="LS37" s="1824" t="s">
        <v>2988</v>
      </c>
      <c r="LT37" s="1825"/>
      <c r="LU37" s="1825"/>
      <c r="LV37" s="1826"/>
      <c r="LW37" s="1824" t="s">
        <v>2989</v>
      </c>
      <c r="LX37" s="1825"/>
      <c r="LY37" s="1825"/>
      <c r="LZ37" s="1826"/>
      <c r="MA37" s="1824" t="s">
        <v>2776</v>
      </c>
      <c r="MB37" s="1825"/>
      <c r="MC37" s="1825"/>
      <c r="MD37" s="1826"/>
      <c r="ME37" s="1824" t="s">
        <v>2990</v>
      </c>
      <c r="MF37" s="1825"/>
      <c r="MG37" s="1825"/>
      <c r="MH37" s="1826"/>
      <c r="MI37" s="1824" t="s">
        <v>2991</v>
      </c>
      <c r="MJ37" s="1825"/>
      <c r="MK37" s="1825"/>
      <c r="ML37" s="1826"/>
      <c r="MM37" s="1824" t="s">
        <v>2777</v>
      </c>
      <c r="MN37" s="1825"/>
      <c r="MO37" s="1825"/>
      <c r="MP37" s="1826"/>
      <c r="MQ37" s="1824" t="s">
        <v>2778</v>
      </c>
      <c r="MR37" s="1825"/>
      <c r="MS37" s="1825"/>
      <c r="MT37" s="1826"/>
      <c r="MU37" s="1824" t="s">
        <v>2779</v>
      </c>
      <c r="MV37" s="1825"/>
      <c r="MW37" s="1825"/>
      <c r="MX37" s="1826"/>
      <c r="MY37" s="1824" t="s">
        <v>2780</v>
      </c>
      <c r="MZ37" s="1825"/>
      <c r="NA37" s="1825"/>
      <c r="NB37" s="1826"/>
      <c r="NC37" s="1824" t="s">
        <v>2781</v>
      </c>
      <c r="ND37" s="1825"/>
      <c r="NE37" s="1825"/>
      <c r="NF37" s="1826"/>
      <c r="NG37" s="1824" t="s">
        <v>2782</v>
      </c>
      <c r="NH37" s="1825"/>
      <c r="NI37" s="1825"/>
      <c r="NJ37" s="1826"/>
      <c r="NK37" s="1824" t="s">
        <v>2783</v>
      </c>
      <c r="NL37" s="1825"/>
      <c r="NM37" s="1825"/>
      <c r="NN37" s="1826"/>
      <c r="NO37" s="1824" t="s">
        <v>2784</v>
      </c>
      <c r="NP37" s="1825"/>
      <c r="NQ37" s="1825"/>
      <c r="NR37" s="1826"/>
      <c r="NS37" s="1824" t="s">
        <v>2785</v>
      </c>
      <c r="NT37" s="1825"/>
      <c r="NU37" s="1825"/>
      <c r="NV37" s="1826"/>
      <c r="NW37" s="1824" t="s">
        <v>2786</v>
      </c>
      <c r="NX37" s="1825"/>
      <c r="NY37" s="1825"/>
      <c r="NZ37" s="1826"/>
      <c r="OA37" s="1824" t="s">
        <v>2787</v>
      </c>
      <c r="OB37" s="1825"/>
      <c r="OC37" s="1825"/>
      <c r="OD37" s="1826"/>
      <c r="OE37" s="1824" t="s">
        <v>2788</v>
      </c>
      <c r="OF37" s="1825"/>
      <c r="OG37" s="1825"/>
      <c r="OH37" s="1826"/>
      <c r="OI37" s="1824" t="s">
        <v>2789</v>
      </c>
      <c r="OJ37" s="1825"/>
      <c r="OK37" s="1825"/>
      <c r="OL37" s="1826"/>
      <c r="OM37" s="1824" t="s">
        <v>2790</v>
      </c>
      <c r="ON37" s="1825"/>
      <c r="OO37" s="1825"/>
      <c r="OP37" s="1826"/>
      <c r="OQ37" s="1824" t="s">
        <v>2791</v>
      </c>
      <c r="OR37" s="1825"/>
      <c r="OS37" s="1825"/>
      <c r="OT37" s="1826"/>
      <c r="OU37" s="1824" t="s">
        <v>2792</v>
      </c>
      <c r="OV37" s="1825"/>
      <c r="OW37" s="1825"/>
      <c r="OX37" s="1826"/>
      <c r="OY37" s="1824" t="s">
        <v>2992</v>
      </c>
      <c r="OZ37" s="1825"/>
      <c r="PA37" s="1825"/>
      <c r="PB37" s="1826"/>
    </row>
    <row r="38" spans="2:418" ht="150" customHeight="1" thickBot="1">
      <c r="B38" s="831"/>
      <c r="C38" s="832"/>
      <c r="D38" s="819"/>
      <c r="E38" s="819"/>
      <c r="F38" s="819"/>
      <c r="G38" s="1843"/>
      <c r="H38" s="1843"/>
      <c r="I38" s="1843"/>
      <c r="J38" s="1834" t="s">
        <v>2993</v>
      </c>
      <c r="K38" s="1835"/>
      <c r="L38" s="1835"/>
      <c r="M38" s="1836"/>
      <c r="N38" s="1834" t="s">
        <v>2994</v>
      </c>
      <c r="O38" s="1835"/>
      <c r="P38" s="1835"/>
      <c r="Q38" s="1836"/>
      <c r="R38" s="1834" t="s">
        <v>2995</v>
      </c>
      <c r="S38" s="1835"/>
      <c r="T38" s="1835"/>
      <c r="U38" s="1836"/>
      <c r="V38" s="1834" t="s">
        <v>2996</v>
      </c>
      <c r="W38" s="1835"/>
      <c r="X38" s="1835"/>
      <c r="Y38" s="1836"/>
      <c r="Z38" s="1834" t="s">
        <v>2997</v>
      </c>
      <c r="AA38" s="1835"/>
      <c r="AB38" s="1835"/>
      <c r="AC38" s="1836"/>
      <c r="AD38" s="1834" t="s">
        <v>2998</v>
      </c>
      <c r="AE38" s="1835"/>
      <c r="AF38" s="1835"/>
      <c r="AG38" s="1836"/>
      <c r="AH38" s="1834" t="s">
        <v>2999</v>
      </c>
      <c r="AI38" s="1835"/>
      <c r="AJ38" s="1835"/>
      <c r="AK38" s="1836"/>
      <c r="AL38" s="1834" t="s">
        <v>3000</v>
      </c>
      <c r="AM38" s="1835"/>
      <c r="AN38" s="1835"/>
      <c r="AO38" s="1836"/>
      <c r="AP38" s="1834" t="s">
        <v>3001</v>
      </c>
      <c r="AQ38" s="1835"/>
      <c r="AR38" s="1835"/>
      <c r="AS38" s="1836"/>
      <c r="AT38" s="1834" t="s">
        <v>3002</v>
      </c>
      <c r="AU38" s="1835"/>
      <c r="AV38" s="1835"/>
      <c r="AW38" s="1836"/>
      <c r="AX38" s="1834" t="s">
        <v>3003</v>
      </c>
      <c r="AY38" s="1835"/>
      <c r="AZ38" s="1835"/>
      <c r="BA38" s="1836"/>
      <c r="BB38" s="1834" t="s">
        <v>2904</v>
      </c>
      <c r="BC38" s="1835"/>
      <c r="BD38" s="1835"/>
      <c r="BE38" s="1836"/>
      <c r="BF38" s="1834" t="s">
        <v>3004</v>
      </c>
      <c r="BG38" s="1835"/>
      <c r="BH38" s="1835"/>
      <c r="BI38" s="1836"/>
      <c r="BJ38" s="1834" t="s">
        <v>3005</v>
      </c>
      <c r="BK38" s="1835"/>
      <c r="BL38" s="1835"/>
      <c r="BM38" s="1836"/>
      <c r="BN38" s="1834" t="s">
        <v>3006</v>
      </c>
      <c r="BO38" s="1835"/>
      <c r="BP38" s="1835"/>
      <c r="BQ38" s="1836"/>
      <c r="BR38" s="1834" t="s">
        <v>3007</v>
      </c>
      <c r="BS38" s="1835"/>
      <c r="BT38" s="1835"/>
      <c r="BU38" s="1836"/>
      <c r="BV38" s="1834" t="s">
        <v>2909</v>
      </c>
      <c r="BW38" s="1835"/>
      <c r="BX38" s="1835"/>
      <c r="BY38" s="1836"/>
      <c r="BZ38" s="1834" t="s">
        <v>3008</v>
      </c>
      <c r="CA38" s="1835"/>
      <c r="CB38" s="1835"/>
      <c r="CC38" s="1836"/>
      <c r="CD38" s="1834" t="s">
        <v>2911</v>
      </c>
      <c r="CE38" s="1835"/>
      <c r="CF38" s="1835"/>
      <c r="CG38" s="1836"/>
      <c r="CH38" s="1834" t="s">
        <v>2912</v>
      </c>
      <c r="CI38" s="1835"/>
      <c r="CJ38" s="1835"/>
      <c r="CK38" s="1836"/>
      <c r="CL38" s="1834" t="s">
        <v>2913</v>
      </c>
      <c r="CM38" s="1835"/>
      <c r="CN38" s="1835"/>
      <c r="CO38" s="1836"/>
      <c r="CP38" s="1834" t="s">
        <v>2914</v>
      </c>
      <c r="CQ38" s="1835"/>
      <c r="CR38" s="1835"/>
      <c r="CS38" s="1836"/>
      <c r="CT38" s="1834" t="s">
        <v>3009</v>
      </c>
      <c r="CU38" s="1835"/>
      <c r="CV38" s="1835"/>
      <c r="CW38" s="1836"/>
      <c r="CX38" s="1834" t="s">
        <v>2904</v>
      </c>
      <c r="CY38" s="1835"/>
      <c r="CZ38" s="1835"/>
      <c r="DA38" s="1836"/>
      <c r="LG38" s="819"/>
      <c r="LH38" s="1843"/>
      <c r="LI38" s="1843"/>
      <c r="LJ38" s="1843"/>
      <c r="LK38" s="1834" t="s">
        <v>2993</v>
      </c>
      <c r="LL38" s="1835"/>
      <c r="LM38" s="1835"/>
      <c r="LN38" s="1836"/>
      <c r="LO38" s="1834" t="s">
        <v>2994</v>
      </c>
      <c r="LP38" s="1835"/>
      <c r="LQ38" s="1835"/>
      <c r="LR38" s="1836"/>
      <c r="LS38" s="1834" t="s">
        <v>2995</v>
      </c>
      <c r="LT38" s="1835"/>
      <c r="LU38" s="1835"/>
      <c r="LV38" s="1836"/>
      <c r="LW38" s="1834" t="s">
        <v>2996</v>
      </c>
      <c r="LX38" s="1835"/>
      <c r="LY38" s="1835"/>
      <c r="LZ38" s="1836"/>
      <c r="MA38" s="1834" t="s">
        <v>2997</v>
      </c>
      <c r="MB38" s="1835"/>
      <c r="MC38" s="1835"/>
      <c r="MD38" s="1836"/>
      <c r="ME38" s="1834" t="s">
        <v>2998</v>
      </c>
      <c r="MF38" s="1835"/>
      <c r="MG38" s="1835"/>
      <c r="MH38" s="1836"/>
      <c r="MI38" s="1834" t="s">
        <v>2999</v>
      </c>
      <c r="MJ38" s="1835"/>
      <c r="MK38" s="1835"/>
      <c r="ML38" s="1836"/>
      <c r="MM38" s="1834" t="s">
        <v>3000</v>
      </c>
      <c r="MN38" s="1835"/>
      <c r="MO38" s="1835"/>
      <c r="MP38" s="1836"/>
      <c r="MQ38" s="1834" t="s">
        <v>3001</v>
      </c>
      <c r="MR38" s="1835"/>
      <c r="MS38" s="1835"/>
      <c r="MT38" s="1836"/>
      <c r="MU38" s="1834" t="s">
        <v>3010</v>
      </c>
      <c r="MV38" s="1835"/>
      <c r="MW38" s="1835"/>
      <c r="MX38" s="1836"/>
      <c r="MY38" s="1834" t="s">
        <v>3003</v>
      </c>
      <c r="MZ38" s="1835"/>
      <c r="NA38" s="1835"/>
      <c r="NB38" s="1836"/>
      <c r="NC38" s="1834" t="s">
        <v>2904</v>
      </c>
      <c r="ND38" s="1835"/>
      <c r="NE38" s="1835"/>
      <c r="NF38" s="1836"/>
      <c r="NG38" s="1834" t="s">
        <v>2905</v>
      </c>
      <c r="NH38" s="1835"/>
      <c r="NI38" s="1835"/>
      <c r="NJ38" s="1836"/>
      <c r="NK38" s="1834" t="s">
        <v>3011</v>
      </c>
      <c r="NL38" s="1835"/>
      <c r="NM38" s="1835"/>
      <c r="NN38" s="1836"/>
      <c r="NO38" s="1834" t="s">
        <v>3006</v>
      </c>
      <c r="NP38" s="1835"/>
      <c r="NQ38" s="1835"/>
      <c r="NR38" s="1836"/>
      <c r="NS38" s="1834" t="s">
        <v>3012</v>
      </c>
      <c r="NT38" s="1835"/>
      <c r="NU38" s="1835"/>
      <c r="NV38" s="1836"/>
      <c r="NW38" s="1834" t="s">
        <v>2909</v>
      </c>
      <c r="NX38" s="1835"/>
      <c r="NY38" s="1835"/>
      <c r="NZ38" s="1836"/>
      <c r="OA38" s="1834" t="s">
        <v>2910</v>
      </c>
      <c r="OB38" s="1835"/>
      <c r="OC38" s="1835"/>
      <c r="OD38" s="1836"/>
      <c r="OE38" s="1834" t="s">
        <v>2911</v>
      </c>
      <c r="OF38" s="1835"/>
      <c r="OG38" s="1835"/>
      <c r="OH38" s="1836"/>
      <c r="OI38" s="1834" t="s">
        <v>2912</v>
      </c>
      <c r="OJ38" s="1835"/>
      <c r="OK38" s="1835"/>
      <c r="OL38" s="1836"/>
      <c r="OM38" s="1834" t="s">
        <v>2913</v>
      </c>
      <c r="ON38" s="1835"/>
      <c r="OO38" s="1835"/>
      <c r="OP38" s="1836"/>
      <c r="OQ38" s="1834" t="s">
        <v>2914</v>
      </c>
      <c r="OR38" s="1835"/>
      <c r="OS38" s="1835"/>
      <c r="OT38" s="1836"/>
      <c r="OU38" s="1834" t="s">
        <v>3009</v>
      </c>
      <c r="OV38" s="1835"/>
      <c r="OW38" s="1835"/>
      <c r="OX38" s="1836"/>
      <c r="OY38" s="1834" t="s">
        <v>2904</v>
      </c>
      <c r="OZ38" s="1835"/>
      <c r="PA38" s="1835"/>
      <c r="PB38" s="1836"/>
    </row>
    <row r="39" spans="2:418" ht="15" customHeight="1">
      <c r="B39" s="833" t="s">
        <v>466</v>
      </c>
      <c r="C39" s="834" t="s">
        <v>3013</v>
      </c>
      <c r="D39" s="820" t="s">
        <v>38</v>
      </c>
      <c r="E39" s="820" t="s">
        <v>39</v>
      </c>
      <c r="F39" s="820" t="str">
        <f>F15</f>
        <v>2016-17</v>
      </c>
      <c r="G39" s="820" t="str">
        <f t="shared" ref="G39:I39" si="84">G15</f>
        <v>2017-18</v>
      </c>
      <c r="H39" s="820" t="str">
        <f t="shared" si="84"/>
        <v>2018-19</v>
      </c>
      <c r="I39" s="822" t="str">
        <f t="shared" si="84"/>
        <v>2019-20</v>
      </c>
      <c r="J39" s="1747" t="str">
        <f>$J$15</f>
        <v>2016-17</v>
      </c>
      <c r="K39" s="1748" t="str">
        <f>$K$15</f>
        <v>2017-18</v>
      </c>
      <c r="L39" s="1748" t="str">
        <f>$L$15</f>
        <v>2018-19</v>
      </c>
      <c r="M39" s="1749" t="str">
        <f>$M$15</f>
        <v>2019-20</v>
      </c>
      <c r="N39" s="1747" t="str">
        <f>$J$15</f>
        <v>2016-17</v>
      </c>
      <c r="O39" s="1748" t="str">
        <f>$K$15</f>
        <v>2017-18</v>
      </c>
      <c r="P39" s="1748" t="str">
        <f>$L$15</f>
        <v>2018-19</v>
      </c>
      <c r="Q39" s="1749" t="str">
        <f>$M$15</f>
        <v>2019-20</v>
      </c>
      <c r="R39" s="1747" t="str">
        <f>$J$15</f>
        <v>2016-17</v>
      </c>
      <c r="S39" s="1748" t="str">
        <f>$K$15</f>
        <v>2017-18</v>
      </c>
      <c r="T39" s="1748" t="str">
        <f>$L$15</f>
        <v>2018-19</v>
      </c>
      <c r="U39" s="1749" t="str">
        <f>$M$15</f>
        <v>2019-20</v>
      </c>
      <c r="V39" s="1747" t="str">
        <f>$J$15</f>
        <v>2016-17</v>
      </c>
      <c r="W39" s="1748" t="str">
        <f>$K$15</f>
        <v>2017-18</v>
      </c>
      <c r="X39" s="1748" t="str">
        <f>$L$15</f>
        <v>2018-19</v>
      </c>
      <c r="Y39" s="1749" t="str">
        <f>$M$15</f>
        <v>2019-20</v>
      </c>
      <c r="Z39" s="1747" t="str">
        <f>$J$15</f>
        <v>2016-17</v>
      </c>
      <c r="AA39" s="1748" t="str">
        <f>$K$15</f>
        <v>2017-18</v>
      </c>
      <c r="AB39" s="1748" t="str">
        <f>$L$15</f>
        <v>2018-19</v>
      </c>
      <c r="AC39" s="1749" t="str">
        <f>$M$15</f>
        <v>2019-20</v>
      </c>
      <c r="AD39" s="1747" t="str">
        <f>$J$15</f>
        <v>2016-17</v>
      </c>
      <c r="AE39" s="1748" t="str">
        <f>$K$15</f>
        <v>2017-18</v>
      </c>
      <c r="AF39" s="1748" t="str">
        <f>$L$15</f>
        <v>2018-19</v>
      </c>
      <c r="AG39" s="1749" t="str">
        <f>$M$15</f>
        <v>2019-20</v>
      </c>
      <c r="AH39" s="1747" t="str">
        <f>$J$15</f>
        <v>2016-17</v>
      </c>
      <c r="AI39" s="1748" t="str">
        <f>$K$15</f>
        <v>2017-18</v>
      </c>
      <c r="AJ39" s="1748" t="str">
        <f>$L$15</f>
        <v>2018-19</v>
      </c>
      <c r="AK39" s="1749" t="str">
        <f>$M$15</f>
        <v>2019-20</v>
      </c>
      <c r="AL39" s="1747" t="str">
        <f>$J$15</f>
        <v>2016-17</v>
      </c>
      <c r="AM39" s="1748" t="str">
        <f>$K$15</f>
        <v>2017-18</v>
      </c>
      <c r="AN39" s="1748" t="str">
        <f>$L$15</f>
        <v>2018-19</v>
      </c>
      <c r="AO39" s="1749" t="str">
        <f>$M$15</f>
        <v>2019-20</v>
      </c>
      <c r="AP39" s="1747" t="str">
        <f>$J$15</f>
        <v>2016-17</v>
      </c>
      <c r="AQ39" s="1748" t="str">
        <f>$K$15</f>
        <v>2017-18</v>
      </c>
      <c r="AR39" s="1748" t="str">
        <f>$L$15</f>
        <v>2018-19</v>
      </c>
      <c r="AS39" s="1749" t="str">
        <f>$M$15</f>
        <v>2019-20</v>
      </c>
      <c r="AT39" s="1747" t="str">
        <f>$J$15</f>
        <v>2016-17</v>
      </c>
      <c r="AU39" s="1748" t="str">
        <f>$K$15</f>
        <v>2017-18</v>
      </c>
      <c r="AV39" s="1748" t="str">
        <f>$L$15</f>
        <v>2018-19</v>
      </c>
      <c r="AW39" s="1749" t="str">
        <f>$M$15</f>
        <v>2019-20</v>
      </c>
      <c r="AX39" s="1747" t="str">
        <f>$J$15</f>
        <v>2016-17</v>
      </c>
      <c r="AY39" s="1748" t="str">
        <f>$K$15</f>
        <v>2017-18</v>
      </c>
      <c r="AZ39" s="1748" t="str">
        <f>$L$15</f>
        <v>2018-19</v>
      </c>
      <c r="BA39" s="1749" t="str">
        <f>$M$15</f>
        <v>2019-20</v>
      </c>
      <c r="BB39" s="1747" t="str">
        <f>$J$15</f>
        <v>2016-17</v>
      </c>
      <c r="BC39" s="1748" t="str">
        <f>$K$15</f>
        <v>2017-18</v>
      </c>
      <c r="BD39" s="1748" t="str">
        <f>$L$15</f>
        <v>2018-19</v>
      </c>
      <c r="BE39" s="1749" t="str">
        <f>$M$15</f>
        <v>2019-20</v>
      </c>
      <c r="BF39" s="1747" t="str">
        <f>$J$15</f>
        <v>2016-17</v>
      </c>
      <c r="BG39" s="1748" t="str">
        <f>$K$15</f>
        <v>2017-18</v>
      </c>
      <c r="BH39" s="1748" t="str">
        <f>$L$15</f>
        <v>2018-19</v>
      </c>
      <c r="BI39" s="1749" t="str">
        <f>$M$15</f>
        <v>2019-20</v>
      </c>
      <c r="BJ39" s="1747" t="str">
        <f>$J$15</f>
        <v>2016-17</v>
      </c>
      <c r="BK39" s="1748" t="str">
        <f>$K$15</f>
        <v>2017-18</v>
      </c>
      <c r="BL39" s="1748" t="str">
        <f>$L$15</f>
        <v>2018-19</v>
      </c>
      <c r="BM39" s="1749" t="str">
        <f>$M$15</f>
        <v>2019-20</v>
      </c>
      <c r="BN39" s="1747" t="str">
        <f>$J$15</f>
        <v>2016-17</v>
      </c>
      <c r="BO39" s="1748" t="str">
        <f>$K$15</f>
        <v>2017-18</v>
      </c>
      <c r="BP39" s="1748" t="str">
        <f>$L$15</f>
        <v>2018-19</v>
      </c>
      <c r="BQ39" s="1749" t="str">
        <f>$M$15</f>
        <v>2019-20</v>
      </c>
      <c r="BR39" s="1747" t="str">
        <f>$J$15</f>
        <v>2016-17</v>
      </c>
      <c r="BS39" s="1748" t="str">
        <f>$K$15</f>
        <v>2017-18</v>
      </c>
      <c r="BT39" s="1748" t="str">
        <f>$L$15</f>
        <v>2018-19</v>
      </c>
      <c r="BU39" s="1749" t="str">
        <f>$M$15</f>
        <v>2019-20</v>
      </c>
      <c r="BV39" s="1747" t="str">
        <f>$J$15</f>
        <v>2016-17</v>
      </c>
      <c r="BW39" s="1748" t="str">
        <f>$K$15</f>
        <v>2017-18</v>
      </c>
      <c r="BX39" s="1748" t="str">
        <f>$L$15</f>
        <v>2018-19</v>
      </c>
      <c r="BY39" s="1749" t="str">
        <f>$M$15</f>
        <v>2019-20</v>
      </c>
      <c r="BZ39" s="1747" t="str">
        <f>$J$15</f>
        <v>2016-17</v>
      </c>
      <c r="CA39" s="1748" t="str">
        <f>$K$15</f>
        <v>2017-18</v>
      </c>
      <c r="CB39" s="1748" t="str">
        <f>$L$15</f>
        <v>2018-19</v>
      </c>
      <c r="CC39" s="1749" t="str">
        <f>$M$15</f>
        <v>2019-20</v>
      </c>
      <c r="CD39" s="1747" t="str">
        <f>$J$15</f>
        <v>2016-17</v>
      </c>
      <c r="CE39" s="1748" t="str">
        <f>$K$15</f>
        <v>2017-18</v>
      </c>
      <c r="CF39" s="1748" t="str">
        <f>$L$15</f>
        <v>2018-19</v>
      </c>
      <c r="CG39" s="1749" t="str">
        <f>$M$15</f>
        <v>2019-20</v>
      </c>
      <c r="CH39" s="1747" t="str">
        <f>$J$15</f>
        <v>2016-17</v>
      </c>
      <c r="CI39" s="1748" t="str">
        <f>$K$15</f>
        <v>2017-18</v>
      </c>
      <c r="CJ39" s="1748" t="str">
        <f>$L$15</f>
        <v>2018-19</v>
      </c>
      <c r="CK39" s="1749" t="str">
        <f>$M$15</f>
        <v>2019-20</v>
      </c>
      <c r="CL39" s="1747" t="str">
        <f>$J$15</f>
        <v>2016-17</v>
      </c>
      <c r="CM39" s="1748" t="str">
        <f>$K$15</f>
        <v>2017-18</v>
      </c>
      <c r="CN39" s="1748" t="str">
        <f>$L$15</f>
        <v>2018-19</v>
      </c>
      <c r="CO39" s="1749" t="str">
        <f>$M$15</f>
        <v>2019-20</v>
      </c>
      <c r="CP39" s="1747" t="str">
        <f>$J$15</f>
        <v>2016-17</v>
      </c>
      <c r="CQ39" s="1748" t="str">
        <f>$K$15</f>
        <v>2017-18</v>
      </c>
      <c r="CR39" s="1748" t="str">
        <f>$L$15</f>
        <v>2018-19</v>
      </c>
      <c r="CS39" s="1749" t="str">
        <f>$M$15</f>
        <v>2019-20</v>
      </c>
      <c r="CT39" s="1747" t="str">
        <f>$J$15</f>
        <v>2016-17</v>
      </c>
      <c r="CU39" s="1748" t="str">
        <f>$K$15</f>
        <v>2017-18</v>
      </c>
      <c r="CV39" s="1748" t="str">
        <f>$L$15</f>
        <v>2018-19</v>
      </c>
      <c r="CW39" s="1749" t="str">
        <f>$M$15</f>
        <v>2019-20</v>
      </c>
      <c r="CX39" s="1747" t="str">
        <f>$J$15</f>
        <v>2016-17</v>
      </c>
      <c r="CY39" s="1748" t="str">
        <f>$K$15</f>
        <v>2017-18</v>
      </c>
      <c r="CZ39" s="1748" t="str">
        <f>$L$15</f>
        <v>2018-19</v>
      </c>
      <c r="DA39" s="1749" t="str">
        <f>$M$15</f>
        <v>2019-20</v>
      </c>
      <c r="LF39" s="834" t="s">
        <v>3013</v>
      </c>
      <c r="LG39" s="820" t="str">
        <f>LG15</f>
        <v>2016-17</v>
      </c>
      <c r="LH39" s="820" t="str">
        <f t="shared" ref="LH39:LJ39" si="85">LH15</f>
        <v>2017-18</v>
      </c>
      <c r="LI39" s="820" t="str">
        <f t="shared" si="85"/>
        <v>2018-19</v>
      </c>
      <c r="LJ39" s="821" t="str">
        <f t="shared" si="85"/>
        <v>2019-20</v>
      </c>
      <c r="LK39" s="1747" t="str">
        <f>$J$15</f>
        <v>2016-17</v>
      </c>
      <c r="LL39" s="1748" t="str">
        <f>$K$15</f>
        <v>2017-18</v>
      </c>
      <c r="LM39" s="1748" t="str">
        <f>$L$15</f>
        <v>2018-19</v>
      </c>
      <c r="LN39" s="1749" t="str">
        <f>$M$15</f>
        <v>2019-20</v>
      </c>
      <c r="LO39" s="1747" t="str">
        <f>$J$15</f>
        <v>2016-17</v>
      </c>
      <c r="LP39" s="1748" t="str">
        <f>$K$15</f>
        <v>2017-18</v>
      </c>
      <c r="LQ39" s="1748" t="str">
        <f>$L$15</f>
        <v>2018-19</v>
      </c>
      <c r="LR39" s="1749" t="str">
        <f>$M$15</f>
        <v>2019-20</v>
      </c>
      <c r="LS39" s="1747" t="str">
        <f>$J$15</f>
        <v>2016-17</v>
      </c>
      <c r="LT39" s="1748" t="str">
        <f>$K$15</f>
        <v>2017-18</v>
      </c>
      <c r="LU39" s="1748" t="str">
        <f>$L$15</f>
        <v>2018-19</v>
      </c>
      <c r="LV39" s="1749" t="str">
        <f>$M$15</f>
        <v>2019-20</v>
      </c>
      <c r="LW39" s="1747" t="str">
        <f>$J$15</f>
        <v>2016-17</v>
      </c>
      <c r="LX39" s="1748" t="str">
        <f>$K$15</f>
        <v>2017-18</v>
      </c>
      <c r="LY39" s="1748" t="str">
        <f>$L$15</f>
        <v>2018-19</v>
      </c>
      <c r="LZ39" s="1749" t="str">
        <f>$M$15</f>
        <v>2019-20</v>
      </c>
      <c r="MA39" s="1747" t="str">
        <f>$J$15</f>
        <v>2016-17</v>
      </c>
      <c r="MB39" s="1748" t="str">
        <f>$K$15</f>
        <v>2017-18</v>
      </c>
      <c r="MC39" s="1748" t="str">
        <f>$L$15</f>
        <v>2018-19</v>
      </c>
      <c r="MD39" s="1749" t="str">
        <f>$M$15</f>
        <v>2019-20</v>
      </c>
      <c r="ME39" s="1747" t="str">
        <f>$J$15</f>
        <v>2016-17</v>
      </c>
      <c r="MF39" s="1748" t="str">
        <f>$K$15</f>
        <v>2017-18</v>
      </c>
      <c r="MG39" s="1748" t="str">
        <f>$L$15</f>
        <v>2018-19</v>
      </c>
      <c r="MH39" s="1749" t="str">
        <f>$M$15</f>
        <v>2019-20</v>
      </c>
      <c r="MI39" s="1747" t="str">
        <f>$J$15</f>
        <v>2016-17</v>
      </c>
      <c r="MJ39" s="1748" t="str">
        <f>$K$15</f>
        <v>2017-18</v>
      </c>
      <c r="MK39" s="1748" t="str">
        <f>$L$15</f>
        <v>2018-19</v>
      </c>
      <c r="ML39" s="1749" t="str">
        <f>$M$15</f>
        <v>2019-20</v>
      </c>
      <c r="MM39" s="1747" t="str">
        <f>$J$15</f>
        <v>2016-17</v>
      </c>
      <c r="MN39" s="1748" t="str">
        <f>$K$15</f>
        <v>2017-18</v>
      </c>
      <c r="MO39" s="1748" t="str">
        <f>$L$15</f>
        <v>2018-19</v>
      </c>
      <c r="MP39" s="1749" t="str">
        <f>$M$15</f>
        <v>2019-20</v>
      </c>
      <c r="MQ39" s="1747" t="str">
        <f>$J$15</f>
        <v>2016-17</v>
      </c>
      <c r="MR39" s="1748" t="str">
        <f>$K$15</f>
        <v>2017-18</v>
      </c>
      <c r="MS39" s="1748" t="str">
        <f>$L$15</f>
        <v>2018-19</v>
      </c>
      <c r="MT39" s="1749" t="str">
        <f>$M$15</f>
        <v>2019-20</v>
      </c>
      <c r="MU39" s="1747" t="str">
        <f>$J$15</f>
        <v>2016-17</v>
      </c>
      <c r="MV39" s="1748" t="str">
        <f>$K$15</f>
        <v>2017-18</v>
      </c>
      <c r="MW39" s="1748" t="str">
        <f>$L$15</f>
        <v>2018-19</v>
      </c>
      <c r="MX39" s="1749" t="str">
        <f>$M$15</f>
        <v>2019-20</v>
      </c>
      <c r="MY39" s="1747" t="str">
        <f>$J$15</f>
        <v>2016-17</v>
      </c>
      <c r="MZ39" s="1748" t="str">
        <f>$K$15</f>
        <v>2017-18</v>
      </c>
      <c r="NA39" s="1748" t="str">
        <f>$L$15</f>
        <v>2018-19</v>
      </c>
      <c r="NB39" s="1749" t="str">
        <f>$M$15</f>
        <v>2019-20</v>
      </c>
      <c r="NC39" s="1747" t="str">
        <f>$J$15</f>
        <v>2016-17</v>
      </c>
      <c r="ND39" s="1748" t="str">
        <f>$K$15</f>
        <v>2017-18</v>
      </c>
      <c r="NE39" s="1748" t="str">
        <f>$L$15</f>
        <v>2018-19</v>
      </c>
      <c r="NF39" s="1749" t="str">
        <f>$M$15</f>
        <v>2019-20</v>
      </c>
      <c r="NG39" s="1747" t="str">
        <f>$J$15</f>
        <v>2016-17</v>
      </c>
      <c r="NH39" s="1748" t="str">
        <f>$K$15</f>
        <v>2017-18</v>
      </c>
      <c r="NI39" s="1748" t="str">
        <f>$L$15</f>
        <v>2018-19</v>
      </c>
      <c r="NJ39" s="1749" t="str">
        <f>$M$15</f>
        <v>2019-20</v>
      </c>
      <c r="NK39" s="1747" t="str">
        <f>$J$15</f>
        <v>2016-17</v>
      </c>
      <c r="NL39" s="1748" t="str">
        <f>$K$15</f>
        <v>2017-18</v>
      </c>
      <c r="NM39" s="1748" t="str">
        <f>$L$15</f>
        <v>2018-19</v>
      </c>
      <c r="NN39" s="1749" t="str">
        <f>$M$15</f>
        <v>2019-20</v>
      </c>
      <c r="NO39" s="1747" t="str">
        <f>$J$15</f>
        <v>2016-17</v>
      </c>
      <c r="NP39" s="1748" t="str">
        <f>$K$15</f>
        <v>2017-18</v>
      </c>
      <c r="NQ39" s="1748" t="str">
        <f>$L$15</f>
        <v>2018-19</v>
      </c>
      <c r="NR39" s="1749" t="str">
        <f>$M$15</f>
        <v>2019-20</v>
      </c>
      <c r="NS39" s="1747" t="str">
        <f>$J$15</f>
        <v>2016-17</v>
      </c>
      <c r="NT39" s="1748" t="str">
        <f>$K$15</f>
        <v>2017-18</v>
      </c>
      <c r="NU39" s="1748" t="str">
        <f>$L$15</f>
        <v>2018-19</v>
      </c>
      <c r="NV39" s="1749" t="str">
        <f>$M$15</f>
        <v>2019-20</v>
      </c>
      <c r="NW39" s="1747" t="str">
        <f>$J$15</f>
        <v>2016-17</v>
      </c>
      <c r="NX39" s="1748" t="str">
        <f>$K$15</f>
        <v>2017-18</v>
      </c>
      <c r="NY39" s="1748" t="str">
        <f>$L$15</f>
        <v>2018-19</v>
      </c>
      <c r="NZ39" s="1749" t="str">
        <f>$M$15</f>
        <v>2019-20</v>
      </c>
      <c r="OA39" s="1747" t="str">
        <f>$J$15</f>
        <v>2016-17</v>
      </c>
      <c r="OB39" s="1748" t="str">
        <f>$K$15</f>
        <v>2017-18</v>
      </c>
      <c r="OC39" s="1748" t="str">
        <f>$L$15</f>
        <v>2018-19</v>
      </c>
      <c r="OD39" s="1749" t="str">
        <f>$M$15</f>
        <v>2019-20</v>
      </c>
      <c r="OE39" s="1747" t="str">
        <f>$J$15</f>
        <v>2016-17</v>
      </c>
      <c r="OF39" s="1748" t="str">
        <f>$K$15</f>
        <v>2017-18</v>
      </c>
      <c r="OG39" s="1748" t="str">
        <f>$L$15</f>
        <v>2018-19</v>
      </c>
      <c r="OH39" s="1749" t="str">
        <f>$M$15</f>
        <v>2019-20</v>
      </c>
      <c r="OI39" s="1747" t="str">
        <f>$J$15</f>
        <v>2016-17</v>
      </c>
      <c r="OJ39" s="1748" t="str">
        <f>$K$15</f>
        <v>2017-18</v>
      </c>
      <c r="OK39" s="1748" t="str">
        <f>$L$15</f>
        <v>2018-19</v>
      </c>
      <c r="OL39" s="1749" t="str">
        <f>$M$15</f>
        <v>2019-20</v>
      </c>
      <c r="OM39" s="1747" t="str">
        <f>$J$15</f>
        <v>2016-17</v>
      </c>
      <c r="ON39" s="1748" t="str">
        <f>$K$15</f>
        <v>2017-18</v>
      </c>
      <c r="OO39" s="1748" t="str">
        <f>$L$15</f>
        <v>2018-19</v>
      </c>
      <c r="OP39" s="1749" t="str">
        <f>$M$15</f>
        <v>2019-20</v>
      </c>
      <c r="OQ39" s="1747" t="str">
        <f>$J$15</f>
        <v>2016-17</v>
      </c>
      <c r="OR39" s="1748" t="str">
        <f>$K$15</f>
        <v>2017-18</v>
      </c>
      <c r="OS39" s="1748" t="str">
        <f>$L$15</f>
        <v>2018-19</v>
      </c>
      <c r="OT39" s="1749" t="str">
        <f>$M$15</f>
        <v>2019-20</v>
      </c>
      <c r="OU39" s="1747" t="str">
        <f>$J$15</f>
        <v>2016-17</v>
      </c>
      <c r="OV39" s="1748" t="str">
        <f>$K$15</f>
        <v>2017-18</v>
      </c>
      <c r="OW39" s="1748" t="str">
        <f>$L$15</f>
        <v>2018-19</v>
      </c>
      <c r="OX39" s="1749" t="str">
        <f>$M$15</f>
        <v>2019-20</v>
      </c>
      <c r="OY39" s="1747" t="str">
        <f>$J$15</f>
        <v>2016-17</v>
      </c>
      <c r="OZ39" s="1748" t="str">
        <f>$K$15</f>
        <v>2017-18</v>
      </c>
      <c r="PA39" s="1748" t="str">
        <f>$L$15</f>
        <v>2018-19</v>
      </c>
      <c r="PB39" s="1749" t="str">
        <f>$M$15</f>
        <v>2019-20</v>
      </c>
    </row>
    <row r="40" spans="2:418" ht="15" thickBot="1">
      <c r="B40" s="835">
        <v>8</v>
      </c>
      <c r="C40" s="836" t="s">
        <v>3014</v>
      </c>
      <c r="D40" s="823" t="s">
        <v>3015</v>
      </c>
      <c r="E40" s="837" t="s">
        <v>3016</v>
      </c>
      <c r="F40" s="1850"/>
      <c r="G40" s="2975">
        <v>130.1</v>
      </c>
      <c r="H40" s="2975">
        <v>130.80000000000001</v>
      </c>
      <c r="I40" s="2956">
        <v>129.4</v>
      </c>
      <c r="J40" s="1841"/>
      <c r="K40" s="2029"/>
      <c r="L40" s="2029"/>
      <c r="M40" s="2955" t="s">
        <v>2934</v>
      </c>
      <c r="N40" s="1841"/>
      <c r="O40" s="2029"/>
      <c r="P40" s="2029"/>
      <c r="Q40" s="2955" t="s">
        <v>2934</v>
      </c>
      <c r="R40" s="1841"/>
      <c r="S40" s="2029"/>
      <c r="T40" s="2029"/>
      <c r="U40" s="2955" t="s">
        <v>2934</v>
      </c>
      <c r="V40" s="1841"/>
      <c r="W40" s="2029"/>
      <c r="X40" s="2029"/>
      <c r="Y40" s="2955" t="s">
        <v>2934</v>
      </c>
      <c r="Z40" s="1841"/>
      <c r="AA40" s="2029"/>
      <c r="AB40" s="2029"/>
      <c r="AC40" s="2955" t="s">
        <v>2934</v>
      </c>
      <c r="AD40" s="1841"/>
      <c r="AE40" s="2029"/>
      <c r="AF40" s="2029"/>
      <c r="AG40" s="2955" t="s">
        <v>2934</v>
      </c>
      <c r="AH40" s="1841"/>
      <c r="AI40" s="2029"/>
      <c r="AJ40" s="2029"/>
      <c r="AK40" s="2955" t="s">
        <v>2934</v>
      </c>
      <c r="AL40" s="1841"/>
      <c r="AM40" s="2029"/>
      <c r="AN40" s="2029"/>
      <c r="AO40" s="2955" t="s">
        <v>2934</v>
      </c>
      <c r="AP40" s="1841"/>
      <c r="AQ40" s="2029"/>
      <c r="AR40" s="2029"/>
      <c r="AS40" s="2955" t="s">
        <v>2934</v>
      </c>
      <c r="AT40" s="1841"/>
      <c r="AU40" s="2029"/>
      <c r="AV40" s="2029"/>
      <c r="AW40" s="2955" t="s">
        <v>2934</v>
      </c>
      <c r="AX40" s="1841"/>
      <c r="AY40" s="2029"/>
      <c r="AZ40" s="2029"/>
      <c r="BA40" s="2955" t="s">
        <v>2934</v>
      </c>
      <c r="BB40" s="1841"/>
      <c r="BC40" s="2029"/>
      <c r="BD40" s="2029"/>
      <c r="BE40" s="2955" t="s">
        <v>2934</v>
      </c>
      <c r="BF40" s="1841"/>
      <c r="BG40" s="2029"/>
      <c r="BH40" s="2029"/>
      <c r="BI40" s="2955" t="s">
        <v>2934</v>
      </c>
      <c r="BJ40" s="1841"/>
      <c r="BK40" s="2029"/>
      <c r="BL40" s="2029"/>
      <c r="BM40" s="2955" t="s">
        <v>2934</v>
      </c>
      <c r="BN40" s="1841"/>
      <c r="BO40" s="2029"/>
      <c r="BP40" s="2029"/>
      <c r="BQ40" s="2955" t="s">
        <v>2934</v>
      </c>
      <c r="BR40" s="1841"/>
      <c r="BS40" s="2029"/>
      <c r="BT40" s="2029"/>
      <c r="BU40" s="2955" t="s">
        <v>2935</v>
      </c>
      <c r="BV40" s="1841"/>
      <c r="BW40" s="2029"/>
      <c r="BX40" s="2029"/>
      <c r="BY40" s="2955" t="s">
        <v>2934</v>
      </c>
      <c r="BZ40" s="1841"/>
      <c r="CA40" s="2029"/>
      <c r="CB40" s="2029"/>
      <c r="CC40" s="2955" t="s">
        <v>2934</v>
      </c>
      <c r="CD40" s="1841"/>
      <c r="CE40" s="2029"/>
      <c r="CF40" s="2029"/>
      <c r="CG40" s="2955" t="s">
        <v>2934</v>
      </c>
      <c r="CH40" s="1841"/>
      <c r="CI40" s="2029"/>
      <c r="CJ40" s="2029"/>
      <c r="CK40" s="2955" t="s">
        <v>2934</v>
      </c>
      <c r="CL40" s="1841"/>
      <c r="CM40" s="2029"/>
      <c r="CN40" s="2029"/>
      <c r="CO40" s="2955" t="s">
        <v>2934</v>
      </c>
      <c r="CP40" s="1841"/>
      <c r="CQ40" s="2029"/>
      <c r="CR40" s="2029"/>
      <c r="CS40" s="2955" t="s">
        <v>2934</v>
      </c>
      <c r="CT40" s="1841"/>
      <c r="CU40" s="2029"/>
      <c r="CV40" s="2029"/>
      <c r="CW40" s="2955" t="s">
        <v>2934</v>
      </c>
      <c r="CX40" s="1841"/>
      <c r="CY40" s="2029"/>
      <c r="CZ40" s="2029"/>
      <c r="DA40" s="2955" t="s">
        <v>2934</v>
      </c>
      <c r="LC40" s="503">
        <f xml:space="preserve"> IF( SUM( LE40:XC40 ) = 0, 0, $LG$3 )</f>
        <v>0</v>
      </c>
      <c r="LF40" s="1558">
        <f>SUM(LG40:XC40)</f>
        <v>0</v>
      </c>
      <c r="LI40" s="93"/>
      <c r="LJ40" s="93">
        <f>IF(ISNUMBER(I40),0,1)</f>
        <v>0</v>
      </c>
      <c r="LM40" s="93"/>
      <c r="LN40" s="93">
        <f>IF(ISBLANK(M40),1,0)</f>
        <v>0</v>
      </c>
      <c r="LQ40" s="93"/>
      <c r="LR40" s="93">
        <f>IF(ISBLANK(Q40),1,0)</f>
        <v>0</v>
      </c>
      <c r="LU40" s="93"/>
      <c r="LV40" s="93">
        <f>IF(ISBLANK(U40),1,0)</f>
        <v>0</v>
      </c>
      <c r="LY40" s="93"/>
      <c r="LZ40" s="93">
        <f>IF(ISBLANK(Y40),1,0)</f>
        <v>0</v>
      </c>
      <c r="MC40" s="93"/>
      <c r="MD40" s="93">
        <f>IF(ISBLANK(AC40),1,0)</f>
        <v>0</v>
      </c>
      <c r="MG40" s="93"/>
      <c r="MH40" s="93">
        <f>IF(ISBLANK(AG40),1,0)</f>
        <v>0</v>
      </c>
      <c r="MK40" s="93"/>
      <c r="ML40" s="93">
        <f>IF(ISBLANK(AK40),1,0)</f>
        <v>0</v>
      </c>
      <c r="MO40" s="93"/>
      <c r="MP40" s="93">
        <f>IF(ISBLANK(AO40),1,0)</f>
        <v>0</v>
      </c>
      <c r="MS40" s="93"/>
      <c r="MT40" s="93">
        <f>IF(ISBLANK(AS40),1,0)</f>
        <v>0</v>
      </c>
      <c r="MW40" s="93"/>
      <c r="MX40" s="93">
        <f>IF(ISBLANK(AW40),1,0)</f>
        <v>0</v>
      </c>
      <c r="NA40" s="93"/>
      <c r="NB40" s="93">
        <f>IF(ISBLANK(BA40),1,0)</f>
        <v>0</v>
      </c>
      <c r="NE40" s="93"/>
      <c r="NF40" s="93">
        <f>IF(ISBLANK(BE40),1,0)</f>
        <v>0</v>
      </c>
      <c r="NI40" s="93"/>
      <c r="NJ40" s="93">
        <f>IF(ISBLANK(BI40),1,0)</f>
        <v>0</v>
      </c>
      <c r="NM40" s="93"/>
      <c r="NN40" s="93">
        <f>IF(ISBLANK(BM40),1,0)</f>
        <v>0</v>
      </c>
      <c r="NQ40" s="93"/>
      <c r="NR40" s="93">
        <f>IF(ISBLANK(BQ40),1,0)</f>
        <v>0</v>
      </c>
      <c r="NU40" s="93"/>
      <c r="NV40" s="93">
        <f>IF(ISBLANK(BU40),1,0)</f>
        <v>0</v>
      </c>
      <c r="NY40" s="93"/>
      <c r="NZ40" s="93">
        <f>IF(ISBLANK(BY40),1,0)</f>
        <v>0</v>
      </c>
      <c r="OC40" s="93"/>
      <c r="OD40" s="93">
        <f>IF(ISBLANK(CC40),1,0)</f>
        <v>0</v>
      </c>
      <c r="OG40" s="93"/>
      <c r="OH40" s="93">
        <f>IF(ISBLANK(CG40),1,0)</f>
        <v>0</v>
      </c>
      <c r="OK40" s="93"/>
      <c r="OL40" s="93">
        <f>IF(ISBLANK(CK40),1,0)</f>
        <v>0</v>
      </c>
      <c r="OO40" s="93"/>
      <c r="OP40" s="93">
        <f>IF(ISBLANK(CO40),1,0)</f>
        <v>0</v>
      </c>
      <c r="OS40" s="93"/>
      <c r="OT40" s="93">
        <f>IF(ISBLANK(CS40),1,0)</f>
        <v>0</v>
      </c>
      <c r="OW40" s="93"/>
      <c r="OX40" s="93">
        <f>IF(ISBLANK(CW40),1,0)</f>
        <v>0</v>
      </c>
      <c r="PA40" s="93"/>
      <c r="PB40" s="93">
        <f>IF(ISBLANK(DA40),1,0)</f>
        <v>0</v>
      </c>
    </row>
    <row r="41" spans="2:418" ht="15.75" customHeight="1">
      <c r="J41" s="1842"/>
      <c r="K41" s="1842"/>
      <c r="L41" s="1842"/>
      <c r="M41" s="1842"/>
      <c r="N41" s="1842"/>
      <c r="O41" s="1842"/>
      <c r="P41" s="1842"/>
      <c r="Q41" s="1842"/>
      <c r="R41" s="1842"/>
      <c r="S41" s="1842"/>
      <c r="T41" s="1842"/>
      <c r="U41" s="1842"/>
      <c r="V41" s="1842"/>
      <c r="W41" s="1842"/>
      <c r="X41" s="1842"/>
      <c r="Y41" s="1842"/>
      <c r="Z41" s="1842"/>
      <c r="AA41" s="1842"/>
      <c r="AB41" s="1842"/>
      <c r="AC41" s="1842"/>
      <c r="AD41" s="1842"/>
      <c r="AE41" s="1842"/>
      <c r="AF41" s="1842"/>
      <c r="AG41" s="1842"/>
      <c r="AH41" s="1842"/>
      <c r="AI41" s="1842"/>
      <c r="AJ41" s="1842"/>
      <c r="AK41" s="1842"/>
      <c r="AL41" s="1842"/>
      <c r="AM41" s="1842"/>
      <c r="AN41" s="1842"/>
      <c r="AO41" s="1842"/>
      <c r="AP41" s="1842"/>
      <c r="AQ41" s="1842"/>
      <c r="AR41" s="1842"/>
      <c r="AS41" s="1842"/>
      <c r="CW41" s="82"/>
      <c r="CX41" s="82"/>
      <c r="CY41" s="82"/>
      <c r="CZ41" s="82"/>
      <c r="DA41" s="82"/>
      <c r="DB41" s="82"/>
      <c r="DC41" s="82"/>
      <c r="DD41" s="82"/>
    </row>
    <row r="42" spans="2:418" ht="18.75" customHeight="1" thickBot="1">
      <c r="J42" s="1842"/>
      <c r="K42" s="1842"/>
      <c r="L42" s="1842"/>
      <c r="M42" s="1842"/>
      <c r="N42" s="1842"/>
      <c r="O42" s="1842"/>
      <c r="P42" s="1842"/>
      <c r="Q42" s="1842"/>
      <c r="R42" s="1842"/>
      <c r="S42" s="1842"/>
      <c r="T42" s="1842"/>
      <c r="U42" s="1842"/>
      <c r="V42" s="1842"/>
      <c r="W42" s="1842"/>
      <c r="X42" s="1842"/>
      <c r="Y42" s="1842"/>
      <c r="Z42" s="1842"/>
      <c r="AA42" s="1842"/>
      <c r="AB42" s="1842"/>
      <c r="AC42" s="1842"/>
      <c r="AD42" s="1842"/>
      <c r="AE42" s="1842"/>
      <c r="AF42" s="1842"/>
      <c r="AG42" s="1842"/>
      <c r="AH42" s="1842"/>
      <c r="AI42" s="1842"/>
      <c r="AJ42" s="1842"/>
      <c r="AK42" s="1842"/>
      <c r="AL42" s="1842"/>
      <c r="AM42" s="1842"/>
      <c r="AN42" s="1842"/>
      <c r="AO42" s="1842"/>
      <c r="AP42" s="1842"/>
      <c r="AQ42" s="1842"/>
      <c r="AR42" s="1842"/>
      <c r="AS42" s="1842"/>
      <c r="CW42" s="82"/>
      <c r="CX42" s="82"/>
      <c r="CY42" s="82"/>
      <c r="CZ42" s="82"/>
      <c r="DA42" s="82"/>
      <c r="DB42" s="82"/>
      <c r="DC42" s="82"/>
      <c r="DD42" s="82"/>
    </row>
    <row r="43" spans="2:418" ht="18.75" customHeight="1" thickBot="1">
      <c r="B43" s="831"/>
      <c r="C43" s="832"/>
      <c r="D43" s="819"/>
      <c r="E43" s="819"/>
      <c r="F43" s="819"/>
      <c r="G43" s="1843"/>
      <c r="H43" s="1843"/>
      <c r="I43" s="1843"/>
      <c r="J43" s="1842"/>
      <c r="K43" s="1842"/>
      <c r="L43" s="2245" t="s">
        <v>3017</v>
      </c>
      <c r="M43" s="2246"/>
      <c r="N43" s="1842"/>
      <c r="O43" s="1842"/>
      <c r="P43" s="1842"/>
      <c r="Q43" s="1842"/>
      <c r="R43" s="1842"/>
      <c r="S43" s="1842"/>
      <c r="T43" s="1842"/>
      <c r="U43" s="1842"/>
      <c r="V43" s="1842"/>
      <c r="W43" s="1842"/>
      <c r="X43" s="1842"/>
      <c r="Y43" s="1842"/>
      <c r="Z43" s="1842"/>
      <c r="AA43" s="1842"/>
      <c r="AB43" s="1842"/>
      <c r="AC43" s="1842"/>
      <c r="AD43" s="1842"/>
      <c r="AE43" s="1842"/>
      <c r="AF43" s="1842"/>
      <c r="AG43" s="1842"/>
      <c r="AH43" s="1842"/>
      <c r="AI43" s="1842"/>
      <c r="AJ43" s="1842"/>
      <c r="AK43" s="1842"/>
      <c r="AL43" s="1842"/>
      <c r="AM43" s="1842"/>
      <c r="AN43" s="1842"/>
      <c r="AO43" s="1842"/>
      <c r="AP43" s="1842"/>
      <c r="AQ43" s="1842"/>
      <c r="AR43" s="1842"/>
      <c r="AS43" s="1842"/>
      <c r="CW43" s="82"/>
      <c r="CX43" s="82"/>
      <c r="CY43" s="82"/>
      <c r="CZ43" s="82"/>
      <c r="DA43" s="82"/>
      <c r="DB43" s="82"/>
      <c r="DC43" s="82"/>
      <c r="DD43" s="82"/>
      <c r="LM43" s="2245" t="s">
        <v>3017</v>
      </c>
      <c r="LN43" s="2246"/>
    </row>
    <row r="44" spans="2:418" ht="30.2" customHeight="1">
      <c r="B44" s="833" t="s">
        <v>2325</v>
      </c>
      <c r="C44" s="834" t="s">
        <v>3018</v>
      </c>
      <c r="D44" s="820" t="s">
        <v>38</v>
      </c>
      <c r="E44" s="820" t="s">
        <v>39</v>
      </c>
      <c r="F44" s="820" t="str">
        <f>F15</f>
        <v>2016-17</v>
      </c>
      <c r="G44" s="820" t="str">
        <f t="shared" ref="G44:I44" si="86">G15</f>
        <v>2017-18</v>
      </c>
      <c r="H44" s="820" t="str">
        <f t="shared" si="86"/>
        <v>2018-19</v>
      </c>
      <c r="I44" s="822" t="str">
        <f t="shared" si="86"/>
        <v>2019-20</v>
      </c>
      <c r="J44" s="1842"/>
      <c r="K44" s="1842"/>
      <c r="L44" s="2243" t="str">
        <f>H15</f>
        <v>2018-19</v>
      </c>
      <c r="M44" s="2244" t="str">
        <f>I15</f>
        <v>2019-20</v>
      </c>
      <c r="N44" s="1842"/>
      <c r="O44" s="1842"/>
      <c r="P44" s="1842"/>
      <c r="Q44" s="1842"/>
      <c r="R44" s="1842"/>
      <c r="S44" s="1842"/>
      <c r="T44" s="1842"/>
      <c r="U44" s="1842"/>
      <c r="V44" s="1842"/>
      <c r="W44" s="1842"/>
      <c r="X44" s="1842"/>
      <c r="Y44" s="1842"/>
      <c r="Z44" s="1842"/>
      <c r="AA44" s="1842"/>
      <c r="AB44" s="1842"/>
      <c r="AC44" s="1842"/>
      <c r="AD44" s="1842"/>
      <c r="AE44" s="1842"/>
      <c r="AF44" s="1842"/>
      <c r="AG44" s="1842"/>
      <c r="AH44" s="1842"/>
      <c r="AI44" s="1842"/>
      <c r="AJ44" s="1842"/>
      <c r="AK44" s="1842"/>
      <c r="AL44" s="1842"/>
      <c r="AM44" s="1842"/>
      <c r="AN44" s="1842"/>
      <c r="AO44" s="1842"/>
      <c r="AP44" s="1842"/>
      <c r="AQ44" s="1842"/>
      <c r="AR44" s="1842"/>
      <c r="AS44" s="1842"/>
      <c r="CW44" s="82"/>
      <c r="CX44" s="82"/>
      <c r="CY44" s="82"/>
      <c r="CZ44" s="82"/>
      <c r="DA44" s="82"/>
      <c r="DB44" s="82"/>
      <c r="DC44" s="82"/>
      <c r="DD44" s="82"/>
      <c r="LF44" s="834" t="s">
        <v>3018</v>
      </c>
      <c r="LG44" s="820" t="str">
        <f>LG15</f>
        <v>2016-17</v>
      </c>
      <c r="LH44" s="820" t="str">
        <f t="shared" ref="LH44:LJ44" si="87">LH15</f>
        <v>2017-18</v>
      </c>
      <c r="LI44" s="820" t="str">
        <f t="shared" si="87"/>
        <v>2018-19</v>
      </c>
      <c r="LJ44" s="822" t="str">
        <f t="shared" si="87"/>
        <v>2019-20</v>
      </c>
      <c r="LM44" s="820" t="str">
        <f t="shared" ref="LM44:LN44" si="88">LM15</f>
        <v>2018-19</v>
      </c>
      <c r="LN44" s="822" t="str">
        <f t="shared" si="88"/>
        <v>2019-20</v>
      </c>
    </row>
    <row r="45" spans="2:418" ht="30.2" customHeight="1" thickBot="1">
      <c r="B45" s="835">
        <v>9</v>
      </c>
      <c r="C45" s="836" t="s">
        <v>3019</v>
      </c>
      <c r="D45" s="823" t="s">
        <v>734</v>
      </c>
      <c r="E45" s="837" t="s">
        <v>2981</v>
      </c>
      <c r="F45" s="1849"/>
      <c r="G45" s="1849"/>
      <c r="H45" s="1849"/>
      <c r="I45" s="2957">
        <v>0</v>
      </c>
      <c r="J45" s="1842"/>
      <c r="K45" s="1842"/>
      <c r="L45" s="1841"/>
      <c r="M45" s="2955" t="s">
        <v>3020</v>
      </c>
      <c r="N45" s="1842"/>
      <c r="O45" s="1842"/>
      <c r="P45" s="1842"/>
      <c r="Q45" s="1842"/>
      <c r="R45" s="1842"/>
      <c r="S45" s="1842"/>
      <c r="T45" s="1842"/>
      <c r="U45" s="1842"/>
      <c r="V45" s="1842"/>
      <c r="W45" s="1842"/>
      <c r="X45" s="1842"/>
      <c r="Y45" s="1842"/>
      <c r="Z45" s="1842"/>
      <c r="AA45" s="1842"/>
      <c r="AB45" s="1842"/>
      <c r="AC45" s="1842"/>
      <c r="AD45" s="1842"/>
      <c r="AE45" s="1842"/>
      <c r="AF45" s="1842"/>
      <c r="AG45" s="1842"/>
      <c r="AH45" s="1842"/>
      <c r="AI45" s="1842"/>
      <c r="AJ45" s="1842"/>
      <c r="AK45" s="1842"/>
      <c r="AL45" s="1842"/>
      <c r="AM45" s="1842"/>
      <c r="AN45" s="1842"/>
      <c r="AO45" s="1842"/>
      <c r="AP45" s="1842"/>
      <c r="AQ45" s="1842"/>
      <c r="AR45" s="1842"/>
      <c r="AS45" s="1842"/>
      <c r="CW45" s="82"/>
      <c r="CX45" s="82"/>
      <c r="CY45" s="82"/>
      <c r="CZ45" s="82"/>
      <c r="DA45" s="82"/>
      <c r="DB45" s="82"/>
      <c r="DC45" s="82"/>
      <c r="DD45" s="82"/>
      <c r="LC45" s="503">
        <f xml:space="preserve"> IF( SUM( LE45:XC45 ) = 0, 0, $LG$3 )</f>
        <v>0</v>
      </c>
      <c r="LF45" s="1558">
        <f>SUM(LG45:XC45)</f>
        <v>0</v>
      </c>
      <c r="LI45" s="93"/>
      <c r="LJ45" s="93">
        <f>IF(ISNUMBER(I45),0,1)</f>
        <v>0</v>
      </c>
      <c r="LM45" s="93"/>
      <c r="LN45" s="93"/>
    </row>
    <row r="46" spans="2:418" ht="15" thickBot="1">
      <c r="J46" s="1842"/>
      <c r="K46" s="1842"/>
      <c r="L46" s="1842"/>
      <c r="M46" s="1842"/>
      <c r="N46" s="1842"/>
      <c r="O46" s="1842"/>
      <c r="P46" s="1842"/>
      <c r="Q46" s="1842"/>
      <c r="R46" s="1842"/>
      <c r="S46" s="1842"/>
      <c r="T46" s="1842"/>
      <c r="U46" s="1842"/>
      <c r="V46" s="1842"/>
      <c r="W46" s="1842"/>
      <c r="X46" s="1842"/>
      <c r="Y46" s="1842"/>
      <c r="Z46" s="1842"/>
      <c r="AA46" s="1842"/>
      <c r="AB46" s="1842"/>
      <c r="AC46" s="1842"/>
      <c r="AD46" s="1842"/>
      <c r="AE46" s="1842"/>
      <c r="AF46" s="1842"/>
      <c r="AG46" s="1842"/>
      <c r="AH46" s="1842"/>
      <c r="AI46" s="1842"/>
      <c r="AJ46" s="1842"/>
      <c r="AK46" s="1842"/>
      <c r="AL46" s="1842"/>
      <c r="AM46" s="1842"/>
      <c r="AN46" s="1842"/>
      <c r="AO46" s="1842"/>
      <c r="AP46" s="1842"/>
      <c r="AQ46" s="1842"/>
      <c r="AR46" s="1842"/>
      <c r="AS46" s="1842"/>
      <c r="CW46" s="82"/>
      <c r="CX46" s="82"/>
      <c r="CY46" s="82"/>
      <c r="CZ46" s="82"/>
      <c r="DA46" s="82"/>
      <c r="DB46" s="82"/>
      <c r="DC46" s="82"/>
      <c r="DD46" s="82"/>
    </row>
    <row r="47" spans="2:418" ht="18.75" customHeight="1">
      <c r="J47" s="1827" t="s">
        <v>3021</v>
      </c>
      <c r="K47" s="1828"/>
      <c r="L47" s="1828"/>
      <c r="M47" s="1829"/>
      <c r="N47" s="1827" t="s">
        <v>3022</v>
      </c>
      <c r="O47" s="1828"/>
      <c r="P47" s="1828"/>
      <c r="Q47" s="1829"/>
      <c r="R47" s="1827" t="s">
        <v>3022</v>
      </c>
      <c r="S47" s="1828"/>
      <c r="T47" s="1828"/>
      <c r="U47" s="1829"/>
      <c r="V47" s="1827" t="s">
        <v>3022</v>
      </c>
      <c r="W47" s="1828"/>
      <c r="X47" s="1828"/>
      <c r="Y47" s="1829"/>
      <c r="Z47" s="1827" t="s">
        <v>3022</v>
      </c>
      <c r="AA47" s="1828"/>
      <c r="AB47" s="1828"/>
      <c r="AC47" s="1829"/>
      <c r="AD47" s="1827" t="s">
        <v>3022</v>
      </c>
      <c r="AE47" s="1828"/>
      <c r="AF47" s="1828"/>
      <c r="AG47" s="1829"/>
      <c r="AH47" s="1827" t="s">
        <v>3023</v>
      </c>
      <c r="AI47" s="1828"/>
      <c r="AJ47" s="1828"/>
      <c r="AK47" s="1829"/>
      <c r="AL47" s="1827" t="s">
        <v>3023</v>
      </c>
      <c r="AM47" s="1828"/>
      <c r="AN47" s="1828"/>
      <c r="AO47" s="1829"/>
      <c r="AP47" s="1827" t="s">
        <v>3024</v>
      </c>
      <c r="AQ47" s="1828"/>
      <c r="AR47" s="1828"/>
      <c r="AS47" s="1829"/>
      <c r="AT47" s="1827" t="s">
        <v>3025</v>
      </c>
      <c r="AU47" s="1828"/>
      <c r="AV47" s="1828"/>
      <c r="AW47" s="1829"/>
      <c r="AX47" s="1827" t="s">
        <v>3026</v>
      </c>
      <c r="AY47" s="1828"/>
      <c r="AZ47" s="1828"/>
      <c r="BA47" s="1829"/>
      <c r="CW47" s="82"/>
      <c r="CX47" s="82"/>
      <c r="CY47" s="82"/>
      <c r="CZ47" s="82"/>
      <c r="DA47" s="82"/>
      <c r="DB47" s="82"/>
      <c r="DC47" s="82"/>
      <c r="DD47" s="82"/>
      <c r="LK47" s="1827" t="s">
        <v>3021</v>
      </c>
      <c r="LL47" s="1828"/>
      <c r="LM47" s="1828"/>
      <c r="LN47" s="1829"/>
      <c r="LO47" s="1827" t="s">
        <v>3022</v>
      </c>
      <c r="LP47" s="1828"/>
      <c r="LQ47" s="1828"/>
      <c r="LR47" s="1829"/>
      <c r="LS47" s="1827" t="s">
        <v>3022</v>
      </c>
      <c r="LT47" s="1828"/>
      <c r="LU47" s="1828"/>
      <c r="LV47" s="1829"/>
      <c r="LW47" s="1827" t="s">
        <v>3022</v>
      </c>
      <c r="LX47" s="1828"/>
      <c r="LY47" s="1828"/>
      <c r="LZ47" s="1829"/>
      <c r="MA47" s="1827" t="s">
        <v>3022</v>
      </c>
      <c r="MB47" s="1828"/>
      <c r="MC47" s="1828"/>
      <c r="MD47" s="1829"/>
      <c r="ME47" s="1827" t="s">
        <v>3022</v>
      </c>
      <c r="MF47" s="1828"/>
      <c r="MG47" s="1828"/>
      <c r="MH47" s="1829"/>
      <c r="MI47" s="1827" t="s">
        <v>3023</v>
      </c>
      <c r="MJ47" s="1828"/>
      <c r="MK47" s="1828"/>
      <c r="ML47" s="1829"/>
      <c r="MM47" s="1827" t="s">
        <v>3023</v>
      </c>
      <c r="MN47" s="1828"/>
      <c r="MO47" s="1828"/>
      <c r="MP47" s="1829"/>
      <c r="MQ47" s="1827" t="s">
        <v>3024</v>
      </c>
      <c r="MR47" s="1828"/>
      <c r="MS47" s="1828"/>
      <c r="MT47" s="1829"/>
      <c r="MU47" s="1827" t="s">
        <v>3025</v>
      </c>
      <c r="MV47" s="1828"/>
      <c r="MW47" s="1828"/>
      <c r="MX47" s="1829"/>
      <c r="MY47" s="1827" t="s">
        <v>3026</v>
      </c>
      <c r="MZ47" s="1828"/>
      <c r="NA47" s="1828"/>
      <c r="NB47" s="1829"/>
    </row>
    <row r="48" spans="2:418" ht="30.2" customHeight="1" thickBot="1">
      <c r="B48" s="838"/>
      <c r="C48" s="839"/>
      <c r="D48" s="838"/>
      <c r="E48" s="838"/>
      <c r="F48" s="1851"/>
      <c r="G48" s="1851"/>
      <c r="H48" s="1851"/>
      <c r="I48" s="1851"/>
      <c r="J48" s="1844" t="s">
        <v>2775</v>
      </c>
      <c r="K48" s="1845"/>
      <c r="L48" s="1845"/>
      <c r="M48" s="1846"/>
      <c r="N48" s="1844" t="s">
        <v>3027</v>
      </c>
      <c r="O48" s="1845"/>
      <c r="P48" s="1845"/>
      <c r="Q48" s="1846"/>
      <c r="R48" s="1844" t="s">
        <v>3028</v>
      </c>
      <c r="S48" s="1845"/>
      <c r="T48" s="1845"/>
      <c r="U48" s="1846"/>
      <c r="V48" s="1852" t="s">
        <v>3029</v>
      </c>
      <c r="W48" s="1845"/>
      <c r="X48" s="1845"/>
      <c r="Y48" s="1846"/>
      <c r="Z48" s="1844" t="s">
        <v>3030</v>
      </c>
      <c r="AA48" s="1845"/>
      <c r="AB48" s="1845"/>
      <c r="AC48" s="1846"/>
      <c r="AD48" s="1844" t="s">
        <v>3031</v>
      </c>
      <c r="AE48" s="1845"/>
      <c r="AF48" s="1845"/>
      <c r="AG48" s="1846"/>
      <c r="AH48" s="1844" t="s">
        <v>3032</v>
      </c>
      <c r="AI48" s="1845"/>
      <c r="AJ48" s="1845"/>
      <c r="AK48" s="1846"/>
      <c r="AL48" s="1844" t="s">
        <v>3033</v>
      </c>
      <c r="AM48" s="1845"/>
      <c r="AN48" s="1845"/>
      <c r="AO48" s="1846"/>
      <c r="AP48" s="1844" t="s">
        <v>2782</v>
      </c>
      <c r="AQ48" s="1845"/>
      <c r="AR48" s="1845"/>
      <c r="AS48" s="1846"/>
      <c r="AT48" s="1844" t="s">
        <v>2793</v>
      </c>
      <c r="AU48" s="1845"/>
      <c r="AV48" s="1845"/>
      <c r="AW48" s="1846"/>
      <c r="AX48" s="1844" t="s">
        <v>2800</v>
      </c>
      <c r="AY48" s="1845"/>
      <c r="AZ48" s="1845"/>
      <c r="BA48" s="1846"/>
      <c r="CW48" s="82"/>
      <c r="CX48" s="82"/>
      <c r="CY48" s="82"/>
      <c r="CZ48" s="82"/>
      <c r="DA48" s="82"/>
      <c r="DB48" s="82"/>
      <c r="DC48" s="82"/>
      <c r="DD48" s="82"/>
      <c r="LG48" s="1851"/>
      <c r="LH48" s="1851"/>
      <c r="LI48" s="1851"/>
      <c r="LJ48" s="1851"/>
      <c r="LK48" s="1844" t="s">
        <v>2775</v>
      </c>
      <c r="LL48" s="1845"/>
      <c r="LM48" s="1845"/>
      <c r="LN48" s="1846"/>
      <c r="LO48" s="1844" t="s">
        <v>3027</v>
      </c>
      <c r="LP48" s="1845"/>
      <c r="LQ48" s="1845"/>
      <c r="LR48" s="1846"/>
      <c r="LS48" s="1844" t="s">
        <v>3028</v>
      </c>
      <c r="LT48" s="1845"/>
      <c r="LU48" s="1845"/>
      <c r="LV48" s="1846"/>
      <c r="LW48" s="1852" t="s">
        <v>3029</v>
      </c>
      <c r="LX48" s="1845"/>
      <c r="LY48" s="1845"/>
      <c r="LZ48" s="1846"/>
      <c r="MA48" s="1844" t="s">
        <v>3030</v>
      </c>
      <c r="MB48" s="1845"/>
      <c r="MC48" s="1845"/>
      <c r="MD48" s="1846"/>
      <c r="ME48" s="1844" t="s">
        <v>3031</v>
      </c>
      <c r="MF48" s="1845"/>
      <c r="MG48" s="1845"/>
      <c r="MH48" s="1846"/>
      <c r="MI48" s="1844" t="s">
        <v>3032</v>
      </c>
      <c r="MJ48" s="1845"/>
      <c r="MK48" s="1845"/>
      <c r="ML48" s="1846"/>
      <c r="MM48" s="1844" t="s">
        <v>3033</v>
      </c>
      <c r="MN48" s="1845"/>
      <c r="MO48" s="1845"/>
      <c r="MP48" s="1846"/>
      <c r="MQ48" s="1844" t="s">
        <v>2782</v>
      </c>
      <c r="MR48" s="1845"/>
      <c r="MS48" s="1845"/>
      <c r="MT48" s="1846"/>
      <c r="MU48" s="1844" t="s">
        <v>2793</v>
      </c>
      <c r="MV48" s="1845"/>
      <c r="MW48" s="1845"/>
      <c r="MX48" s="1846"/>
      <c r="MY48" s="1844" t="s">
        <v>2800</v>
      </c>
      <c r="MZ48" s="1845"/>
      <c r="NA48" s="1845"/>
      <c r="NB48" s="1846"/>
    </row>
    <row r="49" spans="2:366">
      <c r="B49" s="833" t="s">
        <v>2326</v>
      </c>
      <c r="C49" s="834" t="s">
        <v>3034</v>
      </c>
      <c r="D49" s="820" t="str">
        <f t="shared" ref="D49:I49" si="89">D15</f>
        <v>Units</v>
      </c>
      <c r="E49" s="820" t="str">
        <f t="shared" si="89"/>
        <v>DPs</v>
      </c>
      <c r="F49" s="820" t="str">
        <f t="shared" si="89"/>
        <v>2016-17</v>
      </c>
      <c r="G49" s="820" t="str">
        <f t="shared" si="89"/>
        <v>2017-18</v>
      </c>
      <c r="H49" s="820" t="str">
        <f t="shared" si="89"/>
        <v>2018-19</v>
      </c>
      <c r="I49" s="821" t="str">
        <f t="shared" si="89"/>
        <v>2019-20</v>
      </c>
      <c r="J49" s="1747" t="str">
        <f>$J$15</f>
        <v>2016-17</v>
      </c>
      <c r="K49" s="1748" t="str">
        <f>$K$15</f>
        <v>2017-18</v>
      </c>
      <c r="L49" s="1748" t="str">
        <f>$L$15</f>
        <v>2018-19</v>
      </c>
      <c r="M49" s="1749" t="str">
        <f>$M$15</f>
        <v>2019-20</v>
      </c>
      <c r="N49" s="1747" t="str">
        <f>$J$15</f>
        <v>2016-17</v>
      </c>
      <c r="O49" s="1748" t="str">
        <f>$K$15</f>
        <v>2017-18</v>
      </c>
      <c r="P49" s="1748" t="str">
        <f>$L$15</f>
        <v>2018-19</v>
      </c>
      <c r="Q49" s="1749" t="str">
        <f>$M$15</f>
        <v>2019-20</v>
      </c>
      <c r="R49" s="1747" t="str">
        <f>$J$15</f>
        <v>2016-17</v>
      </c>
      <c r="S49" s="1748" t="str">
        <f>$K$15</f>
        <v>2017-18</v>
      </c>
      <c r="T49" s="1748" t="str">
        <f>$L$15</f>
        <v>2018-19</v>
      </c>
      <c r="U49" s="1749" t="str">
        <f>$M$15</f>
        <v>2019-20</v>
      </c>
      <c r="V49" s="1747" t="str">
        <f>$J$15</f>
        <v>2016-17</v>
      </c>
      <c r="W49" s="1748" t="str">
        <f>$K$15</f>
        <v>2017-18</v>
      </c>
      <c r="X49" s="1748" t="str">
        <f>$L$15</f>
        <v>2018-19</v>
      </c>
      <c r="Y49" s="1749" t="str">
        <f>$M$15</f>
        <v>2019-20</v>
      </c>
      <c r="Z49" s="1747" t="str">
        <f>$J$15</f>
        <v>2016-17</v>
      </c>
      <c r="AA49" s="1748" t="str">
        <f>$K$15</f>
        <v>2017-18</v>
      </c>
      <c r="AB49" s="1748" t="str">
        <f>$L$15</f>
        <v>2018-19</v>
      </c>
      <c r="AC49" s="1749" t="str">
        <f>$M$15</f>
        <v>2019-20</v>
      </c>
      <c r="AD49" s="1747" t="str">
        <f>$J$15</f>
        <v>2016-17</v>
      </c>
      <c r="AE49" s="1748" t="str">
        <f>$K$15</f>
        <v>2017-18</v>
      </c>
      <c r="AF49" s="1748" t="str">
        <f>$L$15</f>
        <v>2018-19</v>
      </c>
      <c r="AG49" s="1749" t="str">
        <f>$M$15</f>
        <v>2019-20</v>
      </c>
      <c r="AH49" s="1747" t="str">
        <f>$J$15</f>
        <v>2016-17</v>
      </c>
      <c r="AI49" s="1748" t="str">
        <f>$K$15</f>
        <v>2017-18</v>
      </c>
      <c r="AJ49" s="1748" t="str">
        <f>$L$15</f>
        <v>2018-19</v>
      </c>
      <c r="AK49" s="1749" t="str">
        <f>$M$15</f>
        <v>2019-20</v>
      </c>
      <c r="AL49" s="1747" t="str">
        <f>$J$15</f>
        <v>2016-17</v>
      </c>
      <c r="AM49" s="1748" t="str">
        <f>$K$15</f>
        <v>2017-18</v>
      </c>
      <c r="AN49" s="1748" t="str">
        <f>$L$15</f>
        <v>2018-19</v>
      </c>
      <c r="AO49" s="1749" t="str">
        <f>$M$15</f>
        <v>2019-20</v>
      </c>
      <c r="AP49" s="1747" t="str">
        <f>$J$15</f>
        <v>2016-17</v>
      </c>
      <c r="AQ49" s="1748" t="str">
        <f>$K$15</f>
        <v>2017-18</v>
      </c>
      <c r="AR49" s="1748" t="str">
        <f>$L$15</f>
        <v>2018-19</v>
      </c>
      <c r="AS49" s="1749" t="str">
        <f>$M$15</f>
        <v>2019-20</v>
      </c>
      <c r="AT49" s="1747" t="str">
        <f>$J$15</f>
        <v>2016-17</v>
      </c>
      <c r="AU49" s="1748" t="str">
        <f>$K$15</f>
        <v>2017-18</v>
      </c>
      <c r="AV49" s="1748" t="str">
        <f>$L$15</f>
        <v>2018-19</v>
      </c>
      <c r="AW49" s="1749" t="str">
        <f>$M$15</f>
        <v>2019-20</v>
      </c>
      <c r="AX49" s="1747" t="str">
        <f>$J$15</f>
        <v>2016-17</v>
      </c>
      <c r="AY49" s="1748" t="str">
        <f>$K$15</f>
        <v>2017-18</v>
      </c>
      <c r="AZ49" s="1748" t="str">
        <f>$L$15</f>
        <v>2018-19</v>
      </c>
      <c r="BA49" s="1749" t="str">
        <f>$M$15</f>
        <v>2019-20</v>
      </c>
      <c r="CW49" s="82"/>
      <c r="CX49" s="82"/>
      <c r="CY49" s="82"/>
      <c r="CZ49" s="82"/>
      <c r="DA49" s="82"/>
      <c r="DB49" s="82"/>
      <c r="DC49" s="82"/>
      <c r="DD49" s="82"/>
      <c r="LF49" s="834" t="s">
        <v>3034</v>
      </c>
      <c r="LG49" s="820" t="str">
        <f t="shared" ref="LG49:LJ49" si="90">LG15</f>
        <v>2016-17</v>
      </c>
      <c r="LH49" s="820" t="str">
        <f t="shared" si="90"/>
        <v>2017-18</v>
      </c>
      <c r="LI49" s="820" t="str">
        <f t="shared" si="90"/>
        <v>2018-19</v>
      </c>
      <c r="LJ49" s="821" t="str">
        <f t="shared" si="90"/>
        <v>2019-20</v>
      </c>
      <c r="LK49" s="1747" t="str">
        <f>$J$15</f>
        <v>2016-17</v>
      </c>
      <c r="LL49" s="1748" t="str">
        <f>$K$15</f>
        <v>2017-18</v>
      </c>
      <c r="LM49" s="1748" t="str">
        <f>$L$15</f>
        <v>2018-19</v>
      </c>
      <c r="LN49" s="1749" t="str">
        <f>$M$15</f>
        <v>2019-20</v>
      </c>
      <c r="LO49" s="1747" t="str">
        <f>$J$15</f>
        <v>2016-17</v>
      </c>
      <c r="LP49" s="1748" t="str">
        <f>$K$15</f>
        <v>2017-18</v>
      </c>
      <c r="LQ49" s="1748" t="str">
        <f>$L$15</f>
        <v>2018-19</v>
      </c>
      <c r="LR49" s="1749" t="str">
        <f>$M$15</f>
        <v>2019-20</v>
      </c>
      <c r="LS49" s="1747" t="str">
        <f>$J$15</f>
        <v>2016-17</v>
      </c>
      <c r="LT49" s="1748" t="str">
        <f>$K$15</f>
        <v>2017-18</v>
      </c>
      <c r="LU49" s="1748" t="str">
        <f>$L$15</f>
        <v>2018-19</v>
      </c>
      <c r="LV49" s="1749" t="str">
        <f>$M$15</f>
        <v>2019-20</v>
      </c>
      <c r="LW49" s="1747" t="str">
        <f>$J$15</f>
        <v>2016-17</v>
      </c>
      <c r="LX49" s="1748" t="str">
        <f>$K$15</f>
        <v>2017-18</v>
      </c>
      <c r="LY49" s="1748" t="str">
        <f>$L$15</f>
        <v>2018-19</v>
      </c>
      <c r="LZ49" s="1749" t="str">
        <f>$M$15</f>
        <v>2019-20</v>
      </c>
      <c r="MA49" s="1747" t="str">
        <f>$J$15</f>
        <v>2016-17</v>
      </c>
      <c r="MB49" s="1748" t="str">
        <f>$K$15</f>
        <v>2017-18</v>
      </c>
      <c r="MC49" s="1748" t="str">
        <f>$L$15</f>
        <v>2018-19</v>
      </c>
      <c r="MD49" s="1749" t="str">
        <f>$M$15</f>
        <v>2019-20</v>
      </c>
      <c r="ME49" s="1747" t="str">
        <f>$J$15</f>
        <v>2016-17</v>
      </c>
      <c r="MF49" s="1748" t="str">
        <f>$K$15</f>
        <v>2017-18</v>
      </c>
      <c r="MG49" s="1748" t="str">
        <f>$L$15</f>
        <v>2018-19</v>
      </c>
      <c r="MH49" s="1749" t="str">
        <f>$M$15</f>
        <v>2019-20</v>
      </c>
      <c r="MI49" s="1747" t="str">
        <f>$J$15</f>
        <v>2016-17</v>
      </c>
      <c r="MJ49" s="1748" t="str">
        <f>$K$15</f>
        <v>2017-18</v>
      </c>
      <c r="MK49" s="1748" t="str">
        <f>$L$15</f>
        <v>2018-19</v>
      </c>
      <c r="ML49" s="1749" t="str">
        <f>$M$15</f>
        <v>2019-20</v>
      </c>
      <c r="MM49" s="1747" t="str">
        <f>$J$15</f>
        <v>2016-17</v>
      </c>
      <c r="MN49" s="1748" t="str">
        <f>$K$15</f>
        <v>2017-18</v>
      </c>
      <c r="MO49" s="1748" t="str">
        <f>$L$15</f>
        <v>2018-19</v>
      </c>
      <c r="MP49" s="1749" t="str">
        <f>$M$15</f>
        <v>2019-20</v>
      </c>
      <c r="MQ49" s="1747" t="str">
        <f>$J$15</f>
        <v>2016-17</v>
      </c>
      <c r="MR49" s="1748" t="str">
        <f>$K$15</f>
        <v>2017-18</v>
      </c>
      <c r="MS49" s="1748" t="str">
        <f>$L$15</f>
        <v>2018-19</v>
      </c>
      <c r="MT49" s="1749" t="str">
        <f>$M$15</f>
        <v>2019-20</v>
      </c>
      <c r="MU49" s="1747" t="str">
        <f>$J$15</f>
        <v>2016-17</v>
      </c>
      <c r="MV49" s="1748" t="str">
        <f>$K$15</f>
        <v>2017-18</v>
      </c>
      <c r="MW49" s="1748" t="str">
        <f>$L$15</f>
        <v>2018-19</v>
      </c>
      <c r="MX49" s="1749" t="str">
        <f>$M$15</f>
        <v>2019-20</v>
      </c>
      <c r="MY49" s="1747" t="str">
        <f>$J$15</f>
        <v>2016-17</v>
      </c>
      <c r="MZ49" s="1748" t="str">
        <f>$K$15</f>
        <v>2017-18</v>
      </c>
      <c r="NA49" s="1748" t="str">
        <f>$L$15</f>
        <v>2018-19</v>
      </c>
      <c r="NB49" s="1749" t="str">
        <f>$M$15</f>
        <v>2019-20</v>
      </c>
    </row>
    <row r="50" spans="2:366" ht="15" thickBot="1">
      <c r="B50" s="835">
        <v>10</v>
      </c>
      <c r="C50" s="836" t="s">
        <v>3035</v>
      </c>
      <c r="D50" s="823" t="s">
        <v>766</v>
      </c>
      <c r="E50" s="823">
        <v>0</v>
      </c>
      <c r="F50" s="1850"/>
      <c r="G50" s="1850"/>
      <c r="H50" s="1850"/>
      <c r="I50" s="2956">
        <v>1123</v>
      </c>
      <c r="J50" s="1841"/>
      <c r="K50" s="2029"/>
      <c r="L50" s="2029"/>
      <c r="M50" s="2955" t="s">
        <v>2934</v>
      </c>
      <c r="N50" s="1841"/>
      <c r="O50" s="2029"/>
      <c r="P50" s="2029"/>
      <c r="Q50" s="2955" t="s">
        <v>2934</v>
      </c>
      <c r="R50" s="1841"/>
      <c r="S50" s="2029"/>
      <c r="T50" s="2029"/>
      <c r="U50" s="2955" t="s">
        <v>2934</v>
      </c>
      <c r="V50" s="1841"/>
      <c r="W50" s="2029"/>
      <c r="X50" s="2029"/>
      <c r="Y50" s="2955" t="s">
        <v>2934</v>
      </c>
      <c r="Z50" s="1841"/>
      <c r="AA50" s="2029"/>
      <c r="AB50" s="2029"/>
      <c r="AC50" s="2955" t="s">
        <v>2934</v>
      </c>
      <c r="AD50" s="1841"/>
      <c r="AE50" s="2029"/>
      <c r="AF50" s="2029"/>
      <c r="AG50" s="2955" t="s">
        <v>2934</v>
      </c>
      <c r="AH50" s="1841"/>
      <c r="AI50" s="2029"/>
      <c r="AJ50" s="2029"/>
      <c r="AK50" s="2955" t="s">
        <v>2934</v>
      </c>
      <c r="AL50" s="1841"/>
      <c r="AM50" s="2029"/>
      <c r="AN50" s="2029"/>
      <c r="AO50" s="2955" t="s">
        <v>2934</v>
      </c>
      <c r="AP50" s="1841"/>
      <c r="AQ50" s="2029"/>
      <c r="AR50" s="2029"/>
      <c r="AS50" s="2955" t="s">
        <v>2934</v>
      </c>
      <c r="AT50" s="1841"/>
      <c r="AU50" s="2029"/>
      <c r="AV50" s="2029"/>
      <c r="AW50" s="2955" t="s">
        <v>2934</v>
      </c>
      <c r="AX50" s="1841"/>
      <c r="AY50" s="2029"/>
      <c r="AZ50" s="2029"/>
      <c r="BA50" s="2955" t="s">
        <v>2934</v>
      </c>
      <c r="CW50" s="82"/>
      <c r="CX50" s="82"/>
      <c r="CY50" s="82"/>
      <c r="CZ50" s="82"/>
      <c r="DA50" s="82"/>
      <c r="DB50" s="82"/>
      <c r="DC50" s="82"/>
      <c r="DD50" s="82"/>
      <c r="LC50" s="503">
        <f xml:space="preserve"> IF( SUM( LE50:XC50 ) = 0, 0, $LG$3 )</f>
        <v>0</v>
      </c>
      <c r="LF50" s="1558">
        <f>SUM(LG50:XC50)</f>
        <v>0</v>
      </c>
      <c r="LI50" s="93"/>
      <c r="LJ50" s="93">
        <f>IF(ISNUMBER(I50),0,1)</f>
        <v>0</v>
      </c>
      <c r="LM50" s="93"/>
      <c r="LN50" s="93">
        <f>IF(ISBLANK(M50),1,0)</f>
        <v>0</v>
      </c>
      <c r="LQ50" s="93"/>
      <c r="LR50" s="93">
        <f>IF(ISBLANK(Q50),1,0)</f>
        <v>0</v>
      </c>
      <c r="LU50" s="93"/>
      <c r="LV50" s="93">
        <f>IF(ISBLANK(U50),1,0)</f>
        <v>0</v>
      </c>
      <c r="LY50" s="93"/>
      <c r="LZ50" s="93">
        <f>IF(ISBLANK(Y50),1,0)</f>
        <v>0</v>
      </c>
      <c r="MC50" s="93"/>
      <c r="MD50" s="93">
        <f>IF(ISBLANK(AC50),1,0)</f>
        <v>0</v>
      </c>
      <c r="MG50" s="93"/>
      <c r="MH50" s="93">
        <f>IF(ISBLANK(AG50),1,0)</f>
        <v>0</v>
      </c>
      <c r="MK50" s="93"/>
      <c r="ML50" s="93">
        <f>IF(ISBLANK(AK50),1,0)</f>
        <v>0</v>
      </c>
      <c r="MO50" s="93"/>
      <c r="MP50" s="93">
        <f>IF(ISBLANK(AO50),1,0)</f>
        <v>0</v>
      </c>
      <c r="MS50" s="93"/>
      <c r="MT50" s="93">
        <f>IF(ISBLANK(AS50),1,0)</f>
        <v>0</v>
      </c>
      <c r="MW50" s="93"/>
      <c r="MX50" s="93">
        <f>IF(ISBLANK(AW50),1,0)</f>
        <v>0</v>
      </c>
      <c r="NA50" s="93"/>
      <c r="NB50" s="93">
        <f>IF(ISBLANK(BA50),1,0)</f>
        <v>0</v>
      </c>
    </row>
    <row r="51" spans="2:366">
      <c r="J51" s="1842"/>
      <c r="K51" s="1842"/>
      <c r="L51" s="1842"/>
      <c r="M51" s="1842"/>
      <c r="N51" s="1842"/>
      <c r="O51" s="1842"/>
      <c r="P51" s="1842"/>
      <c r="Q51" s="1842"/>
      <c r="R51" s="1842"/>
      <c r="S51" s="1842"/>
      <c r="T51" s="1842"/>
      <c r="U51" s="1842"/>
      <c r="V51" s="1842"/>
      <c r="W51" s="1842"/>
      <c r="X51" s="1842"/>
      <c r="Y51" s="1842"/>
      <c r="Z51" s="1842"/>
      <c r="AA51" s="1842"/>
      <c r="AB51" s="1842"/>
      <c r="AC51" s="1842"/>
      <c r="AD51" s="1842"/>
      <c r="AE51" s="1842"/>
      <c r="AF51" s="1842"/>
      <c r="AG51" s="1842"/>
      <c r="AH51" s="1842"/>
      <c r="AI51" s="1842"/>
      <c r="AJ51" s="1842"/>
      <c r="AK51" s="1842"/>
      <c r="AL51" s="1842"/>
      <c r="AM51" s="1842"/>
      <c r="AN51" s="1842"/>
      <c r="AO51" s="1842"/>
      <c r="AP51" s="1842"/>
      <c r="AQ51" s="1842"/>
      <c r="AR51" s="1842"/>
      <c r="AS51" s="1842"/>
      <c r="CW51" s="82"/>
      <c r="CX51" s="82"/>
      <c r="CY51" s="82"/>
      <c r="CZ51" s="82"/>
      <c r="DA51" s="82"/>
      <c r="DB51" s="82"/>
      <c r="DC51" s="82"/>
      <c r="DD51" s="82"/>
    </row>
    <row r="52" spans="2:366" ht="18.75" customHeight="1" thickBot="1">
      <c r="J52" s="1842"/>
      <c r="K52" s="1842"/>
      <c r="L52" s="1842"/>
      <c r="M52" s="1842"/>
      <c r="N52" s="1842"/>
      <c r="O52" s="1842"/>
      <c r="P52" s="1842"/>
      <c r="Q52" s="1842"/>
      <c r="R52" s="1842"/>
      <c r="S52" s="1842"/>
      <c r="T52" s="1842"/>
      <c r="U52" s="1842"/>
      <c r="V52" s="1842"/>
      <c r="W52" s="1842"/>
      <c r="X52" s="1842"/>
      <c r="Y52" s="1842"/>
      <c r="Z52" s="1842"/>
      <c r="AA52" s="1842"/>
      <c r="AB52" s="1842"/>
      <c r="AC52" s="1842"/>
      <c r="AD52" s="1842"/>
      <c r="AE52" s="1842"/>
      <c r="AF52" s="1842"/>
      <c r="AG52" s="1842"/>
      <c r="AH52" s="1842"/>
      <c r="AI52" s="1842"/>
      <c r="AJ52" s="1842"/>
      <c r="AK52" s="1842"/>
      <c r="AL52" s="1842"/>
      <c r="AM52" s="1842"/>
      <c r="AN52" s="1842"/>
      <c r="AO52" s="1842"/>
      <c r="AP52" s="1842"/>
      <c r="AQ52" s="1842"/>
      <c r="AR52" s="1842"/>
      <c r="AS52" s="1842"/>
      <c r="CW52" s="82"/>
      <c r="CX52" s="82"/>
      <c r="CY52" s="82"/>
      <c r="CZ52" s="82"/>
      <c r="DA52" s="82"/>
      <c r="DB52" s="82"/>
      <c r="DC52" s="82"/>
      <c r="DD52" s="82"/>
    </row>
    <row r="53" spans="2:366" ht="18.75" customHeight="1">
      <c r="J53" s="1827" t="str">
        <f>J47</f>
        <v>1. Assets causing flooding</v>
      </c>
      <c r="K53" s="1828"/>
      <c r="L53" s="1828"/>
      <c r="M53" s="1829"/>
      <c r="N53" s="1827" t="str">
        <f>N47</f>
        <v>2. Severe weather</v>
      </c>
      <c r="O53" s="1828"/>
      <c r="P53" s="1828"/>
      <c r="Q53" s="1829"/>
      <c r="R53" s="1827" t="str">
        <f>R47</f>
        <v>2. Severe weather</v>
      </c>
      <c r="S53" s="1828"/>
      <c r="T53" s="1828"/>
      <c r="U53" s="1829"/>
      <c r="V53" s="1827" t="str">
        <f>V47</f>
        <v>2. Severe weather</v>
      </c>
      <c r="W53" s="1828"/>
      <c r="X53" s="1828"/>
      <c r="Y53" s="1829"/>
      <c r="Z53" s="1827" t="str">
        <f>Z47</f>
        <v>2. Severe weather</v>
      </c>
      <c r="AA53" s="1828"/>
      <c r="AB53" s="1828"/>
      <c r="AC53" s="1829"/>
      <c r="AD53" s="1827" t="str">
        <f>AD47</f>
        <v>2. Severe weather</v>
      </c>
      <c r="AE53" s="1828"/>
      <c r="AF53" s="1828"/>
      <c r="AG53" s="1829"/>
      <c r="AH53" s="1827" t="str">
        <f>AH47</f>
        <v>3. Internal or external flooding</v>
      </c>
      <c r="AI53" s="1828"/>
      <c r="AJ53" s="1828"/>
      <c r="AK53" s="1829"/>
      <c r="AL53" s="1827" t="str">
        <f>AL47</f>
        <v>3. Internal or external flooding</v>
      </c>
      <c r="AM53" s="1828"/>
      <c r="AN53" s="1828"/>
      <c r="AO53" s="1829"/>
      <c r="AP53" s="1827" t="str">
        <f>AP47</f>
        <v>4. Repeat incidents</v>
      </c>
      <c r="AQ53" s="1828"/>
      <c r="AR53" s="1828"/>
      <c r="AS53" s="1829"/>
      <c r="AT53" s="1827" t="str">
        <f>AT47</f>
        <v>5. Neighbouring properties</v>
      </c>
      <c r="AU53" s="1828"/>
      <c r="AV53" s="1828"/>
      <c r="AW53" s="1829"/>
      <c r="AX53" s="1827" t="str">
        <f>AX47</f>
        <v>6. Records</v>
      </c>
      <c r="AY53" s="1828"/>
      <c r="AZ53" s="1828"/>
      <c r="BA53" s="1829"/>
      <c r="LK53" s="1827" t="str">
        <f>LK47</f>
        <v>1. Assets causing flooding</v>
      </c>
      <c r="LL53" s="1828"/>
      <c r="LM53" s="1828"/>
      <c r="LN53" s="1829"/>
      <c r="LO53" s="1827" t="str">
        <f>LO47</f>
        <v>2. Severe weather</v>
      </c>
      <c r="LP53" s="1828"/>
      <c r="LQ53" s="1828"/>
      <c r="LR53" s="1829"/>
      <c r="LS53" s="1827" t="str">
        <f>LS47</f>
        <v>2. Severe weather</v>
      </c>
      <c r="LT53" s="1828"/>
      <c r="LU53" s="1828"/>
      <c r="LV53" s="1829"/>
      <c r="LW53" s="1827" t="str">
        <f>LW47</f>
        <v>2. Severe weather</v>
      </c>
      <c r="LX53" s="1828"/>
      <c r="LY53" s="1828"/>
      <c r="LZ53" s="1829"/>
      <c r="MA53" s="1827" t="str">
        <f>MA47</f>
        <v>2. Severe weather</v>
      </c>
      <c r="MB53" s="1828"/>
      <c r="MC53" s="1828"/>
      <c r="MD53" s="1829"/>
      <c r="ME53" s="1827" t="str">
        <f>ME47</f>
        <v>2. Severe weather</v>
      </c>
      <c r="MF53" s="1828"/>
      <c r="MG53" s="1828"/>
      <c r="MH53" s="1829"/>
      <c r="MI53" s="1827" t="str">
        <f>MI47</f>
        <v>3. Internal or external flooding</v>
      </c>
      <c r="MJ53" s="1828"/>
      <c r="MK53" s="1828"/>
      <c r="ML53" s="1829"/>
      <c r="MM53" s="1827" t="str">
        <f>MM47</f>
        <v>3. Internal or external flooding</v>
      </c>
      <c r="MN53" s="1828"/>
      <c r="MO53" s="1828"/>
      <c r="MP53" s="1829"/>
      <c r="MQ53" s="1827" t="str">
        <f>MQ47</f>
        <v>4. Repeat incidents</v>
      </c>
      <c r="MR53" s="1828"/>
      <c r="MS53" s="1828"/>
      <c r="MT53" s="1829"/>
      <c r="MU53" s="1827" t="str">
        <f>MU47</f>
        <v>5. Neighbouring properties</v>
      </c>
      <c r="MV53" s="1828"/>
      <c r="MW53" s="1828"/>
      <c r="MX53" s="1829"/>
      <c r="MY53" s="1827" t="str">
        <f>MY47</f>
        <v>6. Records</v>
      </c>
      <c r="MZ53" s="1828"/>
      <c r="NA53" s="1828"/>
      <c r="NB53" s="1829"/>
    </row>
    <row r="54" spans="2:366" ht="30.2" customHeight="1" thickBot="1">
      <c r="B54" s="838"/>
      <c r="C54" s="839"/>
      <c r="D54" s="838"/>
      <c r="E54" s="838"/>
      <c r="F54" s="1851"/>
      <c r="G54" s="1851"/>
      <c r="H54" s="1851"/>
      <c r="I54" s="1851"/>
      <c r="J54" s="1844" t="str">
        <f>J48</f>
        <v>1a</v>
      </c>
      <c r="K54" s="1845"/>
      <c r="L54" s="1845"/>
      <c r="M54" s="1846"/>
      <c r="N54" s="1844" t="str">
        <f>N48</f>
        <v>2a (individual rainfall events &gt; 1 in 20 years)</v>
      </c>
      <c r="O54" s="1845"/>
      <c r="P54" s="1845"/>
      <c r="Q54" s="1846"/>
      <c r="R54" s="1844" t="str">
        <f>R48</f>
        <v>2b (multiple rainfall events)</v>
      </c>
      <c r="S54" s="1845"/>
      <c r="T54" s="1845"/>
      <c r="U54" s="1846"/>
      <c r="V54" s="1852" t="str">
        <f>V48</f>
        <v>2c (surface water run-off not originated from public sewer)</v>
      </c>
      <c r="W54" s="1845"/>
      <c r="X54" s="1845"/>
      <c r="Y54" s="1846"/>
      <c r="Z54" s="1844" t="str">
        <f>Z48</f>
        <v>2d (river levels &gt; 1 in 100 year return period)</v>
      </c>
      <c r="AA54" s="1845"/>
      <c r="AB54" s="1845"/>
      <c r="AC54" s="1846"/>
      <c r="AD54" s="1844" t="str">
        <f>AD48</f>
        <v>2e (flood estimation handbook - FEH13)</v>
      </c>
      <c r="AE54" s="1845"/>
      <c r="AF54" s="1845"/>
      <c r="AG54" s="1846"/>
      <c r="AH54" s="1844" t="str">
        <f>AH48</f>
        <v>3a (internal)</v>
      </c>
      <c r="AI54" s="1845"/>
      <c r="AJ54" s="1845"/>
      <c r="AK54" s="1846"/>
      <c r="AL54" s="1844" t="str">
        <f>AL48</f>
        <v>3b (external)</v>
      </c>
      <c r="AM54" s="1845"/>
      <c r="AN54" s="1845"/>
      <c r="AO54" s="1846"/>
      <c r="AP54" s="1844" t="str">
        <f>AP48</f>
        <v>4a</v>
      </c>
      <c r="AQ54" s="1845"/>
      <c r="AR54" s="1845"/>
      <c r="AS54" s="1846"/>
      <c r="AT54" s="1844" t="str">
        <f>AT48</f>
        <v>5a</v>
      </c>
      <c r="AU54" s="1845"/>
      <c r="AV54" s="1845"/>
      <c r="AW54" s="1846"/>
      <c r="AX54" s="1844" t="str">
        <f>AX48</f>
        <v>6a</v>
      </c>
      <c r="AY54" s="1845"/>
      <c r="AZ54" s="1845"/>
      <c r="BA54" s="1846"/>
      <c r="LG54" s="1851"/>
      <c r="LH54" s="1851"/>
      <c r="LI54" s="1851"/>
      <c r="LJ54" s="1851"/>
      <c r="LK54" s="1844" t="str">
        <f>LK48</f>
        <v>1a</v>
      </c>
      <c r="LL54" s="1845"/>
      <c r="LM54" s="1845"/>
      <c r="LN54" s="1846"/>
      <c r="LO54" s="1844" t="str">
        <f>LO48</f>
        <v>2a (individual rainfall events &gt; 1 in 20 years)</v>
      </c>
      <c r="LP54" s="1845"/>
      <c r="LQ54" s="1845"/>
      <c r="LR54" s="1846"/>
      <c r="LS54" s="1844" t="str">
        <f>LS48</f>
        <v>2b (multiple rainfall events)</v>
      </c>
      <c r="LT54" s="1845"/>
      <c r="LU54" s="1845"/>
      <c r="LV54" s="1846"/>
      <c r="LW54" s="1852" t="str">
        <f>LW48</f>
        <v>2c (surface water run-off not originated from public sewer)</v>
      </c>
      <c r="LX54" s="1845"/>
      <c r="LY54" s="1845"/>
      <c r="LZ54" s="1846"/>
      <c r="MA54" s="1844" t="str">
        <f>MA48</f>
        <v>2d (river levels &gt; 1 in 100 year return period)</v>
      </c>
      <c r="MB54" s="1845"/>
      <c r="MC54" s="1845"/>
      <c r="MD54" s="1846"/>
      <c r="ME54" s="1844" t="str">
        <f>ME48</f>
        <v>2e (flood estimation handbook - FEH13)</v>
      </c>
      <c r="MF54" s="1845"/>
      <c r="MG54" s="1845"/>
      <c r="MH54" s="1846"/>
      <c r="MI54" s="1844" t="str">
        <f>MI48</f>
        <v>3a (internal)</v>
      </c>
      <c r="MJ54" s="1845"/>
      <c r="MK54" s="1845"/>
      <c r="ML54" s="1846"/>
      <c r="MM54" s="1844" t="str">
        <f>MM48</f>
        <v>3b (external)</v>
      </c>
      <c r="MN54" s="1845"/>
      <c r="MO54" s="1845"/>
      <c r="MP54" s="1846"/>
      <c r="MQ54" s="1844" t="str">
        <f>MQ48</f>
        <v>4a</v>
      </c>
      <c r="MR54" s="1845"/>
      <c r="MS54" s="1845"/>
      <c r="MT54" s="1846"/>
      <c r="MU54" s="1844" t="str">
        <f>MU48</f>
        <v>5a</v>
      </c>
      <c r="MV54" s="1845"/>
      <c r="MW54" s="1845"/>
      <c r="MX54" s="1846"/>
      <c r="MY54" s="1844" t="str">
        <f>MY48</f>
        <v>6a</v>
      </c>
      <c r="MZ54" s="1845"/>
      <c r="NA54" s="1845"/>
      <c r="NB54" s="1846"/>
    </row>
    <row r="55" spans="2:366">
      <c r="B55" s="841" t="s">
        <v>2327</v>
      </c>
      <c r="C55" s="834" t="s">
        <v>3036</v>
      </c>
      <c r="D55" s="820" t="str">
        <f t="shared" ref="D55:I55" si="91">D15</f>
        <v>Units</v>
      </c>
      <c r="E55" s="820" t="str">
        <f t="shared" si="91"/>
        <v>DPs</v>
      </c>
      <c r="F55" s="820" t="str">
        <f t="shared" si="91"/>
        <v>2016-17</v>
      </c>
      <c r="G55" s="820" t="str">
        <f t="shared" si="91"/>
        <v>2017-18</v>
      </c>
      <c r="H55" s="820" t="str">
        <f t="shared" si="91"/>
        <v>2018-19</v>
      </c>
      <c r="I55" s="821" t="str">
        <f t="shared" si="91"/>
        <v>2019-20</v>
      </c>
      <c r="J55" s="1747" t="str">
        <f>$J$15</f>
        <v>2016-17</v>
      </c>
      <c r="K55" s="1748" t="str">
        <f>$K$15</f>
        <v>2017-18</v>
      </c>
      <c r="L55" s="1748" t="str">
        <f>$L$15</f>
        <v>2018-19</v>
      </c>
      <c r="M55" s="1749" t="str">
        <f>$M$15</f>
        <v>2019-20</v>
      </c>
      <c r="N55" s="1747" t="str">
        <f>$J$15</f>
        <v>2016-17</v>
      </c>
      <c r="O55" s="1748" t="str">
        <f>$K$15</f>
        <v>2017-18</v>
      </c>
      <c r="P55" s="1748" t="str">
        <f>$L$15</f>
        <v>2018-19</v>
      </c>
      <c r="Q55" s="1749" t="str">
        <f>$M$15</f>
        <v>2019-20</v>
      </c>
      <c r="R55" s="1747" t="str">
        <f>$J$15</f>
        <v>2016-17</v>
      </c>
      <c r="S55" s="1748" t="str">
        <f>$K$15</f>
        <v>2017-18</v>
      </c>
      <c r="T55" s="1748" t="str">
        <f>$L$15</f>
        <v>2018-19</v>
      </c>
      <c r="U55" s="1749" t="str">
        <f>$M$15</f>
        <v>2019-20</v>
      </c>
      <c r="V55" s="1747" t="str">
        <f>$J$15</f>
        <v>2016-17</v>
      </c>
      <c r="W55" s="1748" t="str">
        <f>$K$15</f>
        <v>2017-18</v>
      </c>
      <c r="X55" s="1748" t="str">
        <f>$L$15</f>
        <v>2018-19</v>
      </c>
      <c r="Y55" s="1749" t="str">
        <f>$M$15</f>
        <v>2019-20</v>
      </c>
      <c r="Z55" s="1747" t="str">
        <f>$J$15</f>
        <v>2016-17</v>
      </c>
      <c r="AA55" s="1748" t="str">
        <f>$K$15</f>
        <v>2017-18</v>
      </c>
      <c r="AB55" s="1748" t="str">
        <f>$L$15</f>
        <v>2018-19</v>
      </c>
      <c r="AC55" s="1749" t="str">
        <f>$M$15</f>
        <v>2019-20</v>
      </c>
      <c r="AD55" s="1747" t="str">
        <f>$J$15</f>
        <v>2016-17</v>
      </c>
      <c r="AE55" s="1748" t="str">
        <f>$K$15</f>
        <v>2017-18</v>
      </c>
      <c r="AF55" s="1748" t="str">
        <f>$L$15</f>
        <v>2018-19</v>
      </c>
      <c r="AG55" s="1749" t="str">
        <f>$M$15</f>
        <v>2019-20</v>
      </c>
      <c r="AH55" s="1747" t="str">
        <f>$J$15</f>
        <v>2016-17</v>
      </c>
      <c r="AI55" s="1748" t="str">
        <f>$K$15</f>
        <v>2017-18</v>
      </c>
      <c r="AJ55" s="1748" t="str">
        <f>$L$15</f>
        <v>2018-19</v>
      </c>
      <c r="AK55" s="1749" t="str">
        <f>$M$15</f>
        <v>2019-20</v>
      </c>
      <c r="AL55" s="1747" t="str">
        <f>$J$15</f>
        <v>2016-17</v>
      </c>
      <c r="AM55" s="1748" t="str">
        <f>$K$15</f>
        <v>2017-18</v>
      </c>
      <c r="AN55" s="1748" t="str">
        <f>$L$15</f>
        <v>2018-19</v>
      </c>
      <c r="AO55" s="1749" t="str">
        <f>$M$15</f>
        <v>2019-20</v>
      </c>
      <c r="AP55" s="1747" t="str">
        <f>$J$15</f>
        <v>2016-17</v>
      </c>
      <c r="AQ55" s="1748" t="str">
        <f>$K$15</f>
        <v>2017-18</v>
      </c>
      <c r="AR55" s="1748" t="str">
        <f>$L$15</f>
        <v>2018-19</v>
      </c>
      <c r="AS55" s="1749" t="str">
        <f>$M$15</f>
        <v>2019-20</v>
      </c>
      <c r="AT55" s="1747" t="str">
        <f>$J$15</f>
        <v>2016-17</v>
      </c>
      <c r="AU55" s="1748" t="str">
        <f>$K$15</f>
        <v>2017-18</v>
      </c>
      <c r="AV55" s="1748" t="str">
        <f>$L$15</f>
        <v>2018-19</v>
      </c>
      <c r="AW55" s="1749" t="str">
        <f>$M$15</f>
        <v>2019-20</v>
      </c>
      <c r="AX55" s="1747" t="str">
        <f>$J$15</f>
        <v>2016-17</v>
      </c>
      <c r="AY55" s="1748" t="str">
        <f>$K$15</f>
        <v>2017-18</v>
      </c>
      <c r="AZ55" s="1748" t="str">
        <f>$L$15</f>
        <v>2018-19</v>
      </c>
      <c r="BA55" s="1749" t="str">
        <f>$M$15</f>
        <v>2019-20</v>
      </c>
      <c r="LF55" s="834" t="s">
        <v>3036</v>
      </c>
      <c r="LG55" s="820" t="str">
        <f t="shared" ref="LG55:LJ55" si="92">LG15</f>
        <v>2016-17</v>
      </c>
      <c r="LH55" s="820" t="str">
        <f t="shared" si="92"/>
        <v>2017-18</v>
      </c>
      <c r="LI55" s="820" t="str">
        <f t="shared" si="92"/>
        <v>2018-19</v>
      </c>
      <c r="LJ55" s="821" t="str">
        <f t="shared" si="92"/>
        <v>2019-20</v>
      </c>
      <c r="LK55" s="1747" t="str">
        <f>$J$15</f>
        <v>2016-17</v>
      </c>
      <c r="LL55" s="1748" t="str">
        <f>$K$15</f>
        <v>2017-18</v>
      </c>
      <c r="LM55" s="1748" t="str">
        <f>$L$15</f>
        <v>2018-19</v>
      </c>
      <c r="LN55" s="1749" t="str">
        <f>$M$15</f>
        <v>2019-20</v>
      </c>
      <c r="LO55" s="1747" t="str">
        <f>$J$15</f>
        <v>2016-17</v>
      </c>
      <c r="LP55" s="1748" t="str">
        <f>$K$15</f>
        <v>2017-18</v>
      </c>
      <c r="LQ55" s="1748" t="str">
        <f>$L$15</f>
        <v>2018-19</v>
      </c>
      <c r="LR55" s="1749" t="str">
        <f>$M$15</f>
        <v>2019-20</v>
      </c>
      <c r="LS55" s="1747" t="str">
        <f>$J$15</f>
        <v>2016-17</v>
      </c>
      <c r="LT55" s="1748" t="str">
        <f>$K$15</f>
        <v>2017-18</v>
      </c>
      <c r="LU55" s="1748" t="str">
        <f>$L$15</f>
        <v>2018-19</v>
      </c>
      <c r="LV55" s="1749" t="str">
        <f>$M$15</f>
        <v>2019-20</v>
      </c>
      <c r="LW55" s="1747" t="str">
        <f>$J$15</f>
        <v>2016-17</v>
      </c>
      <c r="LX55" s="1748" t="str">
        <f>$K$15</f>
        <v>2017-18</v>
      </c>
      <c r="LY55" s="1748" t="str">
        <f>$L$15</f>
        <v>2018-19</v>
      </c>
      <c r="LZ55" s="1749" t="str">
        <f>$M$15</f>
        <v>2019-20</v>
      </c>
      <c r="MA55" s="1747" t="str">
        <f>$J$15</f>
        <v>2016-17</v>
      </c>
      <c r="MB55" s="1748" t="str">
        <f>$K$15</f>
        <v>2017-18</v>
      </c>
      <c r="MC55" s="1748" t="str">
        <f>$L$15</f>
        <v>2018-19</v>
      </c>
      <c r="MD55" s="1749" t="str">
        <f>$M$15</f>
        <v>2019-20</v>
      </c>
      <c r="ME55" s="1747" t="str">
        <f>$J$15</f>
        <v>2016-17</v>
      </c>
      <c r="MF55" s="1748" t="str">
        <f>$K$15</f>
        <v>2017-18</v>
      </c>
      <c r="MG55" s="1748" t="str">
        <f>$L$15</f>
        <v>2018-19</v>
      </c>
      <c r="MH55" s="1749" t="str">
        <f>$M$15</f>
        <v>2019-20</v>
      </c>
      <c r="MI55" s="1747" t="str">
        <f>$J$15</f>
        <v>2016-17</v>
      </c>
      <c r="MJ55" s="1748" t="str">
        <f>$K$15</f>
        <v>2017-18</v>
      </c>
      <c r="MK55" s="1748" t="str">
        <f>$L$15</f>
        <v>2018-19</v>
      </c>
      <c r="ML55" s="1749" t="str">
        <f>$M$15</f>
        <v>2019-20</v>
      </c>
      <c r="MM55" s="1747" t="str">
        <f>$J$15</f>
        <v>2016-17</v>
      </c>
      <c r="MN55" s="1748" t="str">
        <f>$K$15</f>
        <v>2017-18</v>
      </c>
      <c r="MO55" s="1748" t="str">
        <f>$L$15</f>
        <v>2018-19</v>
      </c>
      <c r="MP55" s="1749" t="str">
        <f>$M$15</f>
        <v>2019-20</v>
      </c>
      <c r="MQ55" s="1747" t="str">
        <f>$J$15</f>
        <v>2016-17</v>
      </c>
      <c r="MR55" s="1748" t="str">
        <f>$K$15</f>
        <v>2017-18</v>
      </c>
      <c r="MS55" s="1748" t="str">
        <f>$L$15</f>
        <v>2018-19</v>
      </c>
      <c r="MT55" s="1749" t="str">
        <f>$M$15</f>
        <v>2019-20</v>
      </c>
      <c r="MU55" s="1747" t="str">
        <f>$J$15</f>
        <v>2016-17</v>
      </c>
      <c r="MV55" s="1748" t="str">
        <f>$K$15</f>
        <v>2017-18</v>
      </c>
      <c r="MW55" s="1748" t="str">
        <f>$L$15</f>
        <v>2018-19</v>
      </c>
      <c r="MX55" s="1749" t="str">
        <f>$M$15</f>
        <v>2019-20</v>
      </c>
      <c r="MY55" s="1747" t="str">
        <f>$J$15</f>
        <v>2016-17</v>
      </c>
      <c r="MZ55" s="1748" t="str">
        <f>$K$15</f>
        <v>2017-18</v>
      </c>
      <c r="NA55" s="1748" t="str">
        <f>$L$15</f>
        <v>2018-19</v>
      </c>
      <c r="NB55" s="1749" t="str">
        <f>$M$15</f>
        <v>2019-20</v>
      </c>
    </row>
    <row r="56" spans="2:366" ht="15" thickBot="1">
      <c r="B56" s="842">
        <v>11</v>
      </c>
      <c r="C56" s="836" t="s">
        <v>3037</v>
      </c>
      <c r="D56" s="823" t="s">
        <v>766</v>
      </c>
      <c r="E56" s="823">
        <v>0</v>
      </c>
      <c r="F56" s="1850"/>
      <c r="G56" s="1850"/>
      <c r="H56" s="1850"/>
      <c r="I56" s="2956">
        <v>7143</v>
      </c>
      <c r="J56" s="1841"/>
      <c r="K56" s="2029"/>
      <c r="L56" s="2029"/>
      <c r="M56" s="2955" t="s">
        <v>2934</v>
      </c>
      <c r="N56" s="1841"/>
      <c r="O56" s="2029"/>
      <c r="P56" s="2029"/>
      <c r="Q56" s="2955" t="s">
        <v>2934</v>
      </c>
      <c r="R56" s="1841"/>
      <c r="S56" s="2029"/>
      <c r="T56" s="2029"/>
      <c r="U56" s="2955" t="s">
        <v>2934</v>
      </c>
      <c r="V56" s="1841"/>
      <c r="W56" s="2029"/>
      <c r="X56" s="2029"/>
      <c r="Y56" s="2955" t="s">
        <v>2934</v>
      </c>
      <c r="Z56" s="1841"/>
      <c r="AA56" s="2029"/>
      <c r="AB56" s="2029"/>
      <c r="AC56" s="2955" t="s">
        <v>2934</v>
      </c>
      <c r="AD56" s="1841"/>
      <c r="AE56" s="2029"/>
      <c r="AF56" s="2029"/>
      <c r="AG56" s="2955" t="s">
        <v>2934</v>
      </c>
      <c r="AH56" s="1841"/>
      <c r="AI56" s="2029"/>
      <c r="AJ56" s="2029"/>
      <c r="AK56" s="2955" t="s">
        <v>2934</v>
      </c>
      <c r="AL56" s="1841"/>
      <c r="AM56" s="2029"/>
      <c r="AN56" s="2029"/>
      <c r="AO56" s="2955" t="s">
        <v>2934</v>
      </c>
      <c r="AP56" s="1841"/>
      <c r="AQ56" s="2029"/>
      <c r="AR56" s="2029"/>
      <c r="AS56" s="2955" t="s">
        <v>2934</v>
      </c>
      <c r="AT56" s="1841"/>
      <c r="AU56" s="2029"/>
      <c r="AV56" s="2029"/>
      <c r="AW56" s="2955" t="s">
        <v>2934</v>
      </c>
      <c r="AX56" s="1841"/>
      <c r="AY56" s="2029"/>
      <c r="AZ56" s="2029"/>
      <c r="BA56" s="2955" t="s">
        <v>2934</v>
      </c>
      <c r="LC56" s="503">
        <f xml:space="preserve"> IF( SUM( LE56:XC56 ) = 0, 0, $LG$3 )</f>
        <v>0</v>
      </c>
      <c r="LF56" s="1558">
        <f>SUM(LG56:XC56)</f>
        <v>0</v>
      </c>
      <c r="LI56" s="93"/>
      <c r="LJ56" s="93">
        <f>IF(ISNUMBER(I56),0,1)</f>
        <v>0</v>
      </c>
      <c r="LM56" s="93"/>
      <c r="LN56" s="93">
        <f>IF(ISBLANK(M56),1,0)</f>
        <v>0</v>
      </c>
      <c r="LQ56" s="93"/>
      <c r="LR56" s="93">
        <f>IF(ISBLANK(Q56),1,0)</f>
        <v>0</v>
      </c>
      <c r="LU56" s="93"/>
      <c r="LV56" s="93">
        <f>IF(ISBLANK(U56),1,0)</f>
        <v>0</v>
      </c>
      <c r="LY56" s="93"/>
      <c r="LZ56" s="93">
        <f>IF(ISBLANK(Y56),1,0)</f>
        <v>0</v>
      </c>
      <c r="MC56" s="93"/>
      <c r="MD56" s="93">
        <f>IF(ISBLANK(AC56),1,0)</f>
        <v>0</v>
      </c>
      <c r="MG56" s="93"/>
      <c r="MH56" s="93">
        <f>IF(ISBLANK(AG56),1,0)</f>
        <v>0</v>
      </c>
      <c r="MK56" s="93"/>
      <c r="ML56" s="93">
        <f>IF(ISBLANK(AK56),1,0)</f>
        <v>0</v>
      </c>
      <c r="MO56" s="93"/>
      <c r="MP56" s="93">
        <f>IF(ISBLANK(AO56),1,0)</f>
        <v>0</v>
      </c>
      <c r="MS56" s="93"/>
      <c r="MT56" s="93">
        <f>IF(ISBLANK(AS56),1,0)</f>
        <v>0</v>
      </c>
      <c r="MW56" s="93"/>
      <c r="MX56" s="93">
        <f>IF(ISBLANK(AW56),1,0)</f>
        <v>0</v>
      </c>
      <c r="NA56" s="93"/>
      <c r="NB56" s="93">
        <f>IF(ISBLANK(BA56),1,0)</f>
        <v>0</v>
      </c>
    </row>
    <row r="57" spans="2:366" ht="15.75" customHeight="1" thickBot="1">
      <c r="J57" s="1842"/>
      <c r="K57" s="1842"/>
      <c r="L57" s="1842"/>
      <c r="M57" s="1842"/>
      <c r="N57" s="1842"/>
      <c r="O57" s="1842"/>
      <c r="P57" s="1842"/>
      <c r="Q57" s="1842"/>
      <c r="R57" s="1842"/>
      <c r="S57" s="1842"/>
      <c r="T57" s="1842"/>
      <c r="U57" s="1842"/>
      <c r="V57" s="1842"/>
      <c r="W57" s="1842"/>
      <c r="X57" s="1842"/>
      <c r="Y57" s="1842"/>
      <c r="Z57" s="1842"/>
      <c r="AA57" s="1842"/>
      <c r="AB57" s="1842"/>
      <c r="AC57" s="1842"/>
      <c r="AD57" s="1842"/>
      <c r="AE57" s="1842"/>
      <c r="AF57" s="1842"/>
      <c r="AG57" s="1842"/>
      <c r="AH57" s="1842"/>
      <c r="AI57" s="1842"/>
      <c r="AJ57" s="1842"/>
      <c r="AK57" s="1842"/>
      <c r="AL57" s="1842"/>
      <c r="AM57" s="1842"/>
      <c r="AN57" s="1842"/>
      <c r="AO57" s="1842"/>
      <c r="AP57" s="1842"/>
      <c r="AQ57" s="1842"/>
      <c r="AR57" s="1842"/>
      <c r="AS57" s="1842"/>
    </row>
    <row r="58" spans="2:366" ht="15.75" customHeight="1">
      <c r="J58" s="1827" t="s">
        <v>3038</v>
      </c>
      <c r="K58" s="1828"/>
      <c r="L58" s="1828"/>
      <c r="M58" s="1829"/>
      <c r="N58" s="1827" t="s">
        <v>3039</v>
      </c>
      <c r="O58" s="1828"/>
      <c r="P58" s="1828"/>
      <c r="Q58" s="1829"/>
      <c r="R58" s="1827" t="s">
        <v>3039</v>
      </c>
      <c r="S58" s="1828"/>
      <c r="T58" s="1828"/>
      <c r="U58" s="1829"/>
      <c r="V58" s="1842"/>
      <c r="W58" s="1842"/>
      <c r="X58" s="1842"/>
      <c r="Y58" s="1842"/>
      <c r="Z58" s="1842"/>
      <c r="AA58" s="1842"/>
      <c r="AB58" s="1842"/>
      <c r="AC58" s="1842"/>
      <c r="AD58" s="1842"/>
      <c r="AE58" s="1842"/>
      <c r="AF58" s="1842"/>
      <c r="AG58" s="1842"/>
      <c r="AH58" s="1842"/>
      <c r="AI58" s="1842"/>
      <c r="AJ58" s="1842"/>
      <c r="AK58" s="1842"/>
      <c r="AL58" s="1842"/>
      <c r="AM58" s="1842"/>
      <c r="AN58" s="1842"/>
      <c r="AO58" s="1842"/>
      <c r="AP58" s="1842"/>
      <c r="AQ58" s="1842"/>
      <c r="AR58" s="1842"/>
      <c r="AS58" s="1842"/>
      <c r="LK58" s="1827" t="s">
        <v>3038</v>
      </c>
      <c r="LL58" s="1828"/>
      <c r="LM58" s="1828"/>
      <c r="LN58" s="1829"/>
      <c r="LO58" s="1827" t="s">
        <v>3039</v>
      </c>
      <c r="LP58" s="1828"/>
      <c r="LQ58" s="1828"/>
      <c r="LR58" s="1829"/>
      <c r="LS58" s="1827" t="s">
        <v>3039</v>
      </c>
      <c r="LT58" s="1828"/>
      <c r="LU58" s="1828"/>
      <c r="LV58" s="1829"/>
    </row>
    <row r="59" spans="2:366" ht="30.2" customHeight="1" thickBot="1">
      <c r="B59" s="831"/>
      <c r="C59" s="832"/>
      <c r="D59" s="819"/>
      <c r="E59" s="819"/>
      <c r="F59" s="819"/>
      <c r="G59" s="1843"/>
      <c r="H59" s="1843"/>
      <c r="I59" s="1843"/>
      <c r="J59" s="1844" t="s">
        <v>2775</v>
      </c>
      <c r="K59" s="1845"/>
      <c r="L59" s="1845"/>
      <c r="M59" s="1846"/>
      <c r="N59" s="1844" t="s">
        <v>3040</v>
      </c>
      <c r="O59" s="1845"/>
      <c r="P59" s="1845"/>
      <c r="Q59" s="1846"/>
      <c r="R59" s="1852" t="s">
        <v>3041</v>
      </c>
      <c r="S59" s="1845"/>
      <c r="T59" s="1845"/>
      <c r="U59" s="1846"/>
      <c r="V59" s="1842"/>
      <c r="W59" s="1842"/>
      <c r="X59" s="1842"/>
      <c r="Y59" s="1842"/>
      <c r="Z59" s="1842"/>
      <c r="AA59" s="1842"/>
      <c r="AB59" s="1842"/>
      <c r="AC59" s="1842"/>
      <c r="AD59" s="1842"/>
      <c r="AE59" s="1842"/>
      <c r="AF59" s="1842"/>
      <c r="AG59" s="1842"/>
      <c r="AH59" s="1842"/>
      <c r="AI59" s="1842"/>
      <c r="AJ59" s="1842"/>
      <c r="AK59" s="1842"/>
      <c r="AL59" s="1842"/>
      <c r="AM59" s="1842"/>
      <c r="AN59" s="1842"/>
      <c r="AO59" s="1842"/>
      <c r="AP59" s="1842"/>
      <c r="AQ59" s="1842"/>
      <c r="AR59" s="1842"/>
      <c r="AS59" s="1842"/>
      <c r="LG59" s="819"/>
      <c r="LH59" s="1843"/>
      <c r="LI59" s="1843"/>
      <c r="LJ59" s="1843"/>
      <c r="LK59" s="1844" t="s">
        <v>2775</v>
      </c>
      <c r="LL59" s="1845"/>
      <c r="LM59" s="1845"/>
      <c r="LN59" s="1846"/>
      <c r="LO59" s="1844" t="s">
        <v>3040</v>
      </c>
      <c r="LP59" s="1845"/>
      <c r="LQ59" s="1845"/>
      <c r="LR59" s="1846"/>
      <c r="LS59" s="1852" t="s">
        <v>3041</v>
      </c>
      <c r="LT59" s="1845"/>
      <c r="LU59" s="1845"/>
      <c r="LV59" s="1846"/>
    </row>
    <row r="60" spans="2:366" ht="15" customHeight="1">
      <c r="B60" s="833" t="s">
        <v>2328</v>
      </c>
      <c r="C60" s="834" t="s">
        <v>3042</v>
      </c>
      <c r="D60" s="820" t="s">
        <v>38</v>
      </c>
      <c r="E60" s="820" t="s">
        <v>39</v>
      </c>
      <c r="F60" s="820" t="str">
        <f t="shared" ref="F60:I60" si="93">F15</f>
        <v>2016-17</v>
      </c>
      <c r="G60" s="820" t="str">
        <f t="shared" si="93"/>
        <v>2017-18</v>
      </c>
      <c r="H60" s="820" t="str">
        <f t="shared" si="93"/>
        <v>2018-19</v>
      </c>
      <c r="I60" s="820" t="str">
        <f t="shared" si="93"/>
        <v>2019-20</v>
      </c>
      <c r="J60" s="1747" t="str">
        <f>$J$15</f>
        <v>2016-17</v>
      </c>
      <c r="K60" s="1748" t="str">
        <f>$K$15</f>
        <v>2017-18</v>
      </c>
      <c r="L60" s="1748" t="str">
        <f>$L$15</f>
        <v>2018-19</v>
      </c>
      <c r="M60" s="1749" t="str">
        <f>$M$15</f>
        <v>2019-20</v>
      </c>
      <c r="N60" s="1747" t="str">
        <f>$J$15</f>
        <v>2016-17</v>
      </c>
      <c r="O60" s="1748" t="str">
        <f>$K$15</f>
        <v>2017-18</v>
      </c>
      <c r="P60" s="1748" t="str">
        <f>$L$15</f>
        <v>2018-19</v>
      </c>
      <c r="Q60" s="1749" t="str">
        <f>$M$15</f>
        <v>2019-20</v>
      </c>
      <c r="R60" s="1747" t="str">
        <f>$J$15</f>
        <v>2016-17</v>
      </c>
      <c r="S60" s="1748" t="str">
        <f>$K$15</f>
        <v>2017-18</v>
      </c>
      <c r="T60" s="1748" t="str">
        <f>$L$15</f>
        <v>2018-19</v>
      </c>
      <c r="U60" s="1749" t="str">
        <f>$M$15</f>
        <v>2019-20</v>
      </c>
      <c r="V60" s="1842"/>
      <c r="W60" s="1842"/>
      <c r="X60" s="1842"/>
      <c r="Y60" s="1842"/>
      <c r="Z60" s="1842"/>
      <c r="AA60" s="1842"/>
      <c r="AB60" s="1842"/>
      <c r="AC60" s="1842"/>
      <c r="AD60" s="1842"/>
      <c r="AE60" s="1842"/>
      <c r="AF60" s="1842"/>
      <c r="AG60" s="1842"/>
      <c r="AH60" s="1842"/>
      <c r="AI60" s="1842"/>
      <c r="AJ60" s="1842"/>
      <c r="AK60" s="1842"/>
      <c r="AL60" s="1842"/>
      <c r="AM60" s="1842"/>
      <c r="AN60" s="1842"/>
      <c r="AO60" s="1842"/>
      <c r="AP60" s="1842"/>
      <c r="AQ60" s="1842"/>
      <c r="AR60" s="1842"/>
      <c r="AS60" s="1842"/>
      <c r="LF60" s="834" t="s">
        <v>3042</v>
      </c>
      <c r="LG60" s="820" t="str">
        <f t="shared" ref="LG60:LJ60" si="94">LG15</f>
        <v>2016-17</v>
      </c>
      <c r="LH60" s="820" t="str">
        <f t="shared" si="94"/>
        <v>2017-18</v>
      </c>
      <c r="LI60" s="820" t="str">
        <f t="shared" si="94"/>
        <v>2018-19</v>
      </c>
      <c r="LJ60" s="820" t="str">
        <f t="shared" si="94"/>
        <v>2019-20</v>
      </c>
      <c r="LK60" s="1747" t="str">
        <f>$J$15</f>
        <v>2016-17</v>
      </c>
      <c r="LL60" s="1748" t="str">
        <f>$K$15</f>
        <v>2017-18</v>
      </c>
      <c r="LM60" s="1748" t="str">
        <f>$L$15</f>
        <v>2018-19</v>
      </c>
      <c r="LN60" s="1749" t="str">
        <f>$M$15</f>
        <v>2019-20</v>
      </c>
      <c r="LO60" s="1747" t="str">
        <f>$J$15</f>
        <v>2016-17</v>
      </c>
      <c r="LP60" s="1748" t="str">
        <f>$K$15</f>
        <v>2017-18</v>
      </c>
      <c r="LQ60" s="1748" t="str">
        <f>$L$15</f>
        <v>2018-19</v>
      </c>
      <c r="LR60" s="1749" t="str">
        <f>$M$15</f>
        <v>2019-20</v>
      </c>
      <c r="LS60" s="1747" t="str">
        <f>$J$15</f>
        <v>2016-17</v>
      </c>
      <c r="LT60" s="1748" t="str">
        <f>$K$15</f>
        <v>2017-18</v>
      </c>
      <c r="LU60" s="1748" t="str">
        <f>$L$15</f>
        <v>2018-19</v>
      </c>
      <c r="LV60" s="1749" t="str">
        <f>$M$15</f>
        <v>2019-20</v>
      </c>
    </row>
    <row r="61" spans="2:366" ht="15" thickBot="1">
      <c r="B61" s="835">
        <v>12</v>
      </c>
      <c r="C61" s="836" t="s">
        <v>3043</v>
      </c>
      <c r="D61" s="823" t="s">
        <v>766</v>
      </c>
      <c r="E61" s="837" t="s">
        <v>2960</v>
      </c>
      <c r="F61" s="1848"/>
      <c r="G61" s="1848"/>
      <c r="H61" s="1848"/>
      <c r="I61" s="2952">
        <v>14</v>
      </c>
      <c r="J61" s="1841"/>
      <c r="K61" s="2029"/>
      <c r="L61" s="2029"/>
      <c r="M61" s="2955" t="s">
        <v>2935</v>
      </c>
      <c r="N61" s="1841"/>
      <c r="O61" s="2029"/>
      <c r="P61" s="2029"/>
      <c r="Q61" s="2955" t="s">
        <v>2934</v>
      </c>
      <c r="R61" s="1841"/>
      <c r="S61" s="2029"/>
      <c r="T61" s="2029"/>
      <c r="U61" s="2955" t="s">
        <v>2934</v>
      </c>
      <c r="V61" s="1842"/>
      <c r="W61" s="1842"/>
      <c r="X61" s="1842"/>
      <c r="Y61" s="1842"/>
      <c r="Z61" s="1842"/>
      <c r="AA61" s="1842"/>
      <c r="AB61" s="1842"/>
      <c r="AC61" s="1842"/>
      <c r="AD61" s="1842"/>
      <c r="AE61" s="1842"/>
      <c r="AF61" s="1842"/>
      <c r="AG61" s="1842"/>
      <c r="AH61" s="1842"/>
      <c r="AI61" s="1842"/>
      <c r="AJ61" s="1842"/>
      <c r="AK61" s="1842"/>
      <c r="AL61" s="1842"/>
      <c r="AM61" s="1842"/>
      <c r="AN61" s="1842"/>
      <c r="AO61" s="1842"/>
      <c r="AP61" s="1842"/>
      <c r="AQ61" s="1842"/>
      <c r="AR61" s="1842"/>
      <c r="AS61" s="1842"/>
      <c r="LC61" s="503">
        <f xml:space="preserve"> IF( SUM( LE61:XC61 ) = 0, 0, $LG$3 )</f>
        <v>0</v>
      </c>
      <c r="LF61" s="1558">
        <f>SUM(LG61:XC61)</f>
        <v>0</v>
      </c>
      <c r="LI61" s="93"/>
      <c r="LJ61" s="93">
        <f>IF(ISNUMBER(I61),0,1)</f>
        <v>0</v>
      </c>
      <c r="LM61" s="93"/>
      <c r="LN61" s="93">
        <f>IF(ISBLANK(M61),1,0)</f>
        <v>0</v>
      </c>
      <c r="LQ61" s="93"/>
      <c r="LR61" s="93">
        <f>IF(ISBLANK(Q61),1,0)</f>
        <v>0</v>
      </c>
      <c r="LU61" s="93"/>
      <c r="LV61" s="93">
        <f>IF(ISBLANK(U61),1,0)</f>
        <v>0</v>
      </c>
    </row>
    <row r="62" spans="2:366" ht="15.75" customHeight="1">
      <c r="J62" s="1842"/>
      <c r="K62" s="1842"/>
      <c r="L62" s="1842"/>
      <c r="M62" s="1842"/>
      <c r="N62" s="1842"/>
      <c r="O62" s="1842"/>
      <c r="P62" s="1842"/>
      <c r="Q62" s="1842"/>
      <c r="R62" s="1842"/>
      <c r="S62" s="1842"/>
      <c r="T62" s="1842"/>
      <c r="U62" s="1842"/>
      <c r="V62" s="1842"/>
      <c r="W62" s="1842"/>
      <c r="X62" s="1842"/>
      <c r="Y62" s="1842"/>
      <c r="Z62" s="1842"/>
      <c r="AA62" s="1842"/>
      <c r="AB62" s="1842"/>
      <c r="AC62" s="1842"/>
      <c r="AD62" s="1842"/>
      <c r="AE62" s="1842"/>
      <c r="AF62" s="1842"/>
      <c r="AG62" s="1842"/>
      <c r="AH62" s="1842"/>
      <c r="AI62" s="1842"/>
      <c r="AJ62" s="1842"/>
      <c r="AK62" s="1842"/>
      <c r="AL62" s="1842"/>
      <c r="AM62" s="1842"/>
      <c r="AN62" s="1842"/>
      <c r="AO62" s="1842"/>
      <c r="AP62" s="1842"/>
      <c r="AQ62" s="1842"/>
      <c r="AR62" s="1842"/>
      <c r="AS62" s="1842"/>
    </row>
    <row r="63" spans="2:366" ht="18.75" customHeight="1" thickBot="1">
      <c r="J63" s="1842"/>
      <c r="K63" s="1842"/>
      <c r="L63" s="1842"/>
      <c r="M63" s="1842"/>
      <c r="N63" s="1842"/>
      <c r="O63" s="1842"/>
      <c r="P63" s="1842"/>
      <c r="Q63" s="1842"/>
      <c r="R63" s="1842"/>
      <c r="S63" s="1842"/>
      <c r="T63" s="1842"/>
      <c r="U63" s="1842"/>
      <c r="V63" s="1842"/>
      <c r="W63" s="1842"/>
      <c r="X63" s="1842"/>
      <c r="Y63" s="1842"/>
      <c r="Z63" s="1842"/>
      <c r="AA63" s="1842"/>
      <c r="AB63" s="1842"/>
      <c r="AC63" s="1842"/>
      <c r="AD63" s="1842"/>
      <c r="AE63" s="1842"/>
      <c r="AF63" s="1842"/>
      <c r="AG63" s="1842"/>
      <c r="AH63" s="1842"/>
      <c r="AI63" s="1842"/>
      <c r="AJ63" s="1842"/>
      <c r="AK63" s="1842"/>
      <c r="AL63" s="1842"/>
      <c r="AM63" s="1842"/>
      <c r="AN63" s="1842"/>
      <c r="AO63" s="1842"/>
      <c r="AP63" s="1842"/>
      <c r="AQ63" s="1842"/>
      <c r="AR63" s="1842"/>
      <c r="AS63" s="1842"/>
    </row>
    <row r="64" spans="2:366" ht="17.45" customHeight="1" thickBot="1">
      <c r="B64" s="831"/>
      <c r="C64" s="832"/>
      <c r="D64" s="819"/>
      <c r="E64" s="819"/>
      <c r="F64" s="819"/>
      <c r="G64" s="1843"/>
      <c r="H64" s="1843"/>
      <c r="I64" s="1843"/>
      <c r="J64" s="1842"/>
      <c r="K64" s="1842"/>
      <c r="L64" s="2245" t="s">
        <v>3044</v>
      </c>
      <c r="M64" s="2246"/>
      <c r="N64" s="1842"/>
      <c r="O64" s="1842"/>
      <c r="P64" s="1842"/>
      <c r="Q64" s="1842"/>
      <c r="R64" s="1842"/>
      <c r="S64" s="1842"/>
      <c r="T64" s="1842"/>
      <c r="U64" s="1842"/>
      <c r="V64" s="1842"/>
      <c r="W64" s="1842"/>
      <c r="X64" s="1842"/>
      <c r="Y64" s="1842"/>
      <c r="Z64" s="1842"/>
      <c r="AA64" s="1842"/>
      <c r="AB64" s="1842"/>
      <c r="AC64" s="1842"/>
      <c r="AD64" s="1842"/>
      <c r="AE64" s="1842"/>
      <c r="AF64" s="1842"/>
      <c r="AG64" s="1842"/>
      <c r="AH64" s="1842"/>
      <c r="AI64" s="1842"/>
      <c r="AJ64" s="1842"/>
      <c r="AK64" s="1842"/>
      <c r="AL64" s="1842"/>
      <c r="AM64" s="1842"/>
      <c r="AN64" s="1842"/>
      <c r="AO64" s="1842"/>
      <c r="AP64" s="1842"/>
      <c r="AQ64" s="1842"/>
      <c r="AR64" s="1842"/>
      <c r="AS64" s="1842"/>
      <c r="LM64" s="2245" t="s">
        <v>3044</v>
      </c>
      <c r="LN64" s="2246"/>
    </row>
    <row r="65" spans="1:627" ht="30.2" customHeight="1">
      <c r="B65" s="833" t="s">
        <v>2329</v>
      </c>
      <c r="C65" s="834" t="s">
        <v>3045</v>
      </c>
      <c r="D65" s="820" t="s">
        <v>38</v>
      </c>
      <c r="E65" s="820" t="s">
        <v>39</v>
      </c>
      <c r="F65" s="820" t="str">
        <f>F15</f>
        <v>2016-17</v>
      </c>
      <c r="G65" s="820" t="str">
        <f t="shared" ref="G65:I65" si="95">G15</f>
        <v>2017-18</v>
      </c>
      <c r="H65" s="820" t="str">
        <f t="shared" si="95"/>
        <v>2018-19</v>
      </c>
      <c r="I65" s="822" t="str">
        <f t="shared" si="95"/>
        <v>2019-20</v>
      </c>
      <c r="J65" s="1842"/>
      <c r="K65" s="1842"/>
      <c r="L65" s="2243" t="str">
        <f>H15</f>
        <v>2018-19</v>
      </c>
      <c r="M65" s="2244" t="str">
        <f>I15</f>
        <v>2019-20</v>
      </c>
      <c r="N65" s="1842"/>
      <c r="O65" s="1842"/>
      <c r="P65" s="1842"/>
      <c r="Q65" s="1842"/>
      <c r="R65" s="1842"/>
      <c r="S65" s="1842"/>
      <c r="T65" s="1842"/>
      <c r="U65" s="1842"/>
      <c r="V65" s="1842"/>
      <c r="W65" s="1842"/>
      <c r="X65" s="1842"/>
      <c r="Y65" s="1842"/>
      <c r="Z65" s="1842"/>
      <c r="AA65" s="1842"/>
      <c r="AB65" s="1842"/>
      <c r="AC65" s="1842"/>
      <c r="AD65" s="1842"/>
      <c r="AE65" s="1842"/>
      <c r="AF65" s="1842"/>
      <c r="AG65" s="1842"/>
      <c r="AH65" s="1842"/>
      <c r="AI65" s="1842"/>
      <c r="AJ65" s="1842"/>
      <c r="AK65" s="1842"/>
      <c r="AL65" s="1842"/>
      <c r="AM65" s="1842"/>
      <c r="AN65" s="1842"/>
      <c r="AO65" s="1842"/>
      <c r="AP65" s="1842"/>
      <c r="AQ65" s="1842"/>
      <c r="AR65" s="1842"/>
      <c r="AS65" s="1842"/>
      <c r="LE65" s="512"/>
      <c r="LF65" s="834" t="s">
        <v>3045</v>
      </c>
      <c r="LG65" s="820" t="str">
        <f>LG15</f>
        <v>2016-17</v>
      </c>
      <c r="LH65" s="820" t="str">
        <f t="shared" ref="LH65:LJ65" si="96">LH15</f>
        <v>2017-18</v>
      </c>
      <c r="LI65" s="820" t="str">
        <f t="shared" si="96"/>
        <v>2018-19</v>
      </c>
      <c r="LJ65" s="822" t="str">
        <f t="shared" si="96"/>
        <v>2019-20</v>
      </c>
      <c r="LM65" s="2243" t="str">
        <f>LI15</f>
        <v>2018-19</v>
      </c>
      <c r="LN65" s="2244" t="str">
        <f>LJ15</f>
        <v>2019-20</v>
      </c>
      <c r="XC65" s="512"/>
    </row>
    <row r="66" spans="1:627" ht="15" customHeight="1" thickBot="1">
      <c r="B66" s="835">
        <v>13</v>
      </c>
      <c r="C66" s="836" t="s">
        <v>3046</v>
      </c>
      <c r="D66" s="823" t="s">
        <v>734</v>
      </c>
      <c r="E66" s="837" t="s">
        <v>2981</v>
      </c>
      <c r="F66" s="1849"/>
      <c r="G66" s="1849"/>
      <c r="H66" s="1849"/>
      <c r="I66" s="2957">
        <v>0.1973</v>
      </c>
      <c r="J66" s="1842"/>
      <c r="K66" s="1842"/>
      <c r="L66" s="1841"/>
      <c r="M66" s="2955" t="s">
        <v>2521</v>
      </c>
      <c r="N66" s="1842"/>
      <c r="O66" s="1842"/>
      <c r="P66" s="1842"/>
      <c r="Q66" s="1842"/>
      <c r="R66" s="1842"/>
      <c r="S66" s="1842"/>
      <c r="T66" s="1842"/>
      <c r="U66" s="1842"/>
      <c r="V66" s="1842"/>
      <c r="W66" s="1842"/>
      <c r="X66" s="1842"/>
      <c r="Y66" s="1842"/>
      <c r="Z66" s="1842"/>
      <c r="AA66" s="1842"/>
      <c r="AB66" s="1842"/>
      <c r="AC66" s="1842"/>
      <c r="AD66" s="1842"/>
      <c r="AE66" s="1842"/>
      <c r="AF66" s="1842"/>
      <c r="AG66" s="1842"/>
      <c r="AH66" s="1842"/>
      <c r="AI66" s="1842"/>
      <c r="AJ66" s="1842"/>
      <c r="AK66" s="1842"/>
      <c r="AL66" s="1842"/>
      <c r="AM66" s="1842"/>
      <c r="AN66" s="1842"/>
      <c r="AO66" s="1842"/>
      <c r="AP66" s="1842"/>
      <c r="AQ66" s="1842"/>
      <c r="AR66" s="1842"/>
      <c r="AS66" s="1842"/>
      <c r="LC66" s="503">
        <f xml:space="preserve"> IF( SUM( LE66:XC66 ) = 0, 0, $LG$3 )</f>
        <v>0</v>
      </c>
      <c r="LF66" s="1558">
        <f>SUM(LG66:XC66)</f>
        <v>0</v>
      </c>
      <c r="LI66" s="93"/>
      <c r="LJ66" s="93">
        <f>IF(ISNUMBER(I66),0,1)</f>
        <v>0</v>
      </c>
      <c r="LM66" s="2249"/>
      <c r="LN66" s="2249">
        <f>IF(ISBLANK(M66),1,0)</f>
        <v>0</v>
      </c>
    </row>
    <row r="67" spans="1:627"/>
    <row r="68" spans="1:627" ht="15" thickBot="1"/>
    <row r="69" spans="1:627" ht="15" customHeight="1">
      <c r="B69" s="833" t="s">
        <v>2330</v>
      </c>
      <c r="C69" s="834" t="s">
        <v>3047</v>
      </c>
      <c r="D69" s="820" t="s">
        <v>38</v>
      </c>
      <c r="E69" s="820" t="s">
        <v>39</v>
      </c>
      <c r="F69" s="820" t="str">
        <f>F15</f>
        <v>2016-17</v>
      </c>
      <c r="G69" s="820" t="str">
        <f t="shared" ref="G69:I69" si="97">G15</f>
        <v>2017-18</v>
      </c>
      <c r="H69" s="820" t="str">
        <f t="shared" si="97"/>
        <v>2018-19</v>
      </c>
      <c r="I69" s="822" t="str">
        <f t="shared" si="97"/>
        <v>2019-20</v>
      </c>
      <c r="J69" s="1842"/>
      <c r="K69" s="1842"/>
      <c r="L69" s="1842"/>
      <c r="M69" s="1842"/>
      <c r="N69" s="1842"/>
      <c r="O69" s="1842"/>
      <c r="P69" s="1842"/>
      <c r="Q69" s="1842"/>
      <c r="R69" s="1842"/>
      <c r="S69" s="1842"/>
      <c r="T69" s="1842"/>
      <c r="U69" s="1842"/>
      <c r="V69" s="1842"/>
      <c r="W69" s="1842"/>
      <c r="X69" s="1842"/>
      <c r="Y69" s="1842"/>
      <c r="Z69" s="1842"/>
      <c r="AA69" s="1842"/>
      <c r="AB69" s="1842"/>
      <c r="AC69" s="1842"/>
      <c r="AD69" s="1842"/>
      <c r="AE69" s="1842"/>
      <c r="AF69" s="1842"/>
      <c r="AG69" s="1842"/>
      <c r="AH69" s="1842"/>
      <c r="AI69" s="1842"/>
      <c r="AJ69" s="1842"/>
      <c r="AK69" s="1842"/>
      <c r="AL69" s="1842"/>
      <c r="AM69" s="1842"/>
      <c r="AN69" s="1842"/>
      <c r="AO69" s="1842"/>
      <c r="AP69" s="1842"/>
      <c r="AQ69" s="1842"/>
      <c r="AR69" s="1842"/>
      <c r="AS69" s="1842"/>
      <c r="LE69" s="512"/>
      <c r="LF69" s="834" t="s">
        <v>3047</v>
      </c>
      <c r="LG69" s="820" t="s">
        <v>2928</v>
      </c>
      <c r="LH69" s="820" t="s">
        <v>2929</v>
      </c>
      <c r="LI69" s="820" t="s">
        <v>2930</v>
      </c>
      <c r="LJ69" s="822" t="s">
        <v>2931</v>
      </c>
      <c r="XC69" s="512"/>
    </row>
    <row r="70" spans="1:627" ht="15" customHeight="1">
      <c r="B70" s="840">
        <v>14</v>
      </c>
      <c r="C70" s="2227" t="s">
        <v>3048</v>
      </c>
      <c r="D70" s="2228" t="s">
        <v>734</v>
      </c>
      <c r="E70" s="2229" t="s">
        <v>2960</v>
      </c>
      <c r="F70" s="2230"/>
      <c r="G70" s="2230"/>
      <c r="H70" s="2230"/>
      <c r="I70" s="2958">
        <v>0.03</v>
      </c>
      <c r="J70" s="1842"/>
      <c r="K70" s="1842"/>
      <c r="L70" s="1842"/>
      <c r="M70" s="1842"/>
      <c r="N70" s="1842"/>
      <c r="O70" s="1842"/>
      <c r="P70" s="1842"/>
      <c r="Q70" s="1842"/>
      <c r="R70" s="1842"/>
      <c r="S70" s="1842"/>
      <c r="T70" s="1842"/>
      <c r="U70" s="1842"/>
      <c r="V70" s="1842"/>
      <c r="W70" s="1842"/>
      <c r="X70" s="1842"/>
      <c r="Y70" s="1842"/>
      <c r="Z70" s="1842"/>
      <c r="AA70" s="1842"/>
      <c r="AB70" s="1842"/>
      <c r="AC70" s="1842"/>
      <c r="AD70" s="1842"/>
      <c r="AE70" s="1842"/>
      <c r="AF70" s="1842"/>
      <c r="AG70" s="1842"/>
      <c r="AH70" s="1842"/>
      <c r="AI70" s="1842"/>
      <c r="AJ70" s="1842"/>
      <c r="AK70" s="1842"/>
      <c r="AL70" s="1842"/>
      <c r="AM70" s="1842"/>
      <c r="AN70" s="1842"/>
      <c r="AO70" s="1842"/>
      <c r="AP70" s="1842"/>
      <c r="AQ70" s="1842"/>
      <c r="AR70" s="1842"/>
      <c r="AS70" s="1842"/>
      <c r="LC70" s="503">
        <f t="shared" ref="LC70:LC71" si="98" xml:space="preserve"> IF( SUM( LE70:XC70 ) = 0, 0, $LG$3 )</f>
        <v>0</v>
      </c>
      <c r="LF70" s="1558">
        <f>SUM(LG70:XC70)</f>
        <v>0</v>
      </c>
      <c r="LI70" s="93"/>
      <c r="LJ70" s="93">
        <f t="shared" ref="LJ70:LJ71" si="99">IF(ISNUMBER(I70),0,1)</f>
        <v>0</v>
      </c>
    </row>
    <row r="71" spans="1:627" ht="30.2" customHeight="1" thickBot="1">
      <c r="B71" s="835">
        <v>15</v>
      </c>
      <c r="C71" s="836" t="s">
        <v>3049</v>
      </c>
      <c r="D71" s="823" t="s">
        <v>734</v>
      </c>
      <c r="E71" s="837" t="s">
        <v>2960</v>
      </c>
      <c r="F71" s="2231"/>
      <c r="G71" s="2231"/>
      <c r="H71" s="2231"/>
      <c r="I71" s="2959">
        <v>1.9E-2</v>
      </c>
      <c r="J71" s="1842"/>
      <c r="K71" s="1842"/>
      <c r="L71" s="1842"/>
      <c r="M71" s="1842"/>
      <c r="N71" s="1842"/>
      <c r="O71" s="1842"/>
      <c r="P71" s="1842"/>
      <c r="Q71" s="1842"/>
      <c r="R71" s="1842"/>
      <c r="S71" s="1842"/>
      <c r="T71" s="1842"/>
      <c r="U71" s="1842"/>
      <c r="V71" s="1842"/>
      <c r="W71" s="1842"/>
      <c r="X71" s="1842"/>
      <c r="Y71" s="1842"/>
      <c r="Z71" s="1842"/>
      <c r="AA71" s="1842"/>
      <c r="AB71" s="1842"/>
      <c r="AC71" s="1842"/>
      <c r="AD71" s="1842"/>
      <c r="AE71" s="1842"/>
      <c r="AF71" s="1842"/>
      <c r="AG71" s="1842"/>
      <c r="AH71" s="1842"/>
      <c r="AI71" s="1842"/>
      <c r="AJ71" s="1842"/>
      <c r="AK71" s="1842"/>
      <c r="AL71" s="1842"/>
      <c r="AM71" s="1842"/>
      <c r="AN71" s="1842"/>
      <c r="AO71" s="1842"/>
      <c r="AP71" s="1842"/>
      <c r="AQ71" s="1842"/>
      <c r="AR71" s="1842"/>
      <c r="AS71" s="1842"/>
      <c r="LC71" s="503">
        <f t="shared" si="98"/>
        <v>0</v>
      </c>
      <c r="LF71" s="1558">
        <f>SUM(LG71:XC71)</f>
        <v>0</v>
      </c>
      <c r="LI71" s="93"/>
      <c r="LJ71" s="93">
        <f t="shared" si="99"/>
        <v>0</v>
      </c>
    </row>
    <row r="72" spans="1:627"/>
    <row r="73" spans="1:627">
      <c r="B73" s="2988" t="s">
        <v>3050</v>
      </c>
      <c r="C73" s="2988"/>
    </row>
    <row r="74" spans="1:627" ht="7.5" customHeight="1">
      <c r="B74" s="141"/>
      <c r="C74" s="141"/>
    </row>
    <row r="75" spans="1:627" ht="15" customHeight="1">
      <c r="B75" s="1853"/>
      <c r="C75" s="142" t="s">
        <v>190</v>
      </c>
    </row>
    <row r="76" spans="1:627" ht="14.25" customHeight="1" thickBot="1">
      <c r="B76" s="141"/>
      <c r="C76" s="142"/>
    </row>
    <row r="77" spans="1:627" ht="15" thickBot="1">
      <c r="B77" s="3197" t="s">
        <v>192</v>
      </c>
      <c r="C77" s="3198"/>
      <c r="D77" s="3198"/>
      <c r="E77" s="3198"/>
      <c r="F77" s="3199"/>
    </row>
    <row r="78" spans="1:627" ht="15" thickBot="1"/>
    <row r="79" spans="1:627" ht="16.5" thickBot="1">
      <c r="A79" s="110"/>
      <c r="B79" s="1856" t="s">
        <v>3051</v>
      </c>
      <c r="C79" s="147"/>
      <c r="D79" s="148"/>
      <c r="E79" s="148"/>
      <c r="F79" s="148"/>
      <c r="G79" s="148"/>
      <c r="H79" s="148"/>
      <c r="I79" s="716"/>
      <c r="J79" s="148"/>
      <c r="K79" s="148"/>
      <c r="L79" s="148"/>
      <c r="M79" s="148"/>
      <c r="N79" s="148"/>
      <c r="O79" s="148"/>
      <c r="P79" s="148"/>
      <c r="Q79" s="148"/>
      <c r="R79" s="148"/>
      <c r="S79" s="251"/>
      <c r="T79" s="1750"/>
      <c r="U79" s="1750"/>
      <c r="V79" s="1750"/>
      <c r="W79" s="1750"/>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row>
    <row r="80" spans="1:627" s="110" customFormat="1" ht="15" thickBot="1">
      <c r="A80" s="479"/>
      <c r="B80" s="1854"/>
      <c r="C80" s="1855"/>
      <c r="D80" s="1855"/>
      <c r="E80" s="1854"/>
      <c r="F80" s="479"/>
      <c r="G80" s="479"/>
      <c r="H80" s="479"/>
      <c r="I80" s="479"/>
      <c r="J80" s="479"/>
      <c r="K80" s="479"/>
      <c r="L80" s="479"/>
      <c r="M80" s="479"/>
      <c r="N80" s="479"/>
      <c r="O80" s="479"/>
      <c r="P80" s="479"/>
      <c r="Q80" s="479"/>
      <c r="R80" s="479"/>
      <c r="S80" s="479"/>
      <c r="T80" s="479"/>
      <c r="U80" s="479"/>
      <c r="V80" s="479"/>
      <c r="W80" s="479"/>
      <c r="X80" s="479"/>
      <c r="Y80" s="479"/>
      <c r="Z80" s="479"/>
      <c r="AA80" s="479"/>
      <c r="AB80" s="479"/>
      <c r="AC80" s="479"/>
      <c r="AD80" s="479"/>
      <c r="AE80" s="479"/>
      <c r="AF80" s="479"/>
      <c r="AG80" s="479"/>
      <c r="AH80" s="479"/>
      <c r="AI80" s="479"/>
      <c r="AJ80" s="479"/>
      <c r="AK80" s="479"/>
      <c r="AL80" s="479"/>
      <c r="AM80" s="479"/>
      <c r="AN80" s="479"/>
      <c r="AO80" s="479"/>
      <c r="AP80" s="479"/>
      <c r="AQ80" s="479"/>
      <c r="AR80" s="479"/>
      <c r="AS80" s="479"/>
      <c r="AT80" s="479"/>
      <c r="AU80" s="479"/>
      <c r="AV80" s="479"/>
      <c r="AW80" s="479"/>
      <c r="AX80" s="479"/>
      <c r="AY80" s="479"/>
      <c r="AZ80" s="479"/>
      <c r="BA80" s="479"/>
      <c r="BB80" s="479"/>
      <c r="BC80" s="479"/>
      <c r="BD80" s="479"/>
      <c r="BE80" s="479"/>
      <c r="BF80" s="479"/>
      <c r="BG80" s="479"/>
      <c r="BH80" s="479"/>
      <c r="BI80" s="479"/>
      <c r="BJ80" s="479"/>
      <c r="BK80" s="479"/>
      <c r="BL80" s="479"/>
      <c r="BM80" s="479"/>
      <c r="BN80" s="479"/>
      <c r="BO80" s="479"/>
      <c r="BP80" s="479"/>
      <c r="BQ80" s="479"/>
      <c r="BR80" s="479"/>
      <c r="BS80" s="479"/>
      <c r="BT80" s="479"/>
      <c r="BU80" s="479"/>
      <c r="BV80" s="479"/>
      <c r="BW80" s="479"/>
      <c r="BX80" s="479"/>
      <c r="BY80" s="479"/>
      <c r="BZ80" s="479"/>
      <c r="CA80" s="479"/>
      <c r="CB80" s="479"/>
      <c r="CC80" s="479"/>
      <c r="CD80" s="479"/>
      <c r="CE80" s="479"/>
      <c r="CF80" s="479"/>
      <c r="CG80" s="479"/>
      <c r="CH80" s="479"/>
      <c r="CI80" s="479"/>
      <c r="CJ80" s="479"/>
      <c r="CK80" s="479"/>
      <c r="CL80" s="479"/>
      <c r="CM80" s="479"/>
      <c r="CN80" s="479"/>
      <c r="CO80" s="479"/>
      <c r="CP80" s="479"/>
      <c r="CQ80" s="479"/>
      <c r="CR80" s="479"/>
      <c r="CS80" s="479"/>
      <c r="CT80" s="479"/>
      <c r="CU80" s="479"/>
      <c r="CV80" s="479"/>
      <c r="CW80" s="479"/>
      <c r="CX80" s="479"/>
      <c r="CY80" s="479"/>
      <c r="CZ80" s="479"/>
      <c r="DA80" s="479"/>
      <c r="DB80" s="479"/>
      <c r="DC80" s="479"/>
      <c r="DD80" s="479"/>
      <c r="DE80" s="479"/>
      <c r="DF80" s="479"/>
      <c r="DG80" s="479"/>
      <c r="DH80" s="479"/>
      <c r="DI80" s="479"/>
      <c r="DJ80" s="479"/>
      <c r="DK80" s="479"/>
      <c r="DL80" s="479"/>
      <c r="DM80" s="479"/>
      <c r="DN80" s="479"/>
      <c r="DO80" s="479"/>
      <c r="DP80" s="479"/>
      <c r="DQ80" s="479"/>
      <c r="DR80" s="479"/>
      <c r="DS80" s="479"/>
      <c r="DT80" s="479"/>
      <c r="DU80" s="479"/>
      <c r="DV80" s="479"/>
      <c r="DW80" s="479"/>
      <c r="DX80" s="479"/>
      <c r="DY80" s="479"/>
      <c r="DZ80" s="479"/>
      <c r="EA80" s="479"/>
      <c r="EB80" s="479"/>
      <c r="EC80" s="479"/>
      <c r="ED80" s="479"/>
      <c r="EE80" s="479"/>
      <c r="EF80" s="479"/>
      <c r="EG80" s="479"/>
      <c r="EH80" s="479"/>
      <c r="EI80" s="479"/>
      <c r="EJ80" s="479"/>
      <c r="EK80" s="479"/>
      <c r="EL80" s="479"/>
      <c r="EM80" s="479"/>
      <c r="EN80" s="479"/>
      <c r="EO80" s="479"/>
      <c r="EP80" s="479"/>
      <c r="EQ80" s="479"/>
      <c r="ER80" s="479"/>
      <c r="ES80" s="479"/>
      <c r="ET80" s="479"/>
      <c r="EU80" s="479"/>
      <c r="EV80" s="479"/>
      <c r="EW80" s="479"/>
      <c r="EX80" s="479"/>
      <c r="EY80" s="479"/>
      <c r="EZ80" s="479"/>
      <c r="FA80" s="479"/>
      <c r="FB80" s="479"/>
      <c r="FC80" s="479"/>
      <c r="FD80" s="479"/>
      <c r="FE80" s="479"/>
      <c r="FF80" s="479"/>
      <c r="FG80" s="479"/>
      <c r="FH80" s="479"/>
      <c r="FI80" s="479"/>
      <c r="FJ80" s="479"/>
      <c r="FK80" s="479"/>
      <c r="FL80" s="479"/>
      <c r="FM80" s="479"/>
      <c r="FN80" s="479"/>
      <c r="FO80" s="479"/>
      <c r="FP80" s="479"/>
      <c r="FQ80" s="479"/>
      <c r="FR80" s="479"/>
      <c r="FS80" s="479"/>
      <c r="FT80" s="479"/>
      <c r="FU80" s="479"/>
      <c r="FV80" s="479"/>
      <c r="FW80" s="479"/>
      <c r="FX80" s="479"/>
      <c r="FY80" s="479"/>
      <c r="FZ80" s="479"/>
      <c r="GA80" s="479"/>
      <c r="GB80" s="479"/>
      <c r="GC80" s="479"/>
      <c r="GD80" s="479"/>
      <c r="GE80" s="479"/>
      <c r="GF80" s="479"/>
      <c r="GG80" s="479"/>
      <c r="GH80" s="479"/>
      <c r="GI80" s="479"/>
      <c r="GJ80" s="479"/>
      <c r="GK80" s="479"/>
      <c r="GL80" s="479"/>
      <c r="GM80" s="479"/>
      <c r="GN80" s="479"/>
      <c r="GO80" s="479"/>
      <c r="GP80" s="479"/>
      <c r="GQ80" s="479"/>
      <c r="GR80" s="479"/>
      <c r="GS80" s="479"/>
      <c r="GT80" s="479"/>
      <c r="GU80" s="479"/>
      <c r="GV80" s="479"/>
      <c r="GW80" s="479"/>
      <c r="GX80" s="479"/>
      <c r="GY80" s="479"/>
      <c r="GZ80" s="479"/>
      <c r="HA80" s="479"/>
      <c r="HB80" s="479"/>
      <c r="HC80" s="479"/>
      <c r="HD80" s="479"/>
      <c r="HE80" s="479"/>
      <c r="HF80" s="479"/>
      <c r="HG80" s="479"/>
      <c r="HH80" s="479"/>
      <c r="HI80" s="479"/>
      <c r="HJ80" s="479"/>
      <c r="HK80" s="479"/>
      <c r="HL80" s="479"/>
      <c r="HM80" s="479"/>
      <c r="HN80" s="479"/>
      <c r="HO80" s="479"/>
      <c r="HP80" s="479"/>
      <c r="HQ80" s="479"/>
      <c r="HR80" s="479"/>
      <c r="HS80" s="479"/>
      <c r="HT80" s="479"/>
      <c r="HU80" s="479"/>
      <c r="HV80" s="479"/>
      <c r="HW80" s="479"/>
      <c r="HX80" s="479"/>
      <c r="HY80" s="479"/>
      <c r="HZ80" s="479"/>
      <c r="IA80" s="479"/>
      <c r="IB80" s="479"/>
      <c r="IC80" s="479"/>
      <c r="ID80" s="479"/>
      <c r="IE80" s="479"/>
      <c r="IF80" s="479"/>
      <c r="IG80" s="479"/>
      <c r="IH80" s="479"/>
      <c r="II80" s="479"/>
      <c r="IJ80" s="479"/>
      <c r="IK80" s="479"/>
      <c r="IL80" s="479"/>
      <c r="IM80" s="479"/>
      <c r="IN80" s="479"/>
      <c r="IO80" s="479"/>
      <c r="IP80" s="479"/>
      <c r="IQ80" s="479"/>
      <c r="IR80" s="479"/>
      <c r="IS80" s="479"/>
      <c r="IT80" s="479"/>
      <c r="IU80" s="479"/>
      <c r="IV80" s="479"/>
      <c r="IW80" s="479"/>
      <c r="IX80" s="479"/>
      <c r="IY80" s="479"/>
      <c r="IZ80" s="479"/>
      <c r="JA80" s="479"/>
      <c r="JB80" s="479"/>
      <c r="JC80" s="479"/>
      <c r="JD80" s="479"/>
      <c r="JE80" s="479"/>
      <c r="JF80" s="479"/>
      <c r="JG80" s="479"/>
      <c r="JH80" s="479"/>
      <c r="JI80" s="479"/>
      <c r="JJ80" s="479"/>
      <c r="JK80" s="479"/>
      <c r="JL80" s="479"/>
      <c r="JM80" s="479"/>
      <c r="JN80" s="479"/>
      <c r="JO80" s="479"/>
      <c r="JP80" s="479"/>
      <c r="JQ80" s="479"/>
      <c r="JR80" s="479"/>
      <c r="JS80" s="479"/>
      <c r="JT80" s="479"/>
      <c r="JU80" s="479"/>
      <c r="JV80" s="479"/>
      <c r="JW80" s="479"/>
      <c r="JX80" s="479"/>
      <c r="JY80" s="479"/>
      <c r="JZ80" s="479"/>
      <c r="KA80" s="479"/>
      <c r="KB80" s="479"/>
      <c r="KC80" s="479"/>
      <c r="KD80" s="479"/>
      <c r="KE80" s="479"/>
      <c r="KF80" s="479"/>
      <c r="KG80" s="479"/>
      <c r="KH80" s="479"/>
      <c r="KI80" s="479"/>
      <c r="KJ80" s="479"/>
      <c r="KK80" s="479"/>
      <c r="KL80" s="479"/>
      <c r="KM80" s="479"/>
      <c r="KN80" s="479"/>
      <c r="KO80" s="479"/>
      <c r="KP80" s="479"/>
      <c r="KQ80" s="479"/>
      <c r="KR80" s="479"/>
      <c r="KS80" s="479"/>
      <c r="KT80" s="479"/>
      <c r="KU80" s="479"/>
      <c r="KV80" s="479"/>
      <c r="KW80" s="479"/>
      <c r="LE80" s="565"/>
      <c r="XC80" s="565"/>
    </row>
    <row r="81" spans="2:19" ht="15" thickBot="1">
      <c r="B81" s="843" t="s">
        <v>2307</v>
      </c>
      <c r="C81" s="844" t="s">
        <v>3052</v>
      </c>
      <c r="D81" s="3236" t="s">
        <v>3053</v>
      </c>
      <c r="E81" s="3221"/>
      <c r="F81" s="3221"/>
      <c r="G81" s="3221"/>
      <c r="H81" s="3221"/>
      <c r="I81" s="3221"/>
      <c r="J81" s="3221"/>
      <c r="K81" s="3221"/>
      <c r="L81" s="3221"/>
      <c r="M81" s="3221"/>
      <c r="N81" s="3221"/>
      <c r="O81" s="3221"/>
      <c r="P81" s="3221"/>
      <c r="Q81" s="3221"/>
      <c r="R81" s="3221"/>
      <c r="S81" s="3222"/>
    </row>
    <row r="82" spans="2:19" ht="15" thickBot="1">
      <c r="B82" s="1857"/>
      <c r="C82" s="1858"/>
      <c r="D82" s="1858"/>
    </row>
    <row r="83" spans="2:19" ht="15" thickBot="1">
      <c r="B83" s="845" t="s">
        <v>155</v>
      </c>
      <c r="C83" s="846" t="str">
        <f>C15</f>
        <v>Leakage</v>
      </c>
      <c r="D83" s="1858"/>
    </row>
    <row r="84" spans="2:19" ht="30.2" customHeight="1">
      <c r="B84" s="1859" t="s">
        <v>2960</v>
      </c>
      <c r="C84" s="1860" t="s">
        <v>3054</v>
      </c>
      <c r="D84" s="3237" t="s">
        <v>3055</v>
      </c>
      <c r="E84" s="3238"/>
      <c r="F84" s="3238"/>
      <c r="G84" s="3238"/>
      <c r="H84" s="3238"/>
      <c r="I84" s="3238"/>
      <c r="J84" s="3238"/>
      <c r="K84" s="3238"/>
      <c r="L84" s="3238"/>
      <c r="M84" s="3238"/>
      <c r="N84" s="3238"/>
      <c r="O84" s="3238"/>
      <c r="P84" s="3238"/>
      <c r="Q84" s="3238"/>
      <c r="R84" s="3238"/>
      <c r="S84" s="3239"/>
    </row>
    <row r="85" spans="2:19" ht="15" customHeight="1">
      <c r="B85" s="1859" t="s">
        <v>2981</v>
      </c>
      <c r="C85" s="1860" t="s">
        <v>3056</v>
      </c>
      <c r="D85" s="3240" t="s">
        <v>3057</v>
      </c>
      <c r="E85" s="3241"/>
      <c r="F85" s="3241"/>
      <c r="G85" s="3241"/>
      <c r="H85" s="3241"/>
      <c r="I85" s="3241"/>
      <c r="J85" s="3241"/>
      <c r="K85" s="3241"/>
      <c r="L85" s="3241"/>
      <c r="M85" s="3241"/>
      <c r="N85" s="3241"/>
      <c r="O85" s="3241"/>
      <c r="P85" s="3241"/>
      <c r="Q85" s="3241"/>
      <c r="R85" s="3241"/>
      <c r="S85" s="3242"/>
    </row>
    <row r="86" spans="2:19" ht="15.75" customHeight="1">
      <c r="B86" s="1859" t="s">
        <v>3058</v>
      </c>
      <c r="C86" s="1860" t="s">
        <v>3059</v>
      </c>
      <c r="D86" s="3240" t="s">
        <v>3060</v>
      </c>
      <c r="E86" s="3241"/>
      <c r="F86" s="3241"/>
      <c r="G86" s="3241"/>
      <c r="H86" s="3241"/>
      <c r="I86" s="3241"/>
      <c r="J86" s="3241"/>
      <c r="K86" s="3241"/>
      <c r="L86" s="3241"/>
      <c r="M86" s="3241"/>
      <c r="N86" s="3241"/>
      <c r="O86" s="3241"/>
      <c r="P86" s="3241"/>
      <c r="Q86" s="3241"/>
      <c r="R86" s="3241"/>
      <c r="S86" s="3242"/>
    </row>
    <row r="87" spans="2:19" ht="15" thickBot="1">
      <c r="B87" s="1861" t="s">
        <v>3061</v>
      </c>
      <c r="C87" s="1862" t="s">
        <v>3062</v>
      </c>
      <c r="D87" s="3229" t="s">
        <v>3063</v>
      </c>
      <c r="E87" s="3230"/>
      <c r="F87" s="3230"/>
      <c r="G87" s="3230"/>
      <c r="H87" s="3230"/>
      <c r="I87" s="3230"/>
      <c r="J87" s="3230"/>
      <c r="K87" s="3230"/>
      <c r="L87" s="3230"/>
      <c r="M87" s="3230"/>
      <c r="N87" s="3230"/>
      <c r="O87" s="3230"/>
      <c r="P87" s="3230"/>
      <c r="Q87" s="3230"/>
      <c r="R87" s="3230"/>
      <c r="S87" s="3231"/>
    </row>
    <row r="88" spans="2:19" ht="15" thickBot="1">
      <c r="B88" s="1857"/>
      <c r="C88" s="1858"/>
      <c r="D88" s="1858"/>
    </row>
    <row r="89" spans="2:19" ht="15" thickBot="1">
      <c r="B89" s="845" t="s">
        <v>177</v>
      </c>
      <c r="C89" s="846" t="str">
        <f>C23</f>
        <v>Supply interruptions</v>
      </c>
      <c r="D89" s="1858"/>
    </row>
    <row r="90" spans="2:19" ht="30.75" customHeight="1" thickBot="1">
      <c r="B90" s="1863" t="s">
        <v>3064</v>
      </c>
      <c r="C90" s="1864" t="str">
        <f>C24</f>
        <v>All supply interruptions &gt; 3 hours</v>
      </c>
      <c r="D90" s="3210" t="s">
        <v>3065</v>
      </c>
      <c r="E90" s="3211"/>
      <c r="F90" s="3211"/>
      <c r="G90" s="3211"/>
      <c r="H90" s="3211"/>
      <c r="I90" s="3211"/>
      <c r="J90" s="3211"/>
      <c r="K90" s="3211"/>
      <c r="L90" s="3211"/>
      <c r="M90" s="3211"/>
      <c r="N90" s="3211"/>
      <c r="O90" s="3211"/>
      <c r="P90" s="3211"/>
      <c r="Q90" s="3211"/>
      <c r="R90" s="3211"/>
      <c r="S90" s="3212"/>
    </row>
    <row r="91" spans="2:19" ht="15" thickBot="1">
      <c r="B91" s="1857"/>
      <c r="C91" s="1858"/>
      <c r="D91" s="1858"/>
      <c r="E91" s="1865"/>
      <c r="F91" s="1865"/>
      <c r="G91" s="1865"/>
      <c r="H91" s="1865"/>
      <c r="I91" s="1865"/>
      <c r="J91" s="1865"/>
      <c r="K91" s="1865"/>
      <c r="L91" s="1865"/>
      <c r="M91" s="1865"/>
      <c r="N91" s="1865"/>
      <c r="O91" s="1865"/>
      <c r="P91" s="1865"/>
      <c r="Q91" s="1865"/>
      <c r="R91" s="1865"/>
      <c r="S91" s="1865"/>
    </row>
    <row r="92" spans="2:19" ht="15" thickBot="1">
      <c r="B92" s="845" t="s">
        <v>335</v>
      </c>
      <c r="C92" s="846" t="str">
        <f>C28</f>
        <v>Mains bursts</v>
      </c>
      <c r="D92" s="1858"/>
    </row>
    <row r="93" spans="2:19" ht="15" thickBot="1">
      <c r="B93" s="1863" t="s">
        <v>3066</v>
      </c>
      <c r="C93" s="1864" t="str">
        <f>C29</f>
        <v>Water mains bursts per 1,000 kilometres of pipe</v>
      </c>
      <c r="D93" s="3210" t="s">
        <v>3067</v>
      </c>
      <c r="E93" s="3211"/>
      <c r="F93" s="3211"/>
      <c r="G93" s="3211"/>
      <c r="H93" s="3211"/>
      <c r="I93" s="3211"/>
      <c r="J93" s="3211"/>
      <c r="K93" s="3211"/>
      <c r="L93" s="3211"/>
      <c r="M93" s="3211"/>
      <c r="N93" s="3211"/>
      <c r="O93" s="3211"/>
      <c r="P93" s="3211"/>
      <c r="Q93" s="3211"/>
      <c r="R93" s="3211"/>
      <c r="S93" s="3212"/>
    </row>
    <row r="94" spans="2:19" ht="15" thickBot="1">
      <c r="B94" s="1857"/>
      <c r="C94" s="1858"/>
      <c r="D94" s="1858"/>
    </row>
    <row r="95" spans="2:19" ht="15" thickBot="1">
      <c r="B95" s="845" t="s">
        <v>392</v>
      </c>
      <c r="C95" s="846" t="str">
        <f>C33</f>
        <v>Unplanned outage</v>
      </c>
      <c r="D95" s="1858"/>
    </row>
    <row r="96" spans="2:19" ht="15" thickBot="1">
      <c r="B96" s="1863" t="s">
        <v>3068</v>
      </c>
      <c r="C96" s="1864" t="str">
        <f>C34</f>
        <v>Proportion of unplanned outage of the total company production capacity</v>
      </c>
      <c r="D96" s="3210" t="s">
        <v>3067</v>
      </c>
      <c r="E96" s="3211"/>
      <c r="F96" s="3211"/>
      <c r="G96" s="3211"/>
      <c r="H96" s="3211"/>
      <c r="I96" s="3211"/>
      <c r="J96" s="3211"/>
      <c r="K96" s="3211"/>
      <c r="L96" s="3211"/>
      <c r="M96" s="3211"/>
      <c r="N96" s="3211"/>
      <c r="O96" s="3211"/>
      <c r="P96" s="3211"/>
      <c r="Q96" s="3211"/>
      <c r="R96" s="3211"/>
      <c r="S96" s="3212"/>
    </row>
    <row r="97" spans="2:627" ht="15" thickBot="1">
      <c r="B97" s="1857"/>
      <c r="C97" s="1858"/>
      <c r="D97" s="1858"/>
      <c r="E97" s="1865"/>
      <c r="F97" s="1865"/>
      <c r="G97" s="1865"/>
      <c r="H97" s="1865"/>
      <c r="I97" s="1865"/>
      <c r="J97" s="1865"/>
      <c r="K97" s="1865"/>
      <c r="L97" s="1865"/>
      <c r="M97" s="1865"/>
      <c r="N97" s="1865"/>
      <c r="O97" s="1865"/>
      <c r="P97" s="1865"/>
      <c r="Q97" s="1865"/>
      <c r="R97" s="1865"/>
      <c r="S97" s="1865"/>
    </row>
    <row r="98" spans="2:627" ht="15" thickBot="1">
      <c r="B98" s="845" t="s">
        <v>466</v>
      </c>
      <c r="C98" s="846" t="str">
        <f>C39</f>
        <v>Per capita consumption (PCC)</v>
      </c>
      <c r="D98" s="1858"/>
    </row>
    <row r="99" spans="2:627" ht="15" thickBot="1">
      <c r="B99" s="1863" t="s">
        <v>3069</v>
      </c>
      <c r="C99" s="1864" t="str">
        <f>C40</f>
        <v>Per capita consumption</v>
      </c>
      <c r="D99" s="3210" t="s">
        <v>3067</v>
      </c>
      <c r="E99" s="3211"/>
      <c r="F99" s="3211"/>
      <c r="G99" s="3211"/>
      <c r="H99" s="3211"/>
      <c r="I99" s="3211"/>
      <c r="J99" s="3211"/>
      <c r="K99" s="3211"/>
      <c r="L99" s="3211"/>
      <c r="M99" s="3211"/>
      <c r="N99" s="3211"/>
      <c r="O99" s="3211"/>
      <c r="P99" s="3211"/>
      <c r="Q99" s="3211"/>
      <c r="R99" s="3211"/>
      <c r="S99" s="3212"/>
    </row>
    <row r="100" spans="2:627" ht="15" thickBot="1">
      <c r="B100" s="1857"/>
      <c r="C100" s="1858"/>
      <c r="D100" s="1858"/>
      <c r="E100" s="1865"/>
      <c r="F100" s="1865"/>
      <c r="G100" s="1865"/>
      <c r="H100" s="1865"/>
      <c r="I100" s="1865"/>
      <c r="J100" s="1865"/>
      <c r="K100" s="1865"/>
      <c r="L100" s="1865"/>
      <c r="M100" s="1865"/>
      <c r="N100" s="1865"/>
      <c r="O100" s="1865"/>
      <c r="P100" s="1865"/>
      <c r="Q100" s="1865"/>
      <c r="R100" s="1865"/>
      <c r="S100" s="1865"/>
    </row>
    <row r="101" spans="2:627" ht="15" thickBot="1">
      <c r="B101" s="845" t="s">
        <v>2325</v>
      </c>
      <c r="C101" s="846" t="str">
        <f>C44</f>
        <v>Risk of severe restrictions in a drought</v>
      </c>
      <c r="D101" s="1858"/>
    </row>
    <row r="102" spans="2:627" ht="30.2" customHeight="1" thickBot="1">
      <c r="B102" s="1863" t="s">
        <v>3070</v>
      </c>
      <c r="C102" s="1864" t="str">
        <f>C45</f>
        <v>Percentage of the population the company serves that would experience severe supply restrictions (for example, standpipes or rota cuts) in a 1 in 200 year drought</v>
      </c>
      <c r="D102" s="3213" t="s">
        <v>3071</v>
      </c>
      <c r="E102" s="3214"/>
      <c r="F102" s="3214"/>
      <c r="G102" s="3214"/>
      <c r="H102" s="3214"/>
      <c r="I102" s="3214"/>
      <c r="J102" s="3214"/>
      <c r="K102" s="3214"/>
      <c r="L102" s="3214"/>
      <c r="M102" s="3214"/>
      <c r="N102" s="3214"/>
      <c r="O102" s="3214"/>
      <c r="P102" s="3214"/>
      <c r="Q102" s="3214"/>
      <c r="R102" s="3214"/>
      <c r="S102" s="3215"/>
    </row>
    <row r="103" spans="2:627" ht="15" customHeight="1" thickBot="1">
      <c r="B103" s="1857"/>
      <c r="C103" s="1858"/>
      <c r="D103" s="1858"/>
    </row>
    <row r="104" spans="2:627" ht="15" thickBot="1">
      <c r="B104" s="845" t="s">
        <v>2326</v>
      </c>
      <c r="C104" s="846" t="str">
        <f>C49</f>
        <v>Internal sewer flooding incidents</v>
      </c>
      <c r="D104" s="1858"/>
    </row>
    <row r="105" spans="2:627" ht="15" thickBot="1">
      <c r="B105" s="1863" t="s">
        <v>3072</v>
      </c>
      <c r="C105" s="1864" t="str">
        <f>C50</f>
        <v>Internal sewer flooding incidents, including sewer flooding due to severe weather events</v>
      </c>
      <c r="D105" s="3216" t="s">
        <v>3067</v>
      </c>
      <c r="E105" s="3217"/>
      <c r="F105" s="3217"/>
      <c r="G105" s="3217"/>
      <c r="H105" s="3217"/>
      <c r="I105" s="3217"/>
      <c r="J105" s="3217"/>
      <c r="K105" s="3217"/>
      <c r="L105" s="3217"/>
      <c r="M105" s="3217"/>
      <c r="N105" s="3217"/>
      <c r="O105" s="3217"/>
      <c r="P105" s="3217"/>
      <c r="Q105" s="3217"/>
      <c r="R105" s="3217"/>
      <c r="S105" s="3218"/>
    </row>
    <row r="106" spans="2:627" ht="15" thickBot="1">
      <c r="B106" s="1866"/>
      <c r="C106" s="1857"/>
      <c r="D106" s="1858"/>
      <c r="E106" s="1857"/>
    </row>
    <row r="107" spans="2:627" ht="15" thickBot="1">
      <c r="B107" s="845" t="s">
        <v>2327</v>
      </c>
      <c r="C107" s="846" t="str">
        <f>C55</f>
        <v>External sewer flooding incidents</v>
      </c>
      <c r="D107" s="1858"/>
    </row>
    <row r="108" spans="2:627" ht="15" thickBot="1">
      <c r="B108" s="1863" t="s">
        <v>3073</v>
      </c>
      <c r="C108" s="1864" t="str">
        <f>C56</f>
        <v>External sewer flooding incidents, including sewer flooding due to severe weather events</v>
      </c>
      <c r="D108" s="3216" t="s">
        <v>3067</v>
      </c>
      <c r="E108" s="3217"/>
      <c r="F108" s="3217"/>
      <c r="G108" s="3217"/>
      <c r="H108" s="3217"/>
      <c r="I108" s="3217"/>
      <c r="J108" s="3217"/>
      <c r="K108" s="3217"/>
      <c r="L108" s="3217"/>
      <c r="M108" s="3217"/>
      <c r="N108" s="3217"/>
      <c r="O108" s="3217"/>
      <c r="P108" s="3217"/>
      <c r="Q108" s="3217"/>
      <c r="R108" s="3217"/>
      <c r="S108" s="3218"/>
    </row>
    <row r="109" spans="2:627" ht="15" thickBot="1">
      <c r="B109" s="1857"/>
      <c r="C109" s="1858"/>
      <c r="D109" s="1858"/>
      <c r="E109" s="1865"/>
      <c r="F109" s="1865"/>
      <c r="G109" s="1865"/>
      <c r="H109" s="1865"/>
      <c r="I109" s="1865"/>
      <c r="J109" s="1865"/>
      <c r="K109" s="1865"/>
      <c r="L109" s="1865"/>
      <c r="M109" s="1865"/>
      <c r="N109" s="1865"/>
      <c r="O109" s="1865"/>
      <c r="P109" s="1865"/>
      <c r="Q109" s="1865"/>
      <c r="R109" s="1865"/>
      <c r="S109" s="1865"/>
      <c r="LE109" s="512"/>
      <c r="XC109" s="512"/>
    </row>
    <row r="110" spans="2:627" ht="15" thickBot="1">
      <c r="B110" s="845" t="s">
        <v>2328</v>
      </c>
      <c r="C110" s="846" t="str">
        <f>C60</f>
        <v>Sewer collapses</v>
      </c>
      <c r="D110" s="1858"/>
      <c r="LE110" s="512"/>
      <c r="XC110" s="512"/>
    </row>
    <row r="111" spans="2:627" ht="15" thickBot="1">
      <c r="B111" s="1863" t="s">
        <v>3074</v>
      </c>
      <c r="C111" s="1864" t="str">
        <f>C61</f>
        <v>Sewer collapses per 1,000 kilometres of sewers</v>
      </c>
      <c r="D111" s="3210" t="s">
        <v>3067</v>
      </c>
      <c r="E111" s="3211"/>
      <c r="F111" s="3211"/>
      <c r="G111" s="3211"/>
      <c r="H111" s="3211"/>
      <c r="I111" s="3211"/>
      <c r="J111" s="3211"/>
      <c r="K111" s="3211"/>
      <c r="L111" s="3211"/>
      <c r="M111" s="3211"/>
      <c r="N111" s="3211"/>
      <c r="O111" s="3211"/>
      <c r="P111" s="3211"/>
      <c r="Q111" s="3211"/>
      <c r="R111" s="3211"/>
      <c r="S111" s="3212"/>
      <c r="LE111" s="510"/>
      <c r="XC111" s="510"/>
    </row>
    <row r="112" spans="2:627" ht="15" thickBot="1">
      <c r="B112" s="1857"/>
      <c r="C112" s="1858"/>
      <c r="D112" s="1858"/>
      <c r="E112" s="1865"/>
      <c r="F112" s="1865"/>
      <c r="G112" s="1865"/>
      <c r="H112" s="1865"/>
      <c r="I112" s="1865"/>
      <c r="J112" s="1865"/>
      <c r="K112" s="1865"/>
      <c r="L112" s="1865"/>
      <c r="M112" s="1865"/>
      <c r="N112" s="1865"/>
      <c r="O112" s="1865"/>
      <c r="P112" s="1865"/>
      <c r="Q112" s="1865"/>
      <c r="R112" s="1865"/>
      <c r="S112" s="1865"/>
    </row>
    <row r="113" spans="1:627" ht="15" thickBot="1">
      <c r="B113" s="845" t="s">
        <v>2329</v>
      </c>
      <c r="C113" s="846" t="str">
        <f>C65</f>
        <v>Risk of sewer flooding in a storm</v>
      </c>
      <c r="D113" s="1858"/>
    </row>
    <row r="114" spans="1:627" ht="15" customHeight="1" thickBot="1">
      <c r="B114" s="1863" t="s">
        <v>3075</v>
      </c>
      <c r="C114" s="1864" t="str">
        <f>C66</f>
        <v>Percentage of population at risk of sewer flooding in a 1-in-50 year storm</v>
      </c>
      <c r="D114" s="3210" t="s">
        <v>3076</v>
      </c>
      <c r="E114" s="3211"/>
      <c r="F114" s="3211"/>
      <c r="G114" s="3211"/>
      <c r="H114" s="3211"/>
      <c r="I114" s="3211"/>
      <c r="J114" s="3211"/>
      <c r="K114" s="3211"/>
      <c r="L114" s="3211"/>
      <c r="M114" s="3211"/>
      <c r="N114" s="3211"/>
      <c r="O114" s="3211"/>
      <c r="P114" s="3211"/>
      <c r="Q114" s="3211"/>
      <c r="R114" s="3211"/>
      <c r="S114" s="3212"/>
    </row>
    <row r="115" spans="1:627" ht="15" thickBot="1"/>
    <row r="116" spans="1:627" ht="15" thickBot="1">
      <c r="B116" s="845" t="s">
        <v>2330</v>
      </c>
      <c r="C116" s="846" t="str">
        <f>C69</f>
        <v>Vulnerability</v>
      </c>
      <c r="D116" s="1858"/>
    </row>
    <row r="117" spans="1:627" ht="15" customHeight="1">
      <c r="B117" s="2232" t="s">
        <v>3077</v>
      </c>
      <c r="C117" s="2233" t="str">
        <f>C70</f>
        <v>Percentage of households registered for priority services (as of 31 March)</v>
      </c>
      <c r="D117" s="3223" t="s">
        <v>3078</v>
      </c>
      <c r="E117" s="3224"/>
      <c r="F117" s="3224"/>
      <c r="G117" s="3224"/>
      <c r="H117" s="3224"/>
      <c r="I117" s="3224"/>
      <c r="J117" s="3224"/>
      <c r="K117" s="3224"/>
      <c r="L117" s="3224"/>
      <c r="M117" s="3224"/>
      <c r="N117" s="3224"/>
      <c r="O117" s="3224"/>
      <c r="P117" s="3224"/>
      <c r="Q117" s="3224"/>
      <c r="R117" s="3224"/>
      <c r="S117" s="3225"/>
    </row>
    <row r="118" spans="1:627" ht="56.25" customHeight="1" thickBot="1">
      <c r="B118" s="2234" t="s">
        <v>3079</v>
      </c>
      <c r="C118" s="2235" t="str">
        <f>C71</f>
        <v>Percentage of households registered on the Priority Services Register contacted over the previous two years to ensure they are still receiving the right support (as of 31 March)</v>
      </c>
      <c r="D118" s="3226" t="s">
        <v>3080</v>
      </c>
      <c r="E118" s="3227"/>
      <c r="F118" s="3227"/>
      <c r="G118" s="3227"/>
      <c r="H118" s="3227"/>
      <c r="I118" s="3227"/>
      <c r="J118" s="3227"/>
      <c r="K118" s="3227"/>
      <c r="L118" s="3227"/>
      <c r="M118" s="3227"/>
      <c r="N118" s="3227"/>
      <c r="O118" s="3227"/>
      <c r="P118" s="3227"/>
      <c r="Q118" s="3227"/>
      <c r="R118" s="3227"/>
      <c r="S118" s="3228"/>
    </row>
    <row r="119" spans="1:627"/>
    <row r="120" spans="1:627"/>
    <row r="121" spans="1:627" ht="15" thickBot="1"/>
    <row r="122" spans="1:627" ht="16.5" thickBot="1">
      <c r="A122" s="110"/>
      <c r="B122" s="146" t="s">
        <v>3081</v>
      </c>
      <c r="C122" s="147"/>
      <c r="D122" s="148"/>
      <c r="E122" s="148"/>
      <c r="F122" s="148"/>
      <c r="G122" s="148"/>
      <c r="H122" s="148"/>
      <c r="I122" s="716"/>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251"/>
      <c r="BV122" s="148"/>
      <c r="BW122" s="148"/>
      <c r="BX122" s="148"/>
      <c r="BY122" s="148"/>
      <c r="BZ122" s="148"/>
      <c r="CA122" s="148"/>
      <c r="CB122" s="148"/>
      <c r="CC122" s="148"/>
      <c r="CD122" s="148"/>
      <c r="CE122" s="148"/>
      <c r="CF122" s="148"/>
      <c r="CG122" s="148"/>
      <c r="CH122" s="148"/>
      <c r="CI122" s="148"/>
      <c r="CJ122" s="148"/>
      <c r="CK122" s="148"/>
      <c r="CL122" s="148"/>
      <c r="CM122" s="148"/>
      <c r="CN122" s="148"/>
      <c r="CO122" s="251"/>
      <c r="CP122" s="148"/>
      <c r="CQ122" s="148"/>
      <c r="CR122" s="148"/>
      <c r="CS122" s="148"/>
      <c r="CT122" s="148"/>
      <c r="CU122" s="148"/>
      <c r="CV122" s="148"/>
      <c r="CW122" s="148"/>
      <c r="CX122" s="148"/>
      <c r="CY122" s="148"/>
      <c r="CZ122" s="148"/>
      <c r="DA122" s="148"/>
      <c r="DB122" s="148"/>
      <c r="DC122" s="148"/>
      <c r="DD122" s="148"/>
      <c r="DE122" s="148"/>
      <c r="DF122" s="148"/>
      <c r="DG122" s="148"/>
      <c r="DH122" s="148"/>
      <c r="DI122" s="251"/>
      <c r="DJ122" s="148"/>
      <c r="DK122" s="148"/>
      <c r="DL122" s="148"/>
      <c r="DM122" s="148"/>
      <c r="DN122" s="148"/>
      <c r="DO122" s="148"/>
      <c r="DP122" s="148"/>
      <c r="DQ122" s="148"/>
      <c r="DR122" s="148"/>
      <c r="DS122" s="148"/>
      <c r="DT122" s="148"/>
      <c r="DU122" s="148"/>
      <c r="DV122" s="148"/>
      <c r="DW122" s="148"/>
      <c r="DX122" s="148"/>
      <c r="DY122" s="148"/>
      <c r="DZ122" s="148"/>
      <c r="EA122" s="148"/>
      <c r="EB122" s="148"/>
      <c r="EC122" s="251"/>
      <c r="ED122" s="148"/>
      <c r="EE122" s="148"/>
      <c r="EF122" s="148"/>
      <c r="EG122" s="148"/>
      <c r="EH122" s="148"/>
      <c r="EI122" s="148"/>
      <c r="EJ122" s="148"/>
      <c r="EK122" s="148"/>
      <c r="EL122" s="148"/>
      <c r="EM122" s="148"/>
      <c r="EN122" s="148"/>
      <c r="EO122" s="148"/>
      <c r="EP122" s="148"/>
      <c r="EQ122" s="148"/>
      <c r="ER122" s="148"/>
      <c r="ES122" s="148"/>
      <c r="ET122" s="148"/>
      <c r="EU122" s="148"/>
      <c r="EV122" s="148"/>
      <c r="EW122" s="251"/>
      <c r="EX122" s="148"/>
      <c r="EY122" s="148"/>
      <c r="EZ122" s="148"/>
      <c r="FA122" s="148"/>
      <c r="FB122" s="148"/>
      <c r="FC122" s="148"/>
      <c r="FD122" s="148"/>
      <c r="FE122" s="148"/>
      <c r="FF122" s="148"/>
      <c r="FG122" s="148"/>
      <c r="FH122" s="148"/>
      <c r="FI122" s="148"/>
      <c r="FJ122" s="148"/>
      <c r="FK122" s="148"/>
      <c r="FL122" s="148"/>
      <c r="FM122" s="148"/>
      <c r="FN122" s="148"/>
      <c r="FO122" s="148"/>
      <c r="FP122" s="148"/>
      <c r="FQ122" s="251"/>
      <c r="FR122" s="148"/>
      <c r="FS122" s="148"/>
      <c r="FT122" s="148"/>
      <c r="FU122" s="148"/>
      <c r="FV122" s="148"/>
      <c r="FW122" s="148"/>
      <c r="FX122" s="148"/>
      <c r="FY122" s="148"/>
      <c r="FZ122" s="148"/>
      <c r="GA122" s="148"/>
      <c r="GB122" s="148"/>
      <c r="GC122" s="148"/>
      <c r="GD122" s="148"/>
      <c r="GE122" s="148"/>
      <c r="GF122" s="148"/>
      <c r="GG122" s="148"/>
      <c r="GH122" s="148"/>
      <c r="GI122" s="148"/>
      <c r="GJ122" s="148"/>
      <c r="GK122" s="251"/>
      <c r="GL122" s="148"/>
      <c r="GM122" s="148"/>
      <c r="GN122" s="148"/>
      <c r="GO122" s="148"/>
      <c r="GP122" s="148"/>
      <c r="GQ122" s="148"/>
      <c r="GR122" s="148"/>
      <c r="GS122" s="148"/>
      <c r="GT122" s="148"/>
      <c r="GU122" s="148"/>
      <c r="GV122" s="148"/>
      <c r="GW122" s="148"/>
      <c r="GX122" s="148"/>
      <c r="GY122" s="148"/>
      <c r="GZ122" s="148"/>
      <c r="HA122" s="148"/>
      <c r="HB122" s="148"/>
      <c r="HC122" s="148"/>
      <c r="HD122" s="148"/>
      <c r="HE122" s="251"/>
      <c r="HF122" s="148"/>
      <c r="HG122" s="148"/>
      <c r="HH122" s="148"/>
      <c r="HI122" s="148"/>
      <c r="HJ122" s="148"/>
      <c r="HK122" s="148"/>
      <c r="HL122" s="148"/>
      <c r="HM122" s="148"/>
      <c r="HN122" s="148"/>
      <c r="HO122" s="148"/>
      <c r="HP122" s="148"/>
      <c r="HQ122" s="148"/>
      <c r="HR122" s="148"/>
      <c r="HS122" s="148"/>
      <c r="HT122" s="148"/>
      <c r="HU122" s="148"/>
      <c r="HV122" s="148"/>
      <c r="HW122" s="148"/>
      <c r="HX122" s="148"/>
      <c r="HY122" s="251"/>
      <c r="HZ122" s="148"/>
      <c r="IA122" s="148"/>
      <c r="IB122" s="148"/>
      <c r="IC122" s="148"/>
      <c r="ID122" s="148"/>
      <c r="IE122" s="148"/>
      <c r="IF122" s="148"/>
      <c r="IG122" s="148"/>
      <c r="IH122" s="148"/>
      <c r="II122" s="148"/>
      <c r="IJ122" s="148"/>
      <c r="IK122" s="148"/>
      <c r="IL122" s="148"/>
      <c r="IM122" s="148"/>
      <c r="IN122" s="148"/>
      <c r="IO122" s="148"/>
      <c r="IP122" s="148"/>
      <c r="IQ122" s="148"/>
      <c r="IR122" s="148"/>
      <c r="IS122" s="251"/>
      <c r="IT122" s="148"/>
      <c r="IU122" s="148"/>
      <c r="IV122" s="148"/>
      <c r="IW122" s="148"/>
      <c r="IX122" s="148"/>
      <c r="IY122" s="148"/>
      <c r="IZ122" s="148"/>
      <c r="JA122" s="148"/>
      <c r="JB122" s="148"/>
      <c r="JC122" s="148"/>
      <c r="JD122" s="148"/>
      <c r="JE122" s="148"/>
      <c r="JF122" s="148"/>
      <c r="JG122" s="148"/>
      <c r="JH122" s="148"/>
      <c r="JI122" s="148"/>
      <c r="JJ122" s="148"/>
      <c r="JK122" s="148"/>
      <c r="JL122" s="148"/>
      <c r="JM122" s="251"/>
      <c r="JN122" s="148"/>
      <c r="JO122" s="148"/>
      <c r="JP122" s="148"/>
      <c r="JQ122" s="148"/>
      <c r="JR122" s="148"/>
      <c r="JS122" s="148"/>
      <c r="JT122" s="148"/>
      <c r="JU122" s="148"/>
      <c r="JV122" s="148"/>
      <c r="JW122" s="148"/>
      <c r="JX122" s="148"/>
      <c r="JY122" s="148"/>
      <c r="JZ122" s="148"/>
      <c r="KA122" s="148"/>
      <c r="KB122" s="148"/>
      <c r="KC122" s="148"/>
      <c r="KD122" s="148"/>
      <c r="KE122" s="148"/>
      <c r="KF122" s="148"/>
      <c r="KG122" s="251"/>
      <c r="KH122" s="148"/>
      <c r="KI122" s="148"/>
      <c r="KJ122" s="148"/>
      <c r="KK122" s="148"/>
      <c r="KL122" s="148"/>
      <c r="KM122" s="148"/>
      <c r="KN122" s="148"/>
      <c r="KO122" s="148"/>
      <c r="KP122" s="148"/>
      <c r="KQ122" s="148"/>
      <c r="KR122" s="148"/>
      <c r="KS122" s="148"/>
      <c r="KT122" s="148"/>
      <c r="KU122" s="148"/>
      <c r="KV122" s="148"/>
      <c r="KW122" s="148"/>
    </row>
    <row r="123" spans="1:627" s="110" customFormat="1" ht="15" thickBot="1">
      <c r="B123" s="74"/>
      <c r="C123" s="155"/>
      <c r="D123" s="74"/>
      <c r="E123" s="74"/>
      <c r="F123" s="74"/>
      <c r="G123" s="74"/>
      <c r="H123" s="74"/>
      <c r="I123" s="166"/>
      <c r="L123" s="74"/>
      <c r="N123" s="70"/>
      <c r="T123" s="74"/>
      <c r="U123" s="479"/>
      <c r="V123" s="70"/>
      <c r="W123" s="70"/>
      <c r="X123" s="70"/>
      <c r="LE123" s="565"/>
      <c r="XC123" s="565"/>
    </row>
    <row r="124" spans="1:627" s="110" customFormat="1" ht="97.5" customHeight="1" thickBot="1">
      <c r="A124" s="178"/>
      <c r="B124" s="3219" t="s">
        <v>3082</v>
      </c>
      <c r="C124" s="3220"/>
      <c r="D124" s="3220"/>
      <c r="E124" s="3220"/>
      <c r="F124" s="3220"/>
      <c r="G124" s="3220"/>
      <c r="H124" s="3220"/>
      <c r="I124" s="3220"/>
      <c r="J124" s="3220"/>
      <c r="K124" s="3220"/>
      <c r="L124" s="3220"/>
      <c r="M124" s="3220"/>
      <c r="N124" s="3220"/>
      <c r="O124" s="3220"/>
      <c r="P124" s="3220"/>
      <c r="Q124" s="3221"/>
      <c r="R124" s="3221"/>
      <c r="S124" s="3222"/>
      <c r="T124" s="74"/>
      <c r="U124" s="74"/>
      <c r="V124" s="743"/>
      <c r="W124" s="70"/>
      <c r="X124" s="70"/>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c r="EE124" s="178"/>
      <c r="EF124" s="178"/>
      <c r="EG124" s="178"/>
      <c r="EH124" s="178"/>
      <c r="EI124" s="178"/>
      <c r="EJ124" s="178"/>
      <c r="EK124" s="178"/>
      <c r="EL124" s="178"/>
      <c r="EM124" s="178"/>
      <c r="EN124" s="178"/>
      <c r="EO124" s="178"/>
      <c r="EP124" s="178"/>
      <c r="EQ124" s="178"/>
      <c r="ER124" s="178"/>
      <c r="ES124" s="178"/>
      <c r="ET124" s="178"/>
      <c r="EU124" s="178"/>
      <c r="EV124" s="178"/>
      <c r="EW124" s="178"/>
      <c r="EX124" s="178"/>
      <c r="EY124" s="178"/>
      <c r="EZ124" s="178"/>
      <c r="FA124" s="178"/>
      <c r="FB124" s="178"/>
      <c r="FC124" s="178"/>
      <c r="FD124" s="178"/>
      <c r="FE124" s="178"/>
      <c r="FF124" s="178"/>
      <c r="FG124" s="178"/>
      <c r="FH124" s="178"/>
      <c r="FI124" s="178"/>
      <c r="FJ124" s="178"/>
      <c r="FK124" s="178"/>
      <c r="FL124" s="178"/>
      <c r="FM124" s="178"/>
      <c r="FN124" s="178"/>
      <c r="FO124" s="178"/>
      <c r="FP124" s="178"/>
      <c r="FQ124" s="178"/>
      <c r="FR124" s="178"/>
      <c r="FS124" s="178"/>
      <c r="FT124" s="178"/>
      <c r="FU124" s="178"/>
      <c r="FV124" s="178"/>
      <c r="FW124" s="178"/>
      <c r="FX124" s="178"/>
      <c r="FY124" s="178"/>
      <c r="FZ124" s="178"/>
      <c r="GA124" s="178"/>
      <c r="GB124" s="178"/>
      <c r="GC124" s="178"/>
      <c r="GD124" s="178"/>
      <c r="GE124" s="178"/>
      <c r="GF124" s="178"/>
      <c r="GG124" s="178"/>
      <c r="GH124" s="178"/>
      <c r="GI124" s="178"/>
      <c r="GJ124" s="178"/>
      <c r="GK124" s="178"/>
      <c r="GL124" s="178"/>
      <c r="GM124" s="178"/>
      <c r="GN124" s="178"/>
      <c r="GO124" s="178"/>
      <c r="GP124" s="178"/>
      <c r="GQ124" s="178"/>
      <c r="GR124" s="178"/>
      <c r="GS124" s="178"/>
      <c r="GT124" s="178"/>
      <c r="GU124" s="178"/>
      <c r="GV124" s="178"/>
      <c r="GW124" s="178"/>
      <c r="GX124" s="178"/>
      <c r="GY124" s="178"/>
      <c r="GZ124" s="178"/>
      <c r="HA124" s="178"/>
      <c r="HB124" s="178"/>
      <c r="HC124" s="178"/>
      <c r="HD124" s="178"/>
      <c r="HE124" s="178"/>
      <c r="HF124" s="178"/>
      <c r="HG124" s="178"/>
      <c r="HH124" s="178"/>
      <c r="HI124" s="178"/>
      <c r="HJ124" s="178"/>
      <c r="HK124" s="178"/>
      <c r="HL124" s="178"/>
      <c r="HM124" s="178"/>
      <c r="HN124" s="178"/>
      <c r="HO124" s="178"/>
      <c r="HP124" s="178"/>
      <c r="HQ124" s="178"/>
      <c r="HR124" s="178"/>
      <c r="HS124" s="178"/>
      <c r="HT124" s="178"/>
      <c r="HU124" s="178"/>
      <c r="HV124" s="178"/>
      <c r="HW124" s="178"/>
      <c r="HX124" s="178"/>
      <c r="HY124" s="178"/>
      <c r="HZ124" s="178"/>
      <c r="IA124" s="178"/>
      <c r="IB124" s="178"/>
      <c r="IC124" s="178"/>
      <c r="ID124" s="178"/>
      <c r="IE124" s="178"/>
      <c r="IF124" s="178"/>
      <c r="IG124" s="178"/>
      <c r="IH124" s="178"/>
      <c r="II124" s="178"/>
      <c r="IJ124" s="178"/>
      <c r="IK124" s="178"/>
      <c r="IL124" s="178"/>
      <c r="IM124" s="178"/>
      <c r="IN124" s="178"/>
      <c r="IO124" s="178"/>
      <c r="IP124" s="178"/>
      <c r="IQ124" s="178"/>
      <c r="IR124" s="178"/>
      <c r="IS124" s="178"/>
      <c r="IT124" s="178"/>
      <c r="IU124" s="178"/>
      <c r="IV124" s="178"/>
      <c r="IW124" s="178"/>
      <c r="IX124" s="178"/>
      <c r="IY124" s="178"/>
      <c r="IZ124" s="178"/>
      <c r="JA124" s="178"/>
      <c r="JB124" s="178"/>
      <c r="JC124" s="178"/>
      <c r="JD124" s="178"/>
      <c r="JE124" s="178"/>
      <c r="JF124" s="178"/>
      <c r="JG124" s="178"/>
      <c r="JH124" s="178"/>
      <c r="JI124" s="178"/>
      <c r="JJ124" s="178"/>
      <c r="JK124" s="178"/>
      <c r="JL124" s="178"/>
      <c r="JM124" s="178"/>
      <c r="JN124" s="178"/>
      <c r="JO124" s="178"/>
      <c r="JP124" s="178"/>
      <c r="JQ124" s="178"/>
      <c r="JR124" s="178"/>
      <c r="JS124" s="178"/>
      <c r="JT124" s="178"/>
      <c r="JU124" s="178"/>
      <c r="JV124" s="178"/>
      <c r="JW124" s="178"/>
      <c r="JX124" s="178"/>
      <c r="JY124" s="178"/>
      <c r="JZ124" s="178"/>
      <c r="KA124" s="178"/>
      <c r="KB124" s="178"/>
      <c r="KC124" s="178"/>
      <c r="KD124" s="178"/>
      <c r="KE124" s="178"/>
      <c r="KF124" s="178"/>
      <c r="KG124" s="178"/>
      <c r="KH124" s="178"/>
      <c r="KI124" s="178"/>
      <c r="KJ124" s="178"/>
      <c r="KK124" s="178"/>
      <c r="KL124" s="178"/>
      <c r="KM124" s="178"/>
      <c r="KN124" s="178"/>
      <c r="KO124" s="178"/>
      <c r="KP124" s="178"/>
      <c r="KQ124" s="178"/>
      <c r="KR124" s="178"/>
      <c r="KS124" s="178"/>
      <c r="KT124" s="178"/>
      <c r="KU124" s="178"/>
      <c r="KV124" s="178"/>
      <c r="KW124" s="178"/>
      <c r="LE124" s="565"/>
      <c r="XC124" s="565"/>
    </row>
    <row r="125" spans="1:627" s="178" customFormat="1" ht="15" thickBot="1">
      <c r="A125" s="479"/>
      <c r="B125" s="1866"/>
      <c r="C125" s="1858"/>
      <c r="D125" s="1867"/>
      <c r="E125" s="1867"/>
      <c r="F125" s="1867"/>
      <c r="G125" s="479"/>
      <c r="H125" s="479"/>
      <c r="I125" s="479"/>
      <c r="J125" s="479"/>
      <c r="K125" s="479"/>
      <c r="L125" s="479"/>
      <c r="M125" s="479"/>
      <c r="N125" s="479"/>
      <c r="O125" s="479"/>
      <c r="P125" s="479"/>
      <c r="Q125" s="479"/>
      <c r="R125" s="479"/>
      <c r="S125" s="479"/>
      <c r="T125" s="479"/>
      <c r="U125" s="479"/>
      <c r="V125" s="479"/>
      <c r="W125" s="479"/>
      <c r="X125" s="479"/>
      <c r="Y125" s="479"/>
      <c r="Z125" s="479"/>
      <c r="AA125" s="479"/>
      <c r="AB125" s="479"/>
      <c r="AC125" s="479"/>
      <c r="AD125" s="479"/>
      <c r="AE125" s="479"/>
      <c r="AF125" s="479"/>
      <c r="AG125" s="479"/>
      <c r="AH125" s="479"/>
      <c r="AI125" s="479"/>
      <c r="AJ125" s="479"/>
      <c r="AK125" s="479"/>
      <c r="AL125" s="479"/>
      <c r="AM125" s="479"/>
      <c r="AN125" s="479"/>
      <c r="AO125" s="479"/>
      <c r="AP125" s="479"/>
      <c r="AQ125" s="479"/>
      <c r="AR125" s="479"/>
      <c r="AS125" s="479"/>
      <c r="AT125" s="479"/>
      <c r="AU125" s="479"/>
      <c r="AV125" s="479"/>
      <c r="AW125" s="479"/>
      <c r="AX125" s="479"/>
      <c r="AY125" s="479"/>
      <c r="AZ125" s="479"/>
      <c r="BA125" s="479"/>
      <c r="BB125" s="479"/>
      <c r="BC125" s="479"/>
      <c r="BD125" s="479"/>
      <c r="BE125" s="479"/>
      <c r="BF125" s="479"/>
      <c r="BG125" s="479"/>
      <c r="BH125" s="479"/>
      <c r="BI125" s="479"/>
      <c r="BJ125" s="479"/>
      <c r="BK125" s="479"/>
      <c r="BL125" s="479"/>
      <c r="BM125" s="479"/>
      <c r="BN125" s="479"/>
      <c r="BO125" s="479"/>
      <c r="BP125" s="479"/>
      <c r="BQ125" s="479"/>
      <c r="BR125" s="479"/>
      <c r="BS125" s="479"/>
      <c r="BT125" s="479"/>
      <c r="BU125" s="479"/>
      <c r="BV125" s="479"/>
      <c r="BW125" s="479"/>
      <c r="BX125" s="479"/>
      <c r="BY125" s="479"/>
      <c r="BZ125" s="479"/>
      <c r="CA125" s="479"/>
      <c r="CB125" s="479"/>
      <c r="CC125" s="479"/>
      <c r="CD125" s="479"/>
      <c r="CE125" s="479"/>
      <c r="CF125" s="479"/>
      <c r="CG125" s="479"/>
      <c r="CH125" s="479"/>
      <c r="CI125" s="479"/>
      <c r="CJ125" s="479"/>
      <c r="CK125" s="479"/>
      <c r="CL125" s="479"/>
      <c r="CM125" s="479"/>
      <c r="CN125" s="479"/>
      <c r="CO125" s="479"/>
      <c r="CP125" s="479"/>
      <c r="CQ125" s="479"/>
      <c r="CR125" s="479"/>
      <c r="CS125" s="479"/>
      <c r="CT125" s="479"/>
      <c r="CU125" s="479"/>
      <c r="CV125" s="479"/>
      <c r="CW125" s="479"/>
      <c r="CX125" s="479"/>
      <c r="CY125" s="479"/>
      <c r="CZ125" s="479"/>
      <c r="DA125" s="479"/>
      <c r="DB125" s="479"/>
      <c r="DC125" s="479"/>
      <c r="DD125" s="479"/>
      <c r="DE125" s="479"/>
      <c r="DF125" s="479"/>
      <c r="DG125" s="479"/>
      <c r="DH125" s="479"/>
      <c r="DI125" s="479"/>
      <c r="DJ125" s="479"/>
      <c r="DK125" s="479"/>
      <c r="DL125" s="479"/>
      <c r="DM125" s="479"/>
      <c r="DN125" s="479"/>
      <c r="DO125" s="479"/>
      <c r="DP125" s="479"/>
      <c r="DQ125" s="479"/>
      <c r="DR125" s="479"/>
      <c r="DS125" s="479"/>
      <c r="DT125" s="479"/>
      <c r="DU125" s="479"/>
      <c r="DV125" s="479"/>
      <c r="DW125" s="479"/>
      <c r="DX125" s="479"/>
      <c r="DY125" s="479"/>
      <c r="DZ125" s="479"/>
      <c r="EA125" s="479"/>
      <c r="EB125" s="479"/>
      <c r="EC125" s="479"/>
      <c r="ED125" s="479"/>
      <c r="EE125" s="479"/>
      <c r="EF125" s="479"/>
      <c r="EG125" s="479"/>
      <c r="EH125" s="479"/>
      <c r="EI125" s="479"/>
      <c r="EJ125" s="479"/>
      <c r="EK125" s="479"/>
      <c r="EL125" s="479"/>
      <c r="EM125" s="479"/>
      <c r="EN125" s="479"/>
      <c r="EO125" s="479"/>
      <c r="EP125" s="479"/>
      <c r="EQ125" s="479"/>
      <c r="ER125" s="479"/>
      <c r="ES125" s="479"/>
      <c r="ET125" s="479"/>
      <c r="EU125" s="479"/>
      <c r="EV125" s="479"/>
      <c r="EW125" s="479"/>
      <c r="EX125" s="479"/>
      <c r="EY125" s="479"/>
      <c r="EZ125" s="479"/>
      <c r="FA125" s="479"/>
      <c r="FB125" s="479"/>
      <c r="FC125" s="479"/>
      <c r="FD125" s="479"/>
      <c r="FE125" s="479"/>
      <c r="FF125" s="479"/>
      <c r="FG125" s="479"/>
      <c r="FH125" s="479"/>
      <c r="FI125" s="479"/>
      <c r="FJ125" s="479"/>
      <c r="FK125" s="479"/>
      <c r="FL125" s="479"/>
      <c r="FM125" s="479"/>
      <c r="FN125" s="479"/>
      <c r="FO125" s="479"/>
      <c r="FP125" s="479"/>
      <c r="FQ125" s="479"/>
      <c r="FR125" s="479"/>
      <c r="FS125" s="479"/>
      <c r="FT125" s="479"/>
      <c r="FU125" s="479"/>
      <c r="FV125" s="479"/>
      <c r="FW125" s="479"/>
      <c r="FX125" s="479"/>
      <c r="FY125" s="479"/>
      <c r="FZ125" s="479"/>
      <c r="GA125" s="479"/>
      <c r="GB125" s="479"/>
      <c r="GC125" s="479"/>
      <c r="GD125" s="479"/>
      <c r="GE125" s="479"/>
      <c r="GF125" s="479"/>
      <c r="GG125" s="479"/>
      <c r="GH125" s="479"/>
      <c r="GI125" s="479"/>
      <c r="GJ125" s="479"/>
      <c r="GK125" s="479"/>
      <c r="GL125" s="479"/>
      <c r="GM125" s="479"/>
      <c r="GN125" s="479"/>
      <c r="GO125" s="479"/>
      <c r="GP125" s="479"/>
      <c r="GQ125" s="479"/>
      <c r="GR125" s="479"/>
      <c r="GS125" s="479"/>
      <c r="GT125" s="479"/>
      <c r="GU125" s="479"/>
      <c r="GV125" s="479"/>
      <c r="GW125" s="479"/>
      <c r="GX125" s="479"/>
      <c r="GY125" s="479"/>
      <c r="GZ125" s="479"/>
      <c r="HA125" s="479"/>
      <c r="HB125" s="479"/>
      <c r="HC125" s="479"/>
      <c r="HD125" s="479"/>
      <c r="HE125" s="479"/>
      <c r="HF125" s="479"/>
      <c r="HG125" s="479"/>
      <c r="HH125" s="479"/>
      <c r="HI125" s="479"/>
      <c r="HJ125" s="479"/>
      <c r="HK125" s="479"/>
      <c r="HL125" s="479"/>
      <c r="HM125" s="479"/>
      <c r="HN125" s="479"/>
      <c r="HO125" s="479"/>
      <c r="HP125" s="479"/>
      <c r="HQ125" s="479"/>
      <c r="HR125" s="479"/>
      <c r="HS125" s="479"/>
      <c r="HT125" s="479"/>
      <c r="HU125" s="479"/>
      <c r="HV125" s="479"/>
      <c r="HW125" s="479"/>
      <c r="HX125" s="479"/>
      <c r="HY125" s="479"/>
      <c r="HZ125" s="479"/>
      <c r="IA125" s="479"/>
      <c r="IB125" s="479"/>
      <c r="IC125" s="479"/>
      <c r="ID125" s="479"/>
      <c r="IE125" s="479"/>
      <c r="IF125" s="479"/>
      <c r="IG125" s="479"/>
      <c r="IH125" s="479"/>
      <c r="II125" s="479"/>
      <c r="IJ125" s="479"/>
      <c r="IK125" s="479"/>
      <c r="IL125" s="479"/>
      <c r="IM125" s="479"/>
      <c r="IN125" s="479"/>
      <c r="IO125" s="479"/>
      <c r="IP125" s="479"/>
      <c r="IQ125" s="479"/>
      <c r="IR125" s="479"/>
      <c r="IS125" s="479"/>
      <c r="IT125" s="479"/>
      <c r="IU125" s="479"/>
      <c r="IV125" s="479"/>
      <c r="IW125" s="479"/>
      <c r="IX125" s="479"/>
      <c r="IY125" s="479"/>
      <c r="IZ125" s="479"/>
      <c r="JA125" s="479"/>
      <c r="JB125" s="479"/>
      <c r="JC125" s="479"/>
      <c r="JD125" s="479"/>
      <c r="JE125" s="479"/>
      <c r="JF125" s="479"/>
      <c r="JG125" s="479"/>
      <c r="JH125" s="479"/>
      <c r="JI125" s="479"/>
      <c r="JJ125" s="479"/>
      <c r="JK125" s="479"/>
      <c r="JL125" s="479"/>
      <c r="JM125" s="479"/>
      <c r="JN125" s="479"/>
      <c r="JO125" s="479"/>
      <c r="JP125" s="479"/>
      <c r="JQ125" s="479"/>
      <c r="JR125" s="479"/>
      <c r="JS125" s="479"/>
      <c r="JT125" s="479"/>
      <c r="JU125" s="479"/>
      <c r="JV125" s="479"/>
      <c r="JW125" s="479"/>
      <c r="JX125" s="479"/>
      <c r="JY125" s="479"/>
      <c r="JZ125" s="479"/>
      <c r="KA125" s="479"/>
      <c r="KB125" s="479"/>
      <c r="KC125" s="479"/>
      <c r="KD125" s="479"/>
      <c r="KE125" s="479"/>
      <c r="KF125" s="479"/>
      <c r="KG125" s="479"/>
      <c r="KH125" s="479"/>
      <c r="KI125" s="479"/>
      <c r="KJ125" s="479"/>
      <c r="KK125" s="479"/>
      <c r="KL125" s="479"/>
      <c r="KM125" s="479"/>
      <c r="KN125" s="479"/>
      <c r="KO125" s="479"/>
      <c r="KP125" s="479"/>
      <c r="KQ125" s="479"/>
      <c r="KR125" s="479"/>
      <c r="KS125" s="479"/>
      <c r="KT125" s="479"/>
      <c r="KU125" s="479"/>
      <c r="KV125" s="479"/>
      <c r="KW125" s="479"/>
      <c r="LE125" s="565"/>
      <c r="XC125" s="565"/>
    </row>
    <row r="126" spans="1:627" ht="123.75" customHeight="1">
      <c r="B126" s="3206" t="s">
        <v>3083</v>
      </c>
      <c r="C126" s="3207"/>
      <c r="D126" s="3207"/>
      <c r="E126" s="3207"/>
      <c r="F126" s="3207"/>
      <c r="G126" s="3207"/>
      <c r="H126" s="3207"/>
      <c r="I126" s="3207"/>
      <c r="J126" s="3207"/>
      <c r="K126" s="3207"/>
      <c r="L126" s="3207"/>
      <c r="M126" s="3207"/>
      <c r="N126" s="3207"/>
      <c r="O126" s="3207"/>
      <c r="P126" s="3207"/>
      <c r="Q126" s="3208"/>
      <c r="R126" s="3208"/>
      <c r="S126" s="3209"/>
    </row>
    <row r="127" spans="1:627" ht="18.75" customHeight="1" thickBot="1">
      <c r="B127" s="1868"/>
      <c r="C127" s="1869" t="s">
        <v>3084</v>
      </c>
      <c r="D127" s="1870"/>
      <c r="E127" s="1870"/>
      <c r="F127" s="1870"/>
      <c r="G127" s="1870"/>
      <c r="H127" s="1870"/>
      <c r="I127" s="1870"/>
      <c r="J127" s="1870"/>
      <c r="K127" s="1870"/>
      <c r="L127" s="1870"/>
      <c r="M127" s="1870"/>
      <c r="N127" s="1870"/>
      <c r="O127" s="1870"/>
      <c r="P127" s="1870"/>
      <c r="Q127" s="1870"/>
      <c r="R127" s="1870"/>
      <c r="S127" s="1871"/>
    </row>
    <row r="128" spans="1:627" ht="15" thickBot="1">
      <c r="B128" s="1872"/>
      <c r="C128" s="1854"/>
      <c r="D128" s="1855"/>
      <c r="E128" s="1855"/>
      <c r="F128" s="1854"/>
    </row>
    <row r="129" spans="2:19" ht="240" customHeight="1">
      <c r="B129" s="3206" t="s">
        <v>3085</v>
      </c>
      <c r="C129" s="3207"/>
      <c r="D129" s="3207"/>
      <c r="E129" s="3207"/>
      <c r="F129" s="3207"/>
      <c r="G129" s="3207"/>
      <c r="H129" s="3207"/>
      <c r="I129" s="3207"/>
      <c r="J129" s="3207"/>
      <c r="K129" s="3207"/>
      <c r="L129" s="3207"/>
      <c r="M129" s="3207"/>
      <c r="N129" s="3207"/>
      <c r="O129" s="3207"/>
      <c r="P129" s="3207"/>
      <c r="Q129" s="3208"/>
      <c r="R129" s="3208"/>
      <c r="S129" s="3209"/>
    </row>
    <row r="130" spans="2:19">
      <c r="B130" s="1873"/>
      <c r="C130" s="1854"/>
      <c r="D130" s="1855"/>
      <c r="E130" s="1855"/>
      <c r="F130" s="1854"/>
      <c r="G130" s="140"/>
      <c r="H130" s="140"/>
      <c r="I130" s="140"/>
      <c r="J130" s="140"/>
      <c r="K130" s="140"/>
      <c r="L130" s="140"/>
      <c r="M130" s="140"/>
      <c r="N130" s="140"/>
      <c r="O130" s="140"/>
      <c r="P130" s="140"/>
      <c r="Q130" s="140"/>
      <c r="R130" s="140"/>
      <c r="S130" s="1874"/>
    </row>
    <row r="131" spans="2:19" ht="16.5">
      <c r="B131" s="1873"/>
      <c r="C131" s="1854"/>
      <c r="D131" s="1875" t="s">
        <v>2927</v>
      </c>
      <c r="E131" s="1876"/>
      <c r="F131" s="1854"/>
      <c r="G131" s="140"/>
      <c r="H131" s="140"/>
      <c r="I131" s="140"/>
      <c r="J131" s="140"/>
      <c r="K131" s="140"/>
      <c r="L131" s="140"/>
      <c r="M131" s="140"/>
      <c r="N131" s="140"/>
      <c r="O131" s="140"/>
      <c r="P131" s="140"/>
      <c r="Q131" s="140"/>
      <c r="R131" s="140"/>
      <c r="S131" s="1874"/>
    </row>
    <row r="132" spans="2:19">
      <c r="B132" s="1873"/>
      <c r="C132" s="1854"/>
      <c r="D132" s="2226" t="s">
        <v>3086</v>
      </c>
      <c r="E132" s="2226" t="s">
        <v>3087</v>
      </c>
      <c r="F132" s="1854"/>
      <c r="G132" s="140"/>
      <c r="H132" s="140"/>
      <c r="I132" s="140"/>
      <c r="J132" s="140"/>
      <c r="K132" s="140"/>
      <c r="L132" s="140"/>
      <c r="M132" s="140"/>
      <c r="N132" s="140"/>
      <c r="O132" s="140"/>
      <c r="P132" s="140"/>
      <c r="Q132" s="140"/>
      <c r="R132" s="140"/>
      <c r="S132" s="1874"/>
    </row>
    <row r="133" spans="2:19">
      <c r="B133" s="1873"/>
      <c r="C133" s="1854"/>
      <c r="D133" s="2226" t="s">
        <v>2935</v>
      </c>
      <c r="E133" s="2226" t="s">
        <v>3088</v>
      </c>
      <c r="F133" s="1854"/>
      <c r="G133" s="140"/>
      <c r="H133" s="140"/>
      <c r="I133" s="140"/>
      <c r="J133" s="140"/>
      <c r="K133" s="140"/>
      <c r="L133" s="140"/>
      <c r="M133" s="140"/>
      <c r="N133" s="140"/>
      <c r="O133" s="140"/>
      <c r="P133" s="140"/>
      <c r="Q133" s="140"/>
      <c r="R133" s="140"/>
      <c r="S133" s="1874"/>
    </row>
    <row r="134" spans="2:19">
      <c r="B134" s="1873"/>
      <c r="C134" s="1854"/>
      <c r="D134" s="2226" t="s">
        <v>2934</v>
      </c>
      <c r="E134" s="2226" t="s">
        <v>3089</v>
      </c>
      <c r="F134" s="1854"/>
      <c r="G134" s="140"/>
      <c r="H134" s="140"/>
      <c r="I134" s="140"/>
      <c r="J134" s="140"/>
      <c r="K134" s="140"/>
      <c r="L134" s="140"/>
      <c r="M134" s="140"/>
      <c r="N134" s="140"/>
      <c r="O134" s="140"/>
      <c r="P134" s="140"/>
      <c r="Q134" s="140"/>
      <c r="R134" s="140"/>
      <c r="S134" s="1874"/>
    </row>
    <row r="135" spans="2:19">
      <c r="B135" s="1873"/>
      <c r="C135" s="1854"/>
      <c r="D135" s="1876"/>
      <c r="E135" s="1876"/>
      <c r="F135" s="1854"/>
      <c r="G135" s="140"/>
      <c r="H135" s="140"/>
      <c r="I135" s="140"/>
      <c r="J135" s="140"/>
      <c r="K135" s="140"/>
      <c r="L135" s="140"/>
      <c r="M135" s="140"/>
      <c r="N135" s="140"/>
      <c r="O135" s="140"/>
      <c r="P135" s="140"/>
      <c r="Q135" s="140"/>
      <c r="R135" s="140"/>
      <c r="S135" s="1874"/>
    </row>
    <row r="136" spans="2:19" ht="16.5">
      <c r="B136" s="1873"/>
      <c r="C136" s="1854"/>
      <c r="D136" s="1875" t="s">
        <v>3090</v>
      </c>
      <c r="E136" s="1876"/>
      <c r="F136" s="1854"/>
      <c r="G136" s="140"/>
      <c r="H136" s="140"/>
      <c r="I136" s="140"/>
      <c r="J136" s="140"/>
      <c r="K136" s="140"/>
      <c r="L136" s="140"/>
      <c r="M136" s="140"/>
      <c r="N136" s="140"/>
      <c r="O136" s="140"/>
      <c r="P136" s="140"/>
      <c r="Q136" s="140"/>
      <c r="R136" s="140"/>
      <c r="S136" s="1874"/>
    </row>
    <row r="137" spans="2:19">
      <c r="B137" s="1873"/>
      <c r="C137" s="1854"/>
      <c r="D137" s="2226" t="s">
        <v>3086</v>
      </c>
      <c r="E137" s="2226" t="s">
        <v>3091</v>
      </c>
      <c r="F137" s="1854"/>
      <c r="G137" s="140"/>
      <c r="H137" s="140"/>
      <c r="I137" s="140"/>
      <c r="J137" s="140"/>
      <c r="K137" s="140"/>
      <c r="L137" s="140"/>
      <c r="M137" s="140"/>
      <c r="N137" s="140"/>
      <c r="O137" s="140"/>
      <c r="P137" s="140"/>
      <c r="Q137" s="140"/>
      <c r="R137" s="140"/>
      <c r="S137" s="1874"/>
    </row>
    <row r="138" spans="2:19">
      <c r="B138" s="1873"/>
      <c r="C138" s="1854"/>
      <c r="D138" s="2226" t="s">
        <v>2935</v>
      </c>
      <c r="E138" s="2226" t="s">
        <v>3092</v>
      </c>
      <c r="F138" s="1854"/>
      <c r="G138" s="140"/>
      <c r="H138" s="140"/>
      <c r="I138" s="140"/>
      <c r="J138" s="140"/>
      <c r="K138" s="140"/>
      <c r="L138" s="140"/>
      <c r="M138" s="140"/>
      <c r="N138" s="140"/>
      <c r="O138" s="140"/>
      <c r="P138" s="140"/>
      <c r="Q138" s="140"/>
      <c r="R138" s="140"/>
      <c r="S138" s="1874"/>
    </row>
    <row r="139" spans="2:19">
      <c r="B139" s="1873"/>
      <c r="C139" s="1854"/>
      <c r="D139" s="2226" t="s">
        <v>2934</v>
      </c>
      <c r="E139" s="2226" t="s">
        <v>3089</v>
      </c>
      <c r="F139" s="1854"/>
      <c r="G139" s="140"/>
      <c r="H139" s="140"/>
      <c r="I139" s="140"/>
      <c r="J139" s="140"/>
      <c r="K139" s="140"/>
      <c r="L139" s="140"/>
      <c r="M139" s="140"/>
      <c r="N139" s="140"/>
      <c r="O139" s="140"/>
      <c r="P139" s="140"/>
      <c r="Q139" s="140"/>
      <c r="R139" s="140"/>
      <c r="S139" s="1874"/>
    </row>
    <row r="140" spans="2:19" ht="15" thickBot="1">
      <c r="B140" s="1877"/>
      <c r="C140" s="1878"/>
      <c r="D140" s="1879"/>
      <c r="E140" s="1879"/>
      <c r="F140" s="1879"/>
      <c r="G140" s="1880"/>
      <c r="H140" s="1880"/>
      <c r="I140" s="1880"/>
      <c r="J140" s="1880"/>
      <c r="K140" s="1880"/>
      <c r="L140" s="1880"/>
      <c r="M140" s="1880"/>
      <c r="N140" s="1880"/>
      <c r="O140" s="1880"/>
      <c r="P140" s="1880"/>
      <c r="Q140" s="1880"/>
      <c r="R140" s="1880"/>
      <c r="S140" s="1881"/>
    </row>
    <row r="141" spans="2:19" ht="15" customHeight="1">
      <c r="B141" s="1872"/>
      <c r="C141" s="1882"/>
      <c r="D141" s="1867"/>
      <c r="E141" s="1867"/>
      <c r="F141" s="1867"/>
      <c r="G141" s="140"/>
      <c r="H141" s="140"/>
      <c r="I141" s="140"/>
      <c r="J141" s="140"/>
      <c r="K141" s="140"/>
      <c r="L141" s="140"/>
      <c r="M141" s="140"/>
      <c r="N141" s="140"/>
      <c r="O141" s="140"/>
      <c r="P141" s="140"/>
      <c r="Q141" s="140"/>
      <c r="R141" s="140"/>
      <c r="S141" s="140"/>
    </row>
    <row r="142" spans="2:19" ht="78.75" hidden="1" customHeight="1">
      <c r="B142" s="1872"/>
      <c r="C142" s="1872"/>
      <c r="D142" s="1883" t="s">
        <v>3093</v>
      </c>
      <c r="E142" s="1855"/>
      <c r="F142" s="1884" t="s">
        <v>3094</v>
      </c>
      <c r="G142" s="1854"/>
    </row>
    <row r="143" spans="2:19" hidden="1">
      <c r="B143" s="1872"/>
      <c r="C143" s="1872"/>
      <c r="D143" s="1854"/>
      <c r="E143" s="1855"/>
      <c r="F143" s="1855"/>
      <c r="G143" s="1854"/>
    </row>
    <row r="144" spans="2:19" ht="15" hidden="1" customHeight="1">
      <c r="B144" s="1872"/>
      <c r="C144" s="1872"/>
      <c r="D144" s="1885" t="s">
        <v>3095</v>
      </c>
      <c r="E144" s="1855"/>
      <c r="F144" s="1886" t="s">
        <v>2337</v>
      </c>
      <c r="G144" s="1854"/>
    </row>
    <row r="145" spans="2:7" ht="15" hidden="1" customHeight="1">
      <c r="B145" s="1872"/>
      <c r="C145" s="1872"/>
      <c r="D145" s="1887" t="s">
        <v>2935</v>
      </c>
      <c r="E145" s="1855"/>
      <c r="F145" s="1888" t="s">
        <v>2334</v>
      </c>
      <c r="G145" s="1854"/>
    </row>
    <row r="146" spans="2:7" ht="15" hidden="1" customHeight="1">
      <c r="B146" s="1872"/>
      <c r="C146" s="1872"/>
      <c r="D146" s="1887" t="s">
        <v>2934</v>
      </c>
      <c r="E146" s="1855"/>
      <c r="F146" s="1888" t="s">
        <v>3096</v>
      </c>
      <c r="G146" s="1854"/>
    </row>
    <row r="147" spans="2:7" ht="15" hidden="1" customHeight="1">
      <c r="B147" s="1872"/>
      <c r="C147" s="1872"/>
      <c r="D147" s="1889"/>
      <c r="E147" s="1855"/>
      <c r="F147" s="1889"/>
      <c r="G147" s="1854"/>
    </row>
    <row r="148" spans="2:7" hidden="1">
      <c r="B148" s="1872"/>
      <c r="C148" s="1854"/>
      <c r="D148" s="1855"/>
      <c r="E148" s="1855"/>
      <c r="F148" s="1854"/>
    </row>
    <row r="149" spans="2:7" hidden="1">
      <c r="B149" s="1876"/>
      <c r="E149" s="1876"/>
      <c r="F149" s="1876"/>
    </row>
    <row r="150" spans="2:7" hidden="1">
      <c r="B150" s="1876"/>
      <c r="E150" s="1876"/>
      <c r="F150" s="1876"/>
    </row>
    <row r="151" spans="2:7" hidden="1">
      <c r="B151" s="1876"/>
      <c r="E151" s="1876"/>
      <c r="F151" s="1876"/>
    </row>
    <row r="152" spans="2:7" hidden="1">
      <c r="B152" s="1876"/>
      <c r="E152" s="1876"/>
      <c r="F152" s="1876"/>
    </row>
    <row r="153" spans="2:7" hidden="1">
      <c r="B153" s="1876"/>
      <c r="E153" s="1876"/>
      <c r="F153" s="1876"/>
    </row>
    <row r="154" spans="2:7" hidden="1">
      <c r="B154" s="1876"/>
      <c r="E154" s="1876"/>
      <c r="F154" s="1876"/>
    </row>
    <row r="155" spans="2:7" hidden="1">
      <c r="B155" s="1876"/>
      <c r="E155" s="1876"/>
      <c r="F155" s="1876"/>
    </row>
    <row r="156" spans="2:7" hidden="1">
      <c r="B156" s="1876"/>
      <c r="E156" s="1876"/>
      <c r="F156" s="1876"/>
    </row>
    <row r="157" spans="2:7" hidden="1">
      <c r="B157" s="1876"/>
      <c r="E157" s="1876"/>
      <c r="F157" s="1876"/>
    </row>
    <row r="158" spans="2:7" hidden="1">
      <c r="B158" s="1876"/>
      <c r="E158" s="1876"/>
      <c r="F158" s="1876"/>
    </row>
    <row r="159" spans="2:7" hidden="1">
      <c r="B159" s="1876"/>
      <c r="E159" s="1876"/>
      <c r="F159" s="1876"/>
    </row>
    <row r="160" spans="2:7" hidden="1">
      <c r="B160" s="1876"/>
      <c r="E160" s="1876"/>
      <c r="F160" s="1876"/>
    </row>
    <row r="161" spans="2:6" hidden="1">
      <c r="B161" s="1876"/>
      <c r="E161" s="1876"/>
      <c r="F161" s="1876"/>
    </row>
    <row r="162" spans="2:6" hidden="1">
      <c r="B162" s="1876"/>
      <c r="E162" s="1876"/>
      <c r="F162" s="1876"/>
    </row>
    <row r="163" spans="2:6" hidden="1">
      <c r="B163" s="1876"/>
      <c r="E163" s="1876"/>
      <c r="F163" s="1876"/>
    </row>
    <row r="164" spans="2:6" hidden="1">
      <c r="B164" s="1876"/>
      <c r="E164" s="1876"/>
      <c r="F164" s="1876"/>
    </row>
    <row r="165" spans="2:6" hidden="1">
      <c r="B165" s="1876"/>
      <c r="E165" s="1876"/>
      <c r="F165" s="1876"/>
    </row>
    <row r="166" spans="2:6" hidden="1">
      <c r="B166" s="1876"/>
      <c r="E166" s="1876"/>
      <c r="F166" s="1876"/>
    </row>
    <row r="167" spans="2:6" hidden="1">
      <c r="B167" s="1876"/>
      <c r="E167" s="1876"/>
      <c r="F167" s="1876"/>
    </row>
    <row r="168" spans="2:6"/>
    <row r="169" spans="2:6"/>
    <row r="170" spans="2:6"/>
    <row r="171" spans="2:6"/>
    <row r="172" spans="2:6"/>
    <row r="173" spans="2:6"/>
    <row r="174" spans="2:6"/>
    <row r="175" spans="2:6"/>
    <row r="176" spans="2:6"/>
    <row r="177"/>
  </sheetData>
  <mergeCells count="21">
    <mergeCell ref="D87:S87"/>
    <mergeCell ref="B4:U4"/>
    <mergeCell ref="D81:S81"/>
    <mergeCell ref="D84:S84"/>
    <mergeCell ref="D85:S85"/>
    <mergeCell ref="D86:S86"/>
    <mergeCell ref="B77:F77"/>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s>
  <conditionalFormatting sqref="AL24:AS24 J16:CN19 DS16:FT19 N45:Q45 N66:Q66 N16:LA16">
    <cfRule type="expression" dxfId="1177" priority="901">
      <formula>J16=$D$146</formula>
    </cfRule>
    <cfRule type="expression" dxfId="1176" priority="902">
      <formula>J16=$D$145</formula>
    </cfRule>
    <cfRule type="expression" dxfId="1175" priority="903">
      <formula>J16=$D$144</formula>
    </cfRule>
  </conditionalFormatting>
  <conditionalFormatting sqref="J24:AG24">
    <cfRule type="expression" dxfId="1174" priority="898">
      <formula>J24=$D$146</formula>
    </cfRule>
    <cfRule type="expression" dxfId="1173" priority="899">
      <formula>J24=$D$145</formula>
    </cfRule>
    <cfRule type="expression" dxfId="1172" priority="900">
      <formula>J24=$D$144</formula>
    </cfRule>
  </conditionalFormatting>
  <conditionalFormatting sqref="J50:AG50">
    <cfRule type="expression" dxfId="1171" priority="895">
      <formula>J50=$D$146</formula>
    </cfRule>
    <cfRule type="expression" dxfId="1170" priority="896">
      <formula>J50=$D$145</formula>
    </cfRule>
    <cfRule type="expression" dxfId="1169" priority="897">
      <formula>J50=$D$144</formula>
    </cfRule>
  </conditionalFormatting>
  <conditionalFormatting sqref="J56:AG56">
    <cfRule type="expression" dxfId="1168" priority="892">
      <formula>J56=$D$146</formula>
    </cfRule>
    <cfRule type="expression" dxfId="1167" priority="893">
      <formula>J56=$D$145</formula>
    </cfRule>
    <cfRule type="expression" dxfId="1166" priority="894">
      <formula>J56=$D$144</formula>
    </cfRule>
  </conditionalFormatting>
  <conditionalFormatting sqref="J56:K56">
    <cfRule type="expression" dxfId="1165" priority="888">
      <formula>J56=$D$146</formula>
    </cfRule>
    <cfRule type="expression" dxfId="1164" priority="889">
      <formula>J56=$D$145</formula>
    </cfRule>
    <cfRule type="expression" dxfId="1163" priority="890">
      <formula>J56=$D$144</formula>
    </cfRule>
  </conditionalFormatting>
  <conditionalFormatting sqref="N56:O56">
    <cfRule type="expression" dxfId="1162" priority="885">
      <formula>N56=$D$146</formula>
    </cfRule>
    <cfRule type="expression" dxfId="1161" priority="886">
      <formula>N56=$D$145</formula>
    </cfRule>
    <cfRule type="expression" dxfId="1160" priority="887">
      <formula>N56=$D$144</formula>
    </cfRule>
  </conditionalFormatting>
  <conditionalFormatting sqref="R56:S56">
    <cfRule type="expression" dxfId="1159" priority="882">
      <formula>R56=$D$146</formula>
    </cfRule>
    <cfRule type="expression" dxfId="1158" priority="883">
      <formula>R56=$D$145</formula>
    </cfRule>
    <cfRule type="expression" dxfId="1157" priority="884">
      <formula>R56=$D$144</formula>
    </cfRule>
  </conditionalFormatting>
  <conditionalFormatting sqref="V56:W56">
    <cfRule type="expression" dxfId="1156" priority="879">
      <formula>V56=$D$146</formula>
    </cfRule>
    <cfRule type="expression" dxfId="1155" priority="880">
      <formula>V56=$D$145</formula>
    </cfRule>
    <cfRule type="expression" dxfId="1154" priority="881">
      <formula>V56=$D$144</formula>
    </cfRule>
  </conditionalFormatting>
  <conditionalFormatting sqref="Z56:AA56">
    <cfRule type="expression" dxfId="1153" priority="876">
      <formula>Z56=$D$146</formula>
    </cfRule>
    <cfRule type="expression" dxfId="1152" priority="877">
      <formula>Z56=$D$145</formula>
    </cfRule>
    <cfRule type="expression" dxfId="1151" priority="878">
      <formula>Z56=$D$144</formula>
    </cfRule>
  </conditionalFormatting>
  <conditionalFormatting sqref="AD56:AE56">
    <cfRule type="expression" dxfId="1150" priority="873">
      <formula>AD56=$D$146</formula>
    </cfRule>
    <cfRule type="expression" dxfId="1149" priority="874">
      <formula>AD56=$D$145</formula>
    </cfRule>
    <cfRule type="expression" dxfId="1148" priority="875">
      <formula>AD56=$D$144</formula>
    </cfRule>
  </conditionalFormatting>
  <conditionalFormatting sqref="J29:Q29">
    <cfRule type="expression" dxfId="1147" priority="870">
      <formula>J29=$D$146</formula>
    </cfRule>
    <cfRule type="expression" dxfId="1146" priority="871">
      <formula>J29=$D$145</formula>
    </cfRule>
    <cfRule type="expression" dxfId="1145" priority="872">
      <formula>J29=$D$144</formula>
    </cfRule>
  </conditionalFormatting>
  <conditionalFormatting sqref="R29:U29">
    <cfRule type="expression" dxfId="1144" priority="867">
      <formula>R29=$D$146</formula>
    </cfRule>
    <cfRule type="expression" dxfId="1143" priority="868">
      <formula>R29=$D$145</formula>
    </cfRule>
    <cfRule type="expression" dxfId="1142" priority="869">
      <formula>R29=$D$144</formula>
    </cfRule>
  </conditionalFormatting>
  <conditionalFormatting sqref="V29:Y29">
    <cfRule type="expression" dxfId="1141" priority="864">
      <formula>V29=$D$146</formula>
    </cfRule>
    <cfRule type="expression" dxfId="1140" priority="865">
      <formula>V29=$D$145</formula>
    </cfRule>
    <cfRule type="expression" dxfId="1139" priority="866">
      <formula>V29=$D$144</formula>
    </cfRule>
  </conditionalFormatting>
  <conditionalFormatting sqref="J34:Q34">
    <cfRule type="expression" dxfId="1138" priority="861">
      <formula>J34=$D$146</formula>
    </cfRule>
    <cfRule type="expression" dxfId="1137" priority="862">
      <formula>J34=$D$145</formula>
    </cfRule>
    <cfRule type="expression" dxfId="1136" priority="863">
      <formula>J34=$D$144</formula>
    </cfRule>
  </conditionalFormatting>
  <conditionalFormatting sqref="R34:U34">
    <cfRule type="expression" dxfId="1135" priority="858">
      <formula>R34=$D$146</formula>
    </cfRule>
    <cfRule type="expression" dxfId="1134" priority="859">
      <formula>R34=$D$145</formula>
    </cfRule>
    <cfRule type="expression" dxfId="1133" priority="860">
      <formula>R34=$D$144</formula>
    </cfRule>
  </conditionalFormatting>
  <conditionalFormatting sqref="V34:Y34">
    <cfRule type="expression" dxfId="1132" priority="855">
      <formula>V34=$D$146</formula>
    </cfRule>
    <cfRule type="expression" dxfId="1131" priority="856">
      <formula>V34=$D$145</formula>
    </cfRule>
    <cfRule type="expression" dxfId="1130" priority="857">
      <formula>V34=$D$144</formula>
    </cfRule>
  </conditionalFormatting>
  <conditionalFormatting sqref="Z34:AC34">
    <cfRule type="expression" dxfId="1129" priority="852">
      <formula>Z34=$D$146</formula>
    </cfRule>
    <cfRule type="expression" dxfId="1128" priority="853">
      <formula>Z34=$D$145</formula>
    </cfRule>
    <cfRule type="expression" dxfId="1127" priority="854">
      <formula>Z34=$D$144</formula>
    </cfRule>
  </conditionalFormatting>
  <conditionalFormatting sqref="AD34:AG34">
    <cfRule type="expression" dxfId="1126" priority="849">
      <formula>AD34=$D$146</formula>
    </cfRule>
    <cfRule type="expression" dxfId="1125" priority="850">
      <formula>AD34=$D$145</formula>
    </cfRule>
    <cfRule type="expression" dxfId="1124" priority="851">
      <formula>AD34=$D$144</formula>
    </cfRule>
  </conditionalFormatting>
  <conditionalFormatting sqref="R45:U45">
    <cfRule type="expression" dxfId="1123" priority="837">
      <formula>R45=$D$146</formula>
    </cfRule>
    <cfRule type="expression" dxfId="1122" priority="838">
      <formula>R45=$D$145</formula>
    </cfRule>
    <cfRule type="expression" dxfId="1121" priority="839">
      <formula>R45=$D$144</formula>
    </cfRule>
  </conditionalFormatting>
  <conditionalFormatting sqref="V45:Y45">
    <cfRule type="expression" dxfId="1120" priority="834">
      <formula>V45=$D$146</formula>
    </cfRule>
    <cfRule type="expression" dxfId="1119" priority="835">
      <formula>V45=$D$145</formula>
    </cfRule>
    <cfRule type="expression" dxfId="1118" priority="836">
      <formula>V45=$D$144</formula>
    </cfRule>
  </conditionalFormatting>
  <conditionalFormatting sqref="Z45:AC45">
    <cfRule type="expression" dxfId="1117" priority="831">
      <formula>Z45=$D$146</formula>
    </cfRule>
    <cfRule type="expression" dxfId="1116" priority="832">
      <formula>Z45=$D$145</formula>
    </cfRule>
    <cfRule type="expression" dxfId="1115" priority="833">
      <formula>Z45=$D$144</formula>
    </cfRule>
  </conditionalFormatting>
  <conditionalFormatting sqref="AD45:AG45">
    <cfRule type="expression" dxfId="1114" priority="828">
      <formula>AD45=$D$146</formula>
    </cfRule>
    <cfRule type="expression" dxfId="1113" priority="829">
      <formula>AD45=$D$145</formula>
    </cfRule>
    <cfRule type="expression" dxfId="1112" priority="830">
      <formula>AD45=$D$144</formula>
    </cfRule>
  </conditionalFormatting>
  <conditionalFormatting sqref="J45">
    <cfRule type="expression" dxfId="1111" priority="840">
      <formula>J45=$D$146</formula>
    </cfRule>
    <cfRule type="expression" dxfId="1110" priority="841">
      <formula>J45=$D$145</formula>
    </cfRule>
    <cfRule type="expression" dxfId="1109" priority="842">
      <formula>J45=$D$144</formula>
    </cfRule>
  </conditionalFormatting>
  <conditionalFormatting sqref="J40:DA40">
    <cfRule type="expression" dxfId="1108" priority="846">
      <formula>J40=$D$146</formula>
    </cfRule>
    <cfRule type="expression" dxfId="1107" priority="847">
      <formula>J40=$D$145</formula>
    </cfRule>
    <cfRule type="expression" dxfId="1106" priority="848">
      <formula>J40=$D$144</formula>
    </cfRule>
  </conditionalFormatting>
  <conditionalFormatting sqref="R40:U40">
    <cfRule type="expression" dxfId="1105" priority="843">
      <formula>R40=$D$146</formula>
    </cfRule>
    <cfRule type="expression" dxfId="1104" priority="844">
      <formula>R40=$D$145</formula>
    </cfRule>
    <cfRule type="expression" dxfId="1103" priority="845">
      <formula>R40=$D$144</formula>
    </cfRule>
  </conditionalFormatting>
  <conditionalFormatting sqref="R61:U61">
    <cfRule type="expression" dxfId="1102" priority="822">
      <formula>R61=$D$146</formula>
    </cfRule>
    <cfRule type="expression" dxfId="1101" priority="823">
      <formula>R61=$D$145</formula>
    </cfRule>
    <cfRule type="expression" dxfId="1100" priority="824">
      <formula>R61=$D$144</formula>
    </cfRule>
  </conditionalFormatting>
  <conditionalFormatting sqref="J61:Q61">
    <cfRule type="expression" dxfId="1099" priority="825">
      <formula>J61=$D$146</formula>
    </cfRule>
    <cfRule type="expression" dxfId="1098" priority="826">
      <formula>J61=$D$145</formula>
    </cfRule>
    <cfRule type="expression" dxfId="1097" priority="827">
      <formula>J61=$D$144</formula>
    </cfRule>
  </conditionalFormatting>
  <conditionalFormatting sqref="R66:U66">
    <cfRule type="expression" dxfId="1096" priority="816">
      <formula>R66=$D$146</formula>
    </cfRule>
    <cfRule type="expression" dxfId="1095" priority="817">
      <formula>R66=$D$145</formula>
    </cfRule>
    <cfRule type="expression" dxfId="1094" priority="818">
      <formula>R66=$D$144</formula>
    </cfRule>
  </conditionalFormatting>
  <conditionalFormatting sqref="V66:Y66">
    <cfRule type="expression" dxfId="1093" priority="813">
      <formula>V66=$D$146</formula>
    </cfRule>
    <cfRule type="expression" dxfId="1092" priority="814">
      <formula>V66=$D$145</formula>
    </cfRule>
    <cfRule type="expression" dxfId="1091" priority="815">
      <formula>V66=$D$144</formula>
    </cfRule>
  </conditionalFormatting>
  <conditionalFormatting sqref="Z66:AC66">
    <cfRule type="expression" dxfId="1090" priority="810">
      <formula>Z66=$D$146</formula>
    </cfRule>
    <cfRule type="expression" dxfId="1089" priority="811">
      <formula>Z66=$D$145</formula>
    </cfRule>
    <cfRule type="expression" dxfId="1088" priority="812">
      <formula>Z66=$D$144</formula>
    </cfRule>
  </conditionalFormatting>
  <conditionalFormatting sqref="AD66:AG66">
    <cfRule type="expression" dxfId="1087" priority="807">
      <formula>AD66=$D$146</formula>
    </cfRule>
    <cfRule type="expression" dxfId="1086" priority="808">
      <formula>AD66=$D$145</formula>
    </cfRule>
    <cfRule type="expression" dxfId="1085" priority="809">
      <formula>AD66=$D$144</formula>
    </cfRule>
  </conditionalFormatting>
  <conditionalFormatting sqref="J66">
    <cfRule type="expression" dxfId="1084" priority="819">
      <formula>J66=$D$146</formula>
    </cfRule>
    <cfRule type="expression" dxfId="1083" priority="820">
      <formula>J66=$D$145</formula>
    </cfRule>
    <cfRule type="expression" dxfId="1082" priority="821">
      <formula>J66=$D$144</formula>
    </cfRule>
  </conditionalFormatting>
  <conditionalFormatting sqref="BV16:CO19">
    <cfRule type="expression" dxfId="1081" priority="804">
      <formula>BV16=$D$146</formula>
    </cfRule>
    <cfRule type="expression" dxfId="1080" priority="805">
      <formula>BV16=$D$145</formula>
    </cfRule>
    <cfRule type="expression" dxfId="1079" priority="806">
      <formula>BV16=$D$144</formula>
    </cfRule>
  </conditionalFormatting>
  <conditionalFormatting sqref="CP16:DI19">
    <cfRule type="expression" dxfId="1078" priority="801">
      <formula>CP16=$D$146</formula>
    </cfRule>
    <cfRule type="expression" dxfId="1077" priority="802">
      <formula>CP16=$D$145</formula>
    </cfRule>
    <cfRule type="expression" dxfId="1076" priority="803">
      <formula>CP16=$D$144</formula>
    </cfRule>
  </conditionalFormatting>
  <conditionalFormatting sqref="DJ16:EC19">
    <cfRule type="expression" dxfId="1075" priority="798">
      <formula>DJ16=$D$146</formula>
    </cfRule>
    <cfRule type="expression" dxfId="1074" priority="799">
      <formula>DJ16=$D$145</formula>
    </cfRule>
    <cfRule type="expression" dxfId="1073" priority="800">
      <formula>DJ16=$D$144</formula>
    </cfRule>
  </conditionalFormatting>
  <conditionalFormatting sqref="ED16:EG19">
    <cfRule type="expression" dxfId="1072" priority="795">
      <formula>ED16=$D$146</formula>
    </cfRule>
    <cfRule type="expression" dxfId="1071" priority="796">
      <formula>ED16=$D$145</formula>
    </cfRule>
    <cfRule type="expression" dxfId="1070" priority="797">
      <formula>ED16=$D$144</formula>
    </cfRule>
  </conditionalFormatting>
  <conditionalFormatting sqref="EX16:FQ19">
    <cfRule type="expression" dxfId="1069" priority="792">
      <formula>EX16=$D$146</formula>
    </cfRule>
    <cfRule type="expression" dxfId="1068" priority="793">
      <formula>EX16=$D$145</formula>
    </cfRule>
    <cfRule type="expression" dxfId="1067" priority="794">
      <formula>EX16=$D$144</formula>
    </cfRule>
  </conditionalFormatting>
  <conditionalFormatting sqref="FR16:GK19">
    <cfRule type="expression" dxfId="1066" priority="789">
      <formula>FR16=$D$146</formula>
    </cfRule>
    <cfRule type="expression" dxfId="1065" priority="790">
      <formula>FR16=$D$145</formula>
    </cfRule>
    <cfRule type="expression" dxfId="1064" priority="791">
      <formula>FR16=$D$144</formula>
    </cfRule>
  </conditionalFormatting>
  <conditionalFormatting sqref="GL16:HE19">
    <cfRule type="expression" dxfId="1063" priority="786">
      <formula>GL16=$D$146</formula>
    </cfRule>
    <cfRule type="expression" dxfId="1062" priority="787">
      <formula>GL16=$D$145</formula>
    </cfRule>
    <cfRule type="expression" dxfId="1061" priority="788">
      <formula>GL16=$D$144</formula>
    </cfRule>
  </conditionalFormatting>
  <conditionalFormatting sqref="HF16:HY19">
    <cfRule type="expression" dxfId="1060" priority="783">
      <formula>HF16=$D$146</formula>
    </cfRule>
    <cfRule type="expression" dxfId="1059" priority="784">
      <formula>HF16=$D$145</formula>
    </cfRule>
    <cfRule type="expression" dxfId="1058" priority="785">
      <formula>HF16=$D$144</formula>
    </cfRule>
  </conditionalFormatting>
  <conditionalFormatting sqref="HZ16:IS19">
    <cfRule type="expression" dxfId="1057" priority="780">
      <formula>HZ16=$D$146</formula>
    </cfRule>
    <cfRule type="expression" dxfId="1056" priority="781">
      <formula>HZ16=$D$145</formula>
    </cfRule>
    <cfRule type="expression" dxfId="1055" priority="782">
      <formula>HZ16=$D$144</formula>
    </cfRule>
  </conditionalFormatting>
  <conditionalFormatting sqref="IT16:JM19">
    <cfRule type="expression" dxfId="1054" priority="777">
      <formula>IT16=$D$146</formula>
    </cfRule>
    <cfRule type="expression" dxfId="1053" priority="778">
      <formula>IT16=$D$145</formula>
    </cfRule>
    <cfRule type="expression" dxfId="1052" priority="779">
      <formula>IT16=$D$144</formula>
    </cfRule>
  </conditionalFormatting>
  <conditionalFormatting sqref="JN16:KG19">
    <cfRule type="expression" dxfId="1051" priority="774">
      <formula>JN16=$D$146</formula>
    </cfRule>
    <cfRule type="expression" dxfId="1050" priority="775">
      <formula>JN16=$D$145</formula>
    </cfRule>
    <cfRule type="expression" dxfId="1049" priority="776">
      <formula>JN16=$D$144</formula>
    </cfRule>
  </conditionalFormatting>
  <conditionalFormatting sqref="KH16:KS19">
    <cfRule type="expression" dxfId="1048" priority="771">
      <formula>KH16=$D$146</formula>
    </cfRule>
    <cfRule type="expression" dxfId="1047" priority="772">
      <formula>KH16=$D$145</formula>
    </cfRule>
    <cfRule type="expression" dxfId="1046" priority="773">
      <formula>KH16=$D$144</formula>
    </cfRule>
  </conditionalFormatting>
  <conditionalFormatting sqref="EH16:EK19">
    <cfRule type="expression" dxfId="1045" priority="768">
      <formula>EH16=$D$146</formula>
    </cfRule>
    <cfRule type="expression" dxfId="1044" priority="769">
      <formula>EH16=$D$145</formula>
    </cfRule>
    <cfRule type="expression" dxfId="1043" priority="770">
      <formula>EH16=$D$144</formula>
    </cfRule>
  </conditionalFormatting>
  <conditionalFormatting sqref="KT16:KW19">
    <cfRule type="expression" dxfId="1042" priority="765">
      <formula>KT16=$D$146</formula>
    </cfRule>
    <cfRule type="expression" dxfId="1041" priority="766">
      <formula>KT16=$D$145</formula>
    </cfRule>
    <cfRule type="expression" dxfId="1040" priority="767">
      <formula>KT16=$D$144</formula>
    </cfRule>
  </conditionalFormatting>
  <conditionalFormatting sqref="AX24:BE24">
    <cfRule type="expression" dxfId="1039" priority="762">
      <formula>AX24=$D$146</formula>
    </cfRule>
    <cfRule type="expression" dxfId="1038" priority="763">
      <formula>AX24=$D$145</formula>
    </cfRule>
    <cfRule type="expression" dxfId="1037" priority="764">
      <formula>AX24=$D$144</formula>
    </cfRule>
  </conditionalFormatting>
  <conditionalFormatting sqref="BF24:BI24">
    <cfRule type="expression" dxfId="1036" priority="759">
      <formula>BF24=$D$146</formula>
    </cfRule>
    <cfRule type="expression" dxfId="1035" priority="760">
      <formula>BF24=$D$145</formula>
    </cfRule>
    <cfRule type="expression" dxfId="1034" priority="761">
      <formula>BF24=$D$144</formula>
    </cfRule>
  </conditionalFormatting>
  <conditionalFormatting sqref="AT24:AW24">
    <cfRule type="expression" dxfId="1033" priority="756">
      <formula>AT24=$D$146</formula>
    </cfRule>
    <cfRule type="expression" dxfId="1032" priority="757">
      <formula>AT24=$D$145</formula>
    </cfRule>
    <cfRule type="expression" dxfId="1031" priority="758">
      <formula>AT24=$D$144</formula>
    </cfRule>
  </conditionalFormatting>
  <conditionalFormatting sqref="AH24:AK24">
    <cfRule type="expression" dxfId="1030" priority="753">
      <formula>AH24=$D$146</formula>
    </cfRule>
    <cfRule type="expression" dxfId="1029" priority="754">
      <formula>AH24=$D$145</formula>
    </cfRule>
    <cfRule type="expression" dxfId="1028" priority="755">
      <formula>AH24=$D$144</formula>
    </cfRule>
  </conditionalFormatting>
  <conditionalFormatting sqref="AL34:AS34">
    <cfRule type="expression" dxfId="1027" priority="750">
      <formula>AL34=$D$146</formula>
    </cfRule>
    <cfRule type="expression" dxfId="1026" priority="751">
      <formula>AL34=$D$145</formula>
    </cfRule>
    <cfRule type="expression" dxfId="1025" priority="752">
      <formula>AL34=$D$144</formula>
    </cfRule>
  </conditionalFormatting>
  <conditionalFormatting sqref="AX34:BE34">
    <cfRule type="expression" dxfId="1024" priority="747">
      <formula>AX34=$D$146</formula>
    </cfRule>
    <cfRule type="expression" dxfId="1023" priority="748">
      <formula>AX34=$D$145</formula>
    </cfRule>
    <cfRule type="expression" dxfId="1022" priority="749">
      <formula>AX34=$D$144</formula>
    </cfRule>
  </conditionalFormatting>
  <conditionalFormatting sqref="AT34:AW34">
    <cfRule type="expression" dxfId="1021" priority="744">
      <formula>AT34=$D$146</formula>
    </cfRule>
    <cfRule type="expression" dxfId="1020" priority="745">
      <formula>AT34=$D$145</formula>
    </cfRule>
    <cfRule type="expression" dxfId="1019" priority="746">
      <formula>AT34=$D$144</formula>
    </cfRule>
  </conditionalFormatting>
  <conditionalFormatting sqref="AH34:AK34">
    <cfRule type="expression" dxfId="1018" priority="741">
      <formula>AH34=$D$146</formula>
    </cfRule>
    <cfRule type="expression" dxfId="1017" priority="742">
      <formula>AH34=$D$145</formula>
    </cfRule>
    <cfRule type="expression" dxfId="1016" priority="743">
      <formula>AH34=$D$144</formula>
    </cfRule>
  </conditionalFormatting>
  <conditionalFormatting sqref="AH50:AO50">
    <cfRule type="expression" dxfId="1015" priority="738">
      <formula>AH50=$D$146</formula>
    </cfRule>
    <cfRule type="expression" dxfId="1014" priority="739">
      <formula>AH50=$D$145</formula>
    </cfRule>
    <cfRule type="expression" dxfId="1013" priority="740">
      <formula>AH50=$D$144</formula>
    </cfRule>
  </conditionalFormatting>
  <conditionalFormatting sqref="AP50:AW50">
    <cfRule type="expression" dxfId="1012" priority="735">
      <formula>AP50=$D$146</formula>
    </cfRule>
    <cfRule type="expression" dxfId="1011" priority="736">
      <formula>AP50=$D$145</formula>
    </cfRule>
    <cfRule type="expression" dxfId="1010" priority="737">
      <formula>AP50=$D$144</formula>
    </cfRule>
  </conditionalFormatting>
  <conditionalFormatting sqref="AX50:BA50">
    <cfRule type="expression" dxfId="1009" priority="732">
      <formula>AX50=$D$146</formula>
    </cfRule>
    <cfRule type="expression" dxfId="1008" priority="733">
      <formula>AX50=$D$145</formula>
    </cfRule>
    <cfRule type="expression" dxfId="1007" priority="734">
      <formula>AX50=$D$144</formula>
    </cfRule>
  </conditionalFormatting>
  <conditionalFormatting sqref="AH56:AO56">
    <cfRule type="expression" dxfId="1006" priority="729">
      <formula>AH56=$D$146</formula>
    </cfRule>
    <cfRule type="expression" dxfId="1005" priority="730">
      <formula>AH56=$D$145</formula>
    </cfRule>
    <cfRule type="expression" dxfId="1004" priority="731">
      <formula>AH56=$D$144</formula>
    </cfRule>
  </conditionalFormatting>
  <conditionalFormatting sqref="AP56:AW56">
    <cfRule type="expression" dxfId="1003" priority="726">
      <formula>AP56=$D$146</formula>
    </cfRule>
    <cfRule type="expression" dxfId="1002" priority="727">
      <formula>AP56=$D$145</formula>
    </cfRule>
    <cfRule type="expression" dxfId="1001" priority="728">
      <formula>AP56=$D$144</formula>
    </cfRule>
  </conditionalFormatting>
  <conditionalFormatting sqref="AX56:BA56">
    <cfRule type="expression" dxfId="1000" priority="723">
      <formula>AX56=$D$146</formula>
    </cfRule>
    <cfRule type="expression" dxfId="999" priority="724">
      <formula>AX56=$D$145</formula>
    </cfRule>
    <cfRule type="expression" dxfId="998" priority="725">
      <formula>AX56=$D$144</formula>
    </cfRule>
  </conditionalFormatting>
  <conditionalFormatting sqref="A1:LD1 A3:LD6 LD2 A8:LD8 A7:LB7 LD7 A9:LB9 LD9 NW9:OA9 LG16:LG19 LG1:XB1 LG4:XB6 LH2:XB3 LH7:XB8 NW10:XB10 LG12:XB15 XD1:XFD68 A20:LD23 LD16:LD19 A25:LD28 LD24 A30:LD33 LD29 LD34 A41:LD42 LD40 LG30:XB33 LG29 LG34 A35:LD39 MA29:XB29 NG34:XB34 LG45 A46:LD49 LD45 LG46:XB49 A51:LD55 LD50 LG50 NC50:XB50 LG51:XB55 A57:LD60 LD56 LG56 NC56:XB56 LD61 A67:LD68 LD66 LG67:XB68 LG66 A24:LB24 A29:LB29 A34:LB34 A50:LB50 A56:LB56 A61:LB61 A62:LD63 LF13:LF14 LF6:LF11 A77 G77:LD77 A78:LD115 A72:LD76 LF72:XB115 XD72:XFD115 N45:LB45 A44:J45 A65:J66 N66:LB66 A64:K64 N64:LD65 A43:K43 N43:LD44 LG43:LL44 LO43:XB45 LG64:LL65 LO64:XB66 XD119:XFD1048576 A119:LD1048576 LF119:XB1048576 A2:LB2 LI16:XB19 LG20:XB28 LG35:XB42 LI45:LL45 LG57:XB63 LI66:LL66 A10:LD15 A16:LB19 A40:LB40">
    <cfRule type="expression" priority="722">
      <formula>CELL("protect", INDIRECT(ADDRESS(ROW(),COLUMN())))=1</formula>
    </cfRule>
  </conditionalFormatting>
  <conditionalFormatting sqref="KX16:LA19">
    <cfRule type="expression" dxfId="997" priority="719">
      <formula>KX16=$D$146</formula>
    </cfRule>
    <cfRule type="expression" dxfId="996" priority="720">
      <formula>KX16=$D$145</formula>
    </cfRule>
    <cfRule type="expression" dxfId="995" priority="721">
      <formula>KX16=$D$144</formula>
    </cfRule>
  </conditionalFormatting>
  <conditionalFormatting sqref="J40:DA40">
    <cfRule type="expression" dxfId="994" priority="716">
      <formula>J40=$D$146</formula>
    </cfRule>
    <cfRule type="expression" dxfId="993" priority="717">
      <formula>J40=$D$145</formula>
    </cfRule>
    <cfRule type="expression" dxfId="992" priority="718">
      <formula>J40=$D$144</formula>
    </cfRule>
  </conditionalFormatting>
  <conditionalFormatting sqref="BV40:CO40">
    <cfRule type="expression" dxfId="991" priority="713">
      <formula>BV40=$D$146</formula>
    </cfRule>
    <cfRule type="expression" dxfId="990" priority="714">
      <formula>BV40=$D$145</formula>
    </cfRule>
    <cfRule type="expression" dxfId="989" priority="715">
      <formula>BV40=$D$144</formula>
    </cfRule>
  </conditionalFormatting>
  <conditionalFormatting sqref="CP40:DA40">
    <cfRule type="expression" dxfId="988" priority="710">
      <formula>CP40=$D$146</formula>
    </cfRule>
    <cfRule type="expression" dxfId="987" priority="711">
      <formula>CP40=$D$145</formula>
    </cfRule>
    <cfRule type="expression" dxfId="986" priority="712">
      <formula>CP40=$D$144</formula>
    </cfRule>
  </conditionalFormatting>
  <conditionalFormatting sqref="KX16:LA19">
    <cfRule type="expression" dxfId="985" priority="707">
      <formula>KX16=$D$146</formula>
    </cfRule>
    <cfRule type="expression" dxfId="984" priority="708">
      <formula>KX16=$D$145</formula>
    </cfRule>
    <cfRule type="expression" dxfId="983" priority="709">
      <formula>KX16=$D$144</formula>
    </cfRule>
  </conditionalFormatting>
  <conditionalFormatting sqref="V40:Y40">
    <cfRule type="expression" dxfId="982" priority="704">
      <formula>V40=$D$146</formula>
    </cfRule>
    <cfRule type="expression" dxfId="981" priority="705">
      <formula>V40=$D$145</formula>
    </cfRule>
    <cfRule type="expression" dxfId="980" priority="706">
      <formula>V40=$D$144</formula>
    </cfRule>
  </conditionalFormatting>
  <conditionalFormatting sqref="Z40:AC40">
    <cfRule type="expression" dxfId="979" priority="701">
      <formula>Z40=$D$146</formula>
    </cfRule>
    <cfRule type="expression" dxfId="978" priority="702">
      <formula>Z40=$D$145</formula>
    </cfRule>
    <cfRule type="expression" dxfId="977" priority="703">
      <formula>Z40=$D$144</formula>
    </cfRule>
  </conditionalFormatting>
  <conditionalFormatting sqref="AD40:AG40">
    <cfRule type="expression" dxfId="976" priority="698">
      <formula>AD40=$D$146</formula>
    </cfRule>
    <cfRule type="expression" dxfId="975" priority="699">
      <formula>AD40=$D$145</formula>
    </cfRule>
    <cfRule type="expression" dxfId="974" priority="700">
      <formula>AD40=$D$144</formula>
    </cfRule>
  </conditionalFormatting>
  <conditionalFormatting sqref="AH40:AK40">
    <cfRule type="expression" dxfId="973" priority="695">
      <formula>AH40=$D$146</formula>
    </cfRule>
    <cfRule type="expression" dxfId="972" priority="696">
      <formula>AH40=$D$145</formula>
    </cfRule>
    <cfRule type="expression" dxfId="971" priority="697">
      <formula>AH40=$D$144</formula>
    </cfRule>
  </conditionalFormatting>
  <conditionalFormatting sqref="AL40:AO40">
    <cfRule type="expression" dxfId="970" priority="692">
      <formula>AL40=$D$146</formula>
    </cfRule>
    <cfRule type="expression" dxfId="969" priority="693">
      <formula>AL40=$D$145</formula>
    </cfRule>
    <cfRule type="expression" dxfId="968" priority="694">
      <formula>AL40=$D$144</formula>
    </cfRule>
  </conditionalFormatting>
  <conditionalFormatting sqref="AP40:AS40">
    <cfRule type="expression" dxfId="967" priority="689">
      <formula>AP40=$D$146</formula>
    </cfRule>
    <cfRule type="expression" dxfId="966" priority="690">
      <formula>AP40=$D$145</formula>
    </cfRule>
    <cfRule type="expression" dxfId="965" priority="691">
      <formula>AP40=$D$144</formula>
    </cfRule>
  </conditionalFormatting>
  <conditionalFormatting sqref="AT40:AW40">
    <cfRule type="expression" dxfId="964" priority="686">
      <formula>AT40=$D$146</formula>
    </cfRule>
    <cfRule type="expression" dxfId="963" priority="687">
      <formula>AT40=$D$145</formula>
    </cfRule>
    <cfRule type="expression" dxfId="962" priority="688">
      <formula>AT40=$D$144</formula>
    </cfRule>
  </conditionalFormatting>
  <conditionalFormatting sqref="AX40:BA40">
    <cfRule type="expression" dxfId="961" priority="683">
      <formula>AX40=$D$146</formula>
    </cfRule>
    <cfRule type="expression" dxfId="960" priority="684">
      <formula>AX40=$D$145</formula>
    </cfRule>
    <cfRule type="expression" dxfId="959" priority="685">
      <formula>AX40=$D$144</formula>
    </cfRule>
  </conditionalFormatting>
  <conditionalFormatting sqref="BB40:BE40">
    <cfRule type="expression" dxfId="958" priority="680">
      <formula>BB40=$D$146</formula>
    </cfRule>
    <cfRule type="expression" dxfId="957" priority="681">
      <formula>BB40=$D$145</formula>
    </cfRule>
    <cfRule type="expression" dxfId="956" priority="682">
      <formula>BB40=$D$144</formula>
    </cfRule>
  </conditionalFormatting>
  <conditionalFormatting sqref="BF40:BI40">
    <cfRule type="expression" dxfId="955" priority="677">
      <formula>BF40=$D$146</formula>
    </cfRule>
    <cfRule type="expression" dxfId="954" priority="678">
      <formula>BF40=$D$145</formula>
    </cfRule>
    <cfRule type="expression" dxfId="953" priority="679">
      <formula>BF40=$D$144</formula>
    </cfRule>
  </conditionalFormatting>
  <conditionalFormatting sqref="BJ40:BM40">
    <cfRule type="expression" dxfId="952" priority="674">
      <formula>BJ40=$D$146</formula>
    </cfRule>
    <cfRule type="expression" dxfId="951" priority="675">
      <formula>BJ40=$D$145</formula>
    </cfRule>
    <cfRule type="expression" dxfId="950" priority="676">
      <formula>BJ40=$D$144</formula>
    </cfRule>
  </conditionalFormatting>
  <conditionalFormatting sqref="BN40:BQ40">
    <cfRule type="expression" dxfId="949" priority="671">
      <formula>BN40=$D$146</formula>
    </cfRule>
    <cfRule type="expression" dxfId="948" priority="672">
      <formula>BN40=$D$145</formula>
    </cfRule>
    <cfRule type="expression" dxfId="947" priority="673">
      <formula>BN40=$D$144</formula>
    </cfRule>
  </conditionalFormatting>
  <conditionalFormatting sqref="BR40:BU40">
    <cfRule type="expression" dxfId="946" priority="668">
      <formula>BR40=$D$146</formula>
    </cfRule>
    <cfRule type="expression" dxfId="945" priority="669">
      <formula>BR40=$D$145</formula>
    </cfRule>
    <cfRule type="expression" dxfId="944" priority="670">
      <formula>BR40=$D$144</formula>
    </cfRule>
  </conditionalFormatting>
  <conditionalFormatting sqref="BV40:BY40">
    <cfRule type="expression" dxfId="943" priority="665">
      <formula>BV40=$D$146</formula>
    </cfRule>
    <cfRule type="expression" dxfId="942" priority="666">
      <formula>BV40=$D$145</formula>
    </cfRule>
    <cfRule type="expression" dxfId="941" priority="667">
      <formula>BV40=$D$144</formula>
    </cfRule>
  </conditionalFormatting>
  <conditionalFormatting sqref="BV40:BY40">
    <cfRule type="expression" dxfId="940" priority="662">
      <formula>BV40=$D$146</formula>
    </cfRule>
    <cfRule type="expression" dxfId="939" priority="663">
      <formula>BV40=$D$145</formula>
    </cfRule>
    <cfRule type="expression" dxfId="938" priority="664">
      <formula>BV40=$D$144</formula>
    </cfRule>
  </conditionalFormatting>
  <conditionalFormatting sqref="BZ40:CC40">
    <cfRule type="expression" dxfId="937" priority="659">
      <formula>BZ40=$D$146</formula>
    </cfRule>
    <cfRule type="expression" dxfId="936" priority="660">
      <formula>BZ40=$D$145</formula>
    </cfRule>
    <cfRule type="expression" dxfId="935" priority="661">
      <formula>BZ40=$D$144</formula>
    </cfRule>
  </conditionalFormatting>
  <conditionalFormatting sqref="BZ40:CC40">
    <cfRule type="expression" dxfId="934" priority="656">
      <formula>BZ40=$D$146</formula>
    </cfRule>
    <cfRule type="expression" dxfId="933" priority="657">
      <formula>BZ40=$D$145</formula>
    </cfRule>
    <cfRule type="expression" dxfId="932" priority="658">
      <formula>BZ40=$D$144</formula>
    </cfRule>
  </conditionalFormatting>
  <conditionalFormatting sqref="CD40:CG40">
    <cfRule type="expression" dxfId="931" priority="653">
      <formula>CD40=$D$146</formula>
    </cfRule>
    <cfRule type="expression" dxfId="930" priority="654">
      <formula>CD40=$D$145</formula>
    </cfRule>
    <cfRule type="expression" dxfId="929" priority="655">
      <formula>CD40=$D$144</formula>
    </cfRule>
  </conditionalFormatting>
  <conditionalFormatting sqref="CD40:CG40">
    <cfRule type="expression" dxfId="928" priority="650">
      <formula>CD40=$D$146</formula>
    </cfRule>
    <cfRule type="expression" dxfId="927" priority="651">
      <formula>CD40=$D$145</formula>
    </cfRule>
    <cfRule type="expression" dxfId="926" priority="652">
      <formula>CD40=$D$144</formula>
    </cfRule>
  </conditionalFormatting>
  <conditionalFormatting sqref="CH40:CK40">
    <cfRule type="expression" dxfId="925" priority="647">
      <formula>CH40=$D$146</formula>
    </cfRule>
    <cfRule type="expression" dxfId="924" priority="648">
      <formula>CH40=$D$145</formula>
    </cfRule>
    <cfRule type="expression" dxfId="923" priority="649">
      <formula>CH40=$D$144</formula>
    </cfRule>
  </conditionalFormatting>
  <conditionalFormatting sqref="CH40:CK40">
    <cfRule type="expression" dxfId="922" priority="644">
      <formula>CH40=$D$146</formula>
    </cfRule>
    <cfRule type="expression" dxfId="921" priority="645">
      <formula>CH40=$D$145</formula>
    </cfRule>
    <cfRule type="expression" dxfId="920" priority="646">
      <formula>CH40=$D$144</formula>
    </cfRule>
  </conditionalFormatting>
  <conditionalFormatting sqref="CL40:CO40">
    <cfRule type="expression" dxfId="919" priority="641">
      <formula>CL40=$D$146</formula>
    </cfRule>
    <cfRule type="expression" dxfId="918" priority="642">
      <formula>CL40=$D$145</formula>
    </cfRule>
    <cfRule type="expression" dxfId="917" priority="643">
      <formula>CL40=$D$144</formula>
    </cfRule>
  </conditionalFormatting>
  <conditionalFormatting sqref="CL40:CO40">
    <cfRule type="expression" dxfId="916" priority="638">
      <formula>CL40=$D$146</formula>
    </cfRule>
    <cfRule type="expression" dxfId="915" priority="639">
      <formula>CL40=$D$145</formula>
    </cfRule>
    <cfRule type="expression" dxfId="914" priority="640">
      <formula>CL40=$D$144</formula>
    </cfRule>
  </conditionalFormatting>
  <conditionalFormatting sqref="CP40:CS40">
    <cfRule type="expression" dxfId="913" priority="635">
      <formula>CP40=$D$146</formula>
    </cfRule>
    <cfRule type="expression" dxfId="912" priority="636">
      <formula>CP40=$D$145</formula>
    </cfRule>
    <cfRule type="expression" dxfId="911" priority="637">
      <formula>CP40=$D$144</formula>
    </cfRule>
  </conditionalFormatting>
  <conditionalFormatting sqref="CP40:CS40">
    <cfRule type="expression" dxfId="910" priority="632">
      <formula>CP40=$D$146</formula>
    </cfRule>
    <cfRule type="expression" dxfId="909" priority="633">
      <formula>CP40=$D$145</formula>
    </cfRule>
    <cfRule type="expression" dxfId="908" priority="634">
      <formula>CP40=$D$144</formula>
    </cfRule>
  </conditionalFormatting>
  <conditionalFormatting sqref="CT40:CW40">
    <cfRule type="expression" dxfId="907" priority="629">
      <formula>CT40=$D$146</formula>
    </cfRule>
    <cfRule type="expression" dxfId="906" priority="630">
      <formula>CT40=$D$145</formula>
    </cfRule>
    <cfRule type="expression" dxfId="905" priority="631">
      <formula>CT40=$D$144</formula>
    </cfRule>
  </conditionalFormatting>
  <conditionalFormatting sqref="CT40:CW40">
    <cfRule type="expression" dxfId="904" priority="626">
      <formula>CT40=$D$146</formula>
    </cfRule>
    <cfRule type="expression" dxfId="903" priority="627">
      <formula>CT40=$D$145</formula>
    </cfRule>
    <cfRule type="expression" dxfId="902" priority="628">
      <formula>CT40=$D$144</formula>
    </cfRule>
  </conditionalFormatting>
  <conditionalFormatting sqref="CX40:DA40">
    <cfRule type="expression" dxfId="901" priority="623">
      <formula>CX40=$D$146</formula>
    </cfRule>
    <cfRule type="expression" dxfId="900" priority="624">
      <formula>CX40=$D$145</formula>
    </cfRule>
    <cfRule type="expression" dxfId="899" priority="625">
      <formula>CX40=$D$144</formula>
    </cfRule>
  </conditionalFormatting>
  <conditionalFormatting sqref="CX40:DA40">
    <cfRule type="expression" dxfId="898" priority="620">
      <formula>CX40=$D$146</formula>
    </cfRule>
    <cfRule type="expression" dxfId="897" priority="621">
      <formula>CX40=$D$145</formula>
    </cfRule>
    <cfRule type="expression" dxfId="896" priority="622">
      <formula>CX40=$D$144</formula>
    </cfRule>
  </conditionalFormatting>
  <conditionalFormatting sqref="LC7">
    <cfRule type="cellIs" dxfId="895" priority="619" operator="equal">
      <formula>0</formula>
    </cfRule>
  </conditionalFormatting>
  <conditionalFormatting sqref="LC66">
    <cfRule type="cellIs" dxfId="894" priority="606" operator="equal">
      <formula>0</formula>
    </cfRule>
  </conditionalFormatting>
  <conditionalFormatting sqref="LC16">
    <cfRule type="cellIs" dxfId="893" priority="618" operator="equal">
      <formula>0</formula>
    </cfRule>
  </conditionalFormatting>
  <conditionalFormatting sqref="LC17">
    <cfRule type="cellIs" dxfId="892" priority="617" operator="equal">
      <formula>0</formula>
    </cfRule>
  </conditionalFormatting>
  <conditionalFormatting sqref="LC18">
    <cfRule type="cellIs" dxfId="891" priority="616" operator="equal">
      <formula>0</formula>
    </cfRule>
  </conditionalFormatting>
  <conditionalFormatting sqref="LC19">
    <cfRule type="cellIs" dxfId="890" priority="615" operator="equal">
      <formula>0</formula>
    </cfRule>
  </conditionalFormatting>
  <conditionalFormatting sqref="LC24">
    <cfRule type="cellIs" dxfId="889" priority="614" operator="equal">
      <formula>0</formula>
    </cfRule>
  </conditionalFormatting>
  <conditionalFormatting sqref="LC29">
    <cfRule type="cellIs" dxfId="888" priority="613" operator="equal">
      <formula>0</formula>
    </cfRule>
  </conditionalFormatting>
  <conditionalFormatting sqref="LC34">
    <cfRule type="cellIs" dxfId="887" priority="612" operator="equal">
      <formula>0</formula>
    </cfRule>
  </conditionalFormatting>
  <conditionalFormatting sqref="LC40">
    <cfRule type="cellIs" dxfId="886" priority="611" operator="equal">
      <formula>0</formula>
    </cfRule>
  </conditionalFormatting>
  <conditionalFormatting sqref="LC45">
    <cfRule type="cellIs" dxfId="885" priority="610" operator="equal">
      <formula>0</formula>
    </cfRule>
  </conditionalFormatting>
  <conditionalFormatting sqref="LC50">
    <cfRule type="cellIs" dxfId="884" priority="609" operator="equal">
      <formula>0</formula>
    </cfRule>
  </conditionalFormatting>
  <conditionalFormatting sqref="LC56">
    <cfRule type="cellIs" dxfId="883" priority="608" operator="equal">
      <formula>0</formula>
    </cfRule>
  </conditionalFormatting>
  <conditionalFormatting sqref="LC61">
    <cfRule type="cellIs" dxfId="882" priority="607" operator="equal">
      <formula>0</formula>
    </cfRule>
  </conditionalFormatting>
  <conditionalFormatting sqref="LF1:LF5 LF16:LF22 LF24:LF27 LF29:LF32 LF34:LF38 LF40:LF43 LF45:LF48 LF50:LF54 LF56:LF59 LF61:LF64 LF66:LF68">
    <cfRule type="expression" priority="605">
      <formula>CELL("protect", INDIRECT(ADDRESS(ROW(),COLUMN())))=1</formula>
    </cfRule>
  </conditionalFormatting>
  <conditionalFormatting sqref="LF15">
    <cfRule type="expression" priority="604">
      <formula>CELL("protect", INDIRECT(ADDRESS(ROW(),COLUMN())))=1</formula>
    </cfRule>
  </conditionalFormatting>
  <conditionalFormatting sqref="LF23">
    <cfRule type="expression" priority="603">
      <formula>CELL("protect", INDIRECT(ADDRESS(ROW(),COLUMN())))=1</formula>
    </cfRule>
  </conditionalFormatting>
  <conditionalFormatting sqref="LF28">
    <cfRule type="expression" priority="602">
      <formula>CELL("protect", INDIRECT(ADDRESS(ROW(),COLUMN())))=1</formula>
    </cfRule>
  </conditionalFormatting>
  <conditionalFormatting sqref="LF33">
    <cfRule type="expression" priority="601">
      <formula>CELL("protect", INDIRECT(ADDRESS(ROW(),COLUMN())))=1</formula>
    </cfRule>
  </conditionalFormatting>
  <conditionalFormatting sqref="LF39">
    <cfRule type="expression" priority="600">
      <formula>CELL("protect", INDIRECT(ADDRESS(ROW(),COLUMN())))=1</formula>
    </cfRule>
  </conditionalFormatting>
  <conditionalFormatting sqref="LF44">
    <cfRule type="expression" priority="599">
      <formula>CELL("protect", INDIRECT(ADDRESS(ROW(),COLUMN())))=1</formula>
    </cfRule>
  </conditionalFormatting>
  <conditionalFormatting sqref="LF49">
    <cfRule type="expression" priority="598">
      <formula>CELL("protect", INDIRECT(ADDRESS(ROW(),COLUMN())))=1</formula>
    </cfRule>
  </conditionalFormatting>
  <conditionalFormatting sqref="LF55">
    <cfRule type="expression" priority="597">
      <formula>CELL("protect", INDIRECT(ADDRESS(ROW(),COLUMN())))=1</formula>
    </cfRule>
  </conditionalFormatting>
  <conditionalFormatting sqref="LF60">
    <cfRule type="expression" priority="596">
      <formula>CELL("protect", INDIRECT(ADDRESS(ROW(),COLUMN())))=1</formula>
    </cfRule>
  </conditionalFormatting>
  <conditionalFormatting sqref="LF65">
    <cfRule type="expression" priority="595">
      <formula>CELL("protect", INDIRECT(ADDRESS(ROW(),COLUMN())))=1</formula>
    </cfRule>
  </conditionalFormatting>
  <conditionalFormatting sqref="CI16:CS19">
    <cfRule type="expression" dxfId="881" priority="592">
      <formula>CI16=$D$146</formula>
    </cfRule>
    <cfRule type="expression" dxfId="880" priority="593">
      <formula>CI16=$D$145</formula>
    </cfRule>
    <cfRule type="expression" dxfId="879" priority="594">
      <formula>CI16=$D$144</formula>
    </cfRule>
  </conditionalFormatting>
  <conditionalFormatting sqref="CT16:DD19">
    <cfRule type="expression" dxfId="878" priority="589">
      <formula>CT16=$D$146</formula>
    </cfRule>
    <cfRule type="expression" dxfId="877" priority="590">
      <formula>CT16=$D$145</formula>
    </cfRule>
    <cfRule type="expression" dxfId="876" priority="591">
      <formula>CT16=$D$144</formula>
    </cfRule>
  </conditionalFormatting>
  <conditionalFormatting sqref="DG16:DQ19">
    <cfRule type="expression" dxfId="875" priority="586">
      <formula>DG16=$D$146</formula>
    </cfRule>
    <cfRule type="expression" dxfId="874" priority="587">
      <formula>DG16=$D$145</formula>
    </cfRule>
    <cfRule type="expression" dxfId="873" priority="588">
      <formula>DG16=$D$144</formula>
    </cfRule>
  </conditionalFormatting>
  <conditionalFormatting sqref="DR16:EB19">
    <cfRule type="expression" dxfId="872" priority="583">
      <formula>DR16=$D$146</formula>
    </cfRule>
    <cfRule type="expression" dxfId="871" priority="584">
      <formula>DR16=$D$145</formula>
    </cfRule>
    <cfRule type="expression" dxfId="870" priority="585">
      <formula>DR16=$D$144</formula>
    </cfRule>
  </conditionalFormatting>
  <conditionalFormatting sqref="CQ16:DP19">
    <cfRule type="expression" dxfId="869" priority="580">
      <formula>CQ16=$D$146</formula>
    </cfRule>
    <cfRule type="expression" dxfId="868" priority="581">
      <formula>CQ16=$D$145</formula>
    </cfRule>
    <cfRule type="expression" dxfId="867" priority="582">
      <formula>CQ16=$D$144</formula>
    </cfRule>
  </conditionalFormatting>
  <conditionalFormatting sqref="FW16:GV19">
    <cfRule type="expression" dxfId="866" priority="577">
      <formula>FW16=$D$146</formula>
    </cfRule>
    <cfRule type="expression" dxfId="865" priority="578">
      <formula>FW16=$D$145</formula>
    </cfRule>
    <cfRule type="expression" dxfId="864" priority="579">
      <formula>FW16=$D$144</formula>
    </cfRule>
  </conditionalFormatting>
  <conditionalFormatting sqref="GY16:HX19">
    <cfRule type="expression" dxfId="863" priority="574">
      <formula>GY16=$D$146</formula>
    </cfRule>
    <cfRule type="expression" dxfId="862" priority="575">
      <formula>GY16=$D$145</formula>
    </cfRule>
    <cfRule type="expression" dxfId="861" priority="576">
      <formula>GY16=$D$144</formula>
    </cfRule>
  </conditionalFormatting>
  <conditionalFormatting sqref="IA16:IZ19">
    <cfRule type="expression" dxfId="860" priority="571">
      <formula>IA16=$D$146</formula>
    </cfRule>
    <cfRule type="expression" dxfId="859" priority="572">
      <formula>IA16=$D$145</formula>
    </cfRule>
    <cfRule type="expression" dxfId="858" priority="573">
      <formula>IA16=$D$144</formula>
    </cfRule>
  </conditionalFormatting>
  <conditionalFormatting sqref="JC16:KB19">
    <cfRule type="expression" dxfId="857" priority="568">
      <formula>JC16=$D$146</formula>
    </cfRule>
    <cfRule type="expression" dxfId="856" priority="569">
      <formula>JC16=$D$145</formula>
    </cfRule>
    <cfRule type="expression" dxfId="855" priority="570">
      <formula>JC16=$D$144</formula>
    </cfRule>
  </conditionalFormatting>
  <conditionalFormatting sqref="LH66">
    <cfRule type="expression" priority="83">
      <formula>CELL("protect", INDIRECT(ADDRESS(ROW(),COLUMN())))=1</formula>
    </cfRule>
  </conditionalFormatting>
  <conditionalFormatting sqref="KE16:KF19">
    <cfRule type="expression" dxfId="854" priority="565">
      <formula>KE16=$D$146</formula>
    </cfRule>
    <cfRule type="expression" dxfId="853" priority="566">
      <formula>KE16=$D$145</formula>
    </cfRule>
    <cfRule type="expression" dxfId="852" priority="567">
      <formula>KE16=$D$144</formula>
    </cfRule>
  </conditionalFormatting>
  <conditionalFormatting sqref="KI16:KJ19">
    <cfRule type="expression" dxfId="851" priority="562">
      <formula>KI16=$D$146</formula>
    </cfRule>
    <cfRule type="expression" dxfId="850" priority="563">
      <formula>KI16=$D$145</formula>
    </cfRule>
    <cfRule type="expression" dxfId="849" priority="564">
      <formula>KI16=$D$144</formula>
    </cfRule>
  </conditionalFormatting>
  <conditionalFormatting sqref="KI16:KJ19">
    <cfRule type="expression" dxfId="848" priority="559">
      <formula>KI16=$D$146</formula>
    </cfRule>
    <cfRule type="expression" dxfId="847" priority="560">
      <formula>KI16=$D$145</formula>
    </cfRule>
    <cfRule type="expression" dxfId="846" priority="561">
      <formula>KI16=$D$144</formula>
    </cfRule>
  </conditionalFormatting>
  <conditionalFormatting sqref="KM16:KN19">
    <cfRule type="expression" dxfId="845" priority="556">
      <formula>KM16=$D$146</formula>
    </cfRule>
    <cfRule type="expression" dxfId="844" priority="557">
      <formula>KM16=$D$145</formula>
    </cfRule>
    <cfRule type="expression" dxfId="843" priority="558">
      <formula>KM16=$D$144</formula>
    </cfRule>
  </conditionalFormatting>
  <conditionalFormatting sqref="KM16:KN19">
    <cfRule type="expression" dxfId="842" priority="553">
      <formula>KM16=$D$146</formula>
    </cfRule>
    <cfRule type="expression" dxfId="841" priority="554">
      <formula>KM16=$D$145</formula>
    </cfRule>
    <cfRule type="expression" dxfId="840" priority="555">
      <formula>KM16=$D$144</formula>
    </cfRule>
  </conditionalFormatting>
  <conditionalFormatting sqref="KQ16:KR19">
    <cfRule type="expression" dxfId="839" priority="550">
      <formula>KQ16=$D$146</formula>
    </cfRule>
    <cfRule type="expression" dxfId="838" priority="551">
      <formula>KQ16=$D$145</formula>
    </cfRule>
    <cfRule type="expression" dxfId="837" priority="552">
      <formula>KQ16=$D$144</formula>
    </cfRule>
  </conditionalFormatting>
  <conditionalFormatting sqref="KQ16:KR19">
    <cfRule type="expression" dxfId="836" priority="547">
      <formula>KQ16=$D$146</formula>
    </cfRule>
    <cfRule type="expression" dxfId="835" priority="548">
      <formula>KQ16=$D$145</formula>
    </cfRule>
    <cfRule type="expression" dxfId="834" priority="549">
      <formula>KQ16=$D$144</formula>
    </cfRule>
  </conditionalFormatting>
  <conditionalFormatting sqref="KU16:KV19">
    <cfRule type="expression" dxfId="833" priority="544">
      <formula>KU16=$D$146</formula>
    </cfRule>
    <cfRule type="expression" dxfId="832" priority="545">
      <formula>KU16=$D$145</formula>
    </cfRule>
    <cfRule type="expression" dxfId="831" priority="546">
      <formula>KU16=$D$144</formula>
    </cfRule>
  </conditionalFormatting>
  <conditionalFormatting sqref="KU16:KV19">
    <cfRule type="expression" dxfId="830" priority="541">
      <formula>KU16=$D$146</formula>
    </cfRule>
    <cfRule type="expression" dxfId="829" priority="542">
      <formula>KU16=$D$145</formula>
    </cfRule>
    <cfRule type="expression" dxfId="828" priority="543">
      <formula>KU16=$D$144</formula>
    </cfRule>
  </conditionalFormatting>
  <conditionalFormatting sqref="KY16:KZ19">
    <cfRule type="expression" dxfId="827" priority="538">
      <formula>KY16=$D$146</formula>
    </cfRule>
    <cfRule type="expression" dxfId="826" priority="539">
      <formula>KY16=$D$145</formula>
    </cfRule>
    <cfRule type="expression" dxfId="825" priority="540">
      <formula>KY16=$D$144</formula>
    </cfRule>
  </conditionalFormatting>
  <conditionalFormatting sqref="KY16:KZ19">
    <cfRule type="expression" dxfId="824" priority="535">
      <formula>KY16=$D$146</formula>
    </cfRule>
    <cfRule type="expression" dxfId="823" priority="536">
      <formula>KY16=$D$145</formula>
    </cfRule>
    <cfRule type="expression" dxfId="822" priority="537">
      <formula>KY16=$D$144</formula>
    </cfRule>
  </conditionalFormatting>
  <conditionalFormatting sqref="LH16:LH19">
    <cfRule type="expression" priority="534">
      <formula>CELL("protect", INDIRECT(ADDRESS(ROW(),COLUMN())))=1</formula>
    </cfRule>
  </conditionalFormatting>
  <conditionalFormatting sqref="AI24:AJ24">
    <cfRule type="expression" dxfId="821" priority="531">
      <formula>AI24=$D$146</formula>
    </cfRule>
    <cfRule type="expression" dxfId="820" priority="532">
      <formula>AI24=$D$145</formula>
    </cfRule>
    <cfRule type="expression" dxfId="819" priority="533">
      <formula>AI24=$D$144</formula>
    </cfRule>
  </conditionalFormatting>
  <conditionalFormatting sqref="AM24:BI24">
    <cfRule type="expression" dxfId="818" priority="528">
      <formula>AM24=$D$146</formula>
    </cfRule>
    <cfRule type="expression" dxfId="817" priority="529">
      <formula>AM24=$D$145</formula>
    </cfRule>
    <cfRule type="expression" dxfId="816" priority="530">
      <formula>AM24=$D$144</formula>
    </cfRule>
  </conditionalFormatting>
  <conditionalFormatting sqref="BJ24:BL24">
    <cfRule type="expression" dxfId="815" priority="525">
      <formula>BJ24=$D$146</formula>
    </cfRule>
    <cfRule type="expression" dxfId="814" priority="526">
      <formula>BJ24=$D$145</formula>
    </cfRule>
    <cfRule type="expression" dxfId="813" priority="527">
      <formula>BJ24=$D$144</formula>
    </cfRule>
  </conditionalFormatting>
  <conditionalFormatting sqref="BK24:BL24">
    <cfRule type="expression" dxfId="812" priority="522">
      <formula>BK24=$D$146</formula>
    </cfRule>
    <cfRule type="expression" dxfId="811" priority="523">
      <formula>BK24=$D$145</formula>
    </cfRule>
    <cfRule type="expression" dxfId="810" priority="524">
      <formula>BK24=$D$144</formula>
    </cfRule>
  </conditionalFormatting>
  <conditionalFormatting sqref="J29:X29">
    <cfRule type="expression" dxfId="809" priority="519">
      <formula>J29=$D$146</formula>
    </cfRule>
    <cfRule type="expression" dxfId="808" priority="520">
      <formula>J29=$D$145</formula>
    </cfRule>
    <cfRule type="expression" dxfId="807" priority="521">
      <formula>J29=$D$144</formula>
    </cfRule>
  </conditionalFormatting>
  <conditionalFormatting sqref="LH29:LZ29">
    <cfRule type="expression" priority="518">
      <formula>CELL("protect", INDIRECT(ADDRESS(ROW(),COLUMN())))=1</formula>
    </cfRule>
  </conditionalFormatting>
  <conditionalFormatting sqref="AL34:AS34">
    <cfRule type="expression" dxfId="806" priority="515">
      <formula>AL34=$D$146</formula>
    </cfRule>
    <cfRule type="expression" dxfId="805" priority="516">
      <formula>AL34=$D$145</formula>
    </cfRule>
    <cfRule type="expression" dxfId="804" priority="517">
      <formula>AL34=$D$144</formula>
    </cfRule>
  </conditionalFormatting>
  <conditionalFormatting sqref="J34:AG34">
    <cfRule type="expression" dxfId="803" priority="512">
      <formula>J34=$D$146</formula>
    </cfRule>
    <cfRule type="expression" dxfId="802" priority="513">
      <formula>J34=$D$145</formula>
    </cfRule>
    <cfRule type="expression" dxfId="801" priority="514">
      <formula>J34=$D$144</formula>
    </cfRule>
  </conditionalFormatting>
  <conditionalFormatting sqref="AX34:BE34">
    <cfRule type="expression" dxfId="800" priority="509">
      <formula>AX34=$D$146</formula>
    </cfRule>
    <cfRule type="expression" dxfId="799" priority="510">
      <formula>AX34=$D$145</formula>
    </cfRule>
    <cfRule type="expression" dxfId="798" priority="511">
      <formula>AX34=$D$144</formula>
    </cfRule>
  </conditionalFormatting>
  <conditionalFormatting sqref="AT34:AW34">
    <cfRule type="expression" dxfId="797" priority="506">
      <formula>AT34=$D$146</formula>
    </cfRule>
    <cfRule type="expression" dxfId="796" priority="507">
      <formula>AT34=$D$145</formula>
    </cfRule>
    <cfRule type="expression" dxfId="795" priority="508">
      <formula>AT34=$D$144</formula>
    </cfRule>
  </conditionalFormatting>
  <conditionalFormatting sqref="AH34:AK34">
    <cfRule type="expression" dxfId="794" priority="503">
      <formula>AH34=$D$146</formula>
    </cfRule>
    <cfRule type="expression" dxfId="793" priority="504">
      <formula>AH34=$D$145</formula>
    </cfRule>
    <cfRule type="expression" dxfId="792" priority="505">
      <formula>AH34=$D$144</formula>
    </cfRule>
  </conditionalFormatting>
  <conditionalFormatting sqref="AI34:AJ34">
    <cfRule type="expression" dxfId="791" priority="500">
      <formula>AI34=$D$146</formula>
    </cfRule>
    <cfRule type="expression" dxfId="790" priority="501">
      <formula>AI34=$D$145</formula>
    </cfRule>
    <cfRule type="expression" dxfId="789" priority="502">
      <formula>AI34=$D$144</formula>
    </cfRule>
  </conditionalFormatting>
  <conditionalFormatting sqref="AM34:BE34">
    <cfRule type="expression" dxfId="788" priority="497">
      <formula>AM34=$D$146</formula>
    </cfRule>
    <cfRule type="expression" dxfId="787" priority="498">
      <formula>AM34=$D$145</formula>
    </cfRule>
    <cfRule type="expression" dxfId="786" priority="499">
      <formula>AM34=$D$144</formula>
    </cfRule>
  </conditionalFormatting>
  <conditionalFormatting sqref="LH34:NF34">
    <cfRule type="expression" priority="496">
      <formula>CELL("protect", INDIRECT(ADDRESS(ROW(),COLUMN())))=1</formula>
    </cfRule>
  </conditionalFormatting>
  <conditionalFormatting sqref="J40:DA40">
    <cfRule type="expression" dxfId="785" priority="493">
      <formula>J40=$D$146</formula>
    </cfRule>
    <cfRule type="expression" dxfId="784" priority="494">
      <formula>J40=$D$145</formula>
    </cfRule>
    <cfRule type="expression" dxfId="783" priority="495">
      <formula>J40=$D$144</formula>
    </cfRule>
  </conditionalFormatting>
  <conditionalFormatting sqref="R40:U40">
    <cfRule type="expression" dxfId="782" priority="490">
      <formula>R40=$D$146</formula>
    </cfRule>
    <cfRule type="expression" dxfId="781" priority="491">
      <formula>R40=$D$145</formula>
    </cfRule>
    <cfRule type="expression" dxfId="780" priority="492">
      <formula>R40=$D$144</formula>
    </cfRule>
  </conditionalFormatting>
  <conditionalFormatting sqref="V40:Y40">
    <cfRule type="expression" dxfId="779" priority="487">
      <formula>V40=$D$146</formula>
    </cfRule>
    <cfRule type="expression" dxfId="778" priority="488">
      <formula>V40=$D$145</formula>
    </cfRule>
    <cfRule type="expression" dxfId="777" priority="489">
      <formula>V40=$D$144</formula>
    </cfRule>
  </conditionalFormatting>
  <conditionalFormatting sqref="Z40:AC40">
    <cfRule type="expression" dxfId="776" priority="484">
      <formula>Z40=$D$146</formula>
    </cfRule>
    <cfRule type="expression" dxfId="775" priority="485">
      <formula>Z40=$D$145</formula>
    </cfRule>
    <cfRule type="expression" dxfId="774" priority="486">
      <formula>Z40=$D$144</formula>
    </cfRule>
  </conditionalFormatting>
  <conditionalFormatting sqref="AD40:AG40">
    <cfRule type="expression" dxfId="773" priority="481">
      <formula>AD40=$D$146</formula>
    </cfRule>
    <cfRule type="expression" dxfId="772" priority="482">
      <formula>AD40=$D$145</formula>
    </cfRule>
    <cfRule type="expression" dxfId="771" priority="483">
      <formula>AD40=$D$144</formula>
    </cfRule>
  </conditionalFormatting>
  <conditionalFormatting sqref="AL40:AS40">
    <cfRule type="expression" dxfId="770" priority="478">
      <formula>AL40=$D$146</formula>
    </cfRule>
    <cfRule type="expression" dxfId="769" priority="479">
      <formula>AL40=$D$145</formula>
    </cfRule>
    <cfRule type="expression" dxfId="768" priority="480">
      <formula>AL40=$D$144</formula>
    </cfRule>
  </conditionalFormatting>
  <conditionalFormatting sqref="AX40:BD40">
    <cfRule type="expression" dxfId="767" priority="475">
      <formula>AX40=$D$146</formula>
    </cfRule>
    <cfRule type="expression" dxfId="766" priority="476">
      <formula>AX40=$D$145</formula>
    </cfRule>
    <cfRule type="expression" dxfId="765" priority="477">
      <formula>AX40=$D$144</formula>
    </cfRule>
  </conditionalFormatting>
  <conditionalFormatting sqref="AT40:AW40">
    <cfRule type="expression" dxfId="764" priority="472">
      <formula>AT40=$D$146</formula>
    </cfRule>
    <cfRule type="expression" dxfId="763" priority="473">
      <formula>AT40=$D$145</formula>
    </cfRule>
    <cfRule type="expression" dxfId="762" priority="474">
      <formula>AT40=$D$144</formula>
    </cfRule>
  </conditionalFormatting>
  <conditionalFormatting sqref="AH40:AK40">
    <cfRule type="expression" dxfId="761" priority="469">
      <formula>AH40=$D$146</formula>
    </cfRule>
    <cfRule type="expression" dxfId="760" priority="470">
      <formula>AH40=$D$145</formula>
    </cfRule>
    <cfRule type="expression" dxfId="759" priority="471">
      <formula>AH40=$D$144</formula>
    </cfRule>
  </conditionalFormatting>
  <conditionalFormatting sqref="AL40:AS40">
    <cfRule type="expression" dxfId="758" priority="466">
      <formula>AL40=$D$146</formula>
    </cfRule>
    <cfRule type="expression" dxfId="757" priority="467">
      <formula>AL40=$D$145</formula>
    </cfRule>
    <cfRule type="expression" dxfId="756" priority="468">
      <formula>AL40=$D$144</formula>
    </cfRule>
  </conditionalFormatting>
  <conditionalFormatting sqref="J40:DA40">
    <cfRule type="expression" dxfId="755" priority="463">
      <formula>J40=$D$146</formula>
    </cfRule>
    <cfRule type="expression" dxfId="754" priority="464">
      <formula>J40=$D$145</formula>
    </cfRule>
    <cfRule type="expression" dxfId="753" priority="465">
      <formula>J40=$D$144</formula>
    </cfRule>
  </conditionalFormatting>
  <conditionalFormatting sqref="AX40:BD40">
    <cfRule type="expression" dxfId="752" priority="460">
      <formula>AX40=$D$146</formula>
    </cfRule>
    <cfRule type="expression" dxfId="751" priority="461">
      <formula>AX40=$D$145</formula>
    </cfRule>
    <cfRule type="expression" dxfId="750" priority="462">
      <formula>AX40=$D$144</formula>
    </cfRule>
  </conditionalFormatting>
  <conditionalFormatting sqref="AT40:AW40">
    <cfRule type="expression" dxfId="749" priority="457">
      <formula>AT40=$D$146</formula>
    </cfRule>
    <cfRule type="expression" dxfId="748" priority="458">
      <formula>AT40=$D$145</formula>
    </cfRule>
    <cfRule type="expression" dxfId="747" priority="459">
      <formula>AT40=$D$144</formula>
    </cfRule>
  </conditionalFormatting>
  <conditionalFormatting sqref="AH40:AK40">
    <cfRule type="expression" dxfId="746" priority="454">
      <formula>AH40=$D$146</formula>
    </cfRule>
    <cfRule type="expression" dxfId="745" priority="455">
      <formula>AH40=$D$145</formula>
    </cfRule>
    <cfRule type="expression" dxfId="744" priority="456">
      <formula>AH40=$D$144</formula>
    </cfRule>
  </conditionalFormatting>
  <conditionalFormatting sqref="AI40:AJ40">
    <cfRule type="expression" dxfId="743" priority="451">
      <formula>AI40=$D$146</formula>
    </cfRule>
    <cfRule type="expression" dxfId="742" priority="452">
      <formula>AI40=$D$145</formula>
    </cfRule>
    <cfRule type="expression" dxfId="741" priority="453">
      <formula>AI40=$D$144</formula>
    </cfRule>
  </conditionalFormatting>
  <conditionalFormatting sqref="AM40:BD40">
    <cfRule type="expression" dxfId="740" priority="448">
      <formula>AM40=$D$146</formula>
    </cfRule>
    <cfRule type="expression" dxfId="739" priority="449">
      <formula>AM40=$D$145</formula>
    </cfRule>
    <cfRule type="expression" dxfId="738" priority="450">
      <formula>AM40=$D$144</formula>
    </cfRule>
  </conditionalFormatting>
  <conditionalFormatting sqref="BG40:BH40">
    <cfRule type="expression" dxfId="737" priority="445">
      <formula>BG40=$D$146</formula>
    </cfRule>
    <cfRule type="expression" dxfId="736" priority="446">
      <formula>BG40=$D$145</formula>
    </cfRule>
    <cfRule type="expression" dxfId="735" priority="447">
      <formula>BG40=$D$144</formula>
    </cfRule>
  </conditionalFormatting>
  <conditionalFormatting sqref="BG40:BH40">
    <cfRule type="expression" dxfId="734" priority="442">
      <formula>BG40=$D$146</formula>
    </cfRule>
    <cfRule type="expression" dxfId="733" priority="443">
      <formula>BG40=$D$145</formula>
    </cfRule>
    <cfRule type="expression" dxfId="732" priority="444">
      <formula>BG40=$D$144</formula>
    </cfRule>
  </conditionalFormatting>
  <conditionalFormatting sqref="BG40:BH40">
    <cfRule type="expression" dxfId="731" priority="439">
      <formula>BG40=$D$146</formula>
    </cfRule>
    <cfRule type="expression" dxfId="730" priority="440">
      <formula>BG40=$D$145</formula>
    </cfRule>
    <cfRule type="expression" dxfId="729" priority="441">
      <formula>BG40=$D$144</formula>
    </cfRule>
  </conditionalFormatting>
  <conditionalFormatting sqref="BG40:BH40">
    <cfRule type="expression" dxfId="728" priority="436">
      <formula>BG40=$D$146</formula>
    </cfRule>
    <cfRule type="expression" dxfId="727" priority="437">
      <formula>BG40=$D$145</formula>
    </cfRule>
    <cfRule type="expression" dxfId="726" priority="438">
      <formula>BG40=$D$144</formula>
    </cfRule>
  </conditionalFormatting>
  <conditionalFormatting sqref="BK40:BL40">
    <cfRule type="expression" dxfId="725" priority="433">
      <formula>BK40=$D$146</formula>
    </cfRule>
    <cfRule type="expression" dxfId="724" priority="434">
      <formula>BK40=$D$145</formula>
    </cfRule>
    <cfRule type="expression" dxfId="723" priority="435">
      <formula>BK40=$D$144</formula>
    </cfRule>
  </conditionalFormatting>
  <conditionalFormatting sqref="BK40:BL40">
    <cfRule type="expression" dxfId="722" priority="430">
      <formula>BK40=$D$146</formula>
    </cfRule>
    <cfRule type="expression" dxfId="721" priority="431">
      <formula>BK40=$D$145</formula>
    </cfRule>
    <cfRule type="expression" dxfId="720" priority="432">
      <formula>BK40=$D$144</formula>
    </cfRule>
  </conditionalFormatting>
  <conditionalFormatting sqref="BK40:BL40">
    <cfRule type="expression" dxfId="719" priority="427">
      <formula>BK40=$D$146</formula>
    </cfRule>
    <cfRule type="expression" dxfId="718" priority="428">
      <formula>BK40=$D$145</formula>
    </cfRule>
    <cfRule type="expression" dxfId="717" priority="429">
      <formula>BK40=$D$144</formula>
    </cfRule>
  </conditionalFormatting>
  <conditionalFormatting sqref="BK40:BL40">
    <cfRule type="expression" dxfId="716" priority="424">
      <formula>BK40=$D$146</formula>
    </cfRule>
    <cfRule type="expression" dxfId="715" priority="425">
      <formula>BK40=$D$145</formula>
    </cfRule>
    <cfRule type="expression" dxfId="714" priority="426">
      <formula>BK40=$D$144</formula>
    </cfRule>
  </conditionalFormatting>
  <conditionalFormatting sqref="BO40:BP40">
    <cfRule type="expression" dxfId="713" priority="421">
      <formula>BO40=$D$146</formula>
    </cfRule>
    <cfRule type="expression" dxfId="712" priority="422">
      <formula>BO40=$D$145</formula>
    </cfRule>
    <cfRule type="expression" dxfId="711" priority="423">
      <formula>BO40=$D$144</formula>
    </cfRule>
  </conditionalFormatting>
  <conditionalFormatting sqref="BO40:BP40">
    <cfRule type="expression" dxfId="710" priority="418">
      <formula>BO40=$D$146</formula>
    </cfRule>
    <cfRule type="expression" dxfId="709" priority="419">
      <formula>BO40=$D$145</formula>
    </cfRule>
    <cfRule type="expression" dxfId="708" priority="420">
      <formula>BO40=$D$144</formula>
    </cfRule>
  </conditionalFormatting>
  <conditionalFormatting sqref="BO40:BP40">
    <cfRule type="expression" dxfId="707" priority="415">
      <formula>BO40=$D$146</formula>
    </cfRule>
    <cfRule type="expression" dxfId="706" priority="416">
      <formula>BO40=$D$145</formula>
    </cfRule>
    <cfRule type="expression" dxfId="705" priority="417">
      <formula>BO40=$D$144</formula>
    </cfRule>
  </conditionalFormatting>
  <conditionalFormatting sqref="BO40:BP40">
    <cfRule type="expression" dxfId="704" priority="412">
      <formula>BO40=$D$146</formula>
    </cfRule>
    <cfRule type="expression" dxfId="703" priority="413">
      <formula>BO40=$D$145</formula>
    </cfRule>
    <cfRule type="expression" dxfId="702" priority="414">
      <formula>BO40=$D$144</formula>
    </cfRule>
  </conditionalFormatting>
  <conditionalFormatting sqref="BS40:BT40">
    <cfRule type="expression" dxfId="701" priority="409">
      <formula>BS40=$D$146</formula>
    </cfRule>
    <cfRule type="expression" dxfId="700" priority="410">
      <formula>BS40=$D$145</formula>
    </cfRule>
    <cfRule type="expression" dxfId="699" priority="411">
      <formula>BS40=$D$144</formula>
    </cfRule>
  </conditionalFormatting>
  <conditionalFormatting sqref="BS40:BT40">
    <cfRule type="expression" dxfId="698" priority="406">
      <formula>BS40=$D$146</formula>
    </cfRule>
    <cfRule type="expression" dxfId="697" priority="407">
      <formula>BS40=$D$145</formula>
    </cfRule>
    <cfRule type="expression" dxfId="696" priority="408">
      <formula>BS40=$D$144</formula>
    </cfRule>
  </conditionalFormatting>
  <conditionalFormatting sqref="BS40:BT40">
    <cfRule type="expression" dxfId="695" priority="403">
      <formula>BS40=$D$146</formula>
    </cfRule>
    <cfRule type="expression" dxfId="694" priority="404">
      <formula>BS40=$D$145</formula>
    </cfRule>
    <cfRule type="expression" dxfId="693" priority="405">
      <formula>BS40=$D$144</formula>
    </cfRule>
  </conditionalFormatting>
  <conditionalFormatting sqref="BS40:BT40">
    <cfRule type="expression" dxfId="692" priority="400">
      <formula>BS40=$D$146</formula>
    </cfRule>
    <cfRule type="expression" dxfId="691" priority="401">
      <formula>BS40=$D$145</formula>
    </cfRule>
    <cfRule type="expression" dxfId="690" priority="402">
      <formula>BS40=$D$144</formula>
    </cfRule>
  </conditionalFormatting>
  <conditionalFormatting sqref="BW40:BX40">
    <cfRule type="expression" dxfId="689" priority="397">
      <formula>BW40=$D$146</formula>
    </cfRule>
    <cfRule type="expression" dxfId="688" priority="398">
      <formula>BW40=$D$145</formula>
    </cfRule>
    <cfRule type="expression" dxfId="687" priority="399">
      <formula>BW40=$D$144</formula>
    </cfRule>
  </conditionalFormatting>
  <conditionalFormatting sqref="BW40:BX40">
    <cfRule type="expression" dxfId="686" priority="394">
      <formula>BW40=$D$146</formula>
    </cfRule>
    <cfRule type="expression" dxfId="685" priority="395">
      <formula>BW40=$D$145</formula>
    </cfRule>
    <cfRule type="expression" dxfId="684" priority="396">
      <formula>BW40=$D$144</formula>
    </cfRule>
  </conditionalFormatting>
  <conditionalFormatting sqref="BW40:BX40">
    <cfRule type="expression" dxfId="683" priority="391">
      <formula>BW40=$D$146</formula>
    </cfRule>
    <cfRule type="expression" dxfId="682" priority="392">
      <formula>BW40=$D$145</formula>
    </cfRule>
    <cfRule type="expression" dxfId="681" priority="393">
      <formula>BW40=$D$144</formula>
    </cfRule>
  </conditionalFormatting>
  <conditionalFormatting sqref="BW40:BX40">
    <cfRule type="expression" dxfId="680" priority="388">
      <formula>BW40=$D$146</formula>
    </cfRule>
    <cfRule type="expression" dxfId="679" priority="389">
      <formula>BW40=$D$145</formula>
    </cfRule>
    <cfRule type="expression" dxfId="678" priority="390">
      <formula>BW40=$D$144</formula>
    </cfRule>
  </conditionalFormatting>
  <conditionalFormatting sqref="BW40:BX40">
    <cfRule type="expression" dxfId="677" priority="385">
      <formula>BW40=$D$146</formula>
    </cfRule>
    <cfRule type="expression" dxfId="676" priority="386">
      <formula>BW40=$D$145</formula>
    </cfRule>
    <cfRule type="expression" dxfId="675" priority="387">
      <formula>BW40=$D$144</formula>
    </cfRule>
  </conditionalFormatting>
  <conditionalFormatting sqref="CA40:CB40">
    <cfRule type="expression" dxfId="674" priority="382">
      <formula>CA40=$D$146</formula>
    </cfRule>
    <cfRule type="expression" dxfId="673" priority="383">
      <formula>CA40=$D$145</formula>
    </cfRule>
    <cfRule type="expression" dxfId="672" priority="384">
      <formula>CA40=$D$144</formula>
    </cfRule>
  </conditionalFormatting>
  <conditionalFormatting sqref="CA40:CB40">
    <cfRule type="expression" dxfId="671" priority="379">
      <formula>CA40=$D$146</formula>
    </cfRule>
    <cfRule type="expression" dxfId="670" priority="380">
      <formula>CA40=$D$145</formula>
    </cfRule>
    <cfRule type="expression" dxfId="669" priority="381">
      <formula>CA40=$D$144</formula>
    </cfRule>
  </conditionalFormatting>
  <conditionalFormatting sqref="CA40:CB40">
    <cfRule type="expression" dxfId="668" priority="376">
      <formula>CA40=$D$146</formula>
    </cfRule>
    <cfRule type="expression" dxfId="667" priority="377">
      <formula>CA40=$D$145</formula>
    </cfRule>
    <cfRule type="expression" dxfId="666" priority="378">
      <formula>CA40=$D$144</formula>
    </cfRule>
  </conditionalFormatting>
  <conditionalFormatting sqref="CA40:CB40">
    <cfRule type="expression" dxfId="665" priority="373">
      <formula>CA40=$D$146</formula>
    </cfRule>
    <cfRule type="expression" dxfId="664" priority="374">
      <formula>CA40=$D$145</formula>
    </cfRule>
    <cfRule type="expression" dxfId="663" priority="375">
      <formula>CA40=$D$144</formula>
    </cfRule>
  </conditionalFormatting>
  <conditionalFormatting sqref="CA40:CB40">
    <cfRule type="expression" dxfId="662" priority="370">
      <formula>CA40=$D$146</formula>
    </cfRule>
    <cfRule type="expression" dxfId="661" priority="371">
      <formula>CA40=$D$145</formula>
    </cfRule>
    <cfRule type="expression" dxfId="660" priority="372">
      <formula>CA40=$D$144</formula>
    </cfRule>
  </conditionalFormatting>
  <conditionalFormatting sqref="CE40:CF40">
    <cfRule type="expression" dxfId="659" priority="367">
      <formula>CE40=$D$146</formula>
    </cfRule>
    <cfRule type="expression" dxfId="658" priority="368">
      <formula>CE40=$D$145</formula>
    </cfRule>
    <cfRule type="expression" dxfId="657" priority="369">
      <formula>CE40=$D$144</formula>
    </cfRule>
  </conditionalFormatting>
  <conditionalFormatting sqref="CE40:CF40">
    <cfRule type="expression" dxfId="656" priority="364">
      <formula>CE40=$D$146</formula>
    </cfRule>
    <cfRule type="expression" dxfId="655" priority="365">
      <formula>CE40=$D$145</formula>
    </cfRule>
    <cfRule type="expression" dxfId="654" priority="366">
      <formula>CE40=$D$144</formula>
    </cfRule>
  </conditionalFormatting>
  <conditionalFormatting sqref="CE40:CF40">
    <cfRule type="expression" dxfId="653" priority="361">
      <formula>CE40=$D$146</formula>
    </cfRule>
    <cfRule type="expression" dxfId="652" priority="362">
      <formula>CE40=$D$145</formula>
    </cfRule>
    <cfRule type="expression" dxfId="651" priority="363">
      <formula>CE40=$D$144</formula>
    </cfRule>
  </conditionalFormatting>
  <conditionalFormatting sqref="CE40:CF40">
    <cfRule type="expression" dxfId="650" priority="358">
      <formula>CE40=$D$146</formula>
    </cfRule>
    <cfRule type="expression" dxfId="649" priority="359">
      <formula>CE40=$D$145</formula>
    </cfRule>
    <cfRule type="expression" dxfId="648" priority="360">
      <formula>CE40=$D$144</formula>
    </cfRule>
  </conditionalFormatting>
  <conditionalFormatting sqref="CE40:CF40">
    <cfRule type="expression" dxfId="647" priority="355">
      <formula>CE40=$D$146</formula>
    </cfRule>
    <cfRule type="expression" dxfId="646" priority="356">
      <formula>CE40=$D$145</formula>
    </cfRule>
    <cfRule type="expression" dxfId="645" priority="357">
      <formula>CE40=$D$144</formula>
    </cfRule>
  </conditionalFormatting>
  <conditionalFormatting sqref="CI40:CJ40">
    <cfRule type="expression" dxfId="644" priority="352">
      <formula>CI40=$D$146</formula>
    </cfRule>
    <cfRule type="expression" dxfId="643" priority="353">
      <formula>CI40=$D$145</formula>
    </cfRule>
    <cfRule type="expression" dxfId="642" priority="354">
      <formula>CI40=$D$144</formula>
    </cfRule>
  </conditionalFormatting>
  <conditionalFormatting sqref="CI40:CJ40">
    <cfRule type="expression" dxfId="641" priority="349">
      <formula>CI40=$D$146</formula>
    </cfRule>
    <cfRule type="expression" dxfId="640" priority="350">
      <formula>CI40=$D$145</formula>
    </cfRule>
    <cfRule type="expression" dxfId="639" priority="351">
      <formula>CI40=$D$144</formula>
    </cfRule>
  </conditionalFormatting>
  <conditionalFormatting sqref="CI40:CJ40">
    <cfRule type="expression" dxfId="638" priority="346">
      <formula>CI40=$D$146</formula>
    </cfRule>
    <cfRule type="expression" dxfId="637" priority="347">
      <formula>CI40=$D$145</formula>
    </cfRule>
    <cfRule type="expression" dxfId="636" priority="348">
      <formula>CI40=$D$144</formula>
    </cfRule>
  </conditionalFormatting>
  <conditionalFormatting sqref="CI40:CJ40">
    <cfRule type="expression" dxfId="635" priority="343">
      <formula>CI40=$D$146</formula>
    </cfRule>
    <cfRule type="expression" dxfId="634" priority="344">
      <formula>CI40=$D$145</formula>
    </cfRule>
    <cfRule type="expression" dxfId="633" priority="345">
      <formula>CI40=$D$144</formula>
    </cfRule>
  </conditionalFormatting>
  <conditionalFormatting sqref="CI40:CJ40">
    <cfRule type="expression" dxfId="632" priority="340">
      <formula>CI40=$D$146</formula>
    </cfRule>
    <cfRule type="expression" dxfId="631" priority="341">
      <formula>CI40=$D$145</formula>
    </cfRule>
    <cfRule type="expression" dxfId="630" priority="342">
      <formula>CI40=$D$144</formula>
    </cfRule>
  </conditionalFormatting>
  <conditionalFormatting sqref="CM40:CN40">
    <cfRule type="expression" dxfId="629" priority="337">
      <formula>CM40=$D$146</formula>
    </cfRule>
    <cfRule type="expression" dxfId="628" priority="338">
      <formula>CM40=$D$145</formula>
    </cfRule>
    <cfRule type="expression" dxfId="627" priority="339">
      <formula>CM40=$D$144</formula>
    </cfRule>
  </conditionalFormatting>
  <conditionalFormatting sqref="CM40:CN40">
    <cfRule type="expression" dxfId="626" priority="334">
      <formula>CM40=$D$146</formula>
    </cfRule>
    <cfRule type="expression" dxfId="625" priority="335">
      <formula>CM40=$D$145</formula>
    </cfRule>
    <cfRule type="expression" dxfId="624" priority="336">
      <formula>CM40=$D$144</formula>
    </cfRule>
  </conditionalFormatting>
  <conditionalFormatting sqref="CM40:CN40">
    <cfRule type="expression" dxfId="623" priority="331">
      <formula>CM40=$D$146</formula>
    </cfRule>
    <cfRule type="expression" dxfId="622" priority="332">
      <formula>CM40=$D$145</formula>
    </cfRule>
    <cfRule type="expression" dxfId="621" priority="333">
      <formula>CM40=$D$144</formula>
    </cfRule>
  </conditionalFormatting>
  <conditionalFormatting sqref="CM40:CN40">
    <cfRule type="expression" dxfId="620" priority="328">
      <formula>CM40=$D$146</formula>
    </cfRule>
    <cfRule type="expression" dxfId="619" priority="329">
      <formula>CM40=$D$145</formula>
    </cfRule>
    <cfRule type="expression" dxfId="618" priority="330">
      <formula>CM40=$D$144</formula>
    </cfRule>
  </conditionalFormatting>
  <conditionalFormatting sqref="CM40:CN40">
    <cfRule type="expression" dxfId="617" priority="325">
      <formula>CM40=$D$146</formula>
    </cfRule>
    <cfRule type="expression" dxfId="616" priority="326">
      <formula>CM40=$D$145</formula>
    </cfRule>
    <cfRule type="expression" dxfId="615" priority="327">
      <formula>CM40=$D$144</formula>
    </cfRule>
  </conditionalFormatting>
  <conditionalFormatting sqref="CQ40:CR40">
    <cfRule type="expression" dxfId="614" priority="322">
      <formula>CQ40=$D$146</formula>
    </cfRule>
    <cfRule type="expression" dxfId="613" priority="323">
      <formula>CQ40=$D$145</formula>
    </cfRule>
    <cfRule type="expression" dxfId="612" priority="324">
      <formula>CQ40=$D$144</formula>
    </cfRule>
  </conditionalFormatting>
  <conditionalFormatting sqref="CQ40:CR40">
    <cfRule type="expression" dxfId="611" priority="319">
      <formula>CQ40=$D$146</formula>
    </cfRule>
    <cfRule type="expression" dxfId="610" priority="320">
      <formula>CQ40=$D$145</formula>
    </cfRule>
    <cfRule type="expression" dxfId="609" priority="321">
      <formula>CQ40=$D$144</formula>
    </cfRule>
  </conditionalFormatting>
  <conditionalFormatting sqref="CQ40:CR40">
    <cfRule type="expression" dxfId="608" priority="316">
      <formula>CQ40=$D$146</formula>
    </cfRule>
    <cfRule type="expression" dxfId="607" priority="317">
      <formula>CQ40=$D$145</formula>
    </cfRule>
    <cfRule type="expression" dxfId="606" priority="318">
      <formula>CQ40=$D$144</formula>
    </cfRule>
  </conditionalFormatting>
  <conditionalFormatting sqref="CQ40:CR40">
    <cfRule type="expression" dxfId="605" priority="313">
      <formula>CQ40=$D$146</formula>
    </cfRule>
    <cfRule type="expression" dxfId="604" priority="314">
      <formula>CQ40=$D$145</formula>
    </cfRule>
    <cfRule type="expression" dxfId="603" priority="315">
      <formula>CQ40=$D$144</formula>
    </cfRule>
  </conditionalFormatting>
  <conditionalFormatting sqref="CQ40:CR40">
    <cfRule type="expression" dxfId="602" priority="310">
      <formula>CQ40=$D$146</formula>
    </cfRule>
    <cfRule type="expression" dxfId="601" priority="311">
      <formula>CQ40=$D$145</formula>
    </cfRule>
    <cfRule type="expression" dxfId="600" priority="312">
      <formula>CQ40=$D$144</formula>
    </cfRule>
  </conditionalFormatting>
  <conditionalFormatting sqref="CU40:CV40">
    <cfRule type="expression" dxfId="599" priority="307">
      <formula>CU40=$D$146</formula>
    </cfRule>
    <cfRule type="expression" dxfId="598" priority="308">
      <formula>CU40=$D$145</formula>
    </cfRule>
    <cfRule type="expression" dxfId="597" priority="309">
      <formula>CU40=$D$144</formula>
    </cfRule>
  </conditionalFormatting>
  <conditionalFormatting sqref="CU40:CV40">
    <cfRule type="expression" dxfId="596" priority="304">
      <formula>CU40=$D$146</formula>
    </cfRule>
    <cfRule type="expression" dxfId="595" priority="305">
      <formula>CU40=$D$145</formula>
    </cfRule>
    <cfRule type="expression" dxfId="594" priority="306">
      <formula>CU40=$D$144</formula>
    </cfRule>
  </conditionalFormatting>
  <conditionalFormatting sqref="CU40:CV40">
    <cfRule type="expression" dxfId="593" priority="301">
      <formula>CU40=$D$146</formula>
    </cfRule>
    <cfRule type="expression" dxfId="592" priority="302">
      <formula>CU40=$D$145</formula>
    </cfRule>
    <cfRule type="expression" dxfId="591" priority="303">
      <formula>CU40=$D$144</formula>
    </cfRule>
  </conditionalFormatting>
  <conditionalFormatting sqref="CU40:CV40">
    <cfRule type="expression" dxfId="590" priority="298">
      <formula>CU40=$D$146</formula>
    </cfRule>
    <cfRule type="expression" dxfId="589" priority="299">
      <formula>CU40=$D$145</formula>
    </cfRule>
    <cfRule type="expression" dxfId="588" priority="300">
      <formula>CU40=$D$144</formula>
    </cfRule>
  </conditionalFormatting>
  <conditionalFormatting sqref="CU40:CV40">
    <cfRule type="expression" dxfId="587" priority="295">
      <formula>CU40=$D$146</formula>
    </cfRule>
    <cfRule type="expression" dxfId="586" priority="296">
      <formula>CU40=$D$145</formula>
    </cfRule>
    <cfRule type="expression" dxfId="585" priority="297">
      <formula>CU40=$D$144</formula>
    </cfRule>
  </conditionalFormatting>
  <conditionalFormatting sqref="CY40:CZ40">
    <cfRule type="expression" dxfId="584" priority="292">
      <formula>CY40=$D$146</formula>
    </cfRule>
    <cfRule type="expression" dxfId="583" priority="293">
      <formula>CY40=$D$145</formula>
    </cfRule>
    <cfRule type="expression" dxfId="582" priority="294">
      <formula>CY40=$D$144</formula>
    </cfRule>
  </conditionalFormatting>
  <conditionalFormatting sqref="CY40:CZ40">
    <cfRule type="expression" dxfId="581" priority="289">
      <formula>CY40=$D$146</formula>
    </cfRule>
    <cfRule type="expression" dxfId="580" priority="290">
      <formula>CY40=$D$145</formula>
    </cfRule>
    <cfRule type="expression" dxfId="579" priority="291">
      <formula>CY40=$D$144</formula>
    </cfRule>
  </conditionalFormatting>
  <conditionalFormatting sqref="CY40:CZ40">
    <cfRule type="expression" dxfId="578" priority="286">
      <formula>CY40=$D$146</formula>
    </cfRule>
    <cfRule type="expression" dxfId="577" priority="287">
      <formula>CY40=$D$145</formula>
    </cfRule>
    <cfRule type="expression" dxfId="576" priority="288">
      <formula>CY40=$D$144</formula>
    </cfRule>
  </conditionalFormatting>
  <conditionalFormatting sqref="CY40:CZ40">
    <cfRule type="expression" dxfId="575" priority="283">
      <formula>CY40=$D$146</formula>
    </cfRule>
    <cfRule type="expression" dxfId="574" priority="284">
      <formula>CY40=$D$145</formula>
    </cfRule>
    <cfRule type="expression" dxfId="573" priority="285">
      <formula>CY40=$D$144</formula>
    </cfRule>
  </conditionalFormatting>
  <conditionalFormatting sqref="CY40:CZ40">
    <cfRule type="expression" dxfId="572" priority="280">
      <formula>CY40=$D$146</formula>
    </cfRule>
    <cfRule type="expression" dxfId="571" priority="281">
      <formula>CY40=$D$145</formula>
    </cfRule>
    <cfRule type="expression" dxfId="570" priority="282">
      <formula>CY40=$D$144</formula>
    </cfRule>
  </conditionalFormatting>
  <conditionalFormatting sqref="LH45">
    <cfRule type="expression" priority="279">
      <formula>CELL("protect", INDIRECT(ADDRESS(ROW(),COLUMN())))=1</formula>
    </cfRule>
  </conditionalFormatting>
  <conditionalFormatting sqref="J50:Q50">
    <cfRule type="expression" dxfId="569" priority="276">
      <formula>J50=$D$146</formula>
    </cfRule>
    <cfRule type="expression" dxfId="568" priority="277">
      <formula>J50=$D$145</formula>
    </cfRule>
    <cfRule type="expression" dxfId="567" priority="278">
      <formula>J50=$D$144</formula>
    </cfRule>
  </conditionalFormatting>
  <conditionalFormatting sqref="R50:U50">
    <cfRule type="expression" dxfId="566" priority="273">
      <formula>R50=$D$146</formula>
    </cfRule>
    <cfRule type="expression" dxfId="565" priority="274">
      <formula>R50=$D$145</formula>
    </cfRule>
    <cfRule type="expression" dxfId="564" priority="275">
      <formula>R50=$D$144</formula>
    </cfRule>
  </conditionalFormatting>
  <conditionalFormatting sqref="J50:AZ50">
    <cfRule type="expression" dxfId="563" priority="270">
      <formula>J50=$D$146</formula>
    </cfRule>
    <cfRule type="expression" dxfId="562" priority="271">
      <formula>J50=$D$145</formula>
    </cfRule>
    <cfRule type="expression" dxfId="561" priority="272">
      <formula>J50=$D$144</formula>
    </cfRule>
  </conditionalFormatting>
  <conditionalFormatting sqref="V50:Y50">
    <cfRule type="expression" dxfId="560" priority="267">
      <formula>V50=$D$146</formula>
    </cfRule>
    <cfRule type="expression" dxfId="559" priority="268">
      <formula>V50=$D$145</formula>
    </cfRule>
    <cfRule type="expression" dxfId="558" priority="269">
      <formula>V50=$D$144</formula>
    </cfRule>
  </conditionalFormatting>
  <conditionalFormatting sqref="Z50:AC50">
    <cfRule type="expression" dxfId="557" priority="264">
      <formula>Z50=$D$146</formula>
    </cfRule>
    <cfRule type="expression" dxfId="556" priority="265">
      <formula>Z50=$D$145</formula>
    </cfRule>
    <cfRule type="expression" dxfId="555" priority="266">
      <formula>Z50=$D$144</formula>
    </cfRule>
  </conditionalFormatting>
  <conditionalFormatting sqref="AD50:AG50">
    <cfRule type="expression" dxfId="554" priority="261">
      <formula>AD50=$D$146</formula>
    </cfRule>
    <cfRule type="expression" dxfId="553" priority="262">
      <formula>AD50=$D$145</formula>
    </cfRule>
    <cfRule type="expression" dxfId="552" priority="263">
      <formula>AD50=$D$144</formula>
    </cfRule>
  </conditionalFormatting>
  <conditionalFormatting sqref="AH50:AK50">
    <cfRule type="expression" dxfId="551" priority="258">
      <formula>AH50=$D$146</formula>
    </cfRule>
    <cfRule type="expression" dxfId="550" priority="259">
      <formula>AH50=$D$145</formula>
    </cfRule>
    <cfRule type="expression" dxfId="549" priority="260">
      <formula>AH50=$D$144</formula>
    </cfRule>
  </conditionalFormatting>
  <conditionalFormatting sqref="AL50:AO50">
    <cfRule type="expression" dxfId="548" priority="255">
      <formula>AL50=$D$146</formula>
    </cfRule>
    <cfRule type="expression" dxfId="547" priority="256">
      <formula>AL50=$D$145</formula>
    </cfRule>
    <cfRule type="expression" dxfId="546" priority="257">
      <formula>AL50=$D$144</formula>
    </cfRule>
  </conditionalFormatting>
  <conditionalFormatting sqref="AP50:AS50">
    <cfRule type="expression" dxfId="545" priority="252">
      <formula>AP50=$D$146</formula>
    </cfRule>
    <cfRule type="expression" dxfId="544" priority="253">
      <formula>AP50=$D$145</formula>
    </cfRule>
    <cfRule type="expression" dxfId="543" priority="254">
      <formula>AP50=$D$144</formula>
    </cfRule>
  </conditionalFormatting>
  <conditionalFormatting sqref="AT50:AW50">
    <cfRule type="expression" dxfId="542" priority="249">
      <formula>AT50=$D$146</formula>
    </cfRule>
    <cfRule type="expression" dxfId="541" priority="250">
      <formula>AT50=$D$145</formula>
    </cfRule>
    <cfRule type="expression" dxfId="540" priority="251">
      <formula>AT50=$D$144</formula>
    </cfRule>
  </conditionalFormatting>
  <conditionalFormatting sqref="AX50:AZ50">
    <cfRule type="expression" dxfId="539" priority="246">
      <formula>AX50=$D$146</formula>
    </cfRule>
    <cfRule type="expression" dxfId="538" priority="247">
      <formula>AX50=$D$145</formula>
    </cfRule>
    <cfRule type="expression" dxfId="537" priority="248">
      <formula>AX50=$D$144</formula>
    </cfRule>
  </conditionalFormatting>
  <conditionalFormatting sqref="J50:Q50">
    <cfRule type="expression" dxfId="536" priority="243">
      <formula>J50=$D$146</formula>
    </cfRule>
    <cfRule type="expression" dxfId="535" priority="244">
      <formula>J50=$D$145</formula>
    </cfRule>
    <cfRule type="expression" dxfId="534" priority="245">
      <formula>J50=$D$144</formula>
    </cfRule>
  </conditionalFormatting>
  <conditionalFormatting sqref="R50:U50">
    <cfRule type="expression" dxfId="533" priority="240">
      <formula>R50=$D$146</formula>
    </cfRule>
    <cfRule type="expression" dxfId="532" priority="241">
      <formula>R50=$D$145</formula>
    </cfRule>
    <cfRule type="expression" dxfId="531" priority="242">
      <formula>R50=$D$144</formula>
    </cfRule>
  </conditionalFormatting>
  <conditionalFormatting sqref="V50:Y50">
    <cfRule type="expression" dxfId="530" priority="237">
      <formula>V50=$D$146</formula>
    </cfRule>
    <cfRule type="expression" dxfId="529" priority="238">
      <formula>V50=$D$145</formula>
    </cfRule>
    <cfRule type="expression" dxfId="528" priority="239">
      <formula>V50=$D$144</formula>
    </cfRule>
  </conditionalFormatting>
  <conditionalFormatting sqref="Z50:AC50">
    <cfRule type="expression" dxfId="527" priority="234">
      <formula>Z50=$D$146</formula>
    </cfRule>
    <cfRule type="expression" dxfId="526" priority="235">
      <formula>Z50=$D$145</formula>
    </cfRule>
    <cfRule type="expression" dxfId="525" priority="236">
      <formula>Z50=$D$144</formula>
    </cfRule>
  </conditionalFormatting>
  <conditionalFormatting sqref="AD50:AG50">
    <cfRule type="expression" dxfId="524" priority="231">
      <formula>AD50=$D$146</formula>
    </cfRule>
    <cfRule type="expression" dxfId="523" priority="232">
      <formula>AD50=$D$145</formula>
    </cfRule>
    <cfRule type="expression" dxfId="522" priority="233">
      <formula>AD50=$D$144</formula>
    </cfRule>
  </conditionalFormatting>
  <conditionalFormatting sqref="AL50:AS50">
    <cfRule type="expression" dxfId="521" priority="228">
      <formula>AL50=$D$146</formula>
    </cfRule>
    <cfRule type="expression" dxfId="520" priority="229">
      <formula>AL50=$D$145</formula>
    </cfRule>
    <cfRule type="expression" dxfId="519" priority="230">
      <formula>AL50=$D$144</formula>
    </cfRule>
  </conditionalFormatting>
  <conditionalFormatting sqref="AX50:AZ50">
    <cfRule type="expression" dxfId="518" priority="225">
      <formula>AX50=$D$146</formula>
    </cfRule>
    <cfRule type="expression" dxfId="517" priority="226">
      <formula>AX50=$D$145</formula>
    </cfRule>
    <cfRule type="expression" dxfId="516" priority="227">
      <formula>AX50=$D$144</formula>
    </cfRule>
  </conditionalFormatting>
  <conditionalFormatting sqref="AT50:AW50">
    <cfRule type="expression" dxfId="515" priority="222">
      <formula>AT50=$D$146</formula>
    </cfRule>
    <cfRule type="expression" dxfId="514" priority="223">
      <formula>AT50=$D$145</formula>
    </cfRule>
    <cfRule type="expression" dxfId="513" priority="224">
      <formula>AT50=$D$144</formula>
    </cfRule>
  </conditionalFormatting>
  <conditionalFormatting sqref="AH50:AK50">
    <cfRule type="expression" dxfId="512" priority="219">
      <formula>AH50=$D$146</formula>
    </cfRule>
    <cfRule type="expression" dxfId="511" priority="220">
      <formula>AH50=$D$145</formula>
    </cfRule>
    <cfRule type="expression" dxfId="510" priority="221">
      <formula>AH50=$D$144</formula>
    </cfRule>
  </conditionalFormatting>
  <conditionalFormatting sqref="AL50:AS50">
    <cfRule type="expression" dxfId="509" priority="216">
      <formula>AL50=$D$146</formula>
    </cfRule>
    <cfRule type="expression" dxfId="508" priority="217">
      <formula>AL50=$D$145</formula>
    </cfRule>
    <cfRule type="expression" dxfId="507" priority="218">
      <formula>AL50=$D$144</formula>
    </cfRule>
  </conditionalFormatting>
  <conditionalFormatting sqref="J50:AG50">
    <cfRule type="expression" dxfId="506" priority="213">
      <formula>J50=$D$146</formula>
    </cfRule>
    <cfRule type="expression" dxfId="505" priority="214">
      <formula>J50=$D$145</formula>
    </cfRule>
    <cfRule type="expression" dxfId="504" priority="215">
      <formula>J50=$D$144</formula>
    </cfRule>
  </conditionalFormatting>
  <conditionalFormatting sqref="AX50:AZ50">
    <cfRule type="expression" dxfId="503" priority="210">
      <formula>AX50=$D$146</formula>
    </cfRule>
    <cfRule type="expression" dxfId="502" priority="211">
      <formula>AX50=$D$145</formula>
    </cfRule>
    <cfRule type="expression" dxfId="501" priority="212">
      <formula>AX50=$D$144</formula>
    </cfRule>
  </conditionalFormatting>
  <conditionalFormatting sqref="AT50:AW50">
    <cfRule type="expression" dxfId="500" priority="207">
      <formula>AT50=$D$146</formula>
    </cfRule>
    <cfRule type="expression" dxfId="499" priority="208">
      <formula>AT50=$D$145</formula>
    </cfRule>
    <cfRule type="expression" dxfId="498" priority="209">
      <formula>AT50=$D$144</formula>
    </cfRule>
  </conditionalFormatting>
  <conditionalFormatting sqref="AH50:AK50">
    <cfRule type="expression" dxfId="497" priority="204">
      <formula>AH50=$D$146</formula>
    </cfRule>
    <cfRule type="expression" dxfId="496" priority="205">
      <formula>AH50=$D$145</formula>
    </cfRule>
    <cfRule type="expression" dxfId="495" priority="206">
      <formula>AH50=$D$144</formula>
    </cfRule>
  </conditionalFormatting>
  <conditionalFormatting sqref="AI50:AJ50">
    <cfRule type="expression" dxfId="494" priority="201">
      <formula>AI50=$D$146</formula>
    </cfRule>
    <cfRule type="expression" dxfId="493" priority="202">
      <formula>AI50=$D$145</formula>
    </cfRule>
    <cfRule type="expression" dxfId="492" priority="203">
      <formula>AI50=$D$144</formula>
    </cfRule>
  </conditionalFormatting>
  <conditionalFormatting sqref="AM50:AZ50">
    <cfRule type="expression" dxfId="491" priority="198">
      <formula>AM50=$D$146</formula>
    </cfRule>
    <cfRule type="expression" dxfId="490" priority="199">
      <formula>AM50=$D$145</formula>
    </cfRule>
    <cfRule type="expression" dxfId="489" priority="200">
      <formula>AM50=$D$144</formula>
    </cfRule>
  </conditionalFormatting>
  <conditionalFormatting sqref="J56:Q56">
    <cfRule type="expression" dxfId="488" priority="195">
      <formula>J56=$D$146</formula>
    </cfRule>
    <cfRule type="expression" dxfId="487" priority="196">
      <formula>J56=$D$145</formula>
    </cfRule>
    <cfRule type="expression" dxfId="486" priority="197">
      <formula>J56=$D$144</formula>
    </cfRule>
  </conditionalFormatting>
  <conditionalFormatting sqref="R56:U56">
    <cfRule type="expression" dxfId="485" priority="192">
      <formula>R56=$D$146</formula>
    </cfRule>
    <cfRule type="expression" dxfId="484" priority="193">
      <formula>R56=$D$145</formula>
    </cfRule>
    <cfRule type="expression" dxfId="483" priority="194">
      <formula>R56=$D$144</formula>
    </cfRule>
  </conditionalFormatting>
  <conditionalFormatting sqref="J56:AZ56">
    <cfRule type="expression" dxfId="482" priority="189">
      <formula>J56=$D$146</formula>
    </cfRule>
    <cfRule type="expression" dxfId="481" priority="190">
      <formula>J56=$D$145</formula>
    </cfRule>
    <cfRule type="expression" dxfId="480" priority="191">
      <formula>J56=$D$144</formula>
    </cfRule>
  </conditionalFormatting>
  <conditionalFormatting sqref="V56:Y56">
    <cfRule type="expression" dxfId="479" priority="186">
      <formula>V56=$D$146</formula>
    </cfRule>
    <cfRule type="expression" dxfId="478" priority="187">
      <formula>V56=$D$145</formula>
    </cfRule>
    <cfRule type="expression" dxfId="477" priority="188">
      <formula>V56=$D$144</formula>
    </cfRule>
  </conditionalFormatting>
  <conditionalFormatting sqref="Z56:AC56">
    <cfRule type="expression" dxfId="476" priority="183">
      <formula>Z56=$D$146</formula>
    </cfRule>
    <cfRule type="expression" dxfId="475" priority="184">
      <formula>Z56=$D$145</formula>
    </cfRule>
    <cfRule type="expression" dxfId="474" priority="185">
      <formula>Z56=$D$144</formula>
    </cfRule>
  </conditionalFormatting>
  <conditionalFormatting sqref="AD56:AG56">
    <cfRule type="expression" dxfId="473" priority="180">
      <formula>AD56=$D$146</formula>
    </cfRule>
    <cfRule type="expression" dxfId="472" priority="181">
      <formula>AD56=$D$145</formula>
    </cfRule>
    <cfRule type="expression" dxfId="471" priority="182">
      <formula>AD56=$D$144</formula>
    </cfRule>
  </conditionalFormatting>
  <conditionalFormatting sqref="AH56:AK56">
    <cfRule type="expression" dxfId="470" priority="177">
      <formula>AH56=$D$146</formula>
    </cfRule>
    <cfRule type="expression" dxfId="469" priority="178">
      <formula>AH56=$D$145</formula>
    </cfRule>
    <cfRule type="expression" dxfId="468" priority="179">
      <formula>AH56=$D$144</formula>
    </cfRule>
  </conditionalFormatting>
  <conditionalFormatting sqref="AL56:AO56">
    <cfRule type="expression" dxfId="467" priority="174">
      <formula>AL56=$D$146</formula>
    </cfRule>
    <cfRule type="expression" dxfId="466" priority="175">
      <formula>AL56=$D$145</formula>
    </cfRule>
    <cfRule type="expression" dxfId="465" priority="176">
      <formula>AL56=$D$144</formula>
    </cfRule>
  </conditionalFormatting>
  <conditionalFormatting sqref="AP56:AS56">
    <cfRule type="expression" dxfId="464" priority="171">
      <formula>AP56=$D$146</formula>
    </cfRule>
    <cfRule type="expression" dxfId="463" priority="172">
      <formula>AP56=$D$145</formula>
    </cfRule>
    <cfRule type="expression" dxfId="462" priority="173">
      <formula>AP56=$D$144</formula>
    </cfRule>
  </conditionalFormatting>
  <conditionalFormatting sqref="AT56:AW56">
    <cfRule type="expression" dxfId="461" priority="168">
      <formula>AT56=$D$146</formula>
    </cfRule>
    <cfRule type="expression" dxfId="460" priority="169">
      <formula>AT56=$D$145</formula>
    </cfRule>
    <cfRule type="expression" dxfId="459" priority="170">
      <formula>AT56=$D$144</formula>
    </cfRule>
  </conditionalFormatting>
  <conditionalFormatting sqref="AX56:AZ56">
    <cfRule type="expression" dxfId="458" priority="165">
      <formula>AX56=$D$146</formula>
    </cfRule>
    <cfRule type="expression" dxfId="457" priority="166">
      <formula>AX56=$D$145</formula>
    </cfRule>
    <cfRule type="expression" dxfId="456" priority="167">
      <formula>AX56=$D$144</formula>
    </cfRule>
  </conditionalFormatting>
  <conditionalFormatting sqref="J56:Q56">
    <cfRule type="expression" dxfId="455" priority="162">
      <formula>J56=$D$146</formula>
    </cfRule>
    <cfRule type="expression" dxfId="454" priority="163">
      <formula>J56=$D$145</formula>
    </cfRule>
    <cfRule type="expression" dxfId="453" priority="164">
      <formula>J56=$D$144</formula>
    </cfRule>
  </conditionalFormatting>
  <conditionalFormatting sqref="R56:U56">
    <cfRule type="expression" dxfId="452" priority="159">
      <formula>R56=$D$146</formula>
    </cfRule>
    <cfRule type="expression" dxfId="451" priority="160">
      <formula>R56=$D$145</formula>
    </cfRule>
    <cfRule type="expression" dxfId="450" priority="161">
      <formula>R56=$D$144</formula>
    </cfRule>
  </conditionalFormatting>
  <conditionalFormatting sqref="V56:Y56">
    <cfRule type="expression" dxfId="449" priority="156">
      <formula>V56=$D$146</formula>
    </cfRule>
    <cfRule type="expression" dxfId="448" priority="157">
      <formula>V56=$D$145</formula>
    </cfRule>
    <cfRule type="expression" dxfId="447" priority="158">
      <formula>V56=$D$144</formula>
    </cfRule>
  </conditionalFormatting>
  <conditionalFormatting sqref="Z56:AC56">
    <cfRule type="expression" dxfId="446" priority="153">
      <formula>Z56=$D$146</formula>
    </cfRule>
    <cfRule type="expression" dxfId="445" priority="154">
      <formula>Z56=$D$145</formula>
    </cfRule>
    <cfRule type="expression" dxfId="444" priority="155">
      <formula>Z56=$D$144</formula>
    </cfRule>
  </conditionalFormatting>
  <conditionalFormatting sqref="AD56:AG56">
    <cfRule type="expression" dxfId="443" priority="150">
      <formula>AD56=$D$146</formula>
    </cfRule>
    <cfRule type="expression" dxfId="442" priority="151">
      <formula>AD56=$D$145</formula>
    </cfRule>
    <cfRule type="expression" dxfId="441" priority="152">
      <formula>AD56=$D$144</formula>
    </cfRule>
  </conditionalFormatting>
  <conditionalFormatting sqref="AL56:AS56">
    <cfRule type="expression" dxfId="440" priority="147">
      <formula>AL56=$D$146</formula>
    </cfRule>
    <cfRule type="expression" dxfId="439" priority="148">
      <formula>AL56=$D$145</formula>
    </cfRule>
    <cfRule type="expression" dxfId="438" priority="149">
      <formula>AL56=$D$144</formula>
    </cfRule>
  </conditionalFormatting>
  <conditionalFormatting sqref="AX56:AZ56">
    <cfRule type="expression" dxfId="437" priority="144">
      <formula>AX56=$D$146</formula>
    </cfRule>
    <cfRule type="expression" dxfId="436" priority="145">
      <formula>AX56=$D$145</formula>
    </cfRule>
    <cfRule type="expression" dxfId="435" priority="146">
      <formula>AX56=$D$144</formula>
    </cfRule>
  </conditionalFormatting>
  <conditionalFormatting sqref="AT56:AW56">
    <cfRule type="expression" dxfId="434" priority="141">
      <formula>AT56=$D$146</formula>
    </cfRule>
    <cfRule type="expression" dxfId="433" priority="142">
      <formula>AT56=$D$145</formula>
    </cfRule>
    <cfRule type="expression" dxfId="432" priority="143">
      <formula>AT56=$D$144</formula>
    </cfRule>
  </conditionalFormatting>
  <conditionalFormatting sqref="AH56:AK56">
    <cfRule type="expression" dxfId="431" priority="138">
      <formula>AH56=$D$146</formula>
    </cfRule>
    <cfRule type="expression" dxfId="430" priority="139">
      <formula>AH56=$D$145</formula>
    </cfRule>
    <cfRule type="expression" dxfId="429" priority="140">
      <formula>AH56=$D$144</formula>
    </cfRule>
  </conditionalFormatting>
  <conditionalFormatting sqref="AL56:AS56">
    <cfRule type="expression" dxfId="428" priority="135">
      <formula>AL56=$D$146</formula>
    </cfRule>
    <cfRule type="expression" dxfId="427" priority="136">
      <formula>AL56=$D$145</formula>
    </cfRule>
    <cfRule type="expression" dxfId="426" priority="137">
      <formula>AL56=$D$144</formula>
    </cfRule>
  </conditionalFormatting>
  <conditionalFormatting sqref="J56:AG56">
    <cfRule type="expression" dxfId="425" priority="132">
      <formula>J56=$D$146</formula>
    </cfRule>
    <cfRule type="expression" dxfId="424" priority="133">
      <formula>J56=$D$145</formula>
    </cfRule>
    <cfRule type="expression" dxfId="423" priority="134">
      <formula>J56=$D$144</formula>
    </cfRule>
  </conditionalFormatting>
  <conditionalFormatting sqref="AX56:AZ56">
    <cfRule type="expression" dxfId="422" priority="129">
      <formula>AX56=$D$146</formula>
    </cfRule>
    <cfRule type="expression" dxfId="421" priority="130">
      <formula>AX56=$D$145</formula>
    </cfRule>
    <cfRule type="expression" dxfId="420" priority="131">
      <formula>AX56=$D$144</formula>
    </cfRule>
  </conditionalFormatting>
  <conditionalFormatting sqref="AT56:AW56">
    <cfRule type="expression" dxfId="419" priority="126">
      <formula>AT56=$D$146</formula>
    </cfRule>
    <cfRule type="expression" dxfId="418" priority="127">
      <formula>AT56=$D$145</formula>
    </cfRule>
    <cfRule type="expression" dxfId="417" priority="128">
      <formula>AT56=$D$144</formula>
    </cfRule>
  </conditionalFormatting>
  <conditionalFormatting sqref="AH56:AK56">
    <cfRule type="expression" dxfId="416" priority="123">
      <formula>AH56=$D$146</formula>
    </cfRule>
    <cfRule type="expression" dxfId="415" priority="124">
      <formula>AH56=$D$145</formula>
    </cfRule>
    <cfRule type="expression" dxfId="414" priority="125">
      <formula>AH56=$D$144</formula>
    </cfRule>
  </conditionalFormatting>
  <conditionalFormatting sqref="AI56:AJ56">
    <cfRule type="expression" dxfId="413" priority="120">
      <formula>AI56=$D$146</formula>
    </cfRule>
    <cfRule type="expression" dxfId="412" priority="121">
      <formula>AI56=$D$145</formula>
    </cfRule>
    <cfRule type="expression" dxfId="411" priority="122">
      <formula>AI56=$D$144</formula>
    </cfRule>
  </conditionalFormatting>
  <conditionalFormatting sqref="AM56:AZ56">
    <cfRule type="expression" dxfId="410" priority="117">
      <formula>AM56=$D$146</formula>
    </cfRule>
    <cfRule type="expression" dxfId="409" priority="118">
      <formula>AM56=$D$145</formula>
    </cfRule>
    <cfRule type="expression" dxfId="408" priority="119">
      <formula>AM56=$D$144</formula>
    </cfRule>
  </conditionalFormatting>
  <conditionalFormatting sqref="LH50:NB50">
    <cfRule type="expression" priority="116">
      <formula>CELL("protect", INDIRECT(ADDRESS(ROW(),COLUMN())))=1</formula>
    </cfRule>
  </conditionalFormatting>
  <conditionalFormatting sqref="LH56:NB56">
    <cfRule type="expression" priority="115">
      <formula>CELL("protect", INDIRECT(ADDRESS(ROW(),COLUMN())))=1</formula>
    </cfRule>
  </conditionalFormatting>
  <conditionalFormatting sqref="J61:T61">
    <cfRule type="expression" dxfId="407" priority="112">
      <formula>J61=$D$146</formula>
    </cfRule>
    <cfRule type="expression" dxfId="406" priority="113">
      <formula>J61=$D$145</formula>
    </cfRule>
    <cfRule type="expression" dxfId="405" priority="114">
      <formula>J61=$D$144</formula>
    </cfRule>
  </conditionalFormatting>
  <conditionalFormatting sqref="J61:K61">
    <cfRule type="expression" dxfId="404" priority="108">
      <formula>J61=$D$146</formula>
    </cfRule>
    <cfRule type="expression" dxfId="403" priority="109">
      <formula>J61=$D$145</formula>
    </cfRule>
    <cfRule type="expression" dxfId="402" priority="110">
      <formula>J61=$D$144</formula>
    </cfRule>
  </conditionalFormatting>
  <conditionalFormatting sqref="N61:O61">
    <cfRule type="expression" dxfId="401" priority="105">
      <formula>N61=$D$146</formula>
    </cfRule>
    <cfRule type="expression" dxfId="400" priority="106">
      <formula>N61=$D$145</formula>
    </cfRule>
    <cfRule type="expression" dxfId="399" priority="107">
      <formula>N61=$D$144</formula>
    </cfRule>
  </conditionalFormatting>
  <conditionalFormatting sqref="R61:S61">
    <cfRule type="expression" dxfId="398" priority="102">
      <formula>R61=$D$146</formula>
    </cfRule>
    <cfRule type="expression" dxfId="397" priority="103">
      <formula>R61=$D$145</formula>
    </cfRule>
    <cfRule type="expression" dxfId="396" priority="104">
      <formula>R61=$D$144</formula>
    </cfRule>
  </conditionalFormatting>
  <conditionalFormatting sqref="J61:Q61">
    <cfRule type="expression" dxfId="395" priority="99">
      <formula>J61=$D$146</formula>
    </cfRule>
    <cfRule type="expression" dxfId="394" priority="100">
      <formula>J61=$D$145</formula>
    </cfRule>
    <cfRule type="expression" dxfId="393" priority="101">
      <formula>J61=$D$144</formula>
    </cfRule>
  </conditionalFormatting>
  <conditionalFormatting sqref="R61:T61">
    <cfRule type="expression" dxfId="392" priority="96">
      <formula>R61=$D$146</formula>
    </cfRule>
    <cfRule type="expression" dxfId="391" priority="97">
      <formula>R61=$D$145</formula>
    </cfRule>
    <cfRule type="expression" dxfId="390" priority="98">
      <formula>R61=$D$144</formula>
    </cfRule>
  </conditionalFormatting>
  <conditionalFormatting sqref="J61:T61">
    <cfRule type="expression" dxfId="389" priority="93">
      <formula>J61=$D$146</formula>
    </cfRule>
    <cfRule type="expression" dxfId="388" priority="94">
      <formula>J61=$D$145</formula>
    </cfRule>
    <cfRule type="expression" dxfId="387" priority="95">
      <formula>J61=$D$144</formula>
    </cfRule>
  </conditionalFormatting>
  <conditionalFormatting sqref="J61:Q61">
    <cfRule type="expression" dxfId="386" priority="90">
      <formula>J61=$D$146</formula>
    </cfRule>
    <cfRule type="expression" dxfId="385" priority="91">
      <formula>J61=$D$145</formula>
    </cfRule>
    <cfRule type="expression" dxfId="384" priority="92">
      <formula>J61=$D$144</formula>
    </cfRule>
  </conditionalFormatting>
  <conditionalFormatting sqref="R61:T61">
    <cfRule type="expression" dxfId="383" priority="87">
      <formula>R61=$D$146</formula>
    </cfRule>
    <cfRule type="expression" dxfId="382" priority="88">
      <formula>R61=$D$145</formula>
    </cfRule>
    <cfRule type="expression" dxfId="381" priority="89">
      <formula>R61=$D$144</formula>
    </cfRule>
  </conditionalFormatting>
  <conditionalFormatting sqref="J61:T61">
    <cfRule type="expression" dxfId="380" priority="84">
      <formula>J61=$D$146</formula>
    </cfRule>
    <cfRule type="expression" dxfId="379" priority="85">
      <formula>J61=$D$145</formula>
    </cfRule>
    <cfRule type="expression" dxfId="378" priority="86">
      <formula>J61=$D$144</formula>
    </cfRule>
  </conditionalFormatting>
  <conditionalFormatting sqref="XD69:XFD69 A69:C69 LG69:XB69 J69:LD69">
    <cfRule type="expression" priority="82">
      <formula>CELL("protect", INDIRECT(ADDRESS(ROW(),COLUMN())))=1</formula>
    </cfRule>
  </conditionalFormatting>
  <conditionalFormatting sqref="LF69">
    <cfRule type="expression" priority="81">
      <formula>CELL("protect", INDIRECT(ADDRESS(ROW(),COLUMN())))=1</formula>
    </cfRule>
  </conditionalFormatting>
  <conditionalFormatting sqref="R70:U70">
    <cfRule type="expression" dxfId="377" priority="75">
      <formula>R70=$D$146</formula>
    </cfRule>
    <cfRule type="expression" dxfId="376" priority="76">
      <formula>R70=$D$145</formula>
    </cfRule>
    <cfRule type="expression" dxfId="375" priority="77">
      <formula>R70=$D$144</formula>
    </cfRule>
  </conditionalFormatting>
  <conditionalFormatting sqref="V70:Y70">
    <cfRule type="expression" dxfId="374" priority="72">
      <formula>V70=$D$146</formula>
    </cfRule>
    <cfRule type="expression" dxfId="373" priority="73">
      <formula>V70=$D$145</formula>
    </cfRule>
    <cfRule type="expression" dxfId="372" priority="74">
      <formula>V70=$D$144</formula>
    </cfRule>
  </conditionalFormatting>
  <conditionalFormatting sqref="Z70:AC70">
    <cfRule type="expression" dxfId="371" priority="69">
      <formula>Z70=$D$146</formula>
    </cfRule>
    <cfRule type="expression" dxfId="370" priority="70">
      <formula>Z70=$D$145</formula>
    </cfRule>
    <cfRule type="expression" dxfId="369" priority="71">
      <formula>Z70=$D$144</formula>
    </cfRule>
  </conditionalFormatting>
  <conditionalFormatting sqref="AD70:AG70">
    <cfRule type="expression" dxfId="368" priority="66">
      <formula>AD70=$D$146</formula>
    </cfRule>
    <cfRule type="expression" dxfId="367" priority="67">
      <formula>AD70=$D$145</formula>
    </cfRule>
    <cfRule type="expression" dxfId="366" priority="68">
      <formula>AD70=$D$144</formula>
    </cfRule>
  </conditionalFormatting>
  <conditionalFormatting sqref="J70:Q70">
    <cfRule type="expression" dxfId="365" priority="78">
      <formula>J70=$D$146</formula>
    </cfRule>
    <cfRule type="expression" dxfId="364" priority="79">
      <formula>J70=$D$145</formula>
    </cfRule>
    <cfRule type="expression" dxfId="363" priority="80">
      <formula>J70=$D$144</formula>
    </cfRule>
  </conditionalFormatting>
  <conditionalFormatting sqref="XD70:XFD70 LD70 LG70 LK70:XB70 A70:LB70">
    <cfRule type="expression" priority="65">
      <formula>CELL("protect", INDIRECT(ADDRESS(ROW(),COLUMN())))=1</formula>
    </cfRule>
  </conditionalFormatting>
  <conditionalFormatting sqref="LH70">
    <cfRule type="expression" priority="62">
      <formula>CELL("protect", INDIRECT(ADDRESS(ROW(),COLUMN())))=1</formula>
    </cfRule>
  </conditionalFormatting>
  <conditionalFormatting sqref="R71:U71">
    <cfRule type="expression" dxfId="362" priority="56">
      <formula>R71=$D$146</formula>
    </cfRule>
    <cfRule type="expression" dxfId="361" priority="57">
      <formula>R71=$D$145</formula>
    </cfRule>
    <cfRule type="expression" dxfId="360" priority="58">
      <formula>R71=$D$144</formula>
    </cfRule>
  </conditionalFormatting>
  <conditionalFormatting sqref="V71:Y71">
    <cfRule type="expression" dxfId="359" priority="53">
      <formula>V71=$D$146</formula>
    </cfRule>
    <cfRule type="expression" dxfId="358" priority="54">
      <formula>V71=$D$145</formula>
    </cfRule>
    <cfRule type="expression" dxfId="357" priority="55">
      <formula>V71=$D$144</formula>
    </cfRule>
  </conditionalFormatting>
  <conditionalFormatting sqref="Z71:AC71">
    <cfRule type="expression" dxfId="356" priority="50">
      <formula>Z71=$D$146</formula>
    </cfRule>
    <cfRule type="expression" dxfId="355" priority="51">
      <formula>Z71=$D$145</formula>
    </cfRule>
    <cfRule type="expression" dxfId="354" priority="52">
      <formula>Z71=$D$144</formula>
    </cfRule>
  </conditionalFormatting>
  <conditionalFormatting sqref="AD71:AG71">
    <cfRule type="expression" dxfId="353" priority="47">
      <formula>AD71=$D$146</formula>
    </cfRule>
    <cfRule type="expression" dxfId="352" priority="48">
      <formula>AD71=$D$145</formula>
    </cfRule>
    <cfRule type="expression" dxfId="351" priority="49">
      <formula>AD71=$D$144</formula>
    </cfRule>
  </conditionalFormatting>
  <conditionalFormatting sqref="J71:Q71">
    <cfRule type="expression" dxfId="350" priority="59">
      <formula>J71=$D$146</formula>
    </cfRule>
    <cfRule type="expression" dxfId="349" priority="60">
      <formula>J71=$D$145</formula>
    </cfRule>
    <cfRule type="expression" dxfId="348" priority="61">
      <formula>J71=$D$144</formula>
    </cfRule>
  </conditionalFormatting>
  <conditionalFormatting sqref="XD71:XFD71 LD71 LG71 LK71:XB71 A71:LB71">
    <cfRule type="expression" priority="46">
      <formula>CELL("protect", INDIRECT(ADDRESS(ROW(),COLUMN())))=1</formula>
    </cfRule>
  </conditionalFormatting>
  <conditionalFormatting sqref="LH71">
    <cfRule type="expression" priority="43">
      <formula>CELL("protect", INDIRECT(ADDRESS(ROW(),COLUMN())))=1</formula>
    </cfRule>
  </conditionalFormatting>
  <conditionalFormatting sqref="D69:I69">
    <cfRule type="expression" priority="42">
      <formula>CELL("protect", INDIRECT(ADDRESS(ROW(),COLUMN())))=1</formula>
    </cfRule>
  </conditionalFormatting>
  <conditionalFormatting sqref="LF116 LF118">
    <cfRule type="expression" priority="41">
      <formula>CELL("protect", INDIRECT(ADDRESS(ROW(),COLUMN())))=1</formula>
    </cfRule>
  </conditionalFormatting>
  <conditionalFormatting sqref="LF117">
    <cfRule type="expression" priority="40">
      <formula>CELL("protect", INDIRECT(ADDRESS(ROW(),COLUMN())))=1</formula>
    </cfRule>
  </conditionalFormatting>
  <conditionalFormatting sqref="LI70:LJ71">
    <cfRule type="expression" priority="39">
      <formula>CELL("protect", INDIRECT(ADDRESS(ROW(),COLUMN())))=1</formula>
    </cfRule>
  </conditionalFormatting>
  <conditionalFormatting sqref="LC70:LC71">
    <cfRule type="cellIs" dxfId="347" priority="38" operator="equal">
      <formula>0</formula>
    </cfRule>
  </conditionalFormatting>
  <conditionalFormatting sqref="LF70">
    <cfRule type="expression" priority="37">
      <formula>CELL("protect", INDIRECT(ADDRESS(ROW(),COLUMN())))=1</formula>
    </cfRule>
  </conditionalFormatting>
  <conditionalFormatting sqref="LF71">
    <cfRule type="expression" priority="36">
      <formula>CELL("protect", INDIRECT(ADDRESS(ROW(),COLUMN())))=1</formula>
    </cfRule>
  </conditionalFormatting>
  <conditionalFormatting sqref="L65:L66">
    <cfRule type="expression" priority="33">
      <formula>CELL("protect", INDIRECT(ADDRESS(ROW(),COLUMN())))=1</formula>
    </cfRule>
  </conditionalFormatting>
  <conditionalFormatting sqref="K66">
    <cfRule type="expression" dxfId="346" priority="26">
      <formula>K66=$D$146</formula>
    </cfRule>
    <cfRule type="expression" dxfId="345" priority="27">
      <formula>K66=$D$145</formula>
    </cfRule>
    <cfRule type="expression" dxfId="344" priority="28">
      <formula>K66=$D$144</formula>
    </cfRule>
  </conditionalFormatting>
  <conditionalFormatting sqref="K65:K66">
    <cfRule type="expression" priority="25">
      <formula>CELL("protect", INDIRECT(ADDRESS(ROW(),COLUMN())))=1</formula>
    </cfRule>
  </conditionalFormatting>
  <conditionalFormatting sqref="M65:M66">
    <cfRule type="expression" priority="24">
      <formula>CELL("protect", INDIRECT(ADDRESS(ROW(),COLUMN())))=1</formula>
    </cfRule>
  </conditionalFormatting>
  <conditionalFormatting sqref="L64">
    <cfRule type="expression" priority="23">
      <formula>CELL("protect", INDIRECT(ADDRESS(ROW(),COLUMN())))=1</formula>
    </cfRule>
  </conditionalFormatting>
  <conditionalFormatting sqref="M64">
    <cfRule type="expression" priority="22">
      <formula>CELL("protect", INDIRECT(ADDRESS(ROW(),COLUMN())))=1</formula>
    </cfRule>
  </conditionalFormatting>
  <conditionalFormatting sqref="K45">
    <cfRule type="expression" dxfId="343" priority="15">
      <formula>K45=$D$146</formula>
    </cfRule>
    <cfRule type="expression" dxfId="342" priority="16">
      <formula>K45=$D$145</formula>
    </cfRule>
    <cfRule type="expression" dxfId="341" priority="17">
      <formula>K45=$D$144</formula>
    </cfRule>
  </conditionalFormatting>
  <conditionalFormatting sqref="K44:K45">
    <cfRule type="expression" priority="14">
      <formula>CELL("protect", INDIRECT(ADDRESS(ROW(),COLUMN())))=1</formula>
    </cfRule>
  </conditionalFormatting>
  <conditionalFormatting sqref="L44:L45">
    <cfRule type="expression" priority="13">
      <formula>CELL("protect", INDIRECT(ADDRESS(ROW(),COLUMN())))=1</formula>
    </cfRule>
  </conditionalFormatting>
  <conditionalFormatting sqref="M44:M45">
    <cfRule type="expression" priority="12">
      <formula>CELL("protect", INDIRECT(ADDRESS(ROW(),COLUMN())))=1</formula>
    </cfRule>
  </conditionalFormatting>
  <conditionalFormatting sqref="L43">
    <cfRule type="expression" priority="11">
      <formula>CELL("protect", INDIRECT(ADDRESS(ROW(),COLUMN())))=1</formula>
    </cfRule>
  </conditionalFormatting>
  <conditionalFormatting sqref="M43">
    <cfRule type="expression" priority="10">
      <formula>CELL("protect", INDIRECT(ADDRESS(ROW(),COLUMN())))=1</formula>
    </cfRule>
  </conditionalFormatting>
  <conditionalFormatting sqref="LM44:LN45">
    <cfRule type="expression" priority="9">
      <formula>CELL("protect", INDIRECT(ADDRESS(ROW(),COLUMN())))=1</formula>
    </cfRule>
  </conditionalFormatting>
  <conditionalFormatting sqref="LM43">
    <cfRule type="expression" priority="8">
      <formula>CELL("protect", INDIRECT(ADDRESS(ROW(),COLUMN())))=1</formula>
    </cfRule>
  </conditionalFormatting>
  <conditionalFormatting sqref="LN43">
    <cfRule type="expression" priority="7">
      <formula>CELL("protect", INDIRECT(ADDRESS(ROW(),COLUMN())))=1</formula>
    </cfRule>
  </conditionalFormatting>
  <conditionalFormatting sqref="LM65">
    <cfRule type="expression" priority="6">
      <formula>CELL("protect", INDIRECT(ADDRESS(ROW(),COLUMN())))=1</formula>
    </cfRule>
  </conditionalFormatting>
  <conditionalFormatting sqref="LN65">
    <cfRule type="expression" priority="5">
      <formula>CELL("protect", INDIRECT(ADDRESS(ROW(),COLUMN())))=1</formula>
    </cfRule>
  </conditionalFormatting>
  <conditionalFormatting sqref="LM64">
    <cfRule type="expression" priority="4">
      <formula>CELL("protect", INDIRECT(ADDRESS(ROW(),COLUMN())))=1</formula>
    </cfRule>
  </conditionalFormatting>
  <conditionalFormatting sqref="LN64">
    <cfRule type="expression" priority="3">
      <formula>CELL("protect", INDIRECT(ADDRESS(ROW(),COLUMN())))=1</formula>
    </cfRule>
  </conditionalFormatting>
  <conditionalFormatting sqref="LM66:LN66">
    <cfRule type="expression" priority="1">
      <formula>CELL("protect", INDIRECT(ADDRESS(ROW(),COLUMN())))=1</formula>
    </cfRule>
  </conditionalFormatting>
  <dataValidations count="2">
    <dataValidation type="list" allowBlank="1" showInputMessage="1" showErrorMessage="1" sqref="C7" xr:uid="{00000000-0002-0000-1A00-000000000000}">
      <formula1>$F$144:$F$146</formula1>
    </dataValidation>
    <dataValidation type="list" allowBlank="1" showInputMessage="1" showErrorMessage="1" sqref="J34:BE34 J16:LA19 J56:BA56 J61:U61 J24:BI24 J50:BA50 J29:Y29 J40:DA40" xr:uid="{00000000-0002-0000-1A00-000001000000}">
      <formula1>$D$144:$D$147</formula1>
    </dataValidation>
  </dataValidations>
  <hyperlinks>
    <hyperlink ref="C127" r:id="rId1" xr:uid="{00000000-0004-0000-1A00-000000000000}"/>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&amp;K8573622019-20 annual performance report tables&amp;R&amp;G</oddHeader>
    <oddFooter>&amp;L&amp;9&amp;K857362&amp;A&amp;R&amp;9&amp;K857362Printed: &amp;D &amp;T</oddFooter>
  </headerFooter>
  <customProperties>
    <customPr name="_pios_id" r:id="rId3"/>
    <customPr name="EpmWorksheetKeyString_GUID" r:id="rId4"/>
  </customProperties>
  <ignoredErrors>
    <ignoredError sqref="B114 B117:B118 B84:B87 B90 B93 B96 B99 B102 B105 B108 B111 E40 E45 E29 E34 E61 E66 E70:E71" numberStoredAsText="1"/>
  </ignoredErrors>
  <legacyDrawingHF r:id="rId5"/>
  <extLst>
    <ext xmlns:x14="http://schemas.microsoft.com/office/spreadsheetml/2009/9/main" uri="{78C0D931-6437-407d-A8EE-F0AAD7539E65}">
      <x14:conditionalFormattings>
        <x14:conditionalFormatting xmlns:xm="http://schemas.microsoft.com/office/excel/2006/main">
          <x14:cfRule type="expression" priority="891" id="{45D59E86-F4DD-4A70-977C-28117BEE52D3}">
            <xm:f>Validation!#REF!=1</xm:f>
            <x14:dxf>
              <fill>
                <patternFill>
                  <bgColor rgb="FFE0DCD8"/>
                </patternFill>
              </fill>
            </x14:dxf>
          </x14:cfRule>
          <xm:sqref>F50:AG50 F56:AG56</xm:sqref>
        </x14:conditionalFormatting>
        <x14:conditionalFormatting xmlns:xm="http://schemas.microsoft.com/office/excel/2006/main">
          <x14:cfRule type="expression" priority="111" id="{D723891B-53A5-4000-A320-5087D460F254}">
            <xm:f>Validation!#REF!=1</xm:f>
            <x14:dxf>
              <fill>
                <patternFill>
                  <bgColor rgb="FFE0DCD8"/>
                </patternFill>
              </fill>
            </x14:dxf>
          </x14:cfRule>
          <xm:sqref>G61:T61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003479"/>
    <pageSetUpPr fitToPage="1"/>
  </sheetPr>
  <dimension ref="A1:L35"/>
  <sheetViews>
    <sheetView topLeftCell="A1048576" workbookViewId="0">
      <selection activeCell="J55" sqref="J55"/>
    </sheetView>
  </sheetViews>
  <sheetFormatPr defaultColWidth="0" defaultRowHeight="14.25" customHeight="1" zeroHeight="1"/>
  <cols>
    <col min="1" max="1" width="0.5" style="8" customWidth="1"/>
    <col min="2" max="8" width="8.5" style="8" hidden="1" customWidth="1"/>
    <col min="9" max="16384" width="8.5" style="8" hidden="1"/>
  </cols>
  <sheetData>
    <row r="1" spans="12:12" hidden="1">
      <c r="L1" s="479"/>
    </row>
    <row r="2" spans="12:12" ht="51.75" hidden="1" customHeight="1">
      <c r="L2" s="479"/>
    </row>
    <row r="3" spans="12:12" ht="14.25" hidden="1" customHeight="1">
      <c r="L3" s="479"/>
    </row>
    <row r="4" spans="12:12" ht="14.25" hidden="1" customHeight="1">
      <c r="L4" s="479"/>
    </row>
    <row r="5" spans="12:12" ht="14.25" hidden="1" customHeight="1">
      <c r="L5" s="479"/>
    </row>
    <row r="6" spans="12:12" ht="14.25" hidden="1" customHeight="1">
      <c r="L6" s="479">
        <f>IF(Validation!$H$3=1,0,IF(ISNUMBER(#REF!),0,1))</f>
        <v>1</v>
      </c>
    </row>
    <row r="7" spans="12:12" ht="14.25" hidden="1" customHeight="1">
      <c r="L7" s="479"/>
    </row>
    <row r="8" spans="12:12" ht="14.25" hidden="1" customHeight="1">
      <c r="L8" s="479"/>
    </row>
    <row r="9" spans="12:12" ht="14.25" hidden="1" customHeight="1">
      <c r="L9" s="479"/>
    </row>
    <row r="10" spans="12:12" ht="14.25" hidden="1" customHeight="1">
      <c r="L10" s="479"/>
    </row>
    <row r="11" spans="12:12" ht="14.25" hidden="1" customHeight="1">
      <c r="L11" s="479"/>
    </row>
    <row r="12" spans="12:12" ht="14.25" hidden="1" customHeight="1">
      <c r="L12" s="479"/>
    </row>
    <row r="13" spans="12:12" ht="14.25" hidden="1" customHeight="1">
      <c r="L13" s="479"/>
    </row>
    <row r="14" spans="12:12" ht="14.25" hidden="1" customHeight="1">
      <c r="L14" s="479"/>
    </row>
    <row r="15" spans="12:12" ht="14.25" hidden="1" customHeight="1">
      <c r="L15" s="479"/>
    </row>
    <row r="16" spans="12:12" ht="14.25" hidden="1" customHeight="1">
      <c r="L16" s="479"/>
    </row>
    <row r="33" spans="8:8" ht="14.25" hidden="1" customHeight="1">
      <c r="H33" s="479"/>
    </row>
    <row r="34" spans="8:8" ht="14.25" hidden="1" customHeight="1">
      <c r="H34" s="479"/>
    </row>
    <row r="35" spans="8:8" ht="14.25" hidden="1" customHeight="1">
      <c r="H35" s="479" t="s">
        <v>32</v>
      </c>
    </row>
  </sheetData>
  <sheetProtection algorithmName="SHA-512" hashValue="xrEqwh9/GAENC1m/4ycah1tIg/HE2vlu6ovD3IagSBO0C48VN2wFhJ5XPcLOhqY+llRbCJRlGh4JEiARdO6pzQ==" saltValue="TDLr56Un4QEVtYu8n7l3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AH38"/>
  <sheetViews>
    <sheetView workbookViewId="0">
      <selection activeCell="G17" sqref="G17"/>
    </sheetView>
  </sheetViews>
  <sheetFormatPr defaultColWidth="0" defaultRowHeight="14.25" zeroHeight="1"/>
  <cols>
    <col min="1" max="1" width="0.5" style="74" customWidth="1"/>
    <col min="2" max="2" width="4.125" style="74" customWidth="1"/>
    <col min="3" max="3" width="48.5" style="74" customWidth="1"/>
    <col min="4" max="4" width="1.125" style="74" hidden="1" customWidth="1"/>
    <col min="5" max="6" width="5.5" style="74" customWidth="1"/>
    <col min="7" max="8" width="11.125" style="74" customWidth="1"/>
    <col min="9" max="9" width="2.375" style="70" customWidth="1"/>
    <col min="10" max="10" width="18.5" style="70" bestFit="1" customWidth="1"/>
    <col min="11" max="11" width="1.5" style="70" customWidth="1"/>
    <col min="12" max="12" width="1.125" style="71" hidden="1" customWidth="1"/>
    <col min="13" max="14" width="12.5" style="70" hidden="1" customWidth="1"/>
    <col min="15" max="15" width="1.125" style="71" hidden="1" customWidth="1"/>
    <col min="16" max="16" width="8.5" style="70" hidden="1" customWidth="1"/>
    <col min="17" max="17" width="8.5" style="74" hidden="1" customWidth="1"/>
    <col min="18" max="25" width="0" style="74" hidden="1" customWidth="1"/>
    <col min="26" max="26" width="8" style="74" customWidth="1"/>
    <col min="27" max="27" width="4.125" style="74" customWidth="1"/>
    <col min="28" max="28" width="48.5" style="74" customWidth="1"/>
    <col min="29" max="29" width="1.125" style="74" hidden="1" customWidth="1"/>
    <col min="30" max="31" width="5.5" style="74" customWidth="1"/>
    <col min="32" max="33" width="11.125" style="74" customWidth="1"/>
    <col min="34" max="34" width="2" style="74" customWidth="1"/>
    <col min="35" max="16384" width="8" style="74" hidden="1"/>
  </cols>
  <sheetData>
    <row r="1" spans="2:33" ht="20.25">
      <c r="B1" s="66" t="s">
        <v>3097</v>
      </c>
      <c r="C1" s="66"/>
      <c r="D1" s="66"/>
      <c r="E1" s="66"/>
      <c r="F1" s="66"/>
      <c r="G1" s="66"/>
      <c r="H1" s="66" t="str">
        <f>Validation!B3</f>
        <v>Yorkshire Water</v>
      </c>
      <c r="I1" s="66"/>
      <c r="J1" s="69" t="s">
        <v>34</v>
      </c>
      <c r="AA1" s="66" t="s">
        <v>35</v>
      </c>
      <c r="AB1" s="66"/>
      <c r="AC1" s="66"/>
      <c r="AD1" s="66"/>
      <c r="AE1" s="66"/>
      <c r="AF1" s="66"/>
      <c r="AG1" s="66"/>
    </row>
    <row r="2" spans="2:33" ht="15" thickBot="1">
      <c r="B2" s="73" t="s">
        <v>20</v>
      </c>
      <c r="C2" s="257"/>
      <c r="D2" s="257"/>
      <c r="AA2" s="73" t="s">
        <v>20</v>
      </c>
      <c r="AB2" s="257"/>
      <c r="AC2" s="257"/>
    </row>
    <row r="3" spans="2:33" ht="19.5" customHeight="1">
      <c r="B3" s="3106" t="s">
        <v>36</v>
      </c>
      <c r="C3" s="3107"/>
      <c r="D3" s="2993" t="s">
        <v>3098</v>
      </c>
      <c r="E3" s="3110" t="s">
        <v>38</v>
      </c>
      <c r="F3" s="3112" t="s">
        <v>39</v>
      </c>
      <c r="G3" s="3114" t="s">
        <v>158</v>
      </c>
      <c r="H3" s="3115"/>
      <c r="J3" s="3070" t="s">
        <v>43</v>
      </c>
      <c r="AA3" s="3106" t="s">
        <v>36</v>
      </c>
      <c r="AB3" s="3107"/>
      <c r="AC3" s="2993" t="s">
        <v>3098</v>
      </c>
      <c r="AD3" s="3110" t="s">
        <v>38</v>
      </c>
      <c r="AE3" s="3112" t="s">
        <v>39</v>
      </c>
      <c r="AF3" s="3114" t="s">
        <v>158</v>
      </c>
      <c r="AG3" s="3115"/>
    </row>
    <row r="4" spans="2:33" ht="15" thickBot="1">
      <c r="B4" s="3108"/>
      <c r="C4" s="3109"/>
      <c r="D4" s="2994"/>
      <c r="E4" s="3111"/>
      <c r="F4" s="3113"/>
      <c r="G4" s="259" t="s">
        <v>2055</v>
      </c>
      <c r="H4" s="260" t="s">
        <v>2060</v>
      </c>
      <c r="J4" s="3071"/>
      <c r="M4" s="1559" t="s">
        <v>47</v>
      </c>
      <c r="N4" s="1559"/>
      <c r="AA4" s="3108"/>
      <c r="AB4" s="3109"/>
      <c r="AC4" s="2994"/>
      <c r="AD4" s="3111"/>
      <c r="AE4" s="3113"/>
      <c r="AF4" s="259" t="s">
        <v>2055</v>
      </c>
      <c r="AG4" s="260" t="s">
        <v>2060</v>
      </c>
    </row>
    <row r="5" spans="2:33" ht="15" thickBot="1"/>
    <row r="6" spans="2:33" ht="15" thickBot="1">
      <c r="B6" s="292" t="s">
        <v>902</v>
      </c>
      <c r="C6" s="293"/>
      <c r="D6" s="1508"/>
      <c r="E6" s="262"/>
      <c r="F6" s="262"/>
      <c r="G6" s="262"/>
      <c r="H6" s="262"/>
      <c r="J6" s="126"/>
      <c r="AA6" s="292" t="s">
        <v>902</v>
      </c>
      <c r="AB6" s="293"/>
      <c r="AC6" s="1508"/>
      <c r="AD6" s="262"/>
      <c r="AE6" s="262"/>
      <c r="AF6" s="262"/>
      <c r="AG6" s="262"/>
    </row>
    <row r="7" spans="2:33" ht="15" thickBot="1">
      <c r="B7" s="3018" t="s">
        <v>155</v>
      </c>
      <c r="C7" s="298" t="s">
        <v>905</v>
      </c>
      <c r="D7" s="1508"/>
      <c r="E7" s="262"/>
      <c r="F7" s="262"/>
      <c r="G7" s="262"/>
      <c r="H7" s="262"/>
      <c r="J7" s="126"/>
      <c r="M7" s="164" t="s">
        <v>48</v>
      </c>
      <c r="N7" s="127"/>
      <c r="AA7" s="3018" t="s">
        <v>155</v>
      </c>
      <c r="AB7" s="298" t="s">
        <v>905</v>
      </c>
      <c r="AC7" s="1508"/>
      <c r="AD7" s="262"/>
      <c r="AE7" s="262"/>
      <c r="AF7" s="262"/>
      <c r="AG7" s="262"/>
    </row>
    <row r="8" spans="2:33">
      <c r="B8" s="288" t="s">
        <v>3099</v>
      </c>
      <c r="C8" s="273" t="s">
        <v>3100</v>
      </c>
      <c r="D8" s="273"/>
      <c r="E8" s="274" t="s">
        <v>3101</v>
      </c>
      <c r="F8" s="275">
        <v>3</v>
      </c>
      <c r="G8" s="428">
        <v>63.552999999999997</v>
      </c>
      <c r="H8" s="429">
        <v>54.232999999999997</v>
      </c>
      <c r="J8" s="24">
        <f t="shared" ref="J8:J9" si="0" xml:space="preserve"> IF( SUM( L8:O8 ) = 0, 0, $M$7 )</f>
        <v>0</v>
      </c>
      <c r="M8" s="93">
        <f xml:space="preserve"> IF( ISNUMBER( G8 ), 0, 1 )</f>
        <v>0</v>
      </c>
      <c r="N8" s="93">
        <f xml:space="preserve"> IF( ISNUMBER( H8 ), 0, 1 )</f>
        <v>0</v>
      </c>
      <c r="AA8" s="288" t="s">
        <v>3099</v>
      </c>
      <c r="AB8" s="273" t="s">
        <v>3100</v>
      </c>
      <c r="AC8" s="273"/>
      <c r="AD8" s="274" t="s">
        <v>3101</v>
      </c>
      <c r="AE8" s="275">
        <v>3</v>
      </c>
      <c r="AF8" s="2640" t="s">
        <v>3102</v>
      </c>
      <c r="AG8" s="2641" t="s">
        <v>3103</v>
      </c>
    </row>
    <row r="9" spans="2:33" ht="15" thickBot="1">
      <c r="B9" s="290" t="s">
        <v>3104</v>
      </c>
      <c r="C9" s="282" t="s">
        <v>3105</v>
      </c>
      <c r="D9" s="282"/>
      <c r="E9" s="283" t="s">
        <v>3106</v>
      </c>
      <c r="F9" s="284">
        <v>2</v>
      </c>
      <c r="G9" s="2972">
        <v>158.22999999999999</v>
      </c>
      <c r="H9" s="2973">
        <v>112.52</v>
      </c>
      <c r="J9" s="24">
        <f t="shared" si="0"/>
        <v>0</v>
      </c>
      <c r="M9" s="93">
        <f xml:space="preserve"> IF( ISNUMBER( G9 ), 0, 1 )</f>
        <v>0</v>
      </c>
      <c r="N9" s="93">
        <f xml:space="preserve"> IF( ISNUMBER( H9 ), 0, 1 )</f>
        <v>0</v>
      </c>
      <c r="AA9" s="290" t="s">
        <v>3104</v>
      </c>
      <c r="AB9" s="282" t="s">
        <v>3105</v>
      </c>
      <c r="AC9" s="282"/>
      <c r="AD9" s="283" t="s">
        <v>3106</v>
      </c>
      <c r="AE9" s="284">
        <v>2</v>
      </c>
      <c r="AF9" s="2642" t="s">
        <v>3107</v>
      </c>
      <c r="AG9" s="2643" t="s">
        <v>3108</v>
      </c>
    </row>
    <row r="10" spans="2:33">
      <c r="B10" s="294"/>
      <c r="C10" s="267"/>
      <c r="D10" s="267"/>
      <c r="E10" s="269"/>
      <c r="F10" s="269"/>
      <c r="G10" s="295"/>
      <c r="H10" s="295"/>
      <c r="J10" s="126"/>
      <c r="M10" s="280"/>
      <c r="N10" s="110"/>
      <c r="AA10" s="294"/>
      <c r="AB10" s="267"/>
      <c r="AC10" s="267"/>
      <c r="AD10" s="269"/>
      <c r="AE10" s="269"/>
      <c r="AF10" s="295"/>
      <c r="AG10" s="295"/>
    </row>
    <row r="11" spans="2:33" ht="15" thickBot="1">
      <c r="B11" s="294"/>
      <c r="C11" s="267"/>
      <c r="D11" s="267"/>
      <c r="E11" s="269"/>
      <c r="F11" s="269"/>
      <c r="G11" s="295"/>
      <c r="H11" s="295"/>
      <c r="J11" s="126"/>
      <c r="M11" s="280"/>
      <c r="N11" s="110"/>
      <c r="AA11" s="294"/>
      <c r="AB11" s="267"/>
      <c r="AC11" s="267"/>
      <c r="AD11" s="269"/>
      <c r="AE11" s="269"/>
      <c r="AF11" s="295"/>
      <c r="AG11" s="295"/>
    </row>
    <row r="12" spans="2:33" ht="15" thickBot="1">
      <c r="B12" s="294"/>
      <c r="C12" s="267"/>
      <c r="D12" s="267"/>
      <c r="E12" s="269"/>
      <c r="F12" s="269"/>
      <c r="G12" s="296" t="s">
        <v>1628</v>
      </c>
      <c r="H12" s="297" t="s">
        <v>1629</v>
      </c>
      <c r="J12" s="126"/>
      <c r="M12" s="280"/>
      <c r="N12" s="110"/>
      <c r="AA12" s="294"/>
      <c r="AB12" s="267"/>
      <c r="AC12" s="267"/>
      <c r="AD12" s="269"/>
      <c r="AE12" s="269"/>
      <c r="AF12" s="296" t="s">
        <v>1628</v>
      </c>
      <c r="AG12" s="297" t="s">
        <v>1629</v>
      </c>
    </row>
    <row r="13" spans="2:33" ht="15" thickBot="1">
      <c r="B13" s="292" t="s">
        <v>903</v>
      </c>
      <c r="C13" s="293"/>
      <c r="D13" s="1508"/>
      <c r="E13" s="269"/>
      <c r="F13" s="269"/>
      <c r="G13" s="606"/>
      <c r="H13" s="606"/>
      <c r="I13" s="192"/>
      <c r="J13" s="126"/>
      <c r="M13" s="280"/>
      <c r="N13" s="110"/>
      <c r="AA13" s="292" t="s">
        <v>903</v>
      </c>
      <c r="AB13" s="293"/>
      <c r="AC13" s="1508"/>
      <c r="AD13" s="269"/>
      <c r="AE13" s="269"/>
      <c r="AF13" s="606"/>
      <c r="AG13" s="606"/>
    </row>
    <row r="14" spans="2:33" ht="15" thickBot="1">
      <c r="B14" s="3018" t="s">
        <v>177</v>
      </c>
      <c r="C14" s="298" t="s">
        <v>3109</v>
      </c>
      <c r="D14" s="1508"/>
      <c r="E14" s="299"/>
      <c r="F14" s="299"/>
      <c r="J14" s="126"/>
      <c r="M14" s="280"/>
      <c r="N14" s="110"/>
      <c r="AA14" s="3018" t="s">
        <v>177</v>
      </c>
      <c r="AB14" s="298" t="s">
        <v>3109</v>
      </c>
      <c r="AC14" s="1508"/>
      <c r="AD14" s="299"/>
      <c r="AE14" s="299"/>
    </row>
    <row r="15" spans="2:33">
      <c r="B15" s="288" t="s">
        <v>3110</v>
      </c>
      <c r="C15" s="273" t="s">
        <v>3111</v>
      </c>
      <c r="D15" s="273"/>
      <c r="E15" s="300" t="s">
        <v>2933</v>
      </c>
      <c r="F15" s="275">
        <v>3</v>
      </c>
      <c r="G15" s="430">
        <v>0.28599999999999998</v>
      </c>
      <c r="H15" s="431">
        <v>0</v>
      </c>
      <c r="J15" s="24">
        <f t="shared" ref="J15:J16" si="1" xml:space="preserve"> IF( SUM( L15:O15 ) = 0, 0, $M$7 )</f>
        <v>0</v>
      </c>
      <c r="M15" s="93">
        <f t="shared" ref="M15:M17" si="2" xml:space="preserve"> IF( ISNUMBER( G15 ), 0, 1 )</f>
        <v>0</v>
      </c>
      <c r="N15" s="93">
        <f>IF(Validation!$H$3=1,0,IF(ISNUMBER(H15),0,1))</f>
        <v>0</v>
      </c>
      <c r="AA15" s="288" t="s">
        <v>3110</v>
      </c>
      <c r="AB15" s="273" t="s">
        <v>3111</v>
      </c>
      <c r="AC15" s="273"/>
      <c r="AD15" s="300" t="s">
        <v>2933</v>
      </c>
      <c r="AE15" s="275">
        <v>3</v>
      </c>
      <c r="AF15" s="2644" t="s">
        <v>3112</v>
      </c>
      <c r="AG15" s="2645" t="s">
        <v>3113</v>
      </c>
    </row>
    <row r="16" spans="2:33" ht="15" thickBot="1">
      <c r="B16" s="289" t="s">
        <v>3114</v>
      </c>
      <c r="C16" s="277" t="s">
        <v>3115</v>
      </c>
      <c r="D16" s="277"/>
      <c r="E16" s="301" t="s">
        <v>2933</v>
      </c>
      <c r="F16" s="279">
        <v>3</v>
      </c>
      <c r="G16" s="432">
        <v>59.939</v>
      </c>
      <c r="H16" s="433">
        <v>0</v>
      </c>
      <c r="J16" s="24">
        <f t="shared" si="1"/>
        <v>0</v>
      </c>
      <c r="M16" s="93">
        <f t="shared" si="2"/>
        <v>0</v>
      </c>
      <c r="N16" s="93">
        <f>IF(Validation!$H$3=1,0,IF(ISNUMBER(H16),0,1))</f>
        <v>0</v>
      </c>
      <c r="AA16" s="289" t="s">
        <v>3114</v>
      </c>
      <c r="AB16" s="277" t="s">
        <v>3115</v>
      </c>
      <c r="AC16" s="277"/>
      <c r="AD16" s="301" t="s">
        <v>2933</v>
      </c>
      <c r="AE16" s="279">
        <v>3</v>
      </c>
      <c r="AF16" s="2646" t="s">
        <v>3116</v>
      </c>
      <c r="AG16" s="2647" t="s">
        <v>3117</v>
      </c>
    </row>
    <row r="17" spans="1:33" ht="15" thickBot="1">
      <c r="B17" s="290" t="s">
        <v>3118</v>
      </c>
      <c r="C17" s="282" t="s">
        <v>3119</v>
      </c>
      <c r="D17" s="282"/>
      <c r="E17" s="283" t="s">
        <v>2933</v>
      </c>
      <c r="F17" s="284">
        <v>3</v>
      </c>
      <c r="G17" s="2974">
        <v>1246.04</v>
      </c>
      <c r="H17" s="163"/>
      <c r="J17" s="24">
        <f xml:space="preserve"> IF( SUM( L17:O17 ) = 0, 0, $M$7 )</f>
        <v>0</v>
      </c>
      <c r="M17" s="93">
        <f t="shared" si="2"/>
        <v>0</v>
      </c>
      <c r="N17" s="110"/>
      <c r="AA17" s="290" t="s">
        <v>3118</v>
      </c>
      <c r="AB17" s="282" t="s">
        <v>3119</v>
      </c>
      <c r="AC17" s="282"/>
      <c r="AD17" s="283" t="s">
        <v>2933</v>
      </c>
      <c r="AE17" s="284">
        <v>3</v>
      </c>
      <c r="AF17" s="2648" t="s">
        <v>3120</v>
      </c>
      <c r="AG17" s="163"/>
    </row>
    <row r="18" spans="1:33" s="70" customFormat="1">
      <c r="E18" s="85"/>
      <c r="F18" s="85"/>
      <c r="H18" s="163"/>
      <c r="J18" s="126"/>
      <c r="L18" s="71"/>
      <c r="M18" s="280"/>
      <c r="N18" s="110"/>
      <c r="O18" s="71"/>
      <c r="AD18" s="85"/>
      <c r="AE18" s="85"/>
      <c r="AG18" s="163"/>
    </row>
    <row r="19" spans="1:33" s="163" customFormat="1">
      <c r="B19" s="3077" t="s">
        <v>243</v>
      </c>
      <c r="C19" s="3077"/>
      <c r="D19" s="2988"/>
      <c r="I19" s="70"/>
      <c r="J19" s="126"/>
      <c r="K19" s="70"/>
      <c r="L19" s="71"/>
      <c r="M19" s="280"/>
      <c r="N19" s="110"/>
      <c r="O19" s="71"/>
      <c r="P19" s="70"/>
    </row>
    <row r="20" spans="1:33" s="163" customFormat="1">
      <c r="B20" s="141"/>
      <c r="C20" s="142"/>
      <c r="D20" s="142"/>
      <c r="I20" s="118"/>
      <c r="J20" s="126"/>
      <c r="K20" s="118"/>
      <c r="L20" s="124"/>
      <c r="M20" s="280"/>
      <c r="N20" s="110"/>
      <c r="O20" s="124"/>
      <c r="P20" s="110"/>
    </row>
    <row r="21" spans="1:33" s="163" customFormat="1" ht="12">
      <c r="B21" s="25"/>
      <c r="C21" s="143" t="s">
        <v>190</v>
      </c>
      <c r="D21" s="143"/>
      <c r="I21" s="126"/>
      <c r="J21" s="126"/>
      <c r="K21" s="126"/>
      <c r="L21" s="119"/>
      <c r="M21" s="203"/>
      <c r="O21" s="119"/>
    </row>
    <row r="22" spans="1:33" s="163" customFormat="1" ht="12">
      <c r="B22" s="141"/>
      <c r="C22" s="142"/>
      <c r="D22" s="142"/>
      <c r="I22" s="126"/>
      <c r="J22" s="126"/>
      <c r="K22" s="126"/>
      <c r="L22" s="119"/>
      <c r="M22" s="203"/>
      <c r="O22" s="119"/>
    </row>
    <row r="23" spans="1:33" s="163" customFormat="1" ht="12">
      <c r="B23" s="144"/>
      <c r="C23" s="143" t="s">
        <v>191</v>
      </c>
      <c r="D23" s="143"/>
      <c r="I23" s="126"/>
      <c r="J23" s="126"/>
      <c r="K23" s="126"/>
      <c r="L23" s="119"/>
      <c r="M23" s="203"/>
      <c r="O23" s="119"/>
    </row>
    <row r="24" spans="1:33" s="163" customFormat="1" ht="12">
      <c r="B24" s="145"/>
      <c r="C24" s="143"/>
      <c r="D24" s="143"/>
      <c r="I24" s="126"/>
      <c r="J24" s="126"/>
      <c r="K24" s="126"/>
      <c r="L24" s="119"/>
      <c r="M24" s="203"/>
      <c r="O24" s="119"/>
    </row>
    <row r="25" spans="1:33" s="110" customFormat="1" ht="15" thickBot="1">
      <c r="C25" s="152"/>
      <c r="D25" s="152"/>
      <c r="I25" s="126"/>
      <c r="J25" s="126"/>
      <c r="K25" s="126"/>
      <c r="L25" s="119"/>
      <c r="M25" s="203"/>
      <c r="N25" s="163"/>
      <c r="O25" s="119"/>
      <c r="P25" s="163"/>
    </row>
    <row r="26" spans="1:33" s="110" customFormat="1" ht="32.25" customHeight="1" thickBot="1">
      <c r="B26" s="3197" t="s">
        <v>192</v>
      </c>
      <c r="C26" s="3243"/>
      <c r="D26" s="3243"/>
      <c r="E26" s="3243"/>
      <c r="F26" s="3243"/>
      <c r="G26" s="3243"/>
      <c r="H26" s="3244"/>
      <c r="I26" s="126"/>
      <c r="J26" s="126"/>
      <c r="K26" s="126"/>
      <c r="L26" s="119"/>
      <c r="M26" s="1372"/>
      <c r="N26" s="163"/>
      <c r="O26" s="119"/>
      <c r="P26" s="163"/>
    </row>
    <row r="27" spans="1:33" s="110" customFormat="1">
      <c r="C27" s="152"/>
      <c r="D27" s="152"/>
      <c r="I27" s="126"/>
      <c r="J27" s="126"/>
      <c r="K27" s="126"/>
      <c r="L27" s="119"/>
      <c r="M27" s="203"/>
      <c r="N27" s="163"/>
      <c r="O27" s="119"/>
      <c r="P27" s="163"/>
    </row>
    <row r="28" spans="1:33" s="110" customFormat="1" ht="16.5" hidden="1" thickBot="1">
      <c r="A28" s="1560"/>
      <c r="B28" s="146" t="str">
        <f ca="1" xml:space="preserve"> RIGHT(CELL("filename", $A$1), LEN(CELL("filename", $A$1)) - SEARCH("]", CELL("filename", $A$1)))&amp;" - Line definitions"</f>
        <v>4A - Line definitions</v>
      </c>
      <c r="C28" s="147"/>
      <c r="D28" s="147"/>
      <c r="E28" s="148"/>
      <c r="F28" s="148"/>
      <c r="G28" s="148"/>
      <c r="H28" s="251"/>
      <c r="I28" s="130"/>
      <c r="J28" s="126"/>
      <c r="K28" s="126"/>
      <c r="L28" s="119"/>
      <c r="M28" s="302"/>
      <c r="N28" s="178"/>
      <c r="O28" s="119"/>
      <c r="P28" s="178"/>
    </row>
    <row r="29" spans="1:33" s="110" customFormat="1" ht="15" hidden="1" thickBot="1">
      <c r="A29" s="1560"/>
      <c r="B29" s="74"/>
      <c r="C29" s="155"/>
      <c r="D29" s="155"/>
      <c r="E29" s="74"/>
      <c r="F29" s="74"/>
      <c r="G29" s="74"/>
      <c r="I29" s="130"/>
      <c r="J29" s="126"/>
      <c r="K29" s="126"/>
      <c r="L29" s="119"/>
      <c r="M29" s="302"/>
      <c r="N29" s="178"/>
      <c r="O29" s="119"/>
      <c r="P29" s="178"/>
    </row>
    <row r="30" spans="1:33" s="178" customFormat="1" ht="15" hidden="1" thickBot="1">
      <c r="A30" s="1561"/>
      <c r="B30" s="287" t="s">
        <v>193</v>
      </c>
      <c r="C30" s="3013" t="s">
        <v>194</v>
      </c>
      <c r="D30" s="3014"/>
      <c r="E30" s="3014"/>
      <c r="F30" s="3014"/>
      <c r="G30" s="3014"/>
      <c r="H30" s="3015"/>
      <c r="I30" s="130"/>
      <c r="J30" s="120"/>
      <c r="K30" s="118"/>
      <c r="L30" s="124"/>
      <c r="M30" s="85" t="s">
        <v>195</v>
      </c>
      <c r="N30" s="110"/>
      <c r="O30" s="124"/>
      <c r="P30" s="110"/>
    </row>
    <row r="31" spans="1:33" s="110" customFormat="1" ht="58.7" hidden="1" customHeight="1">
      <c r="A31" s="1560"/>
      <c r="B31" s="159" t="s">
        <v>3099</v>
      </c>
      <c r="C31" s="3125" t="s">
        <v>3121</v>
      </c>
      <c r="D31" s="3126"/>
      <c r="E31" s="3126"/>
      <c r="F31" s="3126"/>
      <c r="G31" s="3126"/>
      <c r="H31" s="3127"/>
      <c r="I31" s="130"/>
      <c r="J31" s="120"/>
      <c r="K31" s="118"/>
      <c r="L31" s="124"/>
      <c r="M31" s="207" t="s">
        <v>1340</v>
      </c>
      <c r="O31" s="124"/>
    </row>
    <row r="32" spans="1:33" s="110" customFormat="1" ht="139.69999999999999" hidden="1" customHeight="1">
      <c r="A32" s="1560"/>
      <c r="B32" s="159" t="s">
        <v>3104</v>
      </c>
      <c r="C32" s="3125" t="s">
        <v>3122</v>
      </c>
      <c r="D32" s="3126"/>
      <c r="E32" s="3126"/>
      <c r="F32" s="3126"/>
      <c r="G32" s="3126"/>
      <c r="H32" s="3127"/>
      <c r="I32" s="130"/>
      <c r="J32" s="120"/>
      <c r="K32" s="118"/>
      <c r="L32" s="124"/>
      <c r="M32" s="202" t="s">
        <v>1326</v>
      </c>
      <c r="N32" s="120"/>
      <c r="O32" s="124"/>
      <c r="P32" s="120"/>
    </row>
    <row r="33" spans="1:16" s="110" customFormat="1" ht="139.69999999999999" hidden="1" customHeight="1">
      <c r="A33" s="1560"/>
      <c r="B33" s="159" t="s">
        <v>3104</v>
      </c>
      <c r="C33" s="3125" t="s">
        <v>3123</v>
      </c>
      <c r="D33" s="3126"/>
      <c r="E33" s="3126"/>
      <c r="F33" s="3126"/>
      <c r="G33" s="3126"/>
      <c r="H33" s="3127"/>
      <c r="I33" s="130"/>
      <c r="J33" s="120"/>
      <c r="K33" s="118"/>
      <c r="L33" s="124"/>
      <c r="M33" s="202" t="s">
        <v>1326</v>
      </c>
      <c r="N33" s="120"/>
      <c r="O33" s="124"/>
      <c r="P33" s="120"/>
    </row>
    <row r="34" spans="1:16" s="110" customFormat="1" ht="25.5" hidden="1">
      <c r="A34" s="1560"/>
      <c r="B34" s="159" t="s">
        <v>3110</v>
      </c>
      <c r="C34" s="3125" t="s">
        <v>3124</v>
      </c>
      <c r="D34" s="3126"/>
      <c r="E34" s="3126"/>
      <c r="F34" s="3126"/>
      <c r="G34" s="3126"/>
      <c r="H34" s="3127"/>
      <c r="I34" s="130"/>
      <c r="J34" s="120"/>
      <c r="K34" s="118"/>
      <c r="L34" s="124"/>
      <c r="M34" s="207" t="s">
        <v>197</v>
      </c>
      <c r="N34" s="120"/>
      <c r="O34" s="124"/>
      <c r="P34" s="120"/>
    </row>
    <row r="35" spans="1:16" ht="23.25" hidden="1" customHeight="1">
      <c r="A35" s="1564"/>
      <c r="B35" s="159" t="s">
        <v>3114</v>
      </c>
      <c r="C35" s="3125" t="s">
        <v>3125</v>
      </c>
      <c r="D35" s="3126"/>
      <c r="E35" s="3126"/>
      <c r="F35" s="3126"/>
      <c r="G35" s="3126"/>
      <c r="H35" s="3127"/>
      <c r="I35" s="130"/>
      <c r="M35" s="161" t="s">
        <v>197</v>
      </c>
    </row>
    <row r="36" spans="1:16" ht="24" hidden="1" customHeight="1" thickBot="1">
      <c r="A36" s="1564"/>
      <c r="B36" s="183" t="s">
        <v>3118</v>
      </c>
      <c r="C36" s="3131" t="s">
        <v>3126</v>
      </c>
      <c r="D36" s="3132"/>
      <c r="E36" s="3132"/>
      <c r="F36" s="3132"/>
      <c r="G36" s="3132"/>
      <c r="H36" s="3133"/>
      <c r="I36" s="130"/>
      <c r="M36" s="161" t="s">
        <v>197</v>
      </c>
    </row>
    <row r="37" spans="1:16" hidden="1">
      <c r="A37" s="1564"/>
      <c r="I37" s="130"/>
    </row>
    <row r="38" spans="1:16" hidden="1">
      <c r="I38" s="130"/>
    </row>
  </sheetData>
  <sheetProtection algorithmName="SHA-512" hashValue="wnX66lWVfZ+BNp4pDYL9EDTbNVjNHwk91kXtZRnEDO7sS1mAw4UZCyE2CbFvcBphsj3GndxylWo6xq7zus62EA==" saltValue="t+vqzZPt5g8tjD7N18/NoQ==" spinCount="100000" sheet="1" objects="1" scenarios="1"/>
  <mergeCells count="17">
    <mergeCell ref="B3:C4"/>
    <mergeCell ref="E3:E4"/>
    <mergeCell ref="F3:F4"/>
    <mergeCell ref="G3:H3"/>
    <mergeCell ref="C36:H36"/>
    <mergeCell ref="B19:C19"/>
    <mergeCell ref="C31:H31"/>
    <mergeCell ref="C32:H32"/>
    <mergeCell ref="C33:H33"/>
    <mergeCell ref="C34:H34"/>
    <mergeCell ref="C35:H35"/>
    <mergeCell ref="B26:H26"/>
    <mergeCell ref="AA3:AB4"/>
    <mergeCell ref="AD3:AD4"/>
    <mergeCell ref="AE3:AE4"/>
    <mergeCell ref="AF3:AG3"/>
    <mergeCell ref="J3:J4"/>
  </mergeCells>
  <conditionalFormatting sqref="J8:J9">
    <cfRule type="cellIs" dxfId="338" priority="4" operator="equal">
      <formula>0</formula>
    </cfRule>
  </conditionalFormatting>
  <conditionalFormatting sqref="J15:J17">
    <cfRule type="cellIs" dxfId="337"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479"/>
    <pageSetUpPr fitToPage="1"/>
  </sheetPr>
  <dimension ref="H33:H35"/>
  <sheetViews>
    <sheetView topLeftCell="XFD1048576" workbookViewId="0"/>
  </sheetViews>
  <sheetFormatPr defaultColWidth="0" defaultRowHeight="14.25" customHeight="1" zeroHeight="1"/>
  <cols>
    <col min="1" max="8" width="8.5" style="8" hidden="1" customWidth="1"/>
    <col min="9" max="16384" width="8.5" style="8" hidden="1"/>
  </cols>
  <sheetData>
    <row r="33" spans="8:8" ht="14.25" hidden="1" customHeight="1">
      <c r="H33" s="479"/>
    </row>
    <row r="34" spans="8:8" ht="14.25" hidden="1" customHeight="1">
      <c r="H34" s="479"/>
    </row>
    <row r="35" spans="8:8" ht="14.25" hidden="1" customHeight="1">
      <c r="H35" s="479" t="s">
        <v>32</v>
      </c>
    </row>
  </sheetData>
  <sheetProtection algorithmName="SHA-512" hashValue="LZuNwhh61DpOKMVjgEl9TYj3P3a2ejnZyNEqGekJXEU3RL88sIQ4xh4txge1YHYYl/2iqVFC7kHhy5/5AXICFQ==" saltValue="pGdnX7E10fx2xjguTvmis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AP47"/>
  <sheetViews>
    <sheetView workbookViewId="0">
      <selection activeCell="K23" sqref="K23"/>
    </sheetView>
  </sheetViews>
  <sheetFormatPr defaultColWidth="0" defaultRowHeight="14.25" zeroHeight="1"/>
  <cols>
    <col min="1" max="1" width="0.5" style="74" customWidth="1"/>
    <col min="2" max="2" width="5.125" style="74" customWidth="1"/>
    <col min="3" max="3" width="46.5" style="74" bestFit="1" customWidth="1"/>
    <col min="4" max="4" width="1.125" style="74" hidden="1" customWidth="1"/>
    <col min="5" max="6" width="5.5" style="74" customWidth="1"/>
    <col min="7" max="12" width="11.125" style="74" customWidth="1"/>
    <col min="13" max="13" width="1.5" style="70" customWidth="1"/>
    <col min="14" max="14" width="18.5" style="70" bestFit="1" customWidth="1"/>
    <col min="15" max="15" width="1.5" style="70" customWidth="1"/>
    <col min="16" max="16" width="1.5" style="71" hidden="1" customWidth="1"/>
    <col min="17" max="22" width="8.5" style="70" hidden="1" customWidth="1"/>
    <col min="23" max="23" width="1.5" style="71" hidden="1" customWidth="1"/>
    <col min="24" max="24" width="8.5" style="70" hidden="1" customWidth="1"/>
    <col min="25" max="29" width="0" style="74" hidden="1" customWidth="1"/>
    <col min="30" max="30" width="8" style="74" customWidth="1"/>
    <col min="31" max="31" width="5.125" style="74" customWidth="1"/>
    <col min="32" max="32" width="46.5" style="74" bestFit="1" customWidth="1"/>
    <col min="33" max="33" width="1.125" style="74" hidden="1" customWidth="1"/>
    <col min="34" max="35" width="5.5" style="74" customWidth="1"/>
    <col min="36" max="41" width="14.5" style="74" customWidth="1"/>
    <col min="42" max="42" width="2.5" style="74" customWidth="1"/>
    <col min="43" max="16384" width="8" style="74" hidden="1"/>
  </cols>
  <sheetData>
    <row r="1" spans="2:41" ht="20.25">
      <c r="B1" s="66" t="s">
        <v>3127</v>
      </c>
      <c r="C1" s="66"/>
      <c r="D1" s="66"/>
      <c r="E1" s="66"/>
      <c r="F1" s="66"/>
      <c r="G1" s="66"/>
      <c r="H1" s="66"/>
      <c r="I1" s="66"/>
      <c r="J1" s="66"/>
      <c r="K1" s="66"/>
      <c r="L1" s="68" t="str">
        <f>Validation!B3</f>
        <v>Yorkshire Water</v>
      </c>
      <c r="M1" s="66"/>
      <c r="N1" s="69" t="s">
        <v>34</v>
      </c>
      <c r="AE1" s="66" t="s">
        <v>35</v>
      </c>
      <c r="AF1" s="66"/>
      <c r="AG1" s="66"/>
      <c r="AH1" s="66"/>
      <c r="AI1" s="66"/>
      <c r="AJ1" s="66"/>
      <c r="AK1" s="66"/>
      <c r="AL1" s="66"/>
      <c r="AM1" s="66"/>
      <c r="AN1" s="66"/>
      <c r="AO1" s="68"/>
    </row>
    <row r="2" spans="2:41" ht="15" thickBot="1">
      <c r="B2" s="73" t="str">
        <f>'4A'!B2</f>
        <v>For the 12 months ended 31 March 2020</v>
      </c>
      <c r="C2" s="257"/>
      <c r="D2" s="257"/>
      <c r="L2" s="258"/>
      <c r="AE2" s="73" t="str">
        <f>+B2</f>
        <v>For the 12 months ended 31 March 2020</v>
      </c>
      <c r="AF2" s="257"/>
      <c r="AG2" s="257"/>
      <c r="AO2" s="258"/>
    </row>
    <row r="3" spans="2:41" ht="19.5" customHeight="1" thickBot="1">
      <c r="B3" s="3248" t="s">
        <v>36</v>
      </c>
      <c r="C3" s="3110"/>
      <c r="D3" s="2995" t="s">
        <v>3098</v>
      </c>
      <c r="E3" s="3110" t="s">
        <v>38</v>
      </c>
      <c r="F3" s="3250" t="s">
        <v>39</v>
      </c>
      <c r="G3" s="3245" t="s">
        <v>158</v>
      </c>
      <c r="H3" s="3246"/>
      <c r="I3" s="3246"/>
      <c r="J3" s="3245" t="s">
        <v>3128</v>
      </c>
      <c r="K3" s="3246"/>
      <c r="L3" s="3247"/>
      <c r="N3" s="2990" t="s">
        <v>43</v>
      </c>
      <c r="Q3" s="3072" t="s">
        <v>47</v>
      </c>
      <c r="R3" s="3072"/>
      <c r="S3" s="2987"/>
      <c r="T3" s="2987"/>
      <c r="U3" s="2987"/>
      <c r="V3" s="2987"/>
      <c r="AE3" s="3248" t="s">
        <v>36</v>
      </c>
      <c r="AF3" s="3110"/>
      <c r="AG3" s="2995" t="s">
        <v>3098</v>
      </c>
      <c r="AH3" s="3110" t="s">
        <v>38</v>
      </c>
      <c r="AI3" s="3250" t="s">
        <v>39</v>
      </c>
      <c r="AJ3" s="3245" t="s">
        <v>158</v>
      </c>
      <c r="AK3" s="3246"/>
      <c r="AL3" s="3246"/>
      <c r="AM3" s="3245" t="s">
        <v>3128</v>
      </c>
      <c r="AN3" s="3246"/>
      <c r="AO3" s="3247"/>
    </row>
    <row r="4" spans="2:41" ht="15" thickBot="1">
      <c r="B4" s="3249"/>
      <c r="C4" s="3111"/>
      <c r="D4" s="2996"/>
      <c r="E4" s="3111"/>
      <c r="F4" s="3251"/>
      <c r="G4" s="259" t="s">
        <v>1628</v>
      </c>
      <c r="H4" s="1960" t="s">
        <v>1629</v>
      </c>
      <c r="I4" s="260" t="s">
        <v>913</v>
      </c>
      <c r="J4" s="259" t="s">
        <v>1628</v>
      </c>
      <c r="K4" s="1960" t="s">
        <v>1629</v>
      </c>
      <c r="L4" s="260" t="s">
        <v>913</v>
      </c>
      <c r="Q4" s="164" t="s">
        <v>48</v>
      </c>
      <c r="R4" s="127"/>
      <c r="S4" s="127"/>
      <c r="T4" s="127"/>
      <c r="U4" s="127"/>
      <c r="V4" s="127"/>
      <c r="AE4" s="3249"/>
      <c r="AF4" s="3111"/>
      <c r="AG4" s="2996"/>
      <c r="AH4" s="3111"/>
      <c r="AI4" s="3251"/>
      <c r="AJ4" s="259" t="s">
        <v>1628</v>
      </c>
      <c r="AK4" s="260" t="s">
        <v>1629</v>
      </c>
      <c r="AL4" s="260" t="s">
        <v>913</v>
      </c>
      <c r="AM4" s="259" t="s">
        <v>1628</v>
      </c>
      <c r="AN4" s="259" t="s">
        <v>1629</v>
      </c>
      <c r="AO4" s="260" t="s">
        <v>913</v>
      </c>
    </row>
    <row r="5" spans="2:41" ht="15" thickBot="1"/>
    <row r="6" spans="2:41" ht="15" thickBot="1">
      <c r="B6" s="261" t="s">
        <v>155</v>
      </c>
      <c r="C6" s="27" t="s">
        <v>3129</v>
      </c>
      <c r="D6" s="1508"/>
      <c r="E6" s="262"/>
      <c r="F6" s="262"/>
      <c r="G6" s="262"/>
      <c r="H6" s="262"/>
      <c r="I6" s="262"/>
      <c r="J6" s="262"/>
      <c r="K6" s="262"/>
      <c r="L6" s="262"/>
      <c r="AE6" s="261" t="s">
        <v>155</v>
      </c>
      <c r="AF6" s="27" t="s">
        <v>3129</v>
      </c>
      <c r="AG6" s="1508"/>
      <c r="AH6" s="262"/>
      <c r="AI6" s="262"/>
      <c r="AJ6" s="262"/>
      <c r="AK6" s="262"/>
      <c r="AL6" s="262"/>
      <c r="AM6" s="262"/>
      <c r="AN6" s="262"/>
      <c r="AO6" s="262"/>
    </row>
    <row r="7" spans="2:41" ht="15" thickBot="1">
      <c r="B7" s="263" t="s">
        <v>3130</v>
      </c>
      <c r="C7" s="264" t="s">
        <v>3129</v>
      </c>
      <c r="D7" s="264"/>
      <c r="E7" s="265" t="s">
        <v>51</v>
      </c>
      <c r="F7" s="266">
        <v>3</v>
      </c>
      <c r="G7" s="340">
        <f xml:space="preserve"> '2B'!G39 + '2B'!H39</f>
        <v>436.03100000000006</v>
      </c>
      <c r="H7" s="341">
        <f xml:space="preserve"> '2B'!I39 + '2B'!J39</f>
        <v>514.05600000000004</v>
      </c>
      <c r="I7" s="2164">
        <f xml:space="preserve"> '2B'!K39</f>
        <v>0</v>
      </c>
      <c r="J7" s="1595">
        <v>1853.5</v>
      </c>
      <c r="K7" s="1961">
        <v>2205.2649999999999</v>
      </c>
      <c r="L7" s="1596"/>
      <c r="N7" s="24">
        <f xml:space="preserve"> IF( SUM( P7:W7 ) = 0, 0, $Q$4 )</f>
        <v>0</v>
      </c>
      <c r="T7" s="93">
        <f xml:space="preserve"> IF( ISNUMBER( J7 ), 0, 1 )</f>
        <v>0</v>
      </c>
      <c r="U7" s="93">
        <f>IF(Validation!$H$3=1,0,IF(ISNUMBER(K7),0,1))</f>
        <v>0</v>
      </c>
      <c r="V7" s="93">
        <f>IF( Validation!$H$3 = 1, 0, IF(Validation!$B$3 &lt;&gt; "Thames Water",0, (IF(ISNUMBER(L7),0,1))))</f>
        <v>0</v>
      </c>
      <c r="AE7" s="263" t="s">
        <v>3130</v>
      </c>
      <c r="AF7" s="264" t="s">
        <v>3129</v>
      </c>
      <c r="AG7" s="264"/>
      <c r="AH7" s="265" t="s">
        <v>51</v>
      </c>
      <c r="AI7" s="266">
        <v>3</v>
      </c>
      <c r="AJ7" s="340" t="s">
        <v>3131</v>
      </c>
      <c r="AK7" s="342" t="s">
        <v>3132</v>
      </c>
      <c r="AL7" s="2164" t="str">
        <f>'2B'!BJ39</f>
        <v>S3040TOTTTT</v>
      </c>
      <c r="AM7" s="1963" t="s">
        <v>3133</v>
      </c>
      <c r="AN7" s="1963" t="s">
        <v>3134</v>
      </c>
      <c r="AO7" s="2649" t="s">
        <v>3135</v>
      </c>
    </row>
    <row r="8" spans="2:41" ht="15" thickBot="1">
      <c r="B8" s="267"/>
      <c r="C8" s="267"/>
      <c r="D8" s="267"/>
      <c r="E8" s="268"/>
      <c r="F8" s="269"/>
      <c r="G8" s="267"/>
      <c r="H8" s="267"/>
      <c r="I8" s="267"/>
      <c r="J8" s="270"/>
      <c r="K8" s="270"/>
      <c r="L8" s="267"/>
      <c r="AE8" s="267"/>
      <c r="AF8" s="267"/>
      <c r="AG8" s="267"/>
      <c r="AH8" s="268"/>
      <c r="AI8" s="269"/>
      <c r="AJ8" s="267"/>
      <c r="AK8" s="270"/>
      <c r="AL8" s="270"/>
      <c r="AM8" s="270"/>
      <c r="AN8" s="270"/>
      <c r="AO8" s="270"/>
    </row>
    <row r="9" spans="2:41" ht="15" thickBot="1">
      <c r="B9" s="261" t="s">
        <v>177</v>
      </c>
      <c r="C9" s="27" t="s">
        <v>3136</v>
      </c>
      <c r="D9" s="1508"/>
      <c r="E9" s="271"/>
      <c r="F9" s="271"/>
      <c r="G9" s="267"/>
      <c r="H9" s="267"/>
      <c r="I9" s="267"/>
      <c r="J9" s="141"/>
      <c r="K9" s="141"/>
      <c r="L9" s="267"/>
      <c r="AE9" s="261" t="s">
        <v>177</v>
      </c>
      <c r="AF9" s="27" t="s">
        <v>3136</v>
      </c>
      <c r="AG9" s="1508"/>
      <c r="AH9" s="271"/>
      <c r="AI9" s="271"/>
      <c r="AJ9" s="267"/>
      <c r="AK9" s="141"/>
      <c r="AL9" s="141"/>
      <c r="AM9" s="141"/>
      <c r="AN9" s="141"/>
      <c r="AO9" s="141"/>
    </row>
    <row r="10" spans="2:41">
      <c r="B10" s="272" t="s">
        <v>3137</v>
      </c>
      <c r="C10" s="273" t="s">
        <v>3138</v>
      </c>
      <c r="D10" s="273"/>
      <c r="E10" s="274" t="s">
        <v>51</v>
      </c>
      <c r="F10" s="275">
        <v>3</v>
      </c>
      <c r="G10" s="436">
        <v>1.4550000000000001</v>
      </c>
      <c r="H10" s="437">
        <v>0</v>
      </c>
      <c r="I10" s="1954"/>
      <c r="J10" s="436">
        <v>9.8670000000000009</v>
      </c>
      <c r="K10" s="437">
        <v>2E-3</v>
      </c>
      <c r="L10" s="851"/>
      <c r="N10" s="24">
        <f xml:space="preserve"> IF( SUM( P10:W10 ) = 0, 0, $Q$4 )</f>
        <v>0</v>
      </c>
      <c r="Q10" s="93">
        <f xml:space="preserve"> IF( ISNUMBER( G10 ), 0, 1 )</f>
        <v>0</v>
      </c>
      <c r="R10" s="93">
        <f>IF(Validation!$H$3=1,0,IF(ISNUMBER(H10),0,1))</f>
        <v>0</v>
      </c>
      <c r="S10" s="93">
        <f>IF( Validation!$H$3 = 1, 0, IF(Validation!$B$3 &lt;&gt; "Thames Water",0, (IF(ISNUMBER(I10),0,1))))</f>
        <v>0</v>
      </c>
      <c r="T10" s="93">
        <f xml:space="preserve"> IF( ISNUMBER( J10 ), 0, 1 )</f>
        <v>0</v>
      </c>
      <c r="U10" s="93">
        <f>IF(Validation!$H$3=1,0,IF(ISNUMBER(K10),0,1))</f>
        <v>0</v>
      </c>
      <c r="V10" s="93">
        <f>IF( Validation!$H$3 = 1, 0, IF(Validation!$B$3 &lt;&gt; "Thames Water",0, (IF(ISNUMBER(L10),0,1))))</f>
        <v>0</v>
      </c>
      <c r="AE10" s="272" t="s">
        <v>3137</v>
      </c>
      <c r="AF10" s="273" t="s">
        <v>3138</v>
      </c>
      <c r="AG10" s="273"/>
      <c r="AH10" s="274" t="s">
        <v>51</v>
      </c>
      <c r="AI10" s="275">
        <v>3</v>
      </c>
      <c r="AJ10" s="2605" t="s">
        <v>3139</v>
      </c>
      <c r="AK10" s="2613" t="s">
        <v>3140</v>
      </c>
      <c r="AL10" s="2650" t="s">
        <v>3141</v>
      </c>
      <c r="AM10" s="2605" t="s">
        <v>3142</v>
      </c>
      <c r="AN10" s="2605" t="s">
        <v>3143</v>
      </c>
      <c r="AO10" s="2613" t="s">
        <v>3144</v>
      </c>
    </row>
    <row r="11" spans="2:41">
      <c r="B11" s="276" t="s">
        <v>3145</v>
      </c>
      <c r="C11" s="277" t="s">
        <v>1212</v>
      </c>
      <c r="D11" s="277"/>
      <c r="E11" s="278" t="s">
        <v>51</v>
      </c>
      <c r="F11" s="279">
        <v>3</v>
      </c>
      <c r="G11" s="438">
        <v>6.1189999999999998</v>
      </c>
      <c r="H11" s="439">
        <v>6.2480000000000002</v>
      </c>
      <c r="I11" s="1955"/>
      <c r="J11" s="438">
        <v>30.51</v>
      </c>
      <c r="K11" s="439">
        <v>34.279000000000003</v>
      </c>
      <c r="L11" s="852"/>
      <c r="N11" s="24">
        <f xml:space="preserve"> IF( SUM( P11:W11 ) = 0, 0, $Q$4 )</f>
        <v>0</v>
      </c>
      <c r="Q11" s="93">
        <f t="shared" ref="Q11:Q12" si="0" xml:space="preserve"> IF( ISNUMBER( G11 ), 0, 1 )</f>
        <v>0</v>
      </c>
      <c r="R11" s="93">
        <f>IF(Validation!$H$3=1,0,IF(ISNUMBER(H11),0,1))</f>
        <v>0</v>
      </c>
      <c r="S11" s="93">
        <f>IF( Validation!$H$3 = 1, 0, IF(Validation!$B$3 &lt;&gt; "Thames Water",0, (IF(ISNUMBER(I11),0,1))))</f>
        <v>0</v>
      </c>
      <c r="T11" s="93">
        <f t="shared" ref="T11:T12" si="1" xml:space="preserve"> IF( ISNUMBER( J11 ), 0, 1 )</f>
        <v>0</v>
      </c>
      <c r="U11" s="93">
        <f>IF(Validation!$H$3=1,0,IF(ISNUMBER(K11),0,1))</f>
        <v>0</v>
      </c>
      <c r="V11" s="93">
        <f>IF( Validation!$H$3 = 1, 0, IF(Validation!$B$3 &lt;&gt; "Thames Water",0, (IF(ISNUMBER(L11),0,1))))</f>
        <v>0</v>
      </c>
      <c r="AE11" s="276" t="s">
        <v>3145</v>
      </c>
      <c r="AF11" s="277" t="s">
        <v>1212</v>
      </c>
      <c r="AG11" s="277"/>
      <c r="AH11" s="278" t="s">
        <v>51</v>
      </c>
      <c r="AI11" s="279">
        <v>3</v>
      </c>
      <c r="AJ11" s="2328" t="s">
        <v>3146</v>
      </c>
      <c r="AK11" s="2389" t="s">
        <v>3147</v>
      </c>
      <c r="AL11" s="2651" t="s">
        <v>3148</v>
      </c>
      <c r="AM11" s="2328" t="s">
        <v>3149</v>
      </c>
      <c r="AN11" s="2328" t="s">
        <v>3150</v>
      </c>
      <c r="AO11" s="2389" t="s">
        <v>3151</v>
      </c>
    </row>
    <row r="12" spans="2:41">
      <c r="B12" s="276" t="s">
        <v>3152</v>
      </c>
      <c r="C12" s="277" t="s">
        <v>3153</v>
      </c>
      <c r="D12" s="277"/>
      <c r="E12" s="278" t="s">
        <v>51</v>
      </c>
      <c r="F12" s="279">
        <v>3</v>
      </c>
      <c r="G12" s="438">
        <v>1.726</v>
      </c>
      <c r="H12" s="439">
        <v>2.4239999999999999</v>
      </c>
      <c r="I12" s="1955"/>
      <c r="J12" s="438">
        <v>5.4960000000000004</v>
      </c>
      <c r="K12" s="439">
        <v>7.6020000000000003</v>
      </c>
      <c r="L12" s="852"/>
      <c r="N12" s="24">
        <f xml:space="preserve"> IF( SUM( P12:W12 ) = 0, 0, $Q$4 )</f>
        <v>0</v>
      </c>
      <c r="Q12" s="93">
        <f t="shared" si="0"/>
        <v>0</v>
      </c>
      <c r="R12" s="93">
        <f>IF(Validation!$H$3=1,0,IF(ISNUMBER(H12),0,1))</f>
        <v>0</v>
      </c>
      <c r="S12" s="93">
        <f>IF( Validation!$H$3 = 1, 0, IF(Validation!$B$3 &lt;&gt; "Thames Water",0, (IF(ISNUMBER(I12),0,1))))</f>
        <v>0</v>
      </c>
      <c r="T12" s="93">
        <f t="shared" si="1"/>
        <v>0</v>
      </c>
      <c r="U12" s="93">
        <f>IF(Validation!$H$3=1,0,IF(ISNUMBER(K12),0,1))</f>
        <v>0</v>
      </c>
      <c r="V12" s="93">
        <f>IF( Validation!$H$3 = 1, 0, IF(Validation!$B$3 &lt;&gt; "Thames Water",0, (IF(ISNUMBER(L12),0,1))))</f>
        <v>0</v>
      </c>
      <c r="AE12" s="276" t="s">
        <v>3152</v>
      </c>
      <c r="AF12" s="277" t="s">
        <v>3153</v>
      </c>
      <c r="AG12" s="277"/>
      <c r="AH12" s="278" t="s">
        <v>51</v>
      </c>
      <c r="AI12" s="279">
        <v>3</v>
      </c>
      <c r="AJ12" s="2328" t="s">
        <v>3154</v>
      </c>
      <c r="AK12" s="2389" t="s">
        <v>3155</v>
      </c>
      <c r="AL12" s="2651" t="s">
        <v>3156</v>
      </c>
      <c r="AM12" s="2328" t="s">
        <v>3157</v>
      </c>
      <c r="AN12" s="2328" t="s">
        <v>3158</v>
      </c>
      <c r="AO12" s="2389" t="s">
        <v>3159</v>
      </c>
    </row>
    <row r="13" spans="2:41" ht="15" thickBot="1">
      <c r="B13" s="281" t="s">
        <v>3160</v>
      </c>
      <c r="C13" s="282" t="s">
        <v>3161</v>
      </c>
      <c r="D13" s="282"/>
      <c r="E13" s="629" t="s">
        <v>51</v>
      </c>
      <c r="F13" s="284">
        <v>3</v>
      </c>
      <c r="G13" s="333">
        <f>SUM(G10:G12)</f>
        <v>9.3000000000000007</v>
      </c>
      <c r="H13" s="334">
        <f t="shared" ref="H13:L13" si="2">SUM(H10:H12)</f>
        <v>8.6720000000000006</v>
      </c>
      <c r="I13" s="1956">
        <f t="shared" si="2"/>
        <v>0</v>
      </c>
      <c r="J13" s="333">
        <f t="shared" si="2"/>
        <v>45.873000000000005</v>
      </c>
      <c r="K13" s="334">
        <f t="shared" si="2"/>
        <v>41.88300000000001</v>
      </c>
      <c r="L13" s="335">
        <f t="shared" si="2"/>
        <v>0</v>
      </c>
      <c r="Q13" s="127"/>
      <c r="R13" s="127"/>
      <c r="S13" s="127"/>
      <c r="T13" s="127"/>
      <c r="U13" s="127"/>
      <c r="V13" s="127"/>
      <c r="AE13" s="281" t="s">
        <v>3160</v>
      </c>
      <c r="AF13" s="282" t="s">
        <v>3161</v>
      </c>
      <c r="AG13" s="282"/>
      <c r="AH13" s="629" t="s">
        <v>51</v>
      </c>
      <c r="AI13" s="284">
        <v>3</v>
      </c>
      <c r="AJ13" s="333" t="s">
        <v>3162</v>
      </c>
      <c r="AK13" s="335" t="s">
        <v>3163</v>
      </c>
      <c r="AL13" s="1956" t="s">
        <v>3164</v>
      </c>
      <c r="AM13" s="333" t="s">
        <v>3165</v>
      </c>
      <c r="AN13" s="333" t="s">
        <v>3166</v>
      </c>
      <c r="AO13" s="335" t="s">
        <v>3167</v>
      </c>
    </row>
    <row r="14" spans="2:41" ht="15" thickBot="1">
      <c r="B14" s="267"/>
      <c r="C14" s="267"/>
      <c r="D14" s="267"/>
      <c r="E14" s="268"/>
      <c r="F14" s="269"/>
      <c r="G14" s="267"/>
      <c r="H14" s="267"/>
      <c r="I14" s="267"/>
      <c r="J14" s="267"/>
      <c r="K14" s="267"/>
      <c r="L14" s="267"/>
      <c r="Q14" s="280"/>
      <c r="R14" s="110"/>
      <c r="S14" s="110"/>
      <c r="T14" s="110"/>
      <c r="U14" s="110"/>
      <c r="V14" s="110"/>
      <c r="AE14" s="267"/>
      <c r="AF14" s="267"/>
      <c r="AG14" s="267"/>
      <c r="AH14" s="268"/>
      <c r="AI14" s="269"/>
      <c r="AJ14" s="267"/>
      <c r="AK14" s="270"/>
      <c r="AL14" s="270"/>
      <c r="AM14" s="270"/>
      <c r="AN14" s="270"/>
      <c r="AO14" s="270"/>
    </row>
    <row r="15" spans="2:41" ht="15" thickBot="1">
      <c r="B15" s="261" t="s">
        <v>335</v>
      </c>
      <c r="C15" s="27" t="s">
        <v>3168</v>
      </c>
      <c r="D15" s="1508"/>
      <c r="E15" s="271"/>
      <c r="F15" s="271"/>
      <c r="G15" s="267"/>
      <c r="H15" s="267"/>
      <c r="I15" s="267"/>
      <c r="J15" s="267"/>
      <c r="K15" s="267"/>
      <c r="L15" s="267"/>
      <c r="Q15" s="280"/>
      <c r="R15" s="110"/>
      <c r="S15" s="110"/>
      <c r="T15" s="110"/>
      <c r="U15" s="110"/>
      <c r="V15" s="110"/>
      <c r="AE15" s="261" t="s">
        <v>335</v>
      </c>
      <c r="AF15" s="27" t="s">
        <v>3168</v>
      </c>
      <c r="AG15" s="1508"/>
      <c r="AH15" s="271"/>
      <c r="AI15" s="271"/>
      <c r="AJ15" s="267"/>
      <c r="AK15" s="141"/>
      <c r="AL15" s="141"/>
      <c r="AM15" s="141"/>
      <c r="AN15" s="141"/>
      <c r="AO15" s="141"/>
    </row>
    <row r="16" spans="2:41" ht="15" thickBot="1">
      <c r="B16" s="263" t="s">
        <v>3169</v>
      </c>
      <c r="C16" s="264" t="s">
        <v>3168</v>
      </c>
      <c r="D16" s="264"/>
      <c r="E16" s="265" t="s">
        <v>51</v>
      </c>
      <c r="F16" s="266">
        <v>3</v>
      </c>
      <c r="G16" s="1595">
        <v>-1.159</v>
      </c>
      <c r="H16" s="1961">
        <v>-5.1279999999999992</v>
      </c>
      <c r="I16" s="1957"/>
      <c r="J16" s="2979">
        <v>9.0169999999999995</v>
      </c>
      <c r="K16" s="2980">
        <v>-0.10299999999999976</v>
      </c>
      <c r="L16" s="1596"/>
      <c r="N16" s="24">
        <f xml:space="preserve"> IF( SUM( P16:W16 ) = 0, 0, $Q$4 )</f>
        <v>0</v>
      </c>
      <c r="Q16" s="93">
        <f t="shared" ref="Q16" si="3" xml:space="preserve"> IF( ISNUMBER( G16 ), 0, 1 )</f>
        <v>0</v>
      </c>
      <c r="R16" s="93">
        <f>IF(Validation!$H$3=1,0,IF(ISNUMBER(H16),0,1))</f>
        <v>0</v>
      </c>
      <c r="S16" s="93">
        <f>IF( Validation!$H$3 = 1, 0, IF(Validation!$B$3 &lt;&gt; "Thames Water",0, (IF(ISNUMBER(I16),0,1))))</f>
        <v>0</v>
      </c>
      <c r="T16" s="93">
        <f t="shared" ref="T16" si="4" xml:space="preserve"> IF( ISNUMBER( J16 ), 0, 1 )</f>
        <v>0</v>
      </c>
      <c r="U16" s="93">
        <f>IF(Validation!$H$3=1,0,IF(ISNUMBER(K16),0,1))</f>
        <v>0</v>
      </c>
      <c r="V16" s="93">
        <f>IF( Validation!$H$3 = 1, 0, IF(Validation!$B$3 &lt;&gt; "Thames Water",0, (IF(ISNUMBER(L16),0,1))))</f>
        <v>0</v>
      </c>
      <c r="AE16" s="263" t="s">
        <v>3169</v>
      </c>
      <c r="AF16" s="264" t="s">
        <v>3168</v>
      </c>
      <c r="AG16" s="264"/>
      <c r="AH16" s="265" t="s">
        <v>51</v>
      </c>
      <c r="AI16" s="266">
        <v>3</v>
      </c>
      <c r="AJ16" s="1963" t="s">
        <v>3170</v>
      </c>
      <c r="AK16" s="2649" t="s">
        <v>3171</v>
      </c>
      <c r="AL16" s="2652" t="s">
        <v>3172</v>
      </c>
      <c r="AM16" s="1963" t="s">
        <v>3173</v>
      </c>
      <c r="AN16" s="1963" t="s">
        <v>3174</v>
      </c>
      <c r="AO16" s="2649" t="s">
        <v>3175</v>
      </c>
    </row>
    <row r="17" spans="2:41" ht="15" thickBot="1">
      <c r="B17" s="267"/>
      <c r="C17" s="267"/>
      <c r="D17" s="267"/>
      <c r="E17" s="268"/>
      <c r="F17" s="269"/>
      <c r="G17" s="267"/>
      <c r="H17" s="267"/>
      <c r="I17" s="267"/>
      <c r="J17" s="267"/>
      <c r="K17" s="267"/>
      <c r="L17" s="267"/>
      <c r="Q17" s="280"/>
      <c r="R17" s="110"/>
      <c r="S17" s="110"/>
      <c r="T17" s="110"/>
      <c r="U17" s="110"/>
      <c r="V17" s="110"/>
      <c r="AE17" s="267"/>
      <c r="AF17" s="267"/>
      <c r="AG17" s="267"/>
      <c r="AH17" s="268"/>
      <c r="AI17" s="269"/>
      <c r="AJ17" s="267"/>
      <c r="AK17" s="270"/>
      <c r="AL17" s="270"/>
      <c r="AM17" s="270"/>
      <c r="AN17" s="270"/>
      <c r="AO17" s="270"/>
    </row>
    <row r="18" spans="2:41" ht="15" thickBot="1">
      <c r="B18" s="3018" t="s">
        <v>392</v>
      </c>
      <c r="C18" s="298" t="s">
        <v>3176</v>
      </c>
      <c r="D18" s="1508"/>
      <c r="E18" s="271"/>
      <c r="F18" s="271"/>
      <c r="G18" s="267"/>
      <c r="H18" s="267"/>
      <c r="I18" s="267"/>
      <c r="J18" s="267"/>
      <c r="K18" s="267"/>
      <c r="L18" s="267"/>
      <c r="Q18" s="280"/>
      <c r="R18" s="110"/>
      <c r="S18" s="110"/>
      <c r="T18" s="110"/>
      <c r="U18" s="110"/>
      <c r="V18" s="110"/>
      <c r="AE18" s="3018" t="s">
        <v>392</v>
      </c>
      <c r="AF18" s="298" t="s">
        <v>3176</v>
      </c>
      <c r="AG18" s="1508"/>
      <c r="AH18" s="271"/>
      <c r="AI18" s="271"/>
      <c r="AJ18" s="267"/>
      <c r="AK18" s="141"/>
      <c r="AL18" s="141"/>
      <c r="AM18" s="141"/>
      <c r="AN18" s="141"/>
      <c r="AO18" s="141"/>
    </row>
    <row r="19" spans="2:41">
      <c r="B19" s="272" t="s">
        <v>3177</v>
      </c>
      <c r="C19" s="273" t="s">
        <v>3176</v>
      </c>
      <c r="D19" s="273"/>
      <c r="E19" s="274" t="s">
        <v>51</v>
      </c>
      <c r="F19" s="630">
        <v>3</v>
      </c>
      <c r="G19" s="742">
        <f xml:space="preserve"> G7 - G13 + G16</f>
        <v>425.57200000000006</v>
      </c>
      <c r="H19" s="675">
        <f t="shared" ref="H19:L19" si="5" xml:space="preserve"> H7 - H13 + H16</f>
        <v>500.25600000000003</v>
      </c>
      <c r="I19" s="1958">
        <f t="shared" si="5"/>
        <v>0</v>
      </c>
      <c r="J19" s="742">
        <f t="shared" si="5"/>
        <v>1816.644</v>
      </c>
      <c r="K19" s="675">
        <f t="shared" si="5"/>
        <v>2163.279</v>
      </c>
      <c r="L19" s="331">
        <f t="shared" si="5"/>
        <v>0</v>
      </c>
      <c r="Q19" s="280"/>
      <c r="R19" s="110"/>
      <c r="S19" s="110"/>
      <c r="T19" s="110"/>
      <c r="U19" s="110"/>
      <c r="V19" s="110"/>
      <c r="AE19" s="272" t="s">
        <v>3177</v>
      </c>
      <c r="AF19" s="273" t="s">
        <v>3176</v>
      </c>
      <c r="AG19" s="273"/>
      <c r="AH19" s="274" t="s">
        <v>51</v>
      </c>
      <c r="AI19" s="630">
        <v>3</v>
      </c>
      <c r="AJ19" s="742" t="s">
        <v>3178</v>
      </c>
      <c r="AK19" s="331" t="s">
        <v>3179</v>
      </c>
      <c r="AL19" s="1958" t="s">
        <v>3180</v>
      </c>
      <c r="AM19" s="742" t="s">
        <v>3181</v>
      </c>
      <c r="AN19" s="742" t="s">
        <v>3182</v>
      </c>
      <c r="AO19" s="331" t="s">
        <v>3183</v>
      </c>
    </row>
    <row r="20" spans="2:41" ht="15" thickBot="1">
      <c r="B20" s="281" t="s">
        <v>3184</v>
      </c>
      <c r="C20" s="282" t="s">
        <v>3185</v>
      </c>
      <c r="D20" s="282"/>
      <c r="E20" s="629" t="s">
        <v>51</v>
      </c>
      <c r="F20" s="631">
        <v>3</v>
      </c>
      <c r="G20" s="1597">
        <v>358.26499999999999</v>
      </c>
      <c r="H20" s="1962">
        <v>421.13900000000001</v>
      </c>
      <c r="I20" s="1959"/>
      <c r="J20" s="1597">
        <v>1610.741</v>
      </c>
      <c r="K20" s="1962">
        <v>1917.9960000000001</v>
      </c>
      <c r="L20" s="1598"/>
      <c r="N20" s="24">
        <f xml:space="preserve"> IF( SUM( P20:W20 ) = 0, 0, $Q$4 )</f>
        <v>0</v>
      </c>
      <c r="Q20" s="93">
        <f t="shared" ref="Q20:Q23" si="6" xml:space="preserve"> IF( ISNUMBER( G20 ), 0, 1 )</f>
        <v>0</v>
      </c>
      <c r="R20" s="93">
        <f>IF(Validation!$H$3=1,0,IF(ISNUMBER(H20),0,1))</f>
        <v>0</v>
      </c>
      <c r="S20" s="93">
        <f>IF( Validation!$H$3 = 1, 0, IF(Validation!$B$3 &lt;&gt; "Thames Water",0, (IF(ISNUMBER(I20),0,1))))</f>
        <v>0</v>
      </c>
      <c r="T20" s="93">
        <f t="shared" ref="T20" si="7" xml:space="preserve"> IF( ISNUMBER( J20 ), 0, 1 )</f>
        <v>0</v>
      </c>
      <c r="U20" s="93">
        <f>IF(Validation!$H$3=1,0,IF(ISNUMBER(K20),0,1))</f>
        <v>0</v>
      </c>
      <c r="V20" s="93">
        <f>IF( Validation!$H$3 = 1, 0, IF(Validation!$B$3 &lt;&gt; "Thames Water",0, (IF(ISNUMBER(L20),0,1))))</f>
        <v>0</v>
      </c>
      <c r="AE20" s="281" t="s">
        <v>3184</v>
      </c>
      <c r="AF20" s="282" t="s">
        <v>3185</v>
      </c>
      <c r="AG20" s="282"/>
      <c r="AH20" s="629" t="s">
        <v>51</v>
      </c>
      <c r="AI20" s="631">
        <v>3</v>
      </c>
      <c r="AJ20" s="2653" t="s">
        <v>3186</v>
      </c>
      <c r="AK20" s="2654" t="s">
        <v>3187</v>
      </c>
      <c r="AL20" s="2655" t="s">
        <v>3188</v>
      </c>
      <c r="AM20" s="2653" t="s">
        <v>3189</v>
      </c>
      <c r="AN20" s="2653" t="s">
        <v>3190</v>
      </c>
      <c r="AO20" s="2654" t="s">
        <v>3191</v>
      </c>
    </row>
    <row r="21" spans="2:41" ht="15" thickBot="1">
      <c r="B21" s="267"/>
      <c r="C21" s="267"/>
      <c r="D21" s="267"/>
      <c r="E21" s="268"/>
      <c r="F21" s="269"/>
      <c r="G21" s="267"/>
      <c r="H21" s="267"/>
      <c r="I21" s="267"/>
      <c r="J21" s="267"/>
      <c r="K21" s="267"/>
      <c r="L21" s="267"/>
      <c r="Q21" s="280"/>
      <c r="R21" s="110"/>
      <c r="S21" s="110"/>
      <c r="T21" s="110"/>
      <c r="U21" s="110"/>
      <c r="V21" s="110"/>
      <c r="AE21" s="267"/>
      <c r="AF21" s="267"/>
      <c r="AG21" s="267"/>
      <c r="AH21" s="268"/>
      <c r="AI21" s="269"/>
      <c r="AJ21" s="267"/>
      <c r="AK21" s="270"/>
      <c r="AL21" s="270"/>
      <c r="AM21" s="270"/>
      <c r="AN21" s="270"/>
      <c r="AO21" s="270"/>
    </row>
    <row r="22" spans="2:41" ht="15" thickBot="1">
      <c r="B22" s="261" t="s">
        <v>466</v>
      </c>
      <c r="C22" s="27" t="s">
        <v>3192</v>
      </c>
      <c r="D22" s="1508"/>
      <c r="E22" s="271"/>
      <c r="F22" s="271"/>
      <c r="G22" s="267"/>
      <c r="H22" s="267"/>
      <c r="I22" s="267"/>
      <c r="J22" s="267"/>
      <c r="K22" s="267"/>
      <c r="L22" s="267"/>
      <c r="Q22" s="280"/>
      <c r="R22" s="110"/>
      <c r="S22" s="110"/>
      <c r="T22" s="110"/>
      <c r="U22" s="110"/>
      <c r="V22" s="110"/>
      <c r="AE22" s="261" t="s">
        <v>466</v>
      </c>
      <c r="AF22" s="27" t="s">
        <v>3192</v>
      </c>
      <c r="AG22" s="1508"/>
      <c r="AH22" s="271"/>
      <c r="AI22" s="271"/>
      <c r="AJ22" s="267"/>
      <c r="AK22" s="141"/>
      <c r="AL22" s="141"/>
      <c r="AM22" s="141"/>
      <c r="AN22" s="141"/>
      <c r="AO22" s="141"/>
    </row>
    <row r="23" spans="2:41" ht="15" thickBot="1">
      <c r="B23" s="281" t="s">
        <v>3193</v>
      </c>
      <c r="C23" s="282" t="s">
        <v>3194</v>
      </c>
      <c r="D23" s="1506"/>
      <c r="E23" s="265" t="s">
        <v>51</v>
      </c>
      <c r="F23" s="266">
        <v>3</v>
      </c>
      <c r="G23" s="1595">
        <v>284.20100000000002</v>
      </c>
      <c r="H23" s="1961">
        <v>387.64699999999999</v>
      </c>
      <c r="I23" s="1957"/>
      <c r="J23" s="1595">
        <v>1483.671</v>
      </c>
      <c r="K23" s="1961">
        <v>1938.2360000000001</v>
      </c>
      <c r="L23" s="1596"/>
      <c r="N23" s="24">
        <f xml:space="preserve"> IF( SUM( P23:W23 ) = 0, 0, $Q$4 )</f>
        <v>0</v>
      </c>
      <c r="Q23" s="93">
        <f t="shared" si="6"/>
        <v>0</v>
      </c>
      <c r="R23" s="93">
        <f>IF(Validation!$H$3=1,0,IF(ISNUMBER(H23),0,1))</f>
        <v>0</v>
      </c>
      <c r="S23" s="93">
        <f>IF( Validation!$H$3 = 1, 0, IF(Validation!$B$3 &lt;&gt; "Thames Water",0, (IF(ISNUMBER(I23),0,1))))</f>
        <v>0</v>
      </c>
      <c r="T23" s="93">
        <f t="shared" ref="T23" si="8" xml:space="preserve"> IF( ISNUMBER( J23 ), 0, 1 )</f>
        <v>0</v>
      </c>
      <c r="U23" s="93">
        <f>IF(Validation!$H$3=1,0,IF(ISNUMBER(K23),0,1))</f>
        <v>0</v>
      </c>
      <c r="V23" s="93">
        <f>IF( Validation!$H$3 = 1, 0, IF(Validation!$B$3 &lt;&gt; "Thames Water",0, (IF(ISNUMBER(L23),0,1))))</f>
        <v>0</v>
      </c>
      <c r="AE23" s="281" t="s">
        <v>3193</v>
      </c>
      <c r="AF23" s="282" t="s">
        <v>3194</v>
      </c>
      <c r="AG23" s="1506"/>
      <c r="AH23" s="265" t="s">
        <v>51</v>
      </c>
      <c r="AI23" s="266">
        <v>3</v>
      </c>
      <c r="AJ23" s="1963" t="s">
        <v>3195</v>
      </c>
      <c r="AK23" s="2649" t="s">
        <v>3196</v>
      </c>
      <c r="AL23" s="2652" t="s">
        <v>3197</v>
      </c>
      <c r="AM23" s="1963" t="s">
        <v>3198</v>
      </c>
      <c r="AN23" s="1963" t="s">
        <v>3199</v>
      </c>
      <c r="AO23" s="2649" t="s">
        <v>3200</v>
      </c>
    </row>
    <row r="24" spans="2:41" s="70" customFormat="1">
      <c r="E24" s="85"/>
      <c r="F24" s="85"/>
      <c r="H24" s="163"/>
      <c r="I24" s="163"/>
      <c r="J24" s="163"/>
      <c r="L24" s="126"/>
      <c r="P24" s="71"/>
      <c r="Q24" s="285"/>
      <c r="R24" s="286"/>
      <c r="S24" s="286"/>
      <c r="T24" s="286"/>
      <c r="U24" s="286"/>
      <c r="V24" s="286"/>
      <c r="W24" s="71"/>
      <c r="AH24" s="85"/>
      <c r="AI24" s="85"/>
      <c r="AK24" s="163"/>
      <c r="AL24" s="163"/>
      <c r="AM24" s="163"/>
      <c r="AO24" s="126"/>
    </row>
    <row r="25" spans="2:41" s="163" customFormat="1">
      <c r="B25" s="3077" t="s">
        <v>243</v>
      </c>
      <c r="C25" s="3077"/>
      <c r="D25" s="2988"/>
      <c r="L25" s="126"/>
      <c r="M25" s="70"/>
      <c r="N25" s="70"/>
      <c r="O25" s="70"/>
      <c r="P25" s="71"/>
      <c r="Q25" s="127"/>
      <c r="R25" s="127"/>
      <c r="S25" s="127"/>
      <c r="T25" s="127"/>
      <c r="U25" s="127"/>
      <c r="V25" s="127"/>
      <c r="W25" s="71"/>
      <c r="X25" s="70"/>
    </row>
    <row r="26" spans="2:41" s="163" customFormat="1">
      <c r="B26" s="141"/>
      <c r="C26" s="142"/>
      <c r="D26" s="142"/>
      <c r="L26" s="126"/>
      <c r="M26" s="70"/>
      <c r="N26" s="70"/>
      <c r="O26" s="70"/>
      <c r="P26" s="71"/>
      <c r="Q26" s="127"/>
      <c r="R26" s="127"/>
      <c r="S26" s="127"/>
      <c r="T26" s="127"/>
      <c r="U26" s="127"/>
      <c r="V26" s="127"/>
      <c r="W26" s="71"/>
      <c r="X26" s="70"/>
    </row>
    <row r="27" spans="2:41" s="163" customFormat="1">
      <c r="B27" s="25"/>
      <c r="C27" s="143" t="s">
        <v>190</v>
      </c>
      <c r="D27" s="143"/>
      <c r="L27" s="126"/>
      <c r="M27" s="70"/>
      <c r="N27" s="70"/>
      <c r="O27" s="70"/>
      <c r="P27" s="71"/>
      <c r="Q27" s="127"/>
      <c r="R27" s="127"/>
      <c r="S27" s="127"/>
      <c r="T27" s="127"/>
      <c r="U27" s="127"/>
      <c r="V27" s="127"/>
      <c r="W27" s="71"/>
      <c r="X27" s="70"/>
    </row>
    <row r="28" spans="2:41" s="163" customFormat="1">
      <c r="B28" s="141"/>
      <c r="C28" s="142"/>
      <c r="D28" s="142"/>
      <c r="L28" s="126"/>
      <c r="M28" s="70"/>
      <c r="N28" s="70"/>
      <c r="O28" s="70"/>
      <c r="P28" s="71"/>
      <c r="Q28" s="285"/>
      <c r="R28" s="286"/>
      <c r="S28" s="286"/>
      <c r="T28" s="286"/>
      <c r="U28" s="286"/>
      <c r="V28" s="286"/>
      <c r="W28" s="71"/>
      <c r="X28" s="70"/>
    </row>
    <row r="29" spans="2:41" s="163" customFormat="1">
      <c r="B29" s="144"/>
      <c r="C29" s="143" t="s">
        <v>191</v>
      </c>
      <c r="D29" s="143"/>
      <c r="L29" s="126"/>
      <c r="M29" s="70"/>
      <c r="N29" s="70"/>
      <c r="O29" s="70"/>
      <c r="P29" s="71"/>
      <c r="Q29" s="280"/>
      <c r="R29" s="110"/>
      <c r="S29" s="110"/>
      <c r="T29" s="110"/>
      <c r="U29" s="110"/>
      <c r="V29" s="110"/>
      <c r="W29" s="71"/>
      <c r="X29" s="70"/>
    </row>
    <row r="30" spans="2:41" s="163" customFormat="1">
      <c r="B30" s="145"/>
      <c r="C30" s="143"/>
      <c r="D30" s="143"/>
      <c r="L30" s="126"/>
      <c r="M30" s="118"/>
      <c r="N30" s="120"/>
      <c r="O30" s="118"/>
      <c r="P30" s="124"/>
      <c r="Q30" s="280"/>
      <c r="R30" s="110"/>
      <c r="S30" s="110"/>
      <c r="T30" s="110"/>
      <c r="U30" s="110"/>
      <c r="V30" s="110"/>
      <c r="W30" s="124"/>
      <c r="X30" s="110"/>
    </row>
    <row r="31" spans="2:41" s="163" customFormat="1">
      <c r="B31" s="2324"/>
      <c r="C31" s="179" t="s">
        <v>244</v>
      </c>
      <c r="D31" s="143"/>
      <c r="L31" s="126"/>
      <c r="M31" s="118"/>
      <c r="N31" s="120"/>
      <c r="O31" s="118"/>
      <c r="P31" s="124"/>
      <c r="Q31" s="280"/>
      <c r="R31" s="110"/>
      <c r="S31" s="110"/>
      <c r="T31" s="110"/>
      <c r="U31" s="110"/>
      <c r="V31" s="110"/>
      <c r="W31" s="124"/>
      <c r="X31" s="110"/>
    </row>
    <row r="32" spans="2:41" s="178" customFormat="1" ht="13.5" thickBot="1">
      <c r="C32" s="179"/>
      <c r="D32" s="179"/>
      <c r="L32" s="130"/>
      <c r="M32" s="126"/>
      <c r="N32" s="126"/>
      <c r="O32" s="126"/>
      <c r="P32" s="119"/>
      <c r="Q32" s="203"/>
      <c r="R32" s="163"/>
      <c r="S32" s="163"/>
      <c r="T32" s="163"/>
      <c r="U32" s="163"/>
      <c r="V32" s="163"/>
      <c r="W32" s="119"/>
      <c r="X32" s="163"/>
    </row>
    <row r="33" spans="1:24" s="178" customFormat="1" ht="15" customHeight="1" thickBot="1">
      <c r="B33" s="3053" t="s">
        <v>192</v>
      </c>
      <c r="C33" s="148"/>
      <c r="D33" s="148"/>
      <c r="E33" s="148"/>
      <c r="F33" s="148"/>
      <c r="G33" s="148"/>
      <c r="H33" s="148"/>
      <c r="I33" s="148"/>
      <c r="J33" s="148"/>
      <c r="K33" s="148"/>
      <c r="L33" s="251"/>
      <c r="M33" s="126"/>
      <c r="N33" s="126"/>
      <c r="O33" s="126"/>
      <c r="P33" s="119"/>
      <c r="Q33" s="203"/>
      <c r="R33" s="163"/>
      <c r="S33" s="163"/>
      <c r="T33" s="163"/>
      <c r="U33" s="163"/>
      <c r="V33" s="163"/>
      <c r="W33" s="119"/>
      <c r="X33" s="163"/>
    </row>
    <row r="34" spans="1:24" s="178" customFormat="1" ht="12.75">
      <c r="C34" s="179"/>
      <c r="D34" s="179"/>
      <c r="L34" s="130"/>
      <c r="M34" s="126"/>
      <c r="N34" s="126"/>
      <c r="O34" s="126"/>
      <c r="P34" s="119"/>
      <c r="Q34" s="203"/>
      <c r="R34" s="163"/>
      <c r="S34" s="163"/>
      <c r="T34" s="163"/>
      <c r="U34" s="163"/>
      <c r="V34" s="163"/>
      <c r="W34" s="119"/>
      <c r="X34" s="163"/>
    </row>
    <row r="35" spans="1:24" s="110" customFormat="1" ht="16.5" hidden="1" thickBot="1">
      <c r="A35" s="1560"/>
      <c r="B35" s="146" t="str">
        <f ca="1" xml:space="preserve"> RIGHT(CELL("filename", $A$1), LEN(CELL("filename", $A$1)) - SEARCH("]", CELL("filename", $A$1)))&amp;" - Line definitions"</f>
        <v>4B - Line definitions</v>
      </c>
      <c r="C35" s="147"/>
      <c r="D35" s="147"/>
      <c r="E35" s="148"/>
      <c r="F35" s="148"/>
      <c r="G35" s="148"/>
      <c r="H35" s="148"/>
      <c r="I35" s="148"/>
      <c r="J35" s="148"/>
      <c r="K35" s="148"/>
      <c r="L35" s="251"/>
      <c r="M35" s="126"/>
      <c r="N35" s="126"/>
      <c r="O35" s="126"/>
      <c r="P35" s="119"/>
      <c r="Q35" s="203"/>
      <c r="R35" s="163"/>
      <c r="S35" s="163"/>
      <c r="T35" s="163"/>
      <c r="U35" s="163"/>
      <c r="V35" s="163"/>
      <c r="W35" s="119"/>
      <c r="X35" s="163"/>
    </row>
    <row r="36" spans="1:24" s="110" customFormat="1" ht="15" hidden="1" thickBot="1">
      <c r="A36" s="1560"/>
      <c r="B36" s="74"/>
      <c r="C36" s="155"/>
      <c r="D36" s="155"/>
      <c r="E36" s="74"/>
      <c r="F36" s="74"/>
      <c r="G36" s="74"/>
      <c r="L36" s="118"/>
      <c r="M36" s="126"/>
      <c r="N36" s="126"/>
      <c r="O36" s="126"/>
      <c r="P36" s="119"/>
      <c r="Q36" s="203"/>
      <c r="R36" s="163"/>
      <c r="S36" s="163"/>
      <c r="T36" s="163"/>
      <c r="U36" s="163"/>
      <c r="V36" s="163"/>
      <c r="W36" s="119"/>
      <c r="X36" s="163"/>
    </row>
    <row r="37" spans="1:24" s="178" customFormat="1" hidden="1" thickBot="1">
      <c r="A37" s="1561"/>
      <c r="B37" s="287" t="s">
        <v>193</v>
      </c>
      <c r="C37" s="3013" t="s">
        <v>194</v>
      </c>
      <c r="D37" s="3014"/>
      <c r="E37" s="3014"/>
      <c r="F37" s="3014"/>
      <c r="G37" s="3014"/>
      <c r="H37" s="3014"/>
      <c r="I37" s="3014"/>
      <c r="J37" s="3014"/>
      <c r="K37" s="3014"/>
      <c r="L37" s="3015"/>
      <c r="M37" s="126"/>
      <c r="N37" s="126"/>
      <c r="O37" s="126"/>
      <c r="P37" s="119"/>
      <c r="Q37" s="85" t="s">
        <v>195</v>
      </c>
      <c r="R37" s="163"/>
      <c r="S37" s="163"/>
      <c r="T37" s="163"/>
      <c r="U37" s="163"/>
      <c r="V37" s="163"/>
      <c r="W37" s="119"/>
      <c r="X37" s="163"/>
    </row>
    <row r="38" spans="1:24" s="110" customFormat="1" ht="13.7" hidden="1" customHeight="1">
      <c r="A38" s="1560"/>
      <c r="B38" s="181" t="s">
        <v>3130</v>
      </c>
      <c r="C38" s="3128" t="s">
        <v>3201</v>
      </c>
      <c r="D38" s="3129"/>
      <c r="E38" s="3129"/>
      <c r="F38" s="3129"/>
      <c r="G38" s="3129"/>
      <c r="H38" s="3129"/>
      <c r="I38" s="3129"/>
      <c r="J38" s="3129"/>
      <c r="K38" s="3129"/>
      <c r="L38" s="3130"/>
      <c r="M38" s="126"/>
      <c r="N38" s="126"/>
      <c r="O38" s="126"/>
      <c r="P38" s="119"/>
      <c r="Q38" s="202">
        <v>1</v>
      </c>
      <c r="R38" s="163"/>
      <c r="S38" s="163"/>
      <c r="T38" s="163"/>
      <c r="U38" s="163"/>
      <c r="V38" s="163"/>
      <c r="W38" s="119"/>
      <c r="X38" s="163"/>
    </row>
    <row r="39" spans="1:24" s="110" customFormat="1" ht="46.5" hidden="1" customHeight="1">
      <c r="A39" s="1560"/>
      <c r="B39" s="159" t="s">
        <v>3137</v>
      </c>
      <c r="C39" s="3125" t="s">
        <v>3202</v>
      </c>
      <c r="D39" s="3126"/>
      <c r="E39" s="3126"/>
      <c r="F39" s="3126"/>
      <c r="G39" s="3126"/>
      <c r="H39" s="3126"/>
      <c r="I39" s="3126"/>
      <c r="J39" s="3126"/>
      <c r="K39" s="3126"/>
      <c r="L39" s="3127"/>
      <c r="M39" s="126"/>
      <c r="N39" s="126"/>
      <c r="O39" s="126"/>
      <c r="P39" s="119"/>
      <c r="Q39" s="202" t="s">
        <v>3203</v>
      </c>
      <c r="R39" s="178"/>
      <c r="S39" s="178"/>
      <c r="T39" s="178"/>
      <c r="U39" s="178"/>
      <c r="V39" s="178"/>
      <c r="W39" s="119"/>
      <c r="X39" s="178"/>
    </row>
    <row r="40" spans="1:24" s="110" customFormat="1" ht="46.5" hidden="1" customHeight="1">
      <c r="A40" s="1560"/>
      <c r="B40" s="159" t="s">
        <v>3145</v>
      </c>
      <c r="C40" s="3125" t="s">
        <v>3204</v>
      </c>
      <c r="D40" s="3126"/>
      <c r="E40" s="3126"/>
      <c r="F40" s="3126"/>
      <c r="G40" s="3126"/>
      <c r="H40" s="3126"/>
      <c r="I40" s="3126"/>
      <c r="J40" s="3126"/>
      <c r="K40" s="3126"/>
      <c r="L40" s="3127"/>
      <c r="M40" s="126"/>
      <c r="N40" s="126"/>
      <c r="O40" s="126"/>
      <c r="P40" s="119"/>
      <c r="Q40" s="202" t="s">
        <v>3203</v>
      </c>
      <c r="R40" s="178"/>
      <c r="S40" s="178"/>
      <c r="T40" s="178"/>
      <c r="U40" s="178"/>
      <c r="V40" s="178"/>
      <c r="W40" s="119"/>
      <c r="X40" s="178"/>
    </row>
    <row r="41" spans="1:24" s="110" customFormat="1" ht="13.7" hidden="1" customHeight="1">
      <c r="A41" s="1560"/>
      <c r="B41" s="159" t="s">
        <v>3152</v>
      </c>
      <c r="C41" s="3125" t="s">
        <v>3205</v>
      </c>
      <c r="D41" s="3126"/>
      <c r="E41" s="3126"/>
      <c r="F41" s="3126"/>
      <c r="G41" s="3126"/>
      <c r="H41" s="3126"/>
      <c r="I41" s="3126"/>
      <c r="J41" s="3126"/>
      <c r="K41" s="3126"/>
      <c r="L41" s="3127"/>
      <c r="M41" s="126"/>
      <c r="N41" s="120"/>
      <c r="O41" s="118"/>
      <c r="P41" s="124"/>
      <c r="Q41" s="202">
        <v>1</v>
      </c>
      <c r="W41" s="124"/>
    </row>
    <row r="42" spans="1:24" s="110" customFormat="1" hidden="1">
      <c r="A42" s="1560"/>
      <c r="B42" s="159" t="s">
        <v>3160</v>
      </c>
      <c r="C42" s="3125" t="s">
        <v>3206</v>
      </c>
      <c r="D42" s="3126"/>
      <c r="E42" s="3126"/>
      <c r="F42" s="3126"/>
      <c r="G42" s="3126"/>
      <c r="H42" s="3126"/>
      <c r="I42" s="3126"/>
      <c r="J42" s="3126"/>
      <c r="K42" s="3126"/>
      <c r="L42" s="3127"/>
      <c r="M42" s="126"/>
      <c r="N42" s="120"/>
      <c r="O42" s="118"/>
      <c r="P42" s="124"/>
      <c r="Q42" s="202">
        <v>1</v>
      </c>
      <c r="W42" s="124"/>
    </row>
    <row r="43" spans="1:24" s="110" customFormat="1" ht="13.7" hidden="1" customHeight="1">
      <c r="A43" s="1560"/>
      <c r="B43" s="159" t="s">
        <v>3169</v>
      </c>
      <c r="C43" s="3125" t="s">
        <v>3207</v>
      </c>
      <c r="D43" s="3126"/>
      <c r="E43" s="3126"/>
      <c r="F43" s="3126"/>
      <c r="G43" s="3126"/>
      <c r="H43" s="3126"/>
      <c r="I43" s="3126"/>
      <c r="J43" s="3126"/>
      <c r="K43" s="3126"/>
      <c r="L43" s="3127"/>
      <c r="M43" s="126"/>
      <c r="N43" s="130"/>
      <c r="O43" s="118"/>
      <c r="P43" s="124"/>
      <c r="Q43" s="202">
        <v>1</v>
      </c>
      <c r="R43" s="178"/>
      <c r="S43" s="178"/>
      <c r="T43" s="178"/>
      <c r="U43" s="178"/>
      <c r="V43" s="178"/>
      <c r="W43" s="124"/>
      <c r="X43" s="178"/>
    </row>
    <row r="44" spans="1:24" s="110" customFormat="1" hidden="1">
      <c r="A44" s="1560"/>
      <c r="B44" s="159" t="s">
        <v>3177</v>
      </c>
      <c r="C44" s="3125" t="s">
        <v>3208</v>
      </c>
      <c r="D44" s="3126"/>
      <c r="E44" s="3126"/>
      <c r="F44" s="3126"/>
      <c r="G44" s="3126"/>
      <c r="H44" s="3126"/>
      <c r="I44" s="3126"/>
      <c r="J44" s="3126"/>
      <c r="K44" s="3126"/>
      <c r="L44" s="3127"/>
      <c r="M44" s="126"/>
      <c r="N44" s="120"/>
      <c r="O44" s="118"/>
      <c r="P44" s="124"/>
      <c r="Q44" s="202">
        <v>1</v>
      </c>
      <c r="W44" s="124"/>
    </row>
    <row r="45" spans="1:24" s="110" customFormat="1" ht="13.7" hidden="1" customHeight="1">
      <c r="A45" s="1560"/>
      <c r="B45" s="779" t="s">
        <v>3184</v>
      </c>
      <c r="C45" s="3125" t="s">
        <v>3209</v>
      </c>
      <c r="D45" s="3126"/>
      <c r="E45" s="3126"/>
      <c r="F45" s="3126"/>
      <c r="G45" s="3126"/>
      <c r="H45" s="3126"/>
      <c r="I45" s="3126"/>
      <c r="J45" s="3126"/>
      <c r="K45" s="3126"/>
      <c r="L45" s="3127"/>
      <c r="M45" s="126"/>
      <c r="N45" s="120"/>
      <c r="O45" s="118"/>
      <c r="P45" s="124"/>
      <c r="Q45" s="202">
        <v>1</v>
      </c>
      <c r="W45" s="124"/>
    </row>
    <row r="46" spans="1:24" s="110" customFormat="1" ht="47.25" hidden="1" customHeight="1" thickBot="1">
      <c r="A46" s="1560"/>
      <c r="B46" s="183" t="s">
        <v>3193</v>
      </c>
      <c r="C46" s="3131" t="s">
        <v>3210</v>
      </c>
      <c r="D46" s="3132"/>
      <c r="E46" s="3132"/>
      <c r="F46" s="3132"/>
      <c r="G46" s="3132"/>
      <c r="H46" s="3132"/>
      <c r="I46" s="3132"/>
      <c r="J46" s="3132"/>
      <c r="K46" s="3132"/>
      <c r="L46" s="3133"/>
      <c r="M46" s="126"/>
      <c r="N46" s="120"/>
      <c r="O46" s="118"/>
      <c r="P46" s="124"/>
      <c r="Q46" s="202" t="s">
        <v>2214</v>
      </c>
      <c r="W46" s="124"/>
    </row>
    <row r="47" spans="1:24" hidden="1">
      <c r="A47" s="1564"/>
      <c r="M47" s="130"/>
      <c r="N47" s="120"/>
      <c r="O47" s="118"/>
      <c r="P47" s="124"/>
      <c r="Q47" s="291"/>
      <c r="R47" s="110"/>
      <c r="S47" s="110"/>
      <c r="T47" s="110"/>
      <c r="U47" s="110"/>
      <c r="V47" s="110"/>
      <c r="W47" s="124"/>
      <c r="X47" s="110"/>
    </row>
  </sheetData>
  <sheetProtection algorithmName="SHA-512" hashValue="Y1AyUKqkKYo3WMwEpphZIGFSosb4d8Q8s4Lur34igLtYqZtO1gmECP5ubbr8sPS/i2CYexq5dSlhl+TZQUiaww==" saltValue="2ZQZ7Fx47Pq8PnIBCE+e+A==" spinCount="100000" sheet="1" objects="1" scenarios="1"/>
  <mergeCells count="21">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 ref="J3:L3"/>
    <mergeCell ref="AE3:AF4"/>
    <mergeCell ref="AH3:AH4"/>
    <mergeCell ref="AI3:AI4"/>
    <mergeCell ref="AJ3:AL3"/>
  </mergeCells>
  <conditionalFormatting sqref="N10:N12">
    <cfRule type="cellIs" dxfId="334" priority="22" operator="equal">
      <formula>0</formula>
    </cfRule>
  </conditionalFormatting>
  <conditionalFormatting sqref="N20 N23">
    <cfRule type="cellIs" dxfId="333" priority="21" operator="equal">
      <formula>0</formula>
    </cfRule>
  </conditionalFormatting>
  <conditionalFormatting sqref="N16">
    <cfRule type="cellIs" dxfId="332" priority="17" operator="equal">
      <formula>0</formula>
    </cfRule>
  </conditionalFormatting>
  <conditionalFormatting sqref="N7">
    <cfRule type="cellIs" dxfId="331" priority="10" operator="equal">
      <formula>0</formula>
    </cfRule>
  </conditionalFormatting>
  <conditionalFormatting sqref="L7 I7 I10:I13 L10:L13 L16 I16 I19:I20 L19:L20 L23 I23">
    <cfRule type="expression" dxfId="330" priority="2">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1"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8"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7"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6"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5"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4"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3" id="{5D4D742F-8B4F-467D-9ADA-7E8E70916FCC}">
            <xm:f>Validation!$H$3=1</xm:f>
            <x14:dxf>
              <fill>
                <patternFill>
                  <bgColor theme="2"/>
                </patternFill>
              </fill>
            </x14:dxf>
          </x14:cfRule>
          <xm:sqref>K7 H7 H10:H13 K10:K13 H16 H19:H20 K19:K20 K23 H23</xm:sqref>
        </x14:conditionalFormatting>
        <x14:conditionalFormatting xmlns:xm="http://schemas.microsoft.com/office/excel/2006/main">
          <x14:cfRule type="expression" priority="1" id="{6F9D89F5-7AE9-403F-9107-36C6A7C3CA85}">
            <xm:f>Validation!#REF!=1</xm:f>
            <x14:dxf>
              <fill>
                <patternFill>
                  <bgColor theme="2"/>
                </patternFill>
              </fill>
            </x14:dxf>
          </x14:cfRule>
          <xm:sqref>K16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E7E6E6"/>
    <pageSetUpPr fitToPage="1"/>
  </sheetPr>
  <dimension ref="A1:AK32"/>
  <sheetViews>
    <sheetView workbookViewId="0">
      <selection activeCell="G14" sqref="G14"/>
    </sheetView>
  </sheetViews>
  <sheetFormatPr defaultColWidth="0" defaultRowHeight="14.25" zeroHeight="1"/>
  <cols>
    <col min="1" max="1" width="0.5" style="8" customWidth="1"/>
    <col min="2" max="2" width="4.125" style="8" customWidth="1"/>
    <col min="3" max="3" width="60.125" style="8" customWidth="1"/>
    <col min="4" max="4" width="1.125" style="479" hidden="1" customWidth="1"/>
    <col min="5" max="6" width="5.125" style="8" customWidth="1"/>
    <col min="7" max="8" width="14.5" style="479" customWidth="1"/>
    <col min="9" max="9" width="14.5" style="8" customWidth="1"/>
    <col min="10" max="10" width="2.5" style="70" customWidth="1"/>
    <col min="11" max="11" width="18.5" style="70" bestFit="1" customWidth="1"/>
    <col min="12" max="12" width="1.5" style="70" customWidth="1"/>
    <col min="13" max="13" width="1.5" style="71" hidden="1" customWidth="1"/>
    <col min="14" max="16" width="11.125" style="70" hidden="1" customWidth="1"/>
    <col min="17" max="17" width="1.5" style="71" hidden="1" customWidth="1"/>
    <col min="18" max="27" width="0" style="8" hidden="1" customWidth="1"/>
    <col min="28" max="28" width="8.5" style="8" customWidth="1"/>
    <col min="29" max="29" width="4.125" style="479" customWidth="1"/>
    <col min="30" max="30" width="60.125" style="479" customWidth="1"/>
    <col min="31" max="31" width="1.125" style="479" hidden="1" customWidth="1"/>
    <col min="32" max="33" width="5.125" style="479" customWidth="1"/>
    <col min="34" max="35" width="14.5" style="479" customWidth="1"/>
    <col min="36" max="36" width="14" style="8" bestFit="1" customWidth="1"/>
    <col min="37" max="37" width="2.5" style="8" customWidth="1"/>
    <col min="38" max="16384" width="8.5" style="8" hidden="1"/>
  </cols>
  <sheetData>
    <row r="1" spans="2:37" ht="20.25">
      <c r="B1" s="66" t="s">
        <v>3211</v>
      </c>
      <c r="C1" s="66"/>
      <c r="D1" s="66"/>
      <c r="E1" s="66"/>
      <c r="F1" s="66"/>
      <c r="G1" s="66"/>
      <c r="H1" s="66"/>
      <c r="I1" s="68" t="str">
        <f>Validation!B3</f>
        <v>Yorkshire Water</v>
      </c>
      <c r="J1" s="66"/>
      <c r="K1" s="69" t="s">
        <v>34</v>
      </c>
      <c r="R1" s="479"/>
      <c r="S1" s="479"/>
      <c r="T1" s="479"/>
      <c r="U1" s="479"/>
      <c r="V1" s="479"/>
      <c r="W1" s="479"/>
      <c r="X1" s="479"/>
      <c r="Y1" s="479"/>
      <c r="Z1" s="479"/>
      <c r="AA1" s="479"/>
      <c r="AB1" s="479"/>
      <c r="AC1" s="66" t="s">
        <v>35</v>
      </c>
      <c r="AD1" s="66"/>
      <c r="AE1" s="66"/>
      <c r="AF1" s="66"/>
      <c r="AG1" s="66"/>
      <c r="AH1" s="66"/>
      <c r="AI1" s="68"/>
      <c r="AJ1" s="68"/>
      <c r="AK1" s="479"/>
    </row>
    <row r="2" spans="2:37" ht="15" thickBot="1">
      <c r="B2" s="73" t="str">
        <f>'4B'!B2</f>
        <v>For the 12 months ended 31 March 2020</v>
      </c>
      <c r="C2" s="70"/>
      <c r="D2" s="70"/>
      <c r="E2" s="70"/>
      <c r="F2" s="70"/>
      <c r="G2" s="70"/>
      <c r="H2" s="70"/>
      <c r="I2" s="70"/>
      <c r="R2" s="479"/>
      <c r="S2" s="479"/>
      <c r="T2" s="479"/>
      <c r="U2" s="479"/>
      <c r="V2" s="479"/>
      <c r="W2" s="479"/>
      <c r="X2" s="479"/>
      <c r="Y2" s="479"/>
      <c r="Z2" s="479"/>
      <c r="AA2" s="479"/>
      <c r="AB2" s="479"/>
      <c r="AC2" s="73" t="str">
        <f>+B2</f>
        <v>For the 12 months ended 31 March 2020</v>
      </c>
      <c r="AD2" s="70"/>
      <c r="AE2" s="70"/>
      <c r="AF2" s="70"/>
      <c r="AG2" s="70"/>
      <c r="AH2" s="70"/>
      <c r="AI2" s="70"/>
      <c r="AJ2" s="70"/>
      <c r="AK2" s="479"/>
    </row>
    <row r="3" spans="2:37" ht="15" customHeight="1">
      <c r="B3" s="3057" t="s">
        <v>36</v>
      </c>
      <c r="C3" s="3058"/>
      <c r="D3" s="2985" t="s">
        <v>3098</v>
      </c>
      <c r="E3" s="3061" t="s">
        <v>38</v>
      </c>
      <c r="F3" s="3063" t="s">
        <v>39</v>
      </c>
      <c r="G3" s="3255" t="s">
        <v>1628</v>
      </c>
      <c r="H3" s="3257" t="s">
        <v>1629</v>
      </c>
      <c r="I3" s="3065" t="s">
        <v>913</v>
      </c>
      <c r="K3" s="3070" t="s">
        <v>43</v>
      </c>
      <c r="R3" s="479"/>
      <c r="S3" s="479"/>
      <c r="T3" s="479"/>
      <c r="U3" s="479"/>
      <c r="V3" s="479"/>
      <c r="W3" s="479"/>
      <c r="X3" s="479"/>
      <c r="Y3" s="479"/>
      <c r="Z3" s="479"/>
      <c r="AA3" s="479"/>
      <c r="AB3" s="479"/>
      <c r="AC3" s="3057" t="s">
        <v>36</v>
      </c>
      <c r="AD3" s="3058"/>
      <c r="AE3" s="2985" t="s">
        <v>3098</v>
      </c>
      <c r="AF3" s="3061" t="s">
        <v>38</v>
      </c>
      <c r="AG3" s="3063" t="s">
        <v>39</v>
      </c>
      <c r="AH3" s="3065" t="s">
        <v>1628</v>
      </c>
      <c r="AI3" s="3065" t="s">
        <v>1629</v>
      </c>
      <c r="AJ3" s="3065" t="s">
        <v>913</v>
      </c>
      <c r="AK3" s="479"/>
    </row>
    <row r="4" spans="2:37" ht="24.75" thickBot="1">
      <c r="B4" s="3059"/>
      <c r="C4" s="3060"/>
      <c r="D4" s="2986"/>
      <c r="E4" s="3062"/>
      <c r="F4" s="3064"/>
      <c r="G4" s="3256"/>
      <c r="H4" s="3258"/>
      <c r="I4" s="3066"/>
      <c r="K4" s="3071"/>
      <c r="N4" s="2987" t="s">
        <v>47</v>
      </c>
      <c r="O4" s="2987"/>
      <c r="P4" s="2987"/>
      <c r="R4" s="479"/>
      <c r="S4" s="479"/>
      <c r="T4" s="479"/>
      <c r="U4" s="479"/>
      <c r="V4" s="479"/>
      <c r="W4" s="479"/>
      <c r="X4" s="479"/>
      <c r="Y4" s="479"/>
      <c r="Z4" s="479"/>
      <c r="AA4" s="479"/>
      <c r="AB4" s="479"/>
      <c r="AC4" s="3059"/>
      <c r="AD4" s="3060"/>
      <c r="AE4" s="2986"/>
      <c r="AF4" s="3062"/>
      <c r="AG4" s="3064"/>
      <c r="AH4" s="3066"/>
      <c r="AI4" s="3066"/>
      <c r="AJ4" s="3066"/>
      <c r="AK4" s="479"/>
    </row>
    <row r="5" spans="2:37" ht="15" thickBot="1">
      <c r="B5" s="70"/>
      <c r="C5" s="70"/>
      <c r="D5" s="70"/>
      <c r="E5" s="70"/>
      <c r="F5" s="70"/>
      <c r="G5" s="70"/>
      <c r="H5" s="70"/>
      <c r="I5" s="70"/>
      <c r="K5" s="255"/>
      <c r="N5" s="164" t="s">
        <v>48</v>
      </c>
      <c r="O5" s="164"/>
      <c r="P5" s="164"/>
      <c r="R5" s="479"/>
      <c r="S5" s="479"/>
      <c r="T5" s="479"/>
      <c r="U5" s="479"/>
      <c r="V5" s="479"/>
      <c r="W5" s="479"/>
      <c r="X5" s="479"/>
      <c r="Y5" s="479"/>
      <c r="Z5" s="479"/>
      <c r="AA5" s="479"/>
      <c r="AB5" s="479"/>
      <c r="AC5" s="70"/>
      <c r="AD5" s="70"/>
      <c r="AE5" s="70"/>
      <c r="AF5" s="70"/>
      <c r="AG5" s="70"/>
      <c r="AH5" s="70"/>
      <c r="AI5" s="70"/>
      <c r="AJ5" s="70"/>
      <c r="AK5" s="479"/>
    </row>
    <row r="6" spans="2:37" s="479" customFormat="1">
      <c r="B6" s="86" t="s">
        <v>3212</v>
      </c>
      <c r="C6" s="117" t="s">
        <v>3213</v>
      </c>
      <c r="D6" s="117"/>
      <c r="E6" s="88" t="s">
        <v>51</v>
      </c>
      <c r="F6" s="89">
        <v>3</v>
      </c>
      <c r="G6" s="413">
        <v>-126.646</v>
      </c>
      <c r="H6" s="424">
        <v>72.557000000000002</v>
      </c>
      <c r="I6" s="1599"/>
      <c r="J6" s="70"/>
      <c r="K6" s="24">
        <f xml:space="preserve"> IF( SUM( M6:Q6 ) = 0, 0, $N$5 )</f>
        <v>0</v>
      </c>
      <c r="L6" s="70"/>
      <c r="M6" s="71"/>
      <c r="N6" s="93">
        <f xml:space="preserve"> IF( ISNUMBER( G6 ), 0, 1 )</f>
        <v>0</v>
      </c>
      <c r="O6" s="93">
        <f>IF(Validation!$H$3=1,0,IF(ISNUMBER(H6),0,1))</f>
        <v>0</v>
      </c>
      <c r="P6" s="93">
        <f>IF( Validation!$H$3 = 1, 0, IF(Validation!$B$3 &lt;&gt; "Thames Water",0, (IF(ISNUMBER(I6),0,1))))</f>
        <v>0</v>
      </c>
      <c r="Q6" s="71"/>
      <c r="AC6" s="86" t="s">
        <v>3212</v>
      </c>
      <c r="AD6" s="117" t="s">
        <v>3213</v>
      </c>
      <c r="AE6" s="117"/>
      <c r="AF6" s="88" t="s">
        <v>51</v>
      </c>
      <c r="AG6" s="89">
        <v>3</v>
      </c>
      <c r="AH6" s="2354" t="s">
        <v>3214</v>
      </c>
      <c r="AI6" s="2656" t="s">
        <v>3215</v>
      </c>
      <c r="AJ6" s="2656" t="s">
        <v>3216</v>
      </c>
    </row>
    <row r="7" spans="2:37" s="479" customFormat="1">
      <c r="B7" s="94" t="s">
        <v>3217</v>
      </c>
      <c r="C7" s="87" t="s">
        <v>3218</v>
      </c>
      <c r="D7" s="87"/>
      <c r="E7" s="95" t="s">
        <v>51</v>
      </c>
      <c r="F7" s="96">
        <v>3</v>
      </c>
      <c r="G7" s="411">
        <v>-61.887999999999998</v>
      </c>
      <c r="H7" s="412">
        <v>36.206000000000003</v>
      </c>
      <c r="I7" s="854"/>
      <c r="J7" s="70"/>
      <c r="K7" s="24">
        <f xml:space="preserve"> IF( SUM( M7:Q7 ) = 0, 0, $N$5 )</f>
        <v>0</v>
      </c>
      <c r="L7" s="70"/>
      <c r="M7" s="71"/>
      <c r="N7" s="93">
        <f t="shared" ref="N7:N10" si="0" xml:space="preserve"> IF( ISNUMBER( G7 ), 0, 1 )</f>
        <v>0</v>
      </c>
      <c r="O7" s="93">
        <f>IF(Validation!$H$3=1,0,IF(ISNUMBER(H7),0,1))</f>
        <v>0</v>
      </c>
      <c r="P7" s="93">
        <f>IF( Validation!$H$3 = 1, 0, IF(Validation!$B$3 &lt;&gt; "Thames Water",0, (IF(ISNUMBER(I7),0,1))))</f>
        <v>0</v>
      </c>
      <c r="Q7" s="71"/>
      <c r="AC7" s="94" t="s">
        <v>3217</v>
      </c>
      <c r="AD7" s="87" t="s">
        <v>3218</v>
      </c>
      <c r="AE7" s="87"/>
      <c r="AF7" s="95" t="s">
        <v>51</v>
      </c>
      <c r="AG7" s="96">
        <v>3</v>
      </c>
      <c r="AH7" s="2356" t="s">
        <v>3219</v>
      </c>
      <c r="AI7" s="2657" t="s">
        <v>3220</v>
      </c>
      <c r="AJ7" s="2657" t="s">
        <v>3221</v>
      </c>
    </row>
    <row r="8" spans="2:37" s="479" customFormat="1" ht="14.25" customHeight="1">
      <c r="B8" s="94" t="s">
        <v>3222</v>
      </c>
      <c r="C8" s="87" t="s">
        <v>3223</v>
      </c>
      <c r="D8" s="87"/>
      <c r="E8" s="95" t="s">
        <v>51</v>
      </c>
      <c r="F8" s="96">
        <v>3</v>
      </c>
      <c r="G8" s="411">
        <v>53.792999999999999</v>
      </c>
      <c r="H8" s="412">
        <v>-55.886000000000003</v>
      </c>
      <c r="I8" s="852"/>
      <c r="J8" s="70"/>
      <c r="K8" s="24">
        <f xml:space="preserve"> IF( SUM( M8:Q8 ) = 0, 0, $N$5 )</f>
        <v>0</v>
      </c>
      <c r="L8" s="70"/>
      <c r="M8" s="71"/>
      <c r="N8" s="93">
        <f t="shared" si="0"/>
        <v>0</v>
      </c>
      <c r="O8" s="93">
        <f>IF(Validation!$H$3=1,0,IF(ISNUMBER(H8),0,1))</f>
        <v>0</v>
      </c>
      <c r="P8" s="93">
        <f>IF( Validation!$H$3 = 1, 0, IF(Validation!$B$3 &lt;&gt; "Thames Water",0, (IF(ISNUMBER(I8),0,1))))</f>
        <v>0</v>
      </c>
      <c r="Q8" s="71"/>
      <c r="AC8" s="94" t="s">
        <v>3222</v>
      </c>
      <c r="AD8" s="87" t="s">
        <v>3224</v>
      </c>
      <c r="AE8" s="87"/>
      <c r="AF8" s="95" t="s">
        <v>51</v>
      </c>
      <c r="AG8" s="96">
        <v>3</v>
      </c>
      <c r="AH8" s="2356" t="s">
        <v>3225</v>
      </c>
      <c r="AI8" s="2608" t="s">
        <v>3226</v>
      </c>
      <c r="AJ8" s="2608" t="s">
        <v>3227</v>
      </c>
    </row>
    <row r="9" spans="2:37" s="479" customFormat="1" ht="14.25" customHeight="1">
      <c r="B9" s="94" t="s">
        <v>3228</v>
      </c>
      <c r="C9" s="219" t="s">
        <v>3229</v>
      </c>
      <c r="D9" s="219"/>
      <c r="E9" s="95" t="s">
        <v>51</v>
      </c>
      <c r="F9" s="96">
        <v>3</v>
      </c>
      <c r="G9" s="463">
        <v>-17.277999999999999</v>
      </c>
      <c r="H9" s="464">
        <v>0</v>
      </c>
      <c r="I9" s="854"/>
      <c r="J9" s="70"/>
      <c r="K9" s="24">
        <f xml:space="preserve"> IF( SUM( M9:Q9 ) = 0, 0, $N$5 )</f>
        <v>0</v>
      </c>
      <c r="L9" s="70"/>
      <c r="M9" s="71"/>
      <c r="N9" s="93">
        <f t="shared" si="0"/>
        <v>0</v>
      </c>
      <c r="O9" s="93">
        <f>IF(Validation!$H$3=1,0,IF(ISNUMBER(H9),0,1))</f>
        <v>0</v>
      </c>
      <c r="P9" s="93">
        <f>IF( Validation!$H$3 = 1, 0, IF(Validation!$B$3 &lt;&gt; "Thames Water",0, (IF(ISNUMBER(I9),0,1))))</f>
        <v>0</v>
      </c>
      <c r="Q9" s="71"/>
      <c r="AC9" s="94" t="s">
        <v>3228</v>
      </c>
      <c r="AD9" s="219" t="s">
        <v>3229</v>
      </c>
      <c r="AE9" s="219"/>
      <c r="AF9" s="95" t="s">
        <v>51</v>
      </c>
      <c r="AG9" s="96">
        <v>3</v>
      </c>
      <c r="AH9" s="2530" t="s">
        <v>3230</v>
      </c>
      <c r="AI9" s="2658" t="s">
        <v>3231</v>
      </c>
      <c r="AJ9" s="2658" t="s">
        <v>3232</v>
      </c>
    </row>
    <row r="10" spans="2:37" s="479" customFormat="1" ht="14.25" customHeight="1">
      <c r="B10" s="94" t="s">
        <v>3233</v>
      </c>
      <c r="C10" s="219" t="s">
        <v>3234</v>
      </c>
      <c r="D10" s="219"/>
      <c r="E10" s="95" t="s">
        <v>51</v>
      </c>
      <c r="F10" s="96">
        <v>3</v>
      </c>
      <c r="G10" s="463">
        <v>2891.3240000000001</v>
      </c>
      <c r="H10" s="464">
        <v>4059.18</v>
      </c>
      <c r="I10" s="854"/>
      <c r="J10" s="70"/>
      <c r="K10" s="24">
        <f xml:space="preserve"> IF( SUM( M10:Q10 ) = 0, 0, $N$5 )</f>
        <v>0</v>
      </c>
      <c r="L10" s="70"/>
      <c r="M10" s="71"/>
      <c r="N10" s="93">
        <f t="shared" si="0"/>
        <v>0</v>
      </c>
      <c r="O10" s="93">
        <f>IF(Validation!$H$3=1,0,IF(ISNUMBER(H10),0,1))</f>
        <v>0</v>
      </c>
      <c r="P10" s="93">
        <f>IF( Validation!$H$3 = 1, 0, IF(Validation!$B$3 &lt;&gt; "Thames Water",0, (IF(ISNUMBER(I10),0,1))))</f>
        <v>0</v>
      </c>
      <c r="Q10" s="71"/>
      <c r="AC10" s="94" t="s">
        <v>3233</v>
      </c>
      <c r="AD10" s="219" t="s">
        <v>3234</v>
      </c>
      <c r="AE10" s="219"/>
      <c r="AF10" s="95" t="s">
        <v>51</v>
      </c>
      <c r="AG10" s="96">
        <v>3</v>
      </c>
      <c r="AH10" s="2659" t="s">
        <v>3235</v>
      </c>
      <c r="AI10" s="2658" t="s">
        <v>3236</v>
      </c>
      <c r="AJ10" s="2658" t="s">
        <v>3237</v>
      </c>
    </row>
    <row r="11" spans="2:37" s="479" customFormat="1" ht="15" thickBot="1">
      <c r="B11" s="101" t="s">
        <v>3238</v>
      </c>
      <c r="C11" s="102" t="s">
        <v>3239</v>
      </c>
      <c r="D11" s="102"/>
      <c r="E11" s="103" t="s">
        <v>51</v>
      </c>
      <c r="F11" s="100">
        <v>3</v>
      </c>
      <c r="G11" s="193">
        <f xml:space="preserve"> SUM( G8:G10 )</f>
        <v>2927.8389999999999</v>
      </c>
      <c r="H11" s="194">
        <f xml:space="preserve"> SUM( H8:H10 )</f>
        <v>4003.2939999999999</v>
      </c>
      <c r="I11" s="335">
        <f xml:space="preserve"> SUM( I8:I10 )</f>
        <v>0</v>
      </c>
      <c r="J11" s="70"/>
      <c r="K11" s="70"/>
      <c r="L11" s="70"/>
      <c r="M11" s="71"/>
      <c r="N11" s="70"/>
      <c r="O11" s="70"/>
      <c r="P11" s="70"/>
      <c r="Q11" s="71"/>
      <c r="AC11" s="101" t="s">
        <v>3238</v>
      </c>
      <c r="AD11" s="102" t="s">
        <v>3239</v>
      </c>
      <c r="AE11" s="102"/>
      <c r="AF11" s="103" t="s">
        <v>51</v>
      </c>
      <c r="AG11" s="100">
        <v>3</v>
      </c>
      <c r="AH11" s="200" t="s">
        <v>3240</v>
      </c>
      <c r="AI11" s="335" t="s">
        <v>3241</v>
      </c>
      <c r="AJ11" s="335" t="s">
        <v>3242</v>
      </c>
    </row>
    <row r="12" spans="2:37">
      <c r="B12" s="479"/>
      <c r="C12" s="479"/>
      <c r="E12" s="479"/>
      <c r="F12" s="479"/>
      <c r="I12" s="479"/>
      <c r="R12" s="479"/>
      <c r="S12" s="479"/>
      <c r="T12" s="479"/>
      <c r="U12" s="479"/>
      <c r="V12" s="479"/>
      <c r="W12" s="479"/>
      <c r="X12" s="479"/>
      <c r="Y12" s="479"/>
      <c r="Z12" s="479"/>
      <c r="AA12" s="479"/>
      <c r="AB12" s="479"/>
      <c r="AJ12" s="479"/>
      <c r="AK12" s="479"/>
    </row>
    <row r="13" spans="2:37">
      <c r="B13" s="3077" t="s">
        <v>243</v>
      </c>
      <c r="C13" s="3077"/>
      <c r="D13" s="2988"/>
      <c r="E13" s="163"/>
      <c r="F13" s="163"/>
      <c r="G13" s="163"/>
      <c r="H13" s="163"/>
      <c r="I13" s="163"/>
      <c r="R13" s="479"/>
      <c r="S13" s="479"/>
      <c r="T13" s="479"/>
      <c r="U13" s="479"/>
      <c r="V13" s="479"/>
      <c r="W13" s="479"/>
      <c r="X13" s="479"/>
      <c r="Y13" s="479"/>
      <c r="Z13" s="479"/>
      <c r="AA13" s="479"/>
      <c r="AB13" s="479"/>
      <c r="AJ13" s="479"/>
      <c r="AK13" s="479"/>
    </row>
    <row r="14" spans="2:37">
      <c r="B14" s="141"/>
      <c r="C14" s="142"/>
      <c r="D14" s="142"/>
      <c r="E14" s="163"/>
      <c r="F14" s="163"/>
      <c r="G14" s="163"/>
      <c r="H14" s="163"/>
      <c r="I14" s="163"/>
      <c r="R14" s="479"/>
      <c r="S14" s="479"/>
      <c r="T14" s="479"/>
      <c r="U14" s="479"/>
      <c r="V14" s="479"/>
      <c r="W14" s="479"/>
      <c r="X14" s="479"/>
      <c r="Y14" s="479"/>
      <c r="Z14" s="479"/>
      <c r="AA14" s="479"/>
      <c r="AB14" s="479"/>
      <c r="AJ14" s="479"/>
      <c r="AK14" s="479"/>
    </row>
    <row r="15" spans="2:37">
      <c r="B15" s="25"/>
      <c r="C15" s="143" t="s">
        <v>190</v>
      </c>
      <c r="D15" s="143"/>
      <c r="E15" s="163"/>
      <c r="F15" s="163"/>
      <c r="G15" s="163"/>
      <c r="H15" s="163"/>
      <c r="I15" s="163"/>
      <c r="R15" s="479"/>
      <c r="S15" s="479"/>
      <c r="T15" s="479"/>
      <c r="U15" s="479"/>
      <c r="V15" s="479"/>
      <c r="W15" s="479"/>
      <c r="X15" s="479"/>
      <c r="Y15" s="479"/>
      <c r="Z15" s="479"/>
      <c r="AA15" s="479"/>
      <c r="AB15" s="479"/>
      <c r="AJ15" s="479"/>
      <c r="AK15" s="479"/>
    </row>
    <row r="16" spans="2:37">
      <c r="B16" s="141"/>
      <c r="C16" s="142"/>
      <c r="D16" s="142"/>
      <c r="E16" s="163"/>
      <c r="F16" s="163"/>
      <c r="G16" s="163"/>
      <c r="H16" s="163"/>
      <c r="I16" s="163"/>
      <c r="R16" s="479"/>
      <c r="S16" s="479"/>
      <c r="T16" s="479"/>
      <c r="U16" s="479"/>
      <c r="V16" s="479"/>
      <c r="W16" s="479"/>
      <c r="X16" s="479"/>
      <c r="Y16" s="479"/>
      <c r="Z16" s="479"/>
      <c r="AA16" s="479"/>
      <c r="AB16" s="479"/>
      <c r="AJ16" s="479"/>
      <c r="AK16" s="479"/>
    </row>
    <row r="17" spans="1:28">
      <c r="A17" s="479"/>
      <c r="B17" s="144"/>
      <c r="C17" s="143" t="s">
        <v>191</v>
      </c>
      <c r="D17" s="143"/>
      <c r="E17" s="163"/>
      <c r="F17" s="163"/>
      <c r="G17" s="163"/>
      <c r="H17" s="163"/>
      <c r="I17" s="163"/>
      <c r="R17" s="479"/>
      <c r="S17" s="479"/>
      <c r="T17" s="479"/>
      <c r="U17" s="479"/>
      <c r="V17" s="479"/>
      <c r="W17" s="479"/>
      <c r="X17" s="479"/>
      <c r="Y17" s="479"/>
      <c r="Z17" s="479"/>
      <c r="AA17" s="479"/>
      <c r="AB17" s="479"/>
    </row>
    <row r="18" spans="1:28">
      <c r="A18" s="479"/>
      <c r="B18" s="145"/>
      <c r="C18" s="143"/>
      <c r="D18" s="143"/>
      <c r="E18" s="163"/>
      <c r="F18" s="163"/>
      <c r="G18" s="163"/>
      <c r="H18" s="163"/>
      <c r="I18" s="163"/>
      <c r="R18" s="479"/>
      <c r="S18" s="479"/>
      <c r="T18" s="479"/>
      <c r="U18" s="479"/>
      <c r="V18" s="479"/>
      <c r="W18" s="479"/>
      <c r="X18" s="479"/>
      <c r="Y18" s="479"/>
      <c r="Z18" s="479"/>
      <c r="AA18" s="479"/>
      <c r="AB18" s="479"/>
    </row>
    <row r="19" spans="1:28" ht="15" thickBot="1">
      <c r="A19" s="479"/>
      <c r="B19" s="178"/>
      <c r="C19" s="179"/>
      <c r="D19" s="179"/>
      <c r="E19" s="178"/>
      <c r="F19" s="178"/>
      <c r="G19" s="178"/>
      <c r="H19" s="178"/>
      <c r="I19" s="178"/>
      <c r="R19" s="479"/>
      <c r="S19" s="479"/>
      <c r="T19" s="479"/>
      <c r="U19" s="479"/>
      <c r="V19" s="479"/>
      <c r="W19" s="479"/>
      <c r="X19" s="479"/>
      <c r="Y19" s="479"/>
      <c r="Z19" s="479"/>
      <c r="AA19" s="479"/>
      <c r="AB19" s="479"/>
    </row>
    <row r="20" spans="1:28" s="479" customFormat="1" ht="16.5" thickBot="1">
      <c r="B20" s="3053" t="str">
        <f>'4B'!B33</f>
        <v>Please refer to RAG 4.08 - Guideline for the table definitions in the annual performance report for the reporting year 2019-20</v>
      </c>
      <c r="C20" s="148"/>
      <c r="D20" s="148"/>
      <c r="E20" s="148"/>
      <c r="F20" s="148"/>
      <c r="G20" s="148"/>
      <c r="H20" s="148"/>
      <c r="I20" s="251"/>
      <c r="J20" s="70"/>
      <c r="K20" s="70"/>
      <c r="L20" s="70"/>
      <c r="M20" s="71"/>
      <c r="N20" s="70"/>
      <c r="O20" s="70"/>
      <c r="P20" s="70"/>
      <c r="Q20" s="71"/>
    </row>
    <row r="21" spans="1:28" s="479" customFormat="1">
      <c r="B21" s="178"/>
      <c r="C21" s="179"/>
      <c r="D21" s="179"/>
      <c r="E21" s="178"/>
      <c r="F21" s="178"/>
      <c r="G21" s="178"/>
      <c r="H21" s="178"/>
      <c r="I21" s="178"/>
      <c r="J21" s="70"/>
      <c r="K21" s="70"/>
      <c r="L21" s="70"/>
      <c r="M21" s="71"/>
      <c r="N21" s="70"/>
      <c r="O21" s="70"/>
      <c r="P21" s="70"/>
      <c r="Q21" s="71"/>
    </row>
    <row r="22" spans="1:28" ht="16.5" hidden="1" thickBot="1">
      <c r="A22" s="1566"/>
      <c r="B22" s="146" t="str">
        <f ca="1" xml:space="preserve"> RIGHT(CELL("filename", $A$1), LEN(CELL("filename", $A$1)) - SEARCH("]", CELL("filename", $A$1)))&amp;" - Line definitions"</f>
        <v>4C - Line definitions</v>
      </c>
      <c r="C22" s="147"/>
      <c r="D22" s="147"/>
      <c r="E22" s="148"/>
      <c r="F22" s="148"/>
      <c r="G22" s="148"/>
      <c r="H22" s="148"/>
      <c r="I22" s="251"/>
      <c r="R22" s="479"/>
      <c r="S22" s="479"/>
      <c r="T22" s="479"/>
      <c r="U22" s="479"/>
      <c r="V22" s="479"/>
      <c r="W22" s="479"/>
      <c r="X22" s="479"/>
      <c r="Y22" s="479"/>
      <c r="Z22" s="479"/>
      <c r="AA22" s="479"/>
      <c r="AB22" s="479"/>
    </row>
    <row r="23" spans="1:28" ht="15" hidden="1" thickBot="1">
      <c r="A23" s="1566"/>
      <c r="B23" s="74"/>
      <c r="C23" s="155"/>
      <c r="D23" s="155"/>
      <c r="E23" s="74"/>
      <c r="F23" s="74"/>
      <c r="G23" s="74"/>
      <c r="H23" s="74"/>
      <c r="I23" s="74"/>
      <c r="R23" s="479"/>
      <c r="S23" s="479"/>
      <c r="T23" s="479"/>
      <c r="U23" s="479"/>
      <c r="V23" s="479"/>
      <c r="W23" s="479"/>
      <c r="X23" s="479"/>
      <c r="Y23" s="479"/>
      <c r="Z23" s="479"/>
      <c r="AA23" s="479"/>
      <c r="AB23" s="479"/>
    </row>
    <row r="24" spans="1:28" ht="15" hidden="1" thickBot="1">
      <c r="A24" s="1566"/>
      <c r="B24" s="156" t="s">
        <v>193</v>
      </c>
      <c r="C24" s="3252" t="s">
        <v>194</v>
      </c>
      <c r="D24" s="3252"/>
      <c r="E24" s="3252"/>
      <c r="F24" s="3252"/>
      <c r="G24" s="3253"/>
      <c r="H24" s="3253"/>
      <c r="I24" s="3254"/>
      <c r="N24" s="85" t="s">
        <v>195</v>
      </c>
      <c r="O24" s="85"/>
      <c r="P24" s="85"/>
      <c r="R24" s="479"/>
      <c r="S24" s="479"/>
      <c r="T24" s="479"/>
      <c r="U24" s="479"/>
      <c r="V24" s="479"/>
      <c r="W24" s="479"/>
      <c r="X24" s="479"/>
      <c r="Y24" s="479"/>
      <c r="Z24" s="479"/>
      <c r="AA24" s="479"/>
      <c r="AB24" s="479"/>
    </row>
    <row r="25" spans="1:28" ht="87.75" hidden="1" customHeight="1">
      <c r="A25" s="1566"/>
      <c r="B25" s="181" t="str">
        <f>B6</f>
        <v>4C.1</v>
      </c>
      <c r="C25" s="3073" t="s">
        <v>3243</v>
      </c>
      <c r="D25" s="3073"/>
      <c r="E25" s="3073"/>
      <c r="F25" s="3073"/>
      <c r="G25" s="3091"/>
      <c r="H25" s="3091"/>
      <c r="I25" s="3074"/>
      <c r="J25" s="118"/>
      <c r="K25" s="120"/>
      <c r="L25" s="118"/>
      <c r="M25" s="124"/>
      <c r="N25" s="202">
        <v>1</v>
      </c>
      <c r="O25" s="202"/>
      <c r="P25" s="202"/>
      <c r="Q25" s="124"/>
      <c r="R25" s="479"/>
      <c r="S25" s="479"/>
      <c r="T25" s="479"/>
      <c r="U25" s="479"/>
      <c r="V25" s="479"/>
      <c r="W25" s="479"/>
      <c r="X25" s="479"/>
      <c r="Y25" s="479"/>
      <c r="Z25" s="479"/>
      <c r="AA25" s="479"/>
      <c r="AB25" s="479"/>
    </row>
    <row r="26" spans="1:28" ht="27.75" hidden="1" customHeight="1">
      <c r="A26" s="1566"/>
      <c r="B26" s="159" t="str">
        <f t="shared" ref="B26:B30" si="1">B7</f>
        <v>4C.2</v>
      </c>
      <c r="C26" s="3055" t="s">
        <v>3244</v>
      </c>
      <c r="D26" s="3055"/>
      <c r="E26" s="3055"/>
      <c r="F26" s="3055"/>
      <c r="G26" s="3082"/>
      <c r="H26" s="3082"/>
      <c r="I26" s="3056"/>
      <c r="J26" s="126"/>
      <c r="K26" s="126"/>
      <c r="L26" s="126"/>
      <c r="M26" s="119"/>
      <c r="N26" s="743" t="s">
        <v>197</v>
      </c>
      <c r="O26" s="202"/>
      <c r="P26" s="202"/>
      <c r="Q26" s="119"/>
      <c r="R26" s="479"/>
      <c r="S26" s="479"/>
      <c r="T26" s="479"/>
      <c r="U26" s="479"/>
      <c r="V26" s="479"/>
      <c r="W26" s="479"/>
      <c r="X26" s="479"/>
      <c r="Y26" s="479"/>
      <c r="Z26" s="479"/>
      <c r="AA26" s="479"/>
      <c r="AB26" s="479"/>
    </row>
    <row r="27" spans="1:28" s="746" customFormat="1" ht="114" hidden="1" customHeight="1">
      <c r="A27" s="1603"/>
      <c r="B27" s="561" t="str">
        <f t="shared" si="1"/>
        <v>4C.3</v>
      </c>
      <c r="C27" s="3055" t="s">
        <v>3245</v>
      </c>
      <c r="D27" s="3055"/>
      <c r="E27" s="3055"/>
      <c r="F27" s="3055"/>
      <c r="G27" s="3082"/>
      <c r="H27" s="3082"/>
      <c r="I27" s="3056"/>
      <c r="J27" s="744"/>
      <c r="K27" s="744"/>
      <c r="L27" s="744"/>
      <c r="M27" s="745"/>
      <c r="N27" s="743" t="s">
        <v>197</v>
      </c>
      <c r="O27" s="743"/>
      <c r="P27" s="743"/>
      <c r="Q27" s="745"/>
    </row>
    <row r="28" spans="1:28" ht="14.25" hidden="1" customHeight="1">
      <c r="A28" s="1566"/>
      <c r="B28" s="159" t="str">
        <f t="shared" si="1"/>
        <v>4C.4</v>
      </c>
      <c r="C28" s="3055" t="s">
        <v>3246</v>
      </c>
      <c r="D28" s="3055"/>
      <c r="E28" s="3055"/>
      <c r="F28" s="3055"/>
      <c r="G28" s="3082"/>
      <c r="H28" s="3082"/>
      <c r="I28" s="3056"/>
      <c r="J28" s="126"/>
      <c r="K28" s="126"/>
      <c r="L28" s="126"/>
      <c r="M28" s="119"/>
      <c r="N28" s="202">
        <v>1</v>
      </c>
      <c r="O28" s="202"/>
      <c r="P28" s="202"/>
      <c r="Q28" s="119"/>
      <c r="R28" s="479"/>
      <c r="S28" s="479"/>
      <c r="T28" s="479"/>
      <c r="U28" s="479"/>
      <c r="V28" s="479"/>
      <c r="W28" s="479"/>
      <c r="X28" s="479"/>
      <c r="Y28" s="479"/>
      <c r="Z28" s="479"/>
      <c r="AA28" s="479"/>
      <c r="AB28" s="479"/>
    </row>
    <row r="29" spans="1:28" ht="13.7" hidden="1" customHeight="1">
      <c r="A29" s="1566"/>
      <c r="B29" s="159" t="str">
        <f t="shared" si="1"/>
        <v>4C.5</v>
      </c>
      <c r="C29" s="3055" t="s">
        <v>3247</v>
      </c>
      <c r="D29" s="3055"/>
      <c r="E29" s="3055"/>
      <c r="F29" s="3055"/>
      <c r="G29" s="3082"/>
      <c r="H29" s="3082"/>
      <c r="I29" s="3056"/>
      <c r="J29" s="126"/>
      <c r="K29" s="126"/>
      <c r="L29" s="126"/>
      <c r="M29" s="119"/>
      <c r="N29" s="202">
        <v>1</v>
      </c>
      <c r="O29" s="202"/>
      <c r="P29" s="256"/>
      <c r="Q29" s="119"/>
      <c r="R29" s="479"/>
      <c r="S29" s="479"/>
      <c r="T29" s="479"/>
      <c r="U29" s="479"/>
      <c r="V29" s="479"/>
      <c r="W29" s="479"/>
      <c r="X29" s="479"/>
      <c r="Y29" s="479"/>
      <c r="Z29" s="479"/>
      <c r="AA29" s="479"/>
      <c r="AB29" s="479"/>
    </row>
    <row r="30" spans="1:28" ht="15" hidden="1" thickBot="1">
      <c r="A30" s="1566"/>
      <c r="B30" s="183" t="str">
        <f t="shared" si="1"/>
        <v>4C.6</v>
      </c>
      <c r="C30" s="3075" t="s">
        <v>3248</v>
      </c>
      <c r="D30" s="3075"/>
      <c r="E30" s="3075"/>
      <c r="F30" s="3075"/>
      <c r="G30" s="3085"/>
      <c r="H30" s="3085"/>
      <c r="I30" s="3076"/>
      <c r="J30" s="126"/>
      <c r="K30" s="126"/>
      <c r="L30" s="126"/>
      <c r="M30" s="119"/>
      <c r="N30" s="202">
        <v>1</v>
      </c>
      <c r="O30" s="202"/>
      <c r="P30" s="256"/>
      <c r="Q30" s="119"/>
      <c r="R30" s="479"/>
      <c r="S30" s="479"/>
      <c r="T30" s="479"/>
      <c r="U30" s="479"/>
      <c r="V30" s="479"/>
      <c r="W30" s="479"/>
      <c r="X30" s="479"/>
      <c r="Y30" s="479"/>
      <c r="Z30" s="479"/>
      <c r="AA30" s="479"/>
      <c r="AB30" s="479"/>
    </row>
    <row r="31" spans="1:28" hidden="1">
      <c r="A31" s="1566"/>
      <c r="B31" s="479"/>
      <c r="C31" s="479"/>
      <c r="E31" s="479"/>
      <c r="F31" s="479"/>
      <c r="I31" s="479"/>
      <c r="J31" s="126"/>
      <c r="K31" s="126"/>
      <c r="L31" s="126"/>
      <c r="M31" s="119"/>
      <c r="N31" s="256"/>
      <c r="O31" s="256"/>
      <c r="P31" s="256"/>
      <c r="Q31" s="119"/>
      <c r="R31" s="479"/>
      <c r="S31" s="479"/>
      <c r="T31" s="479"/>
      <c r="U31" s="479"/>
      <c r="V31" s="479"/>
      <c r="W31" s="479"/>
      <c r="X31" s="479"/>
      <c r="Y31" s="479"/>
      <c r="Z31" s="479"/>
      <c r="AA31" s="479"/>
      <c r="AB31" s="479"/>
    </row>
    <row r="32" spans="1:28" hidden="1">
      <c r="A32" s="479"/>
      <c r="B32" s="479"/>
      <c r="C32" s="479"/>
      <c r="E32" s="479"/>
      <c r="F32" s="479"/>
      <c r="I32" s="479"/>
      <c r="J32" s="126"/>
      <c r="K32" s="126"/>
      <c r="L32" s="126"/>
      <c r="M32" s="119"/>
      <c r="N32" s="203"/>
      <c r="O32" s="203"/>
      <c r="P32" s="203"/>
      <c r="Q32" s="119"/>
      <c r="R32" s="479"/>
      <c r="S32" s="479"/>
      <c r="T32" s="479"/>
      <c r="U32" s="479"/>
      <c r="V32" s="479"/>
      <c r="W32" s="479"/>
      <c r="X32" s="479"/>
      <c r="Y32" s="479"/>
      <c r="Z32" s="479"/>
      <c r="AA32" s="479"/>
      <c r="AB32" s="479"/>
    </row>
  </sheetData>
  <sheetProtection algorithmName="SHA-512" hashValue="BjJWjzzdBVEnm28kLk0+SNSu90gTy8nLTOGawL/WUHte6c4CQB89zMfjObEEeuxHoBKlE/bz5DDB/EUJPFugMw==" saltValue="EE9q2dmj5vNd5UHaw0iKog==" spinCount="100000" sheet="1" objects="1" scenarios="1"/>
  <mergeCells count="21">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321" priority="9" operator="equal">
      <formula>0</formula>
    </cfRule>
  </conditionalFormatting>
  <conditionalFormatting sqref="I6:I11">
    <cfRule type="expression" dxfId="320"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BM92"/>
  <sheetViews>
    <sheetView zoomScaleNormal="100" workbookViewId="0">
      <selection activeCell="M23" sqref="M23"/>
    </sheetView>
  </sheetViews>
  <sheetFormatPr defaultColWidth="0" defaultRowHeight="14.25" zeroHeight="1"/>
  <cols>
    <col min="1" max="1" width="0.5" style="8" customWidth="1"/>
    <col min="2" max="2" width="6" style="8" customWidth="1"/>
    <col min="3" max="3" width="59.5" style="8" bestFit="1" customWidth="1"/>
    <col min="4" max="4" width="1.125" style="479" hidden="1" customWidth="1"/>
    <col min="5" max="6" width="5.125" style="8" customWidth="1"/>
    <col min="7" max="12" width="12.125" style="8" customWidth="1"/>
    <col min="13" max="13" width="12.5" style="8" customWidth="1"/>
    <col min="14" max="14" width="1.5" style="70" customWidth="1"/>
    <col min="15" max="15" width="28" style="70" customWidth="1"/>
    <col min="16" max="16" width="30.625" style="70" customWidth="1"/>
    <col min="17" max="17" width="1.5" style="70" customWidth="1"/>
    <col min="18" max="18" width="1.5" style="71" hidden="1" customWidth="1"/>
    <col min="19" max="24" width="4.5" style="70" hidden="1" customWidth="1"/>
    <col min="25" max="25" width="1.5" style="71" hidden="1" customWidth="1"/>
    <col min="26" max="26" width="10.125" style="8" hidden="1" customWidth="1"/>
    <col min="27" max="27" width="1.5" style="71" hidden="1" customWidth="1"/>
    <col min="28" max="29" width="7.5" style="8" hidden="1" customWidth="1"/>
    <col min="30" max="30" width="64.125" style="8" hidden="1" customWidth="1"/>
    <col min="31" max="31" width="1.5" style="71" hidden="1" customWidth="1"/>
    <col min="32" max="51" width="8.5" style="8" hidden="1" customWidth="1"/>
    <col min="52" max="52" width="8.5" style="8" customWidth="1"/>
    <col min="53" max="53" width="6" style="479" customWidth="1"/>
    <col min="54" max="54" width="59.5" style="479" bestFit="1" customWidth="1"/>
    <col min="55" max="55" width="1.125" style="479" hidden="1" customWidth="1"/>
    <col min="56" max="57" width="5.125" style="479" customWidth="1"/>
    <col min="58" max="63" width="12.125" style="479" customWidth="1"/>
    <col min="64" max="64" width="12.5" style="479" customWidth="1"/>
    <col min="65" max="65" width="1.625" style="8" customWidth="1"/>
    <col min="66" max="16384" width="8.5" style="8" hidden="1"/>
  </cols>
  <sheetData>
    <row r="1" spans="2:64" ht="20.25">
      <c r="B1" s="66" t="s">
        <v>3249</v>
      </c>
      <c r="C1" s="66"/>
      <c r="D1" s="66"/>
      <c r="E1" s="66"/>
      <c r="F1" s="66"/>
      <c r="G1" s="66"/>
      <c r="H1" s="66"/>
      <c r="I1" s="66"/>
      <c r="J1" s="66"/>
      <c r="K1" s="66"/>
      <c r="L1" s="66"/>
      <c r="M1" s="68" t="str">
        <f>Validation!B3</f>
        <v>Yorkshire Water</v>
      </c>
      <c r="N1" s="66"/>
      <c r="O1" s="66"/>
      <c r="P1" s="69" t="s">
        <v>34</v>
      </c>
      <c r="Z1" s="479"/>
      <c r="AB1" s="479"/>
      <c r="AC1" s="479"/>
      <c r="AD1" s="479"/>
      <c r="AF1" s="479"/>
      <c r="AG1" s="479"/>
      <c r="AH1" s="479"/>
      <c r="AI1" s="479"/>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6"/>
      <c r="BL1" s="68"/>
    </row>
    <row r="2" spans="2:64" ht="15" thickBot="1">
      <c r="B2" s="73" t="str">
        <f>'4C'!B2</f>
        <v>For the 12 months ended 31 March 2020</v>
      </c>
      <c r="C2" s="70"/>
      <c r="D2" s="70"/>
      <c r="E2" s="70"/>
      <c r="F2" s="70"/>
      <c r="G2" s="70"/>
      <c r="H2" s="70"/>
      <c r="I2" s="70"/>
      <c r="J2" s="70"/>
      <c r="K2" s="70"/>
      <c r="L2" s="70"/>
      <c r="M2" s="70"/>
      <c r="Z2" s="479"/>
      <c r="AB2" s="479"/>
      <c r="AC2" s="479"/>
      <c r="AD2" s="479"/>
      <c r="AF2" s="479"/>
      <c r="AG2" s="479"/>
      <c r="AH2" s="479"/>
      <c r="AI2" s="479"/>
      <c r="AJ2" s="479"/>
      <c r="AK2" s="479"/>
      <c r="AL2" s="479"/>
      <c r="AM2" s="479"/>
      <c r="AN2" s="479"/>
      <c r="AO2" s="479"/>
      <c r="AP2" s="479"/>
      <c r="AQ2" s="479"/>
      <c r="AR2" s="479"/>
      <c r="AS2" s="479"/>
      <c r="AT2" s="479"/>
      <c r="AU2" s="479"/>
      <c r="AV2" s="479"/>
      <c r="AW2" s="479"/>
      <c r="AX2" s="479"/>
      <c r="AY2" s="479"/>
      <c r="AZ2" s="479"/>
      <c r="BA2" s="73" t="str">
        <f>+B2</f>
        <v>For the 12 months ended 31 March 2020</v>
      </c>
      <c r="BB2" s="70"/>
      <c r="BC2" s="70"/>
      <c r="BD2" s="70"/>
      <c r="BE2" s="70"/>
      <c r="BF2" s="70"/>
      <c r="BG2" s="70"/>
      <c r="BH2" s="70"/>
      <c r="BI2" s="70"/>
      <c r="BJ2" s="70"/>
      <c r="BK2" s="70"/>
      <c r="BL2" s="70"/>
    </row>
    <row r="3" spans="2:64" ht="15" customHeight="1">
      <c r="B3" s="3144" t="s">
        <v>36</v>
      </c>
      <c r="C3" s="3145"/>
      <c r="D3" s="3010" t="s">
        <v>3098</v>
      </c>
      <c r="E3" s="3148" t="s">
        <v>38</v>
      </c>
      <c r="F3" s="3150" t="s">
        <v>39</v>
      </c>
      <c r="G3" s="3261" t="s">
        <v>907</v>
      </c>
      <c r="H3" s="3262"/>
      <c r="I3" s="3263" t="s">
        <v>3250</v>
      </c>
      <c r="J3" s="3264"/>
      <c r="K3" s="3268"/>
      <c r="L3" s="3269"/>
      <c r="M3" s="3259" t="s">
        <v>710</v>
      </c>
      <c r="O3" s="3070" t="s">
        <v>705</v>
      </c>
      <c r="P3" s="3070" t="s">
        <v>43</v>
      </c>
      <c r="Z3" s="479"/>
      <c r="AB3" s="479"/>
      <c r="AC3" s="479"/>
      <c r="AD3" s="479"/>
      <c r="AF3" s="479"/>
      <c r="AG3" s="479"/>
      <c r="AH3" s="479"/>
      <c r="AI3" s="479"/>
      <c r="AJ3" s="479"/>
      <c r="AK3" s="479"/>
      <c r="AL3" s="479"/>
      <c r="AM3" s="479"/>
      <c r="AN3" s="479"/>
      <c r="AO3" s="479"/>
      <c r="AP3" s="479"/>
      <c r="AQ3" s="479"/>
      <c r="AR3" s="479"/>
      <c r="AS3" s="479"/>
      <c r="AT3" s="479"/>
      <c r="AU3" s="479"/>
      <c r="AV3" s="479"/>
      <c r="AW3" s="479"/>
      <c r="AX3" s="479"/>
      <c r="AY3" s="479"/>
      <c r="AZ3" s="479"/>
      <c r="BA3" s="3144" t="s">
        <v>36</v>
      </c>
      <c r="BB3" s="3145"/>
      <c r="BC3" s="3010" t="s">
        <v>3098</v>
      </c>
      <c r="BD3" s="3148" t="s">
        <v>38</v>
      </c>
      <c r="BE3" s="3150" t="s">
        <v>39</v>
      </c>
      <c r="BF3" s="3261" t="s">
        <v>907</v>
      </c>
      <c r="BG3" s="3262"/>
      <c r="BH3" s="3263" t="s">
        <v>3250</v>
      </c>
      <c r="BI3" s="3264"/>
      <c r="BJ3" s="3265"/>
      <c r="BK3" s="3266"/>
      <c r="BL3" s="3259" t="s">
        <v>710</v>
      </c>
    </row>
    <row r="4" spans="2:64" ht="27.75" thickBot="1">
      <c r="B4" s="3146"/>
      <c r="C4" s="3147"/>
      <c r="D4" s="3011"/>
      <c r="E4" s="3149"/>
      <c r="F4" s="3151"/>
      <c r="G4" s="211" t="s">
        <v>3251</v>
      </c>
      <c r="H4" s="212" t="s">
        <v>3252</v>
      </c>
      <c r="I4" s="214" t="s">
        <v>3253</v>
      </c>
      <c r="J4" s="212" t="s">
        <v>3254</v>
      </c>
      <c r="K4" s="211" t="s">
        <v>3255</v>
      </c>
      <c r="L4" s="213" t="s">
        <v>3256</v>
      </c>
      <c r="M4" s="3260"/>
      <c r="O4" s="3071"/>
      <c r="P4" s="3071"/>
      <c r="S4" s="3072" t="s">
        <v>47</v>
      </c>
      <c r="T4" s="3072"/>
      <c r="U4" s="3072"/>
      <c r="V4" s="3072"/>
      <c r="W4" s="3072"/>
      <c r="X4" s="3072"/>
      <c r="Z4" s="2987" t="s">
        <v>26</v>
      </c>
      <c r="AB4" s="76" t="s">
        <v>904</v>
      </c>
      <c r="AC4" s="1558"/>
      <c r="AD4" s="1558"/>
      <c r="AF4" s="479"/>
      <c r="AG4" s="479"/>
      <c r="AH4" s="479"/>
      <c r="AI4" s="479"/>
      <c r="AJ4" s="479"/>
      <c r="AK4" s="479"/>
      <c r="AL4" s="479"/>
      <c r="AM4" s="479"/>
      <c r="AN4" s="479"/>
      <c r="AO4" s="479"/>
      <c r="AP4" s="479"/>
      <c r="AQ4" s="479"/>
      <c r="AR4" s="479"/>
      <c r="AS4" s="479"/>
      <c r="AT4" s="479"/>
      <c r="AU4" s="479"/>
      <c r="AV4" s="479"/>
      <c r="AW4" s="479"/>
      <c r="AX4" s="479"/>
      <c r="AY4" s="479"/>
      <c r="AZ4" s="479"/>
      <c r="BA4" s="3146"/>
      <c r="BB4" s="3147"/>
      <c r="BC4" s="3011"/>
      <c r="BD4" s="3149"/>
      <c r="BE4" s="3151"/>
      <c r="BF4" s="211" t="s">
        <v>3251</v>
      </c>
      <c r="BG4" s="212" t="s">
        <v>3252</v>
      </c>
      <c r="BH4" s="214" t="s">
        <v>3253</v>
      </c>
      <c r="BI4" s="212" t="s">
        <v>3254</v>
      </c>
      <c r="BJ4" s="211" t="s">
        <v>3255</v>
      </c>
      <c r="BK4" s="213" t="s">
        <v>3256</v>
      </c>
      <c r="BL4" s="3260"/>
    </row>
    <row r="5" spans="2:64" ht="15" thickBot="1">
      <c r="B5" s="70"/>
      <c r="C5" s="70"/>
      <c r="D5" s="70"/>
      <c r="E5" s="70"/>
      <c r="F5" s="70"/>
      <c r="G5" s="70"/>
      <c r="H5" s="70"/>
      <c r="I5" s="70"/>
      <c r="J5" s="70"/>
      <c r="K5" s="70"/>
      <c r="L5" s="70"/>
      <c r="M5" s="70"/>
      <c r="S5" s="3267"/>
      <c r="T5" s="3267"/>
      <c r="U5" s="3267"/>
      <c r="V5" s="3267"/>
      <c r="W5" s="3267"/>
      <c r="X5" s="3267"/>
      <c r="Z5" s="3022"/>
      <c r="AB5" s="3022"/>
      <c r="AC5" s="82"/>
      <c r="AD5" s="82"/>
      <c r="AF5" s="479"/>
      <c r="AG5" s="479"/>
      <c r="AH5" s="479"/>
      <c r="AI5" s="479"/>
      <c r="AJ5" s="479"/>
      <c r="AK5" s="479"/>
      <c r="AL5" s="479"/>
      <c r="AM5" s="479"/>
      <c r="AN5" s="479"/>
      <c r="AO5" s="479"/>
      <c r="AP5" s="479"/>
      <c r="AQ5" s="479"/>
      <c r="AR5" s="479"/>
      <c r="AS5" s="479"/>
      <c r="AT5" s="479"/>
      <c r="AU5" s="479"/>
      <c r="AV5" s="479"/>
      <c r="AW5" s="479"/>
      <c r="AX5" s="479"/>
      <c r="AY5" s="479"/>
      <c r="AZ5" s="479"/>
      <c r="BA5" s="70"/>
      <c r="BB5" s="70"/>
      <c r="BC5" s="70"/>
      <c r="BD5" s="70"/>
      <c r="BE5" s="70"/>
      <c r="BF5" s="70"/>
      <c r="BG5" s="70"/>
      <c r="BH5" s="70"/>
      <c r="BI5" s="70"/>
      <c r="BJ5" s="70"/>
      <c r="BK5" s="70"/>
      <c r="BL5" s="70"/>
    </row>
    <row r="6" spans="2:64" ht="15" thickBot="1">
      <c r="B6" s="113" t="s">
        <v>155</v>
      </c>
      <c r="C6" s="114" t="s">
        <v>941</v>
      </c>
      <c r="D6" s="1505"/>
      <c r="E6" s="70"/>
      <c r="F6" s="70"/>
      <c r="G6" s="70"/>
      <c r="H6" s="70"/>
      <c r="I6" s="70"/>
      <c r="J6" s="70"/>
      <c r="K6" s="70"/>
      <c r="L6" s="70"/>
      <c r="M6" s="70"/>
      <c r="P6" s="24">
        <f xml:space="preserve"> IF( SUM( R6:Y6 ) = 0, 0, $P$9 )</f>
        <v>0</v>
      </c>
      <c r="S6" s="164" t="s">
        <v>48</v>
      </c>
      <c r="T6" s="164"/>
      <c r="U6" s="164"/>
      <c r="V6" s="164"/>
      <c r="W6" s="164"/>
      <c r="X6" s="164"/>
      <c r="Z6" s="479"/>
      <c r="AB6" s="479"/>
      <c r="AC6" s="479"/>
      <c r="AD6" s="479"/>
      <c r="AF6" s="479"/>
      <c r="AG6" s="479"/>
      <c r="AH6" s="479"/>
      <c r="AI6" s="479"/>
      <c r="AJ6" s="479"/>
      <c r="AK6" s="479"/>
      <c r="AL6" s="479"/>
      <c r="AM6" s="479"/>
      <c r="AN6" s="479"/>
      <c r="AO6" s="479"/>
      <c r="AP6" s="479"/>
      <c r="AQ6" s="479"/>
      <c r="AR6" s="479"/>
      <c r="AS6" s="479"/>
      <c r="AT6" s="479"/>
      <c r="AU6" s="479"/>
      <c r="AV6" s="479"/>
      <c r="AW6" s="479"/>
      <c r="AX6" s="479"/>
      <c r="AY6" s="479"/>
      <c r="AZ6" s="479"/>
      <c r="BA6" s="113" t="s">
        <v>155</v>
      </c>
      <c r="BB6" s="114" t="s">
        <v>941</v>
      </c>
      <c r="BC6" s="1505"/>
      <c r="BD6" s="70"/>
      <c r="BE6" s="70"/>
      <c r="BF6" s="70"/>
      <c r="BG6" s="70"/>
      <c r="BH6" s="70"/>
      <c r="BI6" s="70"/>
      <c r="BJ6" s="70"/>
      <c r="BK6" s="70"/>
      <c r="BL6" s="70"/>
    </row>
    <row r="7" spans="2:64">
      <c r="B7" s="86" t="s">
        <v>3257</v>
      </c>
      <c r="C7" s="117" t="s">
        <v>1042</v>
      </c>
      <c r="D7" s="117"/>
      <c r="E7" s="88" t="s">
        <v>51</v>
      </c>
      <c r="F7" s="215">
        <v>3</v>
      </c>
      <c r="G7" s="413">
        <v>0</v>
      </c>
      <c r="H7" s="414">
        <v>2.2200000000000002</v>
      </c>
      <c r="I7" s="413">
        <v>4.4109999999999996</v>
      </c>
      <c r="J7" s="424">
        <v>2E-3</v>
      </c>
      <c r="K7" s="423">
        <v>9.2940000000000005</v>
      </c>
      <c r="L7" s="414">
        <v>12.13</v>
      </c>
      <c r="M7" s="199">
        <f t="shared" ref="M7:M15" si="0">SUM(G7:L7)</f>
        <v>28.057000000000002</v>
      </c>
      <c r="P7" s="24">
        <f xml:space="preserve"> IF( SUM( R7:Y7 ) = 0, 0, $S$6 )</f>
        <v>0</v>
      </c>
      <c r="S7" s="93">
        <f t="shared" ref="S7:X14" si="1" xml:space="preserve"> IF( ISNUMBER( G7 ), 0, 1 )</f>
        <v>0</v>
      </c>
      <c r="T7" s="93">
        <f t="shared" si="1"/>
        <v>0</v>
      </c>
      <c r="U7" s="93">
        <f t="shared" si="1"/>
        <v>0</v>
      </c>
      <c r="V7" s="93">
        <f t="shared" si="1"/>
        <v>0</v>
      </c>
      <c r="W7" s="93">
        <f t="shared" si="1"/>
        <v>0</v>
      </c>
      <c r="X7" s="93">
        <f t="shared" si="1"/>
        <v>0</v>
      </c>
      <c r="Z7" s="479"/>
      <c r="AB7" s="479"/>
      <c r="AC7" s="479"/>
      <c r="AD7" s="479"/>
      <c r="AF7" s="479"/>
      <c r="AG7" s="479"/>
      <c r="AH7" s="479"/>
      <c r="AI7" s="479"/>
      <c r="AJ7" s="479"/>
      <c r="AK7" s="479"/>
      <c r="AL7" s="479"/>
      <c r="AM7" s="479"/>
      <c r="AN7" s="479"/>
      <c r="AO7" s="479"/>
      <c r="AP7" s="479"/>
      <c r="AQ7" s="479"/>
      <c r="AR7" s="479"/>
      <c r="AS7" s="479"/>
      <c r="AT7" s="479"/>
      <c r="AU7" s="479"/>
      <c r="AV7" s="479"/>
      <c r="AW7" s="479"/>
      <c r="AX7" s="479"/>
      <c r="AY7" s="479"/>
      <c r="AZ7" s="479"/>
      <c r="BA7" s="86" t="s">
        <v>3257</v>
      </c>
      <c r="BB7" s="117" t="s">
        <v>1042</v>
      </c>
      <c r="BC7" s="117"/>
      <c r="BD7" s="88" t="s">
        <v>51</v>
      </c>
      <c r="BE7" s="215">
        <v>3</v>
      </c>
      <c r="BF7" s="2516" t="s">
        <v>3258</v>
      </c>
      <c r="BG7" s="2660" t="s">
        <v>3259</v>
      </c>
      <c r="BH7" s="2516" t="s">
        <v>3260</v>
      </c>
      <c r="BI7" s="2517" t="s">
        <v>3261</v>
      </c>
      <c r="BJ7" s="2575" t="s">
        <v>3262</v>
      </c>
      <c r="BK7" s="2660" t="s">
        <v>3263</v>
      </c>
      <c r="BL7" s="199" t="s">
        <v>3264</v>
      </c>
    </row>
    <row r="8" spans="2:64">
      <c r="B8" s="94" t="s">
        <v>3265</v>
      </c>
      <c r="C8" s="87" t="s">
        <v>1050</v>
      </c>
      <c r="D8" s="87"/>
      <c r="E8" s="95" t="s">
        <v>51</v>
      </c>
      <c r="F8" s="217">
        <v>3</v>
      </c>
      <c r="G8" s="411">
        <v>0</v>
      </c>
      <c r="H8" s="415">
        <v>0</v>
      </c>
      <c r="I8" s="411">
        <v>0</v>
      </c>
      <c r="J8" s="412">
        <v>0</v>
      </c>
      <c r="K8" s="425">
        <v>0</v>
      </c>
      <c r="L8" s="415">
        <v>0</v>
      </c>
      <c r="M8" s="241">
        <f t="shared" si="0"/>
        <v>0</v>
      </c>
      <c r="P8" s="24">
        <f t="shared" ref="P8:P46" si="2" xml:space="preserve"> IF( SUM( R8:Y8 ) = 0, 0, $S$6 )</f>
        <v>0</v>
      </c>
      <c r="S8" s="93">
        <f t="shared" si="1"/>
        <v>0</v>
      </c>
      <c r="T8" s="93">
        <f t="shared" si="1"/>
        <v>0</v>
      </c>
      <c r="U8" s="93">
        <f t="shared" si="1"/>
        <v>0</v>
      </c>
      <c r="V8" s="93">
        <f t="shared" si="1"/>
        <v>0</v>
      </c>
      <c r="W8" s="93">
        <f t="shared" si="1"/>
        <v>0</v>
      </c>
      <c r="X8" s="93">
        <f t="shared" si="1"/>
        <v>0</v>
      </c>
      <c r="Z8" s="479"/>
      <c r="AB8" s="479"/>
      <c r="AC8" s="479"/>
      <c r="AD8" s="479"/>
      <c r="AF8" s="479"/>
      <c r="AG8" s="479"/>
      <c r="AH8" s="479"/>
      <c r="AI8" s="479"/>
      <c r="AJ8" s="479"/>
      <c r="AK8" s="479"/>
      <c r="AL8" s="479"/>
      <c r="AM8" s="479"/>
      <c r="AN8" s="479"/>
      <c r="AO8" s="479"/>
      <c r="AP8" s="479"/>
      <c r="AQ8" s="479"/>
      <c r="AR8" s="479"/>
      <c r="AS8" s="479"/>
      <c r="AT8" s="479"/>
      <c r="AU8" s="479"/>
      <c r="AV8" s="479"/>
      <c r="AW8" s="479"/>
      <c r="AX8" s="479"/>
      <c r="AY8" s="479"/>
      <c r="AZ8" s="479"/>
      <c r="BA8" s="94" t="s">
        <v>3265</v>
      </c>
      <c r="BB8" s="87" t="s">
        <v>1050</v>
      </c>
      <c r="BC8" s="87"/>
      <c r="BD8" s="95" t="s">
        <v>51</v>
      </c>
      <c r="BE8" s="217">
        <v>3</v>
      </c>
      <c r="BF8" s="2519" t="s">
        <v>3266</v>
      </c>
      <c r="BG8" s="2661" t="s">
        <v>3267</v>
      </c>
      <c r="BH8" s="2519" t="s">
        <v>3268</v>
      </c>
      <c r="BI8" s="2520" t="s">
        <v>3269</v>
      </c>
      <c r="BJ8" s="2532" t="s">
        <v>3270</v>
      </c>
      <c r="BK8" s="2661" t="s">
        <v>3271</v>
      </c>
      <c r="BL8" s="241" t="s">
        <v>3272</v>
      </c>
    </row>
    <row r="9" spans="2:64">
      <c r="B9" s="94" t="s">
        <v>3273</v>
      </c>
      <c r="C9" s="87" t="s">
        <v>1058</v>
      </c>
      <c r="D9" s="87"/>
      <c r="E9" s="95" t="s">
        <v>51</v>
      </c>
      <c r="F9" s="217">
        <v>3</v>
      </c>
      <c r="G9" s="411">
        <v>4.9690000000000003</v>
      </c>
      <c r="H9" s="415">
        <v>0.57999999999999996</v>
      </c>
      <c r="I9" s="411">
        <v>0</v>
      </c>
      <c r="J9" s="412">
        <v>0</v>
      </c>
      <c r="K9" s="425">
        <v>4.0000000000000001E-3</v>
      </c>
      <c r="L9" s="415">
        <v>0</v>
      </c>
      <c r="M9" s="241">
        <f t="shared" si="0"/>
        <v>5.5529999999999999</v>
      </c>
      <c r="P9" s="24">
        <f t="shared" si="2"/>
        <v>0</v>
      </c>
      <c r="S9" s="93">
        <f t="shared" si="1"/>
        <v>0</v>
      </c>
      <c r="T9" s="93">
        <f t="shared" si="1"/>
        <v>0</v>
      </c>
      <c r="U9" s="93">
        <f t="shared" si="1"/>
        <v>0</v>
      </c>
      <c r="V9" s="93">
        <f t="shared" si="1"/>
        <v>0</v>
      </c>
      <c r="W9" s="93">
        <f t="shared" si="1"/>
        <v>0</v>
      </c>
      <c r="X9" s="93">
        <f t="shared" si="1"/>
        <v>0</v>
      </c>
      <c r="Z9" s="479"/>
      <c r="AB9" s="479"/>
      <c r="AC9" s="479"/>
      <c r="AD9" s="479"/>
      <c r="AF9" s="479"/>
      <c r="AG9" s="479"/>
      <c r="AH9" s="479"/>
      <c r="AI9" s="479"/>
      <c r="AJ9" s="479"/>
      <c r="AK9" s="479"/>
      <c r="AL9" s="479"/>
      <c r="AM9" s="479"/>
      <c r="AN9" s="479"/>
      <c r="AO9" s="479"/>
      <c r="AP9" s="479"/>
      <c r="AQ9" s="479"/>
      <c r="AR9" s="479"/>
      <c r="AS9" s="479"/>
      <c r="AT9" s="479"/>
      <c r="AU9" s="479"/>
      <c r="AV9" s="479"/>
      <c r="AW9" s="479"/>
      <c r="AX9" s="479"/>
      <c r="AY9" s="479"/>
      <c r="AZ9" s="479"/>
      <c r="BA9" s="94" t="s">
        <v>3273</v>
      </c>
      <c r="BB9" s="87" t="s">
        <v>1058</v>
      </c>
      <c r="BC9" s="87"/>
      <c r="BD9" s="95" t="s">
        <v>51</v>
      </c>
      <c r="BE9" s="217">
        <v>3</v>
      </c>
      <c r="BF9" s="2519" t="s">
        <v>3274</v>
      </c>
      <c r="BG9" s="2661" t="s">
        <v>3275</v>
      </c>
      <c r="BH9" s="2519" t="s">
        <v>3276</v>
      </c>
      <c r="BI9" s="2520" t="s">
        <v>3277</v>
      </c>
      <c r="BJ9" s="2532" t="s">
        <v>3278</v>
      </c>
      <c r="BK9" s="2661" t="s">
        <v>3279</v>
      </c>
      <c r="BL9" s="241" t="s">
        <v>3280</v>
      </c>
    </row>
    <row r="10" spans="2:64">
      <c r="B10" s="94" t="s">
        <v>3281</v>
      </c>
      <c r="C10" s="87" t="s">
        <v>3282</v>
      </c>
      <c r="D10" s="87"/>
      <c r="E10" s="95" t="s">
        <v>51</v>
      </c>
      <c r="F10" s="217">
        <v>3</v>
      </c>
      <c r="G10" s="411">
        <v>0</v>
      </c>
      <c r="H10" s="415">
        <v>3.8039999999999998</v>
      </c>
      <c r="I10" s="411">
        <v>0</v>
      </c>
      <c r="J10" s="412">
        <v>0</v>
      </c>
      <c r="K10" s="425">
        <v>0</v>
      </c>
      <c r="L10" s="415">
        <v>0</v>
      </c>
      <c r="M10" s="241">
        <f t="shared" si="0"/>
        <v>3.8039999999999998</v>
      </c>
      <c r="P10" s="24">
        <f t="shared" si="2"/>
        <v>0</v>
      </c>
      <c r="S10" s="93">
        <f t="shared" si="1"/>
        <v>0</v>
      </c>
      <c r="T10" s="93">
        <f t="shared" si="1"/>
        <v>0</v>
      </c>
      <c r="U10" s="93">
        <f t="shared" si="1"/>
        <v>0</v>
      </c>
      <c r="V10" s="93">
        <f t="shared" si="1"/>
        <v>0</v>
      </c>
      <c r="W10" s="93">
        <f t="shared" si="1"/>
        <v>0</v>
      </c>
      <c r="X10" s="93">
        <f t="shared" si="1"/>
        <v>0</v>
      </c>
      <c r="Z10" s="479"/>
      <c r="AB10" s="479"/>
      <c r="AC10" s="479"/>
      <c r="AD10" s="479"/>
      <c r="AF10" s="479"/>
      <c r="AG10" s="479"/>
      <c r="AH10" s="479"/>
      <c r="AI10" s="479"/>
      <c r="AJ10" s="479"/>
      <c r="AK10" s="479"/>
      <c r="AL10" s="479"/>
      <c r="AM10" s="479"/>
      <c r="AN10" s="479"/>
      <c r="AO10" s="479"/>
      <c r="AP10" s="479"/>
      <c r="AQ10" s="479"/>
      <c r="AR10" s="479"/>
      <c r="AS10" s="479"/>
      <c r="AT10" s="479"/>
      <c r="AU10" s="479"/>
      <c r="AV10" s="479"/>
      <c r="AW10" s="479"/>
      <c r="AX10" s="479"/>
      <c r="AY10" s="479"/>
      <c r="AZ10" s="479"/>
      <c r="BA10" s="94" t="s">
        <v>3281</v>
      </c>
      <c r="BB10" s="87" t="s">
        <v>3282</v>
      </c>
      <c r="BC10" s="87"/>
      <c r="BD10" s="95" t="s">
        <v>51</v>
      </c>
      <c r="BE10" s="217">
        <v>3</v>
      </c>
      <c r="BF10" s="2519" t="s">
        <v>3283</v>
      </c>
      <c r="BG10" s="2661" t="s">
        <v>3284</v>
      </c>
      <c r="BH10" s="2519" t="s">
        <v>3285</v>
      </c>
      <c r="BI10" s="2520" t="s">
        <v>3286</v>
      </c>
      <c r="BJ10" s="2532" t="s">
        <v>3287</v>
      </c>
      <c r="BK10" s="2661" t="s">
        <v>3288</v>
      </c>
      <c r="BL10" s="241" t="s">
        <v>3289</v>
      </c>
    </row>
    <row r="11" spans="2:64">
      <c r="B11" s="94" t="s">
        <v>3290</v>
      </c>
      <c r="C11" s="277" t="s">
        <v>1074</v>
      </c>
      <c r="D11" s="277"/>
      <c r="E11" s="301" t="s">
        <v>51</v>
      </c>
      <c r="F11" s="279">
        <v>3</v>
      </c>
      <c r="G11" s="411">
        <v>0</v>
      </c>
      <c r="H11" s="415">
        <v>0</v>
      </c>
      <c r="I11" s="411">
        <v>0</v>
      </c>
      <c r="J11" s="412">
        <v>0</v>
      </c>
      <c r="K11" s="425">
        <v>0</v>
      </c>
      <c r="L11" s="415">
        <v>0</v>
      </c>
      <c r="M11" s="241">
        <f t="shared" si="0"/>
        <v>0</v>
      </c>
      <c r="P11" s="24">
        <f t="shared" si="2"/>
        <v>0</v>
      </c>
      <c r="S11" s="93">
        <f t="shared" si="1"/>
        <v>0</v>
      </c>
      <c r="T11" s="93">
        <f t="shared" si="1"/>
        <v>0</v>
      </c>
      <c r="U11" s="93">
        <f t="shared" si="1"/>
        <v>0</v>
      </c>
      <c r="V11" s="93">
        <f t="shared" si="1"/>
        <v>0</v>
      </c>
      <c r="W11" s="93">
        <f t="shared" si="1"/>
        <v>0</v>
      </c>
      <c r="X11" s="93">
        <f t="shared" si="1"/>
        <v>0</v>
      </c>
      <c r="Z11" s="479"/>
      <c r="AB11" s="479"/>
      <c r="AC11" s="479"/>
      <c r="AD11" s="479"/>
      <c r="AF11" s="479"/>
      <c r="AG11" s="479"/>
      <c r="AH11" s="479"/>
      <c r="AI11" s="479"/>
      <c r="AJ11" s="479"/>
      <c r="AK11" s="479"/>
      <c r="AL11" s="479"/>
      <c r="AM11" s="479"/>
      <c r="AN11" s="479"/>
      <c r="AO11" s="479"/>
      <c r="AP11" s="479"/>
      <c r="AQ11" s="479"/>
      <c r="AR11" s="479"/>
      <c r="AS11" s="479"/>
      <c r="AT11" s="479"/>
      <c r="AU11" s="479"/>
      <c r="AV11" s="479"/>
      <c r="AW11" s="479"/>
      <c r="AX11" s="479"/>
      <c r="AY11" s="479"/>
      <c r="AZ11" s="479"/>
      <c r="BA11" s="94" t="s">
        <v>3290</v>
      </c>
      <c r="BB11" s="277" t="s">
        <v>1074</v>
      </c>
      <c r="BC11" s="277"/>
      <c r="BD11" s="301" t="s">
        <v>51</v>
      </c>
      <c r="BE11" s="279">
        <v>3</v>
      </c>
      <c r="BF11" s="2355" t="s">
        <v>3291</v>
      </c>
      <c r="BG11" s="2662" t="s">
        <v>3292</v>
      </c>
      <c r="BH11" s="2355" t="s">
        <v>3293</v>
      </c>
      <c r="BI11" s="2529" t="s">
        <v>3294</v>
      </c>
      <c r="BJ11" s="2587" t="s">
        <v>3295</v>
      </c>
      <c r="BK11" s="2662" t="s">
        <v>3296</v>
      </c>
      <c r="BL11" s="2095" t="s">
        <v>3297</v>
      </c>
    </row>
    <row r="12" spans="2:64" s="479" customFormat="1">
      <c r="B12" s="94" t="s">
        <v>3298</v>
      </c>
      <c r="C12" s="277" t="s">
        <v>1082</v>
      </c>
      <c r="D12" s="277"/>
      <c r="E12" s="301" t="s">
        <v>51</v>
      </c>
      <c r="F12" s="279">
        <v>3</v>
      </c>
      <c r="G12" s="411">
        <v>0</v>
      </c>
      <c r="H12" s="415">
        <v>0</v>
      </c>
      <c r="I12" s="411">
        <v>0</v>
      </c>
      <c r="J12" s="412">
        <v>0</v>
      </c>
      <c r="K12" s="425">
        <v>0</v>
      </c>
      <c r="L12" s="415">
        <v>0</v>
      </c>
      <c r="M12" s="241">
        <f t="shared" si="0"/>
        <v>0</v>
      </c>
      <c r="N12" s="70"/>
      <c r="O12" s="70"/>
      <c r="P12" s="24">
        <f t="shared" ref="P12:P13" si="3" xml:space="preserve"> IF( SUM( R12:Y12 ) = 0, 0, $S$6 )</f>
        <v>0</v>
      </c>
      <c r="Q12" s="70"/>
      <c r="R12" s="71"/>
      <c r="S12" s="93">
        <f t="shared" si="1"/>
        <v>0</v>
      </c>
      <c r="T12" s="93">
        <f t="shared" si="1"/>
        <v>0</v>
      </c>
      <c r="U12" s="93">
        <f t="shared" si="1"/>
        <v>0</v>
      </c>
      <c r="V12" s="93">
        <f t="shared" si="1"/>
        <v>0</v>
      </c>
      <c r="W12" s="93">
        <f t="shared" si="1"/>
        <v>0</v>
      </c>
      <c r="X12" s="93">
        <f t="shared" si="1"/>
        <v>0</v>
      </c>
      <c r="Y12" s="71"/>
      <c r="AA12" s="71"/>
      <c r="AE12" s="71"/>
      <c r="BA12" s="94" t="s">
        <v>3298</v>
      </c>
      <c r="BB12" s="277" t="s">
        <v>1082</v>
      </c>
      <c r="BC12" s="277"/>
      <c r="BD12" s="301" t="s">
        <v>51</v>
      </c>
      <c r="BE12" s="279">
        <v>3</v>
      </c>
      <c r="BF12" s="2355" t="s">
        <v>3299</v>
      </c>
      <c r="BG12" s="2662" t="s">
        <v>3300</v>
      </c>
      <c r="BH12" s="2355" t="s">
        <v>3301</v>
      </c>
      <c r="BI12" s="2529" t="s">
        <v>3302</v>
      </c>
      <c r="BJ12" s="2587" t="s">
        <v>3303</v>
      </c>
      <c r="BK12" s="2662" t="s">
        <v>3304</v>
      </c>
      <c r="BL12" s="2095" t="s">
        <v>3305</v>
      </c>
    </row>
    <row r="13" spans="2:64" s="479" customFormat="1">
      <c r="B13" s="94" t="s">
        <v>3306</v>
      </c>
      <c r="C13" s="277" t="s">
        <v>1090</v>
      </c>
      <c r="D13" s="277"/>
      <c r="E13" s="301" t="s">
        <v>51</v>
      </c>
      <c r="F13" s="279">
        <v>3</v>
      </c>
      <c r="G13" s="411">
        <v>0.26200000000000001</v>
      </c>
      <c r="H13" s="415">
        <v>9.0690000000000008</v>
      </c>
      <c r="I13" s="411">
        <v>3.5950000000000002</v>
      </c>
      <c r="J13" s="412">
        <v>1.056</v>
      </c>
      <c r="K13" s="425">
        <v>46.621000000000002</v>
      </c>
      <c r="L13" s="415">
        <v>107.63</v>
      </c>
      <c r="M13" s="241">
        <f t="shared" si="0"/>
        <v>168.233</v>
      </c>
      <c r="N13" s="70"/>
      <c r="O13" s="70"/>
      <c r="P13" s="24">
        <f t="shared" si="3"/>
        <v>0</v>
      </c>
      <c r="Q13" s="70"/>
      <c r="R13" s="71"/>
      <c r="S13" s="93">
        <f t="shared" si="1"/>
        <v>0</v>
      </c>
      <c r="T13" s="93">
        <f t="shared" si="1"/>
        <v>0</v>
      </c>
      <c r="U13" s="93">
        <f t="shared" si="1"/>
        <v>0</v>
      </c>
      <c r="V13" s="93">
        <f t="shared" si="1"/>
        <v>0</v>
      </c>
      <c r="W13" s="93">
        <f t="shared" si="1"/>
        <v>0</v>
      </c>
      <c r="X13" s="93">
        <f t="shared" si="1"/>
        <v>0</v>
      </c>
      <c r="Y13" s="71"/>
      <c r="AA13" s="71"/>
      <c r="AE13" s="71"/>
      <c r="BA13" s="94" t="s">
        <v>3306</v>
      </c>
      <c r="BB13" s="277" t="s">
        <v>1090</v>
      </c>
      <c r="BC13" s="277"/>
      <c r="BD13" s="301" t="s">
        <v>51</v>
      </c>
      <c r="BE13" s="279">
        <v>3</v>
      </c>
      <c r="BF13" s="2355" t="s">
        <v>3307</v>
      </c>
      <c r="BG13" s="2662" t="s">
        <v>3308</v>
      </c>
      <c r="BH13" s="2355" t="s">
        <v>3309</v>
      </c>
      <c r="BI13" s="2529" t="s">
        <v>3310</v>
      </c>
      <c r="BJ13" s="2587" t="s">
        <v>3311</v>
      </c>
      <c r="BK13" s="2662" t="s">
        <v>3312</v>
      </c>
      <c r="BL13" s="2095" t="s">
        <v>3313</v>
      </c>
    </row>
    <row r="14" spans="2:64">
      <c r="B14" s="94" t="s">
        <v>3314</v>
      </c>
      <c r="C14" s="87" t="s">
        <v>1098</v>
      </c>
      <c r="D14" s="87"/>
      <c r="E14" s="95" t="s">
        <v>51</v>
      </c>
      <c r="F14" s="217">
        <v>3</v>
      </c>
      <c r="G14" s="411">
        <v>0</v>
      </c>
      <c r="H14" s="415">
        <v>7.923</v>
      </c>
      <c r="I14" s="411">
        <v>1.992</v>
      </c>
      <c r="J14" s="412">
        <v>0.67400000000000004</v>
      </c>
      <c r="K14" s="425">
        <v>1.179</v>
      </c>
      <c r="L14" s="415">
        <v>29.033000000000001</v>
      </c>
      <c r="M14" s="241">
        <f t="shared" si="0"/>
        <v>40.801000000000002</v>
      </c>
      <c r="P14" s="24">
        <f t="shared" si="2"/>
        <v>0</v>
      </c>
      <c r="S14" s="93">
        <f t="shared" si="1"/>
        <v>0</v>
      </c>
      <c r="T14" s="93">
        <f t="shared" si="1"/>
        <v>0</v>
      </c>
      <c r="U14" s="93">
        <f t="shared" si="1"/>
        <v>0</v>
      </c>
      <c r="V14" s="93">
        <f t="shared" si="1"/>
        <v>0</v>
      </c>
      <c r="W14" s="93">
        <f t="shared" si="1"/>
        <v>0</v>
      </c>
      <c r="X14" s="93">
        <f t="shared" si="1"/>
        <v>0</v>
      </c>
      <c r="Z14" s="479"/>
      <c r="AB14" s="479"/>
      <c r="AC14" s="479"/>
      <c r="AD14" s="479"/>
      <c r="AF14" s="479"/>
      <c r="AG14" s="479"/>
      <c r="AH14" s="479"/>
      <c r="AI14" s="479"/>
      <c r="AJ14" s="479"/>
      <c r="AK14" s="479"/>
      <c r="AL14" s="479"/>
      <c r="AM14" s="479"/>
      <c r="AN14" s="479"/>
      <c r="AO14" s="479"/>
      <c r="AP14" s="479"/>
      <c r="AQ14" s="479"/>
      <c r="AR14" s="479"/>
      <c r="AS14" s="479"/>
      <c r="AT14" s="479"/>
      <c r="AU14" s="479"/>
      <c r="AV14" s="479"/>
      <c r="AW14" s="479"/>
      <c r="AX14" s="479"/>
      <c r="AY14" s="479"/>
      <c r="AZ14" s="479"/>
      <c r="BA14" s="94" t="s">
        <v>3314</v>
      </c>
      <c r="BB14" s="87" t="s">
        <v>1098</v>
      </c>
      <c r="BC14" s="87"/>
      <c r="BD14" s="95" t="s">
        <v>51</v>
      </c>
      <c r="BE14" s="217">
        <v>3</v>
      </c>
      <c r="BF14" s="2355" t="s">
        <v>3315</v>
      </c>
      <c r="BG14" s="2662" t="s">
        <v>3316</v>
      </c>
      <c r="BH14" s="2355" t="s">
        <v>3317</v>
      </c>
      <c r="BI14" s="2529" t="s">
        <v>3318</v>
      </c>
      <c r="BJ14" s="2587" t="s">
        <v>3319</v>
      </c>
      <c r="BK14" s="2662" t="s">
        <v>3320</v>
      </c>
      <c r="BL14" s="2095" t="s">
        <v>3321</v>
      </c>
    </row>
    <row r="15" spans="2:64" ht="15" thickBot="1">
      <c r="B15" s="101" t="s">
        <v>3322</v>
      </c>
      <c r="C15" s="102" t="s">
        <v>1106</v>
      </c>
      <c r="D15" s="102"/>
      <c r="E15" s="103" t="s">
        <v>51</v>
      </c>
      <c r="F15" s="225">
        <v>3</v>
      </c>
      <c r="G15" s="193">
        <f t="shared" ref="G15:L15" si="4">SUM(G7:G14)</f>
        <v>5.2309999999999999</v>
      </c>
      <c r="H15" s="195">
        <f t="shared" si="4"/>
        <v>23.596000000000004</v>
      </c>
      <c r="I15" s="193">
        <f t="shared" si="4"/>
        <v>9.9980000000000011</v>
      </c>
      <c r="J15" s="194">
        <f t="shared" si="4"/>
        <v>1.7320000000000002</v>
      </c>
      <c r="K15" s="242">
        <f t="shared" si="4"/>
        <v>57.098000000000006</v>
      </c>
      <c r="L15" s="195">
        <f t="shared" si="4"/>
        <v>148.79300000000001</v>
      </c>
      <c r="M15" s="200">
        <f t="shared" si="0"/>
        <v>246.44800000000001</v>
      </c>
      <c r="P15" s="479"/>
      <c r="Z15" s="479"/>
      <c r="AB15" s="479"/>
      <c r="AC15" s="479"/>
      <c r="AD15" s="479"/>
      <c r="AF15" s="479"/>
      <c r="AG15" s="479"/>
      <c r="AH15" s="479"/>
      <c r="AI15" s="479"/>
      <c r="AJ15" s="479"/>
      <c r="AK15" s="479"/>
      <c r="AL15" s="479"/>
      <c r="AM15" s="479"/>
      <c r="AN15" s="479"/>
      <c r="AO15" s="479"/>
      <c r="AP15" s="479"/>
      <c r="AQ15" s="479"/>
      <c r="AR15" s="479"/>
      <c r="AS15" s="479"/>
      <c r="AT15" s="479"/>
      <c r="AU15" s="479"/>
      <c r="AV15" s="479"/>
      <c r="AW15" s="479"/>
      <c r="AX15" s="479"/>
      <c r="AY15" s="479"/>
      <c r="AZ15" s="479"/>
      <c r="BA15" s="101" t="s">
        <v>3322</v>
      </c>
      <c r="BB15" s="102" t="s">
        <v>1106</v>
      </c>
      <c r="BC15" s="102"/>
      <c r="BD15" s="103" t="s">
        <v>51</v>
      </c>
      <c r="BE15" s="225">
        <v>3</v>
      </c>
      <c r="BF15" s="2096" t="s">
        <v>3323</v>
      </c>
      <c r="BG15" s="2009" t="s">
        <v>3324</v>
      </c>
      <c r="BH15" s="2096" t="s">
        <v>3325</v>
      </c>
      <c r="BI15" s="2011" t="s">
        <v>3326</v>
      </c>
      <c r="BJ15" s="2098" t="s">
        <v>3327</v>
      </c>
      <c r="BK15" s="2009" t="s">
        <v>3328</v>
      </c>
      <c r="BL15" s="2013" t="s">
        <v>3329</v>
      </c>
    </row>
    <row r="16" spans="2:64" ht="15" thickBot="1">
      <c r="B16" s="479"/>
      <c r="C16" s="479"/>
      <c r="E16" s="479"/>
      <c r="F16" s="479"/>
      <c r="G16" s="479"/>
      <c r="H16" s="479"/>
      <c r="I16" s="479"/>
      <c r="J16" s="479"/>
      <c r="K16" s="479"/>
      <c r="L16" s="479"/>
      <c r="M16" s="479"/>
      <c r="P16" s="479"/>
      <c r="Z16" s="479"/>
      <c r="AB16" s="479"/>
      <c r="AC16" s="479"/>
      <c r="AD16" s="479"/>
      <c r="AF16" s="479"/>
      <c r="AG16" s="479"/>
      <c r="AH16" s="479"/>
      <c r="AI16" s="479"/>
      <c r="AJ16" s="479"/>
      <c r="AK16" s="479"/>
      <c r="AL16" s="479"/>
      <c r="AM16" s="479"/>
      <c r="AN16" s="479"/>
      <c r="AO16" s="479"/>
      <c r="AP16" s="479"/>
      <c r="AQ16" s="479"/>
      <c r="AR16" s="479"/>
      <c r="AS16" s="479"/>
      <c r="AT16" s="479"/>
      <c r="AU16" s="479"/>
      <c r="AV16" s="479"/>
      <c r="AW16" s="479"/>
      <c r="AX16" s="479"/>
      <c r="AY16" s="479"/>
      <c r="AZ16" s="479"/>
      <c r="BF16" s="2104"/>
      <c r="BG16" s="2104"/>
      <c r="BH16" s="2104"/>
      <c r="BI16" s="2104"/>
      <c r="BJ16" s="2104"/>
      <c r="BK16" s="2104"/>
      <c r="BL16" s="2104"/>
    </row>
    <row r="17" spans="2:64">
      <c r="B17" s="86" t="s">
        <v>3330</v>
      </c>
      <c r="C17" s="117" t="s">
        <v>1114</v>
      </c>
      <c r="D17" s="117"/>
      <c r="E17" s="88" t="s">
        <v>51</v>
      </c>
      <c r="F17" s="89">
        <v>3</v>
      </c>
      <c r="G17" s="413">
        <v>0</v>
      </c>
      <c r="H17" s="414">
        <v>0</v>
      </c>
      <c r="I17" s="413">
        <v>0</v>
      </c>
      <c r="J17" s="424">
        <v>0</v>
      </c>
      <c r="K17" s="423">
        <v>0</v>
      </c>
      <c r="L17" s="414">
        <v>1.4550000000000001</v>
      </c>
      <c r="M17" s="199">
        <f>SUM(G17:L17)</f>
        <v>1.4550000000000001</v>
      </c>
      <c r="P17" s="24">
        <f t="shared" si="2"/>
        <v>0</v>
      </c>
      <c r="S17" s="93">
        <f t="shared" ref="S17:X17" si="5" xml:space="preserve"> IF( ISNUMBER( G17 ), 0, 1 )</f>
        <v>0</v>
      </c>
      <c r="T17" s="93">
        <f t="shared" si="5"/>
        <v>0</v>
      </c>
      <c r="U17" s="93">
        <f t="shared" si="5"/>
        <v>0</v>
      </c>
      <c r="V17" s="93">
        <f t="shared" si="5"/>
        <v>0</v>
      </c>
      <c r="W17" s="93">
        <f t="shared" si="5"/>
        <v>0</v>
      </c>
      <c r="X17" s="93">
        <f t="shared" si="5"/>
        <v>0</v>
      </c>
      <c r="Z17" s="479"/>
      <c r="AB17" s="479"/>
      <c r="AC17" s="479"/>
      <c r="AD17" s="479"/>
      <c r="AF17" s="479"/>
      <c r="AG17" s="479"/>
      <c r="AH17" s="479"/>
      <c r="AI17" s="479"/>
      <c r="AJ17" s="479"/>
      <c r="AK17" s="479"/>
      <c r="AL17" s="479"/>
      <c r="AM17" s="479"/>
      <c r="AN17" s="479"/>
      <c r="AO17" s="479"/>
      <c r="AP17" s="479"/>
      <c r="AQ17" s="479"/>
      <c r="AR17" s="479"/>
      <c r="AS17" s="479"/>
      <c r="AT17" s="479"/>
      <c r="AU17" s="479"/>
      <c r="AV17" s="479"/>
      <c r="AW17" s="479"/>
      <c r="AX17" s="479"/>
      <c r="AY17" s="479"/>
      <c r="AZ17" s="479"/>
      <c r="BA17" s="86" t="s">
        <v>3330</v>
      </c>
      <c r="BB17" s="117" t="s">
        <v>1114</v>
      </c>
      <c r="BC17" s="117"/>
      <c r="BD17" s="88" t="s">
        <v>51</v>
      </c>
      <c r="BE17" s="89">
        <v>3</v>
      </c>
      <c r="BF17" s="2353" t="s">
        <v>3331</v>
      </c>
      <c r="BG17" s="2663" t="s">
        <v>3332</v>
      </c>
      <c r="BH17" s="2353" t="s">
        <v>3333</v>
      </c>
      <c r="BI17" s="2527" t="s">
        <v>3334</v>
      </c>
      <c r="BJ17" s="2584" t="s">
        <v>3335</v>
      </c>
      <c r="BK17" s="2663" t="s">
        <v>3336</v>
      </c>
      <c r="BL17" s="2101" t="s">
        <v>3337</v>
      </c>
    </row>
    <row r="18" spans="2:64" ht="15" thickBot="1">
      <c r="B18" s="101" t="s">
        <v>3338</v>
      </c>
      <c r="C18" s="102" t="s">
        <v>1122</v>
      </c>
      <c r="D18" s="102"/>
      <c r="E18" s="103" t="s">
        <v>51</v>
      </c>
      <c r="F18" s="100">
        <v>3</v>
      </c>
      <c r="G18" s="193">
        <f t="shared" ref="G18:L18" si="6">G15 + G17</f>
        <v>5.2309999999999999</v>
      </c>
      <c r="H18" s="195">
        <f t="shared" si="6"/>
        <v>23.596000000000004</v>
      </c>
      <c r="I18" s="193">
        <f t="shared" si="6"/>
        <v>9.9980000000000011</v>
      </c>
      <c r="J18" s="194">
        <f t="shared" si="6"/>
        <v>1.7320000000000002</v>
      </c>
      <c r="K18" s="242">
        <f t="shared" si="6"/>
        <v>57.098000000000006</v>
      </c>
      <c r="L18" s="195">
        <f t="shared" si="6"/>
        <v>150.24800000000002</v>
      </c>
      <c r="M18" s="200">
        <f>SUM(G18:L18)</f>
        <v>247.90300000000002</v>
      </c>
      <c r="P18" s="479"/>
      <c r="Z18" s="479"/>
      <c r="AB18" s="479"/>
      <c r="AC18" s="479"/>
      <c r="AD18" s="479"/>
      <c r="AF18" s="479"/>
      <c r="AG18" s="479"/>
      <c r="AH18" s="479"/>
      <c r="AI18" s="479"/>
      <c r="AJ18" s="479"/>
      <c r="AK18" s="479"/>
      <c r="AL18" s="479"/>
      <c r="AM18" s="479"/>
      <c r="AN18" s="479"/>
      <c r="AO18" s="479"/>
      <c r="AP18" s="479"/>
      <c r="AQ18" s="479"/>
      <c r="AR18" s="479"/>
      <c r="AS18" s="479"/>
      <c r="AT18" s="479"/>
      <c r="AU18" s="479"/>
      <c r="AV18" s="479"/>
      <c r="AW18" s="479"/>
      <c r="AX18" s="479"/>
      <c r="AY18" s="479"/>
      <c r="AZ18" s="479"/>
      <c r="BA18" s="101" t="s">
        <v>3338</v>
      </c>
      <c r="BB18" s="102" t="s">
        <v>1122</v>
      </c>
      <c r="BC18" s="102"/>
      <c r="BD18" s="103" t="s">
        <v>51</v>
      </c>
      <c r="BE18" s="100">
        <v>3</v>
      </c>
      <c r="BF18" s="2096" t="s">
        <v>3339</v>
      </c>
      <c r="BG18" s="2009" t="s">
        <v>3340</v>
      </c>
      <c r="BH18" s="2096" t="s">
        <v>3341</v>
      </c>
      <c r="BI18" s="2011" t="s">
        <v>3342</v>
      </c>
      <c r="BJ18" s="2098" t="s">
        <v>3343</v>
      </c>
      <c r="BK18" s="2009" t="s">
        <v>3344</v>
      </c>
      <c r="BL18" s="2013" t="s">
        <v>3345</v>
      </c>
    </row>
    <row r="19" spans="2:64" ht="15" thickBot="1">
      <c r="B19" s="479"/>
      <c r="C19" s="479"/>
      <c r="E19" s="479"/>
      <c r="F19" s="479"/>
      <c r="G19" s="479"/>
      <c r="H19" s="479"/>
      <c r="I19" s="479"/>
      <c r="J19" s="479"/>
      <c r="K19" s="479"/>
      <c r="L19" s="479"/>
      <c r="M19" s="479"/>
      <c r="P19" s="479"/>
      <c r="Z19" s="479"/>
      <c r="AB19" s="479"/>
      <c r="AC19" s="479"/>
      <c r="AD19" s="479"/>
      <c r="AF19" s="479"/>
      <c r="AG19" s="479"/>
      <c r="AH19" s="479"/>
      <c r="AI19" s="479"/>
      <c r="AJ19" s="479"/>
      <c r="AK19" s="479"/>
      <c r="AL19" s="479"/>
      <c r="AM19" s="479"/>
      <c r="AN19" s="479"/>
      <c r="AO19" s="479"/>
      <c r="AP19" s="479"/>
      <c r="AQ19" s="479"/>
      <c r="AR19" s="479"/>
      <c r="AS19" s="479"/>
      <c r="AT19" s="479"/>
      <c r="AU19" s="479"/>
      <c r="AV19" s="479"/>
      <c r="AW19" s="479"/>
      <c r="AX19" s="479"/>
      <c r="AY19" s="479"/>
      <c r="AZ19" s="479"/>
      <c r="BF19" s="2104"/>
      <c r="BG19" s="2104"/>
      <c r="BH19" s="2104"/>
      <c r="BI19" s="2104"/>
      <c r="BJ19" s="2104"/>
      <c r="BK19" s="2104"/>
      <c r="BL19" s="2104"/>
    </row>
    <row r="20" spans="2:64" ht="15" thickBot="1">
      <c r="B20" s="113" t="s">
        <v>177</v>
      </c>
      <c r="C20" s="114" t="s">
        <v>1129</v>
      </c>
      <c r="D20" s="1505"/>
      <c r="E20" s="70"/>
      <c r="F20" s="70"/>
      <c r="G20" s="70"/>
      <c r="H20" s="70"/>
      <c r="I20" s="70"/>
      <c r="J20" s="70"/>
      <c r="K20" s="70"/>
      <c r="L20" s="70"/>
      <c r="M20" s="70"/>
      <c r="P20" s="479"/>
      <c r="Z20" s="479"/>
      <c r="AB20" s="479"/>
      <c r="AC20" s="479"/>
      <c r="AD20" s="479"/>
      <c r="AF20" s="479"/>
      <c r="AG20" s="479"/>
      <c r="AH20" s="479"/>
      <c r="AI20" s="479"/>
      <c r="AJ20" s="479"/>
      <c r="AK20" s="479"/>
      <c r="AL20" s="479"/>
      <c r="AM20" s="479"/>
      <c r="AN20" s="479"/>
      <c r="AO20" s="479"/>
      <c r="AP20" s="479"/>
      <c r="AQ20" s="479"/>
      <c r="AR20" s="479"/>
      <c r="AS20" s="479"/>
      <c r="AT20" s="479"/>
      <c r="AU20" s="479"/>
      <c r="AV20" s="479"/>
      <c r="AW20" s="479"/>
      <c r="AX20" s="479"/>
      <c r="AY20" s="479"/>
      <c r="AZ20" s="479"/>
      <c r="BA20" s="113" t="s">
        <v>177</v>
      </c>
      <c r="BB20" s="114" t="s">
        <v>1129</v>
      </c>
      <c r="BC20" s="1505"/>
      <c r="BD20" s="70"/>
      <c r="BE20" s="70"/>
      <c r="BF20" s="2100"/>
      <c r="BG20" s="2100"/>
      <c r="BH20" s="2100"/>
      <c r="BI20" s="2100"/>
      <c r="BJ20" s="2100"/>
      <c r="BK20" s="2100"/>
      <c r="BL20" s="2100"/>
    </row>
    <row r="21" spans="2:64">
      <c r="B21" s="86" t="s">
        <v>3346</v>
      </c>
      <c r="C21" s="117" t="s">
        <v>1131</v>
      </c>
      <c r="D21" s="117"/>
      <c r="E21" s="88" t="s">
        <v>51</v>
      </c>
      <c r="F21" s="215">
        <v>3</v>
      </c>
      <c r="G21" s="413">
        <v>0</v>
      </c>
      <c r="H21" s="414">
        <v>7.7869999999999999</v>
      </c>
      <c r="I21" s="413">
        <v>-5.3999999999999999E-2</v>
      </c>
      <c r="J21" s="424">
        <v>-0.25900000000000001</v>
      </c>
      <c r="K21" s="423">
        <v>-2.5000000000000001E-2</v>
      </c>
      <c r="L21" s="414">
        <v>29.382000000000001</v>
      </c>
      <c r="M21" s="248">
        <f t="shared" ref="M21:M33" si="7">SUM(G21:L21)</f>
        <v>36.831000000000003</v>
      </c>
      <c r="P21" s="24">
        <f t="shared" si="2"/>
        <v>0</v>
      </c>
      <c r="S21" s="93">
        <f t="shared" ref="S21:X24" si="8" xml:space="preserve"> IF( ISNUMBER( G21 ), 0, 1 )</f>
        <v>0</v>
      </c>
      <c r="T21" s="93">
        <f t="shared" si="8"/>
        <v>0</v>
      </c>
      <c r="U21" s="93">
        <f t="shared" si="8"/>
        <v>0</v>
      </c>
      <c r="V21" s="93">
        <f t="shared" si="8"/>
        <v>0</v>
      </c>
      <c r="W21" s="93">
        <f t="shared" si="8"/>
        <v>0</v>
      </c>
      <c r="X21" s="93">
        <f t="shared" si="8"/>
        <v>0</v>
      </c>
      <c r="Z21" s="479"/>
      <c r="AB21" s="479"/>
      <c r="AC21" s="479"/>
      <c r="AD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86" t="s">
        <v>3346</v>
      </c>
      <c r="BB21" s="117" t="s">
        <v>1131</v>
      </c>
      <c r="BC21" s="117"/>
      <c r="BD21" s="88" t="s">
        <v>51</v>
      </c>
      <c r="BE21" s="215">
        <v>3</v>
      </c>
      <c r="BF21" s="2353" t="s">
        <v>3347</v>
      </c>
      <c r="BG21" s="2663" t="s">
        <v>3348</v>
      </c>
      <c r="BH21" s="2353" t="s">
        <v>3349</v>
      </c>
      <c r="BI21" s="2527" t="s">
        <v>3350</v>
      </c>
      <c r="BJ21" s="2584" t="s">
        <v>3351</v>
      </c>
      <c r="BK21" s="2663" t="s">
        <v>3352</v>
      </c>
      <c r="BL21" s="2105" t="s">
        <v>3353</v>
      </c>
    </row>
    <row r="22" spans="2:64">
      <c r="B22" s="94" t="s">
        <v>3354</v>
      </c>
      <c r="C22" s="87" t="s">
        <v>3355</v>
      </c>
      <c r="D22" s="87"/>
      <c r="E22" s="95" t="s">
        <v>51</v>
      </c>
      <c r="F22" s="217">
        <v>3</v>
      </c>
      <c r="G22" s="411">
        <v>0</v>
      </c>
      <c r="H22" s="415">
        <v>1.3879999999999999</v>
      </c>
      <c r="I22" s="411">
        <v>2.2429999999999999</v>
      </c>
      <c r="J22" s="412">
        <v>0.40699999999999997</v>
      </c>
      <c r="K22" s="425">
        <v>42.128999999999998</v>
      </c>
      <c r="L22" s="415">
        <v>29.143999999999998</v>
      </c>
      <c r="M22" s="249">
        <f t="shared" si="7"/>
        <v>75.310999999999993</v>
      </c>
      <c r="P22" s="24">
        <f t="shared" si="2"/>
        <v>0</v>
      </c>
      <c r="S22" s="93">
        <f t="shared" si="8"/>
        <v>0</v>
      </c>
      <c r="T22" s="93">
        <f t="shared" si="8"/>
        <v>0</v>
      </c>
      <c r="U22" s="93">
        <f t="shared" si="8"/>
        <v>0</v>
      </c>
      <c r="V22" s="93">
        <f t="shared" si="8"/>
        <v>0</v>
      </c>
      <c r="W22" s="93">
        <f t="shared" si="8"/>
        <v>0</v>
      </c>
      <c r="X22" s="93">
        <f t="shared" si="8"/>
        <v>0</v>
      </c>
      <c r="Z22" s="479"/>
      <c r="AB22" s="479"/>
      <c r="AC22" s="479"/>
      <c r="AD22" s="479"/>
      <c r="AF22" s="479"/>
      <c r="AG22" s="479"/>
      <c r="AH22" s="479"/>
      <c r="AI22" s="479"/>
      <c r="AJ22" s="479"/>
      <c r="AK22" s="479"/>
      <c r="AL22" s="479"/>
      <c r="AM22" s="479"/>
      <c r="AN22" s="479"/>
      <c r="AO22" s="479"/>
      <c r="AP22" s="479"/>
      <c r="AQ22" s="479"/>
      <c r="AR22" s="479"/>
      <c r="AS22" s="479"/>
      <c r="AT22" s="479"/>
      <c r="AU22" s="479"/>
      <c r="AV22" s="479"/>
      <c r="AW22" s="479"/>
      <c r="AX22" s="479"/>
      <c r="AY22" s="479"/>
      <c r="AZ22" s="479"/>
      <c r="BA22" s="94" t="s">
        <v>3354</v>
      </c>
      <c r="BB22" s="87" t="s">
        <v>3355</v>
      </c>
      <c r="BC22" s="87"/>
      <c r="BD22" s="95" t="s">
        <v>51</v>
      </c>
      <c r="BE22" s="217">
        <v>3</v>
      </c>
      <c r="BF22" s="2355" t="s">
        <v>3356</v>
      </c>
      <c r="BG22" s="2662" t="s">
        <v>3357</v>
      </c>
      <c r="BH22" s="2355" t="s">
        <v>3358</v>
      </c>
      <c r="BI22" s="2529" t="s">
        <v>3359</v>
      </c>
      <c r="BJ22" s="2587" t="s">
        <v>3360</v>
      </c>
      <c r="BK22" s="2662" t="s">
        <v>3361</v>
      </c>
      <c r="BL22" s="2106" t="s">
        <v>3362</v>
      </c>
    </row>
    <row r="23" spans="2:64">
      <c r="B23" s="94" t="s">
        <v>3363</v>
      </c>
      <c r="C23" s="87" t="s">
        <v>1147</v>
      </c>
      <c r="D23" s="87"/>
      <c r="E23" s="95" t="s">
        <v>51</v>
      </c>
      <c r="F23" s="217">
        <v>3</v>
      </c>
      <c r="G23" s="411">
        <v>0</v>
      </c>
      <c r="H23" s="415">
        <v>0.71799999999999997</v>
      </c>
      <c r="I23" s="411">
        <v>0</v>
      </c>
      <c r="J23" s="412">
        <v>0</v>
      </c>
      <c r="K23" s="425">
        <v>0.13900000000000001</v>
      </c>
      <c r="L23" s="415">
        <v>40.616</v>
      </c>
      <c r="M23" s="249">
        <f t="shared" si="7"/>
        <v>41.472999999999999</v>
      </c>
      <c r="P23" s="24">
        <f t="shared" si="2"/>
        <v>0</v>
      </c>
      <c r="S23" s="93">
        <f t="shared" si="8"/>
        <v>0</v>
      </c>
      <c r="T23" s="93">
        <f t="shared" si="8"/>
        <v>0</v>
      </c>
      <c r="U23" s="93">
        <f t="shared" si="8"/>
        <v>0</v>
      </c>
      <c r="V23" s="93">
        <f t="shared" si="8"/>
        <v>0</v>
      </c>
      <c r="W23" s="93">
        <f t="shared" si="8"/>
        <v>0</v>
      </c>
      <c r="X23" s="93">
        <f t="shared" si="8"/>
        <v>0</v>
      </c>
      <c r="Z23" s="479"/>
      <c r="AB23" s="479"/>
      <c r="AC23" s="479"/>
      <c r="AD23" s="479"/>
      <c r="AF23" s="479"/>
      <c r="AG23" s="479"/>
      <c r="AH23" s="479"/>
      <c r="AI23" s="479"/>
      <c r="AJ23" s="479"/>
      <c r="AK23" s="479"/>
      <c r="AL23" s="479"/>
      <c r="AM23" s="479"/>
      <c r="AN23" s="479"/>
      <c r="AO23" s="479"/>
      <c r="AP23" s="479"/>
      <c r="AQ23" s="479"/>
      <c r="AR23" s="479"/>
      <c r="AS23" s="479"/>
      <c r="AT23" s="479"/>
      <c r="AU23" s="479"/>
      <c r="AV23" s="479"/>
      <c r="AW23" s="479"/>
      <c r="AX23" s="479"/>
      <c r="AY23" s="479"/>
      <c r="AZ23" s="479"/>
      <c r="BA23" s="94" t="s">
        <v>3363</v>
      </c>
      <c r="BB23" s="87" t="s">
        <v>1147</v>
      </c>
      <c r="BC23" s="87"/>
      <c r="BD23" s="95" t="s">
        <v>51</v>
      </c>
      <c r="BE23" s="217">
        <v>3</v>
      </c>
      <c r="BF23" s="2355" t="s">
        <v>3364</v>
      </c>
      <c r="BG23" s="2662" t="s">
        <v>3365</v>
      </c>
      <c r="BH23" s="2355" t="s">
        <v>3366</v>
      </c>
      <c r="BI23" s="2529" t="s">
        <v>3367</v>
      </c>
      <c r="BJ23" s="2587" t="s">
        <v>3368</v>
      </c>
      <c r="BK23" s="2662" t="s">
        <v>3369</v>
      </c>
      <c r="BL23" s="2106" t="s">
        <v>3370</v>
      </c>
    </row>
    <row r="24" spans="2:64">
      <c r="B24" s="94" t="s">
        <v>3371</v>
      </c>
      <c r="C24" s="87" t="s">
        <v>1155</v>
      </c>
      <c r="D24" s="87"/>
      <c r="E24" s="95" t="s">
        <v>51</v>
      </c>
      <c r="F24" s="217">
        <v>3</v>
      </c>
      <c r="G24" s="411">
        <v>0</v>
      </c>
      <c r="H24" s="415">
        <v>3.3130000000000002</v>
      </c>
      <c r="I24" s="411">
        <v>7.0000000000000001E-3</v>
      </c>
      <c r="J24" s="412">
        <v>1.7999999999999999E-2</v>
      </c>
      <c r="K24" s="425">
        <v>8.4130000000000003</v>
      </c>
      <c r="L24" s="415">
        <v>34.527000000000001</v>
      </c>
      <c r="M24" s="249">
        <f t="shared" si="7"/>
        <v>46.278000000000006</v>
      </c>
      <c r="P24" s="24">
        <f t="shared" si="2"/>
        <v>0</v>
      </c>
      <c r="S24" s="93">
        <f t="shared" si="8"/>
        <v>0</v>
      </c>
      <c r="T24" s="93">
        <f t="shared" si="8"/>
        <v>0</v>
      </c>
      <c r="U24" s="93">
        <f t="shared" si="8"/>
        <v>0</v>
      </c>
      <c r="V24" s="93">
        <f t="shared" si="8"/>
        <v>0</v>
      </c>
      <c r="W24" s="93">
        <f t="shared" si="8"/>
        <v>0</v>
      </c>
      <c r="X24" s="93">
        <f t="shared" si="8"/>
        <v>0</v>
      </c>
      <c r="Z24" s="479"/>
      <c r="AB24" s="479"/>
      <c r="AC24" s="479"/>
      <c r="AD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94" t="s">
        <v>3371</v>
      </c>
      <c r="BB24" s="87" t="s">
        <v>1155</v>
      </c>
      <c r="BC24" s="87"/>
      <c r="BD24" s="95" t="s">
        <v>51</v>
      </c>
      <c r="BE24" s="217">
        <v>3</v>
      </c>
      <c r="BF24" s="2355" t="s">
        <v>3372</v>
      </c>
      <c r="BG24" s="2662" t="s">
        <v>3373</v>
      </c>
      <c r="BH24" s="2355" t="s">
        <v>3374</v>
      </c>
      <c r="BI24" s="2529" t="s">
        <v>3375</v>
      </c>
      <c r="BJ24" s="2587" t="s">
        <v>3376</v>
      </c>
      <c r="BK24" s="2662" t="s">
        <v>3377</v>
      </c>
      <c r="BL24" s="2106" t="s">
        <v>3378</v>
      </c>
    </row>
    <row r="25" spans="2:64" s="479" customFormat="1">
      <c r="B25" s="94" t="s">
        <v>3379</v>
      </c>
      <c r="C25" s="384" t="s">
        <v>1163</v>
      </c>
      <c r="D25" s="384"/>
      <c r="E25" s="301" t="s">
        <v>51</v>
      </c>
      <c r="F25" s="279">
        <v>3</v>
      </c>
      <c r="G25" s="411">
        <v>0</v>
      </c>
      <c r="H25" s="415">
        <v>0</v>
      </c>
      <c r="I25" s="411">
        <v>0</v>
      </c>
      <c r="J25" s="412">
        <v>0</v>
      </c>
      <c r="K25" s="425">
        <v>0</v>
      </c>
      <c r="L25" s="415">
        <v>4.4180000000000001</v>
      </c>
      <c r="M25" s="249">
        <f t="shared" si="7"/>
        <v>4.4180000000000001</v>
      </c>
      <c r="N25" s="70"/>
      <c r="O25" s="70"/>
      <c r="P25" s="24">
        <f t="shared" si="2"/>
        <v>0</v>
      </c>
      <c r="Q25" s="70"/>
      <c r="R25" s="71"/>
      <c r="S25" s="93">
        <f t="shared" ref="S25" si="9" xml:space="preserve"> IF( ISNUMBER( G25 ), 0, 1 )</f>
        <v>0</v>
      </c>
      <c r="T25" s="93">
        <f t="shared" ref="T25" si="10" xml:space="preserve"> IF( ISNUMBER( H25 ), 0, 1 )</f>
        <v>0</v>
      </c>
      <c r="U25" s="93">
        <f t="shared" ref="U25" si="11" xml:space="preserve"> IF( ISNUMBER( I25 ), 0, 1 )</f>
        <v>0</v>
      </c>
      <c r="V25" s="93">
        <f t="shared" ref="V25" si="12" xml:space="preserve"> IF( ISNUMBER( J25 ), 0, 1 )</f>
        <v>0</v>
      </c>
      <c r="W25" s="93">
        <f t="shared" ref="W25" si="13" xml:space="preserve"> IF( ISNUMBER( K25 ), 0, 1 )</f>
        <v>0</v>
      </c>
      <c r="X25" s="93">
        <f t="shared" ref="X25" si="14" xml:space="preserve"> IF( ISNUMBER( L25 ), 0, 1 )</f>
        <v>0</v>
      </c>
      <c r="Y25" s="71"/>
      <c r="AA25" s="71"/>
      <c r="AE25" s="71"/>
      <c r="BA25" s="94" t="s">
        <v>3379</v>
      </c>
      <c r="BB25" s="384" t="s">
        <v>1163</v>
      </c>
      <c r="BC25" s="384"/>
      <c r="BD25" s="301" t="s">
        <v>51</v>
      </c>
      <c r="BE25" s="279">
        <v>3</v>
      </c>
      <c r="BF25" s="2355" t="s">
        <v>3380</v>
      </c>
      <c r="BG25" s="2662" t="s">
        <v>3381</v>
      </c>
      <c r="BH25" s="2355" t="s">
        <v>3382</v>
      </c>
      <c r="BI25" s="2529" t="s">
        <v>3383</v>
      </c>
      <c r="BJ25" s="2587" t="s">
        <v>3384</v>
      </c>
      <c r="BK25" s="2662" t="s">
        <v>3385</v>
      </c>
      <c r="BL25" s="2095" t="s">
        <v>3386</v>
      </c>
    </row>
    <row r="26" spans="2:64">
      <c r="B26" s="94" t="s">
        <v>3387</v>
      </c>
      <c r="C26" s="87" t="s">
        <v>3388</v>
      </c>
      <c r="D26" s="87"/>
      <c r="E26" s="95" t="s">
        <v>51</v>
      </c>
      <c r="F26" s="217">
        <v>3</v>
      </c>
      <c r="G26" s="245">
        <f t="shared" ref="G26:L26" si="15">SUM(G21:G25)</f>
        <v>0</v>
      </c>
      <c r="H26" s="191">
        <f t="shared" si="15"/>
        <v>13.206000000000001</v>
      </c>
      <c r="I26" s="245">
        <f t="shared" si="15"/>
        <v>2.1960000000000002</v>
      </c>
      <c r="J26" s="244">
        <f t="shared" si="15"/>
        <v>0.16599999999999995</v>
      </c>
      <c r="K26" s="243">
        <f t="shared" si="15"/>
        <v>50.656000000000006</v>
      </c>
      <c r="L26" s="191">
        <f t="shared" si="15"/>
        <v>138.08699999999999</v>
      </c>
      <c r="M26" s="249">
        <f t="shared" si="7"/>
        <v>204.31099999999998</v>
      </c>
      <c r="N26" s="118"/>
      <c r="O26" s="118"/>
      <c r="P26" s="479"/>
      <c r="Q26" s="118"/>
      <c r="R26" s="124"/>
      <c r="T26" s="246"/>
      <c r="U26" s="246"/>
      <c r="V26" s="246"/>
      <c r="W26" s="246"/>
      <c r="X26" s="246"/>
      <c r="Y26" s="124"/>
      <c r="Z26" s="479"/>
      <c r="AA26" s="124"/>
      <c r="AB26" s="479"/>
      <c r="AC26" s="479"/>
      <c r="AD26" s="479"/>
      <c r="AE26" s="124"/>
      <c r="AF26" s="479"/>
      <c r="AG26" s="479"/>
      <c r="AH26" s="479"/>
      <c r="AI26" s="479"/>
      <c r="AJ26" s="479"/>
      <c r="AK26" s="479"/>
      <c r="AL26" s="479"/>
      <c r="AM26" s="479"/>
      <c r="AN26" s="479"/>
      <c r="AO26" s="479"/>
      <c r="AP26" s="479"/>
      <c r="AQ26" s="479"/>
      <c r="AR26" s="479"/>
      <c r="AS26" s="479"/>
      <c r="AT26" s="479"/>
      <c r="AU26" s="479"/>
      <c r="AV26" s="479"/>
      <c r="AW26" s="479"/>
      <c r="AX26" s="479"/>
      <c r="AY26" s="479"/>
      <c r="AZ26" s="479"/>
      <c r="BA26" s="94" t="s">
        <v>3387</v>
      </c>
      <c r="BB26" s="87" t="s">
        <v>3388</v>
      </c>
      <c r="BC26" s="87"/>
      <c r="BD26" s="95" t="s">
        <v>51</v>
      </c>
      <c r="BE26" s="217">
        <v>3</v>
      </c>
      <c r="BF26" s="2107" t="s">
        <v>3389</v>
      </c>
      <c r="BG26" s="2007" t="s">
        <v>3390</v>
      </c>
      <c r="BH26" s="2107" t="s">
        <v>3391</v>
      </c>
      <c r="BI26" s="2108" t="s">
        <v>3392</v>
      </c>
      <c r="BJ26" s="2109" t="s">
        <v>3393</v>
      </c>
      <c r="BK26" s="2007" t="s">
        <v>3394</v>
      </c>
      <c r="BL26" s="2106" t="s">
        <v>3395</v>
      </c>
    </row>
    <row r="27" spans="2:64">
      <c r="B27" s="94" t="s">
        <v>3396</v>
      </c>
      <c r="C27" s="87" t="s">
        <v>1114</v>
      </c>
      <c r="D27" s="87"/>
      <c r="E27" s="95" t="s">
        <v>51</v>
      </c>
      <c r="F27" s="217">
        <v>3</v>
      </c>
      <c r="G27" s="411">
        <v>0</v>
      </c>
      <c r="H27" s="415">
        <v>0</v>
      </c>
      <c r="I27" s="411">
        <v>0</v>
      </c>
      <c r="J27" s="412">
        <v>0</v>
      </c>
      <c r="K27" s="425">
        <v>0</v>
      </c>
      <c r="L27" s="415">
        <v>0</v>
      </c>
      <c r="M27" s="249">
        <f t="shared" si="7"/>
        <v>0</v>
      </c>
      <c r="N27" s="126"/>
      <c r="O27" s="126"/>
      <c r="P27" s="24">
        <f t="shared" si="2"/>
        <v>0</v>
      </c>
      <c r="S27" s="93">
        <f t="shared" ref="S27:X27" si="16" xml:space="preserve"> IF( ISNUMBER( G27 ), 0, 1 )</f>
        <v>0</v>
      </c>
      <c r="T27" s="93">
        <f t="shared" si="16"/>
        <v>0</v>
      </c>
      <c r="U27" s="93">
        <f t="shared" si="16"/>
        <v>0</v>
      </c>
      <c r="V27" s="93">
        <f t="shared" si="16"/>
        <v>0</v>
      </c>
      <c r="W27" s="93">
        <f t="shared" si="16"/>
        <v>0</v>
      </c>
      <c r="X27" s="93">
        <f t="shared" si="16"/>
        <v>0</v>
      </c>
      <c r="Z27" s="479"/>
      <c r="AB27" s="479"/>
      <c r="AC27" s="479"/>
      <c r="AD27" s="479"/>
      <c r="AF27" s="479"/>
      <c r="AG27" s="479"/>
      <c r="AH27" s="479"/>
      <c r="AI27" s="479"/>
      <c r="AJ27" s="479"/>
      <c r="AK27" s="479"/>
      <c r="AL27" s="479"/>
      <c r="AM27" s="479"/>
      <c r="AN27" s="479"/>
      <c r="AO27" s="479"/>
      <c r="AP27" s="479"/>
      <c r="AQ27" s="479"/>
      <c r="AR27" s="479"/>
      <c r="AS27" s="479"/>
      <c r="AT27" s="479"/>
      <c r="AU27" s="479"/>
      <c r="AV27" s="479"/>
      <c r="AW27" s="479"/>
      <c r="AX27" s="479"/>
      <c r="AY27" s="479"/>
      <c r="AZ27" s="479"/>
      <c r="BA27" s="94" t="s">
        <v>3396</v>
      </c>
      <c r="BB27" s="87" t="s">
        <v>1114</v>
      </c>
      <c r="BC27" s="87"/>
      <c r="BD27" s="95" t="s">
        <v>51</v>
      </c>
      <c r="BE27" s="217">
        <v>3</v>
      </c>
      <c r="BF27" s="2519" t="s">
        <v>3397</v>
      </c>
      <c r="BG27" s="2661" t="s">
        <v>3398</v>
      </c>
      <c r="BH27" s="2519" t="s">
        <v>3399</v>
      </c>
      <c r="BI27" s="2520" t="s">
        <v>3400</v>
      </c>
      <c r="BJ27" s="2532" t="s">
        <v>3401</v>
      </c>
      <c r="BK27" s="2661" t="s">
        <v>3402</v>
      </c>
      <c r="BL27" s="249" t="s">
        <v>3403</v>
      </c>
    </row>
    <row r="28" spans="2:64" ht="15" thickBot="1">
      <c r="B28" s="101" t="s">
        <v>3404</v>
      </c>
      <c r="C28" s="102" t="s">
        <v>1186</v>
      </c>
      <c r="D28" s="102"/>
      <c r="E28" s="103" t="s">
        <v>51</v>
      </c>
      <c r="F28" s="225">
        <v>3</v>
      </c>
      <c r="G28" s="193">
        <f>SUM(G26:G27)</f>
        <v>0</v>
      </c>
      <c r="H28" s="195">
        <f t="shared" ref="H28:L28" si="17">SUM(H26:H27)</f>
        <v>13.206000000000001</v>
      </c>
      <c r="I28" s="193">
        <f t="shared" si="17"/>
        <v>2.1960000000000002</v>
      </c>
      <c r="J28" s="194">
        <f t="shared" si="17"/>
        <v>0.16599999999999995</v>
      </c>
      <c r="K28" s="242">
        <f t="shared" si="17"/>
        <v>50.656000000000006</v>
      </c>
      <c r="L28" s="195">
        <f t="shared" si="17"/>
        <v>138.08699999999999</v>
      </c>
      <c r="M28" s="764">
        <f t="shared" si="7"/>
        <v>204.31099999999998</v>
      </c>
      <c r="N28" s="126"/>
      <c r="O28" s="126"/>
      <c r="P28" s="479"/>
      <c r="Q28" s="126"/>
      <c r="R28" s="119"/>
      <c r="T28" s="246"/>
      <c r="U28" s="246"/>
      <c r="V28" s="246"/>
      <c r="W28" s="246"/>
      <c r="X28" s="246"/>
      <c r="Y28" s="119"/>
      <c r="Z28" s="479"/>
      <c r="AA28" s="119"/>
      <c r="AB28" s="479"/>
      <c r="AC28" s="479"/>
      <c r="AD28" s="479"/>
      <c r="AE28" s="119"/>
      <c r="AF28" s="479"/>
      <c r="AG28" s="479"/>
      <c r="AH28" s="479"/>
      <c r="AI28" s="479"/>
      <c r="AJ28" s="479"/>
      <c r="AK28" s="479"/>
      <c r="AL28" s="479"/>
      <c r="AM28" s="479"/>
      <c r="AN28" s="479"/>
      <c r="AO28" s="479"/>
      <c r="AP28" s="479"/>
      <c r="AQ28" s="479"/>
      <c r="AR28" s="479"/>
      <c r="AS28" s="479"/>
      <c r="AT28" s="479"/>
      <c r="AU28" s="479"/>
      <c r="AV28" s="479"/>
      <c r="AW28" s="479"/>
      <c r="AX28" s="479"/>
      <c r="AY28" s="479"/>
      <c r="AZ28" s="479"/>
      <c r="BA28" s="101" t="s">
        <v>3404</v>
      </c>
      <c r="BB28" s="102" t="s">
        <v>1186</v>
      </c>
      <c r="BC28" s="102"/>
      <c r="BD28" s="103" t="s">
        <v>51</v>
      </c>
      <c r="BE28" s="225">
        <v>3</v>
      </c>
      <c r="BF28" s="193" t="s">
        <v>3405</v>
      </c>
      <c r="BG28" s="195" t="s">
        <v>3406</v>
      </c>
      <c r="BH28" s="193" t="s">
        <v>3407</v>
      </c>
      <c r="BI28" s="194" t="s">
        <v>3408</v>
      </c>
      <c r="BJ28" s="242" t="s">
        <v>3409</v>
      </c>
      <c r="BK28" s="195" t="s">
        <v>3410</v>
      </c>
      <c r="BL28" s="764" t="s">
        <v>3411</v>
      </c>
    </row>
    <row r="29" spans="2:64" s="2" customFormat="1" ht="15" thickBot="1">
      <c r="B29" s="385"/>
      <c r="E29" s="5"/>
      <c r="F29" s="5"/>
      <c r="G29" s="760"/>
      <c r="H29" s="760"/>
      <c r="I29" s="760"/>
      <c r="J29" s="760"/>
      <c r="K29" s="760"/>
      <c r="M29" s="120"/>
      <c r="N29" s="120"/>
      <c r="O29" s="120"/>
      <c r="P29" s="479"/>
      <c r="Q29" s="126"/>
      <c r="R29" s="119"/>
      <c r="S29" s="70"/>
      <c r="T29" s="246"/>
      <c r="U29" s="246"/>
      <c r="V29" s="246"/>
      <c r="W29" s="246"/>
      <c r="X29" s="246"/>
      <c r="Y29" s="119"/>
      <c r="AA29" s="119"/>
      <c r="AE29" s="119"/>
      <c r="BA29" s="385"/>
      <c r="BD29" s="5"/>
      <c r="BE29" s="5"/>
      <c r="BF29" s="760"/>
      <c r="BG29" s="760"/>
      <c r="BH29" s="760"/>
      <c r="BI29" s="760"/>
      <c r="BJ29" s="760"/>
      <c r="BL29" s="120"/>
    </row>
    <row r="30" spans="2:64" s="2" customFormat="1" ht="15" thickBot="1">
      <c r="B30" s="261" t="s">
        <v>335</v>
      </c>
      <c r="C30" s="27" t="s">
        <v>1193</v>
      </c>
      <c r="D30" s="1508"/>
      <c r="E30" s="5"/>
      <c r="F30" s="5"/>
      <c r="G30" s="760"/>
      <c r="H30" s="760"/>
      <c r="I30" s="760"/>
      <c r="J30" s="760"/>
      <c r="K30" s="760"/>
      <c r="M30" s="126"/>
      <c r="N30" s="120"/>
      <c r="O30" s="120"/>
      <c r="P30" s="479"/>
      <c r="Q30" s="126"/>
      <c r="R30" s="119"/>
      <c r="S30" s="70"/>
      <c r="T30" s="246"/>
      <c r="U30" s="246"/>
      <c r="V30" s="246"/>
      <c r="W30" s="246"/>
      <c r="X30" s="246"/>
      <c r="Y30" s="119"/>
      <c r="AA30" s="119"/>
      <c r="AE30" s="119"/>
      <c r="BA30" s="3018" t="s">
        <v>335</v>
      </c>
      <c r="BB30" s="298" t="s">
        <v>1193</v>
      </c>
      <c r="BC30" s="1508"/>
      <c r="BD30" s="5"/>
      <c r="BE30" s="5"/>
      <c r="BF30" s="760"/>
      <c r="BG30" s="760"/>
      <c r="BH30" s="760"/>
      <c r="BI30" s="760"/>
      <c r="BJ30" s="760"/>
      <c r="BL30" s="126"/>
    </row>
    <row r="31" spans="2:64" ht="15.75" thickBot="1">
      <c r="B31" s="174" t="s">
        <v>3412</v>
      </c>
      <c r="C31" s="391" t="s">
        <v>1193</v>
      </c>
      <c r="D31" s="391"/>
      <c r="E31" s="133" t="s">
        <v>51</v>
      </c>
      <c r="F31" s="765">
        <v>3</v>
      </c>
      <c r="G31" s="450">
        <v>0</v>
      </c>
      <c r="H31" s="766">
        <v>0.23300000000000001</v>
      </c>
      <c r="I31" s="450">
        <v>0</v>
      </c>
      <c r="J31" s="458">
        <v>0</v>
      </c>
      <c r="K31" s="767">
        <v>0</v>
      </c>
      <c r="L31" s="766">
        <v>15.95</v>
      </c>
      <c r="M31" s="768">
        <f t="shared" si="7"/>
        <v>16.183</v>
      </c>
      <c r="N31" s="126"/>
      <c r="O31" s="1370">
        <f xml:space="preserve"> IF( SUM( Y31:AA31 ) = 0, 0, AD31 )</f>
        <v>0</v>
      </c>
      <c r="P31" s="24">
        <f xml:space="preserve"> IF( SUM( R31:Y31 ) = 0, 0, $S$6 )</f>
        <v>0</v>
      </c>
      <c r="S31" s="93">
        <f t="shared" ref="S31:X31" si="18" xml:space="preserve"> IF( ISNUMBER( G31 ), 0, 1 )</f>
        <v>0</v>
      </c>
      <c r="T31" s="93">
        <f t="shared" si="18"/>
        <v>0</v>
      </c>
      <c r="U31" s="93">
        <f t="shared" si="18"/>
        <v>0</v>
      </c>
      <c r="V31" s="93">
        <f t="shared" si="18"/>
        <v>0</v>
      </c>
      <c r="W31" s="93">
        <f t="shared" si="18"/>
        <v>0</v>
      </c>
      <c r="X31" s="93">
        <f t="shared" si="18"/>
        <v>0</v>
      </c>
      <c r="Z31" s="93">
        <f xml:space="preserve"> IF( (AB31 - AC31) = 0, 0, 1 )</f>
        <v>0</v>
      </c>
      <c r="AB31" s="165">
        <f xml:space="preserve"> M31</f>
        <v>16.183</v>
      </c>
      <c r="AC31" s="165">
        <f>'2E'!J13</f>
        <v>16.183</v>
      </c>
      <c r="AD31" s="1554" t="s">
        <v>3413</v>
      </c>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101" t="s">
        <v>3412</v>
      </c>
      <c r="BB31" s="102" t="s">
        <v>1193</v>
      </c>
      <c r="BC31" s="391"/>
      <c r="BD31" s="133" t="s">
        <v>51</v>
      </c>
      <c r="BE31" s="765">
        <v>3</v>
      </c>
      <c r="BF31" s="2524" t="s">
        <v>3414</v>
      </c>
      <c r="BG31" s="2592" t="s">
        <v>3415</v>
      </c>
      <c r="BH31" s="2524" t="s">
        <v>3416</v>
      </c>
      <c r="BI31" s="2525" t="s">
        <v>3417</v>
      </c>
      <c r="BJ31" s="2664" t="s">
        <v>3418</v>
      </c>
      <c r="BK31" s="2592" t="s">
        <v>3419</v>
      </c>
      <c r="BL31" s="768" t="s">
        <v>3420</v>
      </c>
    </row>
    <row r="32" spans="2:64" s="2" customFormat="1" ht="15" thickBot="1">
      <c r="B32" s="385"/>
      <c r="E32" s="5"/>
      <c r="F32" s="5"/>
      <c r="G32" s="760"/>
      <c r="H32" s="760"/>
      <c r="I32" s="760"/>
      <c r="J32" s="760"/>
      <c r="K32" s="760"/>
      <c r="M32" s="120"/>
      <c r="N32" s="120"/>
      <c r="O32" s="120"/>
      <c r="P32" s="479"/>
      <c r="Q32" s="126"/>
      <c r="R32" s="119"/>
      <c r="S32" s="70"/>
      <c r="T32" s="246"/>
      <c r="U32" s="246"/>
      <c r="V32" s="246"/>
      <c r="W32" s="246"/>
      <c r="X32" s="246"/>
      <c r="Y32" s="119"/>
      <c r="AA32" s="119"/>
      <c r="AE32" s="119"/>
      <c r="BA32" s="385"/>
      <c r="BD32" s="5"/>
      <c r="BE32" s="5"/>
      <c r="BF32" s="760"/>
      <c r="BG32" s="760"/>
      <c r="BH32" s="760"/>
      <c r="BI32" s="760"/>
      <c r="BJ32" s="760"/>
      <c r="BL32" s="120"/>
    </row>
    <row r="33" spans="2:64" ht="15" thickBot="1">
      <c r="B33" s="131" t="s">
        <v>3421</v>
      </c>
      <c r="C33" s="132" t="s">
        <v>1203</v>
      </c>
      <c r="D33" s="132"/>
      <c r="E33" s="133" t="s">
        <v>51</v>
      </c>
      <c r="F33" s="765">
        <v>3</v>
      </c>
      <c r="G33" s="739">
        <f>G18+G28-G31</f>
        <v>5.2309999999999999</v>
      </c>
      <c r="H33" s="247">
        <f t="shared" ref="H33:L33" si="19">H18+H28-H31</f>
        <v>36.56900000000001</v>
      </c>
      <c r="I33" s="739">
        <f t="shared" si="19"/>
        <v>12.194000000000001</v>
      </c>
      <c r="J33" s="740">
        <f t="shared" si="19"/>
        <v>1.8980000000000001</v>
      </c>
      <c r="K33" s="769">
        <f t="shared" si="19"/>
        <v>107.75400000000002</v>
      </c>
      <c r="L33" s="247">
        <f t="shared" si="19"/>
        <v>272.38500000000005</v>
      </c>
      <c r="M33" s="768">
        <f t="shared" si="7"/>
        <v>436.03100000000006</v>
      </c>
      <c r="N33" s="126"/>
      <c r="O33" s="126"/>
      <c r="P33" s="479"/>
      <c r="Q33" s="126"/>
      <c r="R33" s="119"/>
      <c r="S33" s="203"/>
      <c r="T33" s="203"/>
      <c r="U33" s="203"/>
      <c r="V33" s="203"/>
      <c r="W33" s="203"/>
      <c r="X33" s="203"/>
      <c r="Y33" s="119"/>
      <c r="Z33" s="479"/>
      <c r="AA33" s="119"/>
      <c r="AB33" s="479"/>
      <c r="AC33" s="479"/>
      <c r="AD33" s="479"/>
      <c r="AE33" s="119"/>
      <c r="AF33" s="479"/>
      <c r="AG33" s="479"/>
      <c r="AH33" s="479"/>
      <c r="AI33" s="479"/>
      <c r="AJ33" s="479"/>
      <c r="AK33" s="479"/>
      <c r="AL33" s="479"/>
      <c r="AM33" s="479"/>
      <c r="AN33" s="479"/>
      <c r="AO33" s="479"/>
      <c r="AP33" s="479"/>
      <c r="AQ33" s="479"/>
      <c r="AR33" s="479"/>
      <c r="AS33" s="479"/>
      <c r="AT33" s="479"/>
      <c r="AU33" s="479"/>
      <c r="AV33" s="479"/>
      <c r="AW33" s="479"/>
      <c r="AX33" s="479"/>
      <c r="AY33" s="479"/>
      <c r="AZ33" s="479"/>
      <c r="BA33" s="131" t="s">
        <v>3421</v>
      </c>
      <c r="BB33" s="132" t="s">
        <v>1203</v>
      </c>
      <c r="BC33" s="132"/>
      <c r="BD33" s="133" t="s">
        <v>51</v>
      </c>
      <c r="BE33" s="765">
        <v>3</v>
      </c>
      <c r="BF33" s="739" t="s">
        <v>3422</v>
      </c>
      <c r="BG33" s="247" t="s">
        <v>3423</v>
      </c>
      <c r="BH33" s="739" t="s">
        <v>3424</v>
      </c>
      <c r="BI33" s="740" t="s">
        <v>3425</v>
      </c>
      <c r="BJ33" s="769" t="s">
        <v>3426</v>
      </c>
      <c r="BK33" s="247" t="s">
        <v>3427</v>
      </c>
      <c r="BL33" s="768" t="s">
        <v>3428</v>
      </c>
    </row>
    <row r="34" spans="2:64" ht="15" thickBot="1">
      <c r="B34" s="479"/>
      <c r="C34" s="479"/>
      <c r="E34" s="479"/>
      <c r="F34" s="479"/>
      <c r="G34" s="479"/>
      <c r="H34" s="479"/>
      <c r="I34" s="479"/>
      <c r="J34" s="479"/>
      <c r="K34" s="479"/>
      <c r="L34" s="479"/>
      <c r="M34" s="479"/>
      <c r="N34" s="126"/>
      <c r="O34" s="126"/>
      <c r="P34" s="479"/>
      <c r="Q34" s="126"/>
      <c r="R34" s="119"/>
      <c r="S34" s="203"/>
      <c r="T34" s="203"/>
      <c r="U34" s="203"/>
      <c r="V34" s="203"/>
      <c r="W34" s="203"/>
      <c r="X34" s="203"/>
      <c r="Y34" s="119"/>
      <c r="Z34" s="479"/>
      <c r="AA34" s="119"/>
      <c r="AB34" s="479"/>
      <c r="AC34" s="479"/>
      <c r="AD34" s="479"/>
      <c r="AE34" s="119"/>
      <c r="AF34" s="479"/>
      <c r="AG34" s="479"/>
      <c r="AH34" s="479"/>
      <c r="AI34" s="479"/>
      <c r="AJ34" s="479"/>
      <c r="AK34" s="479"/>
      <c r="AL34" s="479"/>
      <c r="AM34" s="479"/>
      <c r="AN34" s="479"/>
      <c r="AO34" s="479"/>
      <c r="AP34" s="479"/>
      <c r="AQ34" s="479"/>
      <c r="AR34" s="479"/>
      <c r="AS34" s="479"/>
      <c r="AT34" s="479"/>
      <c r="AU34" s="479"/>
      <c r="AV34" s="479"/>
      <c r="AW34" s="479"/>
      <c r="AX34" s="479"/>
      <c r="AY34" s="479"/>
      <c r="AZ34" s="479"/>
    </row>
    <row r="35" spans="2:64" ht="15" thickBot="1">
      <c r="B35" s="113" t="s">
        <v>392</v>
      </c>
      <c r="C35" s="114" t="s">
        <v>1210</v>
      </c>
      <c r="D35" s="1505"/>
      <c r="E35" s="70"/>
      <c r="F35" s="70"/>
      <c r="G35" s="70"/>
      <c r="H35" s="70"/>
      <c r="I35" s="70"/>
      <c r="J35" s="70"/>
      <c r="K35" s="70"/>
      <c r="L35" s="70"/>
      <c r="M35" s="70"/>
      <c r="N35" s="126"/>
      <c r="O35" s="126"/>
      <c r="P35" s="479"/>
      <c r="Q35" s="126"/>
      <c r="R35" s="119"/>
      <c r="S35" s="203"/>
      <c r="T35" s="203"/>
      <c r="U35" s="203"/>
      <c r="V35" s="203"/>
      <c r="W35" s="203"/>
      <c r="X35" s="203"/>
      <c r="Y35" s="119"/>
      <c r="Z35" s="479"/>
      <c r="AA35" s="119"/>
      <c r="AB35" s="479"/>
      <c r="AC35" s="479"/>
      <c r="AD35" s="479"/>
      <c r="AE35" s="119"/>
      <c r="AF35" s="479"/>
      <c r="AG35" s="479"/>
      <c r="AH35" s="479"/>
      <c r="AI35" s="479"/>
      <c r="AJ35" s="479"/>
      <c r="AK35" s="479"/>
      <c r="AL35" s="479"/>
      <c r="AM35" s="479"/>
      <c r="AN35" s="479"/>
      <c r="AO35" s="479"/>
      <c r="AP35" s="479"/>
      <c r="AQ35" s="479"/>
      <c r="AR35" s="479"/>
      <c r="AS35" s="479"/>
      <c r="AT35" s="479"/>
      <c r="AU35" s="479"/>
      <c r="AV35" s="479"/>
      <c r="AW35" s="479"/>
      <c r="AX35" s="479"/>
      <c r="AY35" s="479"/>
      <c r="AZ35" s="479"/>
      <c r="BA35" s="113" t="s">
        <v>392</v>
      </c>
      <c r="BB35" s="114" t="s">
        <v>1210</v>
      </c>
      <c r="BC35" s="1505"/>
      <c r="BD35" s="70"/>
      <c r="BE35" s="70"/>
      <c r="BF35" s="70"/>
      <c r="BG35" s="70"/>
      <c r="BH35" s="70"/>
      <c r="BI35" s="70"/>
      <c r="BJ35" s="70"/>
      <c r="BK35" s="70"/>
      <c r="BL35" s="70"/>
    </row>
    <row r="36" spans="2:64">
      <c r="B36" s="86" t="s">
        <v>3429</v>
      </c>
      <c r="C36" s="117" t="s">
        <v>1212</v>
      </c>
      <c r="D36" s="117"/>
      <c r="E36" s="88" t="s">
        <v>51</v>
      </c>
      <c r="F36" s="215">
        <v>3</v>
      </c>
      <c r="G36" s="413">
        <v>0</v>
      </c>
      <c r="H36" s="414">
        <v>0</v>
      </c>
      <c r="I36" s="413">
        <v>0</v>
      </c>
      <c r="J36" s="424">
        <v>0</v>
      </c>
      <c r="K36" s="423">
        <v>0</v>
      </c>
      <c r="L36" s="414">
        <v>0</v>
      </c>
      <c r="M36" s="248">
        <f>SUM(G36:L36)</f>
        <v>0</v>
      </c>
      <c r="N36" s="126"/>
      <c r="O36" s="126"/>
      <c r="P36" s="24">
        <f t="shared" si="2"/>
        <v>0</v>
      </c>
      <c r="S36" s="93">
        <f t="shared" ref="S36:X37" si="20" xml:space="preserve"> IF( ISNUMBER( G36 ), 0, 1 )</f>
        <v>0</v>
      </c>
      <c r="T36" s="93">
        <f t="shared" si="20"/>
        <v>0</v>
      </c>
      <c r="U36" s="93">
        <f t="shared" si="20"/>
        <v>0</v>
      </c>
      <c r="V36" s="93">
        <f t="shared" si="20"/>
        <v>0</v>
      </c>
      <c r="W36" s="93">
        <f t="shared" si="20"/>
        <v>0</v>
      </c>
      <c r="X36" s="93">
        <f t="shared" si="20"/>
        <v>0</v>
      </c>
      <c r="Z36" s="479"/>
      <c r="AB36" s="479"/>
      <c r="AC36" s="479"/>
      <c r="AD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86" t="s">
        <v>3429</v>
      </c>
      <c r="BB36" s="117" t="s">
        <v>1212</v>
      </c>
      <c r="BC36" s="117"/>
      <c r="BD36" s="88" t="s">
        <v>51</v>
      </c>
      <c r="BE36" s="215">
        <v>3</v>
      </c>
      <c r="BF36" s="2516" t="s">
        <v>3430</v>
      </c>
      <c r="BG36" s="2660" t="s">
        <v>3431</v>
      </c>
      <c r="BH36" s="2516" t="s">
        <v>3432</v>
      </c>
      <c r="BI36" s="2517" t="s">
        <v>3433</v>
      </c>
      <c r="BJ36" s="2575" t="s">
        <v>3434</v>
      </c>
      <c r="BK36" s="2660" t="s">
        <v>3435</v>
      </c>
      <c r="BL36" s="248" t="s">
        <v>3436</v>
      </c>
    </row>
    <row r="37" spans="2:64" ht="15" thickBot="1">
      <c r="B37" s="101" t="s">
        <v>3437</v>
      </c>
      <c r="C37" s="102" t="s">
        <v>1220</v>
      </c>
      <c r="D37" s="102"/>
      <c r="E37" s="103" t="s">
        <v>51</v>
      </c>
      <c r="F37" s="225">
        <v>3</v>
      </c>
      <c r="G37" s="459">
        <v>0</v>
      </c>
      <c r="H37" s="762">
        <v>0</v>
      </c>
      <c r="I37" s="459">
        <v>0</v>
      </c>
      <c r="J37" s="460">
        <v>0</v>
      </c>
      <c r="K37" s="763">
        <v>0</v>
      </c>
      <c r="L37" s="762">
        <v>0</v>
      </c>
      <c r="M37" s="764">
        <f>SUM(G37:L37)</f>
        <v>0</v>
      </c>
      <c r="N37" s="126"/>
      <c r="O37" s="126"/>
      <c r="P37" s="24">
        <f t="shared" si="2"/>
        <v>0</v>
      </c>
      <c r="S37" s="93">
        <f t="shared" si="20"/>
        <v>0</v>
      </c>
      <c r="T37" s="93">
        <f t="shared" si="20"/>
        <v>0</v>
      </c>
      <c r="U37" s="93">
        <f t="shared" si="20"/>
        <v>0</v>
      </c>
      <c r="V37" s="93">
        <f t="shared" si="20"/>
        <v>0</v>
      </c>
      <c r="W37" s="93">
        <f t="shared" si="20"/>
        <v>0</v>
      </c>
      <c r="X37" s="93">
        <f t="shared" si="20"/>
        <v>0</v>
      </c>
      <c r="Z37" s="479"/>
      <c r="AB37" s="479"/>
      <c r="AC37" s="479"/>
      <c r="AD37" s="479"/>
      <c r="AF37" s="479"/>
      <c r="AG37" s="479"/>
      <c r="AH37" s="479"/>
      <c r="AI37" s="479"/>
      <c r="AJ37" s="479"/>
      <c r="AK37" s="479"/>
      <c r="AL37" s="479"/>
      <c r="AM37" s="479"/>
      <c r="AN37" s="479"/>
      <c r="AO37" s="479"/>
      <c r="AP37" s="479"/>
      <c r="AQ37" s="479"/>
      <c r="AR37" s="479"/>
      <c r="AS37" s="479"/>
      <c r="AT37" s="479"/>
      <c r="AU37" s="479"/>
      <c r="AV37" s="479"/>
      <c r="AW37" s="479"/>
      <c r="AX37" s="479"/>
      <c r="AY37" s="479"/>
      <c r="AZ37" s="479"/>
      <c r="BA37" s="101" t="s">
        <v>3437</v>
      </c>
      <c r="BB37" s="102" t="s">
        <v>1220</v>
      </c>
      <c r="BC37" s="102"/>
      <c r="BD37" s="103" t="s">
        <v>51</v>
      </c>
      <c r="BE37" s="225">
        <v>3</v>
      </c>
      <c r="BF37" s="2542" t="s">
        <v>3438</v>
      </c>
      <c r="BG37" s="2665" t="s">
        <v>3439</v>
      </c>
      <c r="BH37" s="2542" t="s">
        <v>3440</v>
      </c>
      <c r="BI37" s="2543" t="s">
        <v>3441</v>
      </c>
      <c r="BJ37" s="2666" t="s">
        <v>3442</v>
      </c>
      <c r="BK37" s="2665" t="s">
        <v>3443</v>
      </c>
      <c r="BL37" s="764" t="s">
        <v>3444</v>
      </c>
    </row>
    <row r="38" spans="2:64" s="479" customFormat="1" ht="15" thickBot="1">
      <c r="N38" s="126"/>
      <c r="O38" s="126"/>
      <c r="Q38" s="126"/>
      <c r="R38" s="119"/>
      <c r="S38" s="203"/>
      <c r="T38" s="203"/>
      <c r="U38" s="203"/>
      <c r="V38" s="203"/>
      <c r="W38" s="203"/>
      <c r="X38" s="203"/>
      <c r="Y38" s="119"/>
      <c r="AA38" s="119"/>
      <c r="AE38" s="119"/>
    </row>
    <row r="39" spans="2:64" ht="15" thickBot="1">
      <c r="B39" s="131" t="s">
        <v>3445</v>
      </c>
      <c r="C39" s="132" t="s">
        <v>1228</v>
      </c>
      <c r="D39" s="132"/>
      <c r="E39" s="133" t="s">
        <v>51</v>
      </c>
      <c r="F39" s="765">
        <v>3</v>
      </c>
      <c r="G39" s="739">
        <f t="shared" ref="G39:L39" si="21">G33 + G36 + G37</f>
        <v>5.2309999999999999</v>
      </c>
      <c r="H39" s="247">
        <f t="shared" si="21"/>
        <v>36.56900000000001</v>
      </c>
      <c r="I39" s="739">
        <f t="shared" si="21"/>
        <v>12.194000000000001</v>
      </c>
      <c r="J39" s="740">
        <f t="shared" si="21"/>
        <v>1.8980000000000001</v>
      </c>
      <c r="K39" s="769">
        <f t="shared" si="21"/>
        <v>107.75400000000002</v>
      </c>
      <c r="L39" s="247">
        <f t="shared" si="21"/>
        <v>272.38500000000005</v>
      </c>
      <c r="M39" s="770">
        <f>SUM(G39:L39)</f>
        <v>436.03100000000006</v>
      </c>
      <c r="N39" s="126"/>
      <c r="O39" s="126"/>
      <c r="P39" s="479"/>
      <c r="Q39" s="126"/>
      <c r="R39" s="119"/>
      <c r="S39" s="203"/>
      <c r="T39" s="203"/>
      <c r="U39" s="203"/>
      <c r="V39" s="203"/>
      <c r="W39" s="203"/>
      <c r="X39" s="203"/>
      <c r="Y39" s="119"/>
      <c r="Z39" s="479"/>
      <c r="AA39" s="119"/>
      <c r="AB39" s="479"/>
      <c r="AC39" s="479"/>
      <c r="AD39" s="479"/>
      <c r="AE39" s="119"/>
      <c r="AF39" s="479"/>
      <c r="AG39" s="479"/>
      <c r="AH39" s="479"/>
      <c r="AI39" s="479"/>
      <c r="AJ39" s="479"/>
      <c r="AK39" s="479"/>
      <c r="AL39" s="479"/>
      <c r="AM39" s="479"/>
      <c r="AN39" s="479"/>
      <c r="AO39" s="479"/>
      <c r="AP39" s="479"/>
      <c r="AQ39" s="479"/>
      <c r="AR39" s="479"/>
      <c r="AS39" s="479"/>
      <c r="AT39" s="479"/>
      <c r="AU39" s="479"/>
      <c r="AV39" s="479"/>
      <c r="AW39" s="479"/>
      <c r="AX39" s="479"/>
      <c r="AY39" s="479"/>
      <c r="AZ39" s="479"/>
      <c r="BA39" s="131" t="s">
        <v>3445</v>
      </c>
      <c r="BB39" s="132" t="s">
        <v>1228</v>
      </c>
      <c r="BC39" s="132"/>
      <c r="BD39" s="133" t="s">
        <v>51</v>
      </c>
      <c r="BE39" s="765">
        <v>3</v>
      </c>
      <c r="BF39" s="739" t="s">
        <v>3446</v>
      </c>
      <c r="BG39" s="247" t="s">
        <v>3447</v>
      </c>
      <c r="BH39" s="739" t="s">
        <v>3448</v>
      </c>
      <c r="BI39" s="740" t="s">
        <v>3449</v>
      </c>
      <c r="BJ39" s="769" t="s">
        <v>3450</v>
      </c>
      <c r="BK39" s="247" t="s">
        <v>3451</v>
      </c>
      <c r="BL39" s="770" t="s">
        <v>3452</v>
      </c>
    </row>
    <row r="40" spans="2:64" ht="15" thickBot="1">
      <c r="B40" s="479"/>
      <c r="C40" s="479"/>
      <c r="E40" s="479"/>
      <c r="F40" s="479"/>
      <c r="G40" s="479"/>
      <c r="H40" s="479"/>
      <c r="I40" s="479"/>
      <c r="J40" s="479"/>
      <c r="K40" s="479"/>
      <c r="L40" s="479"/>
      <c r="M40" s="479"/>
      <c r="N40" s="126"/>
      <c r="O40" s="126"/>
      <c r="P40" s="479"/>
      <c r="Q40" s="118"/>
      <c r="R40" s="124"/>
      <c r="S40" s="203"/>
      <c r="T40" s="203"/>
      <c r="U40" s="203"/>
      <c r="V40" s="203"/>
      <c r="W40" s="203"/>
      <c r="X40" s="203"/>
      <c r="Y40" s="124"/>
      <c r="Z40" s="479"/>
      <c r="AA40" s="124"/>
      <c r="AB40" s="479"/>
      <c r="AC40" s="479"/>
      <c r="AD40" s="479"/>
      <c r="AE40" s="124"/>
      <c r="AF40" s="479"/>
      <c r="AG40" s="479"/>
      <c r="AH40" s="479"/>
      <c r="AI40" s="479"/>
      <c r="AJ40" s="479"/>
      <c r="AK40" s="479"/>
      <c r="AL40" s="479"/>
      <c r="AM40" s="479"/>
      <c r="AN40" s="479"/>
      <c r="AO40" s="479"/>
      <c r="AP40" s="479"/>
      <c r="AQ40" s="479"/>
      <c r="AR40" s="479"/>
      <c r="AS40" s="479"/>
      <c r="AT40" s="479"/>
      <c r="AU40" s="479"/>
      <c r="AV40" s="479"/>
      <c r="AW40" s="479"/>
      <c r="AX40" s="479"/>
      <c r="AY40" s="479"/>
      <c r="AZ40" s="479"/>
    </row>
    <row r="41" spans="2:64" ht="15" thickBot="1">
      <c r="B41" s="113" t="s">
        <v>466</v>
      </c>
      <c r="C41" s="114" t="s">
        <v>3453</v>
      </c>
      <c r="D41" s="1505"/>
      <c r="E41" s="70"/>
      <c r="F41" s="70"/>
      <c r="G41" s="479"/>
      <c r="H41" s="479"/>
      <c r="I41" s="479"/>
      <c r="J41" s="479"/>
      <c r="K41" s="479"/>
      <c r="L41" s="479"/>
      <c r="M41" s="479"/>
      <c r="N41" s="126"/>
      <c r="O41" s="126"/>
      <c r="P41" s="479"/>
      <c r="Q41" s="118"/>
      <c r="R41" s="124"/>
      <c r="S41" s="203"/>
      <c r="T41" s="203"/>
      <c r="U41" s="203"/>
      <c r="V41" s="203"/>
      <c r="W41" s="203"/>
      <c r="X41" s="203"/>
      <c r="Y41" s="124"/>
      <c r="Z41" s="479"/>
      <c r="AA41" s="124"/>
      <c r="AB41" s="479"/>
      <c r="AC41" s="479"/>
      <c r="AD41" s="479"/>
      <c r="AE41" s="124"/>
      <c r="AF41" s="479"/>
      <c r="AG41" s="479"/>
      <c r="AH41" s="479"/>
      <c r="AI41" s="479"/>
      <c r="AJ41" s="479"/>
      <c r="AK41" s="479"/>
      <c r="AL41" s="479"/>
      <c r="AM41" s="479"/>
      <c r="AN41" s="479"/>
      <c r="AO41" s="479"/>
      <c r="AP41" s="479"/>
      <c r="AQ41" s="479"/>
      <c r="AR41" s="479"/>
      <c r="AS41" s="479"/>
      <c r="AT41" s="479"/>
      <c r="AU41" s="479"/>
      <c r="AV41" s="479"/>
      <c r="AW41" s="479"/>
      <c r="AX41" s="479"/>
      <c r="AY41" s="479"/>
      <c r="AZ41" s="479"/>
      <c r="BA41" s="113" t="s">
        <v>466</v>
      </c>
      <c r="BB41" s="114" t="s">
        <v>3453</v>
      </c>
      <c r="BC41" s="1505"/>
      <c r="BD41" s="70"/>
      <c r="BE41" s="70"/>
    </row>
    <row r="42" spans="2:64" ht="15" thickBot="1">
      <c r="B42" s="86" t="s">
        <v>3454</v>
      </c>
      <c r="C42" s="117" t="s">
        <v>3455</v>
      </c>
      <c r="D42" s="117"/>
      <c r="E42" s="88" t="s">
        <v>3456</v>
      </c>
      <c r="F42" s="215">
        <v>3</v>
      </c>
      <c r="G42" s="426">
        <v>740462.76199999999</v>
      </c>
      <c r="H42" s="479"/>
      <c r="I42" s="479"/>
      <c r="J42" s="479"/>
      <c r="K42" s="479"/>
      <c r="L42" s="479"/>
      <c r="M42" s="479"/>
      <c r="N42" s="126"/>
      <c r="O42" s="126"/>
      <c r="P42" s="24">
        <f t="shared" si="2"/>
        <v>0</v>
      </c>
      <c r="Q42" s="118"/>
      <c r="R42" s="124"/>
      <c r="S42" s="93">
        <f xml:space="preserve"> IF( ISNUMBER( G42 ), 0, 1 )</f>
        <v>0</v>
      </c>
      <c r="T42" s="203"/>
      <c r="U42" s="203"/>
      <c r="V42" s="203"/>
      <c r="W42" s="203"/>
      <c r="X42" s="203"/>
      <c r="Y42" s="124"/>
      <c r="Z42" s="479"/>
      <c r="AA42" s="124"/>
      <c r="AB42" s="479"/>
      <c r="AC42" s="479"/>
      <c r="AD42" s="479"/>
      <c r="AE42" s="124"/>
      <c r="AF42" s="479"/>
      <c r="AG42" s="479"/>
      <c r="AH42" s="479"/>
      <c r="AI42" s="479"/>
      <c r="AJ42" s="479"/>
      <c r="AK42" s="479"/>
      <c r="AL42" s="479"/>
      <c r="AM42" s="479"/>
      <c r="AN42" s="479"/>
      <c r="AO42" s="479"/>
      <c r="AP42" s="479"/>
      <c r="AQ42" s="479"/>
      <c r="AR42" s="479"/>
      <c r="AS42" s="479"/>
      <c r="AT42" s="479"/>
      <c r="AU42" s="479"/>
      <c r="AV42" s="479"/>
      <c r="AW42" s="479"/>
      <c r="AX42" s="479"/>
      <c r="AY42" s="479"/>
      <c r="AZ42" s="479"/>
      <c r="BA42" s="86" t="s">
        <v>3454</v>
      </c>
      <c r="BB42" s="117" t="s">
        <v>3455</v>
      </c>
      <c r="BC42" s="117"/>
      <c r="BD42" s="88" t="s">
        <v>3456</v>
      </c>
      <c r="BE42" s="215">
        <v>3</v>
      </c>
      <c r="BF42" s="2523" t="s">
        <v>3457</v>
      </c>
    </row>
    <row r="43" spans="2:64" ht="15" thickBot="1">
      <c r="B43" s="94" t="s">
        <v>3454</v>
      </c>
      <c r="C43" s="87" t="s">
        <v>3458</v>
      </c>
      <c r="D43" s="87"/>
      <c r="E43" s="95" t="s">
        <v>3456</v>
      </c>
      <c r="F43" s="96">
        <v>3</v>
      </c>
      <c r="G43" s="479"/>
      <c r="H43" s="426">
        <v>445977.77899999998</v>
      </c>
      <c r="I43" s="479"/>
      <c r="J43" s="479"/>
      <c r="K43" s="479"/>
      <c r="L43" s="479"/>
      <c r="M43" s="479"/>
      <c r="N43" s="126"/>
      <c r="O43" s="126"/>
      <c r="P43" s="24">
        <f t="shared" si="2"/>
        <v>0</v>
      </c>
      <c r="S43" s="203"/>
      <c r="T43" s="93">
        <f xml:space="preserve"> IF( ISNUMBER( H43 ), 0, 1 )</f>
        <v>0</v>
      </c>
      <c r="U43" s="203"/>
      <c r="V43" s="203"/>
      <c r="W43" s="203"/>
      <c r="X43" s="203"/>
      <c r="Z43" s="479"/>
      <c r="AB43" s="479"/>
      <c r="AC43" s="479"/>
      <c r="AD43" s="479"/>
      <c r="AF43" s="479"/>
      <c r="AG43" s="479"/>
      <c r="AH43" s="479"/>
      <c r="AI43" s="479"/>
      <c r="AJ43" s="479"/>
      <c r="AK43" s="479"/>
      <c r="AL43" s="479"/>
      <c r="AM43" s="479"/>
      <c r="AN43" s="479"/>
      <c r="AO43" s="479"/>
      <c r="AP43" s="479"/>
      <c r="AQ43" s="479"/>
      <c r="AR43" s="479"/>
      <c r="AS43" s="479"/>
      <c r="AT43" s="479"/>
      <c r="AU43" s="479"/>
      <c r="AV43" s="479"/>
      <c r="AW43" s="479"/>
      <c r="AX43" s="479"/>
      <c r="AY43" s="479"/>
      <c r="AZ43" s="479"/>
      <c r="BA43" s="94" t="s">
        <v>3454</v>
      </c>
      <c r="BB43" s="87" t="s">
        <v>3458</v>
      </c>
      <c r="BC43" s="87"/>
      <c r="BD43" s="95" t="s">
        <v>3456</v>
      </c>
      <c r="BE43" s="96">
        <v>3</v>
      </c>
      <c r="BG43" s="2523" t="s">
        <v>3459</v>
      </c>
    </row>
    <row r="44" spans="2:64" ht="15" thickBot="1">
      <c r="B44" s="94" t="s">
        <v>3454</v>
      </c>
      <c r="C44" s="87" t="s">
        <v>3460</v>
      </c>
      <c r="D44" s="87"/>
      <c r="E44" s="95" t="s">
        <v>3456</v>
      </c>
      <c r="F44" s="96">
        <v>3</v>
      </c>
      <c r="G44" s="479"/>
      <c r="H44" s="479"/>
      <c r="I44" s="426">
        <v>275366.50300000003</v>
      </c>
      <c r="J44" s="479"/>
      <c r="K44" s="479"/>
      <c r="L44" s="479"/>
      <c r="M44" s="479"/>
      <c r="N44" s="126"/>
      <c r="O44" s="126"/>
      <c r="P44" s="24">
        <f t="shared" si="2"/>
        <v>0</v>
      </c>
      <c r="S44" s="203"/>
      <c r="T44" s="203"/>
      <c r="U44" s="93">
        <f xml:space="preserve"> IF( ISNUMBER( I44 ), 0, 1 )</f>
        <v>0</v>
      </c>
      <c r="V44" s="203"/>
      <c r="W44" s="203"/>
      <c r="X44" s="203"/>
      <c r="Z44" s="479"/>
      <c r="AB44" s="479"/>
      <c r="AC44" s="479"/>
      <c r="AD44" s="479"/>
      <c r="AF44" s="479"/>
      <c r="AG44" s="479"/>
      <c r="AH44" s="479"/>
      <c r="AI44" s="479"/>
      <c r="AJ44" s="479"/>
      <c r="AK44" s="479"/>
      <c r="AL44" s="479"/>
      <c r="AM44" s="479"/>
      <c r="AN44" s="479"/>
      <c r="AO44" s="479"/>
      <c r="AP44" s="479"/>
      <c r="AQ44" s="479"/>
      <c r="AR44" s="479"/>
      <c r="AS44" s="479"/>
      <c r="AT44" s="479"/>
      <c r="AU44" s="479"/>
      <c r="AV44" s="479"/>
      <c r="AW44" s="479"/>
      <c r="AX44" s="479"/>
      <c r="AY44" s="479"/>
      <c r="AZ44" s="479"/>
      <c r="BA44" s="94" t="s">
        <v>3454</v>
      </c>
      <c r="BB44" s="87" t="s">
        <v>3460</v>
      </c>
      <c r="BC44" s="87"/>
      <c r="BD44" s="95" t="s">
        <v>3456</v>
      </c>
      <c r="BE44" s="96">
        <v>3</v>
      </c>
      <c r="BH44" s="2523" t="s">
        <v>3461</v>
      </c>
    </row>
    <row r="45" spans="2:64" ht="15" thickBot="1">
      <c r="B45" s="94" t="s">
        <v>3454</v>
      </c>
      <c r="C45" s="87" t="s">
        <v>3462</v>
      </c>
      <c r="D45" s="87"/>
      <c r="E45" s="95" t="s">
        <v>3456</v>
      </c>
      <c r="F45" s="96">
        <v>3</v>
      </c>
      <c r="G45" s="479"/>
      <c r="H45" s="479"/>
      <c r="I45" s="479"/>
      <c r="J45" s="426">
        <v>3139.7750000000001</v>
      </c>
      <c r="K45" s="479"/>
      <c r="L45" s="479"/>
      <c r="M45" s="479"/>
      <c r="N45" s="130"/>
      <c r="O45" s="130"/>
      <c r="P45" s="24">
        <f t="shared" si="2"/>
        <v>0</v>
      </c>
      <c r="S45" s="203"/>
      <c r="T45" s="203"/>
      <c r="U45" s="203"/>
      <c r="V45" s="93">
        <f xml:space="preserve"> IF( ISNUMBER( J45 ), 0, 1 )</f>
        <v>0</v>
      </c>
      <c r="W45" s="203"/>
      <c r="X45" s="203"/>
      <c r="Z45" s="479"/>
      <c r="AB45" s="479"/>
      <c r="AC45" s="479"/>
      <c r="AD45" s="479"/>
      <c r="AF45" s="479"/>
      <c r="AG45" s="479"/>
      <c r="AH45" s="479"/>
      <c r="AI45" s="479"/>
      <c r="AJ45" s="479"/>
      <c r="AK45" s="479"/>
      <c r="AL45" s="479"/>
      <c r="AM45" s="479"/>
      <c r="AN45" s="479"/>
      <c r="AO45" s="479"/>
      <c r="AP45" s="479"/>
      <c r="AQ45" s="479"/>
      <c r="AR45" s="479"/>
      <c r="AS45" s="479"/>
      <c r="AT45" s="479"/>
      <c r="AU45" s="479"/>
      <c r="AV45" s="479"/>
      <c r="AW45" s="479"/>
      <c r="AX45" s="479"/>
      <c r="AY45" s="479"/>
      <c r="AZ45" s="479"/>
      <c r="BA45" s="94" t="s">
        <v>3454</v>
      </c>
      <c r="BB45" s="87" t="s">
        <v>3462</v>
      </c>
      <c r="BC45" s="87"/>
      <c r="BD45" s="95" t="s">
        <v>3456</v>
      </c>
      <c r="BE45" s="96">
        <v>3</v>
      </c>
      <c r="BI45" s="2523" t="s">
        <v>3463</v>
      </c>
    </row>
    <row r="46" spans="2:64" ht="15" thickBot="1">
      <c r="B46" s="94" t="s">
        <v>3454</v>
      </c>
      <c r="C46" s="87" t="s">
        <v>3464</v>
      </c>
      <c r="D46" s="87"/>
      <c r="E46" s="95" t="s">
        <v>3456</v>
      </c>
      <c r="F46" s="96">
        <v>3</v>
      </c>
      <c r="G46" s="479"/>
      <c r="H46" s="479"/>
      <c r="I46" s="479"/>
      <c r="J46" s="479"/>
      <c r="K46" s="426">
        <v>456050.64</v>
      </c>
      <c r="L46" s="479"/>
      <c r="M46" s="479"/>
      <c r="N46" s="130"/>
      <c r="O46" s="130"/>
      <c r="P46" s="24">
        <f t="shared" si="2"/>
        <v>0</v>
      </c>
      <c r="S46" s="203"/>
      <c r="T46" s="203"/>
      <c r="U46" s="203"/>
      <c r="V46" s="203"/>
      <c r="W46" s="93">
        <f xml:space="preserve"> IF( ISNUMBER( K46 ), 0, 1 )</f>
        <v>0</v>
      </c>
      <c r="X46" s="203"/>
      <c r="Z46" s="479"/>
      <c r="AB46" s="479"/>
      <c r="AC46" s="479"/>
      <c r="AD46" s="479"/>
      <c r="AF46" s="479"/>
      <c r="AG46" s="479"/>
      <c r="AH46" s="479"/>
      <c r="AI46" s="479"/>
      <c r="AJ46" s="479"/>
      <c r="AK46" s="479"/>
      <c r="AL46" s="479"/>
      <c r="AM46" s="479"/>
      <c r="AN46" s="479"/>
      <c r="AO46" s="479"/>
      <c r="AP46" s="479"/>
      <c r="AQ46" s="479"/>
      <c r="AR46" s="479"/>
      <c r="AS46" s="479"/>
      <c r="AT46" s="479"/>
      <c r="AU46" s="479"/>
      <c r="AV46" s="479"/>
      <c r="AW46" s="479"/>
      <c r="AX46" s="479"/>
      <c r="AY46" s="479"/>
      <c r="AZ46" s="479"/>
      <c r="BA46" s="94" t="s">
        <v>3454</v>
      </c>
      <c r="BB46" s="87" t="s">
        <v>3464</v>
      </c>
      <c r="BC46" s="87"/>
      <c r="BD46" s="95" t="s">
        <v>3456</v>
      </c>
      <c r="BE46" s="96">
        <v>3</v>
      </c>
      <c r="BJ46" s="2523" t="s">
        <v>3465</v>
      </c>
    </row>
    <row r="47" spans="2:64" ht="15" thickBot="1">
      <c r="B47" s="94" t="s">
        <v>3454</v>
      </c>
      <c r="C47" s="87" t="s">
        <v>3464</v>
      </c>
      <c r="D47" s="87"/>
      <c r="E47" s="95" t="s">
        <v>3456</v>
      </c>
      <c r="F47" s="96">
        <v>3</v>
      </c>
      <c r="G47" s="479"/>
      <c r="H47" s="479"/>
      <c r="I47" s="479"/>
      <c r="J47" s="479"/>
      <c r="K47" s="479"/>
      <c r="L47" s="426">
        <v>456050.64</v>
      </c>
      <c r="M47" s="479"/>
      <c r="N47" s="130"/>
      <c r="O47" s="130"/>
      <c r="P47" s="24">
        <f xml:space="preserve"> IF( SUM( R47:Y47 ) = 0, 0, $S$6 )</f>
        <v>0</v>
      </c>
      <c r="S47" s="203"/>
      <c r="T47" s="203"/>
      <c r="U47" s="203"/>
      <c r="V47" s="203"/>
      <c r="W47" s="203"/>
      <c r="X47" s="93">
        <f xml:space="preserve"> IF( ISNUMBER( L47 ), 0, 1 )</f>
        <v>0</v>
      </c>
      <c r="Z47" s="479"/>
      <c r="AB47" s="479"/>
      <c r="AC47" s="479"/>
      <c r="AD47" s="479"/>
      <c r="AF47" s="479"/>
      <c r="AG47" s="479"/>
      <c r="AH47" s="479"/>
      <c r="AI47" s="479"/>
      <c r="AJ47" s="479"/>
      <c r="AK47" s="479"/>
      <c r="AL47" s="479"/>
      <c r="AM47" s="479"/>
      <c r="AN47" s="479"/>
      <c r="AO47" s="479"/>
      <c r="AP47" s="479"/>
      <c r="AQ47" s="479"/>
      <c r="AR47" s="479"/>
      <c r="AS47" s="479"/>
      <c r="AT47" s="479"/>
      <c r="AU47" s="479"/>
      <c r="AV47" s="479"/>
      <c r="AW47" s="479"/>
      <c r="AX47" s="479"/>
      <c r="AY47" s="479"/>
      <c r="AZ47" s="479"/>
      <c r="BA47" s="94" t="s">
        <v>3454</v>
      </c>
      <c r="BB47" s="87" t="s">
        <v>3464</v>
      </c>
      <c r="BC47" s="87"/>
      <c r="BD47" s="95" t="s">
        <v>3456</v>
      </c>
      <c r="BE47" s="96">
        <v>3</v>
      </c>
      <c r="BK47" s="2536" t="s">
        <v>3466</v>
      </c>
    </row>
    <row r="48" spans="2:64">
      <c r="B48" s="94" t="s">
        <v>3467</v>
      </c>
      <c r="C48" s="87" t="s">
        <v>3468</v>
      </c>
      <c r="D48" s="87"/>
      <c r="E48" s="95" t="s">
        <v>3469</v>
      </c>
      <c r="F48" s="96">
        <v>3</v>
      </c>
      <c r="G48" s="188">
        <f xml:space="preserve"> IF( G42 = 0, 0, G18 * 1000000 / G42 )</f>
        <v>7.0645011045133419</v>
      </c>
      <c r="H48" s="190">
        <f xml:space="preserve"> IF( H43 = 0, 0, H18 * 1000000 / H43 )</f>
        <v>52.908465648016076</v>
      </c>
      <c r="I48" s="632">
        <f xml:space="preserve"> IF( I44 = 0, 0, I18 * 1000000  / I44 )</f>
        <v>36.30797461229335</v>
      </c>
      <c r="J48" s="189">
        <f xml:space="preserve"> IF( J45 = 0, 0, J18 * 1000000  / J45 )</f>
        <v>551.63188445031892</v>
      </c>
      <c r="K48" s="189">
        <f xml:space="preserve"> IF( K46 = 0, 0, K18 * 1000000  / K46 )</f>
        <v>125.20100837924491</v>
      </c>
      <c r="L48" s="397">
        <f xml:space="preserve"> IF( L47 = 0, 0, L18 * 1000000  / L47 )</f>
        <v>329.45464126527708</v>
      </c>
      <c r="M48" s="479"/>
      <c r="N48" s="130"/>
      <c r="O48" s="130"/>
      <c r="P48" s="479"/>
      <c r="Q48" s="118"/>
      <c r="R48" s="124"/>
      <c r="S48" s="203"/>
      <c r="T48" s="203"/>
      <c r="U48" s="203"/>
      <c r="V48" s="203"/>
      <c r="W48" s="203"/>
      <c r="X48" s="203"/>
      <c r="Y48" s="124"/>
      <c r="Z48" s="479"/>
      <c r="AA48" s="124"/>
      <c r="AB48" s="479"/>
      <c r="AC48" s="479"/>
      <c r="AD48" s="479"/>
      <c r="AE48" s="124"/>
      <c r="AF48" s="479"/>
      <c r="AG48" s="479"/>
      <c r="AH48" s="479"/>
      <c r="AI48" s="479"/>
      <c r="AJ48" s="479"/>
      <c r="AK48" s="479"/>
      <c r="AL48" s="479"/>
      <c r="AM48" s="479"/>
      <c r="AN48" s="479"/>
      <c r="AO48" s="479"/>
      <c r="AP48" s="479"/>
      <c r="AQ48" s="479"/>
      <c r="AR48" s="479"/>
      <c r="AS48" s="479"/>
      <c r="AT48" s="479"/>
      <c r="AU48" s="479"/>
      <c r="AV48" s="479"/>
      <c r="AW48" s="479"/>
      <c r="AX48" s="479"/>
      <c r="AY48" s="479"/>
      <c r="AZ48" s="479"/>
      <c r="BA48" s="94" t="s">
        <v>3467</v>
      </c>
      <c r="BB48" s="87" t="s">
        <v>3468</v>
      </c>
      <c r="BC48" s="87"/>
      <c r="BD48" s="95" t="s">
        <v>3469</v>
      </c>
      <c r="BE48" s="96">
        <v>3</v>
      </c>
      <c r="BF48" s="188" t="s">
        <v>3470</v>
      </c>
      <c r="BG48" s="190" t="s">
        <v>3471</v>
      </c>
      <c r="BH48" s="632" t="s">
        <v>3472</v>
      </c>
      <c r="BI48" s="189" t="s">
        <v>3473</v>
      </c>
      <c r="BJ48" s="189" t="s">
        <v>3474</v>
      </c>
      <c r="BK48" s="397" t="s">
        <v>3475</v>
      </c>
    </row>
    <row r="49" spans="1:63" s="479" customFormat="1">
      <c r="B49" s="94" t="s">
        <v>3476</v>
      </c>
      <c r="C49" s="87" t="s">
        <v>3477</v>
      </c>
      <c r="D49" s="87"/>
      <c r="E49" s="95" t="s">
        <v>3101</v>
      </c>
      <c r="F49" s="96">
        <v>3</v>
      </c>
      <c r="G49" s="411">
        <v>5071.1340710172544</v>
      </c>
      <c r="H49" s="411">
        <v>5071.1340710172544</v>
      </c>
      <c r="I49" s="411">
        <v>5071.1340710172544</v>
      </c>
      <c r="J49" s="411">
        <v>5071.1340710172544</v>
      </c>
      <c r="K49" s="411">
        <v>5071.1340710172544</v>
      </c>
      <c r="L49" s="411">
        <v>5071.1340710172544</v>
      </c>
      <c r="N49" s="126"/>
      <c r="O49" s="126"/>
      <c r="P49" s="24">
        <f t="shared" ref="P49" si="22" xml:space="preserve"> IF( SUM( R49:Y49 ) = 0, 0, $S$6 )</f>
        <v>0</v>
      </c>
      <c r="Q49" s="70"/>
      <c r="R49" s="71"/>
      <c r="S49" s="93">
        <f t="shared" ref="S49" si="23" xml:space="preserve"> IF( ISNUMBER( G49 ), 0, 1 )</f>
        <v>0</v>
      </c>
      <c r="T49" s="93">
        <f t="shared" ref="T49" si="24" xml:space="preserve"> IF( ISNUMBER( H49 ), 0, 1 )</f>
        <v>0</v>
      </c>
      <c r="U49" s="93">
        <f t="shared" ref="U49" si="25" xml:space="preserve"> IF( ISNUMBER( I49 ), 0, 1 )</f>
        <v>0</v>
      </c>
      <c r="V49" s="93">
        <f t="shared" ref="V49" si="26" xml:space="preserve"> IF( ISNUMBER( J49 ), 0, 1 )</f>
        <v>0</v>
      </c>
      <c r="W49" s="93">
        <f t="shared" ref="W49" si="27" xml:space="preserve"> IF( ISNUMBER( K49 ), 0, 1 )</f>
        <v>0</v>
      </c>
      <c r="X49" s="93">
        <f t="shared" ref="X49" si="28" xml:space="preserve"> IF( ISNUMBER( L49 ), 0, 1 )</f>
        <v>0</v>
      </c>
      <c r="Y49" s="71"/>
      <c r="AA49" s="71"/>
      <c r="AE49" s="71"/>
      <c r="BA49" s="94" t="s">
        <v>3476</v>
      </c>
      <c r="BB49" s="87" t="s">
        <v>3477</v>
      </c>
      <c r="BC49" s="87"/>
      <c r="BD49" s="95" t="s">
        <v>3101</v>
      </c>
      <c r="BE49" s="96">
        <v>3</v>
      </c>
      <c r="BF49" s="2519" t="s">
        <v>3478</v>
      </c>
      <c r="BG49" s="2661" t="s">
        <v>3479</v>
      </c>
      <c r="BH49" s="2532" t="s">
        <v>3480</v>
      </c>
      <c r="BI49" s="2520" t="s">
        <v>3481</v>
      </c>
      <c r="BJ49" s="2520" t="s">
        <v>3482</v>
      </c>
      <c r="BK49" s="2661" t="s">
        <v>3483</v>
      </c>
    </row>
    <row r="50" spans="1:63" s="479" customFormat="1" ht="15" thickBot="1">
      <c r="B50" s="101" t="s">
        <v>3484</v>
      </c>
      <c r="C50" s="102" t="s">
        <v>3468</v>
      </c>
      <c r="D50" s="102"/>
      <c r="E50" s="103" t="s">
        <v>3485</v>
      </c>
      <c r="F50" s="225">
        <v>3</v>
      </c>
      <c r="G50" s="193">
        <f t="shared" ref="G50:L50" si="29" xml:space="preserve"> IF( G49 = 0, 0, G18 * 1000 / G49 )</f>
        <v>1.0315246898906534</v>
      </c>
      <c r="H50" s="195">
        <f t="shared" si="29"/>
        <v>4.6530025965704187</v>
      </c>
      <c r="I50" s="242">
        <f t="shared" si="29"/>
        <v>1.9715511086841435</v>
      </c>
      <c r="J50" s="194">
        <f t="shared" si="29"/>
        <v>0.34154096021613684</v>
      </c>
      <c r="K50" s="194">
        <f t="shared" si="29"/>
        <v>11.259414403245371</v>
      </c>
      <c r="L50" s="195">
        <f t="shared" si="29"/>
        <v>29.62808671510054</v>
      </c>
      <c r="N50" s="126"/>
      <c r="O50" s="126"/>
      <c r="Q50" s="70"/>
      <c r="R50" s="71"/>
      <c r="S50" s="127"/>
      <c r="T50" s="127"/>
      <c r="U50" s="127"/>
      <c r="V50" s="127"/>
      <c r="W50" s="127"/>
      <c r="X50" s="127"/>
      <c r="Y50" s="71"/>
      <c r="AA50" s="71"/>
      <c r="AE50" s="71"/>
      <c r="BA50" s="101" t="s">
        <v>3484</v>
      </c>
      <c r="BB50" s="102" t="s">
        <v>3468</v>
      </c>
      <c r="BC50" s="102"/>
      <c r="BD50" s="103" t="s">
        <v>3485</v>
      </c>
      <c r="BE50" s="225">
        <v>3</v>
      </c>
      <c r="BF50" s="193" t="s">
        <v>3486</v>
      </c>
      <c r="BG50" s="195" t="s">
        <v>3487</v>
      </c>
      <c r="BH50" s="242" t="s">
        <v>3488</v>
      </c>
      <c r="BI50" s="194" t="s">
        <v>3489</v>
      </c>
      <c r="BJ50" s="194" t="s">
        <v>3490</v>
      </c>
      <c r="BK50" s="195" t="s">
        <v>3491</v>
      </c>
    </row>
    <row r="51" spans="1:63">
      <c r="A51" s="479"/>
      <c r="B51" s="479"/>
      <c r="C51" s="479"/>
      <c r="E51" s="479"/>
      <c r="F51" s="479"/>
      <c r="G51" s="479"/>
      <c r="H51" s="479"/>
      <c r="I51" s="479"/>
      <c r="J51" s="479"/>
      <c r="K51" s="479"/>
      <c r="L51" s="479"/>
      <c r="M51" s="479"/>
      <c r="N51" s="130"/>
      <c r="O51" s="130"/>
      <c r="P51" s="479"/>
      <c r="S51" s="203"/>
      <c r="T51" s="203"/>
      <c r="U51" s="203"/>
      <c r="V51" s="203"/>
      <c r="W51" s="203"/>
      <c r="X51" s="203"/>
      <c r="Z51" s="479"/>
      <c r="AB51" s="479"/>
      <c r="AC51" s="479"/>
      <c r="AD51" s="479"/>
      <c r="AF51" s="479"/>
      <c r="AG51" s="479"/>
      <c r="AH51" s="479"/>
      <c r="AI51" s="479"/>
      <c r="AJ51" s="479"/>
      <c r="AK51" s="479"/>
      <c r="AL51" s="479"/>
      <c r="AM51" s="479"/>
      <c r="AN51" s="479"/>
      <c r="AO51" s="479"/>
      <c r="AP51" s="479"/>
      <c r="AQ51" s="479"/>
      <c r="AR51" s="479"/>
      <c r="AS51" s="479"/>
      <c r="AT51" s="479"/>
      <c r="AU51" s="479"/>
      <c r="AV51" s="479"/>
      <c r="AW51" s="479"/>
      <c r="AX51" s="479"/>
      <c r="AY51" s="479"/>
      <c r="AZ51" s="479"/>
    </row>
    <row r="52" spans="1:63">
      <c r="A52" s="479"/>
      <c r="B52" s="3077" t="s">
        <v>243</v>
      </c>
      <c r="C52" s="3077"/>
      <c r="D52" s="2988"/>
      <c r="E52" s="163"/>
      <c r="F52" s="163"/>
      <c r="G52" s="163"/>
      <c r="H52" s="163"/>
      <c r="I52" s="479"/>
      <c r="J52" s="479"/>
      <c r="K52" s="479"/>
      <c r="L52" s="479"/>
      <c r="M52" s="479"/>
      <c r="N52" s="130"/>
      <c r="O52" s="130"/>
      <c r="P52" s="479"/>
      <c r="S52" s="203"/>
      <c r="T52" s="203"/>
      <c r="U52" s="203"/>
      <c r="V52" s="203"/>
      <c r="W52" s="203"/>
      <c r="X52" s="203"/>
      <c r="Z52" s="479"/>
      <c r="AB52" s="479"/>
      <c r="AC52" s="479"/>
      <c r="AD52" s="479"/>
      <c r="AF52" s="479"/>
      <c r="AG52" s="479"/>
      <c r="AH52" s="479"/>
      <c r="AI52" s="479"/>
      <c r="AJ52" s="479"/>
      <c r="AK52" s="479"/>
      <c r="AL52" s="479"/>
      <c r="AM52" s="479"/>
      <c r="AN52" s="479"/>
      <c r="AO52" s="479"/>
      <c r="AP52" s="479"/>
      <c r="AQ52" s="479"/>
      <c r="AR52" s="479"/>
      <c r="AS52" s="479"/>
      <c r="AT52" s="479"/>
      <c r="AU52" s="479"/>
      <c r="AV52" s="479"/>
      <c r="AW52" s="479"/>
      <c r="AX52" s="479"/>
      <c r="AY52" s="479"/>
      <c r="AZ52" s="479"/>
    </row>
    <row r="53" spans="1:63">
      <c r="A53" s="479"/>
      <c r="B53" s="141"/>
      <c r="C53" s="142"/>
      <c r="D53" s="142"/>
      <c r="E53" s="163"/>
      <c r="F53" s="163"/>
      <c r="G53" s="163"/>
      <c r="H53" s="163"/>
      <c r="I53" s="479"/>
      <c r="J53" s="479"/>
      <c r="K53" s="479"/>
      <c r="L53" s="479"/>
      <c r="M53" s="479"/>
      <c r="N53" s="130"/>
      <c r="O53" s="130"/>
      <c r="P53" s="479"/>
      <c r="S53" s="203"/>
      <c r="T53" s="203"/>
      <c r="U53" s="203"/>
      <c r="V53" s="203"/>
      <c r="W53" s="203"/>
      <c r="X53" s="203"/>
      <c r="Z53" s="479"/>
      <c r="AB53" s="479"/>
      <c r="AC53" s="479"/>
      <c r="AD53" s="479"/>
      <c r="AF53" s="479"/>
      <c r="AG53" s="479"/>
      <c r="AH53" s="479"/>
      <c r="AI53" s="479"/>
      <c r="AJ53" s="479"/>
      <c r="AK53" s="479"/>
      <c r="AL53" s="479"/>
      <c r="AM53" s="479"/>
      <c r="AN53" s="479"/>
      <c r="AO53" s="479"/>
      <c r="AP53" s="479"/>
      <c r="AQ53" s="479"/>
      <c r="AR53" s="479"/>
      <c r="AS53" s="479"/>
      <c r="AT53" s="479"/>
      <c r="AU53" s="479"/>
      <c r="AV53" s="479"/>
      <c r="AW53" s="479"/>
      <c r="AX53" s="479"/>
      <c r="AY53" s="479"/>
      <c r="AZ53" s="479"/>
    </row>
    <row r="54" spans="1:63">
      <c r="A54" s="479"/>
      <c r="B54" s="25"/>
      <c r="C54" s="143" t="s">
        <v>190</v>
      </c>
      <c r="D54" s="143"/>
      <c r="E54" s="163"/>
      <c r="F54" s="163"/>
      <c r="G54" s="163"/>
      <c r="H54" s="163"/>
      <c r="I54" s="479"/>
      <c r="J54" s="479"/>
      <c r="K54" s="479"/>
      <c r="L54" s="479"/>
      <c r="M54" s="479"/>
      <c r="N54" s="130"/>
      <c r="O54" s="130"/>
      <c r="P54" s="479"/>
      <c r="S54" s="203"/>
      <c r="T54" s="203"/>
      <c r="U54" s="203"/>
      <c r="V54" s="203"/>
      <c r="W54" s="203"/>
      <c r="X54" s="203"/>
      <c r="Z54" s="479"/>
      <c r="AB54" s="479"/>
      <c r="AC54" s="479"/>
      <c r="AD54" s="479"/>
      <c r="AF54" s="479"/>
      <c r="AG54" s="479"/>
      <c r="AH54" s="479"/>
      <c r="AI54" s="479"/>
      <c r="AJ54" s="479"/>
      <c r="AK54" s="479"/>
      <c r="AL54" s="479"/>
      <c r="AM54" s="479"/>
      <c r="AN54" s="479"/>
      <c r="AO54" s="479"/>
      <c r="AP54" s="479"/>
      <c r="AQ54" s="479"/>
      <c r="AR54" s="479"/>
      <c r="AS54" s="479"/>
      <c r="AT54" s="479"/>
      <c r="AU54" s="479"/>
      <c r="AV54" s="479"/>
      <c r="AW54" s="479"/>
      <c r="AX54" s="479"/>
      <c r="AY54" s="479"/>
      <c r="AZ54" s="479"/>
    </row>
    <row r="55" spans="1:63">
      <c r="A55" s="479"/>
      <c r="B55" s="141"/>
      <c r="C55" s="142"/>
      <c r="D55" s="142"/>
      <c r="E55" s="163"/>
      <c r="F55" s="163"/>
      <c r="G55" s="163"/>
      <c r="H55" s="163"/>
      <c r="I55" s="479"/>
      <c r="J55" s="479"/>
      <c r="K55" s="479"/>
      <c r="L55" s="479"/>
      <c r="M55" s="479"/>
      <c r="N55" s="130"/>
      <c r="O55" s="130"/>
      <c r="P55" s="479"/>
      <c r="S55" s="203"/>
      <c r="T55" s="203"/>
      <c r="U55" s="203"/>
      <c r="V55" s="203"/>
      <c r="W55" s="203"/>
      <c r="X55" s="203"/>
      <c r="Z55" s="479"/>
      <c r="AB55" s="479"/>
      <c r="AC55" s="479"/>
      <c r="AD55" s="479"/>
      <c r="AF55" s="479"/>
      <c r="AG55" s="479"/>
      <c r="AH55" s="479"/>
      <c r="AI55" s="479"/>
      <c r="AJ55" s="479"/>
      <c r="AK55" s="479"/>
      <c r="AL55" s="479"/>
      <c r="AM55" s="479"/>
      <c r="AN55" s="479"/>
      <c r="AO55" s="479"/>
      <c r="AP55" s="479"/>
      <c r="AQ55" s="479"/>
      <c r="AR55" s="479"/>
      <c r="AS55" s="479"/>
      <c r="AT55" s="479"/>
      <c r="AU55" s="479"/>
      <c r="AV55" s="479"/>
      <c r="AW55" s="479"/>
      <c r="AX55" s="479"/>
      <c r="AY55" s="479"/>
      <c r="AZ55" s="479"/>
    </row>
    <row r="56" spans="1:63">
      <c r="A56" s="479"/>
      <c r="B56" s="144"/>
      <c r="C56" s="143" t="s">
        <v>191</v>
      </c>
      <c r="D56" s="143"/>
      <c r="E56" s="163"/>
      <c r="F56" s="163"/>
      <c r="G56" s="163"/>
      <c r="H56" s="163"/>
      <c r="I56" s="479"/>
      <c r="J56" s="479"/>
      <c r="K56" s="479"/>
      <c r="L56" s="479"/>
      <c r="M56" s="479"/>
      <c r="N56" s="130"/>
      <c r="O56" s="130"/>
      <c r="P56" s="479"/>
      <c r="S56" s="203"/>
      <c r="T56" s="203"/>
      <c r="U56" s="203"/>
      <c r="V56" s="203"/>
      <c r="W56" s="203"/>
      <c r="X56" s="203"/>
      <c r="Z56" s="479"/>
      <c r="AB56" s="479"/>
      <c r="AC56" s="479"/>
      <c r="AD56" s="479"/>
      <c r="AF56" s="479"/>
      <c r="AG56" s="479"/>
      <c r="AH56" s="479"/>
      <c r="AI56" s="479"/>
      <c r="AJ56" s="479"/>
      <c r="AK56" s="479"/>
      <c r="AL56" s="479"/>
      <c r="AM56" s="479"/>
      <c r="AN56" s="479"/>
      <c r="AO56" s="479"/>
      <c r="AP56" s="479"/>
      <c r="AQ56" s="479"/>
      <c r="AR56" s="479"/>
      <c r="AS56" s="479"/>
      <c r="AT56" s="479"/>
      <c r="AU56" s="479"/>
      <c r="AV56" s="479"/>
      <c r="AW56" s="479"/>
      <c r="AX56" s="479"/>
      <c r="AY56" s="479"/>
      <c r="AZ56" s="479"/>
    </row>
    <row r="57" spans="1:63">
      <c r="A57" s="479"/>
      <c r="B57" s="145"/>
      <c r="C57" s="143"/>
      <c r="D57" s="143"/>
      <c r="E57" s="163"/>
      <c r="F57" s="163"/>
      <c r="G57" s="163"/>
      <c r="H57" s="163"/>
      <c r="I57" s="479"/>
      <c r="J57" s="479"/>
      <c r="K57" s="479"/>
      <c r="L57" s="479"/>
      <c r="M57" s="479"/>
      <c r="N57" s="130"/>
      <c r="O57" s="130"/>
      <c r="P57" s="479"/>
      <c r="S57" s="203"/>
      <c r="T57" s="203"/>
      <c r="U57" s="203"/>
      <c r="V57" s="203"/>
      <c r="W57" s="203"/>
      <c r="X57" s="203"/>
      <c r="Z57" s="479"/>
      <c r="AB57" s="479"/>
      <c r="AC57" s="479"/>
      <c r="AD57" s="479"/>
      <c r="AF57" s="479"/>
      <c r="AG57" s="479"/>
      <c r="AH57" s="479"/>
      <c r="AI57" s="479"/>
      <c r="AJ57" s="479"/>
      <c r="AK57" s="479"/>
      <c r="AL57" s="479"/>
      <c r="AM57" s="479"/>
      <c r="AN57" s="479"/>
      <c r="AO57" s="479"/>
      <c r="AP57" s="479"/>
      <c r="AQ57" s="479"/>
      <c r="AR57" s="479"/>
      <c r="AS57" s="479"/>
      <c r="AT57" s="479"/>
      <c r="AU57" s="479"/>
      <c r="AV57" s="479"/>
      <c r="AW57" s="479"/>
      <c r="AX57" s="479"/>
      <c r="AY57" s="479"/>
      <c r="AZ57" s="479"/>
    </row>
    <row r="58" spans="1:63" ht="15" thickBot="1">
      <c r="A58" s="479"/>
      <c r="B58" s="178"/>
      <c r="C58" s="179"/>
      <c r="D58" s="179"/>
      <c r="E58" s="178"/>
      <c r="F58" s="178"/>
      <c r="G58" s="178"/>
      <c r="H58" s="178"/>
      <c r="I58" s="479"/>
      <c r="J58" s="479"/>
      <c r="K58" s="479"/>
      <c r="L58" s="479"/>
      <c r="M58" s="479"/>
      <c r="N58" s="130"/>
      <c r="O58" s="130"/>
      <c r="P58" s="479"/>
      <c r="S58" s="203"/>
      <c r="T58" s="203"/>
      <c r="U58" s="203"/>
      <c r="V58" s="203"/>
      <c r="W58" s="203"/>
      <c r="X58" s="203"/>
      <c r="Z58" s="479"/>
      <c r="AB58" s="479"/>
      <c r="AC58" s="479"/>
      <c r="AD58" s="479"/>
      <c r="AF58" s="479"/>
      <c r="AG58" s="479"/>
      <c r="AH58" s="479"/>
      <c r="AI58" s="479"/>
      <c r="AJ58" s="479"/>
      <c r="AK58" s="479"/>
      <c r="AL58" s="479"/>
      <c r="AM58" s="479"/>
      <c r="AN58" s="479"/>
      <c r="AO58" s="479"/>
      <c r="AP58" s="479"/>
      <c r="AQ58" s="479"/>
      <c r="AR58" s="479"/>
      <c r="AS58" s="479"/>
      <c r="AT58" s="479"/>
      <c r="AU58" s="479"/>
      <c r="AV58" s="479"/>
      <c r="AW58" s="479"/>
      <c r="AX58" s="479"/>
      <c r="AY58" s="479"/>
      <c r="AZ58" s="479"/>
    </row>
    <row r="59" spans="1:63" s="479" customFormat="1" ht="15" customHeight="1" thickBot="1">
      <c r="B59" s="3053" t="str">
        <f>'4C'!B20</f>
        <v>Please refer to RAG 4.08 - Guideline for the table definitions in the annual performance report for the reporting year 2019-20</v>
      </c>
      <c r="C59" s="148"/>
      <c r="D59" s="148"/>
      <c r="E59" s="148"/>
      <c r="F59" s="148"/>
      <c r="G59" s="148"/>
      <c r="H59" s="148"/>
      <c r="I59" s="148"/>
      <c r="J59" s="148"/>
      <c r="K59" s="148"/>
      <c r="L59" s="148"/>
      <c r="M59" s="251"/>
      <c r="N59" s="130"/>
      <c r="O59" s="130"/>
      <c r="Q59" s="70"/>
      <c r="R59" s="71"/>
      <c r="S59" s="203"/>
      <c r="T59" s="203"/>
      <c r="U59" s="203"/>
      <c r="V59" s="203"/>
      <c r="W59" s="203"/>
      <c r="X59" s="203"/>
      <c r="Y59" s="71"/>
      <c r="AA59" s="71"/>
      <c r="AE59" s="71"/>
    </row>
    <row r="60" spans="1:63" s="479" customFormat="1">
      <c r="B60" s="178"/>
      <c r="C60" s="179"/>
      <c r="D60" s="179"/>
      <c r="E60" s="178"/>
      <c r="F60" s="178"/>
      <c r="G60" s="178"/>
      <c r="H60" s="178"/>
      <c r="N60" s="130"/>
      <c r="O60" s="130"/>
      <c r="Q60" s="70"/>
      <c r="R60" s="71"/>
      <c r="S60" s="203"/>
      <c r="T60" s="203"/>
      <c r="U60" s="203"/>
      <c r="V60" s="203"/>
      <c r="W60" s="203"/>
      <c r="X60" s="203"/>
      <c r="Y60" s="71"/>
      <c r="AA60" s="71"/>
      <c r="AE60" s="71"/>
    </row>
    <row r="61" spans="1:63" ht="16.5" hidden="1" thickBot="1">
      <c r="A61" s="1566"/>
      <c r="B61" s="34" t="str">
        <f ca="1" xml:space="preserve"> RIGHT(CELL("filename", $A$1), LEN(CELL("filename", $A$1)) - SEARCH("]", CELL("filename", $A$1)))&amp;" - Line definitions"</f>
        <v>4D - Line definitions</v>
      </c>
      <c r="C61" s="147"/>
      <c r="D61" s="147"/>
      <c r="E61" s="148"/>
      <c r="F61" s="148"/>
      <c r="G61" s="148"/>
      <c r="H61" s="148"/>
      <c r="I61" s="148"/>
      <c r="J61" s="148"/>
      <c r="K61" s="148"/>
      <c r="L61" s="148"/>
      <c r="M61" s="251"/>
      <c r="N61" s="130"/>
      <c r="O61" s="130"/>
      <c r="S61" s="203"/>
      <c r="T61" s="203"/>
      <c r="U61" s="203"/>
      <c r="V61" s="203"/>
      <c r="W61" s="203"/>
      <c r="X61" s="203"/>
      <c r="Z61" s="479"/>
      <c r="AB61" s="479"/>
      <c r="AC61" s="479"/>
      <c r="AD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row>
    <row r="62" spans="1:63" ht="15" hidden="1" thickBot="1">
      <c r="A62" s="1566"/>
      <c r="B62" s="74"/>
      <c r="C62" s="155"/>
      <c r="D62" s="155"/>
      <c r="E62" s="74"/>
      <c r="F62" s="74"/>
      <c r="G62" s="74"/>
      <c r="H62" s="110"/>
      <c r="I62" s="479"/>
      <c r="J62" s="479"/>
      <c r="K62" s="479"/>
      <c r="L62" s="479"/>
      <c r="M62" s="479"/>
      <c r="N62" s="130"/>
      <c r="O62" s="130"/>
      <c r="S62" s="203"/>
      <c r="T62" s="203"/>
      <c r="U62" s="203"/>
      <c r="V62" s="203"/>
      <c r="W62" s="203"/>
      <c r="X62" s="203"/>
      <c r="Z62" s="479"/>
      <c r="AB62" s="479"/>
      <c r="AC62" s="479"/>
      <c r="AD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row>
    <row r="63" spans="1:63" ht="15" hidden="1" thickBot="1">
      <c r="A63" s="1566"/>
      <c r="B63" s="252" t="s">
        <v>193</v>
      </c>
      <c r="C63" s="3273" t="s">
        <v>194</v>
      </c>
      <c r="D63" s="3274"/>
      <c r="E63" s="3274"/>
      <c r="F63" s="3274"/>
      <c r="G63" s="3274"/>
      <c r="H63" s="3274"/>
      <c r="I63" s="3274"/>
      <c r="J63" s="3274"/>
      <c r="K63" s="3274"/>
      <c r="L63" s="3274"/>
      <c r="M63" s="3275"/>
      <c r="N63" s="130"/>
      <c r="O63" s="130"/>
      <c r="S63" s="85" t="s">
        <v>195</v>
      </c>
      <c r="T63" s="203"/>
      <c r="U63" s="203"/>
      <c r="V63" s="203"/>
      <c r="W63" s="203"/>
      <c r="X63" s="203"/>
      <c r="Z63" s="479"/>
      <c r="AB63" s="479"/>
      <c r="AC63" s="479"/>
      <c r="AD63" s="479"/>
      <c r="AF63" s="479"/>
      <c r="AG63" s="479"/>
      <c r="AH63" s="479"/>
      <c r="AI63" s="479"/>
      <c r="AJ63" s="479"/>
      <c r="AK63" s="479"/>
      <c r="AL63" s="479"/>
      <c r="AM63" s="479"/>
      <c r="AN63" s="479"/>
      <c r="AO63" s="479"/>
      <c r="AP63" s="479"/>
      <c r="AQ63" s="479"/>
      <c r="AR63" s="479"/>
      <c r="AS63" s="479"/>
      <c r="AT63" s="479"/>
      <c r="AU63" s="479"/>
      <c r="AV63" s="479"/>
      <c r="AW63" s="479"/>
      <c r="AX63" s="479"/>
      <c r="AY63" s="479"/>
      <c r="AZ63" s="479"/>
    </row>
    <row r="64" spans="1:63" ht="14.25" hidden="1" customHeight="1">
      <c r="A64" s="1566"/>
      <c r="B64" s="776" t="str">
        <f>B7</f>
        <v>4D.1</v>
      </c>
      <c r="C64" s="3276" t="s">
        <v>1235</v>
      </c>
      <c r="D64" s="3277"/>
      <c r="E64" s="3277"/>
      <c r="F64" s="3277"/>
      <c r="G64" s="3277"/>
      <c r="H64" s="3277"/>
      <c r="I64" s="3277"/>
      <c r="J64" s="3277"/>
      <c r="K64" s="3277"/>
      <c r="L64" s="3277"/>
      <c r="M64" s="3278"/>
      <c r="N64" s="130"/>
      <c r="O64" s="130"/>
      <c r="S64" s="202">
        <v>1</v>
      </c>
      <c r="T64" s="203"/>
      <c r="U64" s="203"/>
      <c r="V64" s="203"/>
      <c r="W64" s="203"/>
      <c r="X64" s="203"/>
      <c r="Z64" s="479"/>
      <c r="AB64" s="479"/>
      <c r="AC64" s="479"/>
      <c r="AD64" s="479"/>
      <c r="AF64" s="479"/>
      <c r="AG64" s="479"/>
      <c r="AH64" s="479"/>
      <c r="AI64" s="479"/>
      <c r="AJ64" s="479"/>
      <c r="AK64" s="479"/>
      <c r="AL64" s="479"/>
      <c r="AM64" s="479"/>
      <c r="AN64" s="479"/>
      <c r="AO64" s="479"/>
      <c r="AP64" s="479"/>
      <c r="AQ64" s="479"/>
      <c r="AR64" s="479"/>
      <c r="AS64" s="479"/>
      <c r="AT64" s="479"/>
      <c r="AU64" s="479"/>
      <c r="AV64" s="479"/>
      <c r="AW64" s="479"/>
      <c r="AX64" s="479"/>
      <c r="AY64" s="479"/>
      <c r="AZ64" s="479"/>
    </row>
    <row r="65" spans="1:52" ht="35.450000000000003" hidden="1" customHeight="1">
      <c r="A65" s="1566"/>
      <c r="B65" s="777" t="str">
        <f>B8</f>
        <v>4D.2</v>
      </c>
      <c r="C65" s="3270" t="s">
        <v>3492</v>
      </c>
      <c r="D65" s="3271"/>
      <c r="E65" s="3271"/>
      <c r="F65" s="3271"/>
      <c r="G65" s="3271"/>
      <c r="H65" s="3271"/>
      <c r="I65" s="3271"/>
      <c r="J65" s="3271"/>
      <c r="K65" s="3271"/>
      <c r="L65" s="3271"/>
      <c r="M65" s="3272"/>
      <c r="N65" s="130"/>
      <c r="O65" s="130"/>
      <c r="S65" s="202" t="s">
        <v>780</v>
      </c>
      <c r="T65" s="203"/>
      <c r="U65" s="203"/>
      <c r="V65" s="203"/>
      <c r="W65" s="203"/>
      <c r="X65" s="203"/>
      <c r="Z65" s="479"/>
      <c r="AB65" s="479"/>
      <c r="AC65" s="479"/>
      <c r="AD65" s="479"/>
      <c r="AF65" s="479"/>
      <c r="AG65" s="479"/>
      <c r="AH65" s="479"/>
      <c r="AI65" s="479"/>
      <c r="AJ65" s="479"/>
      <c r="AK65" s="479"/>
      <c r="AL65" s="479"/>
      <c r="AM65" s="479"/>
      <c r="AN65" s="479"/>
      <c r="AO65" s="479"/>
      <c r="AP65" s="479"/>
      <c r="AQ65" s="479"/>
      <c r="AR65" s="479"/>
      <c r="AS65" s="479"/>
      <c r="AT65" s="479"/>
      <c r="AU65" s="479"/>
      <c r="AV65" s="479"/>
      <c r="AW65" s="479"/>
      <c r="AX65" s="479"/>
      <c r="AY65" s="479"/>
      <c r="AZ65" s="479"/>
    </row>
    <row r="66" spans="1:52" ht="14.25" hidden="1" customHeight="1">
      <c r="A66" s="1566"/>
      <c r="B66" s="777" t="str">
        <f>B9</f>
        <v>4D.3</v>
      </c>
      <c r="C66" s="3270" t="s">
        <v>3493</v>
      </c>
      <c r="D66" s="3271"/>
      <c r="E66" s="3271"/>
      <c r="F66" s="3271"/>
      <c r="G66" s="3271"/>
      <c r="H66" s="3271"/>
      <c r="I66" s="3271"/>
      <c r="J66" s="3271"/>
      <c r="K66" s="3271"/>
      <c r="L66" s="3271"/>
      <c r="M66" s="3272"/>
      <c r="N66" s="130"/>
      <c r="O66" s="130"/>
      <c r="S66" s="202">
        <v>1</v>
      </c>
      <c r="T66" s="203"/>
      <c r="U66" s="203"/>
      <c r="V66" s="203"/>
      <c r="W66" s="203"/>
      <c r="X66" s="203"/>
      <c r="Z66" s="479"/>
      <c r="AB66" s="479"/>
      <c r="AC66" s="479"/>
      <c r="AD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row>
    <row r="67" spans="1:52" ht="13.7" hidden="1" customHeight="1">
      <c r="A67" s="1566"/>
      <c r="B67" s="777" t="str">
        <f>B10</f>
        <v>4D.4</v>
      </c>
      <c r="C67" s="3270" t="s">
        <v>3494</v>
      </c>
      <c r="D67" s="3271"/>
      <c r="E67" s="3271"/>
      <c r="F67" s="3271"/>
      <c r="G67" s="3271"/>
      <c r="H67" s="3271"/>
      <c r="I67" s="3271"/>
      <c r="J67" s="3271"/>
      <c r="K67" s="3271"/>
      <c r="L67" s="3271"/>
      <c r="M67" s="3272"/>
      <c r="N67" s="130"/>
      <c r="O67" s="130"/>
      <c r="S67" s="202">
        <v>1</v>
      </c>
      <c r="T67" s="203"/>
      <c r="U67" s="203"/>
      <c r="V67" s="203"/>
      <c r="W67" s="203"/>
      <c r="X67" s="203"/>
      <c r="Z67" s="479"/>
      <c r="AB67" s="479"/>
      <c r="AC67" s="479"/>
      <c r="AD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row>
    <row r="68" spans="1:52" ht="13.7" hidden="1" customHeight="1">
      <c r="A68" s="1566"/>
      <c r="B68" s="777" t="str">
        <f t="shared" ref="B68:B72" si="30">B11</f>
        <v>4D.5</v>
      </c>
      <c r="C68" s="3270" t="s">
        <v>3495</v>
      </c>
      <c r="D68" s="3271"/>
      <c r="E68" s="3271"/>
      <c r="F68" s="3271"/>
      <c r="G68" s="3271"/>
      <c r="H68" s="3271"/>
      <c r="I68" s="3271"/>
      <c r="J68" s="3271"/>
      <c r="K68" s="3271"/>
      <c r="L68" s="3271"/>
      <c r="M68" s="3272"/>
      <c r="N68" s="130"/>
      <c r="O68" s="130"/>
      <c r="S68" s="202">
        <v>1</v>
      </c>
      <c r="T68" s="110"/>
      <c r="U68" s="110"/>
      <c r="V68" s="110"/>
      <c r="W68" s="110"/>
      <c r="X68" s="110"/>
      <c r="Z68" s="479"/>
      <c r="AB68" s="479"/>
      <c r="AC68" s="479"/>
      <c r="AD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row>
    <row r="69" spans="1:52" s="479" customFormat="1" ht="14.25" hidden="1" customHeight="1">
      <c r="A69" s="1566"/>
      <c r="B69" s="777" t="str">
        <f t="shared" si="30"/>
        <v>4D.6</v>
      </c>
      <c r="C69" s="3270" t="s">
        <v>1240</v>
      </c>
      <c r="D69" s="3271"/>
      <c r="E69" s="3271"/>
      <c r="F69" s="3271"/>
      <c r="G69" s="3271"/>
      <c r="H69" s="3271"/>
      <c r="I69" s="3271"/>
      <c r="J69" s="3271"/>
      <c r="K69" s="3271"/>
      <c r="L69" s="3271"/>
      <c r="M69" s="3272"/>
      <c r="N69" s="130"/>
      <c r="O69" s="130"/>
      <c r="P69" s="70"/>
      <c r="Q69" s="70"/>
      <c r="R69" s="71"/>
      <c r="S69" s="202">
        <v>1</v>
      </c>
      <c r="T69" s="110"/>
      <c r="U69" s="110"/>
      <c r="V69" s="110"/>
      <c r="W69" s="110"/>
      <c r="X69" s="110"/>
      <c r="Y69" s="71"/>
      <c r="AA69" s="71"/>
      <c r="AE69" s="71"/>
    </row>
    <row r="70" spans="1:52" hidden="1">
      <c r="A70" s="1566"/>
      <c r="B70" s="777" t="str">
        <f t="shared" si="30"/>
        <v>4D.7</v>
      </c>
      <c r="C70" s="3270" t="s">
        <v>3496</v>
      </c>
      <c r="D70" s="3271"/>
      <c r="E70" s="3271"/>
      <c r="F70" s="3271"/>
      <c r="G70" s="3271"/>
      <c r="H70" s="3271"/>
      <c r="I70" s="3271"/>
      <c r="J70" s="3271"/>
      <c r="K70" s="3271"/>
      <c r="L70" s="3271"/>
      <c r="M70" s="3272"/>
      <c r="N70" s="130"/>
      <c r="O70" s="130"/>
      <c r="S70" s="253">
        <v>1</v>
      </c>
      <c r="T70" s="110"/>
      <c r="U70" s="110"/>
      <c r="V70" s="110"/>
      <c r="W70" s="110"/>
      <c r="X70" s="110"/>
      <c r="Z70" s="479"/>
      <c r="AB70" s="479"/>
      <c r="AC70" s="479"/>
      <c r="AD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row>
    <row r="71" spans="1:52" ht="14.25" hidden="1" customHeight="1">
      <c r="A71" s="1566"/>
      <c r="B71" s="777" t="str">
        <f t="shared" si="30"/>
        <v>4D.8</v>
      </c>
      <c r="C71" s="3270" t="s">
        <v>3497</v>
      </c>
      <c r="D71" s="3271"/>
      <c r="E71" s="3271"/>
      <c r="F71" s="3271"/>
      <c r="G71" s="3271"/>
      <c r="H71" s="3271"/>
      <c r="I71" s="3271"/>
      <c r="J71" s="3271"/>
      <c r="K71" s="3271"/>
      <c r="L71" s="3271"/>
      <c r="M71" s="3272"/>
      <c r="S71" s="253">
        <v>1</v>
      </c>
      <c r="T71" s="110"/>
      <c r="U71" s="110"/>
      <c r="V71" s="110"/>
      <c r="W71" s="110"/>
      <c r="X71" s="110"/>
      <c r="Z71" s="479"/>
      <c r="AB71" s="479"/>
      <c r="AC71" s="479"/>
      <c r="AD71" s="479"/>
      <c r="AF71" s="479"/>
      <c r="AG71" s="479"/>
      <c r="AH71" s="479"/>
      <c r="AI71" s="479"/>
      <c r="AJ71" s="479"/>
      <c r="AK71" s="479"/>
      <c r="AL71" s="479"/>
      <c r="AM71" s="479"/>
      <c r="AN71" s="479"/>
      <c r="AO71" s="479"/>
      <c r="AP71" s="479"/>
      <c r="AQ71" s="479"/>
      <c r="AR71" s="479"/>
      <c r="AS71" s="479"/>
      <c r="AT71" s="479"/>
      <c r="AU71" s="479"/>
      <c r="AV71" s="479"/>
      <c r="AW71" s="479"/>
      <c r="AX71" s="479"/>
      <c r="AY71" s="479"/>
      <c r="AZ71" s="479"/>
    </row>
    <row r="72" spans="1:52" ht="13.7" hidden="1" customHeight="1">
      <c r="A72" s="1566"/>
      <c r="B72" s="777" t="str">
        <f t="shared" si="30"/>
        <v>4D.9</v>
      </c>
      <c r="C72" s="3270" t="s">
        <v>3498</v>
      </c>
      <c r="D72" s="3271"/>
      <c r="E72" s="3271"/>
      <c r="F72" s="3271"/>
      <c r="G72" s="3271"/>
      <c r="H72" s="3271"/>
      <c r="I72" s="3271"/>
      <c r="J72" s="3271"/>
      <c r="K72" s="3271"/>
      <c r="L72" s="3271"/>
      <c r="M72" s="3272"/>
      <c r="S72" s="253">
        <v>1</v>
      </c>
      <c r="T72" s="110"/>
      <c r="U72" s="110"/>
      <c r="V72" s="110"/>
      <c r="W72" s="110"/>
      <c r="X72" s="110"/>
      <c r="Z72" s="479"/>
      <c r="AB72" s="479"/>
      <c r="AC72" s="479"/>
      <c r="AD72" s="479"/>
      <c r="AF72" s="479"/>
      <c r="AG72" s="479"/>
      <c r="AH72" s="479"/>
      <c r="AI72" s="479"/>
      <c r="AJ72" s="479"/>
      <c r="AK72" s="479"/>
      <c r="AL72" s="479"/>
      <c r="AM72" s="479"/>
      <c r="AN72" s="479"/>
      <c r="AO72" s="479"/>
      <c r="AP72" s="479"/>
      <c r="AQ72" s="479"/>
      <c r="AR72" s="479"/>
      <c r="AS72" s="479"/>
      <c r="AT72" s="479"/>
      <c r="AU72" s="479"/>
      <c r="AV72" s="479"/>
      <c r="AW72" s="479"/>
      <c r="AX72" s="479"/>
      <c r="AY72" s="479"/>
      <c r="AZ72" s="479"/>
    </row>
    <row r="73" spans="1:52" hidden="1">
      <c r="A73" s="1566"/>
      <c r="B73" s="777" t="str">
        <f>B17</f>
        <v>4D.10</v>
      </c>
      <c r="C73" s="3270" t="s">
        <v>3499</v>
      </c>
      <c r="D73" s="3271"/>
      <c r="E73" s="3271"/>
      <c r="F73" s="3271"/>
      <c r="G73" s="3271"/>
      <c r="H73" s="3271"/>
      <c r="I73" s="3271"/>
      <c r="J73" s="3271"/>
      <c r="K73" s="3271"/>
      <c r="L73" s="3271"/>
      <c r="M73" s="3272"/>
      <c r="S73" s="202">
        <v>1</v>
      </c>
      <c r="Z73" s="479"/>
      <c r="AB73" s="479"/>
      <c r="AC73" s="479"/>
      <c r="AD73" s="479"/>
      <c r="AF73" s="479"/>
      <c r="AG73" s="479"/>
      <c r="AH73" s="479"/>
      <c r="AI73" s="479"/>
      <c r="AJ73" s="479"/>
      <c r="AK73" s="479"/>
      <c r="AL73" s="479"/>
      <c r="AM73" s="479"/>
      <c r="AN73" s="479"/>
      <c r="AO73" s="479"/>
      <c r="AP73" s="479"/>
      <c r="AQ73" s="479"/>
      <c r="AR73" s="479"/>
      <c r="AS73" s="479"/>
      <c r="AT73" s="479"/>
      <c r="AU73" s="479"/>
      <c r="AV73" s="479"/>
      <c r="AW73" s="479"/>
      <c r="AX73" s="479"/>
      <c r="AY73" s="479"/>
      <c r="AZ73" s="479"/>
    </row>
    <row r="74" spans="1:52" ht="13.7" hidden="1" customHeight="1">
      <c r="A74" s="1566"/>
      <c r="B74" s="777" t="str">
        <f>B18</f>
        <v>4D.11</v>
      </c>
      <c r="C74" s="3270" t="s">
        <v>3500</v>
      </c>
      <c r="D74" s="3271"/>
      <c r="E74" s="3271"/>
      <c r="F74" s="3271"/>
      <c r="G74" s="3271"/>
      <c r="H74" s="3271"/>
      <c r="I74" s="3271"/>
      <c r="J74" s="3271"/>
      <c r="K74" s="3271"/>
      <c r="L74" s="3271"/>
      <c r="M74" s="3272"/>
      <c r="S74" s="158">
        <v>1</v>
      </c>
      <c r="Z74" s="479"/>
      <c r="AB74" s="479"/>
      <c r="AC74" s="479"/>
      <c r="AD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row>
    <row r="75" spans="1:52" ht="23.25" hidden="1" customHeight="1">
      <c r="A75" s="1566"/>
      <c r="B75" s="777" t="str">
        <f t="shared" ref="B75:B82" si="31">B21</f>
        <v>4D.12</v>
      </c>
      <c r="C75" s="3270" t="s">
        <v>1246</v>
      </c>
      <c r="D75" s="3271"/>
      <c r="E75" s="3271"/>
      <c r="F75" s="3271"/>
      <c r="G75" s="3271"/>
      <c r="H75" s="3271"/>
      <c r="I75" s="3271"/>
      <c r="J75" s="3271"/>
      <c r="K75" s="3271"/>
      <c r="L75" s="3271"/>
      <c r="M75" s="3272"/>
      <c r="S75" s="202" t="s">
        <v>197</v>
      </c>
      <c r="Z75" s="479"/>
      <c r="AB75" s="479"/>
      <c r="AC75" s="479"/>
      <c r="AD75" s="479"/>
      <c r="AF75" s="479"/>
      <c r="AG75" s="479"/>
      <c r="AH75" s="479"/>
      <c r="AI75" s="479"/>
      <c r="AJ75" s="479"/>
      <c r="AK75" s="479"/>
      <c r="AL75" s="479"/>
      <c r="AM75" s="479"/>
      <c r="AN75" s="479"/>
      <c r="AO75" s="479"/>
      <c r="AP75" s="479"/>
      <c r="AQ75" s="479"/>
      <c r="AR75" s="479"/>
      <c r="AS75" s="479"/>
      <c r="AT75" s="479"/>
      <c r="AU75" s="479"/>
      <c r="AV75" s="479"/>
      <c r="AW75" s="479"/>
      <c r="AX75" s="479"/>
      <c r="AY75" s="479"/>
      <c r="AZ75" s="479"/>
    </row>
    <row r="76" spans="1:52" ht="23.25" hidden="1" customHeight="1">
      <c r="A76" s="1566"/>
      <c r="B76" s="777" t="str">
        <f t="shared" si="31"/>
        <v>4D.13</v>
      </c>
      <c r="C76" s="3270" t="s">
        <v>1247</v>
      </c>
      <c r="D76" s="3271"/>
      <c r="E76" s="3271"/>
      <c r="F76" s="3271"/>
      <c r="G76" s="3271"/>
      <c r="H76" s="3271"/>
      <c r="I76" s="3271"/>
      <c r="J76" s="3271"/>
      <c r="K76" s="3271"/>
      <c r="L76" s="3271"/>
      <c r="M76" s="3272"/>
      <c r="S76" s="202" t="s">
        <v>197</v>
      </c>
      <c r="Z76" s="479"/>
      <c r="AB76" s="479"/>
      <c r="AC76" s="479"/>
      <c r="AD76" s="479"/>
      <c r="AF76" s="479"/>
      <c r="AG76" s="479"/>
      <c r="AH76" s="479"/>
      <c r="AI76" s="479"/>
      <c r="AJ76" s="479"/>
      <c r="AK76" s="479"/>
      <c r="AL76" s="479"/>
      <c r="AM76" s="479"/>
      <c r="AN76" s="479"/>
      <c r="AO76" s="479"/>
      <c r="AP76" s="479"/>
      <c r="AQ76" s="479"/>
      <c r="AR76" s="479"/>
      <c r="AS76" s="479"/>
      <c r="AT76" s="479"/>
      <c r="AU76" s="479"/>
      <c r="AV76" s="479"/>
      <c r="AW76" s="479"/>
      <c r="AX76" s="479"/>
      <c r="AY76" s="479"/>
      <c r="AZ76" s="479"/>
    </row>
    <row r="77" spans="1:52" ht="14.25" hidden="1" customHeight="1">
      <c r="A77" s="1566"/>
      <c r="B77" s="777" t="str">
        <f t="shared" si="31"/>
        <v>4D.14</v>
      </c>
      <c r="C77" s="3270" t="s">
        <v>3501</v>
      </c>
      <c r="D77" s="3271"/>
      <c r="E77" s="3271"/>
      <c r="F77" s="3271"/>
      <c r="G77" s="3271"/>
      <c r="H77" s="3271"/>
      <c r="I77" s="3271"/>
      <c r="J77" s="3271"/>
      <c r="K77" s="3271"/>
      <c r="L77" s="3271"/>
      <c r="M77" s="3272"/>
      <c r="S77" s="158">
        <v>1</v>
      </c>
      <c r="Z77" s="479"/>
      <c r="AB77" s="479"/>
      <c r="AC77" s="479"/>
      <c r="AD77" s="479"/>
      <c r="AF77" s="479"/>
      <c r="AG77" s="479"/>
      <c r="AH77" s="479"/>
      <c r="AI77" s="479"/>
      <c r="AJ77" s="479"/>
      <c r="AK77" s="479"/>
      <c r="AL77" s="479"/>
      <c r="AM77" s="479"/>
      <c r="AN77" s="479"/>
      <c r="AO77" s="479"/>
      <c r="AP77" s="479"/>
      <c r="AQ77" s="479"/>
      <c r="AR77" s="479"/>
      <c r="AS77" s="479"/>
      <c r="AT77" s="479"/>
      <c r="AU77" s="479"/>
      <c r="AV77" s="479"/>
      <c r="AW77" s="479"/>
      <c r="AX77" s="479"/>
      <c r="AY77" s="479"/>
      <c r="AZ77" s="479"/>
    </row>
    <row r="78" spans="1:52" ht="14.25" hidden="1" customHeight="1">
      <c r="A78" s="1566"/>
      <c r="B78" s="777" t="str">
        <f t="shared" si="31"/>
        <v>4D.15</v>
      </c>
      <c r="C78" s="3270" t="s">
        <v>3502</v>
      </c>
      <c r="D78" s="3271"/>
      <c r="E78" s="3271"/>
      <c r="F78" s="3271"/>
      <c r="G78" s="3271"/>
      <c r="H78" s="3271"/>
      <c r="I78" s="3271"/>
      <c r="J78" s="3271"/>
      <c r="K78" s="3271"/>
      <c r="L78" s="3271"/>
      <c r="M78" s="3272"/>
      <c r="S78" s="158">
        <v>1</v>
      </c>
      <c r="Z78" s="479"/>
      <c r="AB78" s="479"/>
      <c r="AC78" s="479"/>
      <c r="AD78" s="479"/>
      <c r="AF78" s="479"/>
      <c r="AG78" s="479"/>
      <c r="AH78" s="479"/>
      <c r="AI78" s="479"/>
      <c r="AJ78" s="479"/>
      <c r="AK78" s="479"/>
      <c r="AL78" s="479"/>
      <c r="AM78" s="479"/>
      <c r="AN78" s="479"/>
      <c r="AO78" s="479"/>
      <c r="AP78" s="479"/>
      <c r="AQ78" s="479"/>
      <c r="AR78" s="479"/>
      <c r="AS78" s="479"/>
      <c r="AT78" s="479"/>
      <c r="AU78" s="479"/>
      <c r="AV78" s="479"/>
      <c r="AW78" s="479"/>
      <c r="AX78" s="479"/>
      <c r="AY78" s="479"/>
      <c r="AZ78" s="479"/>
    </row>
    <row r="79" spans="1:52" s="479" customFormat="1" ht="46.5" hidden="1" customHeight="1">
      <c r="A79" s="1566"/>
      <c r="B79" s="777" t="str">
        <f t="shared" si="31"/>
        <v>4D.16</v>
      </c>
      <c r="C79" s="3270" t="s">
        <v>3503</v>
      </c>
      <c r="D79" s="3271"/>
      <c r="E79" s="3271"/>
      <c r="F79" s="3271"/>
      <c r="G79" s="3271"/>
      <c r="H79" s="3271"/>
      <c r="I79" s="3271"/>
      <c r="J79" s="3271"/>
      <c r="K79" s="3271"/>
      <c r="L79" s="3271"/>
      <c r="M79" s="3272"/>
      <c r="N79" s="70"/>
      <c r="O79" s="70"/>
      <c r="P79" s="70"/>
      <c r="Q79" s="70"/>
      <c r="R79" s="71"/>
      <c r="S79" s="202" t="s">
        <v>2214</v>
      </c>
      <c r="T79" s="70"/>
      <c r="U79" s="70"/>
      <c r="V79" s="70"/>
      <c r="W79" s="70"/>
      <c r="X79" s="70"/>
      <c r="Y79" s="71"/>
      <c r="AA79" s="71"/>
      <c r="AE79" s="71"/>
    </row>
    <row r="80" spans="1:52" ht="13.7" hidden="1" customHeight="1">
      <c r="A80" s="1566"/>
      <c r="B80" s="777" t="str">
        <f t="shared" si="31"/>
        <v>4D.17</v>
      </c>
      <c r="C80" s="3270" t="s">
        <v>3504</v>
      </c>
      <c r="D80" s="3271"/>
      <c r="E80" s="3271"/>
      <c r="F80" s="3271"/>
      <c r="G80" s="3271"/>
      <c r="H80" s="3271"/>
      <c r="I80" s="3271"/>
      <c r="J80" s="3271"/>
      <c r="K80" s="3271"/>
      <c r="L80" s="3271"/>
      <c r="M80" s="3272"/>
      <c r="S80" s="158">
        <v>1</v>
      </c>
      <c r="Z80" s="479"/>
      <c r="AB80" s="479"/>
      <c r="AC80" s="479"/>
      <c r="AD80" s="479"/>
      <c r="AF80" s="479"/>
      <c r="AG80" s="479"/>
      <c r="AH80" s="479"/>
      <c r="AI80" s="479"/>
      <c r="AJ80" s="479"/>
      <c r="AK80" s="479"/>
      <c r="AL80" s="479"/>
      <c r="AM80" s="479"/>
      <c r="AN80" s="479"/>
      <c r="AO80" s="479"/>
      <c r="AP80" s="479"/>
      <c r="AQ80" s="479"/>
      <c r="AR80" s="479"/>
      <c r="AS80" s="479"/>
      <c r="AT80" s="479"/>
      <c r="AU80" s="479"/>
      <c r="AV80" s="479"/>
      <c r="AW80" s="479"/>
      <c r="AX80" s="479"/>
      <c r="AY80" s="479"/>
      <c r="AZ80" s="479"/>
    </row>
    <row r="81" spans="1:52" hidden="1">
      <c r="A81" s="1566"/>
      <c r="B81" s="777" t="str">
        <f t="shared" si="31"/>
        <v>4D.18</v>
      </c>
      <c r="C81" s="3270" t="s">
        <v>3505</v>
      </c>
      <c r="D81" s="3271"/>
      <c r="E81" s="3271"/>
      <c r="F81" s="3271"/>
      <c r="G81" s="3271"/>
      <c r="H81" s="3271"/>
      <c r="I81" s="3271"/>
      <c r="J81" s="3271"/>
      <c r="K81" s="3271"/>
      <c r="L81" s="3271"/>
      <c r="M81" s="3272"/>
      <c r="S81" s="158">
        <v>1</v>
      </c>
      <c r="Z81" s="479"/>
      <c r="AB81" s="479"/>
      <c r="AC81" s="479"/>
      <c r="AD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row>
    <row r="82" spans="1:52" ht="14.25" hidden="1" customHeight="1">
      <c r="A82" s="1566"/>
      <c r="B82" s="777" t="str">
        <f t="shared" si="31"/>
        <v>4D.19</v>
      </c>
      <c r="C82" s="3270" t="s">
        <v>3506</v>
      </c>
      <c r="D82" s="3271"/>
      <c r="E82" s="3271"/>
      <c r="F82" s="3271"/>
      <c r="G82" s="3271"/>
      <c r="H82" s="3271"/>
      <c r="I82" s="3271"/>
      <c r="J82" s="3271"/>
      <c r="K82" s="3271"/>
      <c r="L82" s="3271"/>
      <c r="M82" s="3272"/>
      <c r="S82" s="158">
        <v>1</v>
      </c>
      <c r="Z82" s="479"/>
      <c r="AB82" s="479"/>
      <c r="AC82" s="479"/>
      <c r="AD82" s="479"/>
      <c r="AF82" s="479"/>
      <c r="AG82" s="479"/>
      <c r="AH82" s="479"/>
      <c r="AI82" s="479"/>
      <c r="AJ82" s="479"/>
      <c r="AK82" s="479"/>
      <c r="AL82" s="479"/>
      <c r="AM82" s="479"/>
      <c r="AN82" s="479"/>
      <c r="AO82" s="479"/>
      <c r="AP82" s="479"/>
      <c r="AQ82" s="479"/>
      <c r="AR82" s="479"/>
      <c r="AS82" s="479"/>
      <c r="AT82" s="479"/>
      <c r="AU82" s="479"/>
      <c r="AV82" s="479"/>
      <c r="AW82" s="479"/>
      <c r="AX82" s="479"/>
      <c r="AY82" s="479"/>
      <c r="AZ82" s="479"/>
    </row>
    <row r="83" spans="1:52" ht="35.450000000000003" hidden="1" customHeight="1">
      <c r="A83" s="1566"/>
      <c r="B83" s="777" t="str">
        <f>B31</f>
        <v>4D.20</v>
      </c>
      <c r="C83" s="3270" t="s">
        <v>3507</v>
      </c>
      <c r="D83" s="3271"/>
      <c r="E83" s="3271"/>
      <c r="F83" s="3271"/>
      <c r="G83" s="3271"/>
      <c r="H83" s="3271"/>
      <c r="I83" s="3271"/>
      <c r="J83" s="3271"/>
      <c r="K83" s="3271"/>
      <c r="L83" s="3271"/>
      <c r="M83" s="3272"/>
      <c r="S83" s="202" t="s">
        <v>780</v>
      </c>
      <c r="Z83" s="479"/>
      <c r="AB83" s="479"/>
      <c r="AC83" s="479"/>
      <c r="AD83" s="479"/>
      <c r="AF83" s="479"/>
      <c r="AG83" s="479"/>
      <c r="AH83" s="479"/>
      <c r="AI83" s="479"/>
      <c r="AJ83" s="479"/>
      <c r="AK83" s="479"/>
      <c r="AL83" s="479"/>
      <c r="AM83" s="479"/>
      <c r="AN83" s="479"/>
      <c r="AO83" s="479"/>
      <c r="AP83" s="479"/>
      <c r="AQ83" s="479"/>
      <c r="AR83" s="479"/>
      <c r="AS83" s="479"/>
      <c r="AT83" s="479"/>
      <c r="AU83" s="479"/>
      <c r="AV83" s="479"/>
      <c r="AW83" s="479"/>
      <c r="AX83" s="479"/>
      <c r="AY83" s="479"/>
      <c r="AZ83" s="479"/>
    </row>
    <row r="84" spans="1:52" ht="14.25" hidden="1" customHeight="1">
      <c r="A84" s="1566"/>
      <c r="B84" s="777" t="str">
        <f t="shared" ref="B84" si="32">B33</f>
        <v>4D.21</v>
      </c>
      <c r="C84" s="3270" t="s">
        <v>3508</v>
      </c>
      <c r="D84" s="3271"/>
      <c r="E84" s="3271"/>
      <c r="F84" s="3271"/>
      <c r="G84" s="3271"/>
      <c r="H84" s="3271"/>
      <c r="I84" s="3271"/>
      <c r="J84" s="3271"/>
      <c r="K84" s="3271"/>
      <c r="L84" s="3271"/>
      <c r="M84" s="3272"/>
      <c r="S84" s="158">
        <v>1</v>
      </c>
      <c r="Z84" s="479"/>
      <c r="AB84" s="479"/>
      <c r="AC84" s="479"/>
      <c r="AD84" s="479"/>
      <c r="AF84" s="479"/>
      <c r="AG84" s="479"/>
      <c r="AH84" s="479"/>
      <c r="AI84" s="479"/>
      <c r="AJ84" s="479"/>
      <c r="AK84" s="479"/>
      <c r="AL84" s="479"/>
      <c r="AM84" s="479"/>
      <c r="AN84" s="479"/>
      <c r="AO84" s="479"/>
      <c r="AP84" s="479"/>
      <c r="AQ84" s="479"/>
      <c r="AR84" s="479"/>
      <c r="AS84" s="479"/>
      <c r="AT84" s="479"/>
      <c r="AU84" s="479"/>
      <c r="AV84" s="479"/>
      <c r="AW84" s="479"/>
      <c r="AX84" s="479"/>
      <c r="AY84" s="479"/>
      <c r="AZ84" s="479"/>
    </row>
    <row r="85" spans="1:52" ht="13.7" hidden="1" customHeight="1">
      <c r="A85" s="1566"/>
      <c r="B85" s="777" t="str">
        <f>B36</f>
        <v>4D.22</v>
      </c>
      <c r="C85" s="3270" t="s">
        <v>1256</v>
      </c>
      <c r="D85" s="3271"/>
      <c r="E85" s="3271"/>
      <c r="F85" s="3271"/>
      <c r="G85" s="3271"/>
      <c r="H85" s="3271"/>
      <c r="I85" s="3271"/>
      <c r="J85" s="3271"/>
      <c r="K85" s="3271"/>
      <c r="L85" s="3271"/>
      <c r="M85" s="3272"/>
      <c r="S85" s="158">
        <v>1</v>
      </c>
      <c r="Z85" s="479"/>
      <c r="AB85" s="479"/>
      <c r="AC85" s="479"/>
      <c r="AD85" s="479"/>
      <c r="AF85" s="479"/>
      <c r="AG85" s="479"/>
      <c r="AH85" s="479"/>
      <c r="AI85" s="479"/>
      <c r="AJ85" s="479"/>
      <c r="AK85" s="479"/>
      <c r="AL85" s="479"/>
      <c r="AM85" s="479"/>
      <c r="AN85" s="479"/>
      <c r="AO85" s="479"/>
      <c r="AP85" s="479"/>
      <c r="AQ85" s="479"/>
      <c r="AR85" s="479"/>
      <c r="AS85" s="479"/>
      <c r="AT85" s="479"/>
      <c r="AU85" s="479"/>
      <c r="AV85" s="479"/>
      <c r="AW85" s="479"/>
      <c r="AX85" s="479"/>
      <c r="AY85" s="479"/>
      <c r="AZ85" s="479"/>
    </row>
    <row r="86" spans="1:52" hidden="1">
      <c r="A86" s="1566"/>
      <c r="B86" s="777" t="str">
        <f>B37</f>
        <v>4D.23</v>
      </c>
      <c r="C86" s="3270" t="s">
        <v>3509</v>
      </c>
      <c r="D86" s="3271"/>
      <c r="E86" s="3271"/>
      <c r="F86" s="3271"/>
      <c r="G86" s="3271"/>
      <c r="H86" s="3271"/>
      <c r="I86" s="3271"/>
      <c r="J86" s="3271"/>
      <c r="K86" s="3271"/>
      <c r="L86" s="3271"/>
      <c r="M86" s="3272"/>
      <c r="S86" s="158">
        <v>1</v>
      </c>
      <c r="Z86" s="479"/>
      <c r="AB86" s="479"/>
      <c r="AC86" s="479"/>
      <c r="AD86" s="479"/>
      <c r="AF86" s="479"/>
      <c r="AG86" s="479"/>
      <c r="AH86" s="479"/>
      <c r="AI86" s="479"/>
      <c r="AJ86" s="479"/>
      <c r="AK86" s="479"/>
      <c r="AL86" s="479"/>
      <c r="AM86" s="479"/>
      <c r="AN86" s="479"/>
      <c r="AO86" s="479"/>
      <c r="AP86" s="479"/>
      <c r="AQ86" s="479"/>
      <c r="AR86" s="479"/>
      <c r="AS86" s="479"/>
      <c r="AT86" s="479"/>
      <c r="AU86" s="479"/>
      <c r="AV86" s="479"/>
      <c r="AW86" s="479"/>
      <c r="AX86" s="479"/>
      <c r="AY86" s="479"/>
      <c r="AZ86" s="479"/>
    </row>
    <row r="87" spans="1:52" ht="14.25" hidden="1" customHeight="1">
      <c r="A87" s="1566"/>
      <c r="B87" s="777" t="str">
        <f>B39</f>
        <v>4D.24</v>
      </c>
      <c r="C87" s="3270" t="s">
        <v>3510</v>
      </c>
      <c r="D87" s="3271"/>
      <c r="E87" s="3271"/>
      <c r="F87" s="3271"/>
      <c r="G87" s="3271"/>
      <c r="H87" s="3271"/>
      <c r="I87" s="3271"/>
      <c r="J87" s="3271"/>
      <c r="K87" s="3271"/>
      <c r="L87" s="3271"/>
      <c r="M87" s="3272"/>
      <c r="S87" s="158">
        <v>1</v>
      </c>
      <c r="Z87" s="479"/>
      <c r="AB87" s="479"/>
      <c r="AC87" s="479"/>
      <c r="AD87" s="479"/>
      <c r="AF87" s="479"/>
      <c r="AG87" s="479"/>
      <c r="AH87" s="479"/>
      <c r="AI87" s="479"/>
      <c r="AJ87" s="479"/>
      <c r="AK87" s="479"/>
      <c r="AL87" s="479"/>
      <c r="AM87" s="479"/>
      <c r="AN87" s="479"/>
      <c r="AO87" s="479"/>
      <c r="AP87" s="479"/>
      <c r="AQ87" s="479"/>
      <c r="AR87" s="479"/>
      <c r="AS87" s="479"/>
      <c r="AT87" s="479"/>
      <c r="AU87" s="479"/>
      <c r="AV87" s="479"/>
      <c r="AW87" s="479"/>
      <c r="AX87" s="479"/>
      <c r="AY87" s="479"/>
      <c r="AZ87" s="479"/>
    </row>
    <row r="88" spans="1:52" s="479" customFormat="1" ht="14.25" hidden="1" customHeight="1">
      <c r="A88" s="1566"/>
      <c r="B88" s="777" t="s">
        <v>3454</v>
      </c>
      <c r="C88" s="3270" t="s">
        <v>3511</v>
      </c>
      <c r="D88" s="3271"/>
      <c r="E88" s="3271"/>
      <c r="F88" s="3271"/>
      <c r="G88" s="3271"/>
      <c r="H88" s="3271"/>
      <c r="I88" s="3271"/>
      <c r="J88" s="3271"/>
      <c r="K88" s="3271"/>
      <c r="L88" s="3271"/>
      <c r="M88" s="3272"/>
      <c r="N88" s="70"/>
      <c r="O88" s="70"/>
      <c r="P88" s="70"/>
      <c r="Q88" s="70"/>
      <c r="R88" s="71"/>
      <c r="S88" s="158">
        <v>1</v>
      </c>
      <c r="T88" s="70"/>
      <c r="U88" s="70"/>
      <c r="V88" s="70"/>
      <c r="W88" s="70"/>
      <c r="X88" s="70"/>
      <c r="Y88" s="71"/>
      <c r="AA88" s="71"/>
      <c r="AE88" s="71"/>
    </row>
    <row r="89" spans="1:52" s="479" customFormat="1" ht="14.25" hidden="1" customHeight="1">
      <c r="A89" s="1566"/>
      <c r="B89" s="777" t="s">
        <v>3512</v>
      </c>
      <c r="C89" s="3270" t="s">
        <v>3513</v>
      </c>
      <c r="D89" s="3271"/>
      <c r="E89" s="3271"/>
      <c r="F89" s="3271"/>
      <c r="G89" s="3271"/>
      <c r="H89" s="3271"/>
      <c r="I89" s="3271"/>
      <c r="J89" s="3271"/>
      <c r="K89" s="3271"/>
      <c r="L89" s="3271"/>
      <c r="M89" s="3272"/>
      <c r="N89" s="70"/>
      <c r="O89" s="70"/>
      <c r="P89" s="70"/>
      <c r="Q89" s="70"/>
      <c r="R89" s="71"/>
      <c r="S89" s="158">
        <v>1</v>
      </c>
      <c r="T89" s="70"/>
      <c r="U89" s="70"/>
      <c r="V89" s="70"/>
      <c r="W89" s="70"/>
      <c r="X89" s="70"/>
      <c r="Y89" s="71"/>
      <c r="AA89" s="71"/>
      <c r="AE89" s="71"/>
    </row>
    <row r="90" spans="1:52" ht="13.7" hidden="1" customHeight="1">
      <c r="A90" s="1566"/>
      <c r="B90" s="777" t="s">
        <v>3514</v>
      </c>
      <c r="C90" s="3270" t="s">
        <v>3515</v>
      </c>
      <c r="D90" s="3271"/>
      <c r="E90" s="3271"/>
      <c r="F90" s="3271"/>
      <c r="G90" s="3271"/>
      <c r="H90" s="3271"/>
      <c r="I90" s="3271"/>
      <c r="J90" s="3271"/>
      <c r="K90" s="3271"/>
      <c r="L90" s="3271"/>
      <c r="M90" s="3272"/>
      <c r="S90" s="158">
        <v>1</v>
      </c>
      <c r="Z90" s="479"/>
      <c r="AB90" s="479"/>
      <c r="AC90" s="479"/>
      <c r="AD90" s="479"/>
      <c r="AF90" s="479"/>
      <c r="AG90" s="479"/>
      <c r="AH90" s="479"/>
      <c r="AI90" s="479"/>
      <c r="AJ90" s="479"/>
      <c r="AK90" s="479"/>
      <c r="AL90" s="479"/>
      <c r="AM90" s="479"/>
      <c r="AN90" s="479"/>
      <c r="AO90" s="479"/>
      <c r="AP90" s="479"/>
      <c r="AQ90" s="479"/>
      <c r="AR90" s="479"/>
      <c r="AS90" s="479"/>
      <c r="AT90" s="479"/>
      <c r="AU90" s="479"/>
      <c r="AV90" s="479"/>
      <c r="AW90" s="479"/>
      <c r="AX90" s="479"/>
      <c r="AY90" s="479"/>
      <c r="AZ90" s="479"/>
    </row>
    <row r="91" spans="1:52" ht="14.25" hidden="1" customHeight="1" thickBot="1">
      <c r="A91" s="1566"/>
      <c r="B91" s="778" t="s">
        <v>3516</v>
      </c>
      <c r="C91" s="3279" t="s">
        <v>3517</v>
      </c>
      <c r="D91" s="3280"/>
      <c r="E91" s="3280"/>
      <c r="F91" s="3280"/>
      <c r="G91" s="3280"/>
      <c r="H91" s="3280"/>
      <c r="I91" s="3280"/>
      <c r="J91" s="3280"/>
      <c r="K91" s="3280"/>
      <c r="L91" s="3280"/>
      <c r="M91" s="3281"/>
      <c r="S91" s="158"/>
      <c r="Z91" s="479"/>
      <c r="AB91" s="479"/>
      <c r="AC91" s="479"/>
      <c r="AD91" s="479"/>
      <c r="AF91" s="479"/>
      <c r="AG91" s="479"/>
      <c r="AH91" s="479"/>
      <c r="AI91" s="479"/>
      <c r="AJ91" s="479"/>
      <c r="AK91" s="479"/>
      <c r="AL91" s="479"/>
      <c r="AM91" s="479"/>
      <c r="AN91" s="479"/>
      <c r="AO91" s="479"/>
      <c r="AP91" s="479"/>
      <c r="AQ91" s="479"/>
      <c r="AR91" s="479"/>
      <c r="AS91" s="479"/>
      <c r="AT91" s="479"/>
      <c r="AU91" s="479"/>
      <c r="AV91" s="479"/>
      <c r="AW91" s="479"/>
      <c r="AX91" s="479"/>
      <c r="AY91" s="479"/>
      <c r="AZ91" s="479"/>
    </row>
    <row r="92" spans="1:52" hidden="1">
      <c r="A92" s="1566"/>
      <c r="B92" s="479"/>
      <c r="C92" s="479"/>
      <c r="E92" s="479"/>
      <c r="F92" s="479"/>
      <c r="G92" s="479"/>
      <c r="H92" s="479"/>
      <c r="I92" s="479"/>
      <c r="J92" s="479"/>
      <c r="K92" s="479"/>
      <c r="L92" s="479"/>
      <c r="M92" s="479"/>
      <c r="S92" s="254"/>
      <c r="Z92" s="479"/>
      <c r="AB92" s="479"/>
      <c r="AC92" s="479"/>
      <c r="AD92" s="479"/>
      <c r="AF92" s="479"/>
      <c r="AG92" s="479"/>
      <c r="AH92" s="479"/>
      <c r="AI92" s="479"/>
      <c r="AJ92" s="479"/>
      <c r="AK92" s="479"/>
      <c r="AL92" s="479"/>
      <c r="AM92" s="479"/>
      <c r="AN92" s="479"/>
      <c r="AO92" s="479"/>
      <c r="AP92" s="479"/>
      <c r="AQ92" s="479"/>
      <c r="AR92" s="479"/>
      <c r="AS92" s="479"/>
      <c r="AT92" s="479"/>
      <c r="AU92" s="479"/>
      <c r="AV92" s="479"/>
      <c r="AW92" s="479"/>
      <c r="AX92" s="479"/>
      <c r="AY92" s="479"/>
      <c r="AZ92" s="479"/>
    </row>
  </sheetData>
  <sheetProtection algorithmName="SHA-512" hashValue="bCaVNg9bfu6pSzX3EUeqhRVb738gKxfbqrZvjZlCTo71fP38j1ns8BIJpjxC4+63tyFL1fhs0oNSkivuOrZZrg==" saltValue="4ZzOMNSX+NoEWm0qWmRobQ==" spinCount="100000" sheet="1" objects="1" scenarios="1"/>
  <mergeCells count="46">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P6:P14">
    <cfRule type="cellIs" dxfId="312" priority="12" operator="equal">
      <formula>0</formula>
    </cfRule>
  </conditionalFormatting>
  <conditionalFormatting sqref="P17">
    <cfRule type="cellIs" dxfId="311" priority="11" operator="equal">
      <formula>0</formula>
    </cfRule>
  </conditionalFormatting>
  <conditionalFormatting sqref="P21:P25">
    <cfRule type="cellIs" dxfId="310" priority="10" operator="equal">
      <formula>0</formula>
    </cfRule>
  </conditionalFormatting>
  <conditionalFormatting sqref="P27">
    <cfRule type="cellIs" dxfId="309" priority="9" operator="equal">
      <formula>0</formula>
    </cfRule>
  </conditionalFormatting>
  <conditionalFormatting sqref="P31">
    <cfRule type="cellIs" dxfId="308" priority="8" operator="equal">
      <formula>0</formula>
    </cfRule>
  </conditionalFormatting>
  <conditionalFormatting sqref="P36:P37">
    <cfRule type="cellIs" dxfId="307" priority="7" operator="equal">
      <formula>0</formula>
    </cfRule>
  </conditionalFormatting>
  <conditionalFormatting sqref="P42:P47">
    <cfRule type="cellIs" dxfId="306" priority="6" operator="equal">
      <formula>0</formula>
    </cfRule>
  </conditionalFormatting>
  <conditionalFormatting sqref="P49">
    <cfRule type="cellIs" dxfId="305" priority="4" operator="equal">
      <formula>0</formula>
    </cfRule>
  </conditionalFormatting>
  <conditionalFormatting sqref="O31">
    <cfRule type="cellIs" dxfId="30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BO96"/>
  <sheetViews>
    <sheetView workbookViewId="0">
      <pane xSplit="6" ySplit="4" topLeftCell="G5" activePane="bottomRight" state="frozen"/>
      <selection pane="topRight" activeCell="J55" sqref="J55"/>
      <selection pane="bottomLeft" activeCell="J55" sqref="J55"/>
      <selection pane="bottomRight" activeCell="L23" sqref="L23"/>
    </sheetView>
  </sheetViews>
  <sheetFormatPr defaultColWidth="0" defaultRowHeight="14.25" zeroHeight="1"/>
  <cols>
    <col min="1" max="1" width="0.5" style="8" customWidth="1"/>
    <col min="2" max="2" width="7.125" style="8" customWidth="1"/>
    <col min="3" max="3" width="59.5" style="8" customWidth="1"/>
    <col min="4" max="4" width="1.125" style="479" hidden="1" customWidth="1"/>
    <col min="5" max="6" width="5.125" style="8" customWidth="1"/>
    <col min="7" max="15" width="12.5" style="8" customWidth="1"/>
    <col min="16" max="16" width="2.5" style="70" customWidth="1"/>
    <col min="17" max="17" width="29.5" style="70" customWidth="1"/>
    <col min="18" max="18" width="26.5" style="70" customWidth="1"/>
    <col min="19" max="19" width="1.5" style="70" customWidth="1"/>
    <col min="20" max="20" width="1.5" style="71" hidden="1" customWidth="1"/>
    <col min="21" max="28" width="4.5" style="70" hidden="1" customWidth="1"/>
    <col min="29" max="29" width="1.5" style="71" hidden="1" customWidth="1"/>
    <col min="30" max="30" width="10.125" style="479" hidden="1" customWidth="1"/>
    <col min="31" max="31" width="1.5" style="71" hidden="1" customWidth="1"/>
    <col min="32" max="33" width="6.125" style="479" hidden="1" customWidth="1"/>
    <col min="34" max="34" width="64.125" style="479" hidden="1" customWidth="1"/>
    <col min="35" max="35" width="1.5" style="71" hidden="1" customWidth="1"/>
    <col min="36" max="51" width="8.5" style="8" hidden="1" customWidth="1"/>
    <col min="52" max="52" width="8.5" style="8" customWidth="1"/>
    <col min="53" max="53" width="7.125" style="479" customWidth="1"/>
    <col min="54" max="54" width="59.5" style="479" customWidth="1"/>
    <col min="55" max="55" width="1.125" style="479" hidden="1" customWidth="1"/>
    <col min="56" max="57" width="5.125" style="479" customWidth="1"/>
    <col min="58" max="66" width="12.5" style="479" customWidth="1"/>
    <col min="67" max="67" width="2.5" style="8" customWidth="1"/>
    <col min="68" max="16384" width="8.5" style="8" hidden="1"/>
  </cols>
  <sheetData>
    <row r="1" spans="2:66" ht="20.25">
      <c r="B1" s="66" t="s">
        <v>3518</v>
      </c>
      <c r="C1" s="66"/>
      <c r="D1" s="66"/>
      <c r="E1" s="66"/>
      <c r="F1" s="66"/>
      <c r="G1" s="66"/>
      <c r="H1" s="66"/>
      <c r="I1" s="66"/>
      <c r="J1" s="66"/>
      <c r="K1" s="66"/>
      <c r="L1" s="66"/>
      <c r="M1" s="66"/>
      <c r="N1" s="66"/>
      <c r="O1" s="68" t="str">
        <f>Validation!B3</f>
        <v>Yorkshire Water</v>
      </c>
      <c r="P1" s="66"/>
      <c r="Q1" s="66"/>
      <c r="R1" s="69" t="s">
        <v>34</v>
      </c>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6"/>
      <c r="BL1" s="66"/>
      <c r="BM1" s="66"/>
      <c r="BN1" s="68"/>
    </row>
    <row r="2" spans="2:66" ht="15" thickBot="1">
      <c r="B2" s="73" t="str">
        <f>'4D'!B2</f>
        <v>For the 12 months ended 31 March 2020</v>
      </c>
      <c r="C2" s="70"/>
      <c r="D2" s="70"/>
      <c r="E2" s="70"/>
      <c r="F2" s="70"/>
      <c r="G2" s="70"/>
      <c r="H2" s="70"/>
      <c r="I2" s="70"/>
      <c r="J2" s="70"/>
      <c r="K2" s="70"/>
      <c r="L2" s="70"/>
      <c r="M2" s="70"/>
      <c r="N2" s="70"/>
      <c r="O2" s="70"/>
      <c r="AJ2" s="479"/>
      <c r="AK2" s="479"/>
      <c r="AL2" s="479"/>
      <c r="AM2" s="479"/>
      <c r="AN2" s="479"/>
      <c r="AO2" s="479"/>
      <c r="AP2" s="479"/>
      <c r="AQ2" s="479"/>
      <c r="AR2" s="479"/>
      <c r="AS2" s="479"/>
      <c r="AT2" s="479"/>
      <c r="AU2" s="479"/>
      <c r="AV2" s="479"/>
      <c r="AW2" s="479"/>
      <c r="AX2" s="479"/>
      <c r="AY2" s="479"/>
      <c r="AZ2" s="479"/>
      <c r="BA2" s="73" t="str">
        <f>+B2</f>
        <v>For the 12 months ended 31 March 2020</v>
      </c>
      <c r="BB2" s="70"/>
      <c r="BC2" s="70"/>
      <c r="BD2" s="70"/>
      <c r="BE2" s="70"/>
      <c r="BF2" s="70"/>
      <c r="BG2" s="70"/>
      <c r="BH2" s="70"/>
      <c r="BI2" s="70"/>
      <c r="BJ2" s="70"/>
      <c r="BK2" s="70"/>
      <c r="BL2" s="70"/>
      <c r="BM2" s="70"/>
      <c r="BN2" s="70"/>
    </row>
    <row r="3" spans="2:66" ht="15" customHeight="1">
      <c r="B3" s="3057" t="s">
        <v>36</v>
      </c>
      <c r="C3" s="3058"/>
      <c r="D3" s="2985" t="s">
        <v>3098</v>
      </c>
      <c r="E3" s="3061" t="s">
        <v>38</v>
      </c>
      <c r="F3" s="3063" t="s">
        <v>39</v>
      </c>
      <c r="G3" s="3261" t="s">
        <v>3519</v>
      </c>
      <c r="H3" s="3262"/>
      <c r="I3" s="3283"/>
      <c r="J3" s="3282" t="s">
        <v>3520</v>
      </c>
      <c r="K3" s="3283"/>
      <c r="L3" s="3282" t="s">
        <v>911</v>
      </c>
      <c r="M3" s="3262"/>
      <c r="N3" s="3283"/>
      <c r="O3" s="3259" t="s">
        <v>710</v>
      </c>
      <c r="Q3" s="3070" t="s">
        <v>705</v>
      </c>
      <c r="R3" s="3070" t="s">
        <v>43</v>
      </c>
      <c r="AJ3" s="479"/>
      <c r="AK3" s="479"/>
      <c r="AL3" s="479"/>
      <c r="AM3" s="479"/>
      <c r="AN3" s="479"/>
      <c r="AO3" s="479"/>
      <c r="AP3" s="479"/>
      <c r="AQ3" s="479"/>
      <c r="AR3" s="479"/>
      <c r="AS3" s="479"/>
      <c r="AT3" s="479"/>
      <c r="AU3" s="479"/>
      <c r="AV3" s="479"/>
      <c r="AW3" s="479"/>
      <c r="AX3" s="479"/>
      <c r="AY3" s="479"/>
      <c r="AZ3" s="479"/>
      <c r="BA3" s="3057" t="s">
        <v>36</v>
      </c>
      <c r="BB3" s="3058"/>
      <c r="BC3" s="2985" t="s">
        <v>3098</v>
      </c>
      <c r="BD3" s="3061" t="s">
        <v>38</v>
      </c>
      <c r="BE3" s="3063" t="s">
        <v>39</v>
      </c>
      <c r="BF3" s="3261" t="s">
        <v>3519</v>
      </c>
      <c r="BG3" s="3262"/>
      <c r="BH3" s="3283"/>
      <c r="BI3" s="3282" t="s">
        <v>3520</v>
      </c>
      <c r="BJ3" s="3283"/>
      <c r="BK3" s="3282" t="s">
        <v>911</v>
      </c>
      <c r="BL3" s="3262"/>
      <c r="BM3" s="3283"/>
      <c r="BN3" s="3259" t="s">
        <v>710</v>
      </c>
    </row>
    <row r="4" spans="2:66" ht="41.25" customHeight="1" thickBot="1">
      <c r="B4" s="3059"/>
      <c r="C4" s="3060"/>
      <c r="D4" s="2986"/>
      <c r="E4" s="3062"/>
      <c r="F4" s="3064"/>
      <c r="G4" s="211" t="s">
        <v>3521</v>
      </c>
      <c r="H4" s="212" t="s">
        <v>3522</v>
      </c>
      <c r="I4" s="213" t="s">
        <v>3523</v>
      </c>
      <c r="J4" s="214" t="s">
        <v>3524</v>
      </c>
      <c r="K4" s="213" t="s">
        <v>3525</v>
      </c>
      <c r="L4" s="214" t="s">
        <v>3526</v>
      </c>
      <c r="M4" s="212" t="s">
        <v>3527</v>
      </c>
      <c r="N4" s="213" t="s">
        <v>3528</v>
      </c>
      <c r="O4" s="3260"/>
      <c r="Q4" s="3071"/>
      <c r="R4" s="3071"/>
      <c r="U4" s="3072" t="s">
        <v>47</v>
      </c>
      <c r="V4" s="3072"/>
      <c r="W4" s="3072"/>
      <c r="X4" s="3072"/>
      <c r="Y4" s="3072"/>
      <c r="Z4" s="3072"/>
      <c r="AA4" s="3072"/>
      <c r="AB4" s="3072"/>
      <c r="AD4" s="2987" t="s">
        <v>26</v>
      </c>
      <c r="AF4" s="76" t="s">
        <v>904</v>
      </c>
      <c r="AG4" s="1558"/>
      <c r="AH4" s="1558"/>
      <c r="AJ4" s="479"/>
      <c r="AK4" s="479"/>
      <c r="AL4" s="479"/>
      <c r="AM4" s="479"/>
      <c r="AN4" s="479"/>
      <c r="AO4" s="479"/>
      <c r="AP4" s="479"/>
      <c r="AQ4" s="479"/>
      <c r="AR4" s="479"/>
      <c r="AS4" s="479"/>
      <c r="AT4" s="479"/>
      <c r="AU4" s="479"/>
      <c r="AV4" s="479"/>
      <c r="AW4" s="479"/>
      <c r="AX4" s="479"/>
      <c r="AY4" s="479"/>
      <c r="AZ4" s="479"/>
      <c r="BA4" s="3059"/>
      <c r="BB4" s="3060"/>
      <c r="BC4" s="2986"/>
      <c r="BD4" s="3062"/>
      <c r="BE4" s="3064"/>
      <c r="BF4" s="211" t="s">
        <v>3521</v>
      </c>
      <c r="BG4" s="212" t="s">
        <v>3522</v>
      </c>
      <c r="BH4" s="213" t="s">
        <v>3523</v>
      </c>
      <c r="BI4" s="214" t="s">
        <v>3524</v>
      </c>
      <c r="BJ4" s="213" t="s">
        <v>3525</v>
      </c>
      <c r="BK4" s="214" t="s">
        <v>3526</v>
      </c>
      <c r="BL4" s="212" t="s">
        <v>3527</v>
      </c>
      <c r="BM4" s="213" t="s">
        <v>3528</v>
      </c>
      <c r="BN4" s="3260"/>
    </row>
    <row r="5" spans="2:66" ht="15" customHeight="1" thickBot="1">
      <c r="B5" s="70"/>
      <c r="C5" s="70"/>
      <c r="D5" s="70"/>
      <c r="E5" s="70"/>
      <c r="F5" s="70"/>
      <c r="G5" s="70"/>
      <c r="H5" s="70"/>
      <c r="I5" s="70"/>
      <c r="J5" s="70"/>
      <c r="K5" s="70"/>
      <c r="L5" s="70"/>
      <c r="M5" s="70"/>
      <c r="N5" s="70"/>
      <c r="O5" s="70"/>
      <c r="U5" s="3267"/>
      <c r="V5" s="3267"/>
      <c r="W5" s="3267"/>
      <c r="X5" s="3267"/>
      <c r="Y5" s="3267"/>
      <c r="Z5" s="3267"/>
      <c r="AA5" s="3267"/>
      <c r="AB5" s="3267"/>
      <c r="AD5" s="3022"/>
      <c r="AF5" s="3022"/>
      <c r="AG5" s="82"/>
      <c r="AH5" s="82"/>
      <c r="AJ5" s="479"/>
      <c r="AK5" s="479"/>
      <c r="AL5" s="479"/>
      <c r="AM5" s="479"/>
      <c r="AN5" s="479"/>
      <c r="AO5" s="479"/>
      <c r="AP5" s="479"/>
      <c r="AQ5" s="479"/>
      <c r="AR5" s="479"/>
      <c r="AS5" s="479"/>
      <c r="AT5" s="479"/>
      <c r="AU5" s="479"/>
      <c r="AV5" s="479"/>
      <c r="AW5" s="479"/>
      <c r="AX5" s="479"/>
      <c r="AY5" s="479"/>
      <c r="AZ5" s="479"/>
      <c r="BA5" s="70"/>
      <c r="BB5" s="70"/>
      <c r="BC5" s="70"/>
      <c r="BD5" s="70"/>
      <c r="BE5" s="70"/>
      <c r="BF5" s="70"/>
      <c r="BG5" s="70"/>
      <c r="BH5" s="70"/>
      <c r="BI5" s="70"/>
      <c r="BJ5" s="70"/>
      <c r="BK5" s="70"/>
      <c r="BL5" s="70"/>
      <c r="BM5" s="70"/>
      <c r="BN5" s="70"/>
    </row>
    <row r="6" spans="2:66" s="70" customFormat="1" ht="15" thickBot="1">
      <c r="B6" s="113" t="s">
        <v>155</v>
      </c>
      <c r="C6" s="114" t="s">
        <v>941</v>
      </c>
      <c r="D6" s="1505"/>
      <c r="R6" s="24">
        <f xml:space="preserve"> IF( SUM( T6:AC6 ) = 0, 0, $O$9 )</f>
        <v>0</v>
      </c>
      <c r="T6" s="71"/>
      <c r="U6" s="164" t="s">
        <v>48</v>
      </c>
      <c r="V6" s="164"/>
      <c r="W6" s="164"/>
      <c r="X6" s="164"/>
      <c r="Y6" s="164"/>
      <c r="Z6" s="164"/>
      <c r="AA6" s="203"/>
      <c r="AB6" s="203"/>
      <c r="AC6" s="71"/>
      <c r="AD6" s="479"/>
      <c r="AE6" s="71"/>
      <c r="AF6" s="479"/>
      <c r="AG6" s="479"/>
      <c r="AH6" s="479"/>
      <c r="AI6" s="71"/>
      <c r="BA6" s="113" t="s">
        <v>155</v>
      </c>
      <c r="BB6" s="114" t="s">
        <v>941</v>
      </c>
      <c r="BC6" s="1505"/>
    </row>
    <row r="7" spans="2:66" ht="14.25" customHeight="1">
      <c r="B7" s="86" t="s">
        <v>3529</v>
      </c>
      <c r="C7" s="117" t="s">
        <v>1042</v>
      </c>
      <c r="D7" s="117"/>
      <c r="E7" s="88" t="s">
        <v>51</v>
      </c>
      <c r="F7" s="89">
        <v>3</v>
      </c>
      <c r="G7" s="423">
        <v>1.768</v>
      </c>
      <c r="H7" s="424">
        <v>1.944</v>
      </c>
      <c r="I7" s="414">
        <v>0.82499999999999996</v>
      </c>
      <c r="J7" s="413">
        <v>28.495999999999999</v>
      </c>
      <c r="K7" s="414">
        <v>0.20899999999999999</v>
      </c>
      <c r="L7" s="413">
        <v>0</v>
      </c>
      <c r="M7" s="424">
        <v>-3.0710000000000002</v>
      </c>
      <c r="N7" s="414">
        <v>0</v>
      </c>
      <c r="O7" s="199">
        <f t="shared" ref="O7:O15" si="0">SUM(G7:N7)</f>
        <v>30.171000000000003</v>
      </c>
      <c r="R7" s="24">
        <f xml:space="preserve"> IF( SUM( T7:AC7 ) = 0, 0, $U$6 )</f>
        <v>0</v>
      </c>
      <c r="U7" s="93">
        <f>IF(Validation!$H$3=1,0,IF(ISNUMBER(G7),0,1))</f>
        <v>0</v>
      </c>
      <c r="V7" s="93">
        <f>IF(Validation!$H$3=1,0,IF(ISNUMBER(H7),0,1))</f>
        <v>0</v>
      </c>
      <c r="W7" s="93">
        <f>IF(Validation!$H$3=1,0,IF(ISNUMBER(I7),0,1))</f>
        <v>0</v>
      </c>
      <c r="X7" s="93">
        <f>IF(Validation!$H$3=1,0,IF(ISNUMBER(J7),0,1))</f>
        <v>0</v>
      </c>
      <c r="Y7" s="93">
        <f>IF(Validation!$H$3=1,0,IF(ISNUMBER(K7),0,1))</f>
        <v>0</v>
      </c>
      <c r="Z7" s="93">
        <f>IF(Validation!$H$3=1,0,IF(ISNUMBER(L7),0,1))</f>
        <v>0</v>
      </c>
      <c r="AA7" s="93">
        <f>IF(Validation!$H$3=1,0,IF(ISNUMBER(M7),0,1))</f>
        <v>0</v>
      </c>
      <c r="AB7" s="93">
        <f>IF(Validation!$H$3=1,0,IF(ISNUMBER(N7),0,1))</f>
        <v>0</v>
      </c>
      <c r="AJ7" s="479"/>
      <c r="AK7" s="479"/>
      <c r="AL7" s="479"/>
      <c r="AM7" s="479"/>
      <c r="AN7" s="479"/>
      <c r="AO7" s="479"/>
      <c r="AP7" s="479"/>
      <c r="AQ7" s="479"/>
      <c r="AR7" s="479"/>
      <c r="AS7" s="479"/>
      <c r="AT7" s="479"/>
      <c r="AU7" s="479"/>
      <c r="AV7" s="479"/>
      <c r="AW7" s="479"/>
      <c r="AX7" s="479"/>
      <c r="AY7" s="479"/>
      <c r="AZ7" s="479"/>
      <c r="BA7" s="86" t="s">
        <v>3529</v>
      </c>
      <c r="BB7" s="117" t="s">
        <v>1042</v>
      </c>
      <c r="BC7" s="117"/>
      <c r="BD7" s="88" t="s">
        <v>51</v>
      </c>
      <c r="BE7" s="89">
        <v>3</v>
      </c>
      <c r="BF7" s="2575" t="s">
        <v>3530</v>
      </c>
      <c r="BG7" s="2517" t="s">
        <v>3531</v>
      </c>
      <c r="BH7" s="2660" t="s">
        <v>3532</v>
      </c>
      <c r="BI7" s="2516" t="s">
        <v>3533</v>
      </c>
      <c r="BJ7" s="2660" t="s">
        <v>3534</v>
      </c>
      <c r="BK7" s="2516" t="s">
        <v>3535</v>
      </c>
      <c r="BL7" s="2517" t="s">
        <v>3536</v>
      </c>
      <c r="BM7" s="2660" t="s">
        <v>3537</v>
      </c>
      <c r="BN7" s="199" t="s">
        <v>3538</v>
      </c>
    </row>
    <row r="8" spans="2:66" ht="14.25" customHeight="1">
      <c r="B8" s="94" t="s">
        <v>3539</v>
      </c>
      <c r="C8" s="87" t="s">
        <v>1050</v>
      </c>
      <c r="D8" s="87"/>
      <c r="E8" s="95" t="s">
        <v>51</v>
      </c>
      <c r="F8" s="96">
        <v>3</v>
      </c>
      <c r="G8" s="425">
        <v>0</v>
      </c>
      <c r="H8" s="412">
        <v>0</v>
      </c>
      <c r="I8" s="415">
        <v>0</v>
      </c>
      <c r="J8" s="411">
        <v>0</v>
      </c>
      <c r="K8" s="415">
        <v>0</v>
      </c>
      <c r="L8" s="411">
        <v>0</v>
      </c>
      <c r="M8" s="412">
        <v>-2.262</v>
      </c>
      <c r="N8" s="415">
        <v>0</v>
      </c>
      <c r="O8" s="241">
        <f t="shared" si="0"/>
        <v>-2.262</v>
      </c>
      <c r="R8" s="24">
        <f t="shared" ref="R8:R14" si="1" xml:space="preserve"> IF( SUM( T8:AC8 ) = 0, 0, $U$6 )</f>
        <v>0</v>
      </c>
      <c r="U8" s="93">
        <f>IF(Validation!$H$3=1,0,IF(ISNUMBER(G8),0,1))</f>
        <v>0</v>
      </c>
      <c r="V8" s="93">
        <f>IF(Validation!$H$3=1,0,IF(ISNUMBER(H8),0,1))</f>
        <v>0</v>
      </c>
      <c r="W8" s="93">
        <f>IF(Validation!$H$3=1,0,IF(ISNUMBER(I8),0,1))</f>
        <v>0</v>
      </c>
      <c r="X8" s="93">
        <f>IF(Validation!$H$3=1,0,IF(ISNUMBER(J8),0,1))</f>
        <v>0</v>
      </c>
      <c r="Y8" s="93">
        <f>IF(Validation!$H$3=1,0,IF(ISNUMBER(K8),0,1))</f>
        <v>0</v>
      </c>
      <c r="Z8" s="93">
        <f>IF(Validation!$H$3=1,0,IF(ISNUMBER(L8),0,1))</f>
        <v>0</v>
      </c>
      <c r="AA8" s="93">
        <f>IF(Validation!$H$3=1,0,IF(ISNUMBER(M8),0,1))</f>
        <v>0</v>
      </c>
      <c r="AB8" s="93">
        <f>IF(Validation!$H$3=1,0,IF(ISNUMBER(N8),0,1))</f>
        <v>0</v>
      </c>
      <c r="AJ8" s="479"/>
      <c r="AK8" s="479"/>
      <c r="AL8" s="479"/>
      <c r="AM8" s="479"/>
      <c r="AN8" s="479"/>
      <c r="AO8" s="479"/>
      <c r="AP8" s="479"/>
      <c r="AQ8" s="479"/>
      <c r="AR8" s="479"/>
      <c r="AS8" s="479"/>
      <c r="AT8" s="479"/>
      <c r="AU8" s="479"/>
      <c r="AV8" s="479"/>
      <c r="AW8" s="479"/>
      <c r="AX8" s="479"/>
      <c r="AY8" s="479"/>
      <c r="AZ8" s="479"/>
      <c r="BA8" s="94" t="s">
        <v>3539</v>
      </c>
      <c r="BB8" s="87" t="s">
        <v>1050</v>
      </c>
      <c r="BC8" s="87"/>
      <c r="BD8" s="95" t="s">
        <v>51</v>
      </c>
      <c r="BE8" s="96">
        <v>3</v>
      </c>
      <c r="BF8" s="2532" t="s">
        <v>3540</v>
      </c>
      <c r="BG8" s="2520" t="s">
        <v>3541</v>
      </c>
      <c r="BH8" s="2661" t="s">
        <v>3542</v>
      </c>
      <c r="BI8" s="2519" t="s">
        <v>3543</v>
      </c>
      <c r="BJ8" s="2661" t="s">
        <v>3544</v>
      </c>
      <c r="BK8" s="2519" t="s">
        <v>3545</v>
      </c>
      <c r="BL8" s="2520" t="s">
        <v>3546</v>
      </c>
      <c r="BM8" s="2661" t="s">
        <v>3547</v>
      </c>
      <c r="BN8" s="241" t="s">
        <v>3548</v>
      </c>
    </row>
    <row r="9" spans="2:66" ht="14.25" customHeight="1">
      <c r="B9" s="94" t="s">
        <v>3549</v>
      </c>
      <c r="C9" s="87" t="s">
        <v>3550</v>
      </c>
      <c r="D9" s="87"/>
      <c r="E9" s="95" t="s">
        <v>51</v>
      </c>
      <c r="F9" s="96">
        <v>3</v>
      </c>
      <c r="G9" s="425">
        <v>0.68100000000000005</v>
      </c>
      <c r="H9" s="412">
        <v>0.751</v>
      </c>
      <c r="I9" s="415">
        <v>0.58299999999999996</v>
      </c>
      <c r="J9" s="411">
        <v>4.2489999999999997</v>
      </c>
      <c r="K9" s="415">
        <v>0</v>
      </c>
      <c r="L9" s="411">
        <v>0</v>
      </c>
      <c r="M9" s="412">
        <v>0</v>
      </c>
      <c r="N9" s="415">
        <v>0</v>
      </c>
      <c r="O9" s="241">
        <f t="shared" si="0"/>
        <v>6.2639999999999993</v>
      </c>
      <c r="R9" s="24">
        <f t="shared" si="1"/>
        <v>0</v>
      </c>
      <c r="U9" s="93">
        <f>IF(Validation!$H$3=1,0,IF(ISNUMBER(G9),0,1))</f>
        <v>0</v>
      </c>
      <c r="V9" s="93">
        <f>IF(Validation!$H$3=1,0,IF(ISNUMBER(H9),0,1))</f>
        <v>0</v>
      </c>
      <c r="W9" s="93">
        <f>IF(Validation!$H$3=1,0,IF(ISNUMBER(I9),0,1))</f>
        <v>0</v>
      </c>
      <c r="X9" s="93">
        <f>IF(Validation!$H$3=1,0,IF(ISNUMBER(J9),0,1))</f>
        <v>0</v>
      </c>
      <c r="Y9" s="93">
        <f>IF(Validation!$H$3=1,0,IF(ISNUMBER(K9),0,1))</f>
        <v>0</v>
      </c>
      <c r="Z9" s="93">
        <f>IF(Validation!$H$3=1,0,IF(ISNUMBER(L9),0,1))</f>
        <v>0</v>
      </c>
      <c r="AA9" s="93">
        <f>IF(Validation!$H$3=1,0,IF(ISNUMBER(M9),0,1))</f>
        <v>0</v>
      </c>
      <c r="AB9" s="93">
        <f>IF(Validation!$H$3=1,0,IF(ISNUMBER(N9),0,1))</f>
        <v>0</v>
      </c>
      <c r="AJ9" s="479"/>
      <c r="AK9" s="479"/>
      <c r="AL9" s="479"/>
      <c r="AM9" s="479"/>
      <c r="AN9" s="479"/>
      <c r="AO9" s="479"/>
      <c r="AP9" s="479"/>
      <c r="AQ9" s="479"/>
      <c r="AR9" s="479"/>
      <c r="AS9" s="479"/>
      <c r="AT9" s="479"/>
      <c r="AU9" s="479"/>
      <c r="AV9" s="479"/>
      <c r="AW9" s="479"/>
      <c r="AX9" s="479"/>
      <c r="AY9" s="479"/>
      <c r="AZ9" s="479"/>
      <c r="BA9" s="94" t="s">
        <v>3549</v>
      </c>
      <c r="BB9" s="87" t="s">
        <v>3550</v>
      </c>
      <c r="BC9" s="87"/>
      <c r="BD9" s="95" t="s">
        <v>51</v>
      </c>
      <c r="BE9" s="96">
        <v>3</v>
      </c>
      <c r="BF9" s="2532" t="s">
        <v>3551</v>
      </c>
      <c r="BG9" s="2520" t="s">
        <v>3552</v>
      </c>
      <c r="BH9" s="2661" t="s">
        <v>3553</v>
      </c>
      <c r="BI9" s="2519" t="s">
        <v>3554</v>
      </c>
      <c r="BJ9" s="2661" t="s">
        <v>3555</v>
      </c>
      <c r="BK9" s="2519" t="s">
        <v>3556</v>
      </c>
      <c r="BL9" s="2520" t="s">
        <v>3557</v>
      </c>
      <c r="BM9" s="2661" t="s">
        <v>3558</v>
      </c>
      <c r="BN9" s="241" t="s">
        <v>3559</v>
      </c>
    </row>
    <row r="10" spans="2:66" ht="14.25" customHeight="1">
      <c r="B10" s="94" t="s">
        <v>3560</v>
      </c>
      <c r="C10" s="87" t="s">
        <v>3561</v>
      </c>
      <c r="D10" s="87"/>
      <c r="E10" s="95" t="s">
        <v>51</v>
      </c>
      <c r="F10" s="96">
        <v>3</v>
      </c>
      <c r="G10" s="425">
        <v>0</v>
      </c>
      <c r="H10" s="412">
        <v>0</v>
      </c>
      <c r="I10" s="415">
        <v>0</v>
      </c>
      <c r="J10" s="411">
        <v>0</v>
      </c>
      <c r="K10" s="415">
        <v>0</v>
      </c>
      <c r="L10" s="411">
        <v>0</v>
      </c>
      <c r="M10" s="412">
        <v>0</v>
      </c>
      <c r="N10" s="415">
        <v>0</v>
      </c>
      <c r="O10" s="241">
        <f t="shared" si="0"/>
        <v>0</v>
      </c>
      <c r="R10" s="24">
        <f t="shared" si="1"/>
        <v>0</v>
      </c>
      <c r="U10" s="93">
        <f>IF(Validation!$H$3=1,0,IF(ISNUMBER(G10),0,1))</f>
        <v>0</v>
      </c>
      <c r="V10" s="93">
        <f>IF(Validation!$H$3=1,0,IF(ISNUMBER(H10),0,1))</f>
        <v>0</v>
      </c>
      <c r="W10" s="93">
        <f>IF(Validation!$H$3=1,0,IF(ISNUMBER(I10),0,1))</f>
        <v>0</v>
      </c>
      <c r="X10" s="93">
        <f>IF(Validation!$H$3=1,0,IF(ISNUMBER(J10),0,1))</f>
        <v>0</v>
      </c>
      <c r="Y10" s="93">
        <f>IF(Validation!$H$3=1,0,IF(ISNUMBER(K10),0,1))</f>
        <v>0</v>
      </c>
      <c r="Z10" s="93">
        <f>IF(Validation!$H$3=1,0,IF(ISNUMBER(L10),0,1))</f>
        <v>0</v>
      </c>
      <c r="AA10" s="93">
        <f>IF(Validation!$H$3=1,0,IF(ISNUMBER(M10),0,1))</f>
        <v>0</v>
      </c>
      <c r="AB10" s="93">
        <f>IF(Validation!$H$3=1,0,IF(ISNUMBER(N10),0,1))</f>
        <v>0</v>
      </c>
      <c r="AJ10" s="479"/>
      <c r="AK10" s="479"/>
      <c r="AL10" s="479"/>
      <c r="AM10" s="479"/>
      <c r="AN10" s="479"/>
      <c r="AO10" s="479"/>
      <c r="AP10" s="479"/>
      <c r="AQ10" s="479"/>
      <c r="AR10" s="479"/>
      <c r="AS10" s="479"/>
      <c r="AT10" s="479"/>
      <c r="AU10" s="479"/>
      <c r="AV10" s="479"/>
      <c r="AW10" s="479"/>
      <c r="AX10" s="479"/>
      <c r="AY10" s="479"/>
      <c r="AZ10" s="479"/>
      <c r="BA10" s="94" t="s">
        <v>3560</v>
      </c>
      <c r="BB10" s="87" t="s">
        <v>3561</v>
      </c>
      <c r="BC10" s="87"/>
      <c r="BD10" s="95" t="s">
        <v>51</v>
      </c>
      <c r="BE10" s="96">
        <v>3</v>
      </c>
      <c r="BF10" s="2532" t="s">
        <v>3562</v>
      </c>
      <c r="BG10" s="2520" t="s">
        <v>3563</v>
      </c>
      <c r="BH10" s="2661" t="s">
        <v>3564</v>
      </c>
      <c r="BI10" s="2519" t="s">
        <v>3565</v>
      </c>
      <c r="BJ10" s="2661" t="s">
        <v>3566</v>
      </c>
      <c r="BK10" s="2519" t="s">
        <v>3567</v>
      </c>
      <c r="BL10" s="2520" t="s">
        <v>3568</v>
      </c>
      <c r="BM10" s="2661" t="s">
        <v>3569</v>
      </c>
      <c r="BN10" s="241" t="s">
        <v>3570</v>
      </c>
    </row>
    <row r="11" spans="2:66" ht="14.25" customHeight="1">
      <c r="B11" s="94" t="s">
        <v>3571</v>
      </c>
      <c r="C11" s="277" t="s">
        <v>1074</v>
      </c>
      <c r="D11" s="277"/>
      <c r="E11" s="301" t="s">
        <v>51</v>
      </c>
      <c r="F11" s="279">
        <v>3</v>
      </c>
      <c r="G11" s="425">
        <v>0</v>
      </c>
      <c r="H11" s="412">
        <v>0</v>
      </c>
      <c r="I11" s="415">
        <v>0</v>
      </c>
      <c r="J11" s="411">
        <v>0</v>
      </c>
      <c r="K11" s="415">
        <v>0</v>
      </c>
      <c r="L11" s="411">
        <v>0</v>
      </c>
      <c r="M11" s="412">
        <v>0</v>
      </c>
      <c r="N11" s="415">
        <v>0</v>
      </c>
      <c r="O11" s="241">
        <f t="shared" si="0"/>
        <v>0</v>
      </c>
      <c r="R11" s="24">
        <f t="shared" si="1"/>
        <v>0</v>
      </c>
      <c r="U11" s="93">
        <f>IF(Validation!$H$3=1,0,IF(ISNUMBER(G11),0,1))</f>
        <v>0</v>
      </c>
      <c r="V11" s="93">
        <f>IF(Validation!$H$3=1,0,IF(ISNUMBER(H11),0,1))</f>
        <v>0</v>
      </c>
      <c r="W11" s="93">
        <f>IF(Validation!$H$3=1,0,IF(ISNUMBER(I11),0,1))</f>
        <v>0</v>
      </c>
      <c r="X11" s="93">
        <f>IF(Validation!$H$3=1,0,IF(ISNUMBER(J11),0,1))</f>
        <v>0</v>
      </c>
      <c r="Y11" s="93">
        <f>IF(Validation!$H$3=1,0,IF(ISNUMBER(K11),0,1))</f>
        <v>0</v>
      </c>
      <c r="Z11" s="93">
        <f>IF(Validation!$H$3=1,0,IF(ISNUMBER(L11),0,1))</f>
        <v>0</v>
      </c>
      <c r="AA11" s="93">
        <f>IF(Validation!$H$3=1,0,IF(ISNUMBER(M11),0,1))</f>
        <v>0</v>
      </c>
      <c r="AB11" s="93">
        <f>IF(Validation!$H$3=1,0,IF(ISNUMBER(N11),0,1))</f>
        <v>0</v>
      </c>
      <c r="AJ11" s="479"/>
      <c r="AK11" s="479"/>
      <c r="AL11" s="479"/>
      <c r="AM11" s="479"/>
      <c r="AN11" s="479"/>
      <c r="AO11" s="479"/>
      <c r="AP11" s="479"/>
      <c r="AQ11" s="479"/>
      <c r="AR11" s="479"/>
      <c r="AS11" s="479"/>
      <c r="AT11" s="479"/>
      <c r="AU11" s="479"/>
      <c r="AV11" s="479"/>
      <c r="AW11" s="479"/>
      <c r="AX11" s="479"/>
      <c r="AY11" s="479"/>
      <c r="AZ11" s="479"/>
      <c r="BA11" s="94" t="s">
        <v>3571</v>
      </c>
      <c r="BB11" s="277" t="s">
        <v>1074</v>
      </c>
      <c r="BC11" s="277"/>
      <c r="BD11" s="301" t="s">
        <v>51</v>
      </c>
      <c r="BE11" s="279">
        <v>3</v>
      </c>
      <c r="BF11" s="2587" t="s">
        <v>3572</v>
      </c>
      <c r="BG11" s="2529" t="s">
        <v>3573</v>
      </c>
      <c r="BH11" s="2662" t="s">
        <v>3574</v>
      </c>
      <c r="BI11" s="2355" t="s">
        <v>3575</v>
      </c>
      <c r="BJ11" s="2662" t="s">
        <v>3576</v>
      </c>
      <c r="BK11" s="2355" t="s">
        <v>3577</v>
      </c>
      <c r="BL11" s="2529" t="s">
        <v>3578</v>
      </c>
      <c r="BM11" s="2662" t="s">
        <v>3579</v>
      </c>
      <c r="BN11" s="2095" t="s">
        <v>3580</v>
      </c>
    </row>
    <row r="12" spans="2:66" s="479" customFormat="1" ht="14.25" customHeight="1">
      <c r="B12" s="94" t="s">
        <v>3581</v>
      </c>
      <c r="C12" s="277" t="s">
        <v>1082</v>
      </c>
      <c r="D12" s="277"/>
      <c r="E12" s="301" t="s">
        <v>51</v>
      </c>
      <c r="F12" s="279">
        <v>3</v>
      </c>
      <c r="G12" s="425">
        <v>0</v>
      </c>
      <c r="H12" s="412">
        <v>0</v>
      </c>
      <c r="I12" s="415">
        <v>0</v>
      </c>
      <c r="J12" s="411">
        <v>0</v>
      </c>
      <c r="K12" s="415">
        <v>0</v>
      </c>
      <c r="L12" s="411">
        <v>0</v>
      </c>
      <c r="M12" s="412">
        <v>0</v>
      </c>
      <c r="N12" s="415">
        <v>0</v>
      </c>
      <c r="O12" s="241">
        <f t="shared" si="0"/>
        <v>0</v>
      </c>
      <c r="P12" s="70"/>
      <c r="Q12" s="70"/>
      <c r="R12" s="24">
        <f t="shared" si="1"/>
        <v>0</v>
      </c>
      <c r="S12" s="70"/>
      <c r="T12" s="71"/>
      <c r="U12" s="93">
        <f>IF(Validation!$H$3=1,0,IF(ISNUMBER(G12),0,1))</f>
        <v>0</v>
      </c>
      <c r="V12" s="93">
        <f>IF(Validation!$H$3=1,0,IF(ISNUMBER(H12),0,1))</f>
        <v>0</v>
      </c>
      <c r="W12" s="93">
        <f>IF(Validation!$H$3=1,0,IF(ISNUMBER(I12),0,1))</f>
        <v>0</v>
      </c>
      <c r="X12" s="93">
        <f>IF(Validation!$H$3=1,0,IF(ISNUMBER(J12),0,1))</f>
        <v>0</v>
      </c>
      <c r="Y12" s="93">
        <f>IF(Validation!$H$3=1,0,IF(ISNUMBER(K12),0,1))</f>
        <v>0</v>
      </c>
      <c r="Z12" s="93">
        <f>IF(Validation!$H$3=1,0,IF(ISNUMBER(L12),0,1))</f>
        <v>0</v>
      </c>
      <c r="AA12" s="93">
        <f>IF(Validation!$H$3=1,0,IF(ISNUMBER(M12),0,1))</f>
        <v>0</v>
      </c>
      <c r="AB12" s="93">
        <f>IF(Validation!$H$3=1,0,IF(ISNUMBER(N12),0,1))</f>
        <v>0</v>
      </c>
      <c r="AC12" s="71"/>
      <c r="AE12" s="71"/>
      <c r="AI12" s="71"/>
      <c r="BA12" s="94" t="s">
        <v>3581</v>
      </c>
      <c r="BB12" s="277" t="s">
        <v>1082</v>
      </c>
      <c r="BC12" s="277"/>
      <c r="BD12" s="301" t="s">
        <v>51</v>
      </c>
      <c r="BE12" s="279">
        <v>3</v>
      </c>
      <c r="BF12" s="2587" t="s">
        <v>3582</v>
      </c>
      <c r="BG12" s="2529" t="s">
        <v>3583</v>
      </c>
      <c r="BH12" s="2662" t="s">
        <v>3584</v>
      </c>
      <c r="BI12" s="2355" t="s">
        <v>3585</v>
      </c>
      <c r="BJ12" s="2662" t="s">
        <v>3586</v>
      </c>
      <c r="BK12" s="2355" t="s">
        <v>3587</v>
      </c>
      <c r="BL12" s="2529" t="s">
        <v>3588</v>
      </c>
      <c r="BM12" s="2662" t="s">
        <v>3589</v>
      </c>
      <c r="BN12" s="2095" t="s">
        <v>3590</v>
      </c>
    </row>
    <row r="13" spans="2:66" s="479" customFormat="1" ht="14.25" customHeight="1">
      <c r="B13" s="94" t="s">
        <v>3591</v>
      </c>
      <c r="C13" s="277" t="s">
        <v>1090</v>
      </c>
      <c r="D13" s="277"/>
      <c r="E13" s="301" t="s">
        <v>51</v>
      </c>
      <c r="F13" s="279">
        <v>3</v>
      </c>
      <c r="G13" s="425">
        <v>27.814</v>
      </c>
      <c r="H13" s="412">
        <v>27.423999999999999</v>
      </c>
      <c r="I13" s="415">
        <v>17.302</v>
      </c>
      <c r="J13" s="411">
        <v>48.308</v>
      </c>
      <c r="K13" s="415">
        <v>0.61499999999999999</v>
      </c>
      <c r="L13" s="411">
        <v>4.8360000000000003</v>
      </c>
      <c r="M13" s="412">
        <v>20.64</v>
      </c>
      <c r="N13" s="415">
        <v>10.897</v>
      </c>
      <c r="O13" s="241">
        <f t="shared" si="0"/>
        <v>157.83599999999996</v>
      </c>
      <c r="P13" s="70"/>
      <c r="Q13" s="70"/>
      <c r="R13" s="24">
        <f t="shared" si="1"/>
        <v>0</v>
      </c>
      <c r="S13" s="70"/>
      <c r="T13" s="71"/>
      <c r="U13" s="93">
        <f>IF(Validation!$H$3=1,0,IF(ISNUMBER(G13),0,1))</f>
        <v>0</v>
      </c>
      <c r="V13" s="93">
        <f>IF(Validation!$H$3=1,0,IF(ISNUMBER(H13),0,1))</f>
        <v>0</v>
      </c>
      <c r="W13" s="93">
        <f>IF(Validation!$H$3=1,0,IF(ISNUMBER(I13),0,1))</f>
        <v>0</v>
      </c>
      <c r="X13" s="93">
        <f>IF(Validation!$H$3=1,0,IF(ISNUMBER(J13),0,1))</f>
        <v>0</v>
      </c>
      <c r="Y13" s="93">
        <f>IF(Validation!$H$3=1,0,IF(ISNUMBER(K13),0,1))</f>
        <v>0</v>
      </c>
      <c r="Z13" s="93">
        <f>IF(Validation!$H$3=1,0,IF(ISNUMBER(L13),0,1))</f>
        <v>0</v>
      </c>
      <c r="AA13" s="93">
        <f>IF(Validation!$H$3=1,0,IF(ISNUMBER(M13),0,1))</f>
        <v>0</v>
      </c>
      <c r="AB13" s="93">
        <f>IF(Validation!$H$3=1,0,IF(ISNUMBER(N13),0,1))</f>
        <v>0</v>
      </c>
      <c r="AC13" s="71"/>
      <c r="AE13" s="71"/>
      <c r="AI13" s="71"/>
      <c r="BA13" s="94" t="s">
        <v>3591</v>
      </c>
      <c r="BB13" s="277" t="s">
        <v>1090</v>
      </c>
      <c r="BC13" s="277"/>
      <c r="BD13" s="301" t="s">
        <v>51</v>
      </c>
      <c r="BE13" s="279">
        <v>3</v>
      </c>
      <c r="BF13" s="2587" t="s">
        <v>3592</v>
      </c>
      <c r="BG13" s="2529" t="s">
        <v>3593</v>
      </c>
      <c r="BH13" s="2662" t="s">
        <v>3594</v>
      </c>
      <c r="BI13" s="2355" t="s">
        <v>3595</v>
      </c>
      <c r="BJ13" s="2662" t="s">
        <v>3596</v>
      </c>
      <c r="BK13" s="2355" t="s">
        <v>3597</v>
      </c>
      <c r="BL13" s="2529" t="s">
        <v>3598</v>
      </c>
      <c r="BM13" s="2662" t="s">
        <v>3599</v>
      </c>
      <c r="BN13" s="2095" t="s">
        <v>3600</v>
      </c>
    </row>
    <row r="14" spans="2:66" ht="14.25" customHeight="1">
      <c r="B14" s="94" t="s">
        <v>3601</v>
      </c>
      <c r="C14" s="87" t="s">
        <v>3602</v>
      </c>
      <c r="D14" s="87"/>
      <c r="E14" s="95" t="s">
        <v>51</v>
      </c>
      <c r="F14" s="96">
        <v>3</v>
      </c>
      <c r="G14" s="425">
        <v>8.5000000000000006E-2</v>
      </c>
      <c r="H14" s="412">
        <v>0.08</v>
      </c>
      <c r="I14" s="415">
        <v>6.0999999999999999E-2</v>
      </c>
      <c r="J14" s="411">
        <v>19.806000000000001</v>
      </c>
      <c r="K14" s="415">
        <v>3.0000000000000001E-3</v>
      </c>
      <c r="L14" s="411">
        <v>1E-3</v>
      </c>
      <c r="M14" s="412">
        <v>1.4119999999999999</v>
      </c>
      <c r="N14" s="415">
        <v>0</v>
      </c>
      <c r="O14" s="241">
        <f t="shared" si="0"/>
        <v>21.448</v>
      </c>
      <c r="R14" s="24">
        <f t="shared" si="1"/>
        <v>0</v>
      </c>
      <c r="U14" s="93">
        <f>IF(Validation!$H$3=1,0,IF(ISNUMBER(G14),0,1))</f>
        <v>0</v>
      </c>
      <c r="V14" s="93">
        <f>IF(Validation!$H$3=1,0,IF(ISNUMBER(H14),0,1))</f>
        <v>0</v>
      </c>
      <c r="W14" s="93">
        <f>IF(Validation!$H$3=1,0,IF(ISNUMBER(I14),0,1))</f>
        <v>0</v>
      </c>
      <c r="X14" s="93">
        <f>IF(Validation!$H$3=1,0,IF(ISNUMBER(J14),0,1))</f>
        <v>0</v>
      </c>
      <c r="Y14" s="93">
        <f>IF(Validation!$H$3=1,0,IF(ISNUMBER(K14),0,1))</f>
        <v>0</v>
      </c>
      <c r="Z14" s="93">
        <f>IF(Validation!$H$3=1,0,IF(ISNUMBER(L14),0,1))</f>
        <v>0</v>
      </c>
      <c r="AA14" s="93">
        <f>IF(Validation!$H$3=1,0,IF(ISNUMBER(M14),0,1))</f>
        <v>0</v>
      </c>
      <c r="AB14" s="93">
        <f>IF(Validation!$H$3=1,0,IF(ISNUMBER(N14),0,1))</f>
        <v>0</v>
      </c>
      <c r="AJ14" s="479"/>
      <c r="AK14" s="479"/>
      <c r="AL14" s="479"/>
      <c r="AM14" s="479"/>
      <c r="AN14" s="479"/>
      <c r="AO14" s="479"/>
      <c r="AP14" s="479"/>
      <c r="AQ14" s="479"/>
      <c r="AR14" s="479"/>
      <c r="AS14" s="479"/>
      <c r="AT14" s="479"/>
      <c r="AU14" s="479"/>
      <c r="AV14" s="479"/>
      <c r="AW14" s="479"/>
      <c r="AX14" s="479"/>
      <c r="AY14" s="479"/>
      <c r="AZ14" s="479"/>
      <c r="BA14" s="94" t="s">
        <v>3601</v>
      </c>
      <c r="BB14" s="87" t="s">
        <v>3602</v>
      </c>
      <c r="BC14" s="87"/>
      <c r="BD14" s="95" t="s">
        <v>51</v>
      </c>
      <c r="BE14" s="96">
        <v>3</v>
      </c>
      <c r="BF14" s="2587" t="s">
        <v>3603</v>
      </c>
      <c r="BG14" s="2529" t="s">
        <v>3604</v>
      </c>
      <c r="BH14" s="2662" t="s">
        <v>3605</v>
      </c>
      <c r="BI14" s="2355" t="s">
        <v>3606</v>
      </c>
      <c r="BJ14" s="2662" t="s">
        <v>3607</v>
      </c>
      <c r="BK14" s="2355" t="s">
        <v>3608</v>
      </c>
      <c r="BL14" s="2529" t="s">
        <v>3609</v>
      </c>
      <c r="BM14" s="2662" t="s">
        <v>3610</v>
      </c>
      <c r="BN14" s="2095" t="s">
        <v>3611</v>
      </c>
    </row>
    <row r="15" spans="2:66" ht="14.25" customHeight="1" thickBot="1">
      <c r="B15" s="101" t="s">
        <v>3612</v>
      </c>
      <c r="C15" s="102" t="s">
        <v>1106</v>
      </c>
      <c r="D15" s="102"/>
      <c r="E15" s="103" t="s">
        <v>51</v>
      </c>
      <c r="F15" s="100">
        <v>3</v>
      </c>
      <c r="G15" s="242">
        <f>SUM(G7:G14)</f>
        <v>30.347999999999999</v>
      </c>
      <c r="H15" s="194">
        <f>SUM(H7:H14)</f>
        <v>30.198999999999998</v>
      </c>
      <c r="I15" s="195">
        <f>SUM(I7:I14)</f>
        <v>18.771000000000001</v>
      </c>
      <c r="J15" s="193">
        <f>SUM(J7:J14)</f>
        <v>100.85899999999999</v>
      </c>
      <c r="K15" s="195">
        <f t="shared" ref="K15:N15" si="2">SUM(K7:K14)</f>
        <v>0.82699999999999996</v>
      </c>
      <c r="L15" s="193">
        <f t="shared" si="2"/>
        <v>4.8370000000000006</v>
      </c>
      <c r="M15" s="194">
        <f t="shared" si="2"/>
        <v>16.719000000000001</v>
      </c>
      <c r="N15" s="195">
        <f t="shared" si="2"/>
        <v>10.897</v>
      </c>
      <c r="O15" s="200">
        <f t="shared" si="0"/>
        <v>213.45699999999997</v>
      </c>
      <c r="AA15" s="203"/>
      <c r="AB15" s="203"/>
      <c r="AJ15" s="479"/>
      <c r="AK15" s="479"/>
      <c r="AL15" s="479"/>
      <c r="AM15" s="479"/>
      <c r="AN15" s="479"/>
      <c r="AO15" s="479"/>
      <c r="AP15" s="479"/>
      <c r="AQ15" s="479"/>
      <c r="AR15" s="479"/>
      <c r="AS15" s="479"/>
      <c r="AT15" s="479"/>
      <c r="AU15" s="479"/>
      <c r="AV15" s="479"/>
      <c r="AW15" s="479"/>
      <c r="AX15" s="479"/>
      <c r="AY15" s="479"/>
      <c r="AZ15" s="479"/>
      <c r="BA15" s="101" t="s">
        <v>3612</v>
      </c>
      <c r="BB15" s="102" t="s">
        <v>1106</v>
      </c>
      <c r="BC15" s="102"/>
      <c r="BD15" s="103" t="s">
        <v>51</v>
      </c>
      <c r="BE15" s="100">
        <v>3</v>
      </c>
      <c r="BF15" s="2098" t="s">
        <v>3613</v>
      </c>
      <c r="BG15" s="2011" t="s">
        <v>3614</v>
      </c>
      <c r="BH15" s="2009" t="s">
        <v>3615</v>
      </c>
      <c r="BI15" s="2096" t="s">
        <v>3616</v>
      </c>
      <c r="BJ15" s="2009" t="s">
        <v>3617</v>
      </c>
      <c r="BK15" s="2096" t="s">
        <v>3618</v>
      </c>
      <c r="BL15" s="2011" t="s">
        <v>3619</v>
      </c>
      <c r="BM15" s="2009" t="s">
        <v>3620</v>
      </c>
      <c r="BN15" s="2013" t="s">
        <v>3621</v>
      </c>
    </row>
    <row r="16" spans="2:66" ht="15" thickBot="1">
      <c r="B16" s="479"/>
      <c r="C16" s="479"/>
      <c r="E16" s="479"/>
      <c r="F16" s="479"/>
      <c r="G16" s="479"/>
      <c r="H16" s="479"/>
      <c r="I16" s="479"/>
      <c r="J16" s="479"/>
      <c r="K16" s="479"/>
      <c r="L16" s="479"/>
      <c r="M16" s="479"/>
      <c r="N16" s="479"/>
      <c r="O16" s="479"/>
      <c r="AA16" s="203"/>
      <c r="AB16" s="203"/>
      <c r="AJ16" s="479"/>
      <c r="AK16" s="479"/>
      <c r="AL16" s="479"/>
      <c r="AM16" s="479"/>
      <c r="AN16" s="479"/>
      <c r="AO16" s="479"/>
      <c r="AP16" s="479"/>
      <c r="AQ16" s="479"/>
      <c r="AR16" s="479"/>
      <c r="AS16" s="479"/>
      <c r="AT16" s="479"/>
      <c r="AU16" s="479"/>
      <c r="AV16" s="479"/>
      <c r="AW16" s="479"/>
      <c r="AX16" s="479"/>
      <c r="AY16" s="479"/>
      <c r="AZ16" s="479"/>
      <c r="BF16" s="2104"/>
      <c r="BG16" s="2104"/>
      <c r="BH16" s="2104"/>
      <c r="BI16" s="2104"/>
      <c r="BJ16" s="2104"/>
      <c r="BK16" s="2104"/>
      <c r="BL16" s="2104"/>
      <c r="BM16" s="2104"/>
      <c r="BN16" s="2104"/>
    </row>
    <row r="17" spans="2:66" ht="14.25" customHeight="1">
      <c r="B17" s="86" t="s">
        <v>3622</v>
      </c>
      <c r="C17" s="117" t="s">
        <v>1114</v>
      </c>
      <c r="D17" s="117"/>
      <c r="E17" s="88" t="s">
        <v>51</v>
      </c>
      <c r="F17" s="89">
        <v>3</v>
      </c>
      <c r="G17" s="423">
        <v>0</v>
      </c>
      <c r="H17" s="424">
        <v>0</v>
      </c>
      <c r="I17" s="414">
        <v>0</v>
      </c>
      <c r="J17" s="413">
        <v>0</v>
      </c>
      <c r="K17" s="414">
        <v>0</v>
      </c>
      <c r="L17" s="413">
        <v>0</v>
      </c>
      <c r="M17" s="424">
        <v>0</v>
      </c>
      <c r="N17" s="414">
        <v>0</v>
      </c>
      <c r="O17" s="199">
        <f>SUM(G17:N17)</f>
        <v>0</v>
      </c>
      <c r="R17" s="24">
        <f t="shared" ref="R17" si="3" xml:space="preserve"> IF( SUM( T17:AC17 ) = 0, 0, $U$6 )</f>
        <v>0</v>
      </c>
      <c r="U17" s="93">
        <f>IF(Validation!$H$3=1,0,IF(ISNUMBER(G17),0,1))</f>
        <v>0</v>
      </c>
      <c r="V17" s="93">
        <f>IF(Validation!$H$3=1,0,IF(ISNUMBER(H17),0,1))</f>
        <v>0</v>
      </c>
      <c r="W17" s="93">
        <f>IF(Validation!$H$3=1,0,IF(ISNUMBER(I17),0,1))</f>
        <v>0</v>
      </c>
      <c r="X17" s="93">
        <f>IF(Validation!$H$3=1,0,IF(ISNUMBER(J17),0,1))</f>
        <v>0</v>
      </c>
      <c r="Y17" s="93">
        <f>IF(Validation!$H$3=1,0,IF(ISNUMBER(K17),0,1))</f>
        <v>0</v>
      </c>
      <c r="Z17" s="93">
        <f>IF(Validation!$H$3=1,0,IF(ISNUMBER(L17),0,1))</f>
        <v>0</v>
      </c>
      <c r="AA17" s="93">
        <f>IF(Validation!$H$3=1,0,IF(ISNUMBER(M17),0,1))</f>
        <v>0</v>
      </c>
      <c r="AB17" s="93">
        <f>IF(Validation!$H$3=1,0,IF(ISNUMBER(N17),0,1))</f>
        <v>0</v>
      </c>
      <c r="AJ17" s="479"/>
      <c r="AK17" s="479"/>
      <c r="AL17" s="479"/>
      <c r="AM17" s="479"/>
      <c r="AN17" s="479"/>
      <c r="AO17" s="479"/>
      <c r="AP17" s="479"/>
      <c r="AQ17" s="479"/>
      <c r="AR17" s="479"/>
      <c r="AS17" s="479"/>
      <c r="AT17" s="479"/>
      <c r="AU17" s="479"/>
      <c r="AV17" s="479"/>
      <c r="AW17" s="479"/>
      <c r="AX17" s="479"/>
      <c r="AY17" s="479"/>
      <c r="AZ17" s="479"/>
      <c r="BA17" s="86" t="s">
        <v>3622</v>
      </c>
      <c r="BB17" s="117" t="s">
        <v>1114</v>
      </c>
      <c r="BC17" s="117"/>
      <c r="BD17" s="88" t="s">
        <v>51</v>
      </c>
      <c r="BE17" s="89">
        <v>3</v>
      </c>
      <c r="BF17" s="2584" t="s">
        <v>3623</v>
      </c>
      <c r="BG17" s="2527" t="s">
        <v>3624</v>
      </c>
      <c r="BH17" s="2663" t="s">
        <v>3625</v>
      </c>
      <c r="BI17" s="2353" t="s">
        <v>3626</v>
      </c>
      <c r="BJ17" s="2663" t="s">
        <v>3627</v>
      </c>
      <c r="BK17" s="2353" t="s">
        <v>3628</v>
      </c>
      <c r="BL17" s="2527" t="s">
        <v>3629</v>
      </c>
      <c r="BM17" s="2663" t="s">
        <v>3630</v>
      </c>
      <c r="BN17" s="2101" t="s">
        <v>3631</v>
      </c>
    </row>
    <row r="18" spans="2:66" ht="14.25" customHeight="1" thickBot="1">
      <c r="B18" s="101" t="s">
        <v>3632</v>
      </c>
      <c r="C18" s="102" t="s">
        <v>1122</v>
      </c>
      <c r="D18" s="102"/>
      <c r="E18" s="103" t="s">
        <v>51</v>
      </c>
      <c r="F18" s="100">
        <v>3</v>
      </c>
      <c r="G18" s="242">
        <f t="shared" ref="G18:N18" si="4">G15 + G17</f>
        <v>30.347999999999999</v>
      </c>
      <c r="H18" s="194">
        <f t="shared" si="4"/>
        <v>30.198999999999998</v>
      </c>
      <c r="I18" s="195">
        <f t="shared" si="4"/>
        <v>18.771000000000001</v>
      </c>
      <c r="J18" s="193">
        <f t="shared" si="4"/>
        <v>100.85899999999999</v>
      </c>
      <c r="K18" s="195">
        <f t="shared" si="4"/>
        <v>0.82699999999999996</v>
      </c>
      <c r="L18" s="193">
        <f t="shared" si="4"/>
        <v>4.8370000000000006</v>
      </c>
      <c r="M18" s="194">
        <f t="shared" si="4"/>
        <v>16.719000000000001</v>
      </c>
      <c r="N18" s="195">
        <f t="shared" si="4"/>
        <v>10.897</v>
      </c>
      <c r="O18" s="200">
        <f>SUM(G18:N18)</f>
        <v>213.45699999999997</v>
      </c>
      <c r="AA18" s="203"/>
      <c r="AB18" s="203"/>
      <c r="AJ18" s="479"/>
      <c r="AK18" s="479"/>
      <c r="AL18" s="479"/>
      <c r="AM18" s="479"/>
      <c r="AN18" s="479"/>
      <c r="AO18" s="479"/>
      <c r="AP18" s="479"/>
      <c r="AQ18" s="479"/>
      <c r="AR18" s="479"/>
      <c r="AS18" s="479"/>
      <c r="AT18" s="479"/>
      <c r="AU18" s="479"/>
      <c r="AV18" s="479"/>
      <c r="AW18" s="479"/>
      <c r="AX18" s="479"/>
      <c r="AY18" s="479"/>
      <c r="AZ18" s="479"/>
      <c r="BA18" s="101" t="s">
        <v>3632</v>
      </c>
      <c r="BB18" s="102" t="s">
        <v>1122</v>
      </c>
      <c r="BC18" s="102"/>
      <c r="BD18" s="103" t="s">
        <v>51</v>
      </c>
      <c r="BE18" s="100">
        <v>3</v>
      </c>
      <c r="BF18" s="2098" t="s">
        <v>3633</v>
      </c>
      <c r="BG18" s="2011" t="s">
        <v>3634</v>
      </c>
      <c r="BH18" s="2009" t="s">
        <v>3635</v>
      </c>
      <c r="BI18" s="2096" t="s">
        <v>3636</v>
      </c>
      <c r="BJ18" s="2009" t="s">
        <v>3637</v>
      </c>
      <c r="BK18" s="2096" t="s">
        <v>3638</v>
      </c>
      <c r="BL18" s="2011" t="s">
        <v>3639</v>
      </c>
      <c r="BM18" s="2009" t="s">
        <v>3640</v>
      </c>
      <c r="BN18" s="2013" t="s">
        <v>3641</v>
      </c>
    </row>
    <row r="19" spans="2:66" ht="15" thickBot="1">
      <c r="B19" s="479"/>
      <c r="C19" s="479"/>
      <c r="E19" s="479"/>
      <c r="F19" s="479"/>
      <c r="G19" s="479"/>
      <c r="H19" s="479"/>
      <c r="I19" s="479"/>
      <c r="J19" s="479"/>
      <c r="K19" s="479"/>
      <c r="L19" s="479"/>
      <c r="M19" s="479"/>
      <c r="N19" s="479"/>
      <c r="O19" s="479"/>
      <c r="AA19" s="203"/>
      <c r="AB19" s="203"/>
      <c r="AJ19" s="479"/>
      <c r="AK19" s="479"/>
      <c r="AL19" s="479"/>
      <c r="AM19" s="479"/>
      <c r="AN19" s="479"/>
      <c r="AO19" s="479"/>
      <c r="AP19" s="479"/>
      <c r="AQ19" s="479"/>
      <c r="AR19" s="479"/>
      <c r="AS19" s="479"/>
      <c r="AT19" s="479"/>
      <c r="AU19" s="479"/>
      <c r="AV19" s="479"/>
      <c r="AW19" s="479"/>
      <c r="AX19" s="479"/>
      <c r="AY19" s="479"/>
      <c r="AZ19" s="479"/>
      <c r="BF19" s="2104"/>
      <c r="BG19" s="2104"/>
      <c r="BH19" s="2104"/>
      <c r="BI19" s="2104"/>
      <c r="BJ19" s="2104"/>
      <c r="BK19" s="2104"/>
      <c r="BL19" s="2104"/>
      <c r="BM19" s="2104"/>
      <c r="BN19" s="2104"/>
    </row>
    <row r="20" spans="2:66" s="70" customFormat="1" ht="15" thickBot="1">
      <c r="B20" s="113" t="s">
        <v>177</v>
      </c>
      <c r="C20" s="114" t="s">
        <v>1129</v>
      </c>
      <c r="D20" s="1505"/>
      <c r="T20" s="71"/>
      <c r="AA20" s="203"/>
      <c r="AB20" s="203"/>
      <c r="AC20" s="71"/>
      <c r="AD20" s="479"/>
      <c r="AE20" s="71"/>
      <c r="AF20" s="479"/>
      <c r="AG20" s="479"/>
      <c r="AH20" s="479"/>
      <c r="AI20" s="71"/>
      <c r="BA20" s="113" t="s">
        <v>177</v>
      </c>
      <c r="BB20" s="114" t="s">
        <v>1129</v>
      </c>
      <c r="BC20" s="1505"/>
      <c r="BF20" s="2100"/>
      <c r="BG20" s="2100"/>
      <c r="BH20" s="2100"/>
      <c r="BI20" s="2100"/>
      <c r="BJ20" s="2100"/>
      <c r="BK20" s="2100"/>
      <c r="BL20" s="2100"/>
      <c r="BM20" s="2100"/>
      <c r="BN20" s="2100"/>
    </row>
    <row r="21" spans="2:66" ht="14.25" customHeight="1">
      <c r="B21" s="86" t="s">
        <v>3642</v>
      </c>
      <c r="C21" s="117" t="s">
        <v>1131</v>
      </c>
      <c r="D21" s="117"/>
      <c r="E21" s="88" t="s">
        <v>51</v>
      </c>
      <c r="F21" s="89">
        <v>3</v>
      </c>
      <c r="G21" s="423">
        <v>11.992000000000001</v>
      </c>
      <c r="H21" s="424">
        <v>13.222</v>
      </c>
      <c r="I21" s="414">
        <v>5.5350000000000001</v>
      </c>
      <c r="J21" s="413">
        <v>3.5659999999999998</v>
      </c>
      <c r="K21" s="414">
        <v>0</v>
      </c>
      <c r="L21" s="413">
        <v>0</v>
      </c>
      <c r="M21" s="424">
        <v>0</v>
      </c>
      <c r="N21" s="414">
        <v>0</v>
      </c>
      <c r="O21" s="199">
        <f t="shared" ref="O21:O33" si="5">SUM(G21:N21)</f>
        <v>34.314999999999998</v>
      </c>
      <c r="R21" s="24">
        <f t="shared" ref="R21:R31" si="6" xml:space="preserve"> IF( SUM( T21:AC21 ) = 0, 0, $U$6 )</f>
        <v>0</v>
      </c>
      <c r="U21" s="93">
        <f>IF(Validation!$H$3=1,0,IF(ISNUMBER(G21),0,1))</f>
        <v>0</v>
      </c>
      <c r="V21" s="93">
        <f>IF(Validation!$H$3=1,0,IF(ISNUMBER(H21),0,1))</f>
        <v>0</v>
      </c>
      <c r="W21" s="93">
        <f>IF(Validation!$H$3=1,0,IF(ISNUMBER(I21),0,1))</f>
        <v>0</v>
      </c>
      <c r="X21" s="93">
        <f>IF(Validation!$H$3=1,0,IF(ISNUMBER(J21),0,1))</f>
        <v>0</v>
      </c>
      <c r="Y21" s="93">
        <f>IF(Validation!$H$3=1,0,IF(ISNUMBER(K21),0,1))</f>
        <v>0</v>
      </c>
      <c r="Z21" s="93">
        <f>IF(Validation!$H$3=1,0,IF(ISNUMBER(L21),0,1))</f>
        <v>0</v>
      </c>
      <c r="AA21" s="93">
        <f>IF(Validation!$H$3=1,0,IF(ISNUMBER(M21),0,1))</f>
        <v>0</v>
      </c>
      <c r="AB21" s="93">
        <f>IF(Validation!$H$3=1,0,IF(ISNUMBER(N21),0,1))</f>
        <v>0</v>
      </c>
      <c r="AJ21" s="479"/>
      <c r="AK21" s="479"/>
      <c r="AL21" s="479"/>
      <c r="AM21" s="479"/>
      <c r="AN21" s="479"/>
      <c r="AO21" s="479"/>
      <c r="AP21" s="479"/>
      <c r="AQ21" s="479"/>
      <c r="AR21" s="479"/>
      <c r="AS21" s="479"/>
      <c r="AT21" s="479"/>
      <c r="AU21" s="479"/>
      <c r="AV21" s="479"/>
      <c r="AW21" s="479"/>
      <c r="AX21" s="479"/>
      <c r="AY21" s="479"/>
      <c r="AZ21" s="479"/>
      <c r="BA21" s="86" t="s">
        <v>3642</v>
      </c>
      <c r="BB21" s="117" t="s">
        <v>1131</v>
      </c>
      <c r="BC21" s="117"/>
      <c r="BD21" s="88" t="s">
        <v>51</v>
      </c>
      <c r="BE21" s="89">
        <v>3</v>
      </c>
      <c r="BF21" s="2584" t="s">
        <v>3643</v>
      </c>
      <c r="BG21" s="2527" t="s">
        <v>3644</v>
      </c>
      <c r="BH21" s="2663" t="s">
        <v>3645</v>
      </c>
      <c r="BI21" s="2353" t="s">
        <v>3646</v>
      </c>
      <c r="BJ21" s="2663" t="s">
        <v>3647</v>
      </c>
      <c r="BK21" s="2353" t="s">
        <v>3648</v>
      </c>
      <c r="BL21" s="2527" t="s">
        <v>3649</v>
      </c>
      <c r="BM21" s="2663" t="s">
        <v>3650</v>
      </c>
      <c r="BN21" s="2101" t="s">
        <v>3651</v>
      </c>
    </row>
    <row r="22" spans="2:66" ht="14.25" customHeight="1">
      <c r="B22" s="94" t="s">
        <v>3652</v>
      </c>
      <c r="C22" s="87" t="s">
        <v>3355</v>
      </c>
      <c r="D22" s="87"/>
      <c r="E22" s="95" t="s">
        <v>51</v>
      </c>
      <c r="F22" s="96">
        <v>3</v>
      </c>
      <c r="G22" s="425">
        <v>9.5570000000000004</v>
      </c>
      <c r="H22" s="412">
        <v>9.4220000000000006</v>
      </c>
      <c r="I22" s="415">
        <v>6.2750000000000004</v>
      </c>
      <c r="J22" s="411">
        <v>58.448</v>
      </c>
      <c r="K22" s="415">
        <v>0.22500000000000001</v>
      </c>
      <c r="L22" s="411">
        <v>0.55700000000000005</v>
      </c>
      <c r="M22" s="412">
        <v>78.873000000000005</v>
      </c>
      <c r="N22" s="415">
        <v>0.1</v>
      </c>
      <c r="O22" s="241">
        <f t="shared" si="5"/>
        <v>163.45699999999999</v>
      </c>
      <c r="R22" s="24">
        <f t="shared" si="6"/>
        <v>0</v>
      </c>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J22" s="479"/>
      <c r="AK22" s="479"/>
      <c r="AL22" s="479"/>
      <c r="AM22" s="479"/>
      <c r="AN22" s="479"/>
      <c r="AO22" s="479"/>
      <c r="AP22" s="479"/>
      <c r="AQ22" s="479"/>
      <c r="AR22" s="479"/>
      <c r="AS22" s="479"/>
      <c r="AT22" s="479"/>
      <c r="AU22" s="479"/>
      <c r="AV22" s="479"/>
      <c r="AW22" s="479"/>
      <c r="AX22" s="479"/>
      <c r="AY22" s="479"/>
      <c r="AZ22" s="479"/>
      <c r="BA22" s="94" t="s">
        <v>3652</v>
      </c>
      <c r="BB22" s="87" t="s">
        <v>3355</v>
      </c>
      <c r="BC22" s="87"/>
      <c r="BD22" s="95" t="s">
        <v>51</v>
      </c>
      <c r="BE22" s="96">
        <v>3</v>
      </c>
      <c r="BF22" s="2587" t="s">
        <v>3653</v>
      </c>
      <c r="BG22" s="2529" t="s">
        <v>3654</v>
      </c>
      <c r="BH22" s="2662" t="s">
        <v>3655</v>
      </c>
      <c r="BI22" s="2355" t="s">
        <v>3656</v>
      </c>
      <c r="BJ22" s="2662" t="s">
        <v>3657</v>
      </c>
      <c r="BK22" s="2355" t="s">
        <v>3658</v>
      </c>
      <c r="BL22" s="2529" t="s">
        <v>3659</v>
      </c>
      <c r="BM22" s="2662" t="s">
        <v>3660</v>
      </c>
      <c r="BN22" s="2095" t="s">
        <v>3661</v>
      </c>
    </row>
    <row r="23" spans="2:66" ht="14.25" customHeight="1">
      <c r="B23" s="94" t="s">
        <v>3662</v>
      </c>
      <c r="C23" s="87" t="s">
        <v>1147</v>
      </c>
      <c r="D23" s="87"/>
      <c r="E23" s="95" t="s">
        <v>51</v>
      </c>
      <c r="F23" s="96">
        <v>3</v>
      </c>
      <c r="G23" s="425">
        <v>17.324000000000002</v>
      </c>
      <c r="H23" s="412">
        <v>19.100999999999999</v>
      </c>
      <c r="I23" s="415">
        <v>7.9960000000000004</v>
      </c>
      <c r="J23" s="411">
        <v>0</v>
      </c>
      <c r="K23" s="415">
        <v>0</v>
      </c>
      <c r="L23" s="411">
        <v>0</v>
      </c>
      <c r="M23" s="412">
        <v>0</v>
      </c>
      <c r="N23" s="415">
        <v>0</v>
      </c>
      <c r="O23" s="241">
        <f t="shared" si="5"/>
        <v>44.420999999999999</v>
      </c>
      <c r="R23" s="24">
        <f t="shared" si="6"/>
        <v>0</v>
      </c>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J23" s="479"/>
      <c r="AK23" s="479"/>
      <c r="AL23" s="479"/>
      <c r="AM23" s="479"/>
      <c r="AN23" s="479"/>
      <c r="AO23" s="479"/>
      <c r="AP23" s="479"/>
      <c r="AQ23" s="479"/>
      <c r="AR23" s="479"/>
      <c r="AS23" s="479"/>
      <c r="AT23" s="479"/>
      <c r="AU23" s="479"/>
      <c r="AV23" s="479"/>
      <c r="AW23" s="479"/>
      <c r="AX23" s="479"/>
      <c r="AY23" s="479"/>
      <c r="AZ23" s="479"/>
      <c r="BA23" s="94" t="s">
        <v>3662</v>
      </c>
      <c r="BB23" s="87" t="s">
        <v>1147</v>
      </c>
      <c r="BC23" s="87"/>
      <c r="BD23" s="95" t="s">
        <v>51</v>
      </c>
      <c r="BE23" s="96">
        <v>3</v>
      </c>
      <c r="BF23" s="2587" t="s">
        <v>3663</v>
      </c>
      <c r="BG23" s="2529" t="s">
        <v>3664</v>
      </c>
      <c r="BH23" s="2662" t="s">
        <v>3665</v>
      </c>
      <c r="BI23" s="2355" t="s">
        <v>3666</v>
      </c>
      <c r="BJ23" s="2662" t="s">
        <v>3667</v>
      </c>
      <c r="BK23" s="2355" t="s">
        <v>3668</v>
      </c>
      <c r="BL23" s="2529" t="s">
        <v>3669</v>
      </c>
      <c r="BM23" s="2662" t="s">
        <v>3670</v>
      </c>
      <c r="BN23" s="2095" t="s">
        <v>3671</v>
      </c>
    </row>
    <row r="24" spans="2:66" ht="14.25" customHeight="1">
      <c r="B24" s="94" t="s">
        <v>3672</v>
      </c>
      <c r="C24" s="87" t="s">
        <v>1155</v>
      </c>
      <c r="D24" s="87"/>
      <c r="E24" s="95" t="s">
        <v>51</v>
      </c>
      <c r="F24" s="96">
        <v>3</v>
      </c>
      <c r="G24" s="425">
        <v>10.999000000000001</v>
      </c>
      <c r="H24" s="412">
        <v>12.071999999999999</v>
      </c>
      <c r="I24" s="415">
        <v>5.1669999999999998</v>
      </c>
      <c r="J24" s="411">
        <v>35.654000000000003</v>
      </c>
      <c r="K24" s="415">
        <v>1.0999999999999999E-2</v>
      </c>
      <c r="L24" s="411">
        <v>2.7E-2</v>
      </c>
      <c r="M24" s="412">
        <v>2.294</v>
      </c>
      <c r="N24" s="415">
        <v>5.0000000000000001E-3</v>
      </c>
      <c r="O24" s="241">
        <f t="shared" si="5"/>
        <v>66.228999999999999</v>
      </c>
      <c r="R24" s="24">
        <f t="shared" si="6"/>
        <v>0</v>
      </c>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J24" s="479"/>
      <c r="AK24" s="479"/>
      <c r="AL24" s="479"/>
      <c r="AM24" s="479"/>
      <c r="AN24" s="479"/>
      <c r="AO24" s="479"/>
      <c r="AP24" s="479"/>
      <c r="AQ24" s="479"/>
      <c r="AR24" s="479"/>
      <c r="AS24" s="479"/>
      <c r="AT24" s="479"/>
      <c r="AU24" s="479"/>
      <c r="AV24" s="479"/>
      <c r="AW24" s="479"/>
      <c r="AX24" s="479"/>
      <c r="AY24" s="479"/>
      <c r="AZ24" s="479"/>
      <c r="BA24" s="94" t="s">
        <v>3672</v>
      </c>
      <c r="BB24" s="87" t="s">
        <v>1155</v>
      </c>
      <c r="BC24" s="87"/>
      <c r="BD24" s="95" t="s">
        <v>51</v>
      </c>
      <c r="BE24" s="96">
        <v>3</v>
      </c>
      <c r="BF24" s="2587" t="s">
        <v>3673</v>
      </c>
      <c r="BG24" s="2529" t="s">
        <v>3674</v>
      </c>
      <c r="BH24" s="2662" t="s">
        <v>3675</v>
      </c>
      <c r="BI24" s="2355" t="s">
        <v>3676</v>
      </c>
      <c r="BJ24" s="2662" t="s">
        <v>3677</v>
      </c>
      <c r="BK24" s="2355" t="s">
        <v>3678</v>
      </c>
      <c r="BL24" s="2529" t="s">
        <v>3679</v>
      </c>
      <c r="BM24" s="2662" t="s">
        <v>3680</v>
      </c>
      <c r="BN24" s="2095" t="s">
        <v>3681</v>
      </c>
    </row>
    <row r="25" spans="2:66" s="479" customFormat="1" ht="14.25" customHeight="1">
      <c r="B25" s="94" t="s">
        <v>3682</v>
      </c>
      <c r="C25" s="87" t="s">
        <v>1163</v>
      </c>
      <c r="D25" s="87"/>
      <c r="E25" s="301" t="s">
        <v>51</v>
      </c>
      <c r="F25" s="279">
        <v>3</v>
      </c>
      <c r="G25" s="425">
        <v>1.079</v>
      </c>
      <c r="H25" s="412">
        <v>1.19</v>
      </c>
      <c r="I25" s="415">
        <v>0.498</v>
      </c>
      <c r="J25" s="411">
        <v>0</v>
      </c>
      <c r="K25" s="415">
        <v>0</v>
      </c>
      <c r="L25" s="411">
        <v>0</v>
      </c>
      <c r="M25" s="412">
        <v>0</v>
      </c>
      <c r="N25" s="415">
        <v>0</v>
      </c>
      <c r="O25" s="241">
        <f t="shared" si="5"/>
        <v>2.7670000000000003</v>
      </c>
      <c r="P25" s="70"/>
      <c r="Q25" s="70"/>
      <c r="R25" s="24">
        <f t="shared" si="6"/>
        <v>0</v>
      </c>
      <c r="S25" s="70"/>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71"/>
      <c r="AI25" s="71"/>
      <c r="BA25" s="94" t="s">
        <v>3682</v>
      </c>
      <c r="BB25" s="87" t="s">
        <v>1163</v>
      </c>
      <c r="BC25" s="87"/>
      <c r="BD25" s="301" t="s">
        <v>51</v>
      </c>
      <c r="BE25" s="279">
        <v>3</v>
      </c>
      <c r="BF25" s="2587" t="s">
        <v>3683</v>
      </c>
      <c r="BG25" s="2529" t="s">
        <v>3684</v>
      </c>
      <c r="BH25" s="2662" t="s">
        <v>3685</v>
      </c>
      <c r="BI25" s="2355" t="s">
        <v>3686</v>
      </c>
      <c r="BJ25" s="2662" t="s">
        <v>3687</v>
      </c>
      <c r="BK25" s="2355" t="s">
        <v>3688</v>
      </c>
      <c r="BL25" s="2529" t="s">
        <v>3689</v>
      </c>
      <c r="BM25" s="2662" t="s">
        <v>3690</v>
      </c>
      <c r="BN25" s="2095" t="s">
        <v>3691</v>
      </c>
    </row>
    <row r="26" spans="2:66" ht="14.25" customHeight="1">
      <c r="B26" s="94" t="s">
        <v>3692</v>
      </c>
      <c r="C26" s="87" t="s">
        <v>3693</v>
      </c>
      <c r="D26" s="87"/>
      <c r="E26" s="95" t="s">
        <v>51</v>
      </c>
      <c r="F26" s="96">
        <v>3</v>
      </c>
      <c r="G26" s="243">
        <f t="shared" ref="G26:N26" si="7">SUM(G21:G25)</f>
        <v>50.951000000000008</v>
      </c>
      <c r="H26" s="244">
        <f t="shared" si="7"/>
        <v>55.006999999999991</v>
      </c>
      <c r="I26" s="191">
        <f t="shared" si="7"/>
        <v>25.471</v>
      </c>
      <c r="J26" s="245">
        <f t="shared" si="7"/>
        <v>97.668000000000006</v>
      </c>
      <c r="K26" s="191">
        <f t="shared" si="7"/>
        <v>0.23600000000000002</v>
      </c>
      <c r="L26" s="245">
        <f t="shared" si="7"/>
        <v>0.58400000000000007</v>
      </c>
      <c r="M26" s="244">
        <f t="shared" si="7"/>
        <v>81.167000000000002</v>
      </c>
      <c r="N26" s="191">
        <f t="shared" si="7"/>
        <v>0.10500000000000001</v>
      </c>
      <c r="O26" s="241">
        <f t="shared" si="5"/>
        <v>311.18900000000002</v>
      </c>
      <c r="P26" s="118"/>
      <c r="Q26" s="118"/>
      <c r="S26" s="118"/>
      <c r="T26" s="124"/>
      <c r="V26" s="246"/>
      <c r="W26" s="246"/>
      <c r="X26" s="246"/>
      <c r="Y26" s="246"/>
      <c r="Z26" s="246"/>
      <c r="AA26" s="203"/>
      <c r="AB26" s="203"/>
      <c r="AC26" s="124"/>
      <c r="AE26" s="124"/>
      <c r="AI26" s="124"/>
      <c r="AJ26" s="479"/>
      <c r="AK26" s="479"/>
      <c r="AL26" s="479"/>
      <c r="AM26" s="479"/>
      <c r="AN26" s="479"/>
      <c r="AO26" s="479"/>
      <c r="AP26" s="479"/>
      <c r="AQ26" s="479"/>
      <c r="AR26" s="479"/>
      <c r="AS26" s="479"/>
      <c r="AT26" s="479"/>
      <c r="AU26" s="479"/>
      <c r="AV26" s="479"/>
      <c r="AW26" s="479"/>
      <c r="AX26" s="479"/>
      <c r="AY26" s="479"/>
      <c r="AZ26" s="479"/>
      <c r="BA26" s="94" t="s">
        <v>3692</v>
      </c>
      <c r="BB26" s="87" t="s">
        <v>3693</v>
      </c>
      <c r="BC26" s="87"/>
      <c r="BD26" s="95" t="s">
        <v>51</v>
      </c>
      <c r="BE26" s="96">
        <v>3</v>
      </c>
      <c r="BF26" s="243" t="s">
        <v>3694</v>
      </c>
      <c r="BG26" s="244" t="s">
        <v>3695</v>
      </c>
      <c r="BH26" s="191" t="s">
        <v>3696</v>
      </c>
      <c r="BI26" s="245" t="s">
        <v>3697</v>
      </c>
      <c r="BJ26" s="191" t="s">
        <v>3698</v>
      </c>
      <c r="BK26" s="245" t="s">
        <v>3699</v>
      </c>
      <c r="BL26" s="244" t="s">
        <v>3700</v>
      </c>
      <c r="BM26" s="191" t="s">
        <v>3701</v>
      </c>
      <c r="BN26" s="241" t="s">
        <v>3702</v>
      </c>
    </row>
    <row r="27" spans="2:66" ht="14.25" customHeight="1">
      <c r="B27" s="94" t="s">
        <v>3703</v>
      </c>
      <c r="C27" s="87" t="s">
        <v>1114</v>
      </c>
      <c r="D27" s="87"/>
      <c r="E27" s="95" t="s">
        <v>51</v>
      </c>
      <c r="F27" s="96">
        <v>3</v>
      </c>
      <c r="G27" s="425">
        <v>0</v>
      </c>
      <c r="H27" s="412">
        <v>0</v>
      </c>
      <c r="I27" s="415">
        <v>0</v>
      </c>
      <c r="J27" s="411">
        <v>0</v>
      </c>
      <c r="K27" s="415">
        <v>0</v>
      </c>
      <c r="L27" s="411">
        <v>0</v>
      </c>
      <c r="M27" s="412">
        <v>0</v>
      </c>
      <c r="N27" s="415">
        <v>0</v>
      </c>
      <c r="O27" s="241">
        <f t="shared" si="5"/>
        <v>0</v>
      </c>
      <c r="P27" s="126"/>
      <c r="Q27" s="126"/>
      <c r="R27" s="24">
        <f t="shared" si="6"/>
        <v>0</v>
      </c>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J27" s="479"/>
      <c r="AK27" s="479"/>
      <c r="AL27" s="479"/>
      <c r="AM27" s="479"/>
      <c r="AN27" s="479"/>
      <c r="AO27" s="479"/>
      <c r="AP27" s="479"/>
      <c r="AQ27" s="479"/>
      <c r="AR27" s="479"/>
      <c r="AS27" s="479"/>
      <c r="AT27" s="479"/>
      <c r="AU27" s="479"/>
      <c r="AV27" s="479"/>
      <c r="AW27" s="479"/>
      <c r="AX27" s="479"/>
      <c r="AY27" s="479"/>
      <c r="AZ27" s="479"/>
      <c r="BA27" s="94" t="s">
        <v>3703</v>
      </c>
      <c r="BB27" s="87" t="s">
        <v>1114</v>
      </c>
      <c r="BC27" s="87"/>
      <c r="BD27" s="95" t="s">
        <v>51</v>
      </c>
      <c r="BE27" s="96">
        <v>3</v>
      </c>
      <c r="BF27" s="2532" t="s">
        <v>3704</v>
      </c>
      <c r="BG27" s="2520" t="s">
        <v>3705</v>
      </c>
      <c r="BH27" s="2661" t="s">
        <v>3706</v>
      </c>
      <c r="BI27" s="2519" t="s">
        <v>3707</v>
      </c>
      <c r="BJ27" s="2661" t="s">
        <v>3708</v>
      </c>
      <c r="BK27" s="2519" t="s">
        <v>3709</v>
      </c>
      <c r="BL27" s="2520" t="s">
        <v>3710</v>
      </c>
      <c r="BM27" s="2661" t="s">
        <v>3711</v>
      </c>
      <c r="BN27" s="241" t="s">
        <v>3712</v>
      </c>
    </row>
    <row r="28" spans="2:66" ht="14.25" customHeight="1" thickBot="1">
      <c r="B28" s="101" t="s">
        <v>3713</v>
      </c>
      <c r="C28" s="102" t="s">
        <v>1186</v>
      </c>
      <c r="D28" s="102"/>
      <c r="E28" s="103" t="s">
        <v>51</v>
      </c>
      <c r="F28" s="100">
        <v>3</v>
      </c>
      <c r="G28" s="242">
        <f t="shared" ref="G28:N28" si="8">SUM(G26:G27)</f>
        <v>50.951000000000008</v>
      </c>
      <c r="H28" s="194">
        <f t="shared" si="8"/>
        <v>55.006999999999991</v>
      </c>
      <c r="I28" s="195">
        <f t="shared" si="8"/>
        <v>25.471</v>
      </c>
      <c r="J28" s="193">
        <f t="shared" si="8"/>
        <v>97.668000000000006</v>
      </c>
      <c r="K28" s="195">
        <f t="shared" si="8"/>
        <v>0.23600000000000002</v>
      </c>
      <c r="L28" s="193">
        <f t="shared" si="8"/>
        <v>0.58400000000000007</v>
      </c>
      <c r="M28" s="194">
        <f t="shared" si="8"/>
        <v>81.167000000000002</v>
      </c>
      <c r="N28" s="195">
        <f t="shared" si="8"/>
        <v>0.10500000000000001</v>
      </c>
      <c r="O28" s="200">
        <f t="shared" si="5"/>
        <v>311.18900000000002</v>
      </c>
      <c r="P28" s="126"/>
      <c r="Q28" s="126"/>
      <c r="S28" s="126"/>
      <c r="T28" s="119"/>
      <c r="V28" s="246"/>
      <c r="W28" s="246"/>
      <c r="X28" s="246"/>
      <c r="Y28" s="246"/>
      <c r="Z28" s="246"/>
      <c r="AA28" s="203"/>
      <c r="AB28" s="203"/>
      <c r="AC28" s="119"/>
      <c r="AE28" s="119"/>
      <c r="AI28" s="119"/>
      <c r="AJ28" s="479"/>
      <c r="AK28" s="479"/>
      <c r="AL28" s="479"/>
      <c r="AM28" s="479"/>
      <c r="AN28" s="479"/>
      <c r="AO28" s="479"/>
      <c r="AP28" s="479"/>
      <c r="AQ28" s="479"/>
      <c r="AR28" s="479"/>
      <c r="AS28" s="479"/>
      <c r="AT28" s="479"/>
      <c r="AU28" s="479"/>
      <c r="AV28" s="479"/>
      <c r="AW28" s="479"/>
      <c r="AX28" s="479"/>
      <c r="AY28" s="479"/>
      <c r="AZ28" s="479"/>
      <c r="BA28" s="101" t="s">
        <v>3713</v>
      </c>
      <c r="BB28" s="102" t="s">
        <v>1186</v>
      </c>
      <c r="BC28" s="102"/>
      <c r="BD28" s="103" t="s">
        <v>51</v>
      </c>
      <c r="BE28" s="100">
        <v>3</v>
      </c>
      <c r="BF28" s="242" t="s">
        <v>3714</v>
      </c>
      <c r="BG28" s="194" t="s">
        <v>3715</v>
      </c>
      <c r="BH28" s="195" t="s">
        <v>3716</v>
      </c>
      <c r="BI28" s="193" t="s">
        <v>3717</v>
      </c>
      <c r="BJ28" s="195" t="s">
        <v>3718</v>
      </c>
      <c r="BK28" s="193" t="s">
        <v>3719</v>
      </c>
      <c r="BL28" s="194" t="s">
        <v>3720</v>
      </c>
      <c r="BM28" s="195" t="s">
        <v>3721</v>
      </c>
      <c r="BN28" s="200" t="s">
        <v>3722</v>
      </c>
    </row>
    <row r="29" spans="2:66" s="479" customFormat="1" ht="15" thickBot="1">
      <c r="P29" s="70"/>
      <c r="Q29" s="70"/>
      <c r="R29" s="70"/>
      <c r="S29" s="70"/>
      <c r="T29" s="71"/>
      <c r="U29" s="70"/>
      <c r="V29" s="70"/>
      <c r="W29" s="70"/>
      <c r="X29" s="70"/>
      <c r="Y29" s="70"/>
      <c r="Z29" s="70"/>
      <c r="AA29" s="203"/>
      <c r="AB29" s="203"/>
      <c r="AC29" s="71"/>
      <c r="AD29" s="2"/>
      <c r="AE29" s="119"/>
      <c r="AF29" s="2"/>
      <c r="AG29" s="2"/>
      <c r="AH29" s="2"/>
      <c r="AI29" s="119"/>
    </row>
    <row r="30" spans="2:66" s="70" customFormat="1" ht="15" thickBot="1">
      <c r="B30" s="3036" t="s">
        <v>335</v>
      </c>
      <c r="C30" s="83" t="s">
        <v>1193</v>
      </c>
      <c r="D30" s="1527"/>
      <c r="E30" s="775"/>
      <c r="F30" s="775"/>
      <c r="G30" s="775"/>
      <c r="H30" s="775"/>
      <c r="I30" s="775"/>
      <c r="J30" s="775"/>
      <c r="K30" s="775"/>
      <c r="L30" s="775"/>
      <c r="M30" s="775"/>
      <c r="N30" s="775"/>
      <c r="O30" s="775"/>
      <c r="T30" s="71"/>
      <c r="AA30" s="203"/>
      <c r="AB30" s="203"/>
      <c r="AC30" s="71"/>
      <c r="AD30" s="2"/>
      <c r="AE30" s="119"/>
      <c r="AF30" s="2"/>
      <c r="AG30" s="2"/>
      <c r="AH30" s="2"/>
      <c r="AI30" s="119"/>
      <c r="BA30" s="3036" t="s">
        <v>335</v>
      </c>
      <c r="BB30" s="83" t="s">
        <v>1193</v>
      </c>
      <c r="BC30" s="1527"/>
      <c r="BD30" s="775"/>
      <c r="BE30" s="775"/>
      <c r="BF30" s="775"/>
      <c r="BG30" s="775"/>
      <c r="BH30" s="775"/>
      <c r="BI30" s="775"/>
      <c r="BJ30" s="775"/>
      <c r="BK30" s="775"/>
      <c r="BL30" s="775"/>
      <c r="BM30" s="775"/>
      <c r="BN30" s="775"/>
    </row>
    <row r="31" spans="2:66" ht="15.75" thickBot="1">
      <c r="B31" s="174" t="s">
        <v>3723</v>
      </c>
      <c r="C31" s="391" t="s">
        <v>1193</v>
      </c>
      <c r="D31" s="391"/>
      <c r="E31" s="175" t="s">
        <v>51</v>
      </c>
      <c r="F31" s="176">
        <v>3</v>
      </c>
      <c r="G31" s="771">
        <v>3.7650000000000001</v>
      </c>
      <c r="H31" s="772">
        <v>4.1509999999999998</v>
      </c>
      <c r="I31" s="773">
        <v>1.738</v>
      </c>
      <c r="J31" s="774">
        <v>0.93600000000000005</v>
      </c>
      <c r="K31" s="773">
        <v>0</v>
      </c>
      <c r="L31" s="774">
        <v>0</v>
      </c>
      <c r="M31" s="772">
        <v>0</v>
      </c>
      <c r="N31" s="773">
        <v>0</v>
      </c>
      <c r="O31" s="399">
        <f t="shared" si="5"/>
        <v>10.59</v>
      </c>
      <c r="P31" s="126"/>
      <c r="Q31" s="1370">
        <f xml:space="preserve"> IF( SUM( AC31:AE31 ) = 0, 0, AH31 )</f>
        <v>0</v>
      </c>
      <c r="R31" s="24">
        <f t="shared" si="6"/>
        <v>0</v>
      </c>
      <c r="U31" s="93">
        <f>IF(Validation!$H$3=1,0,IF(ISNUMBER(G31),0,1))</f>
        <v>0</v>
      </c>
      <c r="V31" s="93">
        <f>IF(Validation!$H$3=1,0,IF(ISNUMBER(H31),0,1))</f>
        <v>0</v>
      </c>
      <c r="W31" s="93">
        <f>IF(Validation!$H$3=1,0,IF(ISNUMBER(I31),0,1))</f>
        <v>0</v>
      </c>
      <c r="X31" s="93">
        <f>IF(Validation!$H$3=1,0,IF(ISNUMBER(J31),0,1))</f>
        <v>0</v>
      </c>
      <c r="Y31" s="93">
        <f>IF(Validation!$H$3=1,0,IF(ISNUMBER(K31),0,1))</f>
        <v>0</v>
      </c>
      <c r="Z31" s="93">
        <f>IF(Validation!$H$3=1,0,IF(ISNUMBER(L31),0,1))</f>
        <v>0</v>
      </c>
      <c r="AA31" s="93">
        <f>IF(Validation!$H$3=1,0,IF(ISNUMBER(M31),0,1))</f>
        <v>0</v>
      </c>
      <c r="AB31" s="93">
        <f>IF(Validation!$H$3=1,0,IF(ISNUMBER(N31),0,1))</f>
        <v>0</v>
      </c>
      <c r="AD31" s="93">
        <f xml:space="preserve"> IF( (AF31 - AG31) = 0, 0, 1 )</f>
        <v>0</v>
      </c>
      <c r="AF31" s="165">
        <f xml:space="preserve"> O31</f>
        <v>10.59</v>
      </c>
      <c r="AG31" s="165">
        <f>'2E'!J24</f>
        <v>10.59</v>
      </c>
      <c r="AH31" s="1554" t="s">
        <v>3724</v>
      </c>
      <c r="AJ31" s="479"/>
      <c r="AK31" s="479"/>
      <c r="AL31" s="479"/>
      <c r="AM31" s="479"/>
      <c r="AN31" s="479"/>
      <c r="AO31" s="479"/>
      <c r="AP31" s="479"/>
      <c r="AQ31" s="479"/>
      <c r="AR31" s="479"/>
      <c r="AS31" s="479"/>
      <c r="AT31" s="479"/>
      <c r="AU31" s="479"/>
      <c r="AV31" s="479"/>
      <c r="AW31" s="479"/>
      <c r="AX31" s="479"/>
      <c r="AY31" s="479"/>
      <c r="AZ31" s="479"/>
      <c r="BA31" s="174" t="s">
        <v>3723</v>
      </c>
      <c r="BB31" s="391" t="s">
        <v>1193</v>
      </c>
      <c r="BC31" s="391"/>
      <c r="BD31" s="175" t="s">
        <v>51</v>
      </c>
      <c r="BE31" s="176">
        <v>3</v>
      </c>
      <c r="BF31" s="2667" t="s">
        <v>3725</v>
      </c>
      <c r="BG31" s="2668" t="s">
        <v>3726</v>
      </c>
      <c r="BH31" s="2669" t="s">
        <v>3727</v>
      </c>
      <c r="BI31" s="2670" t="s">
        <v>3728</v>
      </c>
      <c r="BJ31" s="2669" t="s">
        <v>3729</v>
      </c>
      <c r="BK31" s="2670" t="s">
        <v>3730</v>
      </c>
      <c r="BL31" s="2668" t="s">
        <v>3731</v>
      </c>
      <c r="BM31" s="2669" t="s">
        <v>3732</v>
      </c>
      <c r="BN31" s="399" t="s">
        <v>3733</v>
      </c>
    </row>
    <row r="32" spans="2:66" s="479" customFormat="1" ht="15" thickBot="1">
      <c r="P32" s="70"/>
      <c r="Q32" s="70"/>
      <c r="R32" s="70"/>
      <c r="S32" s="70"/>
      <c r="T32" s="71"/>
      <c r="U32" s="70"/>
      <c r="V32" s="70"/>
      <c r="W32" s="70"/>
      <c r="X32" s="70"/>
      <c r="Y32" s="70"/>
      <c r="Z32" s="70"/>
      <c r="AA32" s="203"/>
      <c r="AB32" s="203"/>
      <c r="AC32" s="71"/>
      <c r="AD32" s="2"/>
      <c r="AE32" s="119"/>
      <c r="AF32" s="2"/>
      <c r="AG32" s="2"/>
      <c r="AH32" s="2"/>
      <c r="AI32" s="119"/>
    </row>
    <row r="33" spans="2:66" ht="14.25" customHeight="1" thickBot="1">
      <c r="B33" s="131" t="s">
        <v>3734</v>
      </c>
      <c r="C33" s="132" t="s">
        <v>1203</v>
      </c>
      <c r="D33" s="132"/>
      <c r="E33" s="133" t="s">
        <v>51</v>
      </c>
      <c r="F33" s="134">
        <v>3</v>
      </c>
      <c r="G33" s="769">
        <f>G18+G28-G31</f>
        <v>77.534000000000006</v>
      </c>
      <c r="H33" s="740">
        <f t="shared" ref="H33:N33" si="9">H18+H28-H31</f>
        <v>81.054999999999993</v>
      </c>
      <c r="I33" s="247">
        <f t="shared" si="9"/>
        <v>42.504000000000005</v>
      </c>
      <c r="J33" s="739">
        <f t="shared" si="9"/>
        <v>197.59099999999998</v>
      </c>
      <c r="K33" s="247">
        <f t="shared" si="9"/>
        <v>1.0629999999999999</v>
      </c>
      <c r="L33" s="739">
        <f t="shared" si="9"/>
        <v>5.4210000000000012</v>
      </c>
      <c r="M33" s="740">
        <f t="shared" si="9"/>
        <v>97.885999999999996</v>
      </c>
      <c r="N33" s="247">
        <f t="shared" si="9"/>
        <v>11.002000000000001</v>
      </c>
      <c r="O33" s="486">
        <f t="shared" si="5"/>
        <v>514.05599999999993</v>
      </c>
      <c r="P33" s="126"/>
      <c r="Q33" s="126"/>
      <c r="S33" s="126"/>
      <c r="T33" s="119"/>
      <c r="U33" s="203"/>
      <c r="V33" s="203"/>
      <c r="W33" s="203"/>
      <c r="X33" s="203"/>
      <c r="Y33" s="203"/>
      <c r="Z33" s="203"/>
      <c r="AA33" s="203"/>
      <c r="AB33" s="203"/>
      <c r="AC33" s="119"/>
      <c r="AE33" s="119"/>
      <c r="AI33" s="119"/>
      <c r="AJ33" s="479"/>
      <c r="AK33" s="479"/>
      <c r="AL33" s="479"/>
      <c r="AM33" s="479"/>
      <c r="AN33" s="479"/>
      <c r="AO33" s="479"/>
      <c r="AP33" s="479"/>
      <c r="AQ33" s="479"/>
      <c r="AR33" s="479"/>
      <c r="AS33" s="479"/>
      <c r="AT33" s="479"/>
      <c r="AU33" s="479"/>
      <c r="AV33" s="479"/>
      <c r="AW33" s="479"/>
      <c r="AX33" s="479"/>
      <c r="AY33" s="479"/>
      <c r="AZ33" s="479"/>
      <c r="BA33" s="131" t="s">
        <v>3734</v>
      </c>
      <c r="BB33" s="132" t="s">
        <v>1203</v>
      </c>
      <c r="BC33" s="132"/>
      <c r="BD33" s="133" t="s">
        <v>51</v>
      </c>
      <c r="BE33" s="134">
        <v>3</v>
      </c>
      <c r="BF33" s="769" t="s">
        <v>3735</v>
      </c>
      <c r="BG33" s="740" t="s">
        <v>3736</v>
      </c>
      <c r="BH33" s="247" t="s">
        <v>3737</v>
      </c>
      <c r="BI33" s="739" t="s">
        <v>3738</v>
      </c>
      <c r="BJ33" s="247" t="s">
        <v>3739</v>
      </c>
      <c r="BK33" s="739" t="s">
        <v>3740</v>
      </c>
      <c r="BL33" s="740" t="s">
        <v>3741</v>
      </c>
      <c r="BM33" s="247" t="s">
        <v>3742</v>
      </c>
      <c r="BN33" s="486" t="s">
        <v>3743</v>
      </c>
    </row>
    <row r="34" spans="2:66" ht="15" thickBot="1">
      <c r="B34" s="479"/>
      <c r="C34" s="479"/>
      <c r="E34" s="479"/>
      <c r="F34" s="479"/>
      <c r="G34" s="479"/>
      <c r="H34" s="479"/>
      <c r="I34" s="479"/>
      <c r="J34" s="479"/>
      <c r="K34" s="479"/>
      <c r="L34" s="479"/>
      <c r="M34" s="479"/>
      <c r="N34" s="479"/>
      <c r="O34" s="479"/>
      <c r="P34" s="126"/>
      <c r="Q34" s="126"/>
      <c r="S34" s="126"/>
      <c r="T34" s="119"/>
      <c r="U34" s="203"/>
      <c r="V34" s="203"/>
      <c r="W34" s="203"/>
      <c r="X34" s="203"/>
      <c r="Y34" s="203"/>
      <c r="Z34" s="203"/>
      <c r="AA34" s="203"/>
      <c r="AB34" s="203"/>
      <c r="AC34" s="119"/>
      <c r="AE34" s="119"/>
      <c r="AI34" s="119"/>
      <c r="AJ34" s="479"/>
      <c r="AK34" s="479"/>
      <c r="AL34" s="479"/>
      <c r="AM34" s="479"/>
      <c r="AN34" s="479"/>
      <c r="AO34" s="479"/>
      <c r="AP34" s="479"/>
      <c r="AQ34" s="479"/>
      <c r="AR34" s="479"/>
      <c r="AS34" s="479"/>
      <c r="AT34" s="479"/>
      <c r="AU34" s="479"/>
      <c r="AV34" s="479"/>
      <c r="AW34" s="479"/>
      <c r="AX34" s="479"/>
      <c r="AY34" s="479"/>
      <c r="AZ34" s="479"/>
    </row>
    <row r="35" spans="2:66" s="70" customFormat="1" ht="15" thickBot="1">
      <c r="B35" s="113" t="s">
        <v>335</v>
      </c>
      <c r="C35" s="114" t="s">
        <v>1210</v>
      </c>
      <c r="D35" s="1505"/>
      <c r="P35" s="126"/>
      <c r="Q35" s="126"/>
      <c r="S35" s="126"/>
      <c r="T35" s="119"/>
      <c r="U35" s="203"/>
      <c r="V35" s="203"/>
      <c r="W35" s="203"/>
      <c r="X35" s="203"/>
      <c r="Y35" s="203"/>
      <c r="Z35" s="203"/>
      <c r="AA35" s="203"/>
      <c r="AB35" s="203"/>
      <c r="AC35" s="119"/>
      <c r="AD35" s="479"/>
      <c r="AE35" s="119"/>
      <c r="AF35" s="479"/>
      <c r="AG35" s="479"/>
      <c r="AH35" s="479"/>
      <c r="AI35" s="119"/>
      <c r="BA35" s="113" t="s">
        <v>335</v>
      </c>
      <c r="BB35" s="114" t="s">
        <v>1210</v>
      </c>
      <c r="BC35" s="1505"/>
    </row>
    <row r="36" spans="2:66" ht="14.25" customHeight="1">
      <c r="B36" s="86" t="s">
        <v>3744</v>
      </c>
      <c r="C36" s="117" t="s">
        <v>1212</v>
      </c>
      <c r="D36" s="117"/>
      <c r="E36" s="88" t="s">
        <v>51</v>
      </c>
      <c r="F36" s="89">
        <v>3</v>
      </c>
      <c r="G36" s="423">
        <v>0</v>
      </c>
      <c r="H36" s="424">
        <v>0</v>
      </c>
      <c r="I36" s="414">
        <v>0</v>
      </c>
      <c r="J36" s="413">
        <v>0</v>
      </c>
      <c r="K36" s="414">
        <v>0</v>
      </c>
      <c r="L36" s="413">
        <v>0</v>
      </c>
      <c r="M36" s="424">
        <v>0</v>
      </c>
      <c r="N36" s="414">
        <v>0</v>
      </c>
      <c r="O36" s="199">
        <f>SUM(G36:N36)</f>
        <v>0</v>
      </c>
      <c r="P36" s="126"/>
      <c r="Q36" s="126"/>
      <c r="R36" s="24">
        <f t="shared" ref="R36:R37" si="10" xml:space="preserve"> IF( SUM( T36:AC36 ) = 0, 0, $U$6 )</f>
        <v>0</v>
      </c>
      <c r="U36" s="93">
        <f>IF(Validation!$H$3=1,0,IF(ISNUMBER(G36),0,1))</f>
        <v>0</v>
      </c>
      <c r="V36" s="93">
        <f>IF(Validation!$H$3=1,0,IF(ISNUMBER(H36),0,1))</f>
        <v>0</v>
      </c>
      <c r="W36" s="93">
        <f>IF(Validation!$H$3=1,0,IF(ISNUMBER(I36),0,1))</f>
        <v>0</v>
      </c>
      <c r="X36" s="93">
        <f>IF(Validation!$H$3=1,0,IF(ISNUMBER(J36),0,1))</f>
        <v>0</v>
      </c>
      <c r="Y36" s="93">
        <f>IF(Validation!$H$3=1,0,IF(ISNUMBER(K36),0,1))</f>
        <v>0</v>
      </c>
      <c r="Z36" s="93">
        <f>IF(Validation!$H$3=1,0,IF(ISNUMBER(L36),0,1))</f>
        <v>0</v>
      </c>
      <c r="AA36" s="93">
        <f>IF(Validation!$H$3=1,0,IF(ISNUMBER(M36),0,1))</f>
        <v>0</v>
      </c>
      <c r="AB36" s="93">
        <f>IF(Validation!$H$3=1,0,IF(ISNUMBER(N36),0,1))</f>
        <v>0</v>
      </c>
      <c r="AJ36" s="479"/>
      <c r="AK36" s="479"/>
      <c r="AL36" s="479"/>
      <c r="AM36" s="479"/>
      <c r="AN36" s="479"/>
      <c r="AO36" s="479"/>
      <c r="AP36" s="479"/>
      <c r="AQ36" s="479"/>
      <c r="AR36" s="479"/>
      <c r="AS36" s="479"/>
      <c r="AT36" s="479"/>
      <c r="AU36" s="479"/>
      <c r="AV36" s="479"/>
      <c r="AW36" s="479"/>
      <c r="AX36" s="479"/>
      <c r="AY36" s="479"/>
      <c r="AZ36" s="479"/>
      <c r="BA36" s="86" t="s">
        <v>3744</v>
      </c>
      <c r="BB36" s="117" t="s">
        <v>1212</v>
      </c>
      <c r="BC36" s="117"/>
      <c r="BD36" s="88" t="s">
        <v>51</v>
      </c>
      <c r="BE36" s="89">
        <v>3</v>
      </c>
      <c r="BF36" s="2575" t="s">
        <v>3745</v>
      </c>
      <c r="BG36" s="2517" t="s">
        <v>3746</v>
      </c>
      <c r="BH36" s="2660" t="s">
        <v>3747</v>
      </c>
      <c r="BI36" s="2516" t="s">
        <v>3748</v>
      </c>
      <c r="BJ36" s="2660" t="s">
        <v>3749</v>
      </c>
      <c r="BK36" s="2516" t="s">
        <v>3750</v>
      </c>
      <c r="BL36" s="2517" t="s">
        <v>3751</v>
      </c>
      <c r="BM36" s="2660" t="s">
        <v>3752</v>
      </c>
      <c r="BN36" s="199" t="s">
        <v>3753</v>
      </c>
    </row>
    <row r="37" spans="2:66" ht="14.25" customHeight="1" thickBot="1">
      <c r="B37" s="101" t="s">
        <v>3754</v>
      </c>
      <c r="C37" s="102" t="s">
        <v>1220</v>
      </c>
      <c r="D37" s="102"/>
      <c r="E37" s="103" t="s">
        <v>51</v>
      </c>
      <c r="F37" s="100">
        <v>3</v>
      </c>
      <c r="G37" s="763">
        <v>0</v>
      </c>
      <c r="H37" s="460">
        <v>0</v>
      </c>
      <c r="I37" s="762">
        <v>0</v>
      </c>
      <c r="J37" s="459">
        <v>0</v>
      </c>
      <c r="K37" s="762">
        <v>0</v>
      </c>
      <c r="L37" s="459">
        <v>0</v>
      </c>
      <c r="M37" s="460">
        <v>0</v>
      </c>
      <c r="N37" s="762">
        <v>0</v>
      </c>
      <c r="O37" s="200">
        <f>SUM(G37:N37)</f>
        <v>0</v>
      </c>
      <c r="P37" s="126"/>
      <c r="Q37" s="126"/>
      <c r="R37" s="24">
        <f t="shared" si="10"/>
        <v>0</v>
      </c>
      <c r="U37" s="93">
        <f>IF(Validation!$H$3=1,0,IF(ISNUMBER(G37),0,1))</f>
        <v>0</v>
      </c>
      <c r="V37" s="93">
        <f>IF(Validation!$H$3=1,0,IF(ISNUMBER(H37),0,1))</f>
        <v>0</v>
      </c>
      <c r="W37" s="93">
        <f>IF(Validation!$H$3=1,0,IF(ISNUMBER(I37),0,1))</f>
        <v>0</v>
      </c>
      <c r="X37" s="93">
        <f>IF(Validation!$H$3=1,0,IF(ISNUMBER(J37),0,1))</f>
        <v>0</v>
      </c>
      <c r="Y37" s="93">
        <f>IF(Validation!$H$3=1,0,IF(ISNUMBER(K37),0,1))</f>
        <v>0</v>
      </c>
      <c r="Z37" s="93">
        <f>IF(Validation!$H$3=1,0,IF(ISNUMBER(L37),0,1))</f>
        <v>0</v>
      </c>
      <c r="AA37" s="93">
        <f>IF(Validation!$H$3=1,0,IF(ISNUMBER(M37),0,1))</f>
        <v>0</v>
      </c>
      <c r="AB37" s="93">
        <f>IF(Validation!$H$3=1,0,IF(ISNUMBER(N37),0,1))</f>
        <v>0</v>
      </c>
      <c r="AJ37" s="479"/>
      <c r="AK37" s="479"/>
      <c r="AL37" s="479"/>
      <c r="AM37" s="479"/>
      <c r="AN37" s="479"/>
      <c r="AO37" s="479"/>
      <c r="AP37" s="479"/>
      <c r="AQ37" s="479"/>
      <c r="AR37" s="479"/>
      <c r="AS37" s="479"/>
      <c r="AT37" s="479"/>
      <c r="AU37" s="479"/>
      <c r="AV37" s="479"/>
      <c r="AW37" s="479"/>
      <c r="AX37" s="479"/>
      <c r="AY37" s="479"/>
      <c r="AZ37" s="479"/>
      <c r="BA37" s="101" t="s">
        <v>3754</v>
      </c>
      <c r="BB37" s="102" t="s">
        <v>1220</v>
      </c>
      <c r="BC37" s="102"/>
      <c r="BD37" s="103" t="s">
        <v>51</v>
      </c>
      <c r="BE37" s="100">
        <v>3</v>
      </c>
      <c r="BF37" s="2666" t="s">
        <v>3755</v>
      </c>
      <c r="BG37" s="2543" t="s">
        <v>3756</v>
      </c>
      <c r="BH37" s="2665" t="s">
        <v>3757</v>
      </c>
      <c r="BI37" s="2542" t="s">
        <v>3758</v>
      </c>
      <c r="BJ37" s="2665" t="s">
        <v>3759</v>
      </c>
      <c r="BK37" s="2542" t="s">
        <v>3760</v>
      </c>
      <c r="BL37" s="2543" t="s">
        <v>3761</v>
      </c>
      <c r="BM37" s="2665" t="s">
        <v>3762</v>
      </c>
      <c r="BN37" s="200" t="s">
        <v>3763</v>
      </c>
    </row>
    <row r="38" spans="2:66" s="479" customFormat="1" ht="15" thickBot="1">
      <c r="P38" s="126"/>
      <c r="Q38" s="126"/>
      <c r="R38" s="70"/>
      <c r="S38" s="126"/>
      <c r="T38" s="119"/>
      <c r="U38" s="203"/>
      <c r="V38" s="203"/>
      <c r="W38" s="203"/>
      <c r="X38" s="203"/>
      <c r="Y38" s="203"/>
      <c r="Z38" s="203"/>
      <c r="AA38" s="203"/>
      <c r="AB38" s="203"/>
      <c r="AC38" s="119"/>
      <c r="AE38" s="119"/>
      <c r="AI38" s="119"/>
    </row>
    <row r="39" spans="2:66" ht="14.25" customHeight="1" thickBot="1">
      <c r="B39" s="131" t="s">
        <v>3764</v>
      </c>
      <c r="C39" s="132" t="s">
        <v>1228</v>
      </c>
      <c r="D39" s="132"/>
      <c r="E39" s="133" t="s">
        <v>51</v>
      </c>
      <c r="F39" s="134">
        <v>3</v>
      </c>
      <c r="G39" s="769">
        <f t="shared" ref="G39:N39" si="11">G33 + G36 + G37</f>
        <v>77.534000000000006</v>
      </c>
      <c r="H39" s="740">
        <f t="shared" si="11"/>
        <v>81.054999999999993</v>
      </c>
      <c r="I39" s="247">
        <f t="shared" si="11"/>
        <v>42.504000000000005</v>
      </c>
      <c r="J39" s="739">
        <f t="shared" si="11"/>
        <v>197.59099999999998</v>
      </c>
      <c r="K39" s="247">
        <f t="shared" si="11"/>
        <v>1.0629999999999999</v>
      </c>
      <c r="L39" s="739">
        <f t="shared" si="11"/>
        <v>5.4210000000000012</v>
      </c>
      <c r="M39" s="740">
        <f t="shared" si="11"/>
        <v>97.885999999999996</v>
      </c>
      <c r="N39" s="247">
        <f t="shared" si="11"/>
        <v>11.002000000000001</v>
      </c>
      <c r="O39" s="486">
        <f>SUM(G39:N39)</f>
        <v>514.05599999999993</v>
      </c>
      <c r="P39" s="126"/>
      <c r="Q39" s="126"/>
      <c r="S39" s="126"/>
      <c r="T39" s="119"/>
      <c r="U39" s="203"/>
      <c r="V39" s="203"/>
      <c r="W39" s="203"/>
      <c r="X39" s="203"/>
      <c r="Y39" s="203"/>
      <c r="Z39" s="203"/>
      <c r="AA39" s="203"/>
      <c r="AB39" s="203"/>
      <c r="AC39" s="119"/>
      <c r="AE39" s="119"/>
      <c r="AI39" s="119"/>
      <c r="AJ39" s="479"/>
      <c r="AK39" s="479"/>
      <c r="AL39" s="479"/>
      <c r="AM39" s="479"/>
      <c r="AN39" s="479"/>
      <c r="AO39" s="479"/>
      <c r="AP39" s="479"/>
      <c r="AQ39" s="479"/>
      <c r="AR39" s="479"/>
      <c r="AS39" s="479"/>
      <c r="AT39" s="479"/>
      <c r="AU39" s="479"/>
      <c r="AV39" s="479"/>
      <c r="AW39" s="479"/>
      <c r="AX39" s="479"/>
      <c r="AY39" s="479"/>
      <c r="AZ39" s="479"/>
      <c r="BA39" s="131" t="s">
        <v>3764</v>
      </c>
      <c r="BB39" s="132" t="s">
        <v>1228</v>
      </c>
      <c r="BC39" s="132"/>
      <c r="BD39" s="133" t="s">
        <v>51</v>
      </c>
      <c r="BE39" s="134">
        <v>3</v>
      </c>
      <c r="BF39" s="769" t="s">
        <v>3765</v>
      </c>
      <c r="BG39" s="740" t="s">
        <v>3766</v>
      </c>
      <c r="BH39" s="247" t="s">
        <v>3767</v>
      </c>
      <c r="BI39" s="739" t="s">
        <v>3768</v>
      </c>
      <c r="BJ39" s="247" t="s">
        <v>3769</v>
      </c>
      <c r="BK39" s="739" t="s">
        <v>3770</v>
      </c>
      <c r="BL39" s="740" t="s">
        <v>3771</v>
      </c>
      <c r="BM39" s="247" t="s">
        <v>3772</v>
      </c>
      <c r="BN39" s="486" t="s">
        <v>3773</v>
      </c>
    </row>
    <row r="40" spans="2:66" ht="15" thickBot="1">
      <c r="B40" s="479"/>
      <c r="C40" s="479"/>
      <c r="E40" s="479"/>
      <c r="F40" s="479"/>
      <c r="G40" s="479"/>
      <c r="H40" s="479"/>
      <c r="I40" s="479"/>
      <c r="J40" s="479"/>
      <c r="K40" s="479"/>
      <c r="L40" s="479"/>
      <c r="M40" s="479"/>
      <c r="N40" s="479"/>
      <c r="O40" s="479"/>
      <c r="P40" s="126"/>
      <c r="Q40" s="126"/>
      <c r="S40" s="118"/>
      <c r="T40" s="124"/>
      <c r="U40" s="203"/>
      <c r="V40" s="203"/>
      <c r="W40" s="203"/>
      <c r="X40" s="203"/>
      <c r="Y40" s="203"/>
      <c r="Z40" s="203"/>
      <c r="AA40" s="203"/>
      <c r="AB40" s="203"/>
      <c r="AC40" s="124"/>
      <c r="AE40" s="124"/>
      <c r="AI40" s="124"/>
      <c r="AJ40" s="479"/>
      <c r="AK40" s="479"/>
      <c r="AL40" s="479"/>
      <c r="AM40" s="479"/>
      <c r="AN40" s="479"/>
      <c r="AO40" s="479"/>
      <c r="AP40" s="479"/>
      <c r="AQ40" s="479"/>
      <c r="AR40" s="479"/>
      <c r="AS40" s="479"/>
      <c r="AT40" s="479"/>
      <c r="AU40" s="479"/>
      <c r="AV40" s="479"/>
      <c r="AW40" s="479"/>
      <c r="AX40" s="479"/>
      <c r="AY40" s="479"/>
      <c r="AZ40" s="479"/>
    </row>
    <row r="41" spans="2:66" ht="15" thickBot="1">
      <c r="B41" s="113" t="s">
        <v>392</v>
      </c>
      <c r="C41" s="114" t="s">
        <v>3453</v>
      </c>
      <c r="D41" s="1505"/>
      <c r="E41" s="70"/>
      <c r="F41" s="70"/>
      <c r="G41" s="479"/>
      <c r="H41" s="479"/>
      <c r="I41" s="479"/>
      <c r="J41" s="479"/>
      <c r="K41" s="479"/>
      <c r="L41" s="479"/>
      <c r="M41" s="479"/>
      <c r="N41" s="479"/>
      <c r="O41" s="479"/>
      <c r="P41" s="126"/>
      <c r="Q41" s="126"/>
      <c r="S41" s="118"/>
      <c r="T41" s="124"/>
      <c r="U41" s="203"/>
      <c r="V41" s="203"/>
      <c r="W41" s="203"/>
      <c r="X41" s="203"/>
      <c r="Y41" s="203"/>
      <c r="Z41" s="203"/>
      <c r="AA41" s="203"/>
      <c r="AB41" s="203"/>
      <c r="AC41" s="124"/>
      <c r="AE41" s="124"/>
      <c r="AI41" s="124"/>
      <c r="AJ41" s="479"/>
      <c r="AK41" s="479"/>
      <c r="AL41" s="479"/>
      <c r="AM41" s="479"/>
      <c r="AN41" s="479"/>
      <c r="AO41" s="479"/>
      <c r="AP41" s="479"/>
      <c r="AQ41" s="479"/>
      <c r="AR41" s="479"/>
      <c r="AS41" s="479"/>
      <c r="AT41" s="479"/>
      <c r="AU41" s="479"/>
      <c r="AV41" s="479"/>
      <c r="AW41" s="479"/>
      <c r="AX41" s="479"/>
      <c r="AY41" s="479"/>
      <c r="AZ41" s="479"/>
      <c r="BA41" s="113" t="s">
        <v>392</v>
      </c>
      <c r="BB41" s="114" t="s">
        <v>3453</v>
      </c>
      <c r="BC41" s="1505"/>
      <c r="BD41" s="70"/>
      <c r="BE41" s="70"/>
    </row>
    <row r="42" spans="2:66" ht="14.25" customHeight="1" thickBot="1">
      <c r="B42" s="86" t="s">
        <v>3774</v>
      </c>
      <c r="C42" s="117" t="s">
        <v>3775</v>
      </c>
      <c r="D42" s="117"/>
      <c r="E42" s="88" t="s">
        <v>3456</v>
      </c>
      <c r="F42" s="215">
        <v>3</v>
      </c>
      <c r="G42" s="426">
        <v>296733.76199999999</v>
      </c>
      <c r="H42" s="479"/>
      <c r="I42" s="479"/>
      <c r="J42" s="479"/>
      <c r="K42" s="479"/>
      <c r="L42" s="479"/>
      <c r="M42" s="479"/>
      <c r="N42" s="479"/>
      <c r="O42" s="479"/>
      <c r="P42" s="126"/>
      <c r="Q42" s="126"/>
      <c r="R42" s="24">
        <f t="shared" ref="R42:R49" si="12" xml:space="preserve"> IF( SUM( T42:AC42 ) = 0, 0, $U$6 )</f>
        <v>0</v>
      </c>
      <c r="S42" s="118"/>
      <c r="T42" s="124"/>
      <c r="U42" s="93">
        <f>IF(Validation!$H$3=1,0,IF(ISNUMBER(G42),0,1))</f>
        <v>0</v>
      </c>
      <c r="V42" s="203"/>
      <c r="W42" s="203"/>
      <c r="X42" s="203"/>
      <c r="Y42" s="203"/>
      <c r="Z42" s="203"/>
      <c r="AA42" s="203"/>
      <c r="AB42" s="203"/>
      <c r="AC42" s="124"/>
      <c r="AE42" s="124"/>
      <c r="AI42" s="124"/>
      <c r="AJ42" s="479"/>
      <c r="AK42" s="479"/>
      <c r="AL42" s="479"/>
      <c r="AM42" s="479"/>
      <c r="AN42" s="479"/>
      <c r="AO42" s="479"/>
      <c r="AP42" s="479"/>
      <c r="AQ42" s="479"/>
      <c r="AR42" s="479"/>
      <c r="AS42" s="479"/>
      <c r="AT42" s="479"/>
      <c r="AU42" s="479"/>
      <c r="AV42" s="479"/>
      <c r="AW42" s="479"/>
      <c r="AX42" s="479"/>
      <c r="AY42" s="479"/>
      <c r="AZ42" s="479"/>
      <c r="BA42" s="86" t="s">
        <v>3774</v>
      </c>
      <c r="BB42" s="117" t="s">
        <v>3775</v>
      </c>
      <c r="BC42" s="117"/>
      <c r="BD42" s="88" t="s">
        <v>3456</v>
      </c>
      <c r="BE42" s="215">
        <v>3</v>
      </c>
      <c r="BF42" s="2523" t="s">
        <v>3776</v>
      </c>
    </row>
    <row r="43" spans="2:66" ht="14.25" customHeight="1" thickBot="1">
      <c r="B43" s="94" t="s">
        <v>3774</v>
      </c>
      <c r="C43" s="87" t="s">
        <v>3775</v>
      </c>
      <c r="D43" s="87"/>
      <c r="E43" s="95" t="s">
        <v>3456</v>
      </c>
      <c r="F43" s="96">
        <v>3</v>
      </c>
      <c r="G43" s="479"/>
      <c r="H43" s="426">
        <v>700806.58400000003</v>
      </c>
      <c r="I43" s="479"/>
      <c r="J43" s="479"/>
      <c r="K43" s="479"/>
      <c r="L43" s="479"/>
      <c r="M43" s="479"/>
      <c r="N43" s="479"/>
      <c r="O43" s="479"/>
      <c r="P43" s="126"/>
      <c r="Q43" s="126"/>
      <c r="R43" s="24">
        <f t="shared" si="12"/>
        <v>0</v>
      </c>
      <c r="U43" s="203"/>
      <c r="V43" s="93">
        <f>IF(Validation!$H$3=1,0,IF(ISNUMBER(H43),0,1))</f>
        <v>0</v>
      </c>
      <c r="W43" s="203"/>
      <c r="X43" s="203"/>
      <c r="Y43" s="203"/>
      <c r="Z43" s="203"/>
      <c r="AA43" s="203"/>
      <c r="AB43" s="203"/>
      <c r="AJ43" s="479"/>
      <c r="AK43" s="479"/>
      <c r="AL43" s="479"/>
      <c r="AM43" s="479"/>
      <c r="AN43" s="479"/>
      <c r="AO43" s="479"/>
      <c r="AP43" s="479"/>
      <c r="AQ43" s="479"/>
      <c r="AR43" s="479"/>
      <c r="AS43" s="479"/>
      <c r="AT43" s="479"/>
      <c r="AU43" s="479"/>
      <c r="AV43" s="479"/>
      <c r="AW43" s="479"/>
      <c r="AX43" s="479"/>
      <c r="AY43" s="479"/>
      <c r="AZ43" s="479"/>
      <c r="BA43" s="94" t="s">
        <v>3774</v>
      </c>
      <c r="BB43" s="87" t="s">
        <v>3775</v>
      </c>
      <c r="BC43" s="87"/>
      <c r="BD43" s="95" t="s">
        <v>3456</v>
      </c>
      <c r="BE43" s="96">
        <v>3</v>
      </c>
      <c r="BG43" s="2523" t="s">
        <v>3777</v>
      </c>
    </row>
    <row r="44" spans="2:66" ht="14.25" customHeight="1" thickBot="1">
      <c r="B44" s="94" t="s">
        <v>3774</v>
      </c>
      <c r="C44" s="87" t="s">
        <v>3775</v>
      </c>
      <c r="D44" s="87"/>
      <c r="E44" s="95" t="s">
        <v>3456</v>
      </c>
      <c r="F44" s="96">
        <v>3</v>
      </c>
      <c r="G44" s="479"/>
      <c r="H44" s="479"/>
      <c r="I44" s="426">
        <v>189217.77799999999</v>
      </c>
      <c r="J44" s="479"/>
      <c r="K44" s="479"/>
      <c r="L44" s="479"/>
      <c r="M44" s="479"/>
      <c r="N44" s="479"/>
      <c r="O44" s="479"/>
      <c r="P44" s="126"/>
      <c r="Q44" s="126"/>
      <c r="R44" s="24">
        <f t="shared" si="12"/>
        <v>0</v>
      </c>
      <c r="U44" s="203"/>
      <c r="V44" s="203"/>
      <c r="W44" s="93">
        <f>IF(Validation!$H$3=1,0,IF(ISNUMBER(I44),0,1))</f>
        <v>0</v>
      </c>
      <c r="X44" s="203"/>
      <c r="Y44" s="203"/>
      <c r="Z44" s="203"/>
      <c r="AA44" s="203"/>
      <c r="AB44" s="203"/>
      <c r="AJ44" s="479"/>
      <c r="AK44" s="479"/>
      <c r="AL44" s="479"/>
      <c r="AM44" s="479"/>
      <c r="AN44" s="479"/>
      <c r="AO44" s="479"/>
      <c r="AP44" s="479"/>
      <c r="AQ44" s="479"/>
      <c r="AR44" s="479"/>
      <c r="AS44" s="479"/>
      <c r="AT44" s="479"/>
      <c r="AU44" s="479"/>
      <c r="AV44" s="479"/>
      <c r="AW44" s="479"/>
      <c r="AX44" s="479"/>
      <c r="AY44" s="479"/>
      <c r="AZ44" s="479"/>
      <c r="BA44" s="94" t="s">
        <v>3774</v>
      </c>
      <c r="BB44" s="87" t="s">
        <v>3775</v>
      </c>
      <c r="BC44" s="87"/>
      <c r="BD44" s="95" t="s">
        <v>3456</v>
      </c>
      <c r="BE44" s="96">
        <v>3</v>
      </c>
      <c r="BH44" s="2523" t="s">
        <v>3778</v>
      </c>
    </row>
    <row r="45" spans="2:66" ht="14.25" customHeight="1" thickBot="1">
      <c r="B45" s="94" t="s">
        <v>3774</v>
      </c>
      <c r="C45" s="87" t="s">
        <v>3779</v>
      </c>
      <c r="D45" s="87"/>
      <c r="E45" s="95" t="s">
        <v>3780</v>
      </c>
      <c r="F45" s="96">
        <v>3</v>
      </c>
      <c r="G45" s="479"/>
      <c r="H45" s="479"/>
      <c r="I45" s="479"/>
      <c r="J45" s="426">
        <v>133384.696</v>
      </c>
      <c r="K45" s="479"/>
      <c r="L45" s="479"/>
      <c r="M45" s="479"/>
      <c r="N45" s="479"/>
      <c r="O45" s="479"/>
      <c r="P45" s="130"/>
      <c r="Q45" s="130"/>
      <c r="R45" s="24">
        <f t="shared" si="12"/>
        <v>0</v>
      </c>
      <c r="U45" s="203"/>
      <c r="V45" s="203"/>
      <c r="W45" s="203"/>
      <c r="X45" s="93">
        <f>IF(Validation!$H$3=1,0,IF(ISNUMBER(J45),0,1))</f>
        <v>0</v>
      </c>
      <c r="Y45" s="203"/>
      <c r="Z45" s="203"/>
      <c r="AA45" s="203"/>
      <c r="AB45" s="203"/>
      <c r="AJ45" s="479"/>
      <c r="AK45" s="479"/>
      <c r="AL45" s="479"/>
      <c r="AM45" s="479"/>
      <c r="AN45" s="479"/>
      <c r="AO45" s="479"/>
      <c r="AP45" s="479"/>
      <c r="AQ45" s="479"/>
      <c r="AR45" s="479"/>
      <c r="AS45" s="479"/>
      <c r="AT45" s="479"/>
      <c r="AU45" s="479"/>
      <c r="AV45" s="479"/>
      <c r="AW45" s="479"/>
      <c r="AX45" s="479"/>
      <c r="AY45" s="479"/>
      <c r="AZ45" s="479"/>
      <c r="BA45" s="94" t="s">
        <v>3774</v>
      </c>
      <c r="BB45" s="87" t="s">
        <v>3779</v>
      </c>
      <c r="BC45" s="87"/>
      <c r="BD45" s="95" t="s">
        <v>3780</v>
      </c>
      <c r="BE45" s="96">
        <v>3</v>
      </c>
      <c r="BI45" s="2523" t="s">
        <v>3781</v>
      </c>
    </row>
    <row r="46" spans="2:66" ht="14.25" customHeight="1" thickBot="1">
      <c r="B46" s="94" t="s">
        <v>3774</v>
      </c>
      <c r="C46" s="87" t="s">
        <v>3779</v>
      </c>
      <c r="D46" s="87"/>
      <c r="E46" s="95" t="s">
        <v>3780</v>
      </c>
      <c r="F46" s="96">
        <v>3</v>
      </c>
      <c r="G46" s="479"/>
      <c r="H46" s="479"/>
      <c r="I46" s="479"/>
      <c r="J46" s="479"/>
      <c r="K46" s="426">
        <v>5356.3149999999996</v>
      </c>
      <c r="L46" s="479"/>
      <c r="M46" s="479"/>
      <c r="N46" s="479"/>
      <c r="O46" s="479"/>
      <c r="P46" s="130"/>
      <c r="Q46" s="130"/>
      <c r="R46" s="24">
        <f t="shared" si="12"/>
        <v>0</v>
      </c>
      <c r="U46" s="203"/>
      <c r="V46" s="203"/>
      <c r="W46" s="203"/>
      <c r="X46" s="203"/>
      <c r="Y46" s="93">
        <f>IF(Validation!$H$3=1,0,IF(ISNUMBER(K46),0,1))</f>
        <v>0</v>
      </c>
      <c r="Z46" s="203"/>
      <c r="AA46" s="203"/>
      <c r="AB46" s="203"/>
      <c r="AJ46" s="479"/>
      <c r="AK46" s="479"/>
      <c r="AL46" s="479"/>
      <c r="AM46" s="479"/>
      <c r="AN46" s="479"/>
      <c r="AO46" s="479"/>
      <c r="AP46" s="479"/>
      <c r="AQ46" s="479"/>
      <c r="AR46" s="479"/>
      <c r="AS46" s="479"/>
      <c r="AT46" s="479"/>
      <c r="AU46" s="479"/>
      <c r="AV46" s="479"/>
      <c r="AW46" s="479"/>
      <c r="AX46" s="479"/>
      <c r="AY46" s="479"/>
      <c r="AZ46" s="479"/>
      <c r="BA46" s="94" t="s">
        <v>3774</v>
      </c>
      <c r="BB46" s="87" t="s">
        <v>3779</v>
      </c>
      <c r="BC46" s="87"/>
      <c r="BD46" s="95" t="s">
        <v>3780</v>
      </c>
      <c r="BE46" s="96">
        <v>3</v>
      </c>
      <c r="BJ46" s="2523" t="s">
        <v>3782</v>
      </c>
    </row>
    <row r="47" spans="2:66" ht="14.25" customHeight="1" thickBot="1">
      <c r="B47" s="94" t="s">
        <v>3774</v>
      </c>
      <c r="C47" s="87" t="s">
        <v>3783</v>
      </c>
      <c r="D47" s="87"/>
      <c r="E47" s="95" t="s">
        <v>3784</v>
      </c>
      <c r="F47" s="96">
        <v>3</v>
      </c>
      <c r="G47" s="479"/>
      <c r="H47" s="479"/>
      <c r="I47" s="479"/>
      <c r="J47" s="479"/>
      <c r="K47" s="479"/>
      <c r="L47" s="426">
        <v>1208982.835</v>
      </c>
      <c r="M47" s="479"/>
      <c r="N47" s="479"/>
      <c r="O47" s="479"/>
      <c r="P47" s="130"/>
      <c r="Q47" s="130"/>
      <c r="R47" s="24">
        <f t="shared" si="12"/>
        <v>0</v>
      </c>
      <c r="U47" s="203"/>
      <c r="V47" s="203"/>
      <c r="W47" s="203"/>
      <c r="X47" s="203"/>
      <c r="Y47" s="203"/>
      <c r="Z47" s="93">
        <f>IF(Validation!$H$3=1,0,IF(ISNUMBER(L47),0,1))</f>
        <v>0</v>
      </c>
      <c r="AA47" s="203"/>
      <c r="AB47" s="203"/>
      <c r="AJ47" s="479"/>
      <c r="AK47" s="479"/>
      <c r="AL47" s="479"/>
      <c r="AM47" s="479"/>
      <c r="AN47" s="479"/>
      <c r="AO47" s="479"/>
      <c r="AP47" s="479"/>
      <c r="AQ47" s="479"/>
      <c r="AR47" s="479"/>
      <c r="AS47" s="479"/>
      <c r="AT47" s="479"/>
      <c r="AU47" s="479"/>
      <c r="AV47" s="479"/>
      <c r="AW47" s="479"/>
      <c r="AX47" s="479"/>
      <c r="AY47" s="479"/>
      <c r="AZ47" s="479"/>
      <c r="BA47" s="94" t="s">
        <v>3774</v>
      </c>
      <c r="BB47" s="87" t="s">
        <v>3783</v>
      </c>
      <c r="BC47" s="87"/>
      <c r="BD47" s="95" t="s">
        <v>3784</v>
      </c>
      <c r="BE47" s="96">
        <v>3</v>
      </c>
      <c r="BK47" s="2523" t="s">
        <v>3785</v>
      </c>
    </row>
    <row r="48" spans="2:66" ht="14.25" customHeight="1" thickBot="1">
      <c r="B48" s="94" t="s">
        <v>3774</v>
      </c>
      <c r="C48" s="87" t="s">
        <v>3786</v>
      </c>
      <c r="D48" s="87"/>
      <c r="E48" s="95" t="s">
        <v>3787</v>
      </c>
      <c r="F48" s="96">
        <v>3</v>
      </c>
      <c r="G48" s="479"/>
      <c r="H48" s="479"/>
      <c r="I48" s="479"/>
      <c r="J48" s="479"/>
      <c r="K48" s="479"/>
      <c r="L48" s="479"/>
      <c r="M48" s="426">
        <v>153.30600000000001</v>
      </c>
      <c r="N48" s="479"/>
      <c r="O48" s="479"/>
      <c r="P48" s="130"/>
      <c r="Q48" s="130"/>
      <c r="R48" s="24">
        <f t="shared" si="12"/>
        <v>0</v>
      </c>
      <c r="S48" s="118"/>
      <c r="T48" s="124"/>
      <c r="U48" s="203"/>
      <c r="V48" s="203"/>
      <c r="W48" s="203"/>
      <c r="X48" s="203"/>
      <c r="Y48" s="203"/>
      <c r="Z48" s="203"/>
      <c r="AA48" s="93">
        <f>IF(Validation!$H$3=1,0,IF(ISNUMBER(M48),0,1))</f>
        <v>0</v>
      </c>
      <c r="AB48" s="203"/>
      <c r="AC48" s="124"/>
      <c r="AE48" s="124"/>
      <c r="AI48" s="124"/>
      <c r="AJ48" s="479"/>
      <c r="AK48" s="479"/>
      <c r="AL48" s="479"/>
      <c r="AM48" s="479"/>
      <c r="AN48" s="479"/>
      <c r="AO48" s="479"/>
      <c r="AP48" s="479"/>
      <c r="AQ48" s="479"/>
      <c r="AR48" s="479"/>
      <c r="AS48" s="479"/>
      <c r="AT48" s="479"/>
      <c r="AU48" s="479"/>
      <c r="AV48" s="479"/>
      <c r="AW48" s="479"/>
      <c r="AX48" s="479"/>
      <c r="AY48" s="479"/>
      <c r="AZ48" s="479"/>
      <c r="BA48" s="94" t="s">
        <v>3774</v>
      </c>
      <c r="BB48" s="87" t="s">
        <v>3786</v>
      </c>
      <c r="BC48" s="87"/>
      <c r="BD48" s="95" t="s">
        <v>3787</v>
      </c>
      <c r="BE48" s="96">
        <v>3</v>
      </c>
      <c r="BL48" s="2523" t="s">
        <v>3788</v>
      </c>
    </row>
    <row r="49" spans="1:65" ht="14.25" customHeight="1" thickBot="1">
      <c r="A49" s="479"/>
      <c r="B49" s="94" t="s">
        <v>3774</v>
      </c>
      <c r="C49" s="87" t="s">
        <v>3789</v>
      </c>
      <c r="D49" s="87"/>
      <c r="E49" s="95" t="s">
        <v>3787</v>
      </c>
      <c r="F49" s="96">
        <v>3</v>
      </c>
      <c r="G49" s="479"/>
      <c r="H49" s="479"/>
      <c r="I49" s="479"/>
      <c r="J49" s="479"/>
      <c r="K49" s="479"/>
      <c r="L49" s="479"/>
      <c r="M49" s="479"/>
      <c r="N49" s="427">
        <v>150.84100000000001</v>
      </c>
      <c r="O49" s="479"/>
      <c r="P49" s="130"/>
      <c r="Q49" s="130"/>
      <c r="R49" s="24">
        <f t="shared" si="12"/>
        <v>0</v>
      </c>
      <c r="U49" s="203"/>
      <c r="V49" s="203"/>
      <c r="W49" s="203"/>
      <c r="X49" s="203"/>
      <c r="Y49" s="203"/>
      <c r="Z49" s="203"/>
      <c r="AA49" s="203"/>
      <c r="AB49" s="93">
        <f>IF(Validation!$H$3=1,0,IF(ISNUMBER(N49),0,1))</f>
        <v>0</v>
      </c>
      <c r="AJ49" s="479"/>
      <c r="AK49" s="479"/>
      <c r="AL49" s="479"/>
      <c r="AM49" s="479"/>
      <c r="AN49" s="479"/>
      <c r="AO49" s="479"/>
      <c r="AP49" s="479"/>
      <c r="AQ49" s="479"/>
      <c r="AR49" s="479"/>
      <c r="AS49" s="479"/>
      <c r="AT49" s="479"/>
      <c r="AU49" s="479"/>
      <c r="AV49" s="479"/>
      <c r="AW49" s="479"/>
      <c r="AX49" s="479"/>
      <c r="AY49" s="479"/>
      <c r="AZ49" s="479"/>
      <c r="BA49" s="94" t="s">
        <v>3774</v>
      </c>
      <c r="BB49" s="87" t="s">
        <v>3789</v>
      </c>
      <c r="BC49" s="87"/>
      <c r="BD49" s="95" t="s">
        <v>3787</v>
      </c>
      <c r="BE49" s="96">
        <v>3</v>
      </c>
      <c r="BM49" s="2536" t="s">
        <v>3790</v>
      </c>
    </row>
    <row r="50" spans="1:65" ht="14.25" customHeight="1">
      <c r="A50" s="479"/>
      <c r="B50" s="94" t="s">
        <v>3512</v>
      </c>
      <c r="C50" s="87" t="s">
        <v>3468</v>
      </c>
      <c r="D50" s="87"/>
      <c r="E50" s="95" t="s">
        <v>3791</v>
      </c>
      <c r="F50" s="96">
        <v>3</v>
      </c>
      <c r="G50" s="188">
        <f xml:space="preserve"> IF( G42 = 0, 0, G18 *1000000 / G42 )</f>
        <v>102.27349862534349</v>
      </c>
      <c r="H50" s="189">
        <f xml:space="preserve"> IF( H43 = 0, 0, H18 *1000000 / H43 )</f>
        <v>43.091775519049627</v>
      </c>
      <c r="I50" s="189">
        <f xml:space="preserve"> IF( I44 = 0, 0, I18 *1000000 / I44 )</f>
        <v>99.203152042087723</v>
      </c>
      <c r="J50" s="189">
        <f xml:space="preserve"> IF( J45 = 0, 0, J18 *1000000 / J45 )</f>
        <v>756.15121542879251</v>
      </c>
      <c r="K50" s="189">
        <f xml:space="preserve"> IF( K46 = 0, 0, K18 *1000000 / K46 )</f>
        <v>154.39719284620116</v>
      </c>
      <c r="L50" s="189">
        <f xml:space="preserve"> IF( L47 = 0, 0, L18 *1000000 / L47 )</f>
        <v>4.0008839331453379</v>
      </c>
      <c r="M50" s="189">
        <f xml:space="preserve"> IF( M48 = 0, 0, M18 *1000000 / M48 )</f>
        <v>109056.39700990178</v>
      </c>
      <c r="N50" s="397">
        <f xml:space="preserve"> IF( N49 = 0, 0, N18 *1000000 / N49 )</f>
        <v>72241.631917051724</v>
      </c>
      <c r="O50" s="479"/>
      <c r="P50" s="130"/>
      <c r="Q50" s="130"/>
      <c r="U50" s="203"/>
      <c r="V50" s="203"/>
      <c r="W50" s="203"/>
      <c r="X50" s="203"/>
      <c r="Y50" s="203"/>
      <c r="Z50" s="203"/>
      <c r="AA50" s="203"/>
      <c r="AB50" s="203"/>
      <c r="AJ50" s="479"/>
      <c r="AK50" s="479"/>
      <c r="AL50" s="479"/>
      <c r="AM50" s="479"/>
      <c r="AN50" s="479"/>
      <c r="AO50" s="479"/>
      <c r="AP50" s="479"/>
      <c r="AQ50" s="479"/>
      <c r="AR50" s="479"/>
      <c r="AS50" s="479"/>
      <c r="AT50" s="479"/>
      <c r="AU50" s="479"/>
      <c r="AV50" s="479"/>
      <c r="AW50" s="479"/>
      <c r="AX50" s="479"/>
      <c r="AY50" s="479"/>
      <c r="AZ50" s="479"/>
      <c r="BA50" s="94" t="s">
        <v>3512</v>
      </c>
      <c r="BB50" s="87" t="s">
        <v>3468</v>
      </c>
      <c r="BC50" s="87"/>
      <c r="BD50" s="95" t="s">
        <v>3791</v>
      </c>
      <c r="BE50" s="96">
        <v>3</v>
      </c>
      <c r="BF50" s="188" t="s">
        <v>3792</v>
      </c>
      <c r="BG50" s="189" t="s">
        <v>3793</v>
      </c>
      <c r="BH50" s="189" t="s">
        <v>3794</v>
      </c>
      <c r="BI50" s="189" t="s">
        <v>3795</v>
      </c>
      <c r="BJ50" s="189" t="s">
        <v>3796</v>
      </c>
      <c r="BK50" s="189" t="s">
        <v>3797</v>
      </c>
      <c r="BL50" s="189" t="s">
        <v>3798</v>
      </c>
      <c r="BM50" s="397" t="s">
        <v>3799</v>
      </c>
    </row>
    <row r="51" spans="1:65" s="479" customFormat="1">
      <c r="B51" s="94" t="s">
        <v>3514</v>
      </c>
      <c r="C51" s="87" t="s">
        <v>3477</v>
      </c>
      <c r="D51" s="87"/>
      <c r="E51" s="95" t="s">
        <v>3101</v>
      </c>
      <c r="F51" s="96">
        <v>3</v>
      </c>
      <c r="G51" s="425">
        <v>5217.0190000000002</v>
      </c>
      <c r="H51" s="412">
        <v>5217.0190000000002</v>
      </c>
      <c r="I51" s="415">
        <v>5217.0190000000002</v>
      </c>
      <c r="J51" s="411">
        <v>5217.0190000000002</v>
      </c>
      <c r="K51" s="415">
        <v>5217.0190000000002</v>
      </c>
      <c r="L51" s="411">
        <v>5217.0190000000002</v>
      </c>
      <c r="M51" s="412">
        <v>5217.0190000000002</v>
      </c>
      <c r="N51" s="415">
        <v>5217.0190000000002</v>
      </c>
      <c r="P51" s="130"/>
      <c r="Q51" s="130"/>
      <c r="R51" s="24">
        <f t="shared" ref="R51" si="13" xml:space="preserve"> IF( SUM( T51:AC51 ) = 0, 0, $U$6 )</f>
        <v>0</v>
      </c>
      <c r="S51" s="70"/>
      <c r="T51" s="71"/>
      <c r="U51" s="93">
        <f>IF(Validation!$H$3=1,0,IF(ISNUMBER(G51),0,1))</f>
        <v>0</v>
      </c>
      <c r="V51" s="93">
        <f>IF(Validation!$H$3=1,0,IF(ISNUMBER(H51),0,1))</f>
        <v>0</v>
      </c>
      <c r="W51" s="93">
        <f>IF(Validation!$H$3=1,0,IF(ISNUMBER(I51),0,1))</f>
        <v>0</v>
      </c>
      <c r="X51" s="93">
        <f>IF(Validation!$H$3=1,0,IF(ISNUMBER(J51),0,1))</f>
        <v>0</v>
      </c>
      <c r="Y51" s="93">
        <f>IF(Validation!$H$3=1,0,IF(ISNUMBER(K51),0,1))</f>
        <v>0</v>
      </c>
      <c r="Z51" s="93">
        <f>IF(Validation!$H$3=1,0,IF(ISNUMBER(L51),0,1))</f>
        <v>0</v>
      </c>
      <c r="AA51" s="93">
        <f>IF(Validation!$H$3=1,0,IF(ISNUMBER(M51),0,1))</f>
        <v>0</v>
      </c>
      <c r="AB51" s="93">
        <f>IF(Validation!$H$3=1,0,IF(ISNUMBER(N51),0,1))</f>
        <v>0</v>
      </c>
      <c r="AC51" s="71"/>
      <c r="AE51" s="71"/>
      <c r="AI51" s="71"/>
      <c r="BA51" s="94" t="s">
        <v>3514</v>
      </c>
      <c r="BB51" s="87" t="s">
        <v>3477</v>
      </c>
      <c r="BC51" s="87"/>
      <c r="BD51" s="95" t="s">
        <v>3101</v>
      </c>
      <c r="BE51" s="96">
        <v>3</v>
      </c>
      <c r="BF51" s="2532" t="s">
        <v>3800</v>
      </c>
      <c r="BG51" s="2520" t="s">
        <v>3801</v>
      </c>
      <c r="BH51" s="2661" t="s">
        <v>3802</v>
      </c>
      <c r="BI51" s="2519" t="s">
        <v>3803</v>
      </c>
      <c r="BJ51" s="2661" t="s">
        <v>3804</v>
      </c>
      <c r="BK51" s="2519" t="s">
        <v>3805</v>
      </c>
      <c r="BL51" s="2520" t="s">
        <v>3806</v>
      </c>
      <c r="BM51" s="2661" t="s">
        <v>3807</v>
      </c>
    </row>
    <row r="52" spans="1:65" s="479" customFormat="1" ht="15" thickBot="1">
      <c r="B52" s="101" t="s">
        <v>3516</v>
      </c>
      <c r="C52" s="102" t="s">
        <v>3468</v>
      </c>
      <c r="D52" s="102"/>
      <c r="E52" s="103" t="s">
        <v>3485</v>
      </c>
      <c r="F52" s="225">
        <v>3</v>
      </c>
      <c r="G52" s="193">
        <f xml:space="preserve"> IF( G51 = 0, 0, G18 * 1000 / G51 )</f>
        <v>5.8171150996383183</v>
      </c>
      <c r="H52" s="194">
        <f t="shared" ref="H52:L52" si="14" xml:space="preserve"> IF( H51 = 0, 0, H18 * 1000 / H51 )</f>
        <v>5.7885547282844847</v>
      </c>
      <c r="I52" s="195">
        <f t="shared" si="14"/>
        <v>3.598031749548928</v>
      </c>
      <c r="J52" s="193">
        <f t="shared" si="14"/>
        <v>19.332687881719426</v>
      </c>
      <c r="K52" s="195">
        <f t="shared" si="14"/>
        <v>0.15851964503100333</v>
      </c>
      <c r="L52" s="193">
        <f t="shared" si="14"/>
        <v>0.9271578271039459</v>
      </c>
      <c r="M52" s="194">
        <f t="shared" ref="M52" si="15" xml:space="preserve"> IF( M51 = 0, 0, M18 * 1000 / M51 )</f>
        <v>3.204703682313597</v>
      </c>
      <c r="N52" s="195">
        <f t="shared" ref="N52" si="16" xml:space="preserve"> IF( N51 = 0, 0, N18 * 1000 / N51 )</f>
        <v>2.0887407157229059</v>
      </c>
      <c r="P52" s="130"/>
      <c r="Q52" s="130"/>
      <c r="R52" s="70"/>
      <c r="S52" s="70"/>
      <c r="T52" s="71"/>
      <c r="U52" s="127"/>
      <c r="V52" s="127"/>
      <c r="W52" s="127"/>
      <c r="X52" s="127"/>
      <c r="Y52" s="127"/>
      <c r="Z52" s="127"/>
      <c r="AA52" s="127"/>
      <c r="AB52" s="127"/>
      <c r="AC52" s="71"/>
      <c r="AE52" s="71"/>
      <c r="AI52" s="71"/>
      <c r="BA52" s="101" t="s">
        <v>3516</v>
      </c>
      <c r="BB52" s="102" t="s">
        <v>3468</v>
      </c>
      <c r="BC52" s="102"/>
      <c r="BD52" s="103" t="s">
        <v>3485</v>
      </c>
      <c r="BE52" s="225">
        <v>3</v>
      </c>
      <c r="BF52" s="193" t="s">
        <v>3808</v>
      </c>
      <c r="BG52" s="194" t="s">
        <v>3809</v>
      </c>
      <c r="BH52" s="195" t="s">
        <v>3810</v>
      </c>
      <c r="BI52" s="193" t="s">
        <v>3811</v>
      </c>
      <c r="BJ52" s="195" t="s">
        <v>3812</v>
      </c>
      <c r="BK52" s="193" t="s">
        <v>3813</v>
      </c>
      <c r="BL52" s="194" t="s">
        <v>3814</v>
      </c>
      <c r="BM52" s="195" t="s">
        <v>3815</v>
      </c>
    </row>
    <row r="53" spans="1:65">
      <c r="A53" s="479"/>
      <c r="B53" s="479"/>
      <c r="C53" s="479"/>
      <c r="E53" s="479"/>
      <c r="F53" s="479"/>
      <c r="G53" s="479"/>
      <c r="H53" s="479"/>
      <c r="I53" s="479"/>
      <c r="J53" s="479"/>
      <c r="K53" s="479"/>
      <c r="L53" s="479"/>
      <c r="M53" s="479"/>
      <c r="N53" s="479"/>
      <c r="O53" s="479"/>
      <c r="P53" s="130"/>
      <c r="Q53" s="130"/>
      <c r="U53" s="203"/>
      <c r="V53" s="203"/>
      <c r="W53" s="203"/>
      <c r="X53" s="203"/>
      <c r="Y53" s="203"/>
      <c r="Z53" s="203"/>
      <c r="AA53" s="203"/>
      <c r="AB53" s="203"/>
      <c r="AJ53" s="479"/>
      <c r="AK53" s="479"/>
      <c r="AL53" s="479"/>
      <c r="AM53" s="479"/>
      <c r="AN53" s="479"/>
      <c r="AO53" s="479"/>
      <c r="AP53" s="479"/>
      <c r="AQ53" s="479"/>
      <c r="AR53" s="479"/>
      <c r="AS53" s="479"/>
      <c r="AT53" s="479"/>
      <c r="AU53" s="479"/>
      <c r="AV53" s="479"/>
      <c r="AW53" s="479"/>
      <c r="AX53" s="479"/>
      <c r="AY53" s="479"/>
      <c r="AZ53" s="479"/>
    </row>
    <row r="54" spans="1:65">
      <c r="A54" s="479"/>
      <c r="B54" s="3077" t="s">
        <v>243</v>
      </c>
      <c r="C54" s="3077"/>
      <c r="D54" s="2988"/>
      <c r="E54" s="163"/>
      <c r="F54" s="163"/>
      <c r="G54" s="163"/>
      <c r="H54" s="163"/>
      <c r="I54" s="126"/>
      <c r="J54" s="479"/>
      <c r="K54" s="479"/>
      <c r="L54" s="479"/>
      <c r="M54" s="479"/>
      <c r="N54" s="479"/>
      <c r="O54" s="479"/>
      <c r="P54" s="130"/>
      <c r="Q54" s="130"/>
      <c r="U54" s="203"/>
      <c r="V54" s="203"/>
      <c r="W54" s="203"/>
      <c r="X54" s="203"/>
      <c r="Y54" s="203"/>
      <c r="Z54" s="203"/>
      <c r="AA54" s="203"/>
      <c r="AB54" s="203"/>
      <c r="AJ54" s="479"/>
      <c r="AK54" s="479"/>
      <c r="AL54" s="479"/>
      <c r="AM54" s="479"/>
      <c r="AN54" s="479"/>
      <c r="AO54" s="479"/>
      <c r="AP54" s="479"/>
      <c r="AQ54" s="479"/>
      <c r="AR54" s="479"/>
      <c r="AS54" s="479"/>
      <c r="AT54" s="479"/>
      <c r="AU54" s="479"/>
      <c r="AV54" s="479"/>
      <c r="AW54" s="479"/>
      <c r="AX54" s="479"/>
      <c r="AY54" s="479"/>
      <c r="AZ54" s="479"/>
    </row>
    <row r="55" spans="1:65">
      <c r="A55" s="479"/>
      <c r="B55" s="141"/>
      <c r="C55" s="142"/>
      <c r="D55" s="142"/>
      <c r="E55" s="163"/>
      <c r="F55" s="163"/>
      <c r="G55" s="163"/>
      <c r="H55" s="163"/>
      <c r="I55" s="126"/>
      <c r="J55" s="479"/>
      <c r="K55" s="479"/>
      <c r="L55" s="479"/>
      <c r="M55" s="479"/>
      <c r="N55" s="479"/>
      <c r="O55" s="479"/>
      <c r="P55" s="130"/>
      <c r="Q55" s="130"/>
      <c r="U55" s="203"/>
      <c r="V55" s="203"/>
      <c r="W55" s="203"/>
      <c r="X55" s="203"/>
      <c r="Y55" s="203"/>
      <c r="Z55" s="203"/>
      <c r="AA55" s="203"/>
      <c r="AB55" s="203"/>
      <c r="AJ55" s="479"/>
      <c r="AK55" s="479"/>
      <c r="AL55" s="479"/>
      <c r="AM55" s="479"/>
      <c r="AN55" s="479"/>
      <c r="AO55" s="479"/>
      <c r="AP55" s="479"/>
      <c r="AQ55" s="479"/>
      <c r="AR55" s="479"/>
      <c r="AS55" s="479"/>
      <c r="AT55" s="479"/>
      <c r="AU55" s="479"/>
      <c r="AV55" s="479"/>
      <c r="AW55" s="479"/>
      <c r="AX55" s="479"/>
      <c r="AY55" s="479"/>
      <c r="AZ55" s="479"/>
    </row>
    <row r="56" spans="1:65">
      <c r="A56" s="479"/>
      <c r="B56" s="25"/>
      <c r="C56" s="143" t="s">
        <v>190</v>
      </c>
      <c r="D56" s="143"/>
      <c r="E56" s="163"/>
      <c r="F56" s="163"/>
      <c r="G56" s="163"/>
      <c r="H56" s="163"/>
      <c r="I56" s="126"/>
      <c r="J56" s="479"/>
      <c r="K56" s="479"/>
      <c r="L56" s="479"/>
      <c r="M56" s="479"/>
      <c r="N56" s="479"/>
      <c r="O56" s="479"/>
      <c r="P56" s="130"/>
      <c r="Q56" s="130"/>
      <c r="U56" s="203"/>
      <c r="V56" s="203"/>
      <c r="W56" s="203"/>
      <c r="X56" s="203"/>
      <c r="Y56" s="203"/>
      <c r="Z56" s="203"/>
      <c r="AA56" s="203"/>
      <c r="AB56" s="203"/>
      <c r="AJ56" s="479"/>
      <c r="AK56" s="479"/>
      <c r="AL56" s="479"/>
      <c r="AM56" s="479"/>
      <c r="AN56" s="479"/>
      <c r="AO56" s="479"/>
      <c r="AP56" s="479"/>
      <c r="AQ56" s="479"/>
      <c r="AR56" s="479"/>
      <c r="AS56" s="479"/>
      <c r="AT56" s="479"/>
      <c r="AU56" s="479"/>
      <c r="AV56" s="479"/>
      <c r="AW56" s="479"/>
      <c r="AX56" s="479"/>
      <c r="AY56" s="479"/>
      <c r="AZ56" s="479"/>
    </row>
    <row r="57" spans="1:65">
      <c r="A57" s="479"/>
      <c r="B57" s="141"/>
      <c r="C57" s="142"/>
      <c r="D57" s="142"/>
      <c r="E57" s="163"/>
      <c r="F57" s="163"/>
      <c r="G57" s="163"/>
      <c r="H57" s="163"/>
      <c r="I57" s="126"/>
      <c r="J57" s="479"/>
      <c r="K57" s="479"/>
      <c r="L57" s="479"/>
      <c r="M57" s="479"/>
      <c r="N57" s="479"/>
      <c r="O57" s="479"/>
      <c r="P57" s="130"/>
      <c r="Q57" s="130"/>
      <c r="U57" s="203"/>
      <c r="V57" s="203"/>
      <c r="W57" s="203"/>
      <c r="X57" s="203"/>
      <c r="Y57" s="203"/>
      <c r="Z57" s="203"/>
      <c r="AA57" s="203"/>
      <c r="AB57" s="203"/>
      <c r="AJ57" s="479"/>
      <c r="AK57" s="479"/>
      <c r="AL57" s="479"/>
      <c r="AM57" s="479"/>
      <c r="AN57" s="479"/>
      <c r="AO57" s="479"/>
      <c r="AP57" s="479"/>
      <c r="AQ57" s="479"/>
      <c r="AR57" s="479"/>
      <c r="AS57" s="479"/>
      <c r="AT57" s="479"/>
      <c r="AU57" s="479"/>
      <c r="AV57" s="479"/>
      <c r="AW57" s="479"/>
      <c r="AX57" s="479"/>
      <c r="AY57" s="479"/>
      <c r="AZ57" s="479"/>
    </row>
    <row r="58" spans="1:65">
      <c r="A58" s="479"/>
      <c r="B58" s="144"/>
      <c r="C58" s="143" t="s">
        <v>191</v>
      </c>
      <c r="D58" s="143"/>
      <c r="E58" s="163"/>
      <c r="F58" s="163"/>
      <c r="G58" s="163"/>
      <c r="H58" s="163"/>
      <c r="I58" s="126"/>
      <c r="J58" s="479"/>
      <c r="K58" s="479"/>
      <c r="L58" s="479"/>
      <c r="M58" s="479"/>
      <c r="N58" s="479"/>
      <c r="O58" s="479"/>
      <c r="P58" s="130"/>
      <c r="Q58" s="130"/>
      <c r="U58" s="203"/>
      <c r="V58" s="203"/>
      <c r="W58" s="203"/>
      <c r="X58" s="203"/>
      <c r="Y58" s="203"/>
      <c r="Z58" s="203"/>
      <c r="AA58" s="203"/>
      <c r="AB58" s="203"/>
      <c r="AJ58" s="479"/>
      <c r="AK58" s="479"/>
      <c r="AL58" s="479"/>
      <c r="AM58" s="479"/>
      <c r="AN58" s="479"/>
      <c r="AO58" s="479"/>
      <c r="AP58" s="479"/>
      <c r="AQ58" s="479"/>
      <c r="AR58" s="479"/>
      <c r="AS58" s="479"/>
      <c r="AT58" s="479"/>
      <c r="AU58" s="479"/>
      <c r="AV58" s="479"/>
      <c r="AW58" s="479"/>
      <c r="AX58" s="479"/>
      <c r="AY58" s="479"/>
      <c r="AZ58" s="479"/>
    </row>
    <row r="59" spans="1:65">
      <c r="A59" s="479"/>
      <c r="B59" s="145"/>
      <c r="C59" s="143"/>
      <c r="D59" s="143"/>
      <c r="E59" s="163"/>
      <c r="F59" s="163"/>
      <c r="G59" s="163"/>
      <c r="H59" s="163"/>
      <c r="I59" s="126"/>
      <c r="J59" s="479"/>
      <c r="K59" s="479"/>
      <c r="L59" s="479"/>
      <c r="M59" s="479"/>
      <c r="N59" s="479"/>
      <c r="O59" s="479"/>
      <c r="P59" s="130"/>
      <c r="Q59" s="130"/>
      <c r="U59" s="203"/>
      <c r="V59" s="203"/>
      <c r="W59" s="203"/>
      <c r="X59" s="203"/>
      <c r="Y59" s="203"/>
      <c r="Z59" s="203"/>
      <c r="AA59" s="203"/>
      <c r="AB59" s="203"/>
      <c r="AJ59" s="479"/>
      <c r="AK59" s="479"/>
      <c r="AL59" s="479"/>
      <c r="AM59" s="479"/>
      <c r="AN59" s="479"/>
      <c r="AO59" s="479"/>
      <c r="AP59" s="479"/>
      <c r="AQ59" s="479"/>
      <c r="AR59" s="479"/>
      <c r="AS59" s="479"/>
      <c r="AT59" s="479"/>
      <c r="AU59" s="479"/>
      <c r="AV59" s="479"/>
      <c r="AW59" s="479"/>
      <c r="AX59" s="479"/>
      <c r="AY59" s="479"/>
      <c r="AZ59" s="479"/>
    </row>
    <row r="60" spans="1:65" ht="15" thickBot="1">
      <c r="A60" s="479"/>
      <c r="B60" s="178"/>
      <c r="C60" s="179"/>
      <c r="D60" s="179"/>
      <c r="E60" s="178"/>
      <c r="F60" s="178"/>
      <c r="G60" s="178"/>
      <c r="H60" s="178"/>
      <c r="I60" s="130"/>
      <c r="J60" s="479"/>
      <c r="K60" s="479"/>
      <c r="L60" s="479"/>
      <c r="M60" s="479"/>
      <c r="N60" s="479"/>
      <c r="O60" s="479"/>
      <c r="P60" s="130"/>
      <c r="Q60" s="130"/>
      <c r="U60" s="203"/>
      <c r="V60" s="203"/>
      <c r="W60" s="203"/>
      <c r="X60" s="203"/>
      <c r="Y60" s="203"/>
      <c r="Z60" s="203"/>
      <c r="AA60" s="203"/>
      <c r="AB60" s="203"/>
      <c r="AJ60" s="479"/>
      <c r="AK60" s="479"/>
      <c r="AL60" s="479"/>
      <c r="AM60" s="479"/>
      <c r="AN60" s="479"/>
      <c r="AO60" s="479"/>
      <c r="AP60" s="479"/>
      <c r="AQ60" s="479"/>
      <c r="AR60" s="479"/>
      <c r="AS60" s="479"/>
      <c r="AT60" s="479"/>
      <c r="AU60" s="479"/>
      <c r="AV60" s="479"/>
      <c r="AW60" s="479"/>
      <c r="AX60" s="479"/>
      <c r="AY60" s="479"/>
      <c r="AZ60" s="479"/>
    </row>
    <row r="61" spans="1:65" s="479" customFormat="1" ht="21" thickBot="1">
      <c r="B61" s="3053" t="str">
        <f>'4D'!B59</f>
        <v>Please refer to RAG 4.08 - Guideline for the table definitions in the annual performance report for the reporting year 2019-20</v>
      </c>
      <c r="C61" s="148"/>
      <c r="D61" s="148"/>
      <c r="E61" s="148"/>
      <c r="F61" s="148"/>
      <c r="G61" s="148"/>
      <c r="H61" s="148"/>
      <c r="I61" s="148"/>
      <c r="J61" s="148"/>
      <c r="K61" s="148"/>
      <c r="L61" s="148"/>
      <c r="M61" s="148"/>
      <c r="N61" s="148"/>
      <c r="O61" s="154"/>
      <c r="P61" s="130"/>
      <c r="Q61" s="130"/>
      <c r="R61" s="70"/>
      <c r="S61" s="70"/>
      <c r="T61" s="71"/>
      <c r="U61" s="203"/>
      <c r="V61" s="203"/>
      <c r="W61" s="203"/>
      <c r="X61" s="203"/>
      <c r="Y61" s="203"/>
      <c r="Z61" s="203"/>
      <c r="AA61" s="203"/>
      <c r="AB61" s="203"/>
      <c r="AC61" s="71"/>
      <c r="AE61" s="71"/>
      <c r="AI61" s="71"/>
    </row>
    <row r="62" spans="1:65" s="479" customFormat="1">
      <c r="B62" s="178"/>
      <c r="C62" s="179"/>
      <c r="D62" s="179"/>
      <c r="E62" s="178"/>
      <c r="F62" s="178"/>
      <c r="G62" s="178"/>
      <c r="H62" s="178"/>
      <c r="I62" s="130"/>
      <c r="P62" s="130"/>
      <c r="Q62" s="130"/>
      <c r="R62" s="70"/>
      <c r="S62" s="70"/>
      <c r="T62" s="71"/>
      <c r="U62" s="203"/>
      <c r="V62" s="203"/>
      <c r="W62" s="203"/>
      <c r="X62" s="203"/>
      <c r="Y62" s="203"/>
      <c r="Z62" s="203"/>
      <c r="AA62" s="203"/>
      <c r="AB62" s="203"/>
      <c r="AC62" s="71"/>
      <c r="AE62" s="71"/>
      <c r="AI62" s="71"/>
    </row>
    <row r="63" spans="1:65" ht="21" hidden="1" thickBot="1">
      <c r="A63" s="1566"/>
      <c r="B63" s="146" t="str">
        <f ca="1" xml:space="preserve"> RIGHT(CELL("filename", $A$1), LEN(CELL("filename", $A$1)) - SEARCH("]", CELL("filename", $A$1)))&amp;" - Line definitions"</f>
        <v>4E - Line definitions</v>
      </c>
      <c r="C63" s="147"/>
      <c r="D63" s="147"/>
      <c r="E63" s="148"/>
      <c r="F63" s="148"/>
      <c r="G63" s="148"/>
      <c r="H63" s="148"/>
      <c r="I63" s="148"/>
      <c r="J63" s="148"/>
      <c r="K63" s="148"/>
      <c r="L63" s="148"/>
      <c r="M63" s="148"/>
      <c r="N63" s="148"/>
      <c r="O63" s="154"/>
      <c r="P63" s="130"/>
      <c r="Q63" s="130"/>
      <c r="V63" s="203"/>
      <c r="W63" s="203"/>
      <c r="X63" s="203"/>
      <c r="Y63" s="203"/>
      <c r="Z63" s="203"/>
      <c r="AA63" s="203"/>
      <c r="AB63" s="203"/>
      <c r="AJ63" s="479"/>
      <c r="AK63" s="479"/>
      <c r="AL63" s="479"/>
      <c r="AM63" s="479"/>
      <c r="AN63" s="479"/>
      <c r="AO63" s="479"/>
      <c r="AP63" s="479"/>
      <c r="AQ63" s="479"/>
      <c r="AR63" s="479"/>
      <c r="AS63" s="479"/>
      <c r="AT63" s="479"/>
      <c r="AU63" s="479"/>
      <c r="AV63" s="479"/>
      <c r="AW63" s="479"/>
      <c r="AX63" s="479"/>
      <c r="AY63" s="479"/>
      <c r="AZ63" s="479"/>
    </row>
    <row r="64" spans="1:65" ht="15" hidden="1" thickBot="1">
      <c r="A64" s="1566"/>
      <c r="B64" s="74"/>
      <c r="C64" s="155"/>
      <c r="D64" s="155"/>
      <c r="E64" s="74"/>
      <c r="F64" s="74"/>
      <c r="G64" s="74"/>
      <c r="H64" s="110"/>
      <c r="I64" s="118"/>
      <c r="J64" s="479"/>
      <c r="K64" s="479"/>
      <c r="L64" s="479"/>
      <c r="M64" s="479"/>
      <c r="N64" s="479"/>
      <c r="O64" s="479"/>
      <c r="P64" s="130"/>
      <c r="Q64" s="130"/>
      <c r="V64" s="203"/>
      <c r="W64" s="203"/>
      <c r="X64" s="203"/>
      <c r="Y64" s="203"/>
      <c r="Z64" s="203"/>
      <c r="AA64" s="203"/>
      <c r="AB64" s="203"/>
      <c r="AJ64" s="479"/>
      <c r="AK64" s="479"/>
      <c r="AL64" s="479"/>
      <c r="AM64" s="479"/>
      <c r="AN64" s="479"/>
      <c r="AO64" s="479"/>
      <c r="AP64" s="479"/>
      <c r="AQ64" s="479"/>
      <c r="AR64" s="479"/>
      <c r="AS64" s="479"/>
      <c r="AT64" s="479"/>
      <c r="AU64" s="479"/>
      <c r="AV64" s="479"/>
      <c r="AW64" s="479"/>
      <c r="AX64" s="479"/>
      <c r="AY64" s="479"/>
      <c r="AZ64" s="479"/>
    </row>
    <row r="65" spans="1:52" ht="15" hidden="1" thickBot="1">
      <c r="A65" s="1566"/>
      <c r="B65" s="156" t="s">
        <v>193</v>
      </c>
      <c r="C65" s="3252" t="s">
        <v>194</v>
      </c>
      <c r="D65" s="3252"/>
      <c r="E65" s="3252"/>
      <c r="F65" s="3252"/>
      <c r="G65" s="3252"/>
      <c r="H65" s="3252"/>
      <c r="I65" s="3252"/>
      <c r="J65" s="3252"/>
      <c r="K65" s="3252"/>
      <c r="L65" s="3252"/>
      <c r="M65" s="3252"/>
      <c r="N65" s="3252"/>
      <c r="O65" s="3254"/>
      <c r="P65" s="130"/>
      <c r="Q65" s="130"/>
      <c r="V65" s="203"/>
      <c r="W65" s="203"/>
      <c r="X65" s="203"/>
      <c r="Y65" s="203"/>
      <c r="Z65" s="203"/>
      <c r="AA65" s="203"/>
      <c r="AB65" s="203"/>
      <c r="AJ65" s="479"/>
      <c r="AK65" s="479"/>
      <c r="AL65" s="479"/>
      <c r="AM65" s="479"/>
      <c r="AN65" s="479"/>
      <c r="AO65" s="479"/>
      <c r="AP65" s="479"/>
      <c r="AQ65" s="479"/>
      <c r="AR65" s="479"/>
      <c r="AS65" s="479"/>
      <c r="AT65" s="479"/>
      <c r="AU65" s="479"/>
      <c r="AV65" s="479"/>
      <c r="AW65" s="479"/>
      <c r="AX65" s="479"/>
      <c r="AY65" s="479"/>
      <c r="AZ65" s="479"/>
    </row>
    <row r="66" spans="1:52" ht="13.7" hidden="1" customHeight="1">
      <c r="A66" s="1566"/>
      <c r="B66" s="181" t="str">
        <f>B7</f>
        <v>4E.1</v>
      </c>
      <c r="C66" s="3073" t="s">
        <v>1235</v>
      </c>
      <c r="D66" s="3073"/>
      <c r="E66" s="3073"/>
      <c r="F66" s="3073"/>
      <c r="G66" s="3073"/>
      <c r="H66" s="3073"/>
      <c r="I66" s="3073"/>
      <c r="J66" s="3073"/>
      <c r="K66" s="3073"/>
      <c r="L66" s="3073"/>
      <c r="M66" s="3073"/>
      <c r="N66" s="3073"/>
      <c r="O66" s="3074"/>
      <c r="P66" s="130"/>
      <c r="Q66" s="130"/>
      <c r="U66" s="85" t="s">
        <v>195</v>
      </c>
      <c r="V66" s="203"/>
      <c r="W66" s="203"/>
      <c r="X66" s="203"/>
      <c r="Y66" s="203"/>
      <c r="Z66" s="203"/>
      <c r="AA66" s="203"/>
      <c r="AB66" s="203"/>
      <c r="AJ66" s="479"/>
      <c r="AK66" s="479"/>
      <c r="AL66" s="479"/>
      <c r="AM66" s="479"/>
      <c r="AN66" s="479"/>
      <c r="AO66" s="479"/>
      <c r="AP66" s="479"/>
      <c r="AQ66" s="479"/>
      <c r="AR66" s="479"/>
      <c r="AS66" s="479"/>
      <c r="AT66" s="479"/>
      <c r="AU66" s="479"/>
      <c r="AV66" s="479"/>
      <c r="AW66" s="479"/>
      <c r="AX66" s="479"/>
      <c r="AY66" s="479"/>
      <c r="AZ66" s="479"/>
    </row>
    <row r="67" spans="1:52" ht="58.7" hidden="1" customHeight="1">
      <c r="A67" s="1566"/>
      <c r="B67" s="159" t="str">
        <f>B8</f>
        <v>4E.2</v>
      </c>
      <c r="C67" s="3055" t="s">
        <v>3816</v>
      </c>
      <c r="D67" s="3055"/>
      <c r="E67" s="3055"/>
      <c r="F67" s="3055"/>
      <c r="G67" s="3055"/>
      <c r="H67" s="3055"/>
      <c r="I67" s="3055"/>
      <c r="J67" s="3055"/>
      <c r="K67" s="3055"/>
      <c r="L67" s="3055"/>
      <c r="M67" s="3055"/>
      <c r="N67" s="3055"/>
      <c r="O67" s="3056"/>
      <c r="P67" s="130"/>
      <c r="Q67" s="130"/>
      <c r="U67" s="202" t="s">
        <v>1340</v>
      </c>
      <c r="V67" s="203"/>
      <c r="W67" s="203"/>
      <c r="X67" s="203"/>
      <c r="Y67" s="203"/>
      <c r="Z67" s="203"/>
      <c r="AA67" s="203"/>
      <c r="AB67" s="203"/>
      <c r="AJ67" s="479"/>
      <c r="AK67" s="479"/>
      <c r="AL67" s="479"/>
      <c r="AM67" s="479"/>
      <c r="AN67" s="479"/>
      <c r="AO67" s="479"/>
      <c r="AP67" s="479"/>
      <c r="AQ67" s="479"/>
      <c r="AR67" s="479"/>
      <c r="AS67" s="479"/>
      <c r="AT67" s="479"/>
      <c r="AU67" s="479"/>
      <c r="AV67" s="479"/>
      <c r="AW67" s="479"/>
      <c r="AX67" s="479"/>
      <c r="AY67" s="479"/>
      <c r="AZ67" s="479"/>
    </row>
    <row r="68" spans="1:52" hidden="1">
      <c r="A68" s="1566"/>
      <c r="B68" s="159" t="str">
        <f>B9</f>
        <v>4E.3</v>
      </c>
      <c r="C68" s="3055" t="s">
        <v>3817</v>
      </c>
      <c r="D68" s="3055"/>
      <c r="E68" s="3055"/>
      <c r="F68" s="3055"/>
      <c r="G68" s="3055"/>
      <c r="H68" s="3055"/>
      <c r="I68" s="3055"/>
      <c r="J68" s="3055"/>
      <c r="K68" s="3055"/>
      <c r="L68" s="3055"/>
      <c r="M68" s="3055"/>
      <c r="N68" s="3055"/>
      <c r="O68" s="3056"/>
      <c r="P68" s="130"/>
      <c r="Q68" s="130"/>
      <c r="U68" s="202">
        <v>1</v>
      </c>
      <c r="V68" s="110"/>
      <c r="W68" s="110"/>
      <c r="X68" s="110"/>
      <c r="Y68" s="110"/>
      <c r="Z68" s="110"/>
      <c r="AA68" s="110"/>
      <c r="AB68" s="110"/>
      <c r="AJ68" s="479"/>
      <c r="AK68" s="479"/>
      <c r="AL68" s="479"/>
      <c r="AM68" s="479"/>
      <c r="AN68" s="479"/>
      <c r="AO68" s="479"/>
      <c r="AP68" s="479"/>
      <c r="AQ68" s="479"/>
      <c r="AR68" s="479"/>
      <c r="AS68" s="479"/>
      <c r="AT68" s="479"/>
      <c r="AU68" s="479"/>
      <c r="AV68" s="479"/>
      <c r="AW68" s="479"/>
      <c r="AX68" s="479"/>
      <c r="AY68" s="479"/>
      <c r="AZ68" s="479"/>
    </row>
    <row r="69" spans="1:52" hidden="1">
      <c r="A69" s="1566"/>
      <c r="B69" s="159" t="str">
        <f>B10</f>
        <v>4E.4</v>
      </c>
      <c r="C69" s="3055" t="s">
        <v>3818</v>
      </c>
      <c r="D69" s="3055"/>
      <c r="E69" s="3055"/>
      <c r="F69" s="3055"/>
      <c r="G69" s="3055"/>
      <c r="H69" s="3055"/>
      <c r="I69" s="3055"/>
      <c r="J69" s="3055"/>
      <c r="K69" s="3055"/>
      <c r="L69" s="3055"/>
      <c r="M69" s="3055"/>
      <c r="N69" s="3055"/>
      <c r="O69" s="3056"/>
      <c r="P69" s="130"/>
      <c r="Q69" s="130"/>
      <c r="U69" s="202">
        <v>1</v>
      </c>
      <c r="V69" s="110"/>
      <c r="W69" s="110"/>
      <c r="X69" s="110"/>
      <c r="Y69" s="110"/>
      <c r="Z69" s="110"/>
      <c r="AA69" s="110"/>
      <c r="AB69" s="110"/>
      <c r="AJ69" s="479"/>
      <c r="AK69" s="479"/>
      <c r="AL69" s="479"/>
      <c r="AM69" s="479"/>
      <c r="AN69" s="479"/>
      <c r="AO69" s="479"/>
      <c r="AP69" s="479"/>
      <c r="AQ69" s="479"/>
      <c r="AR69" s="479"/>
      <c r="AS69" s="479"/>
      <c r="AT69" s="479"/>
      <c r="AU69" s="479"/>
      <c r="AV69" s="479"/>
      <c r="AW69" s="479"/>
      <c r="AX69" s="479"/>
      <c r="AY69" s="479"/>
      <c r="AZ69" s="479"/>
    </row>
    <row r="70" spans="1:52" ht="23.25" hidden="1" customHeight="1">
      <c r="A70" s="1566"/>
      <c r="B70" s="159" t="str">
        <f>B11</f>
        <v>4E.5</v>
      </c>
      <c r="C70" s="3055" t="s">
        <v>3819</v>
      </c>
      <c r="D70" s="3055"/>
      <c r="E70" s="3055"/>
      <c r="F70" s="3055"/>
      <c r="G70" s="3055"/>
      <c r="H70" s="3055"/>
      <c r="I70" s="3055"/>
      <c r="J70" s="3055"/>
      <c r="K70" s="3055"/>
      <c r="L70" s="3055"/>
      <c r="M70" s="3055"/>
      <c r="N70" s="3055"/>
      <c r="O70" s="3056"/>
      <c r="U70" s="202" t="s">
        <v>197</v>
      </c>
      <c r="V70" s="110"/>
      <c r="W70" s="110"/>
      <c r="X70" s="110"/>
      <c r="Y70" s="110"/>
      <c r="Z70" s="110"/>
      <c r="AA70" s="110"/>
      <c r="AB70" s="110"/>
      <c r="AJ70" s="479"/>
      <c r="AK70" s="479"/>
      <c r="AL70" s="479"/>
      <c r="AM70" s="479"/>
      <c r="AN70" s="479"/>
      <c r="AO70" s="479"/>
      <c r="AP70" s="479"/>
      <c r="AQ70" s="479"/>
      <c r="AR70" s="479"/>
      <c r="AS70" s="479"/>
      <c r="AT70" s="479"/>
      <c r="AU70" s="479"/>
      <c r="AV70" s="479"/>
      <c r="AW70" s="479"/>
      <c r="AX70" s="479"/>
      <c r="AY70" s="479"/>
      <c r="AZ70" s="479"/>
    </row>
    <row r="71" spans="1:52" s="479" customFormat="1" ht="13.7" hidden="1" customHeight="1">
      <c r="A71" s="1566"/>
      <c r="B71" s="159" t="str">
        <f t="shared" ref="B71:B72" si="17">B12</f>
        <v>4E.6</v>
      </c>
      <c r="C71" s="3055" t="s">
        <v>1240</v>
      </c>
      <c r="D71" s="3055"/>
      <c r="E71" s="3055"/>
      <c r="F71" s="3055"/>
      <c r="G71" s="3055"/>
      <c r="H71" s="3055"/>
      <c r="I71" s="3055"/>
      <c r="J71" s="3055"/>
      <c r="K71" s="3055"/>
      <c r="L71" s="3055"/>
      <c r="M71" s="3055"/>
      <c r="N71" s="3055"/>
      <c r="O71" s="3056"/>
      <c r="P71" s="70"/>
      <c r="Q71" s="70"/>
      <c r="R71" s="70"/>
      <c r="S71" s="70"/>
      <c r="T71" s="71"/>
      <c r="U71" s="202">
        <v>1</v>
      </c>
      <c r="V71" s="110"/>
      <c r="W71" s="110"/>
      <c r="X71" s="110"/>
      <c r="Y71" s="110"/>
      <c r="Z71" s="110"/>
      <c r="AA71" s="110"/>
      <c r="AB71" s="110"/>
      <c r="AC71" s="71"/>
      <c r="AE71" s="71"/>
      <c r="AI71" s="71"/>
    </row>
    <row r="72" spans="1:52" s="479" customFormat="1" hidden="1">
      <c r="A72" s="1566"/>
      <c r="B72" s="159" t="str">
        <f t="shared" si="17"/>
        <v>4E.7</v>
      </c>
      <c r="C72" s="3055" t="s">
        <v>3820</v>
      </c>
      <c r="D72" s="3055"/>
      <c r="E72" s="3055"/>
      <c r="F72" s="3055"/>
      <c r="G72" s="3055"/>
      <c r="H72" s="3055"/>
      <c r="I72" s="3055"/>
      <c r="J72" s="3055"/>
      <c r="K72" s="3055"/>
      <c r="L72" s="3055"/>
      <c r="M72" s="3055"/>
      <c r="N72" s="3055"/>
      <c r="O72" s="3056"/>
      <c r="P72" s="70"/>
      <c r="Q72" s="70"/>
      <c r="R72" s="70"/>
      <c r="S72" s="70"/>
      <c r="T72" s="71"/>
      <c r="U72" s="202">
        <v>1</v>
      </c>
      <c r="V72" s="110"/>
      <c r="W72" s="110"/>
      <c r="X72" s="110"/>
      <c r="Y72" s="110"/>
      <c r="Z72" s="110"/>
      <c r="AA72" s="110"/>
      <c r="AB72" s="110"/>
      <c r="AC72" s="71"/>
      <c r="AE72" s="71"/>
      <c r="AI72" s="71"/>
    </row>
    <row r="73" spans="1:52" ht="13.7" hidden="1" customHeight="1">
      <c r="A73" s="1566"/>
      <c r="B73" s="159" t="str">
        <f>B14</f>
        <v>4E.8</v>
      </c>
      <c r="C73" s="3055" t="s">
        <v>1242</v>
      </c>
      <c r="D73" s="3055"/>
      <c r="E73" s="3055"/>
      <c r="F73" s="3055"/>
      <c r="G73" s="3055"/>
      <c r="H73" s="3055"/>
      <c r="I73" s="3055"/>
      <c r="J73" s="3055"/>
      <c r="K73" s="3055"/>
      <c r="L73" s="3055"/>
      <c r="M73" s="3055"/>
      <c r="N73" s="3055"/>
      <c r="O73" s="3056"/>
      <c r="U73" s="202">
        <v>1</v>
      </c>
      <c r="V73" s="110"/>
      <c r="W73" s="110"/>
      <c r="X73" s="110"/>
      <c r="Y73" s="110"/>
      <c r="Z73" s="110"/>
      <c r="AA73" s="110"/>
      <c r="AB73" s="110"/>
      <c r="AJ73" s="479"/>
      <c r="AK73" s="479"/>
      <c r="AL73" s="479"/>
      <c r="AM73" s="479"/>
      <c r="AN73" s="479"/>
      <c r="AO73" s="479"/>
      <c r="AP73" s="479"/>
      <c r="AQ73" s="479"/>
      <c r="AR73" s="479"/>
      <c r="AS73" s="479"/>
      <c r="AT73" s="479"/>
      <c r="AU73" s="479"/>
      <c r="AV73" s="479"/>
      <c r="AW73" s="479"/>
      <c r="AX73" s="479"/>
      <c r="AY73" s="479"/>
      <c r="AZ73" s="479"/>
    </row>
    <row r="74" spans="1:52" ht="13.7" hidden="1" customHeight="1">
      <c r="A74" s="1566"/>
      <c r="B74" s="159" t="str">
        <f>B15</f>
        <v>4E.9</v>
      </c>
      <c r="C74" s="3055" t="s">
        <v>3821</v>
      </c>
      <c r="D74" s="3055"/>
      <c r="E74" s="3055"/>
      <c r="F74" s="3055"/>
      <c r="G74" s="3055"/>
      <c r="H74" s="3055"/>
      <c r="I74" s="3055"/>
      <c r="J74" s="3055"/>
      <c r="K74" s="3055"/>
      <c r="L74" s="3055"/>
      <c r="M74" s="3055"/>
      <c r="N74" s="3055"/>
      <c r="O74" s="3056"/>
      <c r="U74" s="202">
        <v>1</v>
      </c>
      <c r="AJ74" s="479"/>
      <c r="AK74" s="479"/>
      <c r="AL74" s="479"/>
      <c r="AM74" s="479"/>
      <c r="AN74" s="479"/>
      <c r="AO74" s="479"/>
      <c r="AP74" s="479"/>
      <c r="AQ74" s="479"/>
      <c r="AR74" s="479"/>
      <c r="AS74" s="479"/>
      <c r="AT74" s="479"/>
      <c r="AU74" s="479"/>
      <c r="AV74" s="479"/>
      <c r="AW74" s="479"/>
      <c r="AX74" s="479"/>
      <c r="AY74" s="479"/>
      <c r="AZ74" s="479"/>
    </row>
    <row r="75" spans="1:52" hidden="1">
      <c r="A75" s="1566"/>
      <c r="B75" s="159" t="str">
        <f>B17</f>
        <v>4E.10</v>
      </c>
      <c r="C75" s="3055" t="s">
        <v>3822</v>
      </c>
      <c r="D75" s="3055"/>
      <c r="E75" s="3055"/>
      <c r="F75" s="3055"/>
      <c r="G75" s="3055"/>
      <c r="H75" s="3055"/>
      <c r="I75" s="3055"/>
      <c r="J75" s="3055"/>
      <c r="K75" s="3055"/>
      <c r="L75" s="3055"/>
      <c r="M75" s="3055"/>
      <c r="N75" s="3055"/>
      <c r="O75" s="3056"/>
      <c r="U75" s="202">
        <v>1</v>
      </c>
      <c r="AJ75" s="479"/>
      <c r="AK75" s="479"/>
      <c r="AL75" s="479"/>
      <c r="AM75" s="479"/>
      <c r="AN75" s="479"/>
      <c r="AO75" s="479"/>
      <c r="AP75" s="479"/>
      <c r="AQ75" s="479"/>
      <c r="AR75" s="479"/>
      <c r="AS75" s="479"/>
      <c r="AT75" s="479"/>
      <c r="AU75" s="479"/>
      <c r="AV75" s="479"/>
      <c r="AW75" s="479"/>
      <c r="AX75" s="479"/>
      <c r="AY75" s="479"/>
      <c r="AZ75" s="479"/>
    </row>
    <row r="76" spans="1:52" ht="13.7" hidden="1" customHeight="1">
      <c r="A76" s="1566"/>
      <c r="B76" s="159" t="str">
        <f>B18</f>
        <v>4E.11</v>
      </c>
      <c r="C76" s="3055" t="s">
        <v>3823</v>
      </c>
      <c r="D76" s="3055"/>
      <c r="E76" s="3055"/>
      <c r="F76" s="3055"/>
      <c r="G76" s="3055"/>
      <c r="H76" s="3055"/>
      <c r="I76" s="3055"/>
      <c r="J76" s="3055"/>
      <c r="K76" s="3055"/>
      <c r="L76" s="3055"/>
      <c r="M76" s="3055"/>
      <c r="N76" s="3055"/>
      <c r="O76" s="3056"/>
      <c r="U76" s="202">
        <v>1</v>
      </c>
      <c r="AJ76" s="479"/>
      <c r="AK76" s="479"/>
      <c r="AL76" s="479"/>
      <c r="AM76" s="479"/>
      <c r="AN76" s="479"/>
      <c r="AO76" s="479"/>
      <c r="AP76" s="479"/>
      <c r="AQ76" s="479"/>
      <c r="AR76" s="479"/>
      <c r="AS76" s="479"/>
      <c r="AT76" s="479"/>
      <c r="AU76" s="479"/>
      <c r="AV76" s="479"/>
      <c r="AW76" s="479"/>
      <c r="AX76" s="479"/>
      <c r="AY76" s="479"/>
      <c r="AZ76" s="479"/>
    </row>
    <row r="77" spans="1:52" ht="23.25" hidden="1" customHeight="1">
      <c r="A77" s="1566"/>
      <c r="B77" s="159" t="str">
        <f t="shared" ref="B77:B84" si="18">B21</f>
        <v>4E.12</v>
      </c>
      <c r="C77" s="3055" t="s">
        <v>1246</v>
      </c>
      <c r="D77" s="3055"/>
      <c r="E77" s="3055"/>
      <c r="F77" s="3055"/>
      <c r="G77" s="3055"/>
      <c r="H77" s="3055"/>
      <c r="I77" s="3055"/>
      <c r="J77" s="3055"/>
      <c r="K77" s="3055"/>
      <c r="L77" s="3055"/>
      <c r="M77" s="3055"/>
      <c r="N77" s="3055"/>
      <c r="O77" s="3056"/>
      <c r="U77" s="202" t="s">
        <v>197</v>
      </c>
      <c r="AJ77" s="479"/>
      <c r="AK77" s="479"/>
      <c r="AL77" s="479"/>
      <c r="AM77" s="479"/>
      <c r="AN77" s="479"/>
      <c r="AO77" s="479"/>
      <c r="AP77" s="479"/>
      <c r="AQ77" s="479"/>
      <c r="AR77" s="479"/>
      <c r="AS77" s="479"/>
      <c r="AT77" s="479"/>
      <c r="AU77" s="479"/>
      <c r="AV77" s="479"/>
      <c r="AW77" s="479"/>
      <c r="AX77" s="479"/>
      <c r="AY77" s="479"/>
      <c r="AZ77" s="479"/>
    </row>
    <row r="78" spans="1:52" ht="23.25" hidden="1" customHeight="1">
      <c r="A78" s="1566"/>
      <c r="B78" s="159" t="str">
        <f t="shared" si="18"/>
        <v>4E.13</v>
      </c>
      <c r="C78" s="3055" t="s">
        <v>1247</v>
      </c>
      <c r="D78" s="3055"/>
      <c r="E78" s="3055"/>
      <c r="F78" s="3055"/>
      <c r="G78" s="3055"/>
      <c r="H78" s="3055"/>
      <c r="I78" s="3055"/>
      <c r="J78" s="3055"/>
      <c r="K78" s="3055"/>
      <c r="L78" s="3055"/>
      <c r="M78" s="3055"/>
      <c r="N78" s="3055"/>
      <c r="O78" s="3056"/>
      <c r="U78" s="202" t="s">
        <v>197</v>
      </c>
      <c r="AJ78" s="479"/>
      <c r="AK78" s="479"/>
      <c r="AL78" s="479"/>
      <c r="AM78" s="479"/>
      <c r="AN78" s="479"/>
      <c r="AO78" s="479"/>
      <c r="AP78" s="479"/>
      <c r="AQ78" s="479"/>
      <c r="AR78" s="479"/>
      <c r="AS78" s="479"/>
      <c r="AT78" s="479"/>
      <c r="AU78" s="479"/>
      <c r="AV78" s="479"/>
      <c r="AW78" s="479"/>
      <c r="AX78" s="479"/>
      <c r="AY78" s="479"/>
      <c r="AZ78" s="479"/>
    </row>
    <row r="79" spans="1:52" ht="13.7" hidden="1" customHeight="1">
      <c r="A79" s="1566"/>
      <c r="B79" s="159" t="str">
        <f t="shared" si="18"/>
        <v>4E.14</v>
      </c>
      <c r="C79" s="3055" t="s">
        <v>3824</v>
      </c>
      <c r="D79" s="3055"/>
      <c r="E79" s="3055"/>
      <c r="F79" s="3055"/>
      <c r="G79" s="3055"/>
      <c r="H79" s="3055"/>
      <c r="I79" s="3055"/>
      <c r="J79" s="3055"/>
      <c r="K79" s="3055"/>
      <c r="L79" s="3055"/>
      <c r="M79" s="3055"/>
      <c r="N79" s="3055"/>
      <c r="O79" s="3056"/>
      <c r="U79" s="202">
        <v>1</v>
      </c>
      <c r="AJ79" s="479"/>
      <c r="AK79" s="479"/>
      <c r="AL79" s="479"/>
      <c r="AM79" s="479"/>
      <c r="AN79" s="479"/>
      <c r="AO79" s="479"/>
      <c r="AP79" s="479"/>
      <c r="AQ79" s="479"/>
      <c r="AR79" s="479"/>
      <c r="AS79" s="479"/>
      <c r="AT79" s="479"/>
      <c r="AU79" s="479"/>
      <c r="AV79" s="479"/>
      <c r="AW79" s="479"/>
      <c r="AX79" s="479"/>
      <c r="AY79" s="479"/>
      <c r="AZ79" s="479"/>
    </row>
    <row r="80" spans="1:52" ht="13.7" hidden="1" customHeight="1">
      <c r="A80" s="1566"/>
      <c r="B80" s="159" t="str">
        <f t="shared" si="18"/>
        <v>4E.15</v>
      </c>
      <c r="C80" s="3055" t="s">
        <v>3825</v>
      </c>
      <c r="D80" s="3055"/>
      <c r="E80" s="3055"/>
      <c r="F80" s="3055"/>
      <c r="G80" s="3055"/>
      <c r="H80" s="3055"/>
      <c r="I80" s="3055"/>
      <c r="J80" s="3055"/>
      <c r="K80" s="3055"/>
      <c r="L80" s="3055"/>
      <c r="M80" s="3055"/>
      <c r="N80" s="3055"/>
      <c r="O80" s="3056"/>
      <c r="U80" s="202">
        <v>1</v>
      </c>
      <c r="AJ80" s="479"/>
      <c r="AK80" s="479"/>
      <c r="AL80" s="479"/>
      <c r="AM80" s="479"/>
      <c r="AN80" s="479"/>
      <c r="AO80" s="479"/>
      <c r="AP80" s="479"/>
      <c r="AQ80" s="479"/>
      <c r="AR80" s="479"/>
      <c r="AS80" s="479"/>
      <c r="AT80" s="479"/>
      <c r="AU80" s="479"/>
      <c r="AV80" s="479"/>
      <c r="AW80" s="479"/>
      <c r="AX80" s="479"/>
      <c r="AY80" s="479"/>
      <c r="AZ80" s="479"/>
    </row>
    <row r="81" spans="1:52" s="479" customFormat="1" ht="35.450000000000003" hidden="1" customHeight="1">
      <c r="A81" s="1566"/>
      <c r="B81" s="159" t="str">
        <f t="shared" si="18"/>
        <v>4E.16</v>
      </c>
      <c r="C81" s="3055" t="s">
        <v>3826</v>
      </c>
      <c r="D81" s="3055"/>
      <c r="E81" s="3055"/>
      <c r="F81" s="3055"/>
      <c r="G81" s="3055"/>
      <c r="H81" s="3055"/>
      <c r="I81" s="3055"/>
      <c r="J81" s="3055"/>
      <c r="K81" s="3055"/>
      <c r="L81" s="3055"/>
      <c r="M81" s="3055"/>
      <c r="N81" s="3055"/>
      <c r="O81" s="3056"/>
      <c r="P81" s="70"/>
      <c r="Q81" s="70"/>
      <c r="R81" s="70"/>
      <c r="S81" s="70"/>
      <c r="T81" s="71"/>
      <c r="U81" s="202" t="s">
        <v>780</v>
      </c>
      <c r="V81" s="70"/>
      <c r="W81" s="70"/>
      <c r="X81" s="70"/>
      <c r="Y81" s="70"/>
      <c r="Z81" s="70"/>
      <c r="AA81" s="70"/>
      <c r="AB81" s="70"/>
      <c r="AC81" s="71"/>
      <c r="AE81" s="71"/>
      <c r="AI81" s="71"/>
    </row>
    <row r="82" spans="1:52" ht="13.7" hidden="1" customHeight="1">
      <c r="A82" s="1566"/>
      <c r="B82" s="159" t="str">
        <f t="shared" si="18"/>
        <v>4E.17</v>
      </c>
      <c r="C82" s="3055" t="s">
        <v>3827</v>
      </c>
      <c r="D82" s="3055"/>
      <c r="E82" s="3055"/>
      <c r="F82" s="3055"/>
      <c r="G82" s="3055"/>
      <c r="H82" s="3055"/>
      <c r="I82" s="3055"/>
      <c r="J82" s="3055"/>
      <c r="K82" s="3055"/>
      <c r="L82" s="3055"/>
      <c r="M82" s="3055"/>
      <c r="N82" s="3055"/>
      <c r="O82" s="3056"/>
      <c r="U82" s="202">
        <v>1</v>
      </c>
      <c r="AJ82" s="479"/>
      <c r="AK82" s="479"/>
      <c r="AL82" s="479"/>
      <c r="AM82" s="479"/>
      <c r="AN82" s="479"/>
      <c r="AO82" s="479"/>
      <c r="AP82" s="479"/>
      <c r="AQ82" s="479"/>
      <c r="AR82" s="479"/>
      <c r="AS82" s="479"/>
      <c r="AT82" s="479"/>
      <c r="AU82" s="479"/>
      <c r="AV82" s="479"/>
      <c r="AW82" s="479"/>
      <c r="AX82" s="479"/>
      <c r="AY82" s="479"/>
      <c r="AZ82" s="479"/>
    </row>
    <row r="83" spans="1:52" hidden="1">
      <c r="A83" s="1566"/>
      <c r="B83" s="159" t="str">
        <f t="shared" si="18"/>
        <v>4E.18</v>
      </c>
      <c r="C83" s="3055" t="s">
        <v>3828</v>
      </c>
      <c r="D83" s="3055"/>
      <c r="E83" s="3055"/>
      <c r="F83" s="3055"/>
      <c r="G83" s="3055"/>
      <c r="H83" s="3055"/>
      <c r="I83" s="3055"/>
      <c r="J83" s="3055"/>
      <c r="K83" s="3055"/>
      <c r="L83" s="3055"/>
      <c r="M83" s="3055"/>
      <c r="N83" s="3055"/>
      <c r="O83" s="3056"/>
      <c r="U83" s="202">
        <v>1</v>
      </c>
      <c r="AJ83" s="479"/>
      <c r="AK83" s="479"/>
      <c r="AL83" s="479"/>
      <c r="AM83" s="479"/>
      <c r="AN83" s="479"/>
      <c r="AO83" s="479"/>
      <c r="AP83" s="479"/>
      <c r="AQ83" s="479"/>
      <c r="AR83" s="479"/>
      <c r="AS83" s="479"/>
      <c r="AT83" s="479"/>
      <c r="AU83" s="479"/>
      <c r="AV83" s="479"/>
      <c r="AW83" s="479"/>
      <c r="AX83" s="479"/>
      <c r="AY83" s="479"/>
      <c r="AZ83" s="479"/>
    </row>
    <row r="84" spans="1:52" hidden="1">
      <c r="A84" s="1566"/>
      <c r="B84" s="159" t="str">
        <f t="shared" si="18"/>
        <v>4E.19</v>
      </c>
      <c r="C84" s="3055" t="s">
        <v>3829</v>
      </c>
      <c r="D84" s="3055"/>
      <c r="E84" s="3055"/>
      <c r="F84" s="3055"/>
      <c r="G84" s="3055"/>
      <c r="H84" s="3055"/>
      <c r="I84" s="3055"/>
      <c r="J84" s="3055"/>
      <c r="K84" s="3055"/>
      <c r="L84" s="3055"/>
      <c r="M84" s="3055"/>
      <c r="N84" s="3055"/>
      <c r="O84" s="3056"/>
      <c r="U84" s="202">
        <v>1</v>
      </c>
      <c r="AJ84" s="479"/>
      <c r="AK84" s="479"/>
      <c r="AL84" s="479"/>
      <c r="AM84" s="479"/>
      <c r="AN84" s="479"/>
      <c r="AO84" s="479"/>
      <c r="AP84" s="479"/>
      <c r="AQ84" s="479"/>
      <c r="AR84" s="479"/>
      <c r="AS84" s="479"/>
      <c r="AT84" s="479"/>
      <c r="AU84" s="479"/>
      <c r="AV84" s="479"/>
      <c r="AW84" s="479"/>
      <c r="AX84" s="479"/>
      <c r="AY84" s="479"/>
      <c r="AZ84" s="479"/>
    </row>
    <row r="85" spans="1:52" ht="13.7" hidden="1" customHeight="1">
      <c r="A85" s="1566"/>
      <c r="B85" s="159" t="str">
        <f>B31</f>
        <v>4E.20</v>
      </c>
      <c r="C85" s="3055" t="s">
        <v>3830</v>
      </c>
      <c r="D85" s="3055"/>
      <c r="E85" s="3055"/>
      <c r="F85" s="3055"/>
      <c r="G85" s="3055"/>
      <c r="H85" s="3055"/>
      <c r="I85" s="3055"/>
      <c r="J85" s="3055"/>
      <c r="K85" s="3055"/>
      <c r="L85" s="3055"/>
      <c r="M85" s="3055"/>
      <c r="N85" s="3055"/>
      <c r="O85" s="3056"/>
      <c r="U85" s="202">
        <v>1</v>
      </c>
      <c r="AJ85" s="479"/>
      <c r="AK85" s="479"/>
      <c r="AL85" s="479"/>
      <c r="AM85" s="479"/>
      <c r="AN85" s="479"/>
      <c r="AO85" s="479"/>
      <c r="AP85" s="479"/>
      <c r="AQ85" s="479"/>
      <c r="AR85" s="479"/>
      <c r="AS85" s="479"/>
      <c r="AT85" s="479"/>
      <c r="AU85" s="479"/>
      <c r="AV85" s="479"/>
      <c r="AW85" s="479"/>
      <c r="AX85" s="479"/>
      <c r="AY85" s="479"/>
      <c r="AZ85" s="479"/>
    </row>
    <row r="86" spans="1:52" hidden="1">
      <c r="A86" s="1566"/>
      <c r="B86" s="159" t="str">
        <f t="shared" ref="B86" si="19">B33</f>
        <v>4E.21</v>
      </c>
      <c r="C86" s="3055" t="s">
        <v>3831</v>
      </c>
      <c r="D86" s="3055"/>
      <c r="E86" s="3055"/>
      <c r="F86" s="3055"/>
      <c r="G86" s="3055"/>
      <c r="H86" s="3055"/>
      <c r="I86" s="3055"/>
      <c r="J86" s="3055"/>
      <c r="K86" s="3055"/>
      <c r="L86" s="3055"/>
      <c r="M86" s="3055"/>
      <c r="N86" s="3055"/>
      <c r="O86" s="3056"/>
      <c r="U86" s="202">
        <v>1</v>
      </c>
      <c r="AJ86" s="479"/>
      <c r="AK86" s="479"/>
      <c r="AL86" s="479"/>
      <c r="AM86" s="479"/>
      <c r="AN86" s="479"/>
      <c r="AO86" s="479"/>
      <c r="AP86" s="479"/>
      <c r="AQ86" s="479"/>
      <c r="AR86" s="479"/>
      <c r="AS86" s="479"/>
      <c r="AT86" s="479"/>
      <c r="AU86" s="479"/>
      <c r="AV86" s="479"/>
      <c r="AW86" s="479"/>
      <c r="AX86" s="479"/>
      <c r="AY86" s="479"/>
      <c r="AZ86" s="479"/>
    </row>
    <row r="87" spans="1:52" ht="13.7" hidden="1" customHeight="1">
      <c r="A87" s="1566"/>
      <c r="B87" s="159" t="str">
        <f>B36</f>
        <v>4E.22</v>
      </c>
      <c r="C87" s="3055" t="s">
        <v>1256</v>
      </c>
      <c r="D87" s="3055"/>
      <c r="E87" s="3055"/>
      <c r="F87" s="3055"/>
      <c r="G87" s="3055"/>
      <c r="H87" s="3055"/>
      <c r="I87" s="3055"/>
      <c r="J87" s="3055"/>
      <c r="K87" s="3055"/>
      <c r="L87" s="3055"/>
      <c r="M87" s="3055"/>
      <c r="N87" s="3055"/>
      <c r="O87" s="3056"/>
      <c r="U87" s="202">
        <v>1</v>
      </c>
      <c r="AJ87" s="479"/>
      <c r="AK87" s="479"/>
      <c r="AL87" s="479"/>
      <c r="AM87" s="479"/>
      <c r="AN87" s="479"/>
      <c r="AO87" s="479"/>
      <c r="AP87" s="479"/>
      <c r="AQ87" s="479"/>
      <c r="AR87" s="479"/>
      <c r="AS87" s="479"/>
      <c r="AT87" s="479"/>
      <c r="AU87" s="479"/>
      <c r="AV87" s="479"/>
      <c r="AW87" s="479"/>
      <c r="AX87" s="479"/>
      <c r="AY87" s="479"/>
      <c r="AZ87" s="479"/>
    </row>
    <row r="88" spans="1:52" hidden="1">
      <c r="A88" s="1566"/>
      <c r="B88" s="159" t="str">
        <f>B37</f>
        <v>4E.23</v>
      </c>
      <c r="C88" s="3055" t="s">
        <v>3509</v>
      </c>
      <c r="D88" s="3055"/>
      <c r="E88" s="3055"/>
      <c r="F88" s="3055"/>
      <c r="G88" s="3055"/>
      <c r="H88" s="3055"/>
      <c r="I88" s="3055"/>
      <c r="J88" s="3055"/>
      <c r="K88" s="3055"/>
      <c r="L88" s="3055"/>
      <c r="M88" s="3055"/>
      <c r="N88" s="3055"/>
      <c r="O88" s="3056"/>
      <c r="U88" s="202">
        <v>1</v>
      </c>
      <c r="AJ88" s="479"/>
      <c r="AK88" s="479"/>
      <c r="AL88" s="479"/>
      <c r="AM88" s="479"/>
      <c r="AN88" s="479"/>
      <c r="AO88" s="479"/>
      <c r="AP88" s="479"/>
      <c r="AQ88" s="479"/>
      <c r="AR88" s="479"/>
      <c r="AS88" s="479"/>
      <c r="AT88" s="479"/>
      <c r="AU88" s="479"/>
      <c r="AV88" s="479"/>
      <c r="AW88" s="479"/>
      <c r="AX88" s="479"/>
      <c r="AY88" s="479"/>
      <c r="AZ88" s="479"/>
    </row>
    <row r="89" spans="1:52" hidden="1">
      <c r="A89" s="1566"/>
      <c r="B89" s="159" t="str">
        <f>B39</f>
        <v>4E.24</v>
      </c>
      <c r="C89" s="3055" t="s">
        <v>3832</v>
      </c>
      <c r="D89" s="3055"/>
      <c r="E89" s="3055"/>
      <c r="F89" s="3055"/>
      <c r="G89" s="3055"/>
      <c r="H89" s="3055"/>
      <c r="I89" s="3055"/>
      <c r="J89" s="3055"/>
      <c r="K89" s="3055"/>
      <c r="L89" s="3055"/>
      <c r="M89" s="3055"/>
      <c r="N89" s="3055"/>
      <c r="O89" s="3056"/>
      <c r="U89" s="202">
        <v>1</v>
      </c>
      <c r="AJ89" s="479"/>
      <c r="AK89" s="479"/>
      <c r="AL89" s="479"/>
      <c r="AM89" s="479"/>
      <c r="AN89" s="479"/>
      <c r="AO89" s="479"/>
      <c r="AP89" s="479"/>
      <c r="AQ89" s="479"/>
      <c r="AR89" s="479"/>
      <c r="AS89" s="479"/>
      <c r="AT89" s="479"/>
      <c r="AU89" s="479"/>
      <c r="AV89" s="479"/>
      <c r="AW89" s="479"/>
      <c r="AX89" s="479"/>
      <c r="AY89" s="479"/>
      <c r="AZ89" s="479"/>
    </row>
    <row r="90" spans="1:52" ht="13.7" hidden="1" customHeight="1">
      <c r="A90" s="1566"/>
      <c r="B90" s="159" t="s">
        <v>3774</v>
      </c>
      <c r="C90" s="3055" t="s">
        <v>3511</v>
      </c>
      <c r="D90" s="3055"/>
      <c r="E90" s="3055"/>
      <c r="F90" s="3055"/>
      <c r="G90" s="3055"/>
      <c r="H90" s="3055"/>
      <c r="I90" s="3055"/>
      <c r="J90" s="3055"/>
      <c r="K90" s="3055"/>
      <c r="L90" s="3055"/>
      <c r="M90" s="3055"/>
      <c r="N90" s="3055"/>
      <c r="O90" s="3056"/>
      <c r="U90" s="202">
        <v>1</v>
      </c>
      <c r="AJ90" s="479"/>
      <c r="AK90" s="479"/>
      <c r="AL90" s="479"/>
      <c r="AM90" s="479"/>
      <c r="AN90" s="479"/>
      <c r="AO90" s="479"/>
      <c r="AP90" s="479"/>
      <c r="AQ90" s="479"/>
      <c r="AR90" s="479"/>
      <c r="AS90" s="479"/>
      <c r="AT90" s="479"/>
      <c r="AU90" s="479"/>
      <c r="AV90" s="479"/>
      <c r="AW90" s="479"/>
      <c r="AX90" s="479"/>
      <c r="AY90" s="479"/>
      <c r="AZ90" s="479"/>
    </row>
    <row r="91" spans="1:52" s="479" customFormat="1" ht="15" hidden="1" customHeight="1">
      <c r="A91" s="1566"/>
      <c r="B91" s="779" t="s">
        <v>3512</v>
      </c>
      <c r="C91" s="3055" t="s">
        <v>3833</v>
      </c>
      <c r="D91" s="3055"/>
      <c r="E91" s="3055"/>
      <c r="F91" s="3055"/>
      <c r="G91" s="3055"/>
      <c r="H91" s="3055"/>
      <c r="I91" s="3055"/>
      <c r="J91" s="3055"/>
      <c r="K91" s="3055"/>
      <c r="L91" s="3055"/>
      <c r="M91" s="3055"/>
      <c r="N91" s="3055"/>
      <c r="O91" s="3056"/>
      <c r="P91" s="70"/>
      <c r="Q91" s="70"/>
      <c r="R91" s="70"/>
      <c r="S91" s="70"/>
      <c r="T91" s="71"/>
      <c r="U91" s="202">
        <v>1</v>
      </c>
      <c r="V91" s="70"/>
      <c r="W91" s="70"/>
      <c r="X91" s="70"/>
      <c r="Y91" s="70"/>
      <c r="Z91" s="70"/>
      <c r="AA91" s="70"/>
      <c r="AB91" s="70"/>
      <c r="AC91" s="71"/>
      <c r="AE91" s="71"/>
      <c r="AI91" s="71"/>
    </row>
    <row r="92" spans="1:52" s="479" customFormat="1" ht="15" hidden="1" customHeight="1">
      <c r="A92" s="1566"/>
      <c r="B92" s="779" t="s">
        <v>3514</v>
      </c>
      <c r="C92" s="3055" t="s">
        <v>3515</v>
      </c>
      <c r="D92" s="3055"/>
      <c r="E92" s="3055"/>
      <c r="F92" s="3055"/>
      <c r="G92" s="3055"/>
      <c r="H92" s="3055"/>
      <c r="I92" s="3055"/>
      <c r="J92" s="3055"/>
      <c r="K92" s="3055"/>
      <c r="L92" s="3055"/>
      <c r="M92" s="3055"/>
      <c r="N92" s="3055"/>
      <c r="O92" s="3056"/>
      <c r="P92" s="70"/>
      <c r="Q92" s="70"/>
      <c r="R92" s="70"/>
      <c r="S92" s="70"/>
      <c r="T92" s="71"/>
      <c r="U92" s="202">
        <v>1</v>
      </c>
      <c r="V92" s="70"/>
      <c r="W92" s="70"/>
      <c r="X92" s="70"/>
      <c r="Y92" s="70"/>
      <c r="Z92" s="70"/>
      <c r="AA92" s="70"/>
      <c r="AB92" s="70"/>
      <c r="AC92" s="71"/>
      <c r="AE92" s="71"/>
      <c r="AI92" s="71"/>
    </row>
    <row r="93" spans="1:52" ht="15" hidden="1" customHeight="1" thickBot="1">
      <c r="A93" s="1566"/>
      <c r="B93" s="183" t="s">
        <v>3516</v>
      </c>
      <c r="C93" s="3075" t="s">
        <v>3834</v>
      </c>
      <c r="D93" s="3075"/>
      <c r="E93" s="3075"/>
      <c r="F93" s="3075"/>
      <c r="G93" s="3075"/>
      <c r="H93" s="3075"/>
      <c r="I93" s="3075"/>
      <c r="J93" s="3075"/>
      <c r="K93" s="3075"/>
      <c r="L93" s="3075"/>
      <c r="M93" s="3075"/>
      <c r="N93" s="3075"/>
      <c r="O93" s="3076"/>
      <c r="U93" s="202">
        <v>1</v>
      </c>
      <c r="AJ93" s="479"/>
      <c r="AK93" s="479"/>
      <c r="AL93" s="479"/>
      <c r="AM93" s="479"/>
      <c r="AN93" s="479"/>
      <c r="AO93" s="479"/>
      <c r="AP93" s="479"/>
      <c r="AQ93" s="479"/>
      <c r="AR93" s="479"/>
      <c r="AS93" s="479"/>
      <c r="AT93" s="479"/>
      <c r="AU93" s="479"/>
      <c r="AV93" s="479"/>
      <c r="AW93" s="479"/>
      <c r="AX93" s="479"/>
      <c r="AY93" s="479"/>
      <c r="AZ93" s="479"/>
    </row>
    <row r="94" spans="1:52" hidden="1">
      <c r="A94" s="1566"/>
      <c r="B94" s="479"/>
      <c r="C94" s="479"/>
      <c r="E94" s="479"/>
      <c r="F94" s="479"/>
      <c r="G94" s="479"/>
      <c r="H94" s="479"/>
      <c r="I94" s="479"/>
      <c r="J94" s="479"/>
      <c r="K94" s="479"/>
      <c r="L94" s="479"/>
      <c r="M94" s="479"/>
      <c r="N94" s="479"/>
      <c r="O94" s="479"/>
      <c r="AJ94" s="479"/>
      <c r="AK94" s="479"/>
      <c r="AL94" s="479"/>
      <c r="AM94" s="479"/>
      <c r="AN94" s="479"/>
      <c r="AO94" s="479"/>
      <c r="AP94" s="479"/>
      <c r="AQ94" s="479"/>
      <c r="AR94" s="479"/>
      <c r="AS94" s="479"/>
      <c r="AT94" s="479"/>
      <c r="AU94" s="479"/>
      <c r="AV94" s="479"/>
      <c r="AW94" s="479"/>
      <c r="AX94" s="479"/>
      <c r="AY94" s="479"/>
      <c r="AZ94" s="479"/>
    </row>
    <row r="95" spans="1:52" hidden="1">
      <c r="A95" s="1566"/>
      <c r="B95" s="479"/>
      <c r="C95" s="479"/>
      <c r="E95" s="479"/>
      <c r="F95" s="479"/>
      <c r="G95" s="479"/>
      <c r="H95" s="479"/>
      <c r="I95" s="479"/>
      <c r="J95" s="479"/>
      <c r="K95" s="479"/>
      <c r="L95" s="479"/>
      <c r="M95" s="479"/>
      <c r="N95" s="479"/>
      <c r="O95" s="479"/>
      <c r="AJ95" s="479"/>
      <c r="AK95" s="479"/>
      <c r="AL95" s="479"/>
      <c r="AM95" s="479"/>
      <c r="AN95" s="479"/>
      <c r="AO95" s="479"/>
      <c r="AP95" s="479"/>
      <c r="AQ95" s="479"/>
      <c r="AR95" s="479"/>
      <c r="AS95" s="479"/>
      <c r="AT95" s="479"/>
      <c r="AU95" s="479"/>
      <c r="AV95" s="479"/>
      <c r="AW95" s="479"/>
      <c r="AX95" s="479"/>
      <c r="AY95" s="479"/>
      <c r="AZ95" s="479"/>
    </row>
    <row r="96" spans="1:52" hidden="1">
      <c r="A96" s="479"/>
      <c r="B96" s="479"/>
      <c r="C96" s="479"/>
      <c r="E96" s="479"/>
      <c r="F96" s="479"/>
      <c r="G96" s="479"/>
      <c r="H96" s="479"/>
      <c r="I96" s="479"/>
      <c r="J96" s="479"/>
      <c r="K96" s="479"/>
      <c r="L96" s="479"/>
      <c r="M96" s="479"/>
      <c r="N96" s="479"/>
      <c r="O96" s="479"/>
      <c r="AJ96" s="479"/>
      <c r="AK96" s="479"/>
      <c r="AL96" s="479"/>
      <c r="AM96" s="479"/>
      <c r="AN96" s="479"/>
      <c r="AO96" s="479"/>
      <c r="AP96" s="479"/>
      <c r="AQ96" s="479"/>
      <c r="AR96" s="479"/>
      <c r="AS96" s="479"/>
      <c r="AT96" s="479"/>
      <c r="AU96" s="479"/>
      <c r="AV96" s="479"/>
      <c r="AW96" s="479"/>
      <c r="AX96" s="479"/>
      <c r="AY96" s="479"/>
      <c r="AZ96" s="479"/>
    </row>
  </sheetData>
  <sheetProtection algorithmName="SHA-512" hashValue="CAmSxxKw+ZzgEU5PZT4qNOwv3d260laVzZ4yu/u9gbwz+XhXiPzTkRcD35qXPQqQA3ICcSKizLspxb9dwFy5tw==" saltValue="/ER7j1zSLNT0Q4yIDEiebA==" spinCount="100000" sheet="1" objects="1" scenarios="1"/>
  <mergeCells count="48">
    <mergeCell ref="C87:O87"/>
    <mergeCell ref="C88:O88"/>
    <mergeCell ref="C82:O82"/>
    <mergeCell ref="C83:O83"/>
    <mergeCell ref="G3:I3"/>
    <mergeCell ref="J3:K3"/>
    <mergeCell ref="L3:N3"/>
    <mergeCell ref="O3:O4"/>
    <mergeCell ref="C81:O81"/>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BK3:BM3"/>
    <mergeCell ref="BN3:BN4"/>
    <mergeCell ref="BA3:BB4"/>
    <mergeCell ref="BD3:BD4"/>
    <mergeCell ref="BE3:BE4"/>
    <mergeCell ref="BF3:BH3"/>
    <mergeCell ref="BI3:BJ3"/>
  </mergeCells>
  <conditionalFormatting sqref="R17">
    <cfRule type="cellIs" dxfId="303" priority="18" operator="equal">
      <formula>0</formula>
    </cfRule>
  </conditionalFormatting>
  <conditionalFormatting sqref="R6:R14">
    <cfRule type="cellIs" dxfId="302" priority="19" operator="equal">
      <formula>0</formula>
    </cfRule>
  </conditionalFormatting>
  <conditionalFormatting sqref="R21:R25">
    <cfRule type="cellIs" dxfId="301" priority="17" operator="equal">
      <formula>0</formula>
    </cfRule>
  </conditionalFormatting>
  <conditionalFormatting sqref="R27">
    <cfRule type="cellIs" dxfId="300" priority="16" operator="equal">
      <formula>0</formula>
    </cfRule>
  </conditionalFormatting>
  <conditionalFormatting sqref="R31">
    <cfRule type="cellIs" dxfId="299" priority="15" operator="equal">
      <formula>0</formula>
    </cfRule>
  </conditionalFormatting>
  <conditionalFormatting sqref="R36:R37">
    <cfRule type="cellIs" dxfId="298" priority="14" operator="equal">
      <formula>0</formula>
    </cfRule>
  </conditionalFormatting>
  <conditionalFormatting sqref="R42:R49">
    <cfRule type="cellIs" dxfId="297" priority="13" operator="equal">
      <formula>0</formula>
    </cfRule>
  </conditionalFormatting>
  <conditionalFormatting sqref="R51">
    <cfRule type="cellIs" dxfId="296" priority="8" operator="equal">
      <formula>0</formula>
    </cfRule>
  </conditionalFormatting>
  <conditionalFormatting sqref="Q31">
    <cfRule type="cellIs" dxfId="295"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BN67"/>
  <sheetViews>
    <sheetView topLeftCell="AZ1" workbookViewId="0">
      <selection activeCell="BF17" sqref="BF17"/>
    </sheetView>
  </sheetViews>
  <sheetFormatPr defaultColWidth="8.5" defaultRowHeight="14.25" zeroHeight="1"/>
  <cols>
    <col min="1" max="1" width="0.5" style="8" customWidth="1"/>
    <col min="2" max="2" width="6.125" style="8" customWidth="1"/>
    <col min="3" max="3" width="58.5" style="8" bestFit="1" customWidth="1"/>
    <col min="4" max="4" width="1.125" style="479" hidden="1" customWidth="1"/>
    <col min="5" max="6" width="5.125" style="8" customWidth="1"/>
    <col min="7" max="7" width="11.125" style="8" customWidth="1"/>
    <col min="8" max="8" width="12.5" style="8" customWidth="1"/>
    <col min="9" max="9" width="13.125" style="8" customWidth="1"/>
    <col min="10" max="10" width="13" style="8" customWidth="1"/>
    <col min="11" max="11" width="11.125" style="8" customWidth="1"/>
    <col min="12" max="12" width="12.5" style="8" customWidth="1"/>
    <col min="13" max="13" width="13.125" style="8" customWidth="1"/>
    <col min="14" max="14" width="13" style="8" customWidth="1"/>
    <col min="15" max="15" width="12.5" style="8" customWidth="1"/>
    <col min="16" max="16" width="2.5" style="70" customWidth="1"/>
    <col min="17" max="17" width="25.5" style="70" customWidth="1"/>
    <col min="18" max="18" width="22.5" style="70" customWidth="1"/>
    <col min="19" max="19" width="1.5" style="70" customWidth="1"/>
    <col min="20" max="20" width="1.5" style="71" hidden="1" customWidth="1"/>
    <col min="21" max="27" width="4.5" style="70" hidden="1" customWidth="1"/>
    <col min="28" max="28" width="1.5" style="71" hidden="1" customWidth="1"/>
    <col min="29" max="29" width="8.5" style="74" hidden="1" customWidth="1"/>
    <col min="30" max="30" width="1.5" style="71" hidden="1" customWidth="1"/>
    <col min="31" max="32" width="8.5" style="74" hidden="1" customWidth="1"/>
    <col min="33" max="33" width="38.125" style="74" hidden="1" customWidth="1"/>
    <col min="34" max="34" width="1.5" style="71" hidden="1" customWidth="1"/>
    <col min="35" max="51" width="0" style="8" hidden="1" customWidth="1"/>
    <col min="52" max="52" width="8.5" style="8"/>
    <col min="53" max="53" width="6.125" style="479" customWidth="1"/>
    <col min="54" max="54" width="58.5" style="479" bestFit="1" customWidth="1"/>
    <col min="55" max="55" width="1.125" style="479" hidden="1" customWidth="1"/>
    <col min="56" max="57" width="5.125" style="479" customWidth="1"/>
    <col min="58" max="58" width="11.125" style="479" customWidth="1"/>
    <col min="59" max="59" width="12.5" style="479" customWidth="1"/>
    <col min="60" max="60" width="13.125" style="479" customWidth="1"/>
    <col min="61" max="61" width="13" style="479" customWidth="1"/>
    <col min="62" max="62" width="11.125" style="479" customWidth="1"/>
    <col min="63" max="63" width="12.5" style="479" customWidth="1"/>
    <col min="64" max="64" width="13.125" style="479" customWidth="1"/>
    <col min="65" max="65" width="13" style="479" customWidth="1"/>
    <col min="66" max="66" width="12.5" style="479" customWidth="1"/>
    <col min="67" max="67" width="8.5" style="8"/>
    <col min="68" max="2128" width="0" style="8" hidden="1" customWidth="1"/>
    <col min="2129" max="16384" width="8.5" style="8"/>
  </cols>
  <sheetData>
    <row r="1" spans="2:66" ht="20.25">
      <c r="B1" s="66" t="s">
        <v>3835</v>
      </c>
      <c r="C1" s="66"/>
      <c r="D1" s="66"/>
      <c r="E1" s="66"/>
      <c r="F1" s="66"/>
      <c r="G1" s="66"/>
      <c r="H1" s="66"/>
      <c r="I1" s="66"/>
      <c r="J1" s="66"/>
      <c r="K1" s="66"/>
      <c r="L1" s="66"/>
      <c r="M1" s="66"/>
      <c r="N1" s="66"/>
      <c r="O1" s="68" t="str">
        <f>Validation!B3</f>
        <v>Yorkshire Water</v>
      </c>
      <c r="P1" s="66"/>
      <c r="Q1" s="69"/>
      <c r="R1" s="69" t="s">
        <v>34</v>
      </c>
      <c r="AC1" s="70"/>
      <c r="AE1" s="479"/>
      <c r="AF1" s="479"/>
      <c r="AG1" s="479"/>
      <c r="AI1" s="479"/>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6"/>
      <c r="BL1" s="66"/>
      <c r="BM1" s="66"/>
      <c r="BN1" s="68"/>
    </row>
    <row r="2" spans="2:66" ht="15" thickBot="1">
      <c r="B2" s="73" t="str">
        <f>'4E'!B2</f>
        <v>For the 12 months ended 31 March 2020</v>
      </c>
      <c r="C2" s="70"/>
      <c r="D2" s="70"/>
      <c r="E2" s="70"/>
      <c r="F2" s="70"/>
      <c r="G2" s="208"/>
      <c r="H2" s="209"/>
      <c r="I2" s="209"/>
      <c r="J2" s="210"/>
      <c r="K2" s="208"/>
      <c r="L2" s="209"/>
      <c r="M2" s="209"/>
      <c r="N2" s="210"/>
      <c r="O2" s="70"/>
      <c r="AC2" s="70"/>
      <c r="AI2" s="479"/>
      <c r="AJ2" s="479"/>
      <c r="AK2" s="479"/>
      <c r="AL2" s="479"/>
      <c r="AM2" s="479"/>
      <c r="AN2" s="479"/>
      <c r="AO2" s="479"/>
      <c r="AP2" s="479"/>
      <c r="AQ2" s="479"/>
      <c r="AR2" s="479"/>
      <c r="AS2" s="479"/>
      <c r="AT2" s="479"/>
      <c r="AU2" s="479"/>
      <c r="AV2" s="479"/>
      <c r="AW2" s="479"/>
      <c r="AX2" s="479"/>
      <c r="AY2" s="479"/>
      <c r="AZ2" s="479"/>
      <c r="BA2" s="73" t="str">
        <f>+B2</f>
        <v>For the 12 months ended 31 March 2020</v>
      </c>
      <c r="BB2" s="70"/>
      <c r="BC2" s="70"/>
      <c r="BD2" s="70"/>
      <c r="BE2" s="70"/>
      <c r="BF2" s="208"/>
      <c r="BG2" s="209"/>
      <c r="BH2" s="209"/>
      <c r="BI2" s="210"/>
      <c r="BJ2" s="208"/>
      <c r="BK2" s="209"/>
      <c r="BL2" s="209"/>
      <c r="BM2" s="210"/>
      <c r="BN2" s="70"/>
    </row>
    <row r="3" spans="2:66" ht="15" customHeight="1">
      <c r="B3" s="3144" t="s">
        <v>36</v>
      </c>
      <c r="C3" s="3145"/>
      <c r="D3" s="3010" t="s">
        <v>3098</v>
      </c>
      <c r="E3" s="3148" t="s">
        <v>38</v>
      </c>
      <c r="F3" s="3150" t="s">
        <v>39</v>
      </c>
      <c r="G3" s="3261" t="s">
        <v>3836</v>
      </c>
      <c r="H3" s="3262"/>
      <c r="I3" s="3262"/>
      <c r="J3" s="3283"/>
      <c r="K3" s="3282" t="s">
        <v>3837</v>
      </c>
      <c r="L3" s="3262"/>
      <c r="M3" s="3262"/>
      <c r="N3" s="3283"/>
      <c r="O3" s="3070" t="s">
        <v>710</v>
      </c>
      <c r="Q3" s="3070" t="s">
        <v>705</v>
      </c>
      <c r="R3" s="3070" t="s">
        <v>43</v>
      </c>
      <c r="AI3" s="479"/>
      <c r="AJ3" s="479"/>
      <c r="AK3" s="479"/>
      <c r="AL3" s="479"/>
      <c r="AM3" s="479"/>
      <c r="AN3" s="479"/>
      <c r="AO3" s="479"/>
      <c r="AP3" s="479"/>
      <c r="AQ3" s="479"/>
      <c r="AR3" s="479"/>
      <c r="AS3" s="479"/>
      <c r="AT3" s="479"/>
      <c r="AU3" s="479"/>
      <c r="AV3" s="479"/>
      <c r="AW3" s="479"/>
      <c r="AX3" s="479"/>
      <c r="AY3" s="479"/>
      <c r="AZ3" s="479"/>
      <c r="BA3" s="3144" t="s">
        <v>36</v>
      </c>
      <c r="BB3" s="3145"/>
      <c r="BC3" s="3010" t="s">
        <v>3098</v>
      </c>
      <c r="BD3" s="3148" t="s">
        <v>38</v>
      </c>
      <c r="BE3" s="3150" t="s">
        <v>39</v>
      </c>
      <c r="BF3" s="3261" t="s">
        <v>3836</v>
      </c>
      <c r="BG3" s="3262"/>
      <c r="BH3" s="3262"/>
      <c r="BI3" s="3283"/>
      <c r="BJ3" s="3282" t="s">
        <v>3837</v>
      </c>
      <c r="BK3" s="3262"/>
      <c r="BL3" s="3262"/>
      <c r="BM3" s="3283"/>
      <c r="BN3" s="3070" t="s">
        <v>710</v>
      </c>
    </row>
    <row r="4" spans="2:66" ht="27.75" thickBot="1">
      <c r="B4" s="3146"/>
      <c r="C4" s="3147"/>
      <c r="D4" s="3011"/>
      <c r="E4" s="3149"/>
      <c r="F4" s="3151"/>
      <c r="G4" s="211" t="s">
        <v>3838</v>
      </c>
      <c r="H4" s="212" t="s">
        <v>3839</v>
      </c>
      <c r="I4" s="212" t="s">
        <v>3840</v>
      </c>
      <c r="J4" s="213" t="s">
        <v>710</v>
      </c>
      <c r="K4" s="214" t="s">
        <v>3838</v>
      </c>
      <c r="L4" s="212" t="s">
        <v>3839</v>
      </c>
      <c r="M4" s="212" t="s">
        <v>3840</v>
      </c>
      <c r="N4" s="213" t="s">
        <v>710</v>
      </c>
      <c r="O4" s="3071"/>
      <c r="Q4" s="3284"/>
      <c r="R4" s="3071"/>
      <c r="AI4" s="479"/>
      <c r="AJ4" s="479"/>
      <c r="AK4" s="479"/>
      <c r="AL4" s="479"/>
      <c r="AM4" s="479"/>
      <c r="AN4" s="479"/>
      <c r="AO4" s="479"/>
      <c r="AP4" s="479"/>
      <c r="AQ4" s="479"/>
      <c r="AR4" s="479"/>
      <c r="AS4" s="479"/>
      <c r="AT4" s="479"/>
      <c r="AU4" s="479"/>
      <c r="AV4" s="479"/>
      <c r="AW4" s="479"/>
      <c r="AX4" s="479"/>
      <c r="AY4" s="479"/>
      <c r="AZ4" s="479"/>
      <c r="BA4" s="3146"/>
      <c r="BB4" s="3147"/>
      <c r="BC4" s="3011"/>
      <c r="BD4" s="3149"/>
      <c r="BE4" s="3151"/>
      <c r="BF4" s="211" t="s">
        <v>3838</v>
      </c>
      <c r="BG4" s="212" t="s">
        <v>3839</v>
      </c>
      <c r="BH4" s="212" t="s">
        <v>3840</v>
      </c>
      <c r="BI4" s="213" t="s">
        <v>710</v>
      </c>
      <c r="BJ4" s="214" t="s">
        <v>3838</v>
      </c>
      <c r="BK4" s="212" t="s">
        <v>3839</v>
      </c>
      <c r="BL4" s="212" t="s">
        <v>3840</v>
      </c>
      <c r="BM4" s="213" t="s">
        <v>710</v>
      </c>
      <c r="BN4" s="3071"/>
    </row>
    <row r="5" spans="2:66" ht="24.75" thickBot="1">
      <c r="B5" s="70"/>
      <c r="C5" s="70"/>
      <c r="D5" s="70"/>
      <c r="E5" s="70"/>
      <c r="F5" s="70"/>
      <c r="G5" s="70"/>
      <c r="H5" s="70"/>
      <c r="I5" s="70"/>
      <c r="J5" s="70"/>
      <c r="K5" s="70"/>
      <c r="L5" s="70"/>
      <c r="M5" s="70"/>
      <c r="N5" s="70"/>
      <c r="O5" s="70"/>
      <c r="U5" s="3072" t="s">
        <v>47</v>
      </c>
      <c r="V5" s="3072"/>
      <c r="W5" s="3072"/>
      <c r="X5" s="3072"/>
      <c r="Y5" s="3072"/>
      <c r="Z5" s="3072"/>
      <c r="AA5" s="3072"/>
      <c r="AC5" s="2987" t="s">
        <v>26</v>
      </c>
      <c r="AE5" s="76" t="s">
        <v>904</v>
      </c>
      <c r="AF5" s="2987"/>
      <c r="AG5" s="2987"/>
      <c r="AI5" s="479"/>
      <c r="AJ5" s="479"/>
      <c r="AK5" s="479"/>
      <c r="AL5" s="479"/>
      <c r="AM5" s="479"/>
      <c r="AN5" s="479"/>
      <c r="AO5" s="479"/>
      <c r="AP5" s="479"/>
      <c r="AQ5" s="479"/>
      <c r="AR5" s="479"/>
      <c r="AS5" s="479"/>
      <c r="AT5" s="479"/>
      <c r="AU5" s="479"/>
      <c r="AV5" s="479"/>
      <c r="AW5" s="479"/>
      <c r="AX5" s="479"/>
      <c r="AY5" s="479"/>
      <c r="AZ5" s="479"/>
      <c r="BA5" s="70"/>
      <c r="BB5" s="70"/>
      <c r="BC5" s="70"/>
      <c r="BD5" s="70"/>
      <c r="BE5" s="70"/>
      <c r="BF5" s="70"/>
      <c r="BG5" s="70"/>
      <c r="BH5" s="70"/>
      <c r="BI5" s="70"/>
      <c r="BJ5" s="70"/>
      <c r="BK5" s="70"/>
      <c r="BL5" s="70"/>
      <c r="BM5" s="70"/>
      <c r="BN5" s="70"/>
    </row>
    <row r="6" spans="2:66" s="70" customFormat="1" ht="15" thickBot="1">
      <c r="B6" s="3036" t="s">
        <v>155</v>
      </c>
      <c r="C6" s="83" t="s">
        <v>941</v>
      </c>
      <c r="D6" s="1505"/>
      <c r="T6" s="71"/>
      <c r="U6" s="164" t="s">
        <v>48</v>
      </c>
      <c r="V6" s="164"/>
      <c r="W6" s="164"/>
      <c r="X6" s="164"/>
      <c r="Y6" s="164"/>
      <c r="Z6" s="164"/>
      <c r="AA6" s="203"/>
      <c r="AB6" s="71"/>
      <c r="AC6" s="479"/>
      <c r="AD6" s="71"/>
      <c r="AE6" s="74"/>
      <c r="AF6" s="74"/>
      <c r="AG6" s="74"/>
      <c r="AH6" s="71"/>
      <c r="BA6" s="3036" t="s">
        <v>155</v>
      </c>
      <c r="BB6" s="83" t="s">
        <v>941</v>
      </c>
      <c r="BC6" s="1505"/>
    </row>
    <row r="7" spans="2:66">
      <c r="B7" s="86" t="s">
        <v>3841</v>
      </c>
      <c r="C7" s="117" t="s">
        <v>1262</v>
      </c>
      <c r="D7" s="117"/>
      <c r="E7" s="88" t="s">
        <v>51</v>
      </c>
      <c r="F7" s="215">
        <v>3</v>
      </c>
      <c r="G7" s="474">
        <v>0.55200000000000005</v>
      </c>
      <c r="H7" s="416">
        <v>0.59</v>
      </c>
      <c r="I7" s="417">
        <v>11.295999999999999</v>
      </c>
      <c r="J7" s="216">
        <f>SUM(G7:I7)</f>
        <v>12.437999999999999</v>
      </c>
      <c r="K7" s="474">
        <v>0.52700000000000002</v>
      </c>
      <c r="L7" s="416">
        <v>0.52200000000000002</v>
      </c>
      <c r="M7" s="417">
        <v>13.72</v>
      </c>
      <c r="N7" s="216">
        <f>SUM(K7:M7)</f>
        <v>14.769</v>
      </c>
      <c r="O7" s="216">
        <f>J7+N7</f>
        <v>27.207000000000001</v>
      </c>
      <c r="Q7" s="1370">
        <f xml:space="preserve"> IF( SUM( AB7:AD7 ) = 0, 0, AG7 )</f>
        <v>0</v>
      </c>
      <c r="R7" s="24">
        <f xml:space="preserve"> IF( SUM( T7:AB7 ) = 0, 0, $U$6 )</f>
        <v>0</v>
      </c>
      <c r="U7" s="93">
        <f xml:space="preserve"> IF( ISNUMBER( G7 ), 0, 1 )</f>
        <v>0</v>
      </c>
      <c r="V7" s="93">
        <f>IF(Validation!$H$3=1,0,IF(ISNUMBER(H7),0,1))</f>
        <v>0</v>
      </c>
      <c r="W7" s="93">
        <f>IF(Validation!$H$3=1,0,IF(ISNUMBER(I7),0,1))</f>
        <v>0</v>
      </c>
      <c r="X7" s="93">
        <f xml:space="preserve"> IF( ISNUMBER( K7 ), 0, 1 )</f>
        <v>0</v>
      </c>
      <c r="Y7" s="93">
        <f>IF(Validation!$H$3=1,0,IF(ISNUMBER(L7),0,1))</f>
        <v>0</v>
      </c>
      <c r="Z7" s="93">
        <f>IF(Validation!$H$3=1,0,IF(ISNUMBER(M7),0,1))</f>
        <v>0</v>
      </c>
      <c r="AA7" s="203"/>
      <c r="AC7" s="127"/>
      <c r="AE7" s="165"/>
      <c r="AF7" s="165"/>
      <c r="AI7" s="479"/>
      <c r="AJ7" s="479"/>
      <c r="AK7" s="479"/>
      <c r="AL7" s="479"/>
      <c r="AM7" s="479"/>
      <c r="AN7" s="479"/>
      <c r="AO7" s="479"/>
      <c r="AP7" s="479"/>
      <c r="AQ7" s="479"/>
      <c r="AR7" s="479"/>
      <c r="AS7" s="479"/>
      <c r="AT7" s="479"/>
      <c r="AU7" s="479"/>
      <c r="AV7" s="479"/>
      <c r="AW7" s="479"/>
      <c r="AX7" s="479"/>
      <c r="AY7" s="479"/>
      <c r="AZ7" s="479"/>
      <c r="BA7" s="86" t="s">
        <v>3841</v>
      </c>
      <c r="BB7" s="117" t="s">
        <v>1262</v>
      </c>
      <c r="BC7" s="117"/>
      <c r="BD7" s="88" t="s">
        <v>51</v>
      </c>
      <c r="BE7" s="215">
        <v>3</v>
      </c>
      <c r="BF7" s="2671" t="s">
        <v>3842</v>
      </c>
      <c r="BG7" s="2672" t="s">
        <v>3843</v>
      </c>
      <c r="BH7" s="2673" t="s">
        <v>3844</v>
      </c>
      <c r="BI7" s="216" t="s">
        <v>3845</v>
      </c>
      <c r="BJ7" s="2671" t="s">
        <v>3846</v>
      </c>
      <c r="BK7" s="2672" t="s">
        <v>3847</v>
      </c>
      <c r="BL7" s="2673" t="s">
        <v>3848</v>
      </c>
      <c r="BM7" s="216" t="s">
        <v>3849</v>
      </c>
      <c r="BN7" s="216" t="s">
        <v>3850</v>
      </c>
    </row>
    <row r="8" spans="2:66">
      <c r="B8" s="94" t="s">
        <v>3851</v>
      </c>
      <c r="C8" s="87" t="s">
        <v>1266</v>
      </c>
      <c r="D8" s="87"/>
      <c r="E8" s="95" t="s">
        <v>51</v>
      </c>
      <c r="F8" s="217">
        <v>3</v>
      </c>
      <c r="G8" s="476">
        <v>8.2000000000000003E-2</v>
      </c>
      <c r="H8" s="418">
        <v>8.6999999999999994E-2</v>
      </c>
      <c r="I8" s="419">
        <v>1.6729999999999998</v>
      </c>
      <c r="J8" s="218">
        <f t="shared" ref="J8:J20" si="0">SUM(G8:I8)</f>
        <v>1.8419999999999999</v>
      </c>
      <c r="K8" s="476">
        <v>7.8E-2</v>
      </c>
      <c r="L8" s="418">
        <v>7.6999999999999999E-2</v>
      </c>
      <c r="M8" s="419">
        <v>2.032</v>
      </c>
      <c r="N8" s="218">
        <f>SUM(K8:M8)</f>
        <v>2.1869999999999998</v>
      </c>
      <c r="O8" s="218">
        <f>J8+N8</f>
        <v>4.0289999999999999</v>
      </c>
      <c r="Q8" s="1370">
        <f t="shared" ref="Q8:Q21" si="1" xml:space="preserve"> IF( SUM( AB8:AD8 ) = 0, 0, AG8 )</f>
        <v>0</v>
      </c>
      <c r="R8" s="24">
        <f xml:space="preserve"> IF( SUM( T8:AB8 ) = 0, 0, $U$6 )</f>
        <v>0</v>
      </c>
      <c r="U8" s="93">
        <f t="shared" ref="U8:U20" si="2" xml:space="preserve"> IF( ISNUMBER( G8 ), 0, 1 )</f>
        <v>0</v>
      </c>
      <c r="V8" s="93">
        <f>IF(Validation!$H$3=1,0,IF(ISNUMBER(H8),0,1))</f>
        <v>0</v>
      </c>
      <c r="W8" s="93">
        <f>IF(Validation!$H$3=1,0,IF(ISNUMBER(I8),0,1))</f>
        <v>0</v>
      </c>
      <c r="X8" s="93">
        <f t="shared" ref="X8:X20" si="3" xml:space="preserve"> IF( ISNUMBER( K8 ), 0, 1 )</f>
        <v>0</v>
      </c>
      <c r="Y8" s="93">
        <f>IF(Validation!$H$3=1,0,IF(ISNUMBER(L8),0,1))</f>
        <v>0</v>
      </c>
      <c r="Z8" s="93">
        <f>IF(Validation!$H$3=1,0,IF(ISNUMBER(M8),0,1))</f>
        <v>0</v>
      </c>
      <c r="AA8" s="203"/>
      <c r="AC8" s="127"/>
      <c r="AE8" s="165"/>
      <c r="AF8" s="165"/>
      <c r="AI8" s="479"/>
      <c r="AJ8" s="479"/>
      <c r="AK8" s="479"/>
      <c r="AL8" s="479"/>
      <c r="AM8" s="479"/>
      <c r="AN8" s="479"/>
      <c r="AO8" s="479"/>
      <c r="AP8" s="479"/>
      <c r="AQ8" s="479"/>
      <c r="AR8" s="479"/>
      <c r="AS8" s="479"/>
      <c r="AT8" s="479"/>
      <c r="AU8" s="479"/>
      <c r="AV8" s="479"/>
      <c r="AW8" s="479"/>
      <c r="AX8" s="479"/>
      <c r="AY8" s="479"/>
      <c r="AZ8" s="479"/>
      <c r="BA8" s="94" t="s">
        <v>3851</v>
      </c>
      <c r="BB8" s="87" t="s">
        <v>1266</v>
      </c>
      <c r="BC8" s="87"/>
      <c r="BD8" s="95" t="s">
        <v>51</v>
      </c>
      <c r="BE8" s="217">
        <v>3</v>
      </c>
      <c r="BF8" s="2674" t="s">
        <v>3852</v>
      </c>
      <c r="BG8" s="2675" t="s">
        <v>3853</v>
      </c>
      <c r="BH8" s="2676" t="s">
        <v>3854</v>
      </c>
      <c r="BI8" s="218" t="s">
        <v>3855</v>
      </c>
      <c r="BJ8" s="2674" t="s">
        <v>3856</v>
      </c>
      <c r="BK8" s="2675" t="s">
        <v>3857</v>
      </c>
      <c r="BL8" s="2676" t="s">
        <v>3858</v>
      </c>
      <c r="BM8" s="218" t="s">
        <v>3859</v>
      </c>
      <c r="BN8" s="218" t="s">
        <v>3860</v>
      </c>
    </row>
    <row r="9" spans="2:66" ht="15" thickBot="1">
      <c r="B9" s="94" t="s">
        <v>3861</v>
      </c>
      <c r="C9" s="87" t="s">
        <v>1270</v>
      </c>
      <c r="D9" s="87"/>
      <c r="E9" s="95" t="s">
        <v>51</v>
      </c>
      <c r="F9" s="217">
        <v>3</v>
      </c>
      <c r="G9" s="473">
        <v>0.54200000000000004</v>
      </c>
      <c r="H9" s="420">
        <v>6.0999999999999999E-2</v>
      </c>
      <c r="I9" s="422">
        <v>9.56</v>
      </c>
      <c r="J9" s="222">
        <f t="shared" si="0"/>
        <v>10.163</v>
      </c>
      <c r="K9" s="476">
        <v>0.29699999999999999</v>
      </c>
      <c r="L9" s="418">
        <v>3.0000000000000001E-3</v>
      </c>
      <c r="M9" s="419">
        <v>13.617000000000001</v>
      </c>
      <c r="N9" s="218">
        <f>SUM(K9:M9)</f>
        <v>13.917000000000002</v>
      </c>
      <c r="O9" s="218">
        <f>J9+N9</f>
        <v>24.080000000000002</v>
      </c>
      <c r="Q9" s="1370">
        <f t="shared" si="1"/>
        <v>0</v>
      </c>
      <c r="R9" s="24">
        <f xml:space="preserve"> IF( SUM( T9:AB9 ) = 0, 0, $U$6 )</f>
        <v>0</v>
      </c>
      <c r="U9" s="93">
        <f t="shared" si="2"/>
        <v>0</v>
      </c>
      <c r="V9" s="93">
        <f>IF(Validation!$H$3=1,0,IF(ISNUMBER(H9),0,1))</f>
        <v>0</v>
      </c>
      <c r="W9" s="93">
        <f>IF(Validation!$H$3=1,0,IF(ISNUMBER(I9),0,1))</f>
        <v>0</v>
      </c>
      <c r="X9" s="93">
        <f t="shared" si="3"/>
        <v>0</v>
      </c>
      <c r="Y9" s="93">
        <f>IF(Validation!$H$3=1,0,IF(ISNUMBER(L9),0,1))</f>
        <v>0</v>
      </c>
      <c r="Z9" s="93">
        <f>IF(Validation!$H$3=1,0,IF(ISNUMBER(M9),0,1))</f>
        <v>0</v>
      </c>
      <c r="AA9" s="203"/>
      <c r="AC9" s="127"/>
      <c r="AE9" s="165"/>
      <c r="AF9" s="165"/>
      <c r="AI9" s="479"/>
      <c r="AJ9" s="479"/>
      <c r="AK9" s="479"/>
      <c r="AL9" s="479"/>
      <c r="AM9" s="479"/>
      <c r="AN9" s="479"/>
      <c r="AO9" s="479"/>
      <c r="AP9" s="479"/>
      <c r="AQ9" s="479"/>
      <c r="AR9" s="479"/>
      <c r="AS9" s="479"/>
      <c r="AT9" s="479"/>
      <c r="AU9" s="479"/>
      <c r="AV9" s="479"/>
      <c r="AW9" s="479"/>
      <c r="AX9" s="479"/>
      <c r="AY9" s="479"/>
      <c r="AZ9" s="479"/>
      <c r="BA9" s="94" t="s">
        <v>3861</v>
      </c>
      <c r="BB9" s="87" t="s">
        <v>1270</v>
      </c>
      <c r="BC9" s="87"/>
      <c r="BD9" s="95" t="s">
        <v>51</v>
      </c>
      <c r="BE9" s="217">
        <v>3</v>
      </c>
      <c r="BF9" s="2677" t="s">
        <v>3862</v>
      </c>
      <c r="BG9" s="2678" t="s">
        <v>3863</v>
      </c>
      <c r="BH9" s="2679" t="s">
        <v>3864</v>
      </c>
      <c r="BI9" s="222" t="s">
        <v>3865</v>
      </c>
      <c r="BJ9" s="2674" t="s">
        <v>3866</v>
      </c>
      <c r="BK9" s="2675" t="s">
        <v>3867</v>
      </c>
      <c r="BL9" s="2676" t="s">
        <v>3868</v>
      </c>
      <c r="BM9" s="218" t="s">
        <v>3869</v>
      </c>
      <c r="BN9" s="218" t="s">
        <v>3870</v>
      </c>
    </row>
    <row r="10" spans="2:66" ht="15" thickBot="1">
      <c r="B10" s="94" t="s">
        <v>3871</v>
      </c>
      <c r="C10" s="219" t="s">
        <v>1274</v>
      </c>
      <c r="D10" s="219"/>
      <c r="E10" s="95" t="s">
        <v>51</v>
      </c>
      <c r="F10" s="217">
        <v>3</v>
      </c>
      <c r="G10" s="220"/>
      <c r="H10" s="221"/>
      <c r="I10" s="655"/>
      <c r="J10" s="656"/>
      <c r="K10" s="475">
        <v>5.3999999999999999E-2</v>
      </c>
      <c r="L10" s="421">
        <v>5.3999999999999999E-2</v>
      </c>
      <c r="M10" s="422">
        <v>1.4159999999999999</v>
      </c>
      <c r="N10" s="222">
        <f>SUM(K10:M10)</f>
        <v>1.524</v>
      </c>
      <c r="O10" s="222">
        <f>N10</f>
        <v>1.524</v>
      </c>
      <c r="Q10" s="1370">
        <f t="shared" si="1"/>
        <v>0</v>
      </c>
      <c r="R10" s="24">
        <f xml:space="preserve"> IF( SUM( T10:AB10 ) = 0, 0, $U$6 )</f>
        <v>0</v>
      </c>
      <c r="U10" s="127"/>
      <c r="V10" s="127"/>
      <c r="W10" s="127"/>
      <c r="X10" s="93">
        <f t="shared" si="3"/>
        <v>0</v>
      </c>
      <c r="Y10" s="93">
        <f>IF(Validation!$H$3=1,0,IF(ISNUMBER(L10),0,1))</f>
        <v>0</v>
      </c>
      <c r="Z10" s="93">
        <f>IF(Validation!$H$3=1,0,IF(ISNUMBER(M10),0,1))</f>
        <v>0</v>
      </c>
      <c r="AA10" s="203"/>
      <c r="AC10" s="127"/>
      <c r="AE10" s="165"/>
      <c r="AF10" s="165"/>
      <c r="AI10" s="479"/>
      <c r="AJ10" s="479"/>
      <c r="AK10" s="479"/>
      <c r="AL10" s="479"/>
      <c r="AM10" s="479"/>
      <c r="AN10" s="479"/>
      <c r="AO10" s="479"/>
      <c r="AP10" s="479"/>
      <c r="AQ10" s="479"/>
      <c r="AR10" s="479"/>
      <c r="AS10" s="479"/>
      <c r="AT10" s="479"/>
      <c r="AU10" s="479"/>
      <c r="AV10" s="479"/>
      <c r="AW10" s="479"/>
      <c r="AX10" s="479"/>
      <c r="AY10" s="479"/>
      <c r="AZ10" s="479"/>
      <c r="BA10" s="94" t="s">
        <v>3871</v>
      </c>
      <c r="BB10" s="219" t="s">
        <v>1274</v>
      </c>
      <c r="BC10" s="219"/>
      <c r="BD10" s="95" t="s">
        <v>51</v>
      </c>
      <c r="BE10" s="217">
        <v>3</v>
      </c>
      <c r="BF10" s="220"/>
      <c r="BG10" s="221"/>
      <c r="BH10" s="655"/>
      <c r="BI10" s="656"/>
      <c r="BJ10" s="2680" t="s">
        <v>3872</v>
      </c>
      <c r="BK10" s="2681" t="s">
        <v>3873</v>
      </c>
      <c r="BL10" s="2679" t="s">
        <v>3874</v>
      </c>
      <c r="BM10" s="222" t="s">
        <v>3875</v>
      </c>
      <c r="BN10" s="222" t="s">
        <v>3876</v>
      </c>
    </row>
    <row r="11" spans="2:66">
      <c r="B11" s="94" t="s">
        <v>3877</v>
      </c>
      <c r="C11" s="219" t="s">
        <v>1282</v>
      </c>
      <c r="D11" s="219"/>
      <c r="E11" s="95" t="s">
        <v>51</v>
      </c>
      <c r="F11" s="217">
        <v>3</v>
      </c>
      <c r="G11" s="474">
        <v>0.17799999999999999</v>
      </c>
      <c r="H11" s="416">
        <v>0.19</v>
      </c>
      <c r="I11" s="653">
        <v>3.6429999999999998</v>
      </c>
      <c r="J11" s="654">
        <f t="shared" si="0"/>
        <v>4.0110000000000001</v>
      </c>
      <c r="K11" s="476">
        <v>0.17</v>
      </c>
      <c r="L11" s="418">
        <v>0.16800000000000001</v>
      </c>
      <c r="M11" s="419">
        <v>4.4260000000000002</v>
      </c>
      <c r="N11" s="218">
        <f>SUM(K11:M11)</f>
        <v>4.7640000000000002</v>
      </c>
      <c r="O11" s="218">
        <f t="shared" ref="O11:O21" si="4">J11+N11</f>
        <v>8.7750000000000004</v>
      </c>
      <c r="Q11" s="1370">
        <f xml:space="preserve"> IF( SUM( AB11:AD11 ) = 0, 0, AG11 )</f>
        <v>0</v>
      </c>
      <c r="R11" s="24">
        <f xml:space="preserve"> IF( SUM( T11:AB11 ) = 0, 0, $U$6 )</f>
        <v>0</v>
      </c>
      <c r="U11" s="93">
        <f t="shared" si="2"/>
        <v>0</v>
      </c>
      <c r="V11" s="93">
        <f>IF(Validation!$H$3=1,0,IF(ISNUMBER(H11),0,1))</f>
        <v>0</v>
      </c>
      <c r="W11" s="93">
        <f>IF(Validation!$H$3=1,0,IF(ISNUMBER(I11),0,1))</f>
        <v>0</v>
      </c>
      <c r="X11" s="93">
        <f t="shared" si="3"/>
        <v>0</v>
      </c>
      <c r="Y11" s="93">
        <f>IF(Validation!$H$3=1,0,IF(ISNUMBER(L11),0,1))</f>
        <v>0</v>
      </c>
      <c r="Z11" s="93">
        <f>IF(Validation!$H$3=1,0,IF(ISNUMBER(M11),0,1))</f>
        <v>0</v>
      </c>
      <c r="AA11" s="203"/>
      <c r="AC11" s="127"/>
      <c r="AE11" s="165"/>
      <c r="AF11" s="165"/>
      <c r="AI11" s="479"/>
      <c r="AJ11" s="479"/>
      <c r="AK11" s="479"/>
      <c r="AL11" s="479"/>
      <c r="AM11" s="479"/>
      <c r="AN11" s="479"/>
      <c r="AO11" s="479"/>
      <c r="AP11" s="479"/>
      <c r="AQ11" s="479"/>
      <c r="AR11" s="479"/>
      <c r="AS11" s="479"/>
      <c r="AT11" s="479"/>
      <c r="AU11" s="479"/>
      <c r="AV11" s="479"/>
      <c r="AW11" s="479"/>
      <c r="AX11" s="479"/>
      <c r="AY11" s="479"/>
      <c r="AZ11" s="479"/>
      <c r="BA11" s="94" t="s">
        <v>3877</v>
      </c>
      <c r="BB11" s="219" t="s">
        <v>1282</v>
      </c>
      <c r="BC11" s="219"/>
      <c r="BD11" s="95" t="s">
        <v>51</v>
      </c>
      <c r="BE11" s="217">
        <v>3</v>
      </c>
      <c r="BF11" s="2671" t="s">
        <v>3878</v>
      </c>
      <c r="BG11" s="2672" t="s">
        <v>3879</v>
      </c>
      <c r="BH11" s="2682" t="s">
        <v>3880</v>
      </c>
      <c r="BI11" s="654" t="s">
        <v>3881</v>
      </c>
      <c r="BJ11" s="2674" t="s">
        <v>3882</v>
      </c>
      <c r="BK11" s="2675" t="s">
        <v>3883</v>
      </c>
      <c r="BL11" s="2676" t="s">
        <v>3884</v>
      </c>
      <c r="BM11" s="218" t="s">
        <v>3885</v>
      </c>
      <c r="BN11" s="218" t="s">
        <v>3886</v>
      </c>
    </row>
    <row r="12" spans="2:66" ht="15" thickBot="1">
      <c r="B12" s="101" t="s">
        <v>3887</v>
      </c>
      <c r="C12" s="102" t="s">
        <v>1106</v>
      </c>
      <c r="D12" s="102"/>
      <c r="E12" s="103" t="s">
        <v>51</v>
      </c>
      <c r="F12" s="225">
        <v>3</v>
      </c>
      <c r="G12" s="798">
        <f>SUM(G7:G9) + G11</f>
        <v>1.3540000000000001</v>
      </c>
      <c r="H12" s="804">
        <f>SUM(H7:H9) + H11</f>
        <v>0.92799999999999994</v>
      </c>
      <c r="I12" s="805">
        <f>SUM(I7:I9) + I11</f>
        <v>26.172000000000001</v>
      </c>
      <c r="J12" s="799">
        <f>SUM(J7:J9) + J11</f>
        <v>28.453999999999997</v>
      </c>
      <c r="K12" s="798">
        <f>SUM(K7:K11)</f>
        <v>1.1259999999999999</v>
      </c>
      <c r="L12" s="804">
        <f>SUM(L7:L11)</f>
        <v>0.82400000000000007</v>
      </c>
      <c r="M12" s="805">
        <f>SUM(M7:M11)</f>
        <v>35.210999999999999</v>
      </c>
      <c r="N12" s="799">
        <f>SUM(N7:N11)</f>
        <v>37.161000000000001</v>
      </c>
      <c r="O12" s="799">
        <f t="shared" si="4"/>
        <v>65.614999999999995</v>
      </c>
      <c r="Q12" s="1370">
        <f t="shared" si="1"/>
        <v>0</v>
      </c>
      <c r="AA12" s="203"/>
      <c r="AC12" s="93">
        <f t="shared" ref="AC12" si="5" xml:space="preserve"> IF( (AE12 - AF12) = 0, 0, 1 )</f>
        <v>0</v>
      </c>
      <c r="AE12" s="165">
        <f xml:space="preserve"> ROUND( O12, 3)</f>
        <v>65.614999999999995</v>
      </c>
      <c r="AF12" s="165">
        <f xml:space="preserve"> ROUND( '2C'!G12, 3)</f>
        <v>65.614999999999995</v>
      </c>
      <c r="AG12" s="74" t="s">
        <v>3888</v>
      </c>
      <c r="AI12" s="479"/>
      <c r="AJ12" s="479"/>
      <c r="AK12" s="479"/>
      <c r="AL12" s="479"/>
      <c r="AM12" s="479"/>
      <c r="AN12" s="479"/>
      <c r="AO12" s="479"/>
      <c r="AP12" s="479"/>
      <c r="AQ12" s="479"/>
      <c r="AR12" s="479"/>
      <c r="AS12" s="479"/>
      <c r="AT12" s="479"/>
      <c r="AU12" s="479"/>
      <c r="AV12" s="479"/>
      <c r="AW12" s="479"/>
      <c r="AX12" s="479"/>
      <c r="AY12" s="479"/>
      <c r="AZ12" s="479"/>
      <c r="BA12" s="101" t="s">
        <v>3887</v>
      </c>
      <c r="BB12" s="102" t="s">
        <v>1106</v>
      </c>
      <c r="BC12" s="102"/>
      <c r="BD12" s="103" t="s">
        <v>51</v>
      </c>
      <c r="BE12" s="225">
        <v>3</v>
      </c>
      <c r="BF12" s="798" t="s">
        <v>3889</v>
      </c>
      <c r="BG12" s="804" t="s">
        <v>3890</v>
      </c>
      <c r="BH12" s="805" t="s">
        <v>3891</v>
      </c>
      <c r="BI12" s="799" t="s">
        <v>3892</v>
      </c>
      <c r="BJ12" s="798" t="s">
        <v>3893</v>
      </c>
      <c r="BK12" s="804" t="s">
        <v>3894</v>
      </c>
      <c r="BL12" s="805" t="s">
        <v>3895</v>
      </c>
      <c r="BM12" s="799" t="s">
        <v>3896</v>
      </c>
      <c r="BN12" s="799" t="s">
        <v>3897</v>
      </c>
    </row>
    <row r="13" spans="2:66" s="479" customFormat="1" ht="15" thickBot="1">
      <c r="B13" s="70"/>
      <c r="C13" s="70"/>
      <c r="D13" s="70"/>
      <c r="E13" s="70"/>
      <c r="F13" s="70"/>
      <c r="G13" s="70"/>
      <c r="H13" s="70"/>
      <c r="I13" s="70"/>
      <c r="J13" s="70"/>
      <c r="K13" s="70"/>
      <c r="L13" s="70"/>
      <c r="M13" s="70"/>
      <c r="N13" s="70"/>
      <c r="O13" s="70"/>
      <c r="P13" s="70"/>
      <c r="Q13" s="70"/>
      <c r="R13" s="70"/>
      <c r="S13" s="70"/>
      <c r="T13" s="71"/>
      <c r="U13" s="70"/>
      <c r="V13" s="70"/>
      <c r="W13" s="70"/>
      <c r="X13" s="70"/>
      <c r="Y13" s="70"/>
      <c r="Z13" s="70"/>
      <c r="AA13" s="203"/>
      <c r="AB13" s="71"/>
      <c r="AC13" s="127"/>
      <c r="AD13" s="71"/>
      <c r="AE13" s="165"/>
      <c r="AF13" s="165"/>
      <c r="AG13" s="74"/>
      <c r="AH13" s="71"/>
      <c r="BA13" s="70"/>
      <c r="BB13" s="70"/>
      <c r="BC13" s="70"/>
      <c r="BD13" s="70"/>
      <c r="BE13" s="70"/>
      <c r="BF13" s="70"/>
      <c r="BG13" s="70"/>
      <c r="BH13" s="70"/>
      <c r="BI13" s="70"/>
      <c r="BJ13" s="70"/>
      <c r="BK13" s="70"/>
      <c r="BL13" s="70"/>
      <c r="BM13" s="70"/>
      <c r="BN13" s="70"/>
    </row>
    <row r="14" spans="2:66" s="479" customFormat="1">
      <c r="B14" s="86" t="s">
        <v>3898</v>
      </c>
      <c r="C14" s="797" t="s">
        <v>1289</v>
      </c>
      <c r="D14" s="797"/>
      <c r="E14" s="88" t="s">
        <v>51</v>
      </c>
      <c r="F14" s="215">
        <v>3</v>
      </c>
      <c r="G14" s="800">
        <v>0</v>
      </c>
      <c r="H14" s="801">
        <v>0</v>
      </c>
      <c r="I14" s="802">
        <v>0</v>
      </c>
      <c r="J14" s="803">
        <f t="shared" si="0"/>
        <v>0</v>
      </c>
      <c r="K14" s="800">
        <v>0</v>
      </c>
      <c r="L14" s="801">
        <v>0</v>
      </c>
      <c r="M14" s="802">
        <v>0</v>
      </c>
      <c r="N14" s="803">
        <f t="shared" ref="N14" si="6">SUM(K14:M14)</f>
        <v>0</v>
      </c>
      <c r="O14" s="803">
        <f t="shared" ref="O14" si="7">J14+N14</f>
        <v>0</v>
      </c>
      <c r="P14" s="70"/>
      <c r="Q14" s="1370">
        <f t="shared" si="1"/>
        <v>0</v>
      </c>
      <c r="R14" s="24">
        <f xml:space="preserve"> IF( SUM( T14:AB14 ) = 0, 0, $U$6 )</f>
        <v>0</v>
      </c>
      <c r="S14" s="70"/>
      <c r="T14" s="71"/>
      <c r="U14" s="93">
        <f t="shared" ref="U14" si="8" xml:space="preserve"> IF( ISNUMBER( G14 ), 0, 1 )</f>
        <v>0</v>
      </c>
      <c r="V14" s="93">
        <f>IF(Validation!$H$3=1,0,IF(ISNUMBER(H14),0,1))</f>
        <v>0</v>
      </c>
      <c r="W14" s="93">
        <f>IF(Validation!$H$3=1,0,IF(ISNUMBER(I14),0,1))</f>
        <v>0</v>
      </c>
      <c r="X14" s="93">
        <f t="shared" ref="X14" si="9" xml:space="preserve"> IF( ISNUMBER( K14 ), 0, 1 )</f>
        <v>0</v>
      </c>
      <c r="Y14" s="93">
        <f>IF(Validation!$H$3=1,0,IF(ISNUMBER(L14),0,1))</f>
        <v>0</v>
      </c>
      <c r="Z14" s="93">
        <f>IF(Validation!$H$3=1,0,IF(ISNUMBER(M14),0,1))</f>
        <v>0</v>
      </c>
      <c r="AA14" s="203"/>
      <c r="AB14" s="71"/>
      <c r="AC14" s="127"/>
      <c r="AD14" s="71"/>
      <c r="AE14" s="165"/>
      <c r="AF14" s="165"/>
      <c r="AG14" s="74"/>
      <c r="AH14" s="71"/>
      <c r="BA14" s="86" t="s">
        <v>3898</v>
      </c>
      <c r="BB14" s="797" t="s">
        <v>1289</v>
      </c>
      <c r="BC14" s="797"/>
      <c r="BD14" s="88" t="s">
        <v>51</v>
      </c>
      <c r="BE14" s="215">
        <v>3</v>
      </c>
      <c r="BF14" s="2683" t="s">
        <v>3899</v>
      </c>
      <c r="BG14" s="2684" t="s">
        <v>3900</v>
      </c>
      <c r="BH14" s="2685" t="s">
        <v>3901</v>
      </c>
      <c r="BI14" s="803" t="s">
        <v>3902</v>
      </c>
      <c r="BJ14" s="2683" t="s">
        <v>3903</v>
      </c>
      <c r="BK14" s="2684" t="s">
        <v>3904</v>
      </c>
      <c r="BL14" s="2685" t="s">
        <v>3905</v>
      </c>
      <c r="BM14" s="803" t="s">
        <v>3906</v>
      </c>
      <c r="BN14" s="803" t="s">
        <v>3907</v>
      </c>
    </row>
    <row r="15" spans="2:66" s="479" customFormat="1" ht="22.35" customHeight="1" thickBot="1">
      <c r="B15" s="101" t="s">
        <v>3908</v>
      </c>
      <c r="C15" s="102" t="s">
        <v>1122</v>
      </c>
      <c r="D15" s="102"/>
      <c r="E15" s="103" t="s">
        <v>51</v>
      </c>
      <c r="F15" s="225">
        <v>3</v>
      </c>
      <c r="G15" s="798">
        <f xml:space="preserve"> G12 +G14</f>
        <v>1.3540000000000001</v>
      </c>
      <c r="H15" s="804">
        <f xml:space="preserve"> H12 +H14</f>
        <v>0.92799999999999994</v>
      </c>
      <c r="I15" s="805">
        <f xml:space="preserve"> I12 +I14</f>
        <v>26.172000000000001</v>
      </c>
      <c r="J15" s="798">
        <f xml:space="preserve"> J12 +J14</f>
        <v>28.453999999999997</v>
      </c>
      <c r="K15" s="798">
        <f t="shared" ref="K15:N15" si="10" xml:space="preserve"> K12 +K14</f>
        <v>1.1259999999999999</v>
      </c>
      <c r="L15" s="804">
        <f t="shared" si="10"/>
        <v>0.82400000000000007</v>
      </c>
      <c r="M15" s="805">
        <f t="shared" si="10"/>
        <v>35.210999999999999</v>
      </c>
      <c r="N15" s="798">
        <f t="shared" si="10"/>
        <v>37.161000000000001</v>
      </c>
      <c r="O15" s="799">
        <f t="shared" ref="O15:O17" si="11">J15+N15</f>
        <v>65.614999999999995</v>
      </c>
      <c r="P15" s="70"/>
      <c r="Q15" s="1370">
        <f t="shared" si="1"/>
        <v>0</v>
      </c>
      <c r="R15" s="70"/>
      <c r="S15" s="70"/>
      <c r="T15" s="71"/>
      <c r="U15" s="70"/>
      <c r="V15" s="70"/>
      <c r="W15" s="70"/>
      <c r="X15" s="70"/>
      <c r="Y15" s="70"/>
      <c r="Z15" s="70"/>
      <c r="AA15" s="203"/>
      <c r="AB15" s="71"/>
      <c r="AC15" s="93">
        <f t="shared" ref="AC15" si="12" xml:space="preserve"> IF( (AE15 - AF15) = 0, 0, 1 )</f>
        <v>0</v>
      </c>
      <c r="AD15" s="71"/>
      <c r="AE15" s="165">
        <f t="shared" ref="AE15" si="13" xml:space="preserve"> ROUND( O15, 3)</f>
        <v>65.614999999999995</v>
      </c>
      <c r="AF15" s="165">
        <f xml:space="preserve"> ROUND( '2C'!G14, 3)</f>
        <v>65.614999999999995</v>
      </c>
      <c r="AG15" s="74" t="s">
        <v>3909</v>
      </c>
      <c r="AH15" s="71"/>
      <c r="BA15" s="101" t="s">
        <v>3908</v>
      </c>
      <c r="BB15" s="102" t="s">
        <v>1122</v>
      </c>
      <c r="BC15" s="102"/>
      <c r="BD15" s="103" t="s">
        <v>51</v>
      </c>
      <c r="BE15" s="225">
        <v>3</v>
      </c>
      <c r="BF15" s="798" t="s">
        <v>3910</v>
      </c>
      <c r="BG15" s="804" t="s">
        <v>3911</v>
      </c>
      <c r="BH15" s="805" t="s">
        <v>3912</v>
      </c>
      <c r="BI15" s="798" t="s">
        <v>3913</v>
      </c>
      <c r="BJ15" s="798" t="s">
        <v>3914</v>
      </c>
      <c r="BK15" s="804" t="s">
        <v>3915</v>
      </c>
      <c r="BL15" s="805" t="s">
        <v>3916</v>
      </c>
      <c r="BM15" s="798" t="s">
        <v>3917</v>
      </c>
      <c r="BN15" s="799" t="s">
        <v>3918</v>
      </c>
    </row>
    <row r="16" spans="2:66" s="479" customFormat="1" ht="15" thickBot="1">
      <c r="B16" s="70"/>
      <c r="C16" s="70"/>
      <c r="D16" s="70"/>
      <c r="E16" s="70"/>
      <c r="F16" s="70"/>
      <c r="G16" s="70"/>
      <c r="H16" s="70"/>
      <c r="I16" s="70"/>
      <c r="J16" s="70"/>
      <c r="K16" s="70"/>
      <c r="L16" s="70"/>
      <c r="M16" s="70"/>
      <c r="N16" s="70"/>
      <c r="O16" s="70"/>
      <c r="P16" s="70"/>
      <c r="Q16" s="70"/>
      <c r="R16" s="70"/>
      <c r="S16" s="70"/>
      <c r="T16" s="71"/>
      <c r="U16" s="70"/>
      <c r="V16" s="70"/>
      <c r="W16" s="70"/>
      <c r="X16" s="70"/>
      <c r="Y16" s="70"/>
      <c r="Z16" s="70"/>
      <c r="AA16" s="203"/>
      <c r="AB16" s="71"/>
      <c r="AC16" s="127"/>
      <c r="AD16" s="71"/>
      <c r="AE16" s="165"/>
      <c r="AF16" s="165"/>
      <c r="AG16" s="74"/>
      <c r="AH16" s="71"/>
      <c r="BA16" s="70"/>
      <c r="BB16" s="70"/>
      <c r="BC16" s="70"/>
      <c r="BD16" s="70"/>
      <c r="BE16" s="70"/>
      <c r="BF16" s="70"/>
      <c r="BG16" s="70"/>
      <c r="BH16" s="70"/>
      <c r="BI16" s="70"/>
      <c r="BJ16" s="70"/>
      <c r="BK16" s="70"/>
      <c r="BL16" s="70"/>
      <c r="BM16" s="70"/>
      <c r="BN16" s="70"/>
    </row>
    <row r="17" spans="2:66" s="479" customFormat="1">
      <c r="B17" s="227" t="s">
        <v>3919</v>
      </c>
      <c r="C17" s="117" t="s">
        <v>3920</v>
      </c>
      <c r="D17" s="117"/>
      <c r="E17" s="88" t="s">
        <v>51</v>
      </c>
      <c r="F17" s="215">
        <v>3</v>
      </c>
      <c r="G17" s="800">
        <v>1.4E-2</v>
      </c>
      <c r="H17" s="801">
        <v>1.4999999999999999E-2</v>
      </c>
      <c r="I17" s="802">
        <v>0.29299999999999998</v>
      </c>
      <c r="J17" s="216">
        <f t="shared" si="0"/>
        <v>0.32199999999999995</v>
      </c>
      <c r="K17" s="800">
        <v>1.4E-2</v>
      </c>
      <c r="L17" s="801">
        <v>1.4E-2</v>
      </c>
      <c r="M17" s="802">
        <v>0.35599999999999998</v>
      </c>
      <c r="N17" s="216">
        <f t="shared" ref="N17" si="14">SUM(K17:M17)</f>
        <v>0.38400000000000001</v>
      </c>
      <c r="O17" s="216">
        <f t="shared" si="11"/>
        <v>0.70599999999999996</v>
      </c>
      <c r="P17" s="70"/>
      <c r="Q17" s="1370">
        <f t="shared" si="1"/>
        <v>0</v>
      </c>
      <c r="R17" s="24">
        <f xml:space="preserve"> IF( SUM( T17:AB17 ) = 0, 0, $U$6 )</f>
        <v>0</v>
      </c>
      <c r="S17" s="70"/>
      <c r="T17" s="71"/>
      <c r="U17" s="93">
        <f t="shared" ref="U17" si="15" xml:space="preserve"> IF( ISNUMBER( G17 ), 0, 1 )</f>
        <v>0</v>
      </c>
      <c r="V17" s="93">
        <f>IF(Validation!$H$3=1,0,IF(ISNUMBER(H17),0,1))</f>
        <v>0</v>
      </c>
      <c r="W17" s="93">
        <f>IF(Validation!$H$3=1,0,IF(ISNUMBER(I17),0,1))</f>
        <v>0</v>
      </c>
      <c r="X17" s="93">
        <f t="shared" ref="X17" si="16" xml:space="preserve"> IF( ISNUMBER( K17 ), 0, 1 )</f>
        <v>0</v>
      </c>
      <c r="Y17" s="93">
        <f>IF(Validation!$H$3=1,0,IF(ISNUMBER(L17),0,1))</f>
        <v>0</v>
      </c>
      <c r="Z17" s="93">
        <f>IF(Validation!$H$3=1,0,IF(ISNUMBER(M17),0,1))</f>
        <v>0</v>
      </c>
      <c r="AA17" s="203"/>
      <c r="AB17" s="71"/>
      <c r="AC17" s="127"/>
      <c r="AD17" s="71"/>
      <c r="AE17" s="165"/>
      <c r="AF17" s="165"/>
      <c r="AG17" s="74"/>
      <c r="AH17" s="71"/>
      <c r="BA17" s="227" t="s">
        <v>3919</v>
      </c>
      <c r="BB17" s="117" t="s">
        <v>3920</v>
      </c>
      <c r="BC17" s="117"/>
      <c r="BD17" s="88" t="s">
        <v>51</v>
      </c>
      <c r="BE17" s="215">
        <v>3</v>
      </c>
      <c r="BF17" s="2686" t="s">
        <v>3921</v>
      </c>
      <c r="BG17" s="2687" t="s">
        <v>3922</v>
      </c>
      <c r="BH17" s="2688" t="s">
        <v>3923</v>
      </c>
      <c r="BI17" s="2110" t="s">
        <v>3924</v>
      </c>
      <c r="BJ17" s="2686" t="s">
        <v>3925</v>
      </c>
      <c r="BK17" s="2687" t="s">
        <v>3926</v>
      </c>
      <c r="BL17" s="2688" t="s">
        <v>3927</v>
      </c>
      <c r="BM17" s="2110" t="s">
        <v>3928</v>
      </c>
      <c r="BN17" s="2110" t="s">
        <v>3929</v>
      </c>
    </row>
    <row r="18" spans="2:66" s="479" customFormat="1">
      <c r="B18" s="232" t="s">
        <v>3930</v>
      </c>
      <c r="C18" s="87" t="s">
        <v>3931</v>
      </c>
      <c r="D18" s="87"/>
      <c r="E18" s="95" t="s">
        <v>51</v>
      </c>
      <c r="F18" s="217">
        <v>3</v>
      </c>
      <c r="G18" s="806">
        <v>3.1E-2</v>
      </c>
      <c r="H18" s="807">
        <v>3.3000000000000002E-2</v>
      </c>
      <c r="I18" s="653">
        <v>0.63</v>
      </c>
      <c r="J18" s="218">
        <f t="shared" si="0"/>
        <v>0.69399999999999995</v>
      </c>
      <c r="K18" s="806">
        <v>2.9000000000000001E-2</v>
      </c>
      <c r="L18" s="807">
        <v>2.9000000000000001E-2</v>
      </c>
      <c r="M18" s="653">
        <v>0.76600000000000001</v>
      </c>
      <c r="N18" s="218">
        <f t="shared" ref="N18" si="17">SUM(K18:M18)</f>
        <v>0.82400000000000007</v>
      </c>
      <c r="O18" s="218">
        <f t="shared" ref="O18" si="18">J18+N18</f>
        <v>1.518</v>
      </c>
      <c r="P18" s="70"/>
      <c r="Q18" s="1370"/>
      <c r="R18" s="24">
        <f xml:space="preserve"> IF( SUM( T18:AB18 ) = 0, 0, $U$6 )</f>
        <v>0</v>
      </c>
      <c r="S18" s="70"/>
      <c r="T18" s="71"/>
      <c r="U18" s="93">
        <f t="shared" ref="U18" si="19" xml:space="preserve"> IF( ISNUMBER( G18 ), 0, 1 )</f>
        <v>0</v>
      </c>
      <c r="V18" s="93">
        <f>IF(Validation!$H$3=1,0,IF(ISNUMBER(H18),0,1))</f>
        <v>0</v>
      </c>
      <c r="W18" s="93">
        <f>IF(Validation!$H$3=1,0,IF(ISNUMBER(I18),0,1))</f>
        <v>0</v>
      </c>
      <c r="X18" s="93">
        <f t="shared" ref="X18" si="20" xml:space="preserve"> IF( ISNUMBER( K18 ), 0, 1 )</f>
        <v>0</v>
      </c>
      <c r="Y18" s="93">
        <f>IF(Validation!$H$3=1,0,IF(ISNUMBER(L18),0,1))</f>
        <v>0</v>
      </c>
      <c r="Z18" s="93">
        <f>IF(Validation!$H$3=1,0,IF(ISNUMBER(M18),0,1))</f>
        <v>0</v>
      </c>
      <c r="AA18" s="203"/>
      <c r="AB18" s="71"/>
      <c r="AC18" s="862"/>
      <c r="AD18" s="71"/>
      <c r="AE18" s="165"/>
      <c r="AF18" s="165"/>
      <c r="AG18" s="74"/>
      <c r="AH18" s="71"/>
      <c r="BA18" s="232" t="s">
        <v>3930</v>
      </c>
      <c r="BB18" s="87" t="s">
        <v>3931</v>
      </c>
      <c r="BC18" s="87"/>
      <c r="BD18" s="95" t="s">
        <v>51</v>
      </c>
      <c r="BE18" s="217">
        <v>3</v>
      </c>
      <c r="BF18" s="2689" t="s">
        <v>3932</v>
      </c>
      <c r="BG18" s="2690" t="s">
        <v>3933</v>
      </c>
      <c r="BH18" s="2691" t="s">
        <v>3934</v>
      </c>
      <c r="BI18" s="2111" t="s">
        <v>3935</v>
      </c>
      <c r="BJ18" s="2689" t="s">
        <v>3936</v>
      </c>
      <c r="BK18" s="2690" t="s">
        <v>3937</v>
      </c>
      <c r="BL18" s="2691" t="s">
        <v>3938</v>
      </c>
      <c r="BM18" s="2111" t="s">
        <v>3939</v>
      </c>
      <c r="BN18" s="2111" t="s">
        <v>3940</v>
      </c>
    </row>
    <row r="19" spans="2:66">
      <c r="B19" s="232" t="s">
        <v>3941</v>
      </c>
      <c r="C19" s="219" t="s">
        <v>3942</v>
      </c>
      <c r="D19" s="219"/>
      <c r="E19" s="95" t="s">
        <v>51</v>
      </c>
      <c r="F19" s="217">
        <v>3</v>
      </c>
      <c r="G19" s="476">
        <v>0</v>
      </c>
      <c r="H19" s="418">
        <v>0</v>
      </c>
      <c r="I19" s="419">
        <v>0</v>
      </c>
      <c r="J19" s="218">
        <f t="shared" si="0"/>
        <v>0</v>
      </c>
      <c r="K19" s="476">
        <v>0</v>
      </c>
      <c r="L19" s="418">
        <v>0</v>
      </c>
      <c r="M19" s="419">
        <v>0</v>
      </c>
      <c r="N19" s="218">
        <f t="shared" ref="N19" si="21">SUM(K19:M19)</f>
        <v>0</v>
      </c>
      <c r="O19" s="218">
        <f t="shared" si="4"/>
        <v>0</v>
      </c>
      <c r="Q19" s="1370">
        <f t="shared" si="1"/>
        <v>0</v>
      </c>
      <c r="R19" s="24">
        <f xml:space="preserve"> IF( SUM( T19:AB19 ) = 0, 0, $U$6 )</f>
        <v>0</v>
      </c>
      <c r="U19" s="93">
        <f t="shared" si="2"/>
        <v>0</v>
      </c>
      <c r="V19" s="93">
        <f>IF(Validation!$H$3=1,0,IF(ISNUMBER(H19),0,1))</f>
        <v>0</v>
      </c>
      <c r="W19" s="93">
        <f>IF(Validation!$H$3=1,0,IF(ISNUMBER(I19),0,1))</f>
        <v>0</v>
      </c>
      <c r="X19" s="93">
        <f t="shared" si="3"/>
        <v>0</v>
      </c>
      <c r="Y19" s="93">
        <f>IF(Validation!$H$3=1,0,IF(ISNUMBER(L19),0,1))</f>
        <v>0</v>
      </c>
      <c r="Z19" s="93">
        <f>IF(Validation!$H$3=1,0,IF(ISNUMBER(M19),0,1))</f>
        <v>0</v>
      </c>
      <c r="AA19" s="203"/>
      <c r="AC19" s="127"/>
      <c r="AE19" s="165"/>
      <c r="AF19" s="165"/>
      <c r="AI19" s="479"/>
      <c r="AJ19" s="479"/>
      <c r="AK19" s="479"/>
      <c r="AL19" s="479"/>
      <c r="AM19" s="479"/>
      <c r="AN19" s="479"/>
      <c r="AO19" s="479"/>
      <c r="AP19" s="479"/>
      <c r="AQ19" s="479"/>
      <c r="AR19" s="479"/>
      <c r="AS19" s="479"/>
      <c r="AT19" s="479"/>
      <c r="AU19" s="479"/>
      <c r="AV19" s="479"/>
      <c r="AW19" s="479"/>
      <c r="AX19" s="479"/>
      <c r="AY19" s="479"/>
      <c r="AZ19" s="479"/>
      <c r="BA19" s="232" t="s">
        <v>3941</v>
      </c>
      <c r="BB19" s="219" t="s">
        <v>3942</v>
      </c>
      <c r="BC19" s="219"/>
      <c r="BD19" s="95" t="s">
        <v>51</v>
      </c>
      <c r="BE19" s="217">
        <v>3</v>
      </c>
      <c r="BF19" s="2692" t="s">
        <v>3943</v>
      </c>
      <c r="BG19" s="2693" t="s">
        <v>3944</v>
      </c>
      <c r="BH19" s="2694" t="s">
        <v>3945</v>
      </c>
      <c r="BI19" s="2111" t="s">
        <v>3946</v>
      </c>
      <c r="BJ19" s="2692" t="s">
        <v>3947</v>
      </c>
      <c r="BK19" s="2693" t="s">
        <v>3948</v>
      </c>
      <c r="BL19" s="2694" t="s">
        <v>3949</v>
      </c>
      <c r="BM19" s="2111" t="s">
        <v>3950</v>
      </c>
      <c r="BN19" s="2111" t="s">
        <v>3951</v>
      </c>
    </row>
    <row r="20" spans="2:66" s="479" customFormat="1">
      <c r="B20" s="232" t="s">
        <v>3952</v>
      </c>
      <c r="C20" s="219" t="s">
        <v>3953</v>
      </c>
      <c r="D20" s="219"/>
      <c r="E20" s="95" t="s">
        <v>51</v>
      </c>
      <c r="F20" s="217">
        <v>3</v>
      </c>
      <c r="G20" s="475">
        <v>0</v>
      </c>
      <c r="H20" s="421">
        <v>0</v>
      </c>
      <c r="I20" s="422">
        <v>0</v>
      </c>
      <c r="J20" s="218">
        <f t="shared" si="0"/>
        <v>0</v>
      </c>
      <c r="K20" s="475">
        <v>0</v>
      </c>
      <c r="L20" s="421">
        <v>0</v>
      </c>
      <c r="M20" s="422">
        <v>0</v>
      </c>
      <c r="N20" s="218">
        <f t="shared" ref="N20" si="22">SUM(K20:M20)</f>
        <v>0</v>
      </c>
      <c r="O20" s="218">
        <f t="shared" ref="O20" si="23">J20+N20</f>
        <v>0</v>
      </c>
      <c r="P20" s="70"/>
      <c r="Q20" s="1370"/>
      <c r="R20" s="24">
        <f xml:space="preserve"> IF( SUM( T20:AB20 ) = 0, 0, $U$6 )</f>
        <v>0</v>
      </c>
      <c r="S20" s="70"/>
      <c r="T20" s="71"/>
      <c r="U20" s="93">
        <f t="shared" si="2"/>
        <v>0</v>
      </c>
      <c r="V20" s="93">
        <f>IF(Validation!$H$3=1,0,IF(ISNUMBER(H20),0,1))</f>
        <v>0</v>
      </c>
      <c r="W20" s="93">
        <f>IF(Validation!$H$3=1,0,IF(ISNUMBER(I20),0,1))</f>
        <v>0</v>
      </c>
      <c r="X20" s="93">
        <f t="shared" si="3"/>
        <v>0</v>
      </c>
      <c r="Y20" s="93">
        <f>IF(Validation!$H$3=1,0,IF(ISNUMBER(L20),0,1))</f>
        <v>0</v>
      </c>
      <c r="Z20" s="93">
        <f>IF(Validation!$H$3=1,0,IF(ISNUMBER(M20),0,1))</f>
        <v>0</v>
      </c>
      <c r="AA20" s="203"/>
      <c r="AB20" s="71"/>
      <c r="AC20" s="862"/>
      <c r="AD20" s="71"/>
      <c r="AE20" s="165"/>
      <c r="AF20" s="165"/>
      <c r="AG20" s="74"/>
      <c r="AH20" s="71"/>
      <c r="BA20" s="232" t="s">
        <v>3952</v>
      </c>
      <c r="BB20" s="219" t="s">
        <v>3953</v>
      </c>
      <c r="BC20" s="219"/>
      <c r="BD20" s="95" t="s">
        <v>51</v>
      </c>
      <c r="BE20" s="217">
        <v>3</v>
      </c>
      <c r="BF20" s="2695" t="s">
        <v>3954</v>
      </c>
      <c r="BG20" s="2696" t="s">
        <v>3955</v>
      </c>
      <c r="BH20" s="2697" t="s">
        <v>3956</v>
      </c>
      <c r="BI20" s="2111" t="s">
        <v>3957</v>
      </c>
      <c r="BJ20" s="2695" t="s">
        <v>3958</v>
      </c>
      <c r="BK20" s="2696" t="s">
        <v>3959</v>
      </c>
      <c r="BL20" s="2697" t="s">
        <v>3960</v>
      </c>
      <c r="BM20" s="2111" t="s">
        <v>3961</v>
      </c>
      <c r="BN20" s="2111" t="s">
        <v>3962</v>
      </c>
    </row>
    <row r="21" spans="2:66" ht="15" thickBot="1">
      <c r="B21" s="101" t="s">
        <v>3963</v>
      </c>
      <c r="C21" s="102" t="s">
        <v>1304</v>
      </c>
      <c r="D21" s="102"/>
      <c r="E21" s="103" t="s">
        <v>51</v>
      </c>
      <c r="F21" s="225">
        <v>3</v>
      </c>
      <c r="G21" s="798">
        <f xml:space="preserve"> G15 + SUM(G17:G20)</f>
        <v>1.399</v>
      </c>
      <c r="H21" s="804">
        <f t="shared" ref="H21:I21" si="24" xml:space="preserve"> H15 + SUM(H17:H20)</f>
        <v>0.97599999999999998</v>
      </c>
      <c r="I21" s="805">
        <f t="shared" si="24"/>
        <v>27.094999999999999</v>
      </c>
      <c r="J21" s="798">
        <f t="shared" ref="J21" si="25" xml:space="preserve"> J15 + SUM(J17:J20)</f>
        <v>29.47</v>
      </c>
      <c r="K21" s="798">
        <f t="shared" ref="K21" si="26" xml:space="preserve"> K15 + SUM(K17:K20)</f>
        <v>1.1689999999999998</v>
      </c>
      <c r="L21" s="804">
        <f t="shared" ref="L21" si="27" xml:space="preserve"> L15 + SUM(L17:L20)</f>
        <v>0.8670000000000001</v>
      </c>
      <c r="M21" s="805">
        <f t="shared" ref="M21" si="28" xml:space="preserve"> M15 + SUM(M17:M20)</f>
        <v>36.332999999999998</v>
      </c>
      <c r="N21" s="798">
        <f t="shared" ref="N21" si="29" xml:space="preserve"> N15 + SUM(N17:N20)</f>
        <v>38.369</v>
      </c>
      <c r="O21" s="799">
        <f t="shared" si="4"/>
        <v>67.838999999999999</v>
      </c>
      <c r="Q21" s="1370">
        <f t="shared" si="1"/>
        <v>0</v>
      </c>
      <c r="AA21" s="203"/>
      <c r="AC21" s="93">
        <f t="shared" ref="AC21" si="30" xml:space="preserve"> IF( (AE21 - AF21) = 0, 0, 1 )</f>
        <v>0</v>
      </c>
      <c r="AE21" s="165">
        <f t="shared" ref="AE21" si="31" xml:space="preserve"> ROUND( O21, 3)</f>
        <v>67.838999999999999</v>
      </c>
      <c r="AF21" s="165">
        <f xml:space="preserve"> ROUND( '2C'!G19, 3)</f>
        <v>67.838999999999999</v>
      </c>
      <c r="AG21" s="74" t="s">
        <v>3964</v>
      </c>
      <c r="AI21" s="479"/>
      <c r="AJ21" s="479"/>
      <c r="AK21" s="479"/>
      <c r="AL21" s="479"/>
      <c r="AM21" s="479"/>
      <c r="AN21" s="479"/>
      <c r="AO21" s="479"/>
      <c r="AP21" s="479"/>
      <c r="AQ21" s="479"/>
      <c r="AR21" s="479"/>
      <c r="AS21" s="479"/>
      <c r="AT21" s="479"/>
      <c r="AU21" s="479"/>
      <c r="AV21" s="479"/>
      <c r="AW21" s="479"/>
      <c r="AX21" s="479"/>
      <c r="AY21" s="479"/>
      <c r="AZ21" s="479"/>
      <c r="BA21" s="101" t="s">
        <v>3963</v>
      </c>
      <c r="BB21" s="102" t="s">
        <v>1304</v>
      </c>
      <c r="BC21" s="102"/>
      <c r="BD21" s="103" t="s">
        <v>51</v>
      </c>
      <c r="BE21" s="225">
        <v>3</v>
      </c>
      <c r="BF21" s="2112" t="s">
        <v>3965</v>
      </c>
      <c r="BG21" s="2113" t="s">
        <v>3966</v>
      </c>
      <c r="BH21" s="2114" t="s">
        <v>3967</v>
      </c>
      <c r="BI21" s="2112" t="s">
        <v>3968</v>
      </c>
      <c r="BJ21" s="2112" t="s">
        <v>3969</v>
      </c>
      <c r="BK21" s="2113" t="s">
        <v>3970</v>
      </c>
      <c r="BL21" s="2114" t="s">
        <v>3971</v>
      </c>
      <c r="BM21" s="2112" t="s">
        <v>3972</v>
      </c>
      <c r="BN21" s="2115" t="s">
        <v>3973</v>
      </c>
    </row>
    <row r="22" spans="2:66" s="82" customFormat="1" ht="15" thickBot="1">
      <c r="B22" s="793"/>
      <c r="C22" s="794"/>
      <c r="D22" s="794"/>
      <c r="E22" s="795"/>
      <c r="F22" s="795"/>
      <c r="G22" s="238"/>
      <c r="H22" s="70"/>
      <c r="I22" s="70"/>
      <c r="J22" s="238"/>
      <c r="K22" s="238"/>
      <c r="L22" s="70"/>
      <c r="M22" s="70"/>
      <c r="N22" s="238"/>
      <c r="O22" s="238"/>
      <c r="P22" s="192"/>
      <c r="Q22" s="808"/>
      <c r="R22" s="192"/>
      <c r="S22" s="192"/>
      <c r="T22" s="71"/>
      <c r="U22" s="70"/>
      <c r="V22" s="70"/>
      <c r="W22" s="70"/>
      <c r="X22" s="70"/>
      <c r="Y22" s="70"/>
      <c r="Z22" s="70"/>
      <c r="AA22" s="203"/>
      <c r="AB22" s="71"/>
      <c r="AC22" s="127"/>
      <c r="AD22" s="71"/>
      <c r="AE22" s="223"/>
      <c r="AF22" s="223"/>
      <c r="AG22" s="74"/>
      <c r="AH22" s="71"/>
      <c r="BA22" s="793"/>
      <c r="BB22" s="794"/>
      <c r="BC22" s="794"/>
      <c r="BD22" s="795"/>
      <c r="BE22" s="795"/>
      <c r="BF22" s="2102"/>
      <c r="BG22" s="2100"/>
      <c r="BH22" s="2100"/>
      <c r="BI22" s="2102"/>
      <c r="BJ22" s="2102"/>
      <c r="BK22" s="2100"/>
      <c r="BL22" s="2100"/>
      <c r="BM22" s="2102"/>
      <c r="BN22" s="2102"/>
    </row>
    <row r="23" spans="2:66" s="479" customFormat="1" ht="15" thickBot="1">
      <c r="B23" s="131" t="s">
        <v>3974</v>
      </c>
      <c r="C23" s="132" t="s">
        <v>604</v>
      </c>
      <c r="D23" s="132"/>
      <c r="E23" s="133" t="s">
        <v>51</v>
      </c>
      <c r="F23" s="765">
        <v>3</v>
      </c>
      <c r="G23" s="809">
        <v>8.2000000000000003E-2</v>
      </c>
      <c r="H23" s="810">
        <v>8.6999999999999994E-2</v>
      </c>
      <c r="I23" s="811">
        <v>1.67</v>
      </c>
      <c r="J23" s="812">
        <f t="shared" ref="J23" si="32">SUM(G23:I23)</f>
        <v>1.839</v>
      </c>
      <c r="K23" s="809">
        <v>7.8E-2</v>
      </c>
      <c r="L23" s="810">
        <v>7.8E-2</v>
      </c>
      <c r="M23" s="811">
        <v>2.0289999999999999</v>
      </c>
      <c r="N23" s="812">
        <f t="shared" ref="N23" si="33">SUM(K23:M23)</f>
        <v>2.1850000000000001</v>
      </c>
      <c r="O23" s="812">
        <f t="shared" ref="O23" si="34">J23+N23</f>
        <v>4.024</v>
      </c>
      <c r="P23" s="70"/>
      <c r="Q23" s="1370"/>
      <c r="R23" s="24">
        <f xml:space="preserve"> IF( SUM( T23:AB23 ) = 0, 0, $U$6 )</f>
        <v>0</v>
      </c>
      <c r="S23" s="70"/>
      <c r="T23" s="71"/>
      <c r="U23" s="93">
        <f t="shared" ref="U23" si="35" xml:space="preserve"> IF( ISNUMBER( G23 ), 0, 1 )</f>
        <v>0</v>
      </c>
      <c r="V23" s="93">
        <f>IF(Validation!$H$3=1,0,IF(ISNUMBER(H23),0,1))</f>
        <v>0</v>
      </c>
      <c r="W23" s="93">
        <f>IF(Validation!$H$3=1,0,IF(ISNUMBER(I23),0,1))</f>
        <v>0</v>
      </c>
      <c r="X23" s="93">
        <f t="shared" ref="X23" si="36" xml:space="preserve"> IF( ISNUMBER( K23 ), 0, 1 )</f>
        <v>0</v>
      </c>
      <c r="Y23" s="93">
        <f>IF(Validation!$H$3=1,0,IF(ISNUMBER(L23),0,1))</f>
        <v>0</v>
      </c>
      <c r="Z23" s="93">
        <f>IF(Validation!$H$3=1,0,IF(ISNUMBER(M23),0,1))</f>
        <v>0</v>
      </c>
      <c r="AA23" s="203"/>
      <c r="AB23" s="71"/>
      <c r="AC23" s="127"/>
      <c r="AD23" s="71"/>
      <c r="AE23" s="165"/>
      <c r="AF23" s="165"/>
      <c r="AG23" s="74"/>
      <c r="AH23" s="71"/>
      <c r="BA23" s="131" t="s">
        <v>3974</v>
      </c>
      <c r="BB23" s="132" t="s">
        <v>604</v>
      </c>
      <c r="BC23" s="132"/>
      <c r="BD23" s="133" t="s">
        <v>51</v>
      </c>
      <c r="BE23" s="765">
        <v>3</v>
      </c>
      <c r="BF23" s="2698" t="s">
        <v>3975</v>
      </c>
      <c r="BG23" s="2699" t="s">
        <v>3976</v>
      </c>
      <c r="BH23" s="2700" t="s">
        <v>3977</v>
      </c>
      <c r="BI23" s="2116" t="s">
        <v>3978</v>
      </c>
      <c r="BJ23" s="2698" t="s">
        <v>3979</v>
      </c>
      <c r="BK23" s="2699" t="s">
        <v>3980</v>
      </c>
      <c r="BL23" s="2700" t="s">
        <v>3981</v>
      </c>
      <c r="BM23" s="2116" t="s">
        <v>3982</v>
      </c>
      <c r="BN23" s="2116" t="s">
        <v>3983</v>
      </c>
    </row>
    <row r="24" spans="2:66" ht="15" thickBot="1">
      <c r="B24" s="70"/>
      <c r="C24" s="70"/>
      <c r="D24" s="70"/>
      <c r="E24" s="70"/>
      <c r="F24" s="70"/>
      <c r="G24" s="70"/>
      <c r="H24" s="70"/>
      <c r="I24" s="70"/>
      <c r="J24" s="70"/>
      <c r="K24" s="70"/>
      <c r="L24" s="70"/>
      <c r="M24" s="70"/>
      <c r="N24" s="70"/>
      <c r="O24" s="70"/>
      <c r="AA24" s="203"/>
      <c r="AC24" s="127"/>
      <c r="AE24" s="165"/>
      <c r="AF24" s="165"/>
      <c r="AI24" s="479"/>
      <c r="AJ24" s="479"/>
      <c r="AK24" s="479"/>
      <c r="AL24" s="479"/>
      <c r="AM24" s="479"/>
      <c r="AN24" s="479"/>
      <c r="AO24" s="479"/>
      <c r="AP24" s="479"/>
      <c r="AQ24" s="479"/>
      <c r="AR24" s="479"/>
      <c r="AS24" s="479"/>
      <c r="AT24" s="479"/>
      <c r="AU24" s="479"/>
      <c r="AV24" s="479"/>
      <c r="AW24" s="479"/>
      <c r="AX24" s="479"/>
      <c r="AY24" s="479"/>
      <c r="AZ24" s="479"/>
      <c r="BA24" s="70"/>
      <c r="BB24" s="70"/>
      <c r="BC24" s="70"/>
      <c r="BD24" s="70"/>
      <c r="BE24" s="70"/>
      <c r="BF24" s="70"/>
      <c r="BG24" s="70"/>
      <c r="BH24" s="70"/>
      <c r="BI24" s="70"/>
      <c r="BJ24" s="70"/>
      <c r="BK24" s="70"/>
      <c r="BL24" s="70"/>
      <c r="BM24" s="70"/>
      <c r="BN24" s="70"/>
    </row>
    <row r="25" spans="2:66" s="70" customFormat="1" ht="15" thickBot="1">
      <c r="B25" s="113" t="s">
        <v>177</v>
      </c>
      <c r="C25" s="114" t="s">
        <v>3984</v>
      </c>
      <c r="D25" s="1505"/>
      <c r="T25" s="71"/>
      <c r="AA25" s="203"/>
      <c r="AB25" s="71"/>
      <c r="AC25" s="127"/>
      <c r="AD25" s="71"/>
      <c r="AE25" s="165"/>
      <c r="AF25" s="165"/>
      <c r="AG25" s="74"/>
      <c r="AH25" s="71"/>
      <c r="BA25" s="113" t="s">
        <v>177</v>
      </c>
      <c r="BB25" s="114" t="s">
        <v>3984</v>
      </c>
      <c r="BC25" s="1505"/>
    </row>
    <row r="26" spans="2:66">
      <c r="B26" s="227" t="s">
        <v>3985</v>
      </c>
      <c r="C26" s="228" t="s">
        <v>3986</v>
      </c>
      <c r="D26" s="228"/>
      <c r="E26" s="229" t="s">
        <v>51</v>
      </c>
      <c r="F26" s="230">
        <v>3</v>
      </c>
      <c r="G26" s="231"/>
      <c r="H26" s="231"/>
      <c r="I26" s="231"/>
      <c r="J26" s="231"/>
      <c r="K26" s="231"/>
      <c r="L26" s="231"/>
      <c r="M26" s="231"/>
      <c r="N26" s="231"/>
      <c r="O26" s="477">
        <v>0.65100000000000002</v>
      </c>
      <c r="R26" s="24">
        <f xml:space="preserve"> IF( SUM( T26:AB26 ) = 0, 0, $U$6 )</f>
        <v>0</v>
      </c>
      <c r="AA26" s="93">
        <f t="shared" ref="AA26:AA30" si="37" xml:space="preserve"> IF( ISNUMBER( O26 ), 0, 1 )</f>
        <v>0</v>
      </c>
      <c r="AC26" s="127"/>
      <c r="AE26" s="165"/>
      <c r="AF26" s="165"/>
      <c r="AI26" s="479"/>
      <c r="AJ26" s="479"/>
      <c r="AK26" s="479"/>
      <c r="AL26" s="479"/>
      <c r="AM26" s="479"/>
      <c r="AN26" s="479"/>
      <c r="AO26" s="479"/>
      <c r="AP26" s="479"/>
      <c r="AQ26" s="479"/>
      <c r="AR26" s="479"/>
      <c r="AS26" s="479"/>
      <c r="AT26" s="479"/>
      <c r="AU26" s="479"/>
      <c r="AV26" s="479"/>
      <c r="AW26" s="479"/>
      <c r="AX26" s="479"/>
      <c r="AY26" s="479"/>
      <c r="AZ26" s="479"/>
      <c r="BA26" s="227" t="s">
        <v>3985</v>
      </c>
      <c r="BB26" s="228" t="s">
        <v>3986</v>
      </c>
      <c r="BC26" s="228"/>
      <c r="BD26" s="229" t="s">
        <v>51</v>
      </c>
      <c r="BE26" s="230">
        <v>3</v>
      </c>
      <c r="BF26" s="231"/>
      <c r="BG26" s="231"/>
      <c r="BH26" s="231"/>
      <c r="BI26" s="231"/>
      <c r="BJ26" s="231"/>
      <c r="BK26" s="231"/>
      <c r="BL26" s="231"/>
      <c r="BM26" s="231"/>
      <c r="BN26" s="2701" t="s">
        <v>3987</v>
      </c>
    </row>
    <row r="27" spans="2:66">
      <c r="B27" s="232" t="s">
        <v>3988</v>
      </c>
      <c r="C27" s="87" t="s">
        <v>3989</v>
      </c>
      <c r="D27" s="87"/>
      <c r="E27" s="95" t="s">
        <v>51</v>
      </c>
      <c r="F27" s="233">
        <v>3</v>
      </c>
      <c r="G27" s="231"/>
      <c r="H27" s="231"/>
      <c r="I27" s="231"/>
      <c r="J27" s="231"/>
      <c r="K27" s="231"/>
      <c r="L27" s="231"/>
      <c r="M27" s="231"/>
      <c r="N27" s="231"/>
      <c r="O27" s="478">
        <v>0.65100000000000002</v>
      </c>
      <c r="R27" s="24">
        <f xml:space="preserve"> IF( SUM( T27:AB27 ) = 0, 0, $U$6 )</f>
        <v>0</v>
      </c>
      <c r="AA27" s="93">
        <f t="shared" si="37"/>
        <v>0</v>
      </c>
      <c r="AC27" s="127"/>
      <c r="AE27" s="165"/>
      <c r="AF27" s="165"/>
      <c r="AI27" s="479"/>
      <c r="AJ27" s="479"/>
      <c r="AK27" s="479"/>
      <c r="AL27" s="479"/>
      <c r="AM27" s="479"/>
      <c r="AN27" s="479"/>
      <c r="AO27" s="479"/>
      <c r="AP27" s="479"/>
      <c r="AQ27" s="479"/>
      <c r="AR27" s="479"/>
      <c r="AS27" s="479"/>
      <c r="AT27" s="479"/>
      <c r="AU27" s="479"/>
      <c r="AV27" s="479"/>
      <c r="AW27" s="479"/>
      <c r="AX27" s="479"/>
      <c r="AY27" s="479"/>
      <c r="AZ27" s="479"/>
      <c r="BA27" s="232" t="s">
        <v>3988</v>
      </c>
      <c r="BB27" s="87" t="s">
        <v>3989</v>
      </c>
      <c r="BC27" s="87"/>
      <c r="BD27" s="95" t="s">
        <v>51</v>
      </c>
      <c r="BE27" s="233">
        <v>3</v>
      </c>
      <c r="BF27" s="231"/>
      <c r="BG27" s="231"/>
      <c r="BH27" s="231"/>
      <c r="BI27" s="231"/>
      <c r="BJ27" s="231"/>
      <c r="BK27" s="231"/>
      <c r="BL27" s="231"/>
      <c r="BM27" s="231"/>
      <c r="BN27" s="2702" t="s">
        <v>3990</v>
      </c>
    </row>
    <row r="28" spans="2:66">
      <c r="B28" s="232" t="s">
        <v>3991</v>
      </c>
      <c r="C28" s="87" t="s">
        <v>3992</v>
      </c>
      <c r="D28" s="87"/>
      <c r="E28" s="95" t="s">
        <v>51</v>
      </c>
      <c r="F28" s="233">
        <v>3</v>
      </c>
      <c r="G28" s="231"/>
      <c r="H28" s="231"/>
      <c r="I28" s="231"/>
      <c r="J28" s="231"/>
      <c r="K28" s="231"/>
      <c r="L28" s="231"/>
      <c r="M28" s="231"/>
      <c r="N28" s="231"/>
      <c r="O28" s="218">
        <f>O26-O27</f>
        <v>0</v>
      </c>
      <c r="S28" s="118"/>
      <c r="T28" s="124"/>
      <c r="AA28" s="203"/>
      <c r="AC28" s="127"/>
      <c r="AE28" s="165"/>
      <c r="AF28" s="165"/>
      <c r="AI28" s="479"/>
      <c r="AJ28" s="479"/>
      <c r="AK28" s="479"/>
      <c r="AL28" s="479"/>
      <c r="AM28" s="479"/>
      <c r="AN28" s="479"/>
      <c r="AO28" s="479"/>
      <c r="AP28" s="479"/>
      <c r="AQ28" s="479"/>
      <c r="AR28" s="479"/>
      <c r="AS28" s="479"/>
      <c r="AT28" s="479"/>
      <c r="AU28" s="479"/>
      <c r="AV28" s="479"/>
      <c r="AW28" s="479"/>
      <c r="AX28" s="479"/>
      <c r="AY28" s="479"/>
      <c r="AZ28" s="479"/>
      <c r="BA28" s="232" t="s">
        <v>3991</v>
      </c>
      <c r="BB28" s="87" t="s">
        <v>3992</v>
      </c>
      <c r="BC28" s="87"/>
      <c r="BD28" s="95" t="s">
        <v>51</v>
      </c>
      <c r="BE28" s="233">
        <v>3</v>
      </c>
      <c r="BF28" s="231"/>
      <c r="BG28" s="231"/>
      <c r="BH28" s="231"/>
      <c r="BI28" s="231"/>
      <c r="BJ28" s="231"/>
      <c r="BK28" s="231"/>
      <c r="BL28" s="231"/>
      <c r="BM28" s="231"/>
      <c r="BN28" s="218" t="s">
        <v>3993</v>
      </c>
    </row>
    <row r="29" spans="2:66">
      <c r="B29" s="232" t="s">
        <v>3994</v>
      </c>
      <c r="C29" s="87" t="s">
        <v>3995</v>
      </c>
      <c r="D29" s="87"/>
      <c r="E29" s="95" t="s">
        <v>51</v>
      </c>
      <c r="F29" s="233">
        <v>3</v>
      </c>
      <c r="G29" s="231"/>
      <c r="H29" s="231"/>
      <c r="I29" s="231"/>
      <c r="J29" s="231"/>
      <c r="K29" s="231"/>
      <c r="L29" s="231"/>
      <c r="M29" s="231"/>
      <c r="N29" s="231"/>
      <c r="O29" s="478">
        <v>4.5940000000000003</v>
      </c>
      <c r="R29" s="24">
        <f xml:space="preserve"> IF( SUM( T29:AB29 ) = 0, 0, $U$6 )</f>
        <v>0</v>
      </c>
      <c r="AA29" s="93">
        <f t="shared" si="37"/>
        <v>0</v>
      </c>
      <c r="AC29" s="127"/>
      <c r="AE29" s="165"/>
      <c r="AF29" s="165"/>
      <c r="AI29" s="479"/>
      <c r="AJ29" s="479"/>
      <c r="AK29" s="479"/>
      <c r="AL29" s="479"/>
      <c r="AM29" s="479"/>
      <c r="AN29" s="479"/>
      <c r="AO29" s="479"/>
      <c r="AP29" s="479"/>
      <c r="AQ29" s="479"/>
      <c r="AR29" s="479"/>
      <c r="AS29" s="479"/>
      <c r="AT29" s="479"/>
      <c r="AU29" s="479"/>
      <c r="AV29" s="479"/>
      <c r="AW29" s="479"/>
      <c r="AX29" s="479"/>
      <c r="AY29" s="479"/>
      <c r="AZ29" s="479"/>
      <c r="BA29" s="232" t="s">
        <v>3994</v>
      </c>
      <c r="BB29" s="87" t="s">
        <v>3995</v>
      </c>
      <c r="BC29" s="87"/>
      <c r="BD29" s="95" t="s">
        <v>51</v>
      </c>
      <c r="BE29" s="233">
        <v>3</v>
      </c>
      <c r="BF29" s="231"/>
      <c r="BG29" s="231"/>
      <c r="BH29" s="231"/>
      <c r="BI29" s="231"/>
      <c r="BJ29" s="231"/>
      <c r="BK29" s="231"/>
      <c r="BL29" s="231"/>
      <c r="BM29" s="231"/>
      <c r="BN29" s="2702" t="s">
        <v>3996</v>
      </c>
    </row>
    <row r="30" spans="2:66">
      <c r="B30" s="232" t="s">
        <v>3997</v>
      </c>
      <c r="C30" s="87" t="s">
        <v>3998</v>
      </c>
      <c r="D30" s="87"/>
      <c r="E30" s="95" t="s">
        <v>51</v>
      </c>
      <c r="F30" s="233">
        <v>3</v>
      </c>
      <c r="G30" s="231"/>
      <c r="H30" s="231"/>
      <c r="I30" s="231"/>
      <c r="J30" s="231"/>
      <c r="K30" s="231"/>
      <c r="L30" s="231"/>
      <c r="M30" s="231"/>
      <c r="N30" s="231"/>
      <c r="O30" s="478">
        <v>4.5620000000000003</v>
      </c>
      <c r="R30" s="24">
        <f xml:space="preserve"> IF( SUM( T30:AB30 ) = 0, 0, $U$6 )</f>
        <v>0</v>
      </c>
      <c r="AA30" s="93">
        <f t="shared" si="37"/>
        <v>0</v>
      </c>
      <c r="AC30" s="127"/>
      <c r="AE30" s="165"/>
      <c r="AF30" s="165"/>
      <c r="AI30" s="479"/>
      <c r="AJ30" s="479"/>
      <c r="AK30" s="479"/>
      <c r="AL30" s="479"/>
      <c r="AM30" s="479"/>
      <c r="AN30" s="479"/>
      <c r="AO30" s="479"/>
      <c r="AP30" s="479"/>
      <c r="AQ30" s="479"/>
      <c r="AR30" s="479"/>
      <c r="AS30" s="479"/>
      <c r="AT30" s="479"/>
      <c r="AU30" s="479"/>
      <c r="AV30" s="479"/>
      <c r="AW30" s="479"/>
      <c r="AX30" s="479"/>
      <c r="AY30" s="479"/>
      <c r="AZ30" s="479"/>
      <c r="BA30" s="232" t="s">
        <v>3997</v>
      </c>
      <c r="BB30" s="87" t="s">
        <v>3998</v>
      </c>
      <c r="BC30" s="87"/>
      <c r="BD30" s="95" t="s">
        <v>51</v>
      </c>
      <c r="BE30" s="233">
        <v>3</v>
      </c>
      <c r="BF30" s="231"/>
      <c r="BG30" s="231"/>
      <c r="BH30" s="231"/>
      <c r="BI30" s="231"/>
      <c r="BJ30" s="231"/>
      <c r="BK30" s="231"/>
      <c r="BL30" s="231"/>
      <c r="BM30" s="231"/>
      <c r="BN30" s="2702" t="s">
        <v>3999</v>
      </c>
    </row>
    <row r="31" spans="2:66" ht="15" thickBot="1">
      <c r="B31" s="234" t="s">
        <v>4000</v>
      </c>
      <c r="C31" s="235" t="s">
        <v>4001</v>
      </c>
      <c r="D31" s="235"/>
      <c r="E31" s="236" t="s">
        <v>51</v>
      </c>
      <c r="F31" s="237">
        <v>3</v>
      </c>
      <c r="G31" s="238"/>
      <c r="H31" s="238"/>
      <c r="I31" s="238"/>
      <c r="J31" s="238"/>
      <c r="K31" s="238"/>
      <c r="L31" s="238"/>
      <c r="M31" s="238"/>
      <c r="N31" s="238"/>
      <c r="O31" s="226">
        <f>O29-O30</f>
        <v>3.2000000000000028E-2</v>
      </c>
      <c r="S31" s="118"/>
      <c r="T31" s="124"/>
      <c r="AA31" s="203"/>
      <c r="AC31" s="127"/>
      <c r="AE31" s="165"/>
      <c r="AF31" s="165"/>
      <c r="AI31" s="479"/>
      <c r="AJ31" s="479"/>
      <c r="AK31" s="479"/>
      <c r="AL31" s="479"/>
      <c r="AM31" s="479"/>
      <c r="AN31" s="479"/>
      <c r="AO31" s="479"/>
      <c r="AP31" s="479"/>
      <c r="AQ31" s="479"/>
      <c r="AR31" s="479"/>
      <c r="AS31" s="479"/>
      <c r="AT31" s="479"/>
      <c r="AU31" s="479"/>
      <c r="AV31" s="479"/>
      <c r="AW31" s="479"/>
      <c r="AX31" s="479"/>
      <c r="AY31" s="479"/>
      <c r="AZ31" s="479"/>
      <c r="BA31" s="234" t="s">
        <v>4000</v>
      </c>
      <c r="BB31" s="235" t="s">
        <v>4001</v>
      </c>
      <c r="BC31" s="235"/>
      <c r="BD31" s="236" t="s">
        <v>51</v>
      </c>
      <c r="BE31" s="237">
        <v>3</v>
      </c>
      <c r="BF31" s="238"/>
      <c r="BG31" s="238"/>
      <c r="BH31" s="238"/>
      <c r="BI31" s="238"/>
      <c r="BJ31" s="238"/>
      <c r="BK31" s="238"/>
      <c r="BL31" s="238"/>
      <c r="BM31" s="238"/>
      <c r="BN31" s="226" t="s">
        <v>4002</v>
      </c>
    </row>
    <row r="32" spans="2:66">
      <c r="B32" s="70"/>
      <c r="C32" s="70"/>
      <c r="D32" s="70"/>
      <c r="E32" s="70"/>
      <c r="F32" s="70"/>
      <c r="G32" s="70"/>
      <c r="H32" s="70"/>
      <c r="I32" s="70"/>
      <c r="J32" s="70"/>
      <c r="K32" s="70"/>
      <c r="L32" s="70"/>
      <c r="M32" s="70"/>
      <c r="N32" s="70"/>
      <c r="O32" s="70"/>
      <c r="P32" s="118"/>
      <c r="S32" s="118"/>
      <c r="T32" s="124"/>
      <c r="AA32" s="203"/>
      <c r="AB32" s="124"/>
      <c r="AC32" s="127"/>
      <c r="AD32" s="124"/>
      <c r="AE32" s="165"/>
      <c r="AF32" s="165"/>
      <c r="AH32" s="124"/>
      <c r="AI32" s="479"/>
      <c r="AJ32" s="479"/>
      <c r="AK32" s="479"/>
      <c r="AL32" s="479"/>
      <c r="AM32" s="479"/>
      <c r="AN32" s="479"/>
      <c r="AO32" s="479"/>
      <c r="AP32" s="479"/>
      <c r="AQ32" s="479"/>
      <c r="AR32" s="479"/>
      <c r="AS32" s="479"/>
      <c r="AT32" s="479"/>
      <c r="AU32" s="479"/>
      <c r="AV32" s="479"/>
      <c r="AW32" s="479"/>
      <c r="AX32" s="479"/>
      <c r="AY32" s="479"/>
      <c r="AZ32" s="479"/>
      <c r="BA32" s="70"/>
      <c r="BB32" s="70"/>
      <c r="BC32" s="70"/>
      <c r="BD32" s="70"/>
      <c r="BE32" s="70"/>
      <c r="BF32" s="70"/>
      <c r="BG32" s="70"/>
      <c r="BH32" s="70"/>
      <c r="BI32" s="70"/>
      <c r="BJ32" s="70"/>
      <c r="BK32" s="70"/>
      <c r="BL32" s="70"/>
      <c r="BM32" s="70"/>
      <c r="BN32" s="70"/>
    </row>
    <row r="33" spans="1:52">
      <c r="A33" s="479"/>
      <c r="B33" s="3077" t="s">
        <v>243</v>
      </c>
      <c r="C33" s="3077"/>
      <c r="D33" s="2988"/>
      <c r="E33" s="163"/>
      <c r="F33" s="163"/>
      <c r="G33" s="163"/>
      <c r="H33" s="163"/>
      <c r="I33" s="163"/>
      <c r="J33" s="163"/>
      <c r="K33" s="163"/>
      <c r="L33" s="163"/>
      <c r="M33" s="163"/>
      <c r="N33" s="163"/>
      <c r="O33" s="126"/>
      <c r="P33" s="126"/>
      <c r="AA33" s="203"/>
      <c r="AC33" s="127"/>
      <c r="AD33" s="119"/>
      <c r="AE33" s="165"/>
      <c r="AF33" s="165"/>
      <c r="AH33" s="119"/>
      <c r="AI33" s="479"/>
      <c r="AJ33" s="479"/>
      <c r="AK33" s="479"/>
      <c r="AL33" s="479"/>
      <c r="AM33" s="479"/>
      <c r="AN33" s="479"/>
      <c r="AO33" s="479"/>
      <c r="AP33" s="479"/>
      <c r="AQ33" s="479"/>
      <c r="AR33" s="479"/>
      <c r="AS33" s="479"/>
      <c r="AT33" s="479"/>
      <c r="AU33" s="479"/>
      <c r="AV33" s="479"/>
      <c r="AW33" s="479"/>
      <c r="AX33" s="479"/>
      <c r="AY33" s="479"/>
      <c r="AZ33" s="479"/>
    </row>
    <row r="34" spans="1:52">
      <c r="A34" s="479"/>
      <c r="B34" s="141"/>
      <c r="C34" s="142"/>
      <c r="D34" s="142"/>
      <c r="E34" s="163"/>
      <c r="F34" s="163"/>
      <c r="G34" s="163"/>
      <c r="H34" s="163"/>
      <c r="I34" s="163"/>
      <c r="J34" s="163"/>
      <c r="K34" s="163"/>
      <c r="L34" s="163"/>
      <c r="M34" s="163"/>
      <c r="N34" s="163"/>
      <c r="O34" s="126"/>
      <c r="P34" s="126"/>
      <c r="S34" s="126"/>
      <c r="T34" s="119"/>
      <c r="AA34" s="203"/>
      <c r="AB34" s="119"/>
      <c r="AC34" s="127"/>
      <c r="AD34" s="119"/>
      <c r="AE34" s="165"/>
      <c r="AF34" s="165"/>
      <c r="AH34" s="119"/>
      <c r="AI34" s="479"/>
      <c r="AJ34" s="479"/>
      <c r="AK34" s="479"/>
      <c r="AL34" s="479"/>
      <c r="AM34" s="479"/>
      <c r="AN34" s="479"/>
      <c r="AO34" s="479"/>
      <c r="AP34" s="479"/>
      <c r="AQ34" s="479"/>
      <c r="AR34" s="479"/>
      <c r="AS34" s="479"/>
      <c r="AT34" s="479"/>
      <c r="AU34" s="479"/>
      <c r="AV34" s="479"/>
      <c r="AW34" s="479"/>
      <c r="AX34" s="479"/>
      <c r="AY34" s="479"/>
      <c r="AZ34" s="479"/>
    </row>
    <row r="35" spans="1:52">
      <c r="A35" s="479"/>
      <c r="B35" s="25"/>
      <c r="C35" s="143" t="s">
        <v>190</v>
      </c>
      <c r="D35" s="143"/>
      <c r="E35" s="163"/>
      <c r="F35" s="163"/>
      <c r="G35" s="163"/>
      <c r="H35" s="163"/>
      <c r="I35" s="163"/>
      <c r="J35" s="163"/>
      <c r="K35" s="163"/>
      <c r="L35" s="163"/>
      <c r="M35" s="163"/>
      <c r="N35" s="163"/>
      <c r="O35" s="126"/>
      <c r="P35" s="126"/>
      <c r="AA35" s="203"/>
      <c r="AC35" s="127"/>
      <c r="AD35" s="119"/>
      <c r="AE35" s="165"/>
      <c r="AF35" s="165"/>
      <c r="AH35" s="119"/>
      <c r="AI35" s="479"/>
      <c r="AJ35" s="479"/>
      <c r="AK35" s="479"/>
      <c r="AL35" s="479"/>
      <c r="AM35" s="479"/>
      <c r="AN35" s="479"/>
      <c r="AO35" s="479"/>
      <c r="AP35" s="479"/>
      <c r="AQ35" s="479"/>
      <c r="AR35" s="479"/>
      <c r="AS35" s="479"/>
      <c r="AT35" s="479"/>
      <c r="AU35" s="479"/>
      <c r="AV35" s="479"/>
      <c r="AW35" s="479"/>
      <c r="AX35" s="479"/>
      <c r="AY35" s="479"/>
      <c r="AZ35" s="479"/>
    </row>
    <row r="36" spans="1:52">
      <c r="A36" s="479"/>
      <c r="B36" s="141"/>
      <c r="C36" s="142"/>
      <c r="D36" s="142"/>
      <c r="E36" s="163"/>
      <c r="F36" s="163"/>
      <c r="G36" s="163"/>
      <c r="H36" s="163"/>
      <c r="I36" s="163"/>
      <c r="J36" s="163"/>
      <c r="K36" s="163"/>
      <c r="L36" s="163"/>
      <c r="M36" s="163"/>
      <c r="N36" s="163"/>
      <c r="O36" s="126"/>
      <c r="P36" s="126"/>
      <c r="S36" s="126"/>
      <c r="T36" s="119"/>
      <c r="AA36" s="203"/>
      <c r="AB36" s="119"/>
      <c r="AC36" s="127"/>
      <c r="AD36" s="119"/>
      <c r="AE36" s="165"/>
      <c r="AF36" s="165"/>
      <c r="AH36" s="119"/>
      <c r="AI36" s="479"/>
      <c r="AJ36" s="479"/>
      <c r="AK36" s="479"/>
      <c r="AL36" s="479"/>
      <c r="AM36" s="479"/>
      <c r="AN36" s="479"/>
      <c r="AO36" s="479"/>
      <c r="AP36" s="479"/>
      <c r="AQ36" s="479"/>
      <c r="AR36" s="479"/>
      <c r="AS36" s="479"/>
      <c r="AT36" s="479"/>
      <c r="AU36" s="479"/>
      <c r="AV36" s="479"/>
      <c r="AW36" s="479"/>
      <c r="AX36" s="479"/>
      <c r="AY36" s="479"/>
      <c r="AZ36" s="479"/>
    </row>
    <row r="37" spans="1:52">
      <c r="A37" s="479"/>
      <c r="B37" s="144"/>
      <c r="C37" s="143" t="s">
        <v>191</v>
      </c>
      <c r="D37" s="143"/>
      <c r="E37" s="163"/>
      <c r="F37" s="163"/>
      <c r="G37" s="163"/>
      <c r="H37" s="163"/>
      <c r="I37" s="163"/>
      <c r="J37" s="163"/>
      <c r="K37" s="163"/>
      <c r="L37" s="163"/>
      <c r="M37" s="163"/>
      <c r="N37" s="163"/>
      <c r="O37" s="126"/>
      <c r="P37" s="126"/>
      <c r="S37" s="126"/>
      <c r="T37" s="119"/>
      <c r="AA37" s="203"/>
      <c r="AB37" s="119"/>
      <c r="AC37" s="127"/>
      <c r="AD37" s="119"/>
      <c r="AE37" s="165"/>
      <c r="AF37" s="165"/>
      <c r="AH37" s="119"/>
      <c r="AI37" s="479"/>
      <c r="AJ37" s="479"/>
      <c r="AK37" s="479"/>
      <c r="AL37" s="479"/>
      <c r="AM37" s="479"/>
      <c r="AN37" s="479"/>
      <c r="AO37" s="479"/>
      <c r="AP37" s="479"/>
      <c r="AQ37" s="479"/>
      <c r="AR37" s="479"/>
      <c r="AS37" s="479"/>
      <c r="AT37" s="479"/>
      <c r="AU37" s="479"/>
      <c r="AV37" s="479"/>
      <c r="AW37" s="479"/>
      <c r="AX37" s="479"/>
      <c r="AY37" s="479"/>
      <c r="AZ37" s="479"/>
    </row>
    <row r="38" spans="1:52">
      <c r="A38" s="479"/>
      <c r="B38" s="145"/>
      <c r="C38" s="143"/>
      <c r="D38" s="143"/>
      <c r="E38" s="163"/>
      <c r="F38" s="163"/>
      <c r="G38" s="163"/>
      <c r="H38" s="163"/>
      <c r="I38" s="163"/>
      <c r="J38" s="163"/>
      <c r="K38" s="163"/>
      <c r="L38" s="163"/>
      <c r="M38" s="163"/>
      <c r="N38" s="163"/>
      <c r="O38" s="126"/>
      <c r="P38" s="126"/>
      <c r="S38" s="126"/>
      <c r="T38" s="119"/>
      <c r="AA38" s="203"/>
      <c r="AB38" s="119"/>
      <c r="AC38" s="127"/>
      <c r="AD38" s="119"/>
      <c r="AE38" s="165"/>
      <c r="AF38" s="165"/>
      <c r="AH38" s="119"/>
      <c r="AI38" s="479"/>
      <c r="AJ38" s="479"/>
      <c r="AK38" s="479"/>
      <c r="AL38" s="479"/>
      <c r="AM38" s="479"/>
      <c r="AN38" s="479"/>
      <c r="AO38" s="479"/>
      <c r="AP38" s="479"/>
      <c r="AQ38" s="479"/>
      <c r="AR38" s="479"/>
      <c r="AS38" s="479"/>
      <c r="AT38" s="479"/>
      <c r="AU38" s="479"/>
      <c r="AV38" s="479"/>
      <c r="AW38" s="479"/>
      <c r="AX38" s="479"/>
      <c r="AY38" s="479"/>
      <c r="AZ38" s="479"/>
    </row>
    <row r="39" spans="1:52" ht="15" thickBot="1">
      <c r="A39" s="479"/>
      <c r="B39" s="178"/>
      <c r="C39" s="179"/>
      <c r="D39" s="179"/>
      <c r="E39" s="178"/>
      <c r="F39" s="178"/>
      <c r="G39" s="178"/>
      <c r="H39" s="178"/>
      <c r="I39" s="178"/>
      <c r="J39" s="178"/>
      <c r="K39" s="178"/>
      <c r="L39" s="178"/>
      <c r="M39" s="178"/>
      <c r="N39" s="178"/>
      <c r="O39" s="130"/>
      <c r="P39" s="126"/>
      <c r="S39" s="126"/>
      <c r="T39" s="119"/>
      <c r="AA39" s="203"/>
      <c r="AB39" s="119"/>
      <c r="AC39" s="127"/>
      <c r="AD39" s="119"/>
      <c r="AE39" s="165"/>
      <c r="AF39" s="165"/>
      <c r="AH39" s="119"/>
      <c r="AI39" s="479"/>
      <c r="AJ39" s="479"/>
      <c r="AK39" s="479"/>
      <c r="AL39" s="479"/>
      <c r="AM39" s="479"/>
      <c r="AN39" s="479"/>
      <c r="AO39" s="479"/>
      <c r="AP39" s="479"/>
      <c r="AQ39" s="479"/>
      <c r="AR39" s="479"/>
      <c r="AS39" s="479"/>
      <c r="AT39" s="479"/>
      <c r="AU39" s="479"/>
      <c r="AV39" s="479"/>
      <c r="AW39" s="479"/>
      <c r="AX39" s="479"/>
      <c r="AY39" s="479"/>
      <c r="AZ39" s="479"/>
    </row>
    <row r="40" spans="1:52" s="479" customFormat="1" ht="20.85" customHeight="1" thickBot="1">
      <c r="B40" s="3053" t="str">
        <f>'4E'!B61</f>
        <v>Please refer to RAG 4.08 - Guideline for the table definitions in the annual performance report for the reporting year 2019-20</v>
      </c>
      <c r="C40" s="148"/>
      <c r="D40" s="148"/>
      <c r="E40" s="148"/>
      <c r="F40" s="148"/>
      <c r="G40" s="148"/>
      <c r="H40" s="148"/>
      <c r="I40" s="148"/>
      <c r="J40" s="148"/>
      <c r="K40" s="148"/>
      <c r="L40" s="148"/>
      <c r="M40" s="148"/>
      <c r="N40" s="148"/>
      <c r="O40" s="154"/>
      <c r="P40" s="126"/>
      <c r="Q40" s="70"/>
      <c r="R40" s="70"/>
      <c r="S40" s="126"/>
      <c r="T40" s="119"/>
      <c r="U40" s="70"/>
      <c r="V40" s="70"/>
      <c r="W40" s="70"/>
      <c r="X40" s="70"/>
      <c r="Y40" s="70"/>
      <c r="Z40" s="70"/>
      <c r="AA40" s="203"/>
      <c r="AB40" s="119"/>
      <c r="AC40" s="127"/>
      <c r="AD40" s="119"/>
      <c r="AE40" s="165"/>
      <c r="AF40" s="165"/>
      <c r="AG40" s="74"/>
      <c r="AH40" s="119"/>
    </row>
    <row r="41" spans="1:52" s="479" customFormat="1">
      <c r="B41" s="178"/>
      <c r="C41" s="179"/>
      <c r="D41" s="179"/>
      <c r="E41" s="178"/>
      <c r="F41" s="178"/>
      <c r="G41" s="178"/>
      <c r="H41" s="178"/>
      <c r="I41" s="178"/>
      <c r="J41" s="178"/>
      <c r="K41" s="178"/>
      <c r="L41" s="178"/>
      <c r="M41" s="178"/>
      <c r="N41" s="178"/>
      <c r="O41" s="130"/>
      <c r="P41" s="126"/>
      <c r="Q41" s="70"/>
      <c r="R41" s="70"/>
      <c r="S41" s="126"/>
      <c r="T41" s="119"/>
      <c r="U41" s="70"/>
      <c r="V41" s="70"/>
      <c r="W41" s="70"/>
      <c r="X41" s="70"/>
      <c r="Y41" s="70"/>
      <c r="Z41" s="70"/>
      <c r="AA41" s="203"/>
      <c r="AB41" s="119"/>
      <c r="AC41" s="127"/>
      <c r="AD41" s="119"/>
      <c r="AE41" s="165"/>
      <c r="AF41" s="165"/>
      <c r="AG41" s="74"/>
      <c r="AH41" s="119"/>
    </row>
    <row r="42" spans="1:52" ht="21" hidden="1" thickBot="1">
      <c r="A42" s="1566"/>
      <c r="B42" s="146" t="str">
        <f ca="1" xml:space="preserve"> RIGHT(CELL("filename", $A$1), LEN(CELL("filename", $A$1)) - SEARCH("]", CELL("filename", $A$1)))&amp;" - Line definitions"</f>
        <v>4F - Line definitions</v>
      </c>
      <c r="C42" s="147"/>
      <c r="D42" s="147"/>
      <c r="E42" s="148"/>
      <c r="F42" s="148"/>
      <c r="G42" s="148"/>
      <c r="H42" s="148"/>
      <c r="I42" s="148"/>
      <c r="J42" s="148"/>
      <c r="K42" s="148"/>
      <c r="L42" s="148"/>
      <c r="M42" s="148"/>
      <c r="N42" s="148"/>
      <c r="O42" s="154"/>
      <c r="P42" s="126"/>
      <c r="S42" s="118"/>
      <c r="T42" s="124"/>
      <c r="U42" s="203"/>
      <c r="V42" s="203"/>
      <c r="W42" s="203"/>
      <c r="X42" s="203"/>
      <c r="Y42" s="203"/>
      <c r="Z42" s="203"/>
      <c r="AA42" s="203"/>
      <c r="AB42" s="124"/>
      <c r="AC42" s="82"/>
      <c r="AD42" s="124"/>
      <c r="AH42" s="124"/>
      <c r="AI42" s="479"/>
      <c r="AJ42" s="479"/>
      <c r="AK42" s="479"/>
      <c r="AL42" s="479"/>
      <c r="AM42" s="479"/>
      <c r="AN42" s="479"/>
      <c r="AO42" s="479"/>
      <c r="AP42" s="479"/>
      <c r="AQ42" s="479"/>
      <c r="AR42" s="479"/>
      <c r="AS42" s="479"/>
      <c r="AT42" s="479"/>
      <c r="AU42" s="479"/>
      <c r="AV42" s="479"/>
      <c r="AW42" s="479"/>
      <c r="AX42" s="479"/>
      <c r="AY42" s="479"/>
      <c r="AZ42" s="479"/>
    </row>
    <row r="43" spans="1:52" ht="15" hidden="1" thickBot="1">
      <c r="A43" s="1566"/>
      <c r="B43" s="74"/>
      <c r="C43" s="155"/>
      <c r="D43" s="155"/>
      <c r="E43" s="74"/>
      <c r="F43" s="74"/>
      <c r="G43" s="74"/>
      <c r="H43" s="74"/>
      <c r="I43" s="74"/>
      <c r="J43" s="74"/>
      <c r="K43" s="74"/>
      <c r="L43" s="74"/>
      <c r="M43" s="74"/>
      <c r="N43" s="74"/>
      <c r="O43" s="118"/>
      <c r="P43" s="126"/>
      <c r="S43" s="118"/>
      <c r="T43" s="124"/>
      <c r="U43" s="203"/>
      <c r="V43" s="203"/>
      <c r="W43" s="203"/>
      <c r="X43" s="203"/>
      <c r="Y43" s="203"/>
      <c r="Z43" s="203"/>
      <c r="AA43" s="203"/>
      <c r="AB43" s="124"/>
      <c r="AC43" s="82"/>
      <c r="AD43" s="124"/>
      <c r="AH43" s="124"/>
      <c r="AI43" s="479"/>
      <c r="AJ43" s="479"/>
      <c r="AK43" s="479"/>
      <c r="AL43" s="479"/>
      <c r="AM43" s="479"/>
      <c r="AN43" s="479"/>
      <c r="AO43" s="479"/>
      <c r="AP43" s="479"/>
      <c r="AQ43" s="479"/>
      <c r="AR43" s="479"/>
      <c r="AS43" s="479"/>
      <c r="AT43" s="479"/>
      <c r="AU43" s="479"/>
      <c r="AV43" s="479"/>
      <c r="AW43" s="479"/>
      <c r="AX43" s="479"/>
      <c r="AY43" s="479"/>
      <c r="AZ43" s="479"/>
    </row>
    <row r="44" spans="1:52" ht="15" hidden="1" thickBot="1">
      <c r="A44" s="1566"/>
      <c r="B44" s="156" t="s">
        <v>193</v>
      </c>
      <c r="C44" s="3252" t="s">
        <v>4003</v>
      </c>
      <c r="D44" s="3252"/>
      <c r="E44" s="3252"/>
      <c r="F44" s="3252"/>
      <c r="G44" s="3252"/>
      <c r="H44" s="3254"/>
      <c r="I44" s="3285" t="s">
        <v>4004</v>
      </c>
      <c r="J44" s="3252"/>
      <c r="K44" s="3252"/>
      <c r="L44" s="3252"/>
      <c r="M44" s="3252"/>
      <c r="N44" s="3252"/>
      <c r="O44" s="3254"/>
      <c r="P44" s="126"/>
      <c r="S44" s="118"/>
      <c r="T44" s="124"/>
      <c r="U44" s="85" t="s">
        <v>195</v>
      </c>
      <c r="V44" s="203"/>
      <c r="W44" s="203"/>
      <c r="X44" s="203"/>
      <c r="Y44" s="203"/>
      <c r="Z44" s="203"/>
      <c r="AA44" s="203"/>
      <c r="AB44" s="124"/>
      <c r="AC44" s="479"/>
      <c r="AD44" s="124"/>
      <c r="AH44" s="124"/>
      <c r="AI44" s="479"/>
      <c r="AJ44" s="479"/>
      <c r="AK44" s="479"/>
      <c r="AL44" s="479"/>
      <c r="AM44" s="479"/>
      <c r="AN44" s="479"/>
      <c r="AO44" s="479"/>
      <c r="AP44" s="479"/>
      <c r="AQ44" s="479"/>
      <c r="AR44" s="479"/>
      <c r="AS44" s="479"/>
      <c r="AT44" s="479"/>
      <c r="AU44" s="479"/>
      <c r="AV44" s="479"/>
      <c r="AW44" s="479"/>
      <c r="AX44" s="479"/>
      <c r="AY44" s="479"/>
      <c r="AZ44" s="479"/>
    </row>
    <row r="45" spans="1:52" ht="46.5" hidden="1" customHeight="1">
      <c r="A45" s="1566"/>
      <c r="B45" s="181" t="str">
        <f t="shared" ref="B45:B50" si="38">B7</f>
        <v>4F.1</v>
      </c>
      <c r="C45" s="3073" t="s">
        <v>4005</v>
      </c>
      <c r="D45" s="3073"/>
      <c r="E45" s="3073"/>
      <c r="F45" s="3073"/>
      <c r="G45" s="3073"/>
      <c r="H45" s="3073"/>
      <c r="I45" s="3073" t="s">
        <v>4006</v>
      </c>
      <c r="J45" s="3073"/>
      <c r="K45" s="3073"/>
      <c r="L45" s="3073"/>
      <c r="M45" s="3073"/>
      <c r="N45" s="3073"/>
      <c r="O45" s="3074"/>
      <c r="P45" s="126"/>
      <c r="U45" s="202" t="s">
        <v>2214</v>
      </c>
      <c r="V45" s="203"/>
      <c r="W45" s="203"/>
      <c r="X45" s="203"/>
      <c r="Y45" s="203"/>
      <c r="Z45" s="203"/>
      <c r="AA45" s="203"/>
      <c r="AC45" s="110"/>
      <c r="AD45" s="124"/>
      <c r="AH45" s="124"/>
      <c r="AI45" s="479"/>
      <c r="AJ45" s="479"/>
      <c r="AK45" s="479"/>
      <c r="AL45" s="479"/>
      <c r="AM45" s="479"/>
      <c r="AN45" s="479"/>
      <c r="AO45" s="479"/>
      <c r="AP45" s="479"/>
      <c r="AQ45" s="479"/>
      <c r="AR45" s="479"/>
      <c r="AS45" s="479"/>
      <c r="AT45" s="479"/>
      <c r="AU45" s="479"/>
      <c r="AV45" s="479"/>
      <c r="AW45" s="479"/>
      <c r="AX45" s="479"/>
      <c r="AY45" s="479"/>
      <c r="AZ45" s="479"/>
    </row>
    <row r="46" spans="1:52" ht="46.5" hidden="1" customHeight="1">
      <c r="A46" s="1566"/>
      <c r="B46" s="159" t="str">
        <f t="shared" si="38"/>
        <v>4F.2</v>
      </c>
      <c r="C46" s="3055" t="s">
        <v>4007</v>
      </c>
      <c r="D46" s="3055"/>
      <c r="E46" s="3055"/>
      <c r="F46" s="3055"/>
      <c r="G46" s="3055"/>
      <c r="H46" s="3055"/>
      <c r="I46" s="3055" t="s">
        <v>4008</v>
      </c>
      <c r="J46" s="3055"/>
      <c r="K46" s="3055"/>
      <c r="L46" s="3055"/>
      <c r="M46" s="3055"/>
      <c r="N46" s="3055"/>
      <c r="O46" s="3056"/>
      <c r="P46" s="126"/>
      <c r="U46" s="202" t="s">
        <v>2214</v>
      </c>
      <c r="V46" s="203"/>
      <c r="W46" s="203"/>
      <c r="X46" s="203"/>
      <c r="Y46" s="203"/>
      <c r="Z46" s="203"/>
      <c r="AA46" s="203"/>
      <c r="AD46" s="124"/>
      <c r="AH46" s="124"/>
      <c r="AI46" s="479"/>
      <c r="AJ46" s="479"/>
      <c r="AK46" s="479"/>
      <c r="AL46" s="479"/>
      <c r="AM46" s="479"/>
      <c r="AN46" s="479"/>
      <c r="AO46" s="479"/>
      <c r="AP46" s="479"/>
      <c r="AQ46" s="479"/>
      <c r="AR46" s="479"/>
      <c r="AS46" s="479"/>
      <c r="AT46" s="479"/>
      <c r="AU46" s="479"/>
      <c r="AV46" s="479"/>
      <c r="AW46" s="479"/>
      <c r="AX46" s="479"/>
      <c r="AY46" s="479"/>
      <c r="AZ46" s="479"/>
    </row>
    <row r="47" spans="1:52" ht="23.25" hidden="1" customHeight="1">
      <c r="A47" s="1566"/>
      <c r="B47" s="159" t="str">
        <f t="shared" si="38"/>
        <v>4F.3</v>
      </c>
      <c r="C47" s="3055" t="s">
        <v>4009</v>
      </c>
      <c r="D47" s="3055"/>
      <c r="E47" s="3055"/>
      <c r="F47" s="3055"/>
      <c r="G47" s="3055"/>
      <c r="H47" s="3055"/>
      <c r="I47" s="3055" t="s">
        <v>4010</v>
      </c>
      <c r="J47" s="3055"/>
      <c r="K47" s="3055"/>
      <c r="L47" s="3055"/>
      <c r="M47" s="3055"/>
      <c r="N47" s="3055"/>
      <c r="O47" s="3056"/>
      <c r="P47" s="130"/>
      <c r="Q47" s="130"/>
      <c r="U47" s="202" t="s">
        <v>197</v>
      </c>
      <c r="V47" s="203"/>
      <c r="W47" s="203"/>
      <c r="X47" s="203"/>
      <c r="Y47" s="203"/>
      <c r="Z47" s="203"/>
      <c r="AA47" s="203"/>
      <c r="AD47" s="124"/>
      <c r="AH47" s="124"/>
      <c r="AI47" s="479"/>
      <c r="AJ47" s="479"/>
      <c r="AK47" s="479"/>
      <c r="AL47" s="479"/>
      <c r="AM47" s="479"/>
      <c r="AN47" s="479"/>
      <c r="AO47" s="479"/>
      <c r="AP47" s="479"/>
      <c r="AQ47" s="479"/>
      <c r="AR47" s="479"/>
      <c r="AS47" s="479"/>
      <c r="AT47" s="479"/>
      <c r="AU47" s="479"/>
      <c r="AV47" s="479"/>
      <c r="AW47" s="479"/>
      <c r="AX47" s="479"/>
      <c r="AY47" s="479"/>
      <c r="AZ47" s="479"/>
    </row>
    <row r="48" spans="1:52" ht="35.450000000000003" hidden="1" customHeight="1">
      <c r="A48" s="1566"/>
      <c r="B48" s="159" t="str">
        <f t="shared" si="38"/>
        <v>4F.4</v>
      </c>
      <c r="C48" s="3055" t="s">
        <v>4011</v>
      </c>
      <c r="D48" s="3055"/>
      <c r="E48" s="3055"/>
      <c r="F48" s="3055"/>
      <c r="G48" s="3055"/>
      <c r="H48" s="3055"/>
      <c r="I48" s="3055" t="s">
        <v>4012</v>
      </c>
      <c r="J48" s="3055"/>
      <c r="K48" s="3055"/>
      <c r="L48" s="3055"/>
      <c r="M48" s="3055"/>
      <c r="N48" s="3055"/>
      <c r="O48" s="3056"/>
      <c r="P48" s="130"/>
      <c r="Q48" s="130"/>
      <c r="U48" s="202" t="s">
        <v>780</v>
      </c>
      <c r="V48" s="203"/>
      <c r="W48" s="203"/>
      <c r="X48" s="203"/>
      <c r="Y48" s="203"/>
      <c r="Z48" s="203"/>
      <c r="AA48" s="203"/>
      <c r="AD48" s="124"/>
      <c r="AE48" s="70"/>
      <c r="AF48" s="70"/>
      <c r="AG48" s="70"/>
      <c r="AH48" s="124"/>
      <c r="AI48" s="479"/>
      <c r="AJ48" s="479"/>
      <c r="AK48" s="479"/>
      <c r="AL48" s="479"/>
      <c r="AM48" s="479"/>
      <c r="AN48" s="479"/>
      <c r="AO48" s="479"/>
      <c r="AP48" s="479"/>
      <c r="AQ48" s="479"/>
      <c r="AR48" s="479"/>
      <c r="AS48" s="479"/>
      <c r="AT48" s="479"/>
      <c r="AU48" s="479"/>
      <c r="AV48" s="479"/>
      <c r="AW48" s="479"/>
      <c r="AX48" s="479"/>
      <c r="AY48" s="479"/>
      <c r="AZ48" s="479"/>
    </row>
    <row r="49" spans="1:52" ht="35.450000000000003" hidden="1" customHeight="1">
      <c r="A49" s="1566"/>
      <c r="B49" s="159" t="str">
        <f t="shared" si="38"/>
        <v>4F.5</v>
      </c>
      <c r="C49" s="3055" t="s">
        <v>4013</v>
      </c>
      <c r="D49" s="3055"/>
      <c r="E49" s="3055"/>
      <c r="F49" s="3055"/>
      <c r="G49" s="3055"/>
      <c r="H49" s="3055"/>
      <c r="I49" s="3055" t="s">
        <v>4014</v>
      </c>
      <c r="J49" s="3055"/>
      <c r="K49" s="3055"/>
      <c r="L49" s="3055"/>
      <c r="M49" s="3055"/>
      <c r="N49" s="3055"/>
      <c r="O49" s="3056"/>
      <c r="P49" s="130"/>
      <c r="Q49" s="130"/>
      <c r="U49" s="202" t="s">
        <v>780</v>
      </c>
      <c r="V49" s="203"/>
      <c r="W49" s="203"/>
      <c r="X49" s="203"/>
      <c r="Y49" s="203"/>
      <c r="Z49" s="203"/>
      <c r="AA49" s="203"/>
      <c r="AD49" s="124"/>
      <c r="AE49" s="163"/>
      <c r="AF49" s="163"/>
      <c r="AG49" s="163"/>
      <c r="AH49" s="124"/>
      <c r="AI49" s="479"/>
      <c r="AJ49" s="479"/>
      <c r="AK49" s="479"/>
      <c r="AL49" s="479"/>
      <c r="AM49" s="479"/>
      <c r="AN49" s="479"/>
      <c r="AO49" s="479"/>
      <c r="AP49" s="479"/>
      <c r="AQ49" s="479"/>
      <c r="AR49" s="479"/>
      <c r="AS49" s="479"/>
      <c r="AT49" s="479"/>
      <c r="AU49" s="479"/>
      <c r="AV49" s="479"/>
      <c r="AW49" s="479"/>
      <c r="AX49" s="479"/>
      <c r="AY49" s="479"/>
      <c r="AZ49" s="479"/>
    </row>
    <row r="50" spans="1:52" ht="35.450000000000003" hidden="1" customHeight="1">
      <c r="A50" s="1566"/>
      <c r="B50" s="159" t="str">
        <f t="shared" si="38"/>
        <v>4F.6</v>
      </c>
      <c r="C50" s="3055" t="s">
        <v>4015</v>
      </c>
      <c r="D50" s="3055"/>
      <c r="E50" s="3055"/>
      <c r="F50" s="3055"/>
      <c r="G50" s="3055"/>
      <c r="H50" s="3055"/>
      <c r="I50" s="3055" t="s">
        <v>4016</v>
      </c>
      <c r="J50" s="3055"/>
      <c r="K50" s="3055"/>
      <c r="L50" s="3055"/>
      <c r="M50" s="3055"/>
      <c r="N50" s="3055"/>
      <c r="O50" s="3056"/>
      <c r="P50" s="130"/>
      <c r="Q50" s="130"/>
      <c r="S50" s="118"/>
      <c r="T50" s="124"/>
      <c r="U50" s="202" t="s">
        <v>780</v>
      </c>
      <c r="V50" s="203"/>
      <c r="W50" s="203"/>
      <c r="X50" s="203"/>
      <c r="Y50" s="203"/>
      <c r="Z50" s="203"/>
      <c r="AA50" s="203"/>
      <c r="AB50" s="124"/>
      <c r="AD50" s="124"/>
      <c r="AE50" s="163"/>
      <c r="AF50" s="163"/>
      <c r="AG50" s="163"/>
      <c r="AH50" s="124"/>
      <c r="AI50" s="479"/>
      <c r="AJ50" s="479"/>
      <c r="AK50" s="479"/>
      <c r="AL50" s="479"/>
      <c r="AM50" s="479"/>
      <c r="AN50" s="479"/>
      <c r="AO50" s="479"/>
      <c r="AP50" s="479"/>
      <c r="AQ50" s="479"/>
      <c r="AR50" s="479"/>
      <c r="AS50" s="479"/>
      <c r="AT50" s="479"/>
      <c r="AU50" s="479"/>
      <c r="AV50" s="479"/>
      <c r="AW50" s="479"/>
      <c r="AX50" s="479"/>
      <c r="AY50" s="479"/>
      <c r="AZ50" s="479"/>
    </row>
    <row r="51" spans="1:52" s="479" customFormat="1" ht="13.7" hidden="1" customHeight="1">
      <c r="A51" s="1566"/>
      <c r="B51" s="159" t="str">
        <f>B14</f>
        <v>4F.7</v>
      </c>
      <c r="C51" s="3055" t="s">
        <v>4017</v>
      </c>
      <c r="D51" s="3055"/>
      <c r="E51" s="3055"/>
      <c r="F51" s="3055"/>
      <c r="G51" s="3055"/>
      <c r="H51" s="3055"/>
      <c r="I51" s="3055" t="s">
        <v>4018</v>
      </c>
      <c r="J51" s="3055"/>
      <c r="K51" s="3055"/>
      <c r="L51" s="3055"/>
      <c r="M51" s="3055"/>
      <c r="N51" s="3055"/>
      <c r="O51" s="3056"/>
      <c r="P51" s="130"/>
      <c r="Q51" s="130"/>
      <c r="R51" s="70"/>
      <c r="S51" s="118"/>
      <c r="T51" s="124"/>
      <c r="U51" s="202">
        <v>1</v>
      </c>
      <c r="V51" s="203"/>
      <c r="W51" s="203"/>
      <c r="X51" s="203"/>
      <c r="Y51" s="203"/>
      <c r="Z51" s="203"/>
      <c r="AA51" s="203"/>
      <c r="AB51" s="124"/>
      <c r="AC51" s="74"/>
      <c r="AD51" s="124"/>
      <c r="AE51" s="163"/>
      <c r="AF51" s="163"/>
      <c r="AG51" s="163"/>
      <c r="AH51" s="124"/>
    </row>
    <row r="52" spans="1:52" s="479" customFormat="1" ht="23.25" hidden="1" customHeight="1">
      <c r="A52" s="1566"/>
      <c r="B52" s="159" t="str">
        <f>B15</f>
        <v>4F.8</v>
      </c>
      <c r="C52" s="3055" t="s">
        <v>4019</v>
      </c>
      <c r="D52" s="3055"/>
      <c r="E52" s="3055"/>
      <c r="F52" s="3055"/>
      <c r="G52" s="3055"/>
      <c r="H52" s="3055"/>
      <c r="I52" s="3055" t="s">
        <v>4020</v>
      </c>
      <c r="J52" s="3055"/>
      <c r="K52" s="3055"/>
      <c r="L52" s="3055"/>
      <c r="M52" s="3055"/>
      <c r="N52" s="3055"/>
      <c r="O52" s="3056"/>
      <c r="P52" s="130"/>
      <c r="Q52" s="130"/>
      <c r="R52" s="70"/>
      <c r="S52" s="118"/>
      <c r="T52" s="124"/>
      <c r="U52" s="202" t="s">
        <v>197</v>
      </c>
      <c r="V52" s="203"/>
      <c r="W52" s="203"/>
      <c r="X52" s="203"/>
      <c r="Y52" s="203"/>
      <c r="Z52" s="203"/>
      <c r="AA52" s="203"/>
      <c r="AB52" s="124"/>
      <c r="AC52" s="74"/>
      <c r="AD52" s="124"/>
      <c r="AE52" s="163"/>
      <c r="AF52" s="163"/>
      <c r="AG52" s="163"/>
      <c r="AH52" s="124"/>
    </row>
    <row r="53" spans="1:52" s="479" customFormat="1" ht="35.450000000000003" hidden="1" customHeight="1">
      <c r="A53" s="1566"/>
      <c r="B53" s="159" t="str">
        <f t="shared" ref="B53:B54" si="39">B17</f>
        <v>4F.9</v>
      </c>
      <c r="C53" s="3055" t="s">
        <v>4021</v>
      </c>
      <c r="D53" s="3055"/>
      <c r="E53" s="3055"/>
      <c r="F53" s="3055"/>
      <c r="G53" s="3055"/>
      <c r="H53" s="3055"/>
      <c r="I53" s="3055" t="s">
        <v>4022</v>
      </c>
      <c r="J53" s="3055"/>
      <c r="K53" s="3055"/>
      <c r="L53" s="3055"/>
      <c r="M53" s="3055"/>
      <c r="N53" s="3055"/>
      <c r="O53" s="3056"/>
      <c r="P53" s="130"/>
      <c r="Q53" s="130"/>
      <c r="R53" s="70"/>
      <c r="S53" s="118"/>
      <c r="T53" s="124"/>
      <c r="U53" s="202" t="s">
        <v>780</v>
      </c>
      <c r="V53" s="203"/>
      <c r="W53" s="203"/>
      <c r="X53" s="203"/>
      <c r="Y53" s="203"/>
      <c r="Z53" s="203"/>
      <c r="AA53" s="203"/>
      <c r="AB53" s="124"/>
      <c r="AC53" s="74"/>
      <c r="AD53" s="124"/>
      <c r="AE53" s="163"/>
      <c r="AF53" s="163"/>
      <c r="AG53" s="163"/>
      <c r="AH53" s="124"/>
    </row>
    <row r="54" spans="1:52" s="479" customFormat="1" ht="45.75" hidden="1" customHeight="1">
      <c r="A54" s="1566"/>
      <c r="B54" s="159" t="str">
        <f t="shared" si="39"/>
        <v>4F.10</v>
      </c>
      <c r="C54" s="3055" t="s">
        <v>4023</v>
      </c>
      <c r="D54" s="3055"/>
      <c r="E54" s="3055"/>
      <c r="F54" s="3055"/>
      <c r="G54" s="3055"/>
      <c r="H54" s="3055"/>
      <c r="I54" s="3055" t="s">
        <v>4024</v>
      </c>
      <c r="J54" s="3055"/>
      <c r="K54" s="3055"/>
      <c r="L54" s="3055"/>
      <c r="M54" s="3055"/>
      <c r="N54" s="3055"/>
      <c r="O54" s="3056"/>
      <c r="P54" s="130"/>
      <c r="Q54" s="130"/>
      <c r="R54" s="70"/>
      <c r="S54" s="118"/>
      <c r="T54" s="124"/>
      <c r="U54" s="202"/>
      <c r="V54" s="203"/>
      <c r="W54" s="203"/>
      <c r="X54" s="203"/>
      <c r="Y54" s="203"/>
      <c r="Z54" s="203"/>
      <c r="AA54" s="203"/>
      <c r="AB54" s="124"/>
      <c r="AC54" s="74"/>
      <c r="AD54" s="124"/>
      <c r="AE54" s="163"/>
      <c r="AF54" s="163"/>
      <c r="AG54" s="163"/>
      <c r="AH54" s="124"/>
    </row>
    <row r="55" spans="1:52" ht="35.450000000000003" hidden="1" customHeight="1">
      <c r="A55" s="1566"/>
      <c r="B55" s="159" t="str">
        <f>B19</f>
        <v>4F.11</v>
      </c>
      <c r="C55" s="3055" t="s">
        <v>4025</v>
      </c>
      <c r="D55" s="3055"/>
      <c r="E55" s="3055"/>
      <c r="F55" s="3055"/>
      <c r="G55" s="3055"/>
      <c r="H55" s="3055"/>
      <c r="I55" s="3055" t="s">
        <v>4026</v>
      </c>
      <c r="J55" s="3055"/>
      <c r="K55" s="3055"/>
      <c r="L55" s="3055"/>
      <c r="M55" s="3055"/>
      <c r="N55" s="3055"/>
      <c r="O55" s="3056"/>
      <c r="P55" s="130"/>
      <c r="Q55" s="130"/>
      <c r="U55" s="202" t="s">
        <v>780</v>
      </c>
      <c r="V55" s="203"/>
      <c r="W55" s="203"/>
      <c r="X55" s="203"/>
      <c r="Y55" s="203"/>
      <c r="Z55" s="203"/>
      <c r="AA55" s="203"/>
      <c r="AE55" s="163"/>
      <c r="AF55" s="163"/>
      <c r="AG55" s="163"/>
      <c r="AI55" s="479"/>
      <c r="AJ55" s="479"/>
      <c r="AK55" s="479"/>
      <c r="AL55" s="479"/>
      <c r="AM55" s="479"/>
      <c r="AN55" s="479"/>
      <c r="AO55" s="479"/>
      <c r="AP55" s="479"/>
      <c r="AQ55" s="479"/>
      <c r="AR55" s="479"/>
      <c r="AS55" s="479"/>
      <c r="AT55" s="479"/>
      <c r="AU55" s="479"/>
      <c r="AV55" s="479"/>
      <c r="AW55" s="479"/>
      <c r="AX55" s="479"/>
      <c r="AY55" s="479"/>
      <c r="AZ55" s="479"/>
    </row>
    <row r="56" spans="1:52" s="479" customFormat="1" ht="36" hidden="1" customHeight="1">
      <c r="A56" s="1566"/>
      <c r="B56" s="159" t="str">
        <f>B20</f>
        <v>4F.12</v>
      </c>
      <c r="C56" s="3055" t="s">
        <v>4027</v>
      </c>
      <c r="D56" s="3055"/>
      <c r="E56" s="3055"/>
      <c r="F56" s="3055"/>
      <c r="G56" s="3055"/>
      <c r="H56" s="3055"/>
      <c r="I56" s="3055" t="s">
        <v>4028</v>
      </c>
      <c r="J56" s="3055"/>
      <c r="K56" s="3055"/>
      <c r="L56" s="3055"/>
      <c r="M56" s="3055"/>
      <c r="N56" s="3055"/>
      <c r="O56" s="3056"/>
      <c r="P56" s="130"/>
      <c r="Q56" s="130"/>
      <c r="R56" s="70"/>
      <c r="S56" s="70"/>
      <c r="T56" s="71"/>
      <c r="U56" s="202"/>
      <c r="V56" s="203"/>
      <c r="W56" s="203"/>
      <c r="X56" s="203"/>
      <c r="Y56" s="203"/>
      <c r="Z56" s="203"/>
      <c r="AA56" s="203"/>
      <c r="AB56" s="71"/>
      <c r="AC56" s="74"/>
      <c r="AD56" s="71"/>
      <c r="AE56" s="163"/>
      <c r="AF56" s="163"/>
      <c r="AG56" s="163"/>
      <c r="AH56" s="71"/>
    </row>
    <row r="57" spans="1:52" s="479" customFormat="1" ht="36" hidden="1" customHeight="1">
      <c r="A57" s="1566"/>
      <c r="B57" s="159" t="str">
        <f t="shared" ref="B57" si="40">B21</f>
        <v>4F.13</v>
      </c>
      <c r="C57" s="3055" t="s">
        <v>4029</v>
      </c>
      <c r="D57" s="3055"/>
      <c r="E57" s="3055"/>
      <c r="F57" s="3055"/>
      <c r="G57" s="3055"/>
      <c r="H57" s="3055"/>
      <c r="I57" s="3055" t="s">
        <v>4030</v>
      </c>
      <c r="J57" s="3055"/>
      <c r="K57" s="3055"/>
      <c r="L57" s="3055"/>
      <c r="M57" s="3055"/>
      <c r="N57" s="3055"/>
      <c r="O57" s="3056"/>
      <c r="P57" s="130"/>
      <c r="Q57" s="130"/>
      <c r="R57" s="70"/>
      <c r="S57" s="70"/>
      <c r="T57" s="71"/>
      <c r="U57" s="202" t="s">
        <v>197</v>
      </c>
      <c r="V57" s="203"/>
      <c r="W57" s="203"/>
      <c r="X57" s="203"/>
      <c r="Y57" s="203"/>
      <c r="Z57" s="203"/>
      <c r="AA57" s="203"/>
      <c r="AB57" s="71"/>
      <c r="AC57" s="74"/>
      <c r="AD57" s="71"/>
      <c r="AE57" s="163"/>
      <c r="AF57" s="163"/>
      <c r="AG57" s="163"/>
      <c r="AH57" s="71"/>
    </row>
    <row r="58" spans="1:52" s="479" customFormat="1" ht="24.75" hidden="1" customHeight="1">
      <c r="A58" s="1566"/>
      <c r="B58" s="159" t="str">
        <f>B23</f>
        <v>4F.14</v>
      </c>
      <c r="C58" s="3055" t="s">
        <v>4031</v>
      </c>
      <c r="D58" s="3055"/>
      <c r="E58" s="3055"/>
      <c r="F58" s="3055"/>
      <c r="G58" s="3055"/>
      <c r="H58" s="3055"/>
      <c r="I58" s="3055" t="s">
        <v>4032</v>
      </c>
      <c r="J58" s="3055"/>
      <c r="K58" s="3055"/>
      <c r="L58" s="3055"/>
      <c r="M58" s="3055"/>
      <c r="N58" s="3055"/>
      <c r="O58" s="3056"/>
      <c r="P58" s="130"/>
      <c r="Q58" s="130"/>
      <c r="R58" s="70"/>
      <c r="S58" s="70"/>
      <c r="T58" s="71"/>
      <c r="U58" s="202"/>
      <c r="V58" s="203"/>
      <c r="W58" s="203"/>
      <c r="X58" s="203"/>
      <c r="Y58" s="203"/>
      <c r="Z58" s="203"/>
      <c r="AA58" s="203"/>
      <c r="AB58" s="71"/>
      <c r="AC58" s="74"/>
      <c r="AD58" s="71"/>
      <c r="AE58" s="163"/>
      <c r="AF58" s="163"/>
      <c r="AG58" s="163"/>
      <c r="AH58" s="71"/>
    </row>
    <row r="59" spans="1:52" s="240" customFormat="1" ht="14.25" hidden="1" customHeight="1" thickBot="1">
      <c r="A59" s="1604"/>
      <c r="B59" s="204"/>
      <c r="C59" s="3023"/>
      <c r="D59" s="3023"/>
      <c r="E59" s="3023"/>
      <c r="F59" s="3023"/>
      <c r="G59" s="3023"/>
      <c r="H59" s="3023"/>
      <c r="I59" s="3023"/>
      <c r="J59" s="3023"/>
      <c r="K59" s="3023"/>
      <c r="L59" s="3023"/>
      <c r="M59" s="3023"/>
      <c r="N59" s="3023"/>
      <c r="O59" s="3023"/>
      <c r="P59" s="621"/>
      <c r="Q59" s="621"/>
      <c r="R59" s="192"/>
      <c r="S59" s="192"/>
      <c r="T59" s="71"/>
      <c r="U59" s="813"/>
      <c r="V59" s="796"/>
      <c r="W59" s="796"/>
      <c r="X59" s="796"/>
      <c r="Y59" s="796"/>
      <c r="Z59" s="796"/>
      <c r="AA59" s="796"/>
      <c r="AB59" s="71"/>
      <c r="AC59" s="74"/>
      <c r="AD59" s="71"/>
      <c r="AE59" s="318"/>
      <c r="AF59" s="318"/>
      <c r="AG59" s="318"/>
      <c r="AH59" s="71"/>
    </row>
    <row r="60" spans="1:52" s="240" customFormat="1" ht="15" hidden="1" thickBot="1">
      <c r="A60" s="1604"/>
      <c r="B60" s="156" t="s">
        <v>193</v>
      </c>
      <c r="C60" s="3252" t="s">
        <v>194</v>
      </c>
      <c r="D60" s="3252"/>
      <c r="E60" s="3252"/>
      <c r="F60" s="3252"/>
      <c r="G60" s="3252"/>
      <c r="H60" s="3252"/>
      <c r="I60" s="3252"/>
      <c r="J60" s="3252"/>
      <c r="K60" s="3252"/>
      <c r="L60" s="3252"/>
      <c r="M60" s="3252"/>
      <c r="N60" s="3252"/>
      <c r="O60" s="3254"/>
      <c r="P60" s="621"/>
      <c r="Q60" s="621"/>
      <c r="R60" s="192"/>
      <c r="S60" s="192"/>
      <c r="T60" s="71"/>
      <c r="U60" s="813"/>
      <c r="V60" s="796"/>
      <c r="W60" s="796"/>
      <c r="X60" s="796"/>
      <c r="Y60" s="796"/>
      <c r="Z60" s="796"/>
      <c r="AA60" s="796"/>
      <c r="AB60" s="71"/>
      <c r="AC60" s="74"/>
      <c r="AD60" s="71"/>
      <c r="AE60" s="318"/>
      <c r="AF60" s="318"/>
      <c r="AG60" s="318"/>
      <c r="AH60" s="71"/>
    </row>
    <row r="61" spans="1:52" ht="58.7" hidden="1" customHeight="1">
      <c r="A61" s="1566"/>
      <c r="B61" s="181" t="str">
        <f>B26</f>
        <v>4F.15</v>
      </c>
      <c r="C61" s="3073" t="s">
        <v>4033</v>
      </c>
      <c r="D61" s="3073"/>
      <c r="E61" s="3073"/>
      <c r="F61" s="3073"/>
      <c r="G61" s="3073"/>
      <c r="H61" s="3073"/>
      <c r="I61" s="3073"/>
      <c r="J61" s="3073"/>
      <c r="K61" s="3073"/>
      <c r="L61" s="3073"/>
      <c r="M61" s="3073"/>
      <c r="N61" s="3073"/>
      <c r="O61" s="3074"/>
      <c r="P61" s="130"/>
      <c r="Q61" s="130"/>
      <c r="U61" s="202" t="s">
        <v>1340</v>
      </c>
      <c r="V61" s="203"/>
      <c r="W61" s="203"/>
      <c r="X61" s="203"/>
      <c r="Y61" s="203"/>
      <c r="Z61" s="203"/>
      <c r="AA61" s="203"/>
      <c r="AE61" s="163"/>
      <c r="AF61" s="163"/>
      <c r="AG61" s="163"/>
      <c r="AI61" s="479"/>
      <c r="AJ61" s="479"/>
      <c r="AK61" s="479"/>
      <c r="AL61" s="479"/>
      <c r="AM61" s="479"/>
      <c r="AN61" s="479"/>
      <c r="AO61" s="479"/>
      <c r="AP61" s="479"/>
      <c r="AQ61" s="479"/>
      <c r="AR61" s="479"/>
      <c r="AS61" s="479"/>
      <c r="AT61" s="479"/>
      <c r="AU61" s="479"/>
      <c r="AV61" s="479"/>
      <c r="AW61" s="479"/>
      <c r="AX61" s="479"/>
      <c r="AY61" s="479"/>
      <c r="AZ61" s="479"/>
    </row>
    <row r="62" spans="1:52" ht="13.7" hidden="1" customHeight="1">
      <c r="A62" s="1566"/>
      <c r="B62" s="159" t="str">
        <f t="shared" ref="B62:B66" si="41">B27</f>
        <v>4F.16</v>
      </c>
      <c r="C62" s="3055" t="s">
        <v>4034</v>
      </c>
      <c r="D62" s="3055"/>
      <c r="E62" s="3055"/>
      <c r="F62" s="3055"/>
      <c r="G62" s="3055"/>
      <c r="H62" s="3055"/>
      <c r="I62" s="3055"/>
      <c r="J62" s="3055"/>
      <c r="K62" s="3055"/>
      <c r="L62" s="3055"/>
      <c r="M62" s="3055"/>
      <c r="N62" s="3055"/>
      <c r="O62" s="3056"/>
      <c r="P62" s="130"/>
      <c r="Q62" s="130"/>
      <c r="U62" s="206">
        <v>1</v>
      </c>
      <c r="V62" s="203"/>
      <c r="W62" s="203"/>
      <c r="X62" s="203"/>
      <c r="Y62" s="203"/>
      <c r="Z62" s="203"/>
      <c r="AA62" s="203"/>
      <c r="AE62" s="178"/>
      <c r="AF62" s="178"/>
      <c r="AG62" s="178"/>
      <c r="AI62" s="479"/>
      <c r="AJ62" s="479"/>
      <c r="AK62" s="479"/>
      <c r="AL62" s="479"/>
      <c r="AM62" s="479"/>
      <c r="AN62" s="479"/>
      <c r="AO62" s="479"/>
      <c r="AP62" s="479"/>
      <c r="AQ62" s="479"/>
      <c r="AR62" s="479"/>
      <c r="AS62" s="479"/>
      <c r="AT62" s="479"/>
      <c r="AU62" s="479"/>
      <c r="AV62" s="479"/>
      <c r="AW62" s="479"/>
      <c r="AX62" s="479"/>
      <c r="AY62" s="479"/>
      <c r="AZ62" s="479"/>
    </row>
    <row r="63" spans="1:52" ht="13.7" hidden="1" customHeight="1">
      <c r="A63" s="1566"/>
      <c r="B63" s="159" t="str">
        <f t="shared" si="41"/>
        <v>4F.17</v>
      </c>
      <c r="C63" s="3055" t="s">
        <v>4035</v>
      </c>
      <c r="D63" s="3055"/>
      <c r="E63" s="3055"/>
      <c r="F63" s="3055"/>
      <c r="G63" s="3055"/>
      <c r="H63" s="3055"/>
      <c r="I63" s="3055"/>
      <c r="J63" s="3055"/>
      <c r="K63" s="3055"/>
      <c r="L63" s="3055"/>
      <c r="M63" s="3055"/>
      <c r="N63" s="3055"/>
      <c r="O63" s="3056"/>
      <c r="P63" s="130"/>
      <c r="Q63" s="130"/>
      <c r="U63" s="207">
        <v>1</v>
      </c>
      <c r="V63" s="203"/>
      <c r="W63" s="203"/>
      <c r="X63" s="203"/>
      <c r="Y63" s="203"/>
      <c r="Z63" s="203"/>
      <c r="AA63" s="203"/>
      <c r="AE63" s="178"/>
      <c r="AF63" s="178"/>
      <c r="AG63" s="178"/>
      <c r="AI63" s="479"/>
      <c r="AJ63" s="479"/>
      <c r="AK63" s="479"/>
      <c r="AL63" s="479"/>
      <c r="AM63" s="479"/>
      <c r="AN63" s="479"/>
      <c r="AO63" s="479"/>
      <c r="AP63" s="479"/>
      <c r="AQ63" s="479"/>
      <c r="AR63" s="479"/>
      <c r="AS63" s="479"/>
      <c r="AT63" s="479"/>
      <c r="AU63" s="479"/>
      <c r="AV63" s="479"/>
      <c r="AW63" s="479"/>
      <c r="AX63" s="479"/>
      <c r="AY63" s="479"/>
      <c r="AZ63" s="479"/>
    </row>
    <row r="64" spans="1:52" ht="46.5" hidden="1" customHeight="1">
      <c r="A64" s="1566"/>
      <c r="B64" s="159" t="str">
        <f t="shared" si="41"/>
        <v>4F.18</v>
      </c>
      <c r="C64" s="3055" t="s">
        <v>4036</v>
      </c>
      <c r="D64" s="3055"/>
      <c r="E64" s="3055"/>
      <c r="F64" s="3055"/>
      <c r="G64" s="3055"/>
      <c r="H64" s="3055"/>
      <c r="I64" s="3055"/>
      <c r="J64" s="3055"/>
      <c r="K64" s="3055"/>
      <c r="L64" s="3055"/>
      <c r="M64" s="3055"/>
      <c r="N64" s="3055"/>
      <c r="O64" s="3056"/>
      <c r="P64" s="130"/>
      <c r="Q64" s="130"/>
      <c r="U64" s="202" t="s">
        <v>2214</v>
      </c>
      <c r="V64" s="203"/>
      <c r="W64" s="203"/>
      <c r="X64" s="203"/>
      <c r="Y64" s="203"/>
      <c r="Z64" s="203"/>
      <c r="AA64" s="203"/>
      <c r="AE64" s="110"/>
      <c r="AF64" s="110"/>
      <c r="AG64" s="110"/>
      <c r="AI64" s="479"/>
      <c r="AJ64" s="479"/>
      <c r="AK64" s="479"/>
      <c r="AL64" s="479"/>
      <c r="AM64" s="479"/>
      <c r="AN64" s="479"/>
      <c r="AO64" s="479"/>
      <c r="AP64" s="479"/>
      <c r="AQ64" s="479"/>
      <c r="AR64" s="479"/>
      <c r="AS64" s="479"/>
      <c r="AT64" s="479"/>
      <c r="AU64" s="479"/>
      <c r="AV64" s="479"/>
      <c r="AW64" s="479"/>
      <c r="AX64" s="479"/>
      <c r="AY64" s="479"/>
      <c r="AZ64" s="479"/>
    </row>
    <row r="65" spans="1:52" ht="13.7" hidden="1" customHeight="1">
      <c r="A65" s="1566"/>
      <c r="B65" s="159" t="str">
        <f t="shared" si="41"/>
        <v>4F.19</v>
      </c>
      <c r="C65" s="3055" t="s">
        <v>4037</v>
      </c>
      <c r="D65" s="3055"/>
      <c r="E65" s="3055"/>
      <c r="F65" s="3055"/>
      <c r="G65" s="3055"/>
      <c r="H65" s="3055"/>
      <c r="I65" s="3055"/>
      <c r="J65" s="3055"/>
      <c r="K65" s="3055"/>
      <c r="L65" s="3055"/>
      <c r="M65" s="3055"/>
      <c r="N65" s="3055"/>
      <c r="O65" s="3056"/>
      <c r="P65" s="130"/>
      <c r="Q65" s="130"/>
      <c r="U65" s="206">
        <v>1</v>
      </c>
      <c r="V65" s="203"/>
      <c r="W65" s="203"/>
      <c r="X65" s="203"/>
      <c r="Y65" s="203"/>
      <c r="Z65" s="203"/>
      <c r="AA65" s="203"/>
      <c r="AE65" s="110"/>
      <c r="AF65" s="110"/>
      <c r="AG65" s="110"/>
      <c r="AI65" s="479"/>
      <c r="AJ65" s="479"/>
      <c r="AK65" s="479"/>
      <c r="AL65" s="479"/>
      <c r="AM65" s="479"/>
      <c r="AN65" s="479"/>
      <c r="AO65" s="479"/>
      <c r="AP65" s="479"/>
      <c r="AQ65" s="479"/>
      <c r="AR65" s="479"/>
      <c r="AS65" s="479"/>
      <c r="AT65" s="479"/>
      <c r="AU65" s="479"/>
      <c r="AV65" s="479"/>
      <c r="AW65" s="479"/>
      <c r="AX65" s="479"/>
      <c r="AY65" s="479"/>
      <c r="AZ65" s="479"/>
    </row>
    <row r="66" spans="1:52" ht="14.25" hidden="1" customHeight="1" thickBot="1">
      <c r="A66" s="1566"/>
      <c r="B66" s="183" t="str">
        <f t="shared" si="41"/>
        <v>4F.20</v>
      </c>
      <c r="C66" s="3075" t="s">
        <v>4038</v>
      </c>
      <c r="D66" s="3075"/>
      <c r="E66" s="3075"/>
      <c r="F66" s="3075"/>
      <c r="G66" s="3075"/>
      <c r="H66" s="3075"/>
      <c r="I66" s="3075"/>
      <c r="J66" s="3075"/>
      <c r="K66" s="3075"/>
      <c r="L66" s="3075"/>
      <c r="M66" s="3075"/>
      <c r="N66" s="3075"/>
      <c r="O66" s="3076"/>
      <c r="P66" s="130"/>
      <c r="Q66" s="130"/>
      <c r="U66" s="207">
        <v>1</v>
      </c>
      <c r="V66" s="203"/>
      <c r="W66" s="203"/>
      <c r="X66" s="203"/>
      <c r="Y66" s="203"/>
      <c r="Z66" s="203"/>
      <c r="AA66" s="203"/>
      <c r="AE66" s="178"/>
      <c r="AF66" s="178"/>
      <c r="AG66" s="178"/>
      <c r="AI66" s="479"/>
      <c r="AJ66" s="479"/>
      <c r="AK66" s="479"/>
      <c r="AL66" s="479"/>
      <c r="AM66" s="479"/>
      <c r="AN66" s="479"/>
      <c r="AO66" s="479"/>
      <c r="AP66" s="479"/>
      <c r="AQ66" s="479"/>
      <c r="AR66" s="479"/>
      <c r="AS66" s="479"/>
      <c r="AT66" s="479"/>
      <c r="AU66" s="479"/>
      <c r="AV66" s="479"/>
      <c r="AW66" s="479"/>
      <c r="AX66" s="479"/>
      <c r="AY66" s="479"/>
      <c r="AZ66" s="479"/>
    </row>
    <row r="67" spans="1:52" s="240" customFormat="1" hidden="1">
      <c r="A67" s="1604"/>
      <c r="B67" s="204"/>
      <c r="C67" s="3286"/>
      <c r="D67" s="3286"/>
      <c r="E67" s="3286"/>
      <c r="F67" s="3286"/>
      <c r="G67" s="3286"/>
      <c r="H67" s="3286"/>
      <c r="I67" s="3286"/>
      <c r="P67" s="130"/>
      <c r="Q67" s="130"/>
      <c r="R67" s="70"/>
      <c r="S67" s="70"/>
      <c r="T67" s="71"/>
      <c r="U67" s="203"/>
      <c r="V67" s="203"/>
      <c r="W67" s="203"/>
      <c r="X67" s="203"/>
      <c r="Y67" s="203"/>
      <c r="Z67" s="203"/>
      <c r="AA67" s="203"/>
      <c r="AB67" s="71"/>
      <c r="AC67" s="74"/>
      <c r="AD67" s="71"/>
      <c r="AE67" s="110"/>
      <c r="AF67" s="110"/>
      <c r="AG67" s="110"/>
      <c r="AH67" s="71"/>
    </row>
  </sheetData>
  <sheetProtection algorithmName="SHA-512" hashValue="OIvl4gj9zrmpLrblDsFKSKzPINaelhrYWzz6cVOyPY+O02Y1UlGNTnXDllNSxODzEKapHQc6oq/NT3it4zjFag==" saltValue="2S2lrA044nsqwmQOGXwwPA==" spinCount="100000" sheet="1" objects="1" scenarios="1"/>
  <mergeCells count="54">
    <mergeCell ref="C54:H54"/>
    <mergeCell ref="I54:O54"/>
    <mergeCell ref="C56:H56"/>
    <mergeCell ref="I56:O56"/>
    <mergeCell ref="C58:H58"/>
    <mergeCell ref="I58:O58"/>
    <mergeCell ref="C51:H51"/>
    <mergeCell ref="I51:O51"/>
    <mergeCell ref="C52:H52"/>
    <mergeCell ref="I52:O52"/>
    <mergeCell ref="C53:H53"/>
    <mergeCell ref="I53:O53"/>
    <mergeCell ref="C67:I67"/>
    <mergeCell ref="C55:H55"/>
    <mergeCell ref="I55:O55"/>
    <mergeCell ref="C57:H57"/>
    <mergeCell ref="I57:O57"/>
    <mergeCell ref="C60:O60"/>
    <mergeCell ref="C61:O61"/>
    <mergeCell ref="C62:O62"/>
    <mergeCell ref="C63:O63"/>
    <mergeCell ref="C64:O64"/>
    <mergeCell ref="C65:O65"/>
    <mergeCell ref="C66:O66"/>
    <mergeCell ref="C48:H48"/>
    <mergeCell ref="I48:O48"/>
    <mergeCell ref="C49:H49"/>
    <mergeCell ref="I49:O49"/>
    <mergeCell ref="C50:H50"/>
    <mergeCell ref="I50:O50"/>
    <mergeCell ref="C45:H45"/>
    <mergeCell ref="I45:O45"/>
    <mergeCell ref="C46:H46"/>
    <mergeCell ref="I46:O46"/>
    <mergeCell ref="C47:H47"/>
    <mergeCell ref="I47:O47"/>
    <mergeCell ref="Q3:Q4"/>
    <mergeCell ref="R3:R4"/>
    <mergeCell ref="U5:AA5"/>
    <mergeCell ref="B33:C33"/>
    <mergeCell ref="C44:H44"/>
    <mergeCell ref="I44:O44"/>
    <mergeCell ref="B3:C4"/>
    <mergeCell ref="E3:E4"/>
    <mergeCell ref="F3:F4"/>
    <mergeCell ref="G3:J3"/>
    <mergeCell ref="K3:N3"/>
    <mergeCell ref="O3:O4"/>
    <mergeCell ref="BN3:BN4"/>
    <mergeCell ref="BA3:BB4"/>
    <mergeCell ref="BD3:BD4"/>
    <mergeCell ref="BE3:BE4"/>
    <mergeCell ref="BF3:BI3"/>
    <mergeCell ref="BJ3:BM3"/>
  </mergeCells>
  <conditionalFormatting sqref="R7:R11">
    <cfRule type="cellIs" dxfId="288" priority="48" operator="equal">
      <formula>0</formula>
    </cfRule>
  </conditionalFormatting>
  <conditionalFormatting sqref="R26:R27 R29:R30">
    <cfRule type="cellIs" dxfId="287" priority="47" operator="equal">
      <formula>0</formula>
    </cfRule>
  </conditionalFormatting>
  <conditionalFormatting sqref="R19">
    <cfRule type="cellIs" dxfId="286" priority="46" operator="equal">
      <formula>0</formula>
    </cfRule>
  </conditionalFormatting>
  <conditionalFormatting sqref="Q7:Q12 Q17:Q22 Q14:Q15">
    <cfRule type="cellIs" dxfId="285" priority="45" operator="equal">
      <formula>0</formula>
    </cfRule>
  </conditionalFormatting>
  <conditionalFormatting sqref="R14">
    <cfRule type="cellIs" dxfId="284" priority="39" operator="equal">
      <formula>0</formula>
    </cfRule>
  </conditionalFormatting>
  <conditionalFormatting sqref="R17">
    <cfRule type="cellIs" dxfId="283" priority="38" operator="equal">
      <formula>0</formula>
    </cfRule>
  </conditionalFormatting>
  <conditionalFormatting sqref="Q23">
    <cfRule type="cellIs" dxfId="282" priority="27" operator="equal">
      <formula>0</formula>
    </cfRule>
  </conditionalFormatting>
  <conditionalFormatting sqref="R23">
    <cfRule type="cellIs" dxfId="281" priority="24" operator="equal">
      <formula>0</formula>
    </cfRule>
  </conditionalFormatting>
  <conditionalFormatting sqref="R18">
    <cfRule type="cellIs" dxfId="280" priority="23" operator="equal">
      <formula>0</formula>
    </cfRule>
  </conditionalFormatting>
  <conditionalFormatting sqref="R20">
    <cfRule type="cellIs" dxfId="279"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 r:id="rId4"/>
  <legacyDrawingHF r:id="rId5"/>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L46"/>
  <sheetViews>
    <sheetView workbookViewId="0">
      <selection activeCell="H13" sqref="H13"/>
    </sheetView>
  </sheetViews>
  <sheetFormatPr defaultColWidth="0" defaultRowHeight="14.25" zeroHeight="1"/>
  <cols>
    <col min="1" max="1" width="0.5" style="8" customWidth="1"/>
    <col min="2" max="2" width="5.125" style="8" customWidth="1"/>
    <col min="3" max="3" width="48.125" style="8" bestFit="1" customWidth="1"/>
    <col min="4" max="4" width="1.125" style="479" hidden="1" customWidth="1"/>
    <col min="5" max="6" width="5.125" style="8" customWidth="1"/>
    <col min="7" max="8" width="14.5" style="8" customWidth="1"/>
    <col min="9" max="9" width="14.5" style="479" customWidth="1"/>
    <col min="10" max="10" width="14.5" style="8" customWidth="1"/>
    <col min="11" max="11" width="2.5" style="70" customWidth="1"/>
    <col min="12" max="12" width="32" style="74" customWidth="1"/>
    <col min="13" max="13" width="28.125" style="70" customWidth="1"/>
    <col min="14" max="14" width="1.5" style="70" customWidth="1"/>
    <col min="15" max="15" width="1.5" style="71" hidden="1" customWidth="1"/>
    <col min="16" max="18" width="8.5" style="70" hidden="1" customWidth="1"/>
    <col min="19" max="19" width="1.5" style="71" hidden="1" customWidth="1"/>
    <col min="20" max="20" width="8.5" style="74" hidden="1" customWidth="1"/>
    <col min="21" max="21" width="1.5" style="71" hidden="1" customWidth="1"/>
    <col min="22" max="23" width="8.5" style="74" hidden="1" customWidth="1"/>
    <col min="24" max="24" width="80.5" style="74" hidden="1" customWidth="1"/>
    <col min="25" max="25" width="1.5" style="71" hidden="1" customWidth="1"/>
    <col min="26" max="27" width="8.5" style="8" hidden="1" customWidth="1"/>
    <col min="28" max="28" width="8.5" style="8" customWidth="1"/>
    <col min="29" max="29" width="5.125" style="479" customWidth="1"/>
    <col min="30" max="30" width="48.125" style="479" bestFit="1" customWidth="1"/>
    <col min="31" max="31" width="1.125" style="479" hidden="1" customWidth="1"/>
    <col min="32" max="33" width="5.125" style="479" customWidth="1"/>
    <col min="34" max="37" width="14.5" style="479" customWidth="1"/>
    <col min="38" max="38" width="2.5" style="8" customWidth="1"/>
    <col min="39" max="16384" width="8.5" style="8" hidden="1"/>
  </cols>
  <sheetData>
    <row r="1" spans="2:37" ht="20.25">
      <c r="B1" s="66" t="s">
        <v>4039</v>
      </c>
      <c r="C1" s="66"/>
      <c r="D1" s="66"/>
      <c r="E1" s="66"/>
      <c r="F1" s="66"/>
      <c r="G1" s="66"/>
      <c r="H1" s="66"/>
      <c r="I1" s="66"/>
      <c r="J1" s="68" t="str">
        <f>Validation!B3</f>
        <v>Yorkshire Water</v>
      </c>
      <c r="K1" s="66"/>
      <c r="L1" s="69"/>
      <c r="M1" s="69" t="s">
        <v>34</v>
      </c>
      <c r="T1" s="70"/>
      <c r="V1" s="479"/>
      <c r="W1" s="479"/>
      <c r="X1" s="479"/>
      <c r="Z1" s="479"/>
      <c r="AA1" s="479"/>
      <c r="AB1" s="479"/>
      <c r="AC1" s="66" t="s">
        <v>35</v>
      </c>
      <c r="AD1" s="66"/>
      <c r="AE1" s="66"/>
      <c r="AF1" s="66"/>
      <c r="AG1" s="66"/>
      <c r="AH1" s="66"/>
      <c r="AI1" s="66"/>
      <c r="AJ1" s="66"/>
      <c r="AK1" s="68"/>
    </row>
    <row r="2" spans="2:37" ht="15" thickBot="1">
      <c r="B2" s="73" t="str">
        <f>'4F'!B2</f>
        <v>For the 12 months ended 31 March 2020</v>
      </c>
      <c r="C2" s="70"/>
      <c r="D2" s="70"/>
      <c r="E2" s="70"/>
      <c r="F2" s="70"/>
      <c r="G2" s="70"/>
      <c r="H2" s="70"/>
      <c r="I2" s="70"/>
      <c r="J2" s="70"/>
      <c r="L2" s="70"/>
      <c r="T2" s="70"/>
      <c r="Z2" s="479"/>
      <c r="AA2" s="479"/>
      <c r="AB2" s="479"/>
      <c r="AC2" s="73" t="str">
        <f>+B2</f>
        <v>For the 12 months ended 31 March 2020</v>
      </c>
      <c r="AD2" s="70"/>
      <c r="AE2" s="70"/>
      <c r="AF2" s="70"/>
      <c r="AG2" s="70"/>
      <c r="AH2" s="70"/>
      <c r="AI2" s="70"/>
      <c r="AJ2" s="70"/>
      <c r="AK2" s="70"/>
    </row>
    <row r="3" spans="2:37" ht="24.75" thickBot="1">
      <c r="B3" s="3169" t="s">
        <v>36</v>
      </c>
      <c r="C3" s="3170"/>
      <c r="D3" s="3016" t="s">
        <v>3098</v>
      </c>
      <c r="E3" s="184" t="s">
        <v>38</v>
      </c>
      <c r="F3" s="185" t="s">
        <v>39</v>
      </c>
      <c r="G3" s="186" t="s">
        <v>1628</v>
      </c>
      <c r="H3" s="361" t="s">
        <v>1629</v>
      </c>
      <c r="I3" s="2989" t="s">
        <v>913</v>
      </c>
      <c r="J3" s="2990" t="s">
        <v>710</v>
      </c>
      <c r="L3" s="2990" t="s">
        <v>705</v>
      </c>
      <c r="M3" s="2990" t="s">
        <v>43</v>
      </c>
      <c r="P3" s="3072" t="s">
        <v>47</v>
      </c>
      <c r="Q3" s="3072"/>
      <c r="R3" s="2987"/>
      <c r="T3" s="2987" t="s">
        <v>26</v>
      </c>
      <c r="V3" s="76" t="s">
        <v>904</v>
      </c>
      <c r="W3" s="76"/>
      <c r="X3" s="2987"/>
      <c r="Z3" s="479"/>
      <c r="AA3" s="479"/>
      <c r="AB3" s="479"/>
      <c r="AC3" s="3169" t="s">
        <v>36</v>
      </c>
      <c r="AD3" s="3170"/>
      <c r="AE3" s="3016" t="s">
        <v>3098</v>
      </c>
      <c r="AF3" s="184" t="s">
        <v>38</v>
      </c>
      <c r="AG3" s="185" t="s">
        <v>39</v>
      </c>
      <c r="AH3" s="186" t="s">
        <v>1628</v>
      </c>
      <c r="AI3" s="187" t="s">
        <v>1629</v>
      </c>
      <c r="AJ3" s="2989" t="s">
        <v>913</v>
      </c>
      <c r="AK3" s="2990" t="s">
        <v>710</v>
      </c>
    </row>
    <row r="4" spans="2:37" ht="15" thickBot="1">
      <c r="B4" s="70"/>
      <c r="C4" s="70"/>
      <c r="D4" s="70"/>
      <c r="E4" s="70"/>
      <c r="F4" s="70"/>
      <c r="G4" s="70"/>
      <c r="H4" s="70"/>
      <c r="I4" s="70"/>
      <c r="J4" s="70"/>
      <c r="L4" s="70"/>
      <c r="P4" s="164" t="s">
        <v>48</v>
      </c>
      <c r="Z4" s="479"/>
      <c r="AA4" s="479"/>
      <c r="AB4" s="479"/>
      <c r="AC4" s="70"/>
      <c r="AD4" s="70"/>
      <c r="AE4" s="70"/>
      <c r="AF4" s="70"/>
      <c r="AG4" s="70"/>
      <c r="AH4" s="70"/>
      <c r="AI4" s="70"/>
      <c r="AJ4" s="70"/>
      <c r="AK4" s="70"/>
    </row>
    <row r="5" spans="2:37" ht="14.25" customHeight="1">
      <c r="B5" s="86" t="s">
        <v>4040</v>
      </c>
      <c r="C5" s="117" t="s">
        <v>50</v>
      </c>
      <c r="D5" s="117"/>
      <c r="E5" s="88" t="s">
        <v>51</v>
      </c>
      <c r="F5" s="89">
        <v>3</v>
      </c>
      <c r="G5" s="188">
        <f xml:space="preserve"> '2A'!K6 + '2A'!K7</f>
        <v>439.15500000000003</v>
      </c>
      <c r="H5" s="1964">
        <f xml:space="preserve"> '2A'!N6 + '2A'!N7</f>
        <v>544.22400000000005</v>
      </c>
      <c r="I5" s="190">
        <f xml:space="preserve"> '2A'!O6 + '2A'!O7</f>
        <v>0</v>
      </c>
      <c r="J5" s="196">
        <f>G5+H5+I5</f>
        <v>983.37900000000013</v>
      </c>
      <c r="L5" s="70"/>
      <c r="P5" s="127"/>
      <c r="Q5" s="127"/>
      <c r="R5" s="127"/>
      <c r="T5" s="3022"/>
      <c r="V5" s="165"/>
      <c r="Z5" s="479"/>
      <c r="AA5" s="479"/>
      <c r="AB5" s="479"/>
      <c r="AC5" s="86" t="s">
        <v>4040</v>
      </c>
      <c r="AD5" s="117" t="s">
        <v>50</v>
      </c>
      <c r="AE5" s="117"/>
      <c r="AF5" s="88" t="s">
        <v>51</v>
      </c>
      <c r="AG5" s="89">
        <v>3</v>
      </c>
      <c r="AH5" s="188" t="s">
        <v>4041</v>
      </c>
      <c r="AI5" s="190" t="s">
        <v>4042</v>
      </c>
      <c r="AJ5" s="196" t="s">
        <v>4043</v>
      </c>
      <c r="AK5" s="196" t="s">
        <v>4044</v>
      </c>
    </row>
    <row r="6" spans="2:37">
      <c r="B6" s="94" t="s">
        <v>4045</v>
      </c>
      <c r="C6" s="87" t="s">
        <v>941</v>
      </c>
      <c r="D6" s="87"/>
      <c r="E6" s="95" t="s">
        <v>51</v>
      </c>
      <c r="F6" s="96">
        <v>3</v>
      </c>
      <c r="G6" s="245">
        <f xml:space="preserve"> -1 * ('2B'!G17 + '2B'!H17)</f>
        <v>-247.90299999999999</v>
      </c>
      <c r="H6" s="1965">
        <f xml:space="preserve"> -1 * ('2B'!I17 + '2B'!J17)</f>
        <v>-213.45699999999999</v>
      </c>
      <c r="I6" s="191">
        <f xml:space="preserve"> -1 * ( '2B'!K17)</f>
        <v>0</v>
      </c>
      <c r="J6" s="197">
        <f t="shared" ref="J6:J8" si="0">G6+H6+I6</f>
        <v>-461.36</v>
      </c>
      <c r="L6" s="70"/>
      <c r="M6" s="24"/>
      <c r="P6" s="127"/>
      <c r="Q6" s="127"/>
      <c r="R6" s="127"/>
      <c r="T6" s="82"/>
      <c r="Z6" s="479"/>
      <c r="AA6" s="479"/>
      <c r="AB6" s="479"/>
      <c r="AC6" s="94" t="s">
        <v>4045</v>
      </c>
      <c r="AD6" s="87" t="s">
        <v>941</v>
      </c>
      <c r="AE6" s="87"/>
      <c r="AF6" s="95" t="s">
        <v>51</v>
      </c>
      <c r="AG6" s="96">
        <v>3</v>
      </c>
      <c r="AH6" s="245" t="s">
        <v>4046</v>
      </c>
      <c r="AI6" s="191" t="s">
        <v>4047</v>
      </c>
      <c r="AJ6" s="197" t="s">
        <v>4048</v>
      </c>
      <c r="AK6" s="197" t="s">
        <v>4049</v>
      </c>
    </row>
    <row r="7" spans="2:37">
      <c r="B7" s="94" t="s">
        <v>4050</v>
      </c>
      <c r="C7" s="87" t="s">
        <v>4051</v>
      </c>
      <c r="D7" s="87"/>
      <c r="E7" s="95" t="s">
        <v>51</v>
      </c>
      <c r="F7" s="96">
        <v>3</v>
      </c>
      <c r="G7" s="411">
        <v>-89.917000000000002</v>
      </c>
      <c r="H7" s="449">
        <v>-181.15299999999999</v>
      </c>
      <c r="I7" s="415">
        <v>0</v>
      </c>
      <c r="J7" s="197">
        <f t="shared" si="0"/>
        <v>-271.07</v>
      </c>
      <c r="L7" s="70"/>
      <c r="M7" s="24">
        <f t="shared" ref="M7" si="1" xml:space="preserve"> IF( SUM( O7:S7 ) = 0, 0, $P$4 )</f>
        <v>0</v>
      </c>
      <c r="P7" s="93">
        <f t="shared" ref="P7:P14" si="2" xml:space="preserve"> IF( ISNUMBER( G7 ), 0, 1 )</f>
        <v>0</v>
      </c>
      <c r="Q7" s="93">
        <f>IF(Validation!$H$3=1,0,IF(ISNUMBER(H7),0,1))</f>
        <v>0</v>
      </c>
      <c r="R7" s="93">
        <f>IF( Validation!$H$3=1, 0, IF(Validation!$B$3 &lt;&gt; "Thames Water", 0, (IF(ISNUMBER(I7), 0, 1))))</f>
        <v>0</v>
      </c>
      <c r="T7" s="127"/>
      <c r="V7" s="165"/>
      <c r="W7" s="165"/>
      <c r="Z7" s="479"/>
      <c r="AA7" s="479"/>
      <c r="AB7" s="479"/>
      <c r="AC7" s="94" t="s">
        <v>4050</v>
      </c>
      <c r="AD7" s="87" t="s">
        <v>4051</v>
      </c>
      <c r="AE7" s="87"/>
      <c r="AF7" s="95" t="s">
        <v>51</v>
      </c>
      <c r="AG7" s="96">
        <v>3</v>
      </c>
      <c r="AH7" s="2519" t="s">
        <v>4052</v>
      </c>
      <c r="AI7" s="2661" t="s">
        <v>4053</v>
      </c>
      <c r="AJ7" s="2518" t="s">
        <v>4054</v>
      </c>
      <c r="AK7" s="197" t="s">
        <v>4055</v>
      </c>
    </row>
    <row r="8" spans="2:37">
      <c r="B8" s="94" t="s">
        <v>4056</v>
      </c>
      <c r="C8" s="87" t="s">
        <v>65</v>
      </c>
      <c r="D8" s="87"/>
      <c r="E8" s="95" t="s">
        <v>51</v>
      </c>
      <c r="F8" s="96">
        <v>3</v>
      </c>
      <c r="G8" s="2162">
        <f xml:space="preserve"> '2A'!K11</f>
        <v>1.333</v>
      </c>
      <c r="H8" s="2167">
        <f xml:space="preserve"> '2A'!N11</f>
        <v>3.012</v>
      </c>
      <c r="I8" s="2166">
        <f xml:space="preserve"> '2A'!O11</f>
        <v>0</v>
      </c>
      <c r="J8" s="197">
        <f t="shared" si="0"/>
        <v>4.3449999999999998</v>
      </c>
      <c r="L8" s="70"/>
      <c r="N8" s="192"/>
      <c r="P8" s="127"/>
      <c r="Q8" s="127"/>
      <c r="R8" s="127"/>
      <c r="T8" s="127"/>
      <c r="V8" s="165"/>
      <c r="W8" s="165"/>
      <c r="Z8" s="479"/>
      <c r="AA8" s="479"/>
      <c r="AB8" s="479"/>
      <c r="AC8" s="94" t="s">
        <v>4056</v>
      </c>
      <c r="AD8" s="87" t="s">
        <v>65</v>
      </c>
      <c r="AE8" s="87"/>
      <c r="AF8" s="95" t="s">
        <v>51</v>
      </c>
      <c r="AG8" s="96">
        <v>3</v>
      </c>
      <c r="AH8" s="2162" t="str">
        <f xml:space="preserve"> '2A'!BP11</f>
        <v>A19015WSW</v>
      </c>
      <c r="AI8" s="2162" t="str">
        <f xml:space="preserve"> '2A'!BS11</f>
        <v>A19015TAS</v>
      </c>
      <c r="AJ8" s="2165" t="str">
        <f>+'2A'!BT11</f>
        <v>A19015TTT</v>
      </c>
      <c r="AK8" s="197" t="s">
        <v>4057</v>
      </c>
    </row>
    <row r="9" spans="2:37" ht="15" thickBot="1">
      <c r="B9" s="101" t="s">
        <v>4058</v>
      </c>
      <c r="C9" s="102" t="s">
        <v>4059</v>
      </c>
      <c r="D9" s="102"/>
      <c r="E9" s="103" t="s">
        <v>51</v>
      </c>
      <c r="F9" s="100">
        <v>3</v>
      </c>
      <c r="G9" s="193">
        <f>SUM(G5:G8)</f>
        <v>102.66800000000003</v>
      </c>
      <c r="H9" s="365">
        <f>SUM(H5:H8)</f>
        <v>152.62600000000006</v>
      </c>
      <c r="I9" s="195">
        <f>SUM(I5:I8)</f>
        <v>0</v>
      </c>
      <c r="J9" s="198">
        <f>G9+H9+I9</f>
        <v>255.2940000000001</v>
      </c>
      <c r="L9" s="70"/>
      <c r="T9" s="127"/>
      <c r="V9" s="165"/>
      <c r="W9" s="165"/>
      <c r="Z9" s="479"/>
      <c r="AA9" s="479"/>
      <c r="AB9" s="479"/>
      <c r="AC9" s="101" t="s">
        <v>4058</v>
      </c>
      <c r="AD9" s="102" t="s">
        <v>4059</v>
      </c>
      <c r="AE9" s="102"/>
      <c r="AF9" s="103" t="s">
        <v>51</v>
      </c>
      <c r="AG9" s="100">
        <v>3</v>
      </c>
      <c r="AH9" s="193" t="s">
        <v>4060</v>
      </c>
      <c r="AI9" s="195" t="s">
        <v>4061</v>
      </c>
      <c r="AJ9" s="198" t="s">
        <v>4062</v>
      </c>
      <c r="AK9" s="198" t="s">
        <v>4063</v>
      </c>
    </row>
    <row r="10" spans="2:37" ht="15" thickBot="1">
      <c r="B10" s="70"/>
      <c r="C10" s="70"/>
      <c r="D10" s="70"/>
      <c r="E10" s="70"/>
      <c r="F10" s="70"/>
      <c r="G10" s="70"/>
      <c r="H10" s="70"/>
      <c r="I10" s="70"/>
      <c r="J10" s="70"/>
      <c r="L10" s="70"/>
      <c r="T10" s="127"/>
      <c r="V10" s="165"/>
      <c r="W10" s="165"/>
      <c r="Z10" s="479"/>
      <c r="AA10" s="479"/>
      <c r="AB10" s="479"/>
      <c r="AC10" s="70"/>
      <c r="AD10" s="70"/>
      <c r="AE10" s="70"/>
      <c r="AF10" s="70"/>
      <c r="AG10" s="70"/>
      <c r="AH10" s="70"/>
      <c r="AI10" s="70"/>
      <c r="AJ10" s="70"/>
      <c r="AK10" s="70"/>
    </row>
    <row r="11" spans="2:37">
      <c r="B11" s="86" t="s">
        <v>4064</v>
      </c>
      <c r="C11" s="117" t="s">
        <v>79</v>
      </c>
      <c r="D11" s="117"/>
      <c r="E11" s="88" t="s">
        <v>51</v>
      </c>
      <c r="F11" s="89">
        <v>3</v>
      </c>
      <c r="G11" s="413">
        <v>6.4749999999999996</v>
      </c>
      <c r="H11" s="448">
        <v>6.4290000000000003</v>
      </c>
      <c r="I11" s="414"/>
      <c r="J11" s="196">
        <f t="shared" ref="J11:J15" si="3">G11+H11+I11</f>
        <v>12.904</v>
      </c>
      <c r="L11" s="70"/>
      <c r="M11" s="24">
        <f t="shared" ref="M11:M14" si="4" xml:space="preserve"> IF( SUM( O11:S11 ) = 0, 0, $P$4 )</f>
        <v>0</v>
      </c>
      <c r="P11" s="93">
        <f t="shared" si="2"/>
        <v>0</v>
      </c>
      <c r="Q11" s="93">
        <f>IF(Validation!$H$3=1,0,IF(ISNUMBER(H11),0,1))</f>
        <v>0</v>
      </c>
      <c r="R11" s="93">
        <f>IF( Validation!$H$3=1, 0, IF(Validation!$B$3 &lt;&gt; "Thames Water", 0, (IF(ISNUMBER(I11), 0, 1))))</f>
        <v>0</v>
      </c>
      <c r="T11" s="93"/>
      <c r="V11" s="165"/>
      <c r="W11" s="165"/>
      <c r="Z11" s="479"/>
      <c r="AA11" s="479"/>
      <c r="AB11" s="479"/>
      <c r="AC11" s="86" t="s">
        <v>4064</v>
      </c>
      <c r="AD11" s="117" t="s">
        <v>79</v>
      </c>
      <c r="AE11" s="117"/>
      <c r="AF11" s="88" t="s">
        <v>51</v>
      </c>
      <c r="AG11" s="89">
        <v>3</v>
      </c>
      <c r="AH11" s="2516" t="s">
        <v>4065</v>
      </c>
      <c r="AI11" s="2660" t="s">
        <v>4066</v>
      </c>
      <c r="AJ11" s="2515" t="s">
        <v>4067</v>
      </c>
      <c r="AK11" s="196" t="s">
        <v>4068</v>
      </c>
    </row>
    <row r="12" spans="2:37">
      <c r="B12" s="94" t="s">
        <v>4069</v>
      </c>
      <c r="C12" s="87" t="s">
        <v>86</v>
      </c>
      <c r="D12" s="87"/>
      <c r="E12" s="95" t="s">
        <v>51</v>
      </c>
      <c r="F12" s="96">
        <v>3</v>
      </c>
      <c r="G12" s="411">
        <v>21.010999999999999</v>
      </c>
      <c r="H12" s="449">
        <v>29.497</v>
      </c>
      <c r="I12" s="415"/>
      <c r="J12" s="197">
        <f t="shared" si="3"/>
        <v>50.507999999999996</v>
      </c>
      <c r="L12" s="1370">
        <f t="shared" ref="L12:L14" si="5" xml:space="preserve"> IF( SUM( S12:U12 ) = 0, 0, X12 )</f>
        <v>0</v>
      </c>
      <c r="M12" s="24">
        <f t="shared" si="4"/>
        <v>0</v>
      </c>
      <c r="P12" s="93">
        <f t="shared" si="2"/>
        <v>0</v>
      </c>
      <c r="Q12" s="93">
        <f>IF(Validation!$H$3=1,0,IF(ISNUMBER(H12),0,1))</f>
        <v>0</v>
      </c>
      <c r="R12" s="93">
        <f>IF( Validation!$H$3=1, 0, IF(Validation!$B$3 &lt;&gt; "Thames Water", 0, (IF(ISNUMBER(I12), 0, 1))))</f>
        <v>0</v>
      </c>
      <c r="T12" s="93">
        <f t="shared" ref="T12:T14" si="6" xml:space="preserve"> IF( (V12 - W12) = 0, 0, 1 )</f>
        <v>0</v>
      </c>
      <c r="V12" s="165">
        <f t="shared" ref="V12:V14" si="7" xml:space="preserve"> ROUND( J12, 3)</f>
        <v>50.508000000000003</v>
      </c>
      <c r="W12" s="165">
        <f xml:space="preserve"> ROUND( '1A'!K12, 3)</f>
        <v>50.508000000000003</v>
      </c>
      <c r="X12" s="74" t="s">
        <v>4070</v>
      </c>
      <c r="Z12" s="479"/>
      <c r="AA12" s="479"/>
      <c r="AB12" s="479"/>
      <c r="AC12" s="94" t="s">
        <v>4069</v>
      </c>
      <c r="AD12" s="87" t="s">
        <v>86</v>
      </c>
      <c r="AE12" s="87"/>
      <c r="AF12" s="95" t="s">
        <v>51</v>
      </c>
      <c r="AG12" s="96">
        <v>3</v>
      </c>
      <c r="AH12" s="2519" t="s">
        <v>4071</v>
      </c>
      <c r="AI12" s="2661" t="s">
        <v>4072</v>
      </c>
      <c r="AJ12" s="2518" t="s">
        <v>4073</v>
      </c>
      <c r="AK12" s="197" t="s">
        <v>4074</v>
      </c>
    </row>
    <row r="13" spans="2:37">
      <c r="B13" s="94" t="s">
        <v>4075</v>
      </c>
      <c r="C13" s="87" t="s">
        <v>93</v>
      </c>
      <c r="D13" s="87"/>
      <c r="E13" s="95" t="s">
        <v>51</v>
      </c>
      <c r="F13" s="96">
        <v>3</v>
      </c>
      <c r="G13" s="411">
        <v>-87.308999999999997</v>
      </c>
      <c r="H13" s="449">
        <v>-122.575</v>
      </c>
      <c r="I13" s="415"/>
      <c r="J13" s="197">
        <f t="shared" si="3"/>
        <v>-209.88400000000001</v>
      </c>
      <c r="L13" s="1370">
        <f t="shared" si="5"/>
        <v>0</v>
      </c>
      <c r="M13" s="24">
        <f t="shared" si="4"/>
        <v>0</v>
      </c>
      <c r="P13" s="93">
        <f t="shared" si="2"/>
        <v>0</v>
      </c>
      <c r="Q13" s="93">
        <f>IF(Validation!$H$3=1,0,IF(ISNUMBER(H13),0,1))</f>
        <v>0</v>
      </c>
      <c r="R13" s="93">
        <f>IF( Validation!$H$3=1, 0, IF(Validation!$B$3 &lt;&gt; "Thames Water", 0, (IF(ISNUMBER(I13), 0, 1))))</f>
        <v>0</v>
      </c>
      <c r="T13" s="93">
        <f t="shared" si="6"/>
        <v>0</v>
      </c>
      <c r="V13" s="165">
        <f t="shared" si="7"/>
        <v>-209.88399999999999</v>
      </c>
      <c r="W13" s="165">
        <f xml:space="preserve"> ROUND( '1A'!K13, 3)</f>
        <v>-209.88399999999999</v>
      </c>
      <c r="X13" s="74" t="s">
        <v>4076</v>
      </c>
      <c r="Z13" s="479"/>
      <c r="AA13" s="479"/>
      <c r="AB13" s="479"/>
      <c r="AC13" s="94" t="s">
        <v>4075</v>
      </c>
      <c r="AD13" s="87" t="s">
        <v>93</v>
      </c>
      <c r="AE13" s="87"/>
      <c r="AF13" s="95" t="s">
        <v>51</v>
      </c>
      <c r="AG13" s="96">
        <v>3</v>
      </c>
      <c r="AH13" s="2519" t="s">
        <v>4077</v>
      </c>
      <c r="AI13" s="2661" t="s">
        <v>4078</v>
      </c>
      <c r="AJ13" s="2518" t="s">
        <v>4079</v>
      </c>
      <c r="AK13" s="197" t="s">
        <v>4080</v>
      </c>
    </row>
    <row r="14" spans="2:37">
      <c r="B14" s="94" t="s">
        <v>4081</v>
      </c>
      <c r="C14" s="87" t="s">
        <v>4082</v>
      </c>
      <c r="D14" s="87"/>
      <c r="E14" s="95" t="s">
        <v>51</v>
      </c>
      <c r="F14" s="96">
        <v>3</v>
      </c>
      <c r="G14" s="411">
        <v>0</v>
      </c>
      <c r="H14" s="449">
        <v>0</v>
      </c>
      <c r="I14" s="415"/>
      <c r="J14" s="197">
        <f t="shared" si="3"/>
        <v>0</v>
      </c>
      <c r="L14" s="1370">
        <f t="shared" si="5"/>
        <v>0</v>
      </c>
      <c r="M14" s="24">
        <f t="shared" si="4"/>
        <v>0</v>
      </c>
      <c r="P14" s="93">
        <f t="shared" si="2"/>
        <v>0</v>
      </c>
      <c r="Q14" s="93">
        <f>IF(Validation!$H$3=1,0,IF(ISNUMBER(H14),0,1))</f>
        <v>0</v>
      </c>
      <c r="R14" s="93">
        <f>IF( Validation!$H$3=1, 0, IF(Validation!$B$3 &lt;&gt; "Thames Water", 0, (IF(ISNUMBER(I14), 0, 1))))</f>
        <v>0</v>
      </c>
      <c r="T14" s="93">
        <f t="shared" si="6"/>
        <v>0</v>
      </c>
      <c r="V14" s="165">
        <f t="shared" si="7"/>
        <v>0</v>
      </c>
      <c r="W14" s="165">
        <f xml:space="preserve"> ROUND( '1A'!K14, 3)</f>
        <v>0</v>
      </c>
      <c r="X14" s="74" t="s">
        <v>4083</v>
      </c>
      <c r="Z14" s="479"/>
      <c r="AA14" s="479"/>
      <c r="AB14" s="479"/>
      <c r="AC14" s="94" t="s">
        <v>4081</v>
      </c>
      <c r="AD14" s="87" t="s">
        <v>4082</v>
      </c>
      <c r="AE14" s="87"/>
      <c r="AF14" s="95" t="s">
        <v>51</v>
      </c>
      <c r="AG14" s="96">
        <v>3</v>
      </c>
      <c r="AH14" s="2519" t="s">
        <v>4084</v>
      </c>
      <c r="AI14" s="2661" t="s">
        <v>4085</v>
      </c>
      <c r="AJ14" s="2518" t="s">
        <v>4086</v>
      </c>
      <c r="AK14" s="197" t="s">
        <v>4087</v>
      </c>
    </row>
    <row r="15" spans="2:37" ht="15" thickBot="1">
      <c r="B15" s="101" t="s">
        <v>4088</v>
      </c>
      <c r="C15" s="102" t="s">
        <v>4089</v>
      </c>
      <c r="D15" s="102"/>
      <c r="E15" s="103" t="s">
        <v>51</v>
      </c>
      <c r="F15" s="100">
        <v>3</v>
      </c>
      <c r="G15" s="193">
        <f xml:space="preserve"> G9 + SUM( G11:G14 )</f>
        <v>42.845000000000034</v>
      </c>
      <c r="H15" s="365">
        <f xml:space="preserve"> H9 + SUM( H11:H14 )</f>
        <v>65.977000000000061</v>
      </c>
      <c r="I15" s="195">
        <f xml:space="preserve"> I9 + SUM( I11:I14 )</f>
        <v>0</v>
      </c>
      <c r="J15" s="198">
        <f t="shared" si="3"/>
        <v>108.82200000000009</v>
      </c>
      <c r="L15" s="70"/>
      <c r="T15" s="127"/>
      <c r="V15" s="165"/>
      <c r="W15" s="165"/>
      <c r="Z15" s="479"/>
      <c r="AA15" s="479"/>
      <c r="AB15" s="479"/>
      <c r="AC15" s="101" t="s">
        <v>4088</v>
      </c>
      <c r="AD15" s="102" t="s">
        <v>4089</v>
      </c>
      <c r="AE15" s="102"/>
      <c r="AF15" s="103" t="s">
        <v>51</v>
      </c>
      <c r="AG15" s="100">
        <v>3</v>
      </c>
      <c r="AH15" s="193" t="s">
        <v>4090</v>
      </c>
      <c r="AI15" s="195" t="s">
        <v>4091</v>
      </c>
      <c r="AJ15" s="198" t="s">
        <v>4092</v>
      </c>
      <c r="AK15" s="198" t="s">
        <v>4093</v>
      </c>
    </row>
    <row r="16" spans="2:37" ht="15" thickBot="1">
      <c r="B16" s="70"/>
      <c r="C16" s="70"/>
      <c r="D16" s="70"/>
      <c r="E16" s="70"/>
      <c r="F16" s="70"/>
      <c r="G16" s="70"/>
      <c r="H16" s="70"/>
      <c r="I16" s="70"/>
      <c r="J16" s="70"/>
      <c r="L16" s="70"/>
      <c r="T16" s="127"/>
      <c r="V16" s="165"/>
      <c r="W16" s="165"/>
      <c r="Z16" s="479"/>
      <c r="AA16" s="479"/>
      <c r="AB16" s="479"/>
      <c r="AC16" s="70"/>
      <c r="AD16" s="70"/>
      <c r="AE16" s="70"/>
      <c r="AF16" s="70"/>
      <c r="AG16" s="70"/>
      <c r="AH16" s="70"/>
      <c r="AI16" s="70"/>
      <c r="AJ16" s="70"/>
      <c r="AK16" s="70"/>
    </row>
    <row r="17" spans="1:37" ht="23.25" customHeight="1">
      <c r="A17" s="479"/>
      <c r="B17" s="86" t="s">
        <v>4094</v>
      </c>
      <c r="C17" s="117" t="s">
        <v>114</v>
      </c>
      <c r="D17" s="117"/>
      <c r="E17" s="88" t="s">
        <v>51</v>
      </c>
      <c r="F17" s="89">
        <v>3</v>
      </c>
      <c r="G17" s="413">
        <v>-14.936453835771662</v>
      </c>
      <c r="H17" s="448">
        <v>-20.969546164228337</v>
      </c>
      <c r="I17" s="414"/>
      <c r="J17" s="199">
        <f t="shared" ref="J17:J18" si="8">G17+H17+I17</f>
        <v>-35.905999999999999</v>
      </c>
      <c r="L17" s="1370">
        <f t="shared" ref="L17" si="9" xml:space="preserve"> IF( SUM( S17:U17 ) = 0, 0, X17 )</f>
        <v>0</v>
      </c>
      <c r="M17" s="24">
        <f xml:space="preserve"> IF( SUM( O17:S17 ) = 0, 0, $P$4 )</f>
        <v>0</v>
      </c>
      <c r="P17" s="93">
        <f xml:space="preserve"> IF( ISNUMBER( G17 ), 0, 1 )</f>
        <v>0</v>
      </c>
      <c r="Q17" s="93">
        <f>IF(Validation!$H$3=1,0,IF(ISNUMBER(H17),0,1))</f>
        <v>0</v>
      </c>
      <c r="R17" s="93">
        <f>IF( Validation!$H$3=1, 0, IF(Validation!$B$3 &lt;&gt; "Thames Water", 0, (IF(ISNUMBER(I17), 0, 1))))</f>
        <v>0</v>
      </c>
      <c r="T17" s="93">
        <f xml:space="preserve"> IF( (V17 - W17) = 0, 0, 1 )</f>
        <v>0</v>
      </c>
      <c r="V17" s="165">
        <f t="shared" ref="V17" si="10" xml:space="preserve"> ROUND( J17, 3)</f>
        <v>-35.905999999999999</v>
      </c>
      <c r="W17" s="165">
        <f xml:space="preserve"> ROUND( '1A'!K17, 3)</f>
        <v>-35.905999999999999</v>
      </c>
      <c r="X17" s="74" t="s">
        <v>4095</v>
      </c>
      <c r="Z17" s="479"/>
      <c r="AA17" s="479"/>
      <c r="AB17" s="479"/>
      <c r="AC17" s="86" t="s">
        <v>4094</v>
      </c>
      <c r="AD17" s="117" t="s">
        <v>114</v>
      </c>
      <c r="AE17" s="117"/>
      <c r="AF17" s="88" t="s">
        <v>51</v>
      </c>
      <c r="AG17" s="89">
        <v>3</v>
      </c>
      <c r="AH17" s="2516" t="s">
        <v>4096</v>
      </c>
      <c r="AI17" s="2660" t="s">
        <v>4097</v>
      </c>
      <c r="AJ17" s="2515" t="s">
        <v>4098</v>
      </c>
      <c r="AK17" s="199" t="s">
        <v>4099</v>
      </c>
    </row>
    <row r="18" spans="1:37" ht="15" thickBot="1">
      <c r="A18" s="479"/>
      <c r="B18" s="101" t="s">
        <v>4100</v>
      </c>
      <c r="C18" s="102" t="s">
        <v>4101</v>
      </c>
      <c r="D18" s="102"/>
      <c r="E18" s="103" t="s">
        <v>51</v>
      </c>
      <c r="F18" s="100">
        <v>3</v>
      </c>
      <c r="G18" s="193">
        <f xml:space="preserve"> G15 + G17</f>
        <v>27.908546164228373</v>
      </c>
      <c r="H18" s="365">
        <f xml:space="preserve"> H15 + H17</f>
        <v>45.007453835771727</v>
      </c>
      <c r="I18" s="195">
        <f xml:space="preserve"> I15 + I17</f>
        <v>0</v>
      </c>
      <c r="J18" s="200">
        <f t="shared" si="8"/>
        <v>72.916000000000096</v>
      </c>
      <c r="L18" s="70"/>
      <c r="P18" s="127"/>
      <c r="Q18" s="127"/>
      <c r="R18" s="127"/>
      <c r="T18" s="127"/>
      <c r="V18" s="165"/>
      <c r="W18" s="165"/>
      <c r="Z18" s="479"/>
      <c r="AA18" s="479"/>
      <c r="AB18" s="479"/>
      <c r="AC18" s="101" t="s">
        <v>4100</v>
      </c>
      <c r="AD18" s="102" t="s">
        <v>4101</v>
      </c>
      <c r="AE18" s="102"/>
      <c r="AF18" s="103" t="s">
        <v>51</v>
      </c>
      <c r="AG18" s="100">
        <v>3</v>
      </c>
      <c r="AH18" s="193" t="s">
        <v>4102</v>
      </c>
      <c r="AI18" s="195" t="s">
        <v>4103</v>
      </c>
      <c r="AJ18" s="198" t="s">
        <v>4104</v>
      </c>
      <c r="AK18" s="200" t="s">
        <v>4105</v>
      </c>
    </row>
    <row r="19" spans="1:37">
      <c r="A19" s="479"/>
      <c r="B19" s="110"/>
      <c r="C19" s="152"/>
      <c r="D19" s="152"/>
      <c r="E19" s="110"/>
      <c r="F19" s="110"/>
      <c r="G19" s="110"/>
      <c r="H19" s="163"/>
      <c r="I19" s="163"/>
      <c r="J19" s="118"/>
      <c r="L19" s="70"/>
      <c r="N19" s="118"/>
      <c r="O19" s="124"/>
      <c r="T19" s="127"/>
      <c r="V19" s="165"/>
      <c r="W19" s="165"/>
      <c r="Z19" s="479"/>
      <c r="AA19" s="479"/>
      <c r="AB19" s="479"/>
      <c r="AC19" s="110"/>
      <c r="AD19" s="152"/>
      <c r="AE19" s="152"/>
      <c r="AF19" s="110"/>
      <c r="AG19" s="110"/>
      <c r="AH19" s="110"/>
      <c r="AI19" s="163"/>
      <c r="AJ19" s="163"/>
      <c r="AK19" s="118"/>
    </row>
    <row r="20" spans="1:37">
      <c r="A20" s="479"/>
      <c r="B20" s="3077" t="s">
        <v>243</v>
      </c>
      <c r="C20" s="3077"/>
      <c r="D20" s="2988"/>
      <c r="E20" s="163"/>
      <c r="F20" s="163"/>
      <c r="G20" s="163"/>
      <c r="H20" s="163"/>
      <c r="I20" s="163"/>
      <c r="J20" s="126"/>
      <c r="L20" s="70"/>
      <c r="T20" s="127"/>
      <c r="V20" s="165"/>
      <c r="W20" s="165"/>
      <c r="Z20" s="479"/>
      <c r="AA20" s="479"/>
      <c r="AB20" s="479"/>
    </row>
    <row r="21" spans="1:37">
      <c r="A21" s="479"/>
      <c r="B21" s="141"/>
      <c r="C21" s="142"/>
      <c r="D21" s="142"/>
      <c r="E21" s="163"/>
      <c r="F21" s="163"/>
      <c r="G21" s="163"/>
      <c r="H21" s="163"/>
      <c r="I21" s="163"/>
      <c r="J21" s="126"/>
      <c r="L21" s="70"/>
      <c r="T21" s="127"/>
      <c r="V21" s="165"/>
      <c r="W21" s="165"/>
      <c r="Z21" s="479"/>
      <c r="AA21" s="479"/>
      <c r="AB21" s="479"/>
    </row>
    <row r="22" spans="1:37">
      <c r="A22" s="479"/>
      <c r="B22" s="25"/>
      <c r="C22" s="143" t="s">
        <v>190</v>
      </c>
      <c r="D22" s="143"/>
      <c r="E22" s="163"/>
      <c r="F22" s="163"/>
      <c r="G22" s="163"/>
      <c r="H22" s="163"/>
      <c r="I22" s="163"/>
      <c r="J22" s="126"/>
      <c r="L22" s="127"/>
      <c r="N22" s="118"/>
      <c r="O22" s="124"/>
      <c r="T22" s="127"/>
      <c r="V22" s="165"/>
      <c r="W22" s="165"/>
      <c r="Z22" s="479"/>
      <c r="AA22" s="479"/>
      <c r="AB22" s="479"/>
    </row>
    <row r="23" spans="1:37">
      <c r="A23" s="479"/>
      <c r="B23" s="141"/>
      <c r="C23" s="142"/>
      <c r="D23" s="142"/>
      <c r="E23" s="163"/>
      <c r="F23" s="163"/>
      <c r="G23" s="163"/>
      <c r="H23" s="163"/>
      <c r="I23" s="163"/>
      <c r="J23" s="126"/>
      <c r="K23" s="118"/>
      <c r="L23" s="70"/>
      <c r="N23" s="118"/>
      <c r="O23" s="124"/>
      <c r="S23" s="124"/>
      <c r="T23" s="127"/>
      <c r="U23" s="124"/>
      <c r="V23" s="165"/>
      <c r="W23" s="165"/>
      <c r="Y23" s="124"/>
      <c r="Z23" s="479"/>
      <c r="AA23" s="479"/>
      <c r="AB23" s="479"/>
    </row>
    <row r="24" spans="1:37">
      <c r="A24" s="479"/>
      <c r="B24" s="144"/>
      <c r="C24" s="143" t="s">
        <v>191</v>
      </c>
      <c r="D24" s="143"/>
      <c r="E24" s="163"/>
      <c r="F24" s="163"/>
      <c r="G24" s="163"/>
      <c r="H24" s="163"/>
      <c r="I24" s="163"/>
      <c r="J24" s="126"/>
      <c r="K24" s="126"/>
      <c r="L24" s="70"/>
      <c r="T24" s="127"/>
      <c r="U24" s="119"/>
      <c r="V24" s="165"/>
      <c r="W24" s="165"/>
      <c r="Y24" s="119"/>
      <c r="Z24" s="479"/>
      <c r="AA24" s="479"/>
      <c r="AB24" s="479"/>
    </row>
    <row r="25" spans="1:37">
      <c r="A25" s="479"/>
      <c r="B25" s="145"/>
      <c r="C25" s="143"/>
      <c r="D25" s="143"/>
      <c r="E25" s="163"/>
      <c r="F25" s="163"/>
      <c r="G25" s="163"/>
      <c r="H25" s="163"/>
      <c r="I25" s="163"/>
      <c r="J25" s="126"/>
      <c r="K25" s="126"/>
      <c r="L25" s="70"/>
      <c r="N25" s="126"/>
      <c r="O25" s="119"/>
      <c r="S25" s="119"/>
      <c r="T25" s="127"/>
      <c r="U25" s="119"/>
      <c r="V25" s="165"/>
      <c r="W25" s="165"/>
      <c r="Y25" s="119"/>
      <c r="Z25" s="479"/>
      <c r="AA25" s="479"/>
      <c r="AB25" s="479"/>
    </row>
    <row r="26" spans="1:37" s="479" customFormat="1">
      <c r="B26" s="2324"/>
      <c r="C26" s="179" t="s">
        <v>244</v>
      </c>
      <c r="D26" s="143"/>
      <c r="E26" s="163"/>
      <c r="F26" s="163"/>
      <c r="G26" s="163"/>
      <c r="H26" s="163"/>
      <c r="I26" s="163"/>
      <c r="J26" s="126"/>
      <c r="K26" s="126"/>
      <c r="L26" s="70"/>
      <c r="M26" s="70"/>
      <c r="N26" s="126"/>
      <c r="O26" s="119"/>
      <c r="P26" s="70"/>
      <c r="Q26" s="70"/>
      <c r="R26" s="70"/>
      <c r="S26" s="119"/>
      <c r="T26" s="127"/>
      <c r="U26" s="119"/>
      <c r="V26" s="165"/>
      <c r="W26" s="165"/>
      <c r="X26" s="74"/>
      <c r="Y26" s="119"/>
    </row>
    <row r="27" spans="1:37" ht="15" thickBot="1">
      <c r="A27" s="479"/>
      <c r="B27" s="178"/>
      <c r="C27" s="179"/>
      <c r="D27" s="179"/>
      <c r="E27" s="178"/>
      <c r="F27" s="178"/>
      <c r="G27" s="178"/>
      <c r="H27" s="178"/>
      <c r="I27" s="178"/>
      <c r="J27" s="130"/>
      <c r="K27" s="126"/>
      <c r="L27" s="70"/>
      <c r="N27" s="126"/>
      <c r="O27" s="119"/>
      <c r="S27" s="119"/>
      <c r="T27" s="127"/>
      <c r="U27" s="119"/>
      <c r="V27" s="165"/>
      <c r="W27" s="165"/>
      <c r="Y27" s="119"/>
      <c r="Z27" s="479"/>
      <c r="AA27" s="479"/>
      <c r="AB27" s="479"/>
    </row>
    <row r="28" spans="1:37" s="479" customFormat="1" ht="20.85" customHeight="1" thickBot="1">
      <c r="B28" s="3053" t="str">
        <f>'4F'!B40</f>
        <v>Please refer to RAG 4.08 - Guideline for the table definitions in the annual performance report for the reporting year 2019-20</v>
      </c>
      <c r="C28" s="148"/>
      <c r="D28" s="148"/>
      <c r="E28" s="148"/>
      <c r="F28" s="148"/>
      <c r="G28" s="148"/>
      <c r="H28" s="148"/>
      <c r="I28" s="148"/>
      <c r="J28" s="154"/>
      <c r="K28" s="126"/>
      <c r="L28" s="70"/>
      <c r="M28" s="70"/>
      <c r="N28" s="126"/>
      <c r="O28" s="119"/>
      <c r="P28" s="70"/>
      <c r="Q28" s="70"/>
      <c r="R28" s="70"/>
      <c r="S28" s="119"/>
      <c r="T28" s="127"/>
      <c r="U28" s="119"/>
      <c r="V28" s="165"/>
      <c r="W28" s="165"/>
      <c r="X28" s="74"/>
      <c r="Y28" s="119"/>
    </row>
    <row r="29" spans="1:37" s="479" customFormat="1">
      <c r="B29" s="178"/>
      <c r="C29" s="179"/>
      <c r="D29" s="179"/>
      <c r="E29" s="178"/>
      <c r="F29" s="178"/>
      <c r="G29" s="178"/>
      <c r="H29" s="178"/>
      <c r="I29" s="178"/>
      <c r="J29" s="130"/>
      <c r="K29" s="126"/>
      <c r="L29" s="70"/>
      <c r="M29" s="70"/>
      <c r="N29" s="126"/>
      <c r="O29" s="119"/>
      <c r="P29" s="70"/>
      <c r="Q29" s="70"/>
      <c r="R29" s="70"/>
      <c r="S29" s="119"/>
      <c r="T29" s="127"/>
      <c r="U29" s="119"/>
      <c r="V29" s="165"/>
      <c r="W29" s="165"/>
      <c r="X29" s="74"/>
      <c r="Y29" s="119"/>
    </row>
    <row r="30" spans="1:37" ht="21" hidden="1" thickBot="1">
      <c r="A30" s="1566"/>
      <c r="B30" s="146" t="str">
        <f ca="1" xml:space="preserve"> RIGHT(CELL("filename", $A$1), LEN(CELL("filename", $A$1)) - SEARCH("]", CELL("filename", $A$1)))&amp;" - Line definitions"</f>
        <v>4G - Line definitions</v>
      </c>
      <c r="C30" s="147"/>
      <c r="D30" s="147"/>
      <c r="E30" s="148"/>
      <c r="F30" s="148"/>
      <c r="G30" s="148"/>
      <c r="H30" s="148"/>
      <c r="I30" s="148"/>
      <c r="J30" s="154"/>
      <c r="K30" s="126"/>
      <c r="L30" s="70"/>
      <c r="N30" s="126"/>
      <c r="O30" s="119"/>
      <c r="S30" s="119"/>
      <c r="T30" s="127"/>
      <c r="U30" s="119"/>
      <c r="V30" s="165"/>
      <c r="W30" s="165"/>
      <c r="Y30" s="119"/>
      <c r="Z30" s="479"/>
      <c r="AA30" s="479"/>
      <c r="AB30" s="479"/>
    </row>
    <row r="31" spans="1:37" ht="15" hidden="1" thickBot="1">
      <c r="A31" s="1566"/>
      <c r="B31" s="74"/>
      <c r="C31" s="155"/>
      <c r="D31" s="155"/>
      <c r="E31" s="74"/>
      <c r="F31" s="74"/>
      <c r="G31" s="74"/>
      <c r="H31" s="110"/>
      <c r="I31" s="110"/>
      <c r="J31" s="118"/>
      <c r="K31" s="126"/>
      <c r="L31" s="70"/>
      <c r="T31" s="127"/>
      <c r="U31" s="119"/>
      <c r="V31" s="165"/>
      <c r="W31" s="165"/>
      <c r="Y31" s="119"/>
      <c r="Z31" s="479"/>
      <c r="AA31" s="479"/>
      <c r="AB31" s="479"/>
    </row>
    <row r="32" spans="1:37" ht="15" hidden="1" thickBot="1">
      <c r="A32" s="1566"/>
      <c r="B32" s="156" t="s">
        <v>193</v>
      </c>
      <c r="C32" s="3252" t="s">
        <v>194</v>
      </c>
      <c r="D32" s="3252"/>
      <c r="E32" s="3252"/>
      <c r="F32" s="3252"/>
      <c r="G32" s="3252"/>
      <c r="H32" s="3252"/>
      <c r="I32" s="3253"/>
      <c r="J32" s="3254"/>
      <c r="K32" s="126"/>
      <c r="L32" s="70"/>
      <c r="P32" s="85" t="s">
        <v>195</v>
      </c>
      <c r="T32" s="127"/>
      <c r="U32" s="119"/>
      <c r="V32" s="165"/>
      <c r="W32" s="165"/>
      <c r="Y32" s="119"/>
      <c r="Z32" s="479"/>
      <c r="AA32" s="479"/>
      <c r="AB32" s="479"/>
    </row>
    <row r="33" spans="1:28" ht="26.45" hidden="1" customHeight="1">
      <c r="A33" s="1566"/>
      <c r="B33" s="181" t="str">
        <f>B5</f>
        <v>4G.1</v>
      </c>
      <c r="C33" s="3073" t="s">
        <v>4106</v>
      </c>
      <c r="D33" s="3073"/>
      <c r="E33" s="3073"/>
      <c r="F33" s="3073"/>
      <c r="G33" s="3073"/>
      <c r="H33" s="3073"/>
      <c r="I33" s="3091"/>
      <c r="J33" s="3074"/>
      <c r="K33" s="126"/>
      <c r="L33" s="70"/>
      <c r="N33" s="126"/>
      <c r="O33" s="119"/>
      <c r="P33" s="202" t="s">
        <v>197</v>
      </c>
      <c r="S33" s="119"/>
      <c r="T33" s="127"/>
      <c r="U33" s="119"/>
      <c r="V33" s="165"/>
      <c r="W33" s="165"/>
      <c r="Y33" s="119"/>
      <c r="Z33" s="479"/>
      <c r="AA33" s="479"/>
      <c r="AB33" s="479"/>
    </row>
    <row r="34" spans="1:28" ht="23.25" hidden="1" customHeight="1">
      <c r="A34" s="1566"/>
      <c r="B34" s="159" t="str">
        <f>B6</f>
        <v>4G.2</v>
      </c>
      <c r="C34" s="3055" t="s">
        <v>4107</v>
      </c>
      <c r="D34" s="3055"/>
      <c r="E34" s="3055"/>
      <c r="F34" s="3055"/>
      <c r="G34" s="3055"/>
      <c r="H34" s="3055"/>
      <c r="I34" s="3082"/>
      <c r="J34" s="3056"/>
      <c r="K34" s="126"/>
      <c r="L34" s="70"/>
      <c r="N34" s="118"/>
      <c r="O34" s="124"/>
      <c r="P34" s="202" t="s">
        <v>197</v>
      </c>
      <c r="Q34" s="203"/>
      <c r="R34" s="203"/>
      <c r="S34" s="124"/>
      <c r="T34" s="82"/>
      <c r="U34" s="124"/>
      <c r="Y34" s="124"/>
      <c r="Z34" s="479"/>
      <c r="AA34" s="479"/>
      <c r="AB34" s="479"/>
    </row>
    <row r="35" spans="1:28" ht="23.25" hidden="1" customHeight="1">
      <c r="A35" s="1566"/>
      <c r="B35" s="159" t="str">
        <f>B7</f>
        <v>4G.3</v>
      </c>
      <c r="C35" s="3055" t="s">
        <v>4108</v>
      </c>
      <c r="D35" s="3055"/>
      <c r="E35" s="3055"/>
      <c r="F35" s="3055"/>
      <c r="G35" s="3055"/>
      <c r="H35" s="3055"/>
      <c r="I35" s="3082"/>
      <c r="J35" s="3056"/>
      <c r="K35" s="126"/>
      <c r="L35" s="70"/>
      <c r="N35" s="118"/>
      <c r="O35" s="124"/>
      <c r="P35" s="202" t="s">
        <v>197</v>
      </c>
      <c r="Q35" s="203"/>
      <c r="R35" s="203"/>
      <c r="S35" s="124"/>
      <c r="T35" s="82"/>
      <c r="U35" s="124"/>
      <c r="Y35" s="124"/>
      <c r="Z35" s="479"/>
      <c r="AA35" s="479"/>
      <c r="AB35" s="479"/>
    </row>
    <row r="36" spans="1:28" ht="13.7" hidden="1" customHeight="1">
      <c r="A36" s="1566"/>
      <c r="B36" s="159" t="str">
        <f t="shared" ref="B36:B37" si="11">B8</f>
        <v>4G.4</v>
      </c>
      <c r="C36" s="3055" t="s">
        <v>4109</v>
      </c>
      <c r="D36" s="3055"/>
      <c r="E36" s="3055"/>
      <c r="F36" s="3055"/>
      <c r="G36" s="3055"/>
      <c r="H36" s="3055"/>
      <c r="I36" s="3082"/>
      <c r="J36" s="3056"/>
      <c r="K36" s="126"/>
      <c r="L36" s="70"/>
      <c r="N36" s="118"/>
      <c r="O36" s="124"/>
      <c r="P36" s="202">
        <v>1</v>
      </c>
      <c r="Q36" s="203"/>
      <c r="R36" s="203"/>
      <c r="S36" s="124"/>
      <c r="T36" s="82"/>
      <c r="U36" s="124"/>
      <c r="Y36" s="124"/>
      <c r="Z36" s="479"/>
      <c r="AA36" s="479"/>
      <c r="AB36" s="479"/>
    </row>
    <row r="37" spans="1:28" hidden="1">
      <c r="A37" s="1566"/>
      <c r="B37" s="159" t="str">
        <f t="shared" si="11"/>
        <v>4G.5</v>
      </c>
      <c r="C37" s="3055" t="s">
        <v>4110</v>
      </c>
      <c r="D37" s="3055"/>
      <c r="E37" s="3055"/>
      <c r="F37" s="3055"/>
      <c r="G37" s="3055"/>
      <c r="H37" s="3055"/>
      <c r="I37" s="3082"/>
      <c r="J37" s="3056"/>
      <c r="K37" s="126"/>
      <c r="L37" s="70"/>
      <c r="P37" s="202">
        <v>1</v>
      </c>
      <c r="Q37" s="203"/>
      <c r="R37" s="203"/>
      <c r="T37" s="286"/>
      <c r="U37" s="124"/>
      <c r="Y37" s="124"/>
      <c r="Z37" s="479"/>
      <c r="AA37" s="479"/>
      <c r="AB37" s="479"/>
    </row>
    <row r="38" spans="1:28" hidden="1">
      <c r="A38" s="1566"/>
      <c r="B38" s="159" t="str">
        <f>B11</f>
        <v>4G.6</v>
      </c>
      <c r="C38" s="3055" t="s">
        <v>4111</v>
      </c>
      <c r="D38" s="3055"/>
      <c r="E38" s="3055"/>
      <c r="F38" s="3055"/>
      <c r="G38" s="3055"/>
      <c r="H38" s="3055"/>
      <c r="I38" s="3082"/>
      <c r="J38" s="3056"/>
      <c r="K38" s="126"/>
      <c r="L38" s="70"/>
      <c r="P38" s="202">
        <v>1</v>
      </c>
      <c r="Q38" s="203"/>
      <c r="R38" s="203"/>
      <c r="U38" s="124"/>
      <c r="Y38" s="124"/>
      <c r="Z38" s="479"/>
      <c r="AA38" s="479"/>
      <c r="AB38" s="479"/>
    </row>
    <row r="39" spans="1:28" hidden="1">
      <c r="A39" s="1566"/>
      <c r="B39" s="159" t="str">
        <f t="shared" ref="B39:B42" si="12">B12</f>
        <v>4G.7</v>
      </c>
      <c r="C39" s="3055" t="s">
        <v>4112</v>
      </c>
      <c r="D39" s="3055"/>
      <c r="E39" s="3055"/>
      <c r="F39" s="3055"/>
      <c r="G39" s="3055"/>
      <c r="H39" s="3055"/>
      <c r="I39" s="3082"/>
      <c r="J39" s="3056"/>
      <c r="K39" s="130"/>
      <c r="L39" s="70"/>
      <c r="P39" s="202">
        <v>1</v>
      </c>
      <c r="Q39" s="203"/>
      <c r="R39" s="203"/>
      <c r="U39" s="124"/>
      <c r="Y39" s="124"/>
      <c r="Z39" s="479"/>
      <c r="AA39" s="479"/>
      <c r="AB39" s="479"/>
    </row>
    <row r="40" spans="1:28" hidden="1">
      <c r="A40" s="1566"/>
      <c r="B40" s="159" t="str">
        <f t="shared" si="12"/>
        <v>4G.8</v>
      </c>
      <c r="C40" s="3055" t="s">
        <v>4113</v>
      </c>
      <c r="D40" s="3055"/>
      <c r="E40" s="3055"/>
      <c r="F40" s="3055"/>
      <c r="G40" s="3055"/>
      <c r="H40" s="3055"/>
      <c r="I40" s="3082"/>
      <c r="J40" s="3056"/>
      <c r="K40" s="130"/>
      <c r="L40" s="70"/>
      <c r="P40" s="202">
        <v>1</v>
      </c>
      <c r="Q40" s="203"/>
      <c r="R40" s="203"/>
      <c r="U40" s="124"/>
      <c r="V40" s="70"/>
      <c r="W40" s="70"/>
      <c r="X40" s="70"/>
      <c r="Y40" s="124"/>
      <c r="Z40" s="479"/>
      <c r="AA40" s="479"/>
      <c r="AB40" s="479"/>
    </row>
    <row r="41" spans="1:28" hidden="1">
      <c r="A41" s="1566"/>
      <c r="B41" s="159" t="str">
        <f t="shared" si="12"/>
        <v>4G.9</v>
      </c>
      <c r="C41" s="3055" t="s">
        <v>4114</v>
      </c>
      <c r="D41" s="3055"/>
      <c r="E41" s="3055"/>
      <c r="F41" s="3055"/>
      <c r="G41" s="3055"/>
      <c r="H41" s="3055"/>
      <c r="I41" s="3082"/>
      <c r="J41" s="3056"/>
      <c r="K41" s="130"/>
      <c r="L41" s="70"/>
      <c r="P41" s="202">
        <v>1</v>
      </c>
      <c r="Q41" s="203"/>
      <c r="R41" s="203"/>
      <c r="U41" s="124"/>
      <c r="V41" s="163"/>
      <c r="W41" s="163"/>
      <c r="X41" s="163"/>
      <c r="Y41" s="124"/>
      <c r="Z41" s="479"/>
      <c r="AA41" s="479"/>
      <c r="AB41" s="479"/>
    </row>
    <row r="42" spans="1:28" hidden="1">
      <c r="A42" s="1566"/>
      <c r="B42" s="159" t="str">
        <f t="shared" si="12"/>
        <v>4G.10</v>
      </c>
      <c r="C42" s="3055" t="s">
        <v>4115</v>
      </c>
      <c r="D42" s="3055"/>
      <c r="E42" s="3055"/>
      <c r="F42" s="3055"/>
      <c r="G42" s="3055"/>
      <c r="H42" s="3055"/>
      <c r="I42" s="3082"/>
      <c r="J42" s="3056"/>
      <c r="K42" s="130"/>
      <c r="L42" s="70"/>
      <c r="N42" s="118"/>
      <c r="O42" s="124"/>
      <c r="P42" s="202">
        <v>1</v>
      </c>
      <c r="Q42" s="203"/>
      <c r="R42" s="203"/>
      <c r="S42" s="124"/>
      <c r="U42" s="124"/>
      <c r="V42" s="163"/>
      <c r="W42" s="163"/>
      <c r="X42" s="163"/>
      <c r="Y42" s="124"/>
      <c r="Z42" s="479"/>
      <c r="AA42" s="479"/>
      <c r="AB42" s="479"/>
    </row>
    <row r="43" spans="1:28" hidden="1">
      <c r="A43" s="1566"/>
      <c r="B43" s="159" t="str">
        <f>B17</f>
        <v>4G.11</v>
      </c>
      <c r="C43" s="3055" t="s">
        <v>4116</v>
      </c>
      <c r="D43" s="3055"/>
      <c r="E43" s="3055"/>
      <c r="F43" s="3055"/>
      <c r="G43" s="3055"/>
      <c r="H43" s="3055"/>
      <c r="I43" s="3082"/>
      <c r="J43" s="3056"/>
      <c r="K43" s="130"/>
      <c r="L43" s="70"/>
      <c r="P43" s="202">
        <v>1</v>
      </c>
      <c r="Q43" s="203"/>
      <c r="R43" s="203"/>
      <c r="V43" s="163"/>
      <c r="W43" s="163"/>
      <c r="X43" s="163"/>
      <c r="Z43" s="479"/>
      <c r="AA43" s="479"/>
      <c r="AB43" s="479"/>
    </row>
    <row r="44" spans="1:28" ht="15" hidden="1" thickBot="1">
      <c r="A44" s="1566"/>
      <c r="B44" s="183" t="str">
        <f>B18</f>
        <v>4G.12</v>
      </c>
      <c r="C44" s="3075" t="s">
        <v>4117</v>
      </c>
      <c r="D44" s="3075"/>
      <c r="E44" s="3075"/>
      <c r="F44" s="3075"/>
      <c r="G44" s="3075"/>
      <c r="H44" s="3075"/>
      <c r="I44" s="3085"/>
      <c r="J44" s="3076"/>
      <c r="K44" s="130"/>
      <c r="L44" s="70"/>
      <c r="P44" s="202">
        <v>1</v>
      </c>
      <c r="Q44" s="203"/>
      <c r="R44" s="203"/>
      <c r="V44" s="163"/>
      <c r="W44" s="163"/>
      <c r="X44" s="163"/>
      <c r="Z44" s="479"/>
      <c r="AA44" s="479"/>
      <c r="AB44" s="479"/>
    </row>
    <row r="45" spans="1:28" hidden="1">
      <c r="A45" s="1566"/>
      <c r="B45" s="204"/>
      <c r="C45" s="205"/>
      <c r="D45" s="205"/>
      <c r="E45" s="205"/>
      <c r="F45" s="205"/>
      <c r="G45" s="205"/>
      <c r="H45" s="205"/>
      <c r="I45" s="205"/>
      <c r="J45" s="205"/>
      <c r="K45" s="130"/>
      <c r="L45" s="70"/>
      <c r="P45" s="206"/>
      <c r="Q45" s="203"/>
      <c r="R45" s="203"/>
      <c r="T45" s="127"/>
      <c r="U45" s="119"/>
      <c r="V45" s="165"/>
      <c r="W45" s="479"/>
      <c r="X45" s="479"/>
      <c r="Y45" s="479"/>
      <c r="Z45" s="479"/>
      <c r="AA45" s="479"/>
      <c r="AB45" s="479"/>
    </row>
    <row r="46" spans="1:28" ht="14.25" hidden="1" customHeight="1">
      <c r="A46" s="1566"/>
      <c r="B46" s="204"/>
      <c r="C46" s="205"/>
      <c r="D46" s="205"/>
      <c r="E46" s="205"/>
      <c r="F46" s="205"/>
      <c r="G46" s="205"/>
      <c r="H46" s="205"/>
      <c r="I46" s="205"/>
      <c r="J46" s="205"/>
      <c r="K46" s="130"/>
      <c r="L46" s="70"/>
      <c r="P46" s="206"/>
      <c r="Q46" s="203"/>
      <c r="R46" s="203"/>
      <c r="T46" s="127"/>
      <c r="U46" s="119"/>
      <c r="V46" s="165"/>
      <c r="W46" s="479"/>
      <c r="X46" s="479"/>
      <c r="Y46" s="479"/>
      <c r="Z46" s="479"/>
      <c r="AA46" s="479"/>
      <c r="AB46" s="479"/>
    </row>
  </sheetData>
  <sheetProtection algorithmName="SHA-512" hashValue="DrxmfIsR3RI8vnElKzjRwrJcwfyKrrsA2yL6lwh9LuGZpoN6YBcZ+1RIHlBll8xOHAkWkdcRzzMbeq49FXe4/A==" saltValue="RN5D1aHj9Ei9iH3pBJ0zuA==" spinCount="100000" sheet="1" objects="1" scenarios="1"/>
  <mergeCells count="17">
    <mergeCell ref="C41:J41"/>
    <mergeCell ref="C42:J42"/>
    <mergeCell ref="C43:J43"/>
    <mergeCell ref="C44:J44"/>
    <mergeCell ref="C35:J35"/>
    <mergeCell ref="C36:J36"/>
    <mergeCell ref="C37:J37"/>
    <mergeCell ref="C38:J38"/>
    <mergeCell ref="C39:J39"/>
    <mergeCell ref="C40:J40"/>
    <mergeCell ref="AC3:AD3"/>
    <mergeCell ref="C34:J34"/>
    <mergeCell ref="B3:C3"/>
    <mergeCell ref="P3:Q3"/>
    <mergeCell ref="B20:C20"/>
    <mergeCell ref="C32:J32"/>
    <mergeCell ref="C33:J33"/>
  </mergeCells>
  <conditionalFormatting sqref="M17 M7 M11:M14">
    <cfRule type="cellIs" dxfId="255" priority="10" operator="equal">
      <formula>0</formula>
    </cfRule>
  </conditionalFormatting>
  <conditionalFormatting sqref="L12:L14 L17">
    <cfRule type="cellIs" dxfId="254" priority="8" operator="equal">
      <formula>0</formula>
    </cfRule>
  </conditionalFormatting>
  <conditionalFormatting sqref="L12:L14">
    <cfRule type="cellIs" dxfId="253" priority="7" operator="equal">
      <formula>0</formula>
    </cfRule>
  </conditionalFormatting>
  <conditionalFormatting sqref="L17">
    <cfRule type="cellIs" dxfId="252" priority="6" operator="equal">
      <formula>0</formula>
    </cfRule>
  </conditionalFormatting>
  <conditionalFormatting sqref="L17">
    <cfRule type="cellIs" dxfId="251" priority="5" operator="equal">
      <formula>0</formula>
    </cfRule>
  </conditionalFormatting>
  <conditionalFormatting sqref="M6">
    <cfRule type="cellIs" dxfId="250" priority="4" operator="equal">
      <formula>0</formula>
    </cfRule>
  </conditionalFormatting>
  <conditionalFormatting sqref="I5:I9 I11:I15 I17:I18">
    <cfRule type="expression" dxfId="249"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E7E6E6"/>
    <pageSetUpPr fitToPage="1"/>
  </sheetPr>
  <dimension ref="A1:AJ98"/>
  <sheetViews>
    <sheetView workbookViewId="0">
      <selection activeCell="C17" sqref="C17"/>
    </sheetView>
  </sheetViews>
  <sheetFormatPr defaultColWidth="0" defaultRowHeight="14.25" zeroHeight="1"/>
  <cols>
    <col min="1" max="1" width="0.5" style="70" customWidth="1"/>
    <col min="2" max="2" width="7.125" style="70" customWidth="1"/>
    <col min="3" max="3" width="60.5" style="70" customWidth="1"/>
    <col min="4" max="4" width="0.125" style="70" customWidth="1"/>
    <col min="5" max="6" width="5.125" style="70" customWidth="1"/>
    <col min="7" max="8" width="12.5" style="70" customWidth="1"/>
    <col min="9" max="9" width="2.5" style="70" customWidth="1"/>
    <col min="10" max="10" width="28.5" style="74" customWidth="1"/>
    <col min="11" max="11" width="26.5" style="70" customWidth="1"/>
    <col min="12" max="12" width="1.5" style="70" customWidth="1"/>
    <col min="13" max="13" width="1.5" style="71" hidden="1" customWidth="1"/>
    <col min="14" max="15" width="10.125" style="70" hidden="1" customWidth="1"/>
    <col min="16" max="16" width="1.5" style="71" hidden="1" customWidth="1"/>
    <col min="17" max="17" width="8.125" style="74" hidden="1" customWidth="1"/>
    <col min="18" max="18" width="1.5" style="71" hidden="1" customWidth="1"/>
    <col min="19" max="20" width="8.125" style="74" hidden="1" customWidth="1"/>
    <col min="21" max="21" width="118.5" style="74" hidden="1" customWidth="1"/>
    <col min="22" max="22" width="1.5" style="71" hidden="1" customWidth="1"/>
    <col min="23" max="23" width="3.5" style="70" hidden="1" customWidth="1"/>
    <col min="24" max="24" width="8.125" style="70" hidden="1" customWidth="1"/>
    <col min="25" max="27" width="8.5" style="70" hidden="1" customWidth="1"/>
    <col min="28" max="28" width="8.5" style="70" customWidth="1"/>
    <col min="29" max="29" width="7.125" style="70" customWidth="1"/>
    <col min="30" max="30" width="60.5" style="70" customWidth="1"/>
    <col min="31" max="31" width="1.125" style="70" hidden="1" customWidth="1"/>
    <col min="32" max="33" width="5.125" style="70" customWidth="1"/>
    <col min="34" max="34" width="12.5" style="70" customWidth="1"/>
    <col min="35" max="35" width="10.5" style="70" customWidth="1"/>
    <col min="36" max="36" width="2.125" style="70" customWidth="1"/>
    <col min="37" max="16384" width="8.125" style="70" hidden="1"/>
  </cols>
  <sheetData>
    <row r="1" spans="2:35" ht="20.25">
      <c r="B1" s="66" t="s">
        <v>4118</v>
      </c>
      <c r="C1" s="66"/>
      <c r="D1" s="66"/>
      <c r="E1" s="66"/>
      <c r="F1" s="66"/>
      <c r="G1" s="68" t="str">
        <f>Validation!B3</f>
        <v>Yorkshire Water</v>
      </c>
      <c r="H1" s="68"/>
      <c r="I1" s="66"/>
      <c r="J1" s="69"/>
      <c r="K1" s="69" t="s">
        <v>34</v>
      </c>
      <c r="Q1" s="70"/>
      <c r="S1" s="479"/>
      <c r="T1" s="479"/>
      <c r="U1" s="479"/>
      <c r="AC1" s="66" t="s">
        <v>35</v>
      </c>
      <c r="AD1" s="66"/>
      <c r="AE1" s="66"/>
      <c r="AF1" s="66"/>
      <c r="AG1" s="66"/>
      <c r="AH1" s="68"/>
      <c r="AI1" s="68"/>
    </row>
    <row r="2" spans="2:35" ht="15" thickBot="1">
      <c r="B2" s="73" t="str">
        <f>'4G'!B2</f>
        <v>For the 12 months ended 31 March 2020</v>
      </c>
      <c r="J2" s="70"/>
      <c r="Q2" s="70"/>
      <c r="AC2" s="73" t="str">
        <f>+B2</f>
        <v>For the 12 months ended 31 March 2020</v>
      </c>
    </row>
    <row r="3" spans="2:35" ht="15" customHeight="1">
      <c r="B3" s="3144" t="s">
        <v>36</v>
      </c>
      <c r="C3" s="3145"/>
      <c r="D3" s="3010" t="s">
        <v>3098</v>
      </c>
      <c r="E3" s="3148" t="s">
        <v>38</v>
      </c>
      <c r="F3" s="3150" t="s">
        <v>39</v>
      </c>
      <c r="G3" s="3065" t="s">
        <v>158</v>
      </c>
      <c r="H3" s="3065" t="s">
        <v>4119</v>
      </c>
      <c r="I3" s="163"/>
      <c r="J3" s="3070" t="s">
        <v>705</v>
      </c>
      <c r="K3" s="3070" t="s">
        <v>43</v>
      </c>
      <c r="L3" s="163"/>
      <c r="AC3" s="3144" t="s">
        <v>36</v>
      </c>
      <c r="AD3" s="3145"/>
      <c r="AE3" s="3010" t="s">
        <v>3098</v>
      </c>
      <c r="AF3" s="3148" t="s">
        <v>38</v>
      </c>
      <c r="AG3" s="3150" t="s">
        <v>39</v>
      </c>
      <c r="AH3" s="3065" t="s">
        <v>158</v>
      </c>
      <c r="AI3" s="3065" t="s">
        <v>4119</v>
      </c>
    </row>
    <row r="4" spans="2:35" ht="36.75" thickBot="1">
      <c r="B4" s="3146"/>
      <c r="C4" s="3147"/>
      <c r="D4" s="3011"/>
      <c r="E4" s="3149"/>
      <c r="F4" s="3151"/>
      <c r="G4" s="3066"/>
      <c r="H4" s="3066"/>
      <c r="I4" s="163"/>
      <c r="J4" s="3284"/>
      <c r="K4" s="3071"/>
      <c r="N4" s="93" t="s">
        <v>47</v>
      </c>
      <c r="O4" s="93"/>
      <c r="Q4" s="2987" t="s">
        <v>26</v>
      </c>
      <c r="S4" s="76" t="s">
        <v>904</v>
      </c>
      <c r="T4" s="2987"/>
      <c r="U4" s="2987"/>
      <c r="Z4" s="79"/>
      <c r="AC4" s="3146"/>
      <c r="AD4" s="3147"/>
      <c r="AE4" s="3011"/>
      <c r="AF4" s="3149"/>
      <c r="AG4" s="3151"/>
      <c r="AH4" s="3066"/>
      <c r="AI4" s="3066"/>
    </row>
    <row r="5" spans="2:35" ht="15" thickBot="1">
      <c r="I5" s="163"/>
      <c r="N5" s="164" t="s">
        <v>48</v>
      </c>
      <c r="O5" s="164"/>
      <c r="Q5" s="479"/>
    </row>
    <row r="6" spans="2:35" ht="15" thickBot="1">
      <c r="B6" s="113" t="s">
        <v>155</v>
      </c>
      <c r="C6" s="114" t="s">
        <v>4120</v>
      </c>
      <c r="D6" s="1505"/>
      <c r="I6" s="163"/>
      <c r="N6" s="164"/>
      <c r="O6" s="164"/>
      <c r="Q6" s="479"/>
      <c r="AC6" s="113" t="s">
        <v>155</v>
      </c>
      <c r="AD6" s="114" t="s">
        <v>4120</v>
      </c>
      <c r="AE6" s="1505"/>
    </row>
    <row r="7" spans="2:35">
      <c r="B7" s="86" t="s">
        <v>4121</v>
      </c>
      <c r="C7" s="117" t="s">
        <v>4122</v>
      </c>
      <c r="D7" s="117"/>
      <c r="E7" s="88" t="s">
        <v>51</v>
      </c>
      <c r="F7" s="89">
        <v>3</v>
      </c>
      <c r="G7" s="864">
        <f>'1E'!J11</f>
        <v>5343.7959999999994</v>
      </c>
      <c r="I7" s="163"/>
      <c r="N7" s="127"/>
      <c r="O7" s="127"/>
      <c r="Q7" s="127"/>
      <c r="S7" s="165"/>
      <c r="T7" s="165"/>
      <c r="AC7" s="86" t="str">
        <f>+B7</f>
        <v>4H.1</v>
      </c>
      <c r="AD7" s="117" t="s">
        <v>4122</v>
      </c>
      <c r="AE7" s="117"/>
      <c r="AF7" s="88" t="s">
        <v>51</v>
      </c>
      <c r="AG7" s="89">
        <v>3</v>
      </c>
      <c r="AH7" s="2168" t="str">
        <f>'1E'!AI11</f>
        <v>BO4075</v>
      </c>
    </row>
    <row r="8" spans="2:35">
      <c r="B8" s="94" t="s">
        <v>4123</v>
      </c>
      <c r="C8" s="87" t="s">
        <v>4124</v>
      </c>
      <c r="D8" s="87"/>
      <c r="E8" s="95" t="s">
        <v>51</v>
      </c>
      <c r="F8" s="96">
        <v>3</v>
      </c>
      <c r="G8" s="380">
        <f>IF(Validation!$H$3=1, '4C'!G10 - '1E'!J11, '4C'!G10 +'4C'!H10 + '4C'!I10 - '1E'!J11)</f>
        <v>1606.7080000000005</v>
      </c>
      <c r="I8" s="163"/>
      <c r="N8" s="127"/>
      <c r="O8" s="127"/>
      <c r="Q8" s="127"/>
      <c r="S8" s="165"/>
      <c r="T8" s="165"/>
      <c r="AC8" s="94" t="str">
        <f t="shared" ref="AC8:AC24" si="0">+B8</f>
        <v>4H.2</v>
      </c>
      <c r="AD8" s="87" t="s">
        <v>4124</v>
      </c>
      <c r="AE8" s="87"/>
      <c r="AF8" s="95" t="s">
        <v>51</v>
      </c>
      <c r="AG8" s="96">
        <v>3</v>
      </c>
      <c r="AH8" s="380" t="s">
        <v>4125</v>
      </c>
    </row>
    <row r="9" spans="2:35">
      <c r="B9" s="94" t="s">
        <v>4126</v>
      </c>
      <c r="C9" s="87" t="s">
        <v>4127</v>
      </c>
      <c r="D9" s="87"/>
      <c r="E9" s="95" t="s">
        <v>734</v>
      </c>
      <c r="F9" s="96">
        <v>2</v>
      </c>
      <c r="G9" s="865">
        <f>'1E'!J13</f>
        <v>0.76883575637104873</v>
      </c>
      <c r="I9" s="163"/>
      <c r="N9" s="127"/>
      <c r="O9" s="127"/>
      <c r="Q9" s="127"/>
      <c r="S9" s="165"/>
      <c r="T9" s="165"/>
      <c r="AC9" s="94" t="str">
        <f t="shared" si="0"/>
        <v>4H.3</v>
      </c>
      <c r="AD9" s="87" t="s">
        <v>4127</v>
      </c>
      <c r="AE9" s="87"/>
      <c r="AF9" s="95" t="s">
        <v>734</v>
      </c>
      <c r="AG9" s="96">
        <v>2</v>
      </c>
      <c r="AH9" s="2169" t="str">
        <f>'1E'!AI13</f>
        <v>FI00300</v>
      </c>
    </row>
    <row r="10" spans="2:35">
      <c r="B10" s="94" t="s">
        <v>4128</v>
      </c>
      <c r="C10" s="87" t="s">
        <v>4129</v>
      </c>
      <c r="D10" s="87"/>
      <c r="E10" s="95" t="s">
        <v>734</v>
      </c>
      <c r="F10" s="96">
        <v>2</v>
      </c>
      <c r="G10" s="658">
        <v>2.5399999999999999E-2</v>
      </c>
      <c r="I10" s="163"/>
      <c r="K10" s="24">
        <f xml:space="preserve"> IF( SUM( M10:P10 ) = 0, 0, $N$5 )</f>
        <v>0</v>
      </c>
      <c r="N10" s="93">
        <f t="shared" ref="N10:O16" si="1" xml:space="preserve"> IF( ISNUMBER( G10 ), 0, 1 )</f>
        <v>0</v>
      </c>
      <c r="O10" s="93"/>
      <c r="Q10" s="127"/>
      <c r="S10" s="165"/>
      <c r="T10" s="165"/>
      <c r="AC10" s="94" t="str">
        <f t="shared" si="0"/>
        <v>4H.4</v>
      </c>
      <c r="AD10" s="87" t="s">
        <v>4129</v>
      </c>
      <c r="AE10" s="87"/>
      <c r="AF10" s="95" t="s">
        <v>734</v>
      </c>
      <c r="AG10" s="96">
        <v>2</v>
      </c>
      <c r="AH10" s="2703" t="s">
        <v>4130</v>
      </c>
    </row>
    <row r="11" spans="2:35">
      <c r="B11" s="94" t="s">
        <v>4131</v>
      </c>
      <c r="C11" s="87" t="s">
        <v>4132</v>
      </c>
      <c r="D11" s="87"/>
      <c r="E11" s="95" t="s">
        <v>734</v>
      </c>
      <c r="F11" s="96">
        <v>2</v>
      </c>
      <c r="G11" s="2513">
        <v>6.0100000000000001E-2</v>
      </c>
      <c r="H11" s="2511">
        <v>5.16E-2</v>
      </c>
      <c r="I11" s="163"/>
      <c r="K11" s="24">
        <f xml:space="preserve"> IF( SUM( M11:P11 ) = 0, 0, $N$5 )</f>
        <v>0</v>
      </c>
      <c r="N11" s="93">
        <f t="shared" si="1"/>
        <v>0</v>
      </c>
      <c r="O11" s="93">
        <f t="shared" si="1"/>
        <v>0</v>
      </c>
      <c r="Q11" s="127"/>
      <c r="S11" s="165"/>
      <c r="T11" s="165"/>
      <c r="AC11" s="94" t="str">
        <f t="shared" si="0"/>
        <v>4H.5</v>
      </c>
      <c r="AD11" s="87" t="s">
        <v>4132</v>
      </c>
      <c r="AE11" s="87"/>
      <c r="AF11" s="95" t="s">
        <v>734</v>
      </c>
      <c r="AG11" s="96">
        <v>2</v>
      </c>
      <c r="AH11" s="2703" t="s">
        <v>4133</v>
      </c>
      <c r="AI11" s="2704" t="s">
        <v>4134</v>
      </c>
    </row>
    <row r="12" spans="2:35">
      <c r="B12" s="94" t="s">
        <v>4135</v>
      </c>
      <c r="C12" s="87" t="s">
        <v>4136</v>
      </c>
      <c r="D12" s="87"/>
      <c r="E12" s="95" t="s">
        <v>734</v>
      </c>
      <c r="F12" s="96">
        <v>2</v>
      </c>
      <c r="G12" s="658">
        <v>3.8699999999999998E-2</v>
      </c>
      <c r="I12" s="163"/>
      <c r="K12" s="24">
        <f xml:space="preserve"> IF( SUM( M12:P12 ) = 0, 0, $N$5 )</f>
        <v>0</v>
      </c>
      <c r="N12" s="93">
        <f t="shared" si="1"/>
        <v>0</v>
      </c>
      <c r="O12" s="93"/>
      <c r="Q12" s="127"/>
      <c r="S12" s="165"/>
      <c r="T12" s="165"/>
      <c r="AC12" s="94" t="str">
        <f t="shared" si="0"/>
        <v>4H.6</v>
      </c>
      <c r="AD12" s="87" t="s">
        <v>4136</v>
      </c>
      <c r="AE12" s="87"/>
      <c r="AF12" s="95" t="s">
        <v>734</v>
      </c>
      <c r="AG12" s="96">
        <v>2</v>
      </c>
      <c r="AH12" s="2703" t="s">
        <v>4137</v>
      </c>
    </row>
    <row r="13" spans="2:35" ht="14.25" customHeight="1">
      <c r="B13" s="94" t="s">
        <v>4138</v>
      </c>
      <c r="C13" s="87" t="s">
        <v>4139</v>
      </c>
      <c r="D13" s="87"/>
      <c r="E13" s="95" t="s">
        <v>734</v>
      </c>
      <c r="F13" s="96">
        <v>2</v>
      </c>
      <c r="G13" s="865">
        <f xml:space="preserve"> IF( ( '2I'!G23 + '2I'!G29 = 0 ), 0, ( '2I'!G23 + '2I'!G29 - '2C'!G19 - '2I'!G9 - '2I'!G15 - '2I'!G21 ) / ( '2I'!G23 + '2I'!G29 ) )</f>
        <v>-2.189217612403148E-3</v>
      </c>
      <c r="I13" s="163"/>
      <c r="N13" s="127"/>
      <c r="O13" s="127"/>
      <c r="Q13" s="127"/>
      <c r="S13" s="165" t="s">
        <v>4140</v>
      </c>
      <c r="T13" s="165" t="s">
        <v>4140</v>
      </c>
      <c r="U13" s="166" t="s">
        <v>4141</v>
      </c>
      <c r="AC13" s="94" t="str">
        <f t="shared" si="0"/>
        <v>4H.7</v>
      </c>
      <c r="AD13" s="87" t="s">
        <v>4139</v>
      </c>
      <c r="AE13" s="87"/>
      <c r="AF13" s="95" t="s">
        <v>734</v>
      </c>
      <c r="AG13" s="96">
        <v>2</v>
      </c>
      <c r="AH13" s="865" t="s">
        <v>4142</v>
      </c>
    </row>
    <row r="14" spans="2:35" ht="14.25" customHeight="1">
      <c r="B14" s="94" t="s">
        <v>4143</v>
      </c>
      <c r="C14" s="87" t="s">
        <v>4144</v>
      </c>
      <c r="D14" s="87"/>
      <c r="E14" s="95" t="s">
        <v>734</v>
      </c>
      <c r="F14" s="96">
        <v>2</v>
      </c>
      <c r="G14" s="865">
        <f xml:space="preserve"> IF( ( '2I'!H23 + '2I'!H29 = 0 ), 0, ( '2I'!H23 + '2I'!H29 - '2C'!H19 - '2I'!H9 - '2I'!H15  - '2I'!H21) / ( '2I'!H23 + '2I'!H29 ) )</f>
        <v>-4.3378862330307272E-2</v>
      </c>
      <c r="I14" s="163"/>
      <c r="N14" s="127"/>
      <c r="O14" s="127"/>
      <c r="S14" s="165" t="s">
        <v>4140</v>
      </c>
      <c r="T14" s="2074" t="s">
        <v>4140</v>
      </c>
      <c r="U14" s="166" t="s">
        <v>4145</v>
      </c>
      <c r="AC14" s="94" t="str">
        <f t="shared" si="0"/>
        <v>4H.8</v>
      </c>
      <c r="AD14" s="87" t="s">
        <v>4144</v>
      </c>
      <c r="AE14" s="87"/>
      <c r="AF14" s="95" t="s">
        <v>734</v>
      </c>
      <c r="AG14" s="96">
        <v>2</v>
      </c>
      <c r="AH14" s="865" t="s">
        <v>4146</v>
      </c>
    </row>
    <row r="15" spans="2:35">
      <c r="B15" s="94" t="s">
        <v>4147</v>
      </c>
      <c r="C15" s="87" t="s">
        <v>4148</v>
      </c>
      <c r="D15" s="87"/>
      <c r="E15" s="95" t="s">
        <v>4149</v>
      </c>
      <c r="F15" s="96" t="s">
        <v>4150</v>
      </c>
      <c r="G15" s="2981" t="s">
        <v>4151</v>
      </c>
      <c r="I15" s="163"/>
      <c r="K15" s="24">
        <f xml:space="preserve"> IF( SUM( M15:P15 ) = 0, 0, $N$5 )</f>
        <v>0</v>
      </c>
      <c r="N15" s="93">
        <f xml:space="preserve"> IF( ISTEXT( G15 ), 0, 1 )</f>
        <v>0</v>
      </c>
      <c r="O15" s="93"/>
      <c r="Q15" s="127"/>
      <c r="S15" s="165"/>
      <c r="T15" s="165"/>
      <c r="AC15" s="94" t="str">
        <f t="shared" si="0"/>
        <v>4H.9</v>
      </c>
      <c r="AD15" s="87" t="s">
        <v>4148</v>
      </c>
      <c r="AE15" s="87"/>
      <c r="AF15" s="95" t="s">
        <v>4149</v>
      </c>
      <c r="AG15" s="96" t="s">
        <v>4150</v>
      </c>
      <c r="AH15" s="2531" t="s">
        <v>4152</v>
      </c>
    </row>
    <row r="16" spans="2:35">
      <c r="B16" s="94" t="s">
        <v>4153</v>
      </c>
      <c r="C16" s="87" t="s">
        <v>4154</v>
      </c>
      <c r="D16" s="87"/>
      <c r="E16" s="95" t="s">
        <v>734</v>
      </c>
      <c r="F16" s="96">
        <v>2</v>
      </c>
      <c r="G16" s="658">
        <v>2.92E-2</v>
      </c>
      <c r="I16" s="163"/>
      <c r="K16" s="24">
        <f xml:space="preserve"> IF( SUM( M16:P16 ) = 0, 0, $N$5 )</f>
        <v>0</v>
      </c>
      <c r="N16" s="93">
        <f t="shared" si="1"/>
        <v>0</v>
      </c>
      <c r="O16" s="93"/>
      <c r="Q16" s="127"/>
      <c r="S16" s="165"/>
      <c r="T16" s="165"/>
      <c r="AC16" s="94" t="str">
        <f t="shared" si="0"/>
        <v>4H.10</v>
      </c>
      <c r="AD16" s="87" t="s">
        <v>4154</v>
      </c>
      <c r="AE16" s="87"/>
      <c r="AF16" s="95" t="s">
        <v>734</v>
      </c>
      <c r="AG16" s="96">
        <v>2</v>
      </c>
      <c r="AH16" s="2703" t="s">
        <v>4155</v>
      </c>
    </row>
    <row r="17" spans="2:35">
      <c r="B17" s="94" t="s">
        <v>4156</v>
      </c>
      <c r="C17" s="87" t="s">
        <v>4157</v>
      </c>
      <c r="D17" s="87"/>
      <c r="E17" s="95" t="s">
        <v>4158</v>
      </c>
      <c r="F17" s="96">
        <v>2</v>
      </c>
      <c r="G17" s="410">
        <v>-0.19</v>
      </c>
      <c r="I17" s="163"/>
      <c r="K17" s="24">
        <f xml:space="preserve"> IF( SUM( M17:P17 ) = 0, 0, $N$5 )</f>
        <v>0</v>
      </c>
      <c r="N17" s="93">
        <f xml:space="preserve"> IF( ISNUMBER( G17 ), 0, 1 )</f>
        <v>0</v>
      </c>
      <c r="O17" s="93"/>
      <c r="Q17" s="127"/>
      <c r="S17" s="165"/>
      <c r="T17" s="165"/>
      <c r="AC17" s="94" t="str">
        <f t="shared" si="0"/>
        <v>4H.11</v>
      </c>
      <c r="AD17" s="87" t="s">
        <v>4157</v>
      </c>
      <c r="AE17" s="87"/>
      <c r="AF17" s="95" t="s">
        <v>4158</v>
      </c>
      <c r="AG17" s="96">
        <v>2</v>
      </c>
      <c r="AH17" s="2705" t="s">
        <v>4159</v>
      </c>
    </row>
    <row r="18" spans="2:35">
      <c r="B18" s="94" t="s">
        <v>4160</v>
      </c>
      <c r="C18" s="87" t="s">
        <v>4161</v>
      </c>
      <c r="D18" s="171"/>
      <c r="E18" s="167" t="s">
        <v>51</v>
      </c>
      <c r="F18" s="168">
        <v>3</v>
      </c>
      <c r="G18" s="380">
        <f>'1D'!K19 - '1D'!K11</f>
        <v>387.70212347999967</v>
      </c>
      <c r="I18" s="163"/>
      <c r="N18" s="127"/>
      <c r="O18" s="127"/>
      <c r="Q18" s="127"/>
      <c r="S18" s="165"/>
      <c r="T18" s="165"/>
      <c r="AC18" s="94" t="str">
        <f t="shared" si="0"/>
        <v>4H.12</v>
      </c>
      <c r="AD18" s="87" t="s">
        <v>4161</v>
      </c>
      <c r="AE18" s="171"/>
      <c r="AF18" s="167" t="s">
        <v>51</v>
      </c>
      <c r="AG18" s="168">
        <v>3</v>
      </c>
      <c r="AH18" s="380" t="s">
        <v>4162</v>
      </c>
    </row>
    <row r="19" spans="2:35">
      <c r="B19" s="94" t="s">
        <v>4163</v>
      </c>
      <c r="C19" s="87" t="s">
        <v>4164</v>
      </c>
      <c r="D19" s="87"/>
      <c r="E19" s="95" t="s">
        <v>4158</v>
      </c>
      <c r="F19" s="96">
        <v>2</v>
      </c>
      <c r="G19" s="410">
        <v>3.24</v>
      </c>
      <c r="I19" s="163"/>
      <c r="K19" s="24">
        <f xml:space="preserve"> IF( SUM( M19:P19 ) = 0, 0, $N$5 )</f>
        <v>0</v>
      </c>
      <c r="N19" s="93">
        <f xml:space="preserve"> IF( ISNUMBER( G19 ), 0, 1 )</f>
        <v>0</v>
      </c>
      <c r="O19" s="93"/>
      <c r="Q19" s="127"/>
      <c r="S19" s="165"/>
      <c r="T19" s="165"/>
      <c r="AC19" s="94" t="str">
        <f t="shared" si="0"/>
        <v>4H.13</v>
      </c>
      <c r="AD19" s="87" t="s">
        <v>4164</v>
      </c>
      <c r="AE19" s="87"/>
      <c r="AF19" s="95" t="s">
        <v>4158</v>
      </c>
      <c r="AG19" s="96">
        <v>2</v>
      </c>
      <c r="AH19" s="2705" t="s">
        <v>4165</v>
      </c>
    </row>
    <row r="20" spans="2:35">
      <c r="B20" s="94" t="s">
        <v>4166</v>
      </c>
      <c r="C20" s="87" t="s">
        <v>4167</v>
      </c>
      <c r="D20" s="87"/>
      <c r="E20" s="95" t="s">
        <v>4158</v>
      </c>
      <c r="F20" s="96">
        <v>2</v>
      </c>
      <c r="G20" s="410">
        <v>2.0099999999999998</v>
      </c>
      <c r="I20" s="163"/>
      <c r="K20" s="24">
        <f xml:space="preserve"> IF( SUM( M20:P20 ) = 0, 0, $N$5 )</f>
        <v>0</v>
      </c>
      <c r="L20" s="163"/>
      <c r="M20" s="124"/>
      <c r="N20" s="93">
        <f xml:space="preserve"> IF( ISNUMBER( G20 ), 0, 1 )</f>
        <v>0</v>
      </c>
      <c r="O20" s="93"/>
      <c r="P20" s="124"/>
      <c r="Q20" s="127"/>
      <c r="S20" s="165"/>
      <c r="T20" s="165"/>
      <c r="V20" s="124"/>
      <c r="AC20" s="94" t="str">
        <f t="shared" si="0"/>
        <v>4H.14</v>
      </c>
      <c r="AD20" s="87" t="s">
        <v>4167</v>
      </c>
      <c r="AE20" s="87"/>
      <c r="AF20" s="95" t="s">
        <v>4158</v>
      </c>
      <c r="AG20" s="96">
        <v>2</v>
      </c>
      <c r="AH20" s="2705" t="s">
        <v>4168</v>
      </c>
    </row>
    <row r="21" spans="2:35">
      <c r="B21" s="94" t="s">
        <v>4169</v>
      </c>
      <c r="C21" s="87" t="s">
        <v>4170</v>
      </c>
      <c r="D21" s="87"/>
      <c r="E21" s="95" t="s">
        <v>4158</v>
      </c>
      <c r="F21" s="96">
        <v>2</v>
      </c>
      <c r="G21" s="866">
        <f>IF(G7 = 0, 0, +G18 / G7)</f>
        <v>7.2551819620359712E-2</v>
      </c>
      <c r="I21" s="163"/>
      <c r="L21" s="163"/>
      <c r="N21" s="127"/>
      <c r="O21" s="127"/>
      <c r="Q21" s="127"/>
      <c r="S21" s="165"/>
      <c r="T21" s="165"/>
      <c r="AC21" s="94" t="str">
        <f t="shared" si="0"/>
        <v>4H.15</v>
      </c>
      <c r="AD21" s="87" t="s">
        <v>4170</v>
      </c>
      <c r="AE21" s="87"/>
      <c r="AF21" s="95" t="s">
        <v>4158</v>
      </c>
      <c r="AG21" s="96">
        <v>2</v>
      </c>
      <c r="AH21" s="866" t="s">
        <v>4171</v>
      </c>
    </row>
    <row r="22" spans="2:35">
      <c r="B22" s="94" t="s">
        <v>4172</v>
      </c>
      <c r="C22" s="87" t="s">
        <v>4173</v>
      </c>
      <c r="D22" s="87"/>
      <c r="E22" s="95" t="s">
        <v>734</v>
      </c>
      <c r="F22" s="96">
        <v>2</v>
      </c>
      <c r="G22" s="658">
        <v>0.27200000000000002</v>
      </c>
      <c r="I22" s="163"/>
      <c r="K22" s="24">
        <f xml:space="preserve"> IF( SUM( M22:P22 ) = 0, 0, $N$5 )</f>
        <v>0</v>
      </c>
      <c r="L22" s="163"/>
      <c r="M22" s="124"/>
      <c r="N22" s="93">
        <f xml:space="preserve"> IF( ISNUMBER( G22 ), 0, 1 )</f>
        <v>0</v>
      </c>
      <c r="O22" s="93"/>
      <c r="P22" s="124"/>
      <c r="Q22" s="127"/>
      <c r="S22" s="165"/>
      <c r="T22" s="165"/>
      <c r="AC22" s="94" t="str">
        <f t="shared" si="0"/>
        <v>4H.16</v>
      </c>
      <c r="AD22" s="87" t="s">
        <v>4173</v>
      </c>
      <c r="AE22" s="87"/>
      <c r="AF22" s="95" t="s">
        <v>734</v>
      </c>
      <c r="AG22" s="96">
        <v>2</v>
      </c>
      <c r="AH22" s="2703" t="s">
        <v>4174</v>
      </c>
    </row>
    <row r="23" spans="2:35">
      <c r="B23" s="94" t="s">
        <v>4175</v>
      </c>
      <c r="C23" s="87" t="s">
        <v>4176</v>
      </c>
      <c r="D23" s="87"/>
      <c r="E23" s="95" t="s">
        <v>51</v>
      </c>
      <c r="F23" s="96">
        <v>3</v>
      </c>
      <c r="G23" s="380">
        <f xml:space="preserve"> +G18 - ( -1 * '1D'!K31 )</f>
        <v>277.67312347999967</v>
      </c>
      <c r="I23" s="163"/>
      <c r="K23" s="35"/>
      <c r="L23" s="163"/>
      <c r="M23" s="124"/>
      <c r="N23" s="127"/>
      <c r="O23" s="127"/>
      <c r="P23" s="124"/>
      <c r="Q23" s="127"/>
      <c r="S23" s="165"/>
      <c r="T23" s="165"/>
      <c r="V23" s="124"/>
      <c r="AC23" s="94" t="str">
        <f t="shared" si="0"/>
        <v>4H.17</v>
      </c>
      <c r="AD23" s="87" t="s">
        <v>4176</v>
      </c>
      <c r="AE23" s="87"/>
      <c r="AF23" s="95" t="s">
        <v>51</v>
      </c>
      <c r="AG23" s="96">
        <v>3</v>
      </c>
      <c r="AH23" s="380" t="s">
        <v>4177</v>
      </c>
    </row>
    <row r="24" spans="2:35" ht="15" thickBot="1">
      <c r="B24" s="101" t="s">
        <v>4178</v>
      </c>
      <c r="C24" s="102" t="s">
        <v>4179</v>
      </c>
      <c r="D24" s="102"/>
      <c r="E24" s="103" t="s">
        <v>4158</v>
      </c>
      <c r="F24" s="100">
        <v>2</v>
      </c>
      <c r="G24" s="867">
        <f>IF( '1D'!K22 = 0, 0, G23 / ( -1 * '1D'!K22 ) )</f>
        <v>0.54188263110750234</v>
      </c>
      <c r="I24" s="163"/>
      <c r="L24" s="163"/>
      <c r="M24" s="124"/>
      <c r="N24" s="127"/>
      <c r="O24" s="127"/>
      <c r="P24" s="124"/>
      <c r="Q24" s="127"/>
      <c r="R24" s="124"/>
      <c r="S24" s="165"/>
      <c r="T24" s="165"/>
      <c r="V24" s="124"/>
      <c r="AC24" s="101" t="str">
        <f t="shared" si="0"/>
        <v>4H.18</v>
      </c>
      <c r="AD24" s="102" t="s">
        <v>4179</v>
      </c>
      <c r="AE24" s="102"/>
      <c r="AF24" s="103" t="s">
        <v>4158</v>
      </c>
      <c r="AG24" s="100">
        <v>2</v>
      </c>
      <c r="AH24" s="867" t="s">
        <v>4180</v>
      </c>
    </row>
    <row r="25" spans="2:35" ht="15" thickBot="1">
      <c r="L25" s="163"/>
      <c r="N25" s="127"/>
      <c r="O25" s="127"/>
      <c r="Q25" s="127"/>
      <c r="R25" s="119"/>
      <c r="S25" s="165"/>
      <c r="T25" s="165"/>
    </row>
    <row r="26" spans="2:35" ht="15" thickBot="1">
      <c r="B26" s="113" t="s">
        <v>177</v>
      </c>
      <c r="C26" s="114" t="s">
        <v>4181</v>
      </c>
      <c r="D26" s="1505"/>
      <c r="L26" s="163"/>
      <c r="N26" s="127"/>
      <c r="O26" s="127"/>
      <c r="Q26" s="127"/>
      <c r="R26" s="119"/>
      <c r="S26" s="165"/>
      <c r="T26" s="165"/>
      <c r="AC26" s="113" t="s">
        <v>177</v>
      </c>
      <c r="AD26" s="114" t="s">
        <v>4181</v>
      </c>
      <c r="AE26" s="1505"/>
    </row>
    <row r="27" spans="2:35">
      <c r="B27" s="86" t="s">
        <v>4182</v>
      </c>
      <c r="C27" s="117" t="s">
        <v>4183</v>
      </c>
      <c r="D27" s="117"/>
      <c r="E27" s="88" t="s">
        <v>51</v>
      </c>
      <c r="F27" s="89">
        <v>3</v>
      </c>
      <c r="G27" s="864">
        <f>'2A'!P6</f>
        <v>1055.0430000000001</v>
      </c>
      <c r="I27" s="163"/>
      <c r="L27" s="163"/>
      <c r="M27" s="119"/>
      <c r="N27" s="127"/>
      <c r="O27" s="127"/>
      <c r="P27" s="119"/>
      <c r="Q27" s="127"/>
      <c r="R27" s="119"/>
      <c r="S27" s="165"/>
      <c r="T27" s="165"/>
      <c r="V27" s="119"/>
      <c r="Y27" s="126"/>
      <c r="AC27" s="86" t="str">
        <f t="shared" ref="AC27:AC28" si="2">+B27</f>
        <v>4H.19</v>
      </c>
      <c r="AD27" s="117" t="s">
        <v>4183</v>
      </c>
      <c r="AE27" s="117"/>
      <c r="AF27" s="88" t="s">
        <v>51</v>
      </c>
      <c r="AG27" s="89">
        <v>3</v>
      </c>
      <c r="AH27" s="2168" t="str">
        <f>'2A'!BU6</f>
        <v>A1931PC</v>
      </c>
    </row>
    <row r="28" spans="2:35" ht="15" thickBot="1">
      <c r="B28" s="101" t="s">
        <v>4184</v>
      </c>
      <c r="C28" s="102" t="s">
        <v>4185</v>
      </c>
      <c r="D28" s="102"/>
      <c r="E28" s="103" t="s">
        <v>51</v>
      </c>
      <c r="F28" s="100">
        <v>3</v>
      </c>
      <c r="G28" s="344">
        <f>'2A'!P6 - ( -1 * '2A'!P8 )</f>
        <v>513.70600000000013</v>
      </c>
      <c r="I28" s="163"/>
      <c r="L28" s="163"/>
      <c r="N28" s="127"/>
      <c r="O28" s="127"/>
      <c r="Q28" s="127"/>
      <c r="R28" s="119"/>
      <c r="S28" s="165"/>
      <c r="T28" s="165"/>
      <c r="Y28" s="126"/>
      <c r="AC28" s="101" t="str">
        <f t="shared" si="2"/>
        <v>4H.20</v>
      </c>
      <c r="AD28" s="102" t="s">
        <v>4185</v>
      </c>
      <c r="AE28" s="102"/>
      <c r="AF28" s="103" t="s">
        <v>51</v>
      </c>
      <c r="AG28" s="100">
        <v>3</v>
      </c>
      <c r="AH28" s="344" t="s">
        <v>4186</v>
      </c>
    </row>
    <row r="29" spans="2:35" ht="15" thickBot="1">
      <c r="I29" s="163"/>
      <c r="L29" s="163"/>
      <c r="M29" s="119"/>
      <c r="N29" s="127"/>
      <c r="O29" s="127"/>
      <c r="P29" s="119"/>
      <c r="Q29" s="127"/>
      <c r="R29" s="119"/>
      <c r="S29" s="165"/>
      <c r="T29" s="165"/>
      <c r="V29" s="119"/>
      <c r="Y29" s="120"/>
    </row>
    <row r="30" spans="2:35" ht="15" thickBot="1">
      <c r="B30" s="113" t="s">
        <v>335</v>
      </c>
      <c r="C30" s="114" t="s">
        <v>4187</v>
      </c>
      <c r="D30" s="1505"/>
      <c r="I30" s="163"/>
      <c r="L30" s="163"/>
      <c r="M30" s="119"/>
      <c r="N30" s="127"/>
      <c r="O30" s="127"/>
      <c r="P30" s="119"/>
      <c r="Q30" s="127"/>
      <c r="R30" s="119"/>
      <c r="S30" s="165"/>
      <c r="T30" s="165"/>
      <c r="V30" s="119"/>
      <c r="Y30" s="120"/>
      <c r="AC30" s="113" t="s">
        <v>335</v>
      </c>
      <c r="AD30" s="114" t="s">
        <v>4187</v>
      </c>
    </row>
    <row r="31" spans="2:35">
      <c r="B31" s="2089" t="s">
        <v>4188</v>
      </c>
      <c r="C31" s="2391" t="s">
        <v>4189</v>
      </c>
      <c r="D31" s="2086"/>
      <c r="E31" s="2395" t="s">
        <v>734</v>
      </c>
      <c r="F31" s="2396">
        <v>2</v>
      </c>
      <c r="G31" s="2091">
        <v>5.5899999999999998E-2</v>
      </c>
      <c r="H31" s="2092">
        <v>5.5899999999999998E-2</v>
      </c>
      <c r="I31" s="163"/>
      <c r="K31" s="24">
        <f t="shared" ref="K31:K35" si="3" xml:space="preserve"> IF( SUM( M31:P31 ) = 0, 0, $N$5 )</f>
        <v>0</v>
      </c>
      <c r="L31" s="163"/>
      <c r="M31" s="124"/>
      <c r="N31" s="93">
        <f t="shared" ref="N31:O35" si="4" xml:space="preserve"> IF( ISNUMBER( G31 ), 0, 1 )</f>
        <v>0</v>
      </c>
      <c r="O31" s="93">
        <f t="shared" si="4"/>
        <v>0</v>
      </c>
      <c r="P31" s="119"/>
      <c r="Q31" s="127"/>
      <c r="R31" s="119"/>
      <c r="S31" s="165"/>
      <c r="T31" s="165"/>
      <c r="V31" s="119"/>
      <c r="Y31" s="120"/>
      <c r="AC31" s="2089" t="str">
        <f t="shared" ref="AC31:AC37" si="5">+B31</f>
        <v>4H.21</v>
      </c>
      <c r="AD31" s="2391" t="s">
        <v>4189</v>
      </c>
      <c r="AE31" s="2100"/>
      <c r="AF31" s="2395" t="s">
        <v>734</v>
      </c>
      <c r="AG31" s="2396">
        <v>2</v>
      </c>
      <c r="AH31" s="2706" t="s">
        <v>4190</v>
      </c>
      <c r="AI31" s="2707" t="s">
        <v>4191</v>
      </c>
    </row>
    <row r="32" spans="2:35">
      <c r="B32" s="2090" t="s">
        <v>4192</v>
      </c>
      <c r="C32" s="2392" t="s">
        <v>841</v>
      </c>
      <c r="D32" s="2087"/>
      <c r="E32" s="2397" t="s">
        <v>734</v>
      </c>
      <c r="F32" s="2398">
        <v>2</v>
      </c>
      <c r="G32" s="2512">
        <v>-6.7000000000000002E-3</v>
      </c>
      <c r="H32" s="2511">
        <v>-2.2000000000000001E-3</v>
      </c>
      <c r="I32" s="163"/>
      <c r="K32" s="24">
        <f t="shared" si="3"/>
        <v>0</v>
      </c>
      <c r="L32" s="163"/>
      <c r="M32" s="124"/>
      <c r="N32" s="93">
        <f t="shared" si="4"/>
        <v>0</v>
      </c>
      <c r="O32" s="93">
        <f t="shared" si="4"/>
        <v>0</v>
      </c>
      <c r="P32" s="119"/>
      <c r="Q32" s="127"/>
      <c r="R32" s="119"/>
      <c r="S32" s="165"/>
      <c r="T32" s="165"/>
      <c r="V32" s="119"/>
      <c r="Y32" s="120"/>
      <c r="AC32" s="2090" t="str">
        <f t="shared" si="5"/>
        <v>4H.22</v>
      </c>
      <c r="AD32" s="2392" t="s">
        <v>841</v>
      </c>
      <c r="AE32" s="2100"/>
      <c r="AF32" s="2397" t="s">
        <v>734</v>
      </c>
      <c r="AG32" s="2398">
        <v>2</v>
      </c>
      <c r="AH32" s="2708" t="s">
        <v>4193</v>
      </c>
      <c r="AI32" s="2708" t="s">
        <v>4194</v>
      </c>
    </row>
    <row r="33" spans="2:35">
      <c r="B33" s="2090" t="s">
        <v>4195</v>
      </c>
      <c r="C33" s="2392" t="s">
        <v>4196</v>
      </c>
      <c r="D33" s="2087"/>
      <c r="E33" s="2397" t="s">
        <v>734</v>
      </c>
      <c r="F33" s="2398">
        <v>2</v>
      </c>
      <c r="G33" s="2512">
        <v>-7.1000000000000004E-3</v>
      </c>
      <c r="H33" s="2511">
        <v>-3.8999999999999998E-3</v>
      </c>
      <c r="I33" s="163"/>
      <c r="K33" s="24">
        <f t="shared" si="3"/>
        <v>0</v>
      </c>
      <c r="L33" s="163"/>
      <c r="M33" s="124"/>
      <c r="N33" s="93">
        <f t="shared" si="4"/>
        <v>0</v>
      </c>
      <c r="O33" s="93">
        <f t="shared" si="4"/>
        <v>0</v>
      </c>
      <c r="P33" s="119"/>
      <c r="Q33" s="127"/>
      <c r="R33" s="119"/>
      <c r="S33" s="165"/>
      <c r="T33" s="165"/>
      <c r="V33" s="119"/>
      <c r="Y33" s="120"/>
      <c r="AC33" s="2090" t="str">
        <f t="shared" si="5"/>
        <v>4H.23</v>
      </c>
      <c r="AD33" s="2392" t="s">
        <v>4196</v>
      </c>
      <c r="AE33" s="2100"/>
      <c r="AF33" s="2397" t="s">
        <v>734</v>
      </c>
      <c r="AG33" s="2398">
        <v>2</v>
      </c>
      <c r="AH33" s="2708" t="s">
        <v>4197</v>
      </c>
      <c r="AI33" s="2708" t="s">
        <v>4198</v>
      </c>
    </row>
    <row r="34" spans="2:35">
      <c r="B34" s="2090" t="s">
        <v>4199</v>
      </c>
      <c r="C34" s="2392" t="s">
        <v>844</v>
      </c>
      <c r="D34" s="2087"/>
      <c r="E34" s="2397" t="s">
        <v>734</v>
      </c>
      <c r="F34" s="2398">
        <v>2</v>
      </c>
      <c r="G34" s="2512">
        <v>1.03E-2</v>
      </c>
      <c r="H34" s="2511">
        <v>4.8999999999999998E-3</v>
      </c>
      <c r="I34" s="163"/>
      <c r="K34" s="24">
        <f t="shared" si="3"/>
        <v>0</v>
      </c>
      <c r="L34" s="163"/>
      <c r="M34" s="124"/>
      <c r="N34" s="93">
        <f t="shared" si="4"/>
        <v>0</v>
      </c>
      <c r="O34" s="93">
        <f t="shared" si="4"/>
        <v>0</v>
      </c>
      <c r="P34" s="119"/>
      <c r="Q34" s="127"/>
      <c r="R34" s="119"/>
      <c r="S34" s="165"/>
      <c r="T34" s="165"/>
      <c r="V34" s="119"/>
      <c r="Y34" s="120"/>
      <c r="AC34" s="2090" t="str">
        <f t="shared" si="5"/>
        <v>4H.24</v>
      </c>
      <c r="AD34" s="2392" t="s">
        <v>844</v>
      </c>
      <c r="AE34" s="2100"/>
      <c r="AF34" s="2397" t="s">
        <v>734</v>
      </c>
      <c r="AG34" s="2398">
        <v>2</v>
      </c>
      <c r="AH34" s="2708" t="s">
        <v>4200</v>
      </c>
      <c r="AI34" s="2708" t="s">
        <v>4201</v>
      </c>
    </row>
    <row r="35" spans="2:35">
      <c r="B35" s="2090" t="s">
        <v>4202</v>
      </c>
      <c r="C35" s="2392" t="s">
        <v>4203</v>
      </c>
      <c r="D35" s="2088"/>
      <c r="E35" s="2397" t="s">
        <v>734</v>
      </c>
      <c r="F35" s="2398">
        <v>2</v>
      </c>
      <c r="G35" s="2512">
        <v>7.7000000000000002E-3</v>
      </c>
      <c r="H35" s="2511">
        <v>-3.0999999999999999E-3</v>
      </c>
      <c r="I35" s="163"/>
      <c r="K35" s="24">
        <f t="shared" si="3"/>
        <v>0</v>
      </c>
      <c r="L35" s="163"/>
      <c r="M35" s="124"/>
      <c r="N35" s="93">
        <f t="shared" si="4"/>
        <v>0</v>
      </c>
      <c r="O35" s="93">
        <f t="shared" si="4"/>
        <v>0</v>
      </c>
      <c r="P35" s="119"/>
      <c r="Q35" s="127"/>
      <c r="R35" s="119"/>
      <c r="S35" s="165"/>
      <c r="T35" s="165"/>
      <c r="V35" s="119"/>
      <c r="Y35" s="120"/>
      <c r="AC35" s="2090" t="str">
        <f t="shared" si="5"/>
        <v>4H.25</v>
      </c>
      <c r="AD35" s="2392" t="s">
        <v>4203</v>
      </c>
      <c r="AE35" s="2100"/>
      <c r="AF35" s="2397" t="s">
        <v>734</v>
      </c>
      <c r="AG35" s="2398">
        <v>2</v>
      </c>
      <c r="AH35" s="2708" t="s">
        <v>4204</v>
      </c>
      <c r="AI35" s="2708" t="s">
        <v>4205</v>
      </c>
    </row>
    <row r="36" spans="2:35">
      <c r="B36" s="2330" t="s">
        <v>4206</v>
      </c>
      <c r="C36" s="2393" t="s">
        <v>4207</v>
      </c>
      <c r="D36" s="2331"/>
      <c r="E36" s="2397" t="s">
        <v>734</v>
      </c>
      <c r="F36" s="2398">
        <v>2</v>
      </c>
      <c r="G36" s="2512">
        <v>0</v>
      </c>
      <c r="H36" s="2511">
        <v>0</v>
      </c>
      <c r="I36" s="163"/>
      <c r="K36" s="24">
        <f t="shared" ref="K36" si="6" xml:space="preserve"> IF( SUM( M36:P36 ) = 0, 0, $N$5 )</f>
        <v>0</v>
      </c>
      <c r="L36" s="163"/>
      <c r="M36" s="124"/>
      <c r="N36" s="93">
        <f t="shared" ref="N36" si="7" xml:space="preserve"> IF( ISNUMBER( G36 ), 0, 1 )</f>
        <v>0</v>
      </c>
      <c r="O36" s="93">
        <f t="shared" ref="O36" si="8" xml:space="preserve"> IF( ISNUMBER( H36 ), 0, 1 )</f>
        <v>0</v>
      </c>
      <c r="P36" s="119"/>
      <c r="Q36" s="127"/>
      <c r="R36" s="119"/>
      <c r="S36" s="165"/>
      <c r="T36" s="165"/>
      <c r="V36" s="119"/>
      <c r="Y36" s="120"/>
      <c r="AC36" s="2090" t="str">
        <f t="shared" si="5"/>
        <v>4H.26</v>
      </c>
      <c r="AD36" s="2393" t="s">
        <v>4207</v>
      </c>
      <c r="AE36" s="2100"/>
      <c r="AF36" s="2397" t="s">
        <v>734</v>
      </c>
      <c r="AG36" s="2398">
        <v>2</v>
      </c>
      <c r="AH36" s="2709" t="s">
        <v>4208</v>
      </c>
      <c r="AI36" s="2710" t="s">
        <v>4209</v>
      </c>
    </row>
    <row r="37" spans="2:35" ht="15" thickBot="1">
      <c r="B37" s="2255" t="s">
        <v>4210</v>
      </c>
      <c r="C37" s="2394" t="s">
        <v>4211</v>
      </c>
      <c r="D37" s="2256"/>
      <c r="E37" s="2399" t="s">
        <v>734</v>
      </c>
      <c r="F37" s="2400">
        <v>2</v>
      </c>
      <c r="G37" s="2093">
        <f>SUM(G31:G36)</f>
        <v>6.0100000000000001E-2</v>
      </c>
      <c r="H37" s="2094">
        <f>SUM(H31:H36)</f>
        <v>5.16E-2</v>
      </c>
      <c r="I37" s="163"/>
      <c r="J37" s="1370" t="str">
        <f xml:space="preserve"> IF( Q37 = 0, "", U37 )</f>
        <v/>
      </c>
      <c r="L37" s="163"/>
      <c r="M37" s="119"/>
      <c r="N37" s="127"/>
      <c r="O37" s="127"/>
      <c r="P37" s="119"/>
      <c r="Q37" s="93">
        <f xml:space="preserve"> IF( (S37 = T37), 0, 1 )</f>
        <v>0</v>
      </c>
      <c r="R37" s="119"/>
      <c r="S37" s="165">
        <f>+G37</f>
        <v>6.0100000000000001E-2</v>
      </c>
      <c r="T37" s="165">
        <f>+G11</f>
        <v>6.0100000000000001E-2</v>
      </c>
      <c r="U37" s="74" t="s">
        <v>4212</v>
      </c>
      <c r="V37" s="119"/>
      <c r="Y37" s="120"/>
      <c r="AC37" s="2090" t="str">
        <f t="shared" si="5"/>
        <v>4H.27</v>
      </c>
      <c r="AD37" s="2401" t="s">
        <v>4211</v>
      </c>
      <c r="AE37" s="2100"/>
      <c r="AF37" s="2397" t="s">
        <v>734</v>
      </c>
      <c r="AG37" s="2398">
        <v>2</v>
      </c>
      <c r="AH37" s="2711" t="s">
        <v>4213</v>
      </c>
      <c r="AI37" s="2712" t="s">
        <v>4214</v>
      </c>
    </row>
    <row r="38" spans="2:35" ht="15" thickBot="1">
      <c r="I38" s="163"/>
      <c r="L38" s="163"/>
      <c r="M38" s="119"/>
      <c r="N38" s="127"/>
      <c r="O38" s="127"/>
      <c r="P38" s="119"/>
      <c r="Q38" s="127"/>
      <c r="R38" s="119"/>
      <c r="S38" s="165"/>
      <c r="T38" s="165"/>
      <c r="V38" s="119"/>
      <c r="Y38" s="120"/>
    </row>
    <row r="39" spans="2:35" ht="15" thickBot="1">
      <c r="B39" s="113" t="s">
        <v>335</v>
      </c>
      <c r="C39" s="114" t="s">
        <v>352</v>
      </c>
      <c r="D39" s="1505"/>
      <c r="I39" s="163"/>
      <c r="L39" s="163"/>
      <c r="M39" s="119"/>
      <c r="N39" s="127"/>
      <c r="O39" s="127"/>
      <c r="P39" s="119"/>
      <c r="Q39" s="127"/>
      <c r="R39" s="119"/>
      <c r="S39" s="165"/>
      <c r="T39" s="165"/>
      <c r="V39" s="119"/>
      <c r="Y39" s="120"/>
      <c r="AC39" s="113" t="s">
        <v>335</v>
      </c>
      <c r="AD39" s="114" t="s">
        <v>352</v>
      </c>
      <c r="AE39" s="1505"/>
    </row>
    <row r="40" spans="2:35">
      <c r="B40" s="86" t="s">
        <v>4215</v>
      </c>
      <c r="C40" s="117" t="s">
        <v>4216</v>
      </c>
      <c r="D40" s="117"/>
      <c r="E40" s="88" t="s">
        <v>734</v>
      </c>
      <c r="F40" s="88">
        <v>2</v>
      </c>
      <c r="G40" s="2252">
        <f>IF( '1E'!J8 = 0, 0, ('1E'!G6+'1E'!J7) / '1E'!J8 )</f>
        <v>0.44573973693608565</v>
      </c>
      <c r="I40" s="163"/>
      <c r="M40" s="119"/>
      <c r="N40" s="127"/>
      <c r="O40" s="127"/>
      <c r="P40" s="119"/>
      <c r="Q40" s="127"/>
      <c r="R40" s="119"/>
      <c r="S40" s="165"/>
      <c r="T40" s="165"/>
      <c r="V40" s="119"/>
      <c r="Y40" s="169"/>
      <c r="AC40" s="86" t="str">
        <f t="shared" ref="AC40:AC47" si="9">+B40</f>
        <v>4H.28</v>
      </c>
      <c r="AD40" s="117" t="s">
        <v>4216</v>
      </c>
      <c r="AE40" s="117"/>
      <c r="AF40" s="88" t="s">
        <v>734</v>
      </c>
      <c r="AG40" s="89">
        <v>2</v>
      </c>
      <c r="AH40" s="863" t="s">
        <v>4217</v>
      </c>
    </row>
    <row r="41" spans="2:35">
      <c r="B41" s="94" t="s">
        <v>4218</v>
      </c>
      <c r="C41" s="87" t="s">
        <v>4219</v>
      </c>
      <c r="D41" s="87"/>
      <c r="E41" s="95" t="s">
        <v>734</v>
      </c>
      <c r="F41" s="95">
        <v>2</v>
      </c>
      <c r="G41" s="2253">
        <f>IF( '1E'!J8 = 0, 0, '1E'!H6 / '1E'!J8 )</f>
        <v>0.23309220363194946</v>
      </c>
      <c r="I41" s="163"/>
      <c r="L41" s="163"/>
      <c r="M41" s="119"/>
      <c r="N41" s="127"/>
      <c r="O41" s="127"/>
      <c r="P41" s="119"/>
      <c r="Q41" s="127"/>
      <c r="R41" s="119"/>
      <c r="S41" s="165"/>
      <c r="T41" s="165"/>
      <c r="V41" s="119"/>
      <c r="Y41" s="169"/>
      <c r="AC41" s="170" t="str">
        <f t="shared" si="9"/>
        <v>4H.29</v>
      </c>
      <c r="AD41" s="171" t="s">
        <v>4219</v>
      </c>
      <c r="AE41" s="171"/>
      <c r="AF41" s="167" t="s">
        <v>734</v>
      </c>
      <c r="AG41" s="168">
        <v>2</v>
      </c>
      <c r="AH41" s="865" t="s">
        <v>4220</v>
      </c>
    </row>
    <row r="42" spans="2:35" ht="22.7" customHeight="1">
      <c r="B42" s="94" t="s">
        <v>4221</v>
      </c>
      <c r="C42" s="87" t="s">
        <v>4222</v>
      </c>
      <c r="D42" s="87"/>
      <c r="E42" s="95" t="s">
        <v>734</v>
      </c>
      <c r="F42" s="95">
        <v>2</v>
      </c>
      <c r="G42" s="2253">
        <f>IF('1E'!J8 = 0, 0, '1E'!I6 / '1E'!J8 )</f>
        <v>0.32116805943196497</v>
      </c>
      <c r="I42" s="163"/>
      <c r="J42" s="1370">
        <f xml:space="preserve"> IF( SUM( P42:R42 ) = 0, 0, U42 )</f>
        <v>0</v>
      </c>
      <c r="L42" s="163"/>
      <c r="N42" s="127"/>
      <c r="O42" s="127"/>
      <c r="Q42" s="93">
        <f xml:space="preserve"> IF( (S42 - T42) = 0, 0, 1 )</f>
        <v>0</v>
      </c>
      <c r="R42" s="119"/>
      <c r="S42" s="165">
        <f xml:space="preserve"> G40 + G41 + G42</f>
        <v>1</v>
      </c>
      <c r="T42" s="223">
        <v>1</v>
      </c>
      <c r="U42" s="166" t="s">
        <v>4223</v>
      </c>
      <c r="Y42" s="169"/>
      <c r="AC42" s="170" t="str">
        <f t="shared" si="9"/>
        <v>4H.30</v>
      </c>
      <c r="AD42" s="171" t="s">
        <v>4222</v>
      </c>
      <c r="AE42" s="171"/>
      <c r="AF42" s="167" t="s">
        <v>734</v>
      </c>
      <c r="AG42" s="168">
        <v>2</v>
      </c>
      <c r="AH42" s="865" t="s">
        <v>4224</v>
      </c>
    </row>
    <row r="43" spans="2:35">
      <c r="B43" s="94" t="s">
        <v>4225</v>
      </c>
      <c r="C43" s="87" t="s">
        <v>4226</v>
      </c>
      <c r="D43" s="87"/>
      <c r="E43" s="95" t="s">
        <v>734</v>
      </c>
      <c r="F43" s="95">
        <v>2</v>
      </c>
      <c r="G43" s="2254">
        <v>5.0000000000000001E-3</v>
      </c>
      <c r="I43" s="163"/>
      <c r="K43" s="24">
        <f xml:space="preserve"> IF( SUM( M43:P43 ) = 0, 0, $N$5 )</f>
        <v>0</v>
      </c>
      <c r="L43" s="163"/>
      <c r="N43" s="93">
        <f xml:space="preserve"> IF( ISNUMBER( G43 ), 0, 1 )</f>
        <v>0</v>
      </c>
      <c r="O43" s="93"/>
      <c r="Q43" s="127"/>
      <c r="R43" s="119"/>
      <c r="S43" s="165"/>
      <c r="T43" s="165"/>
      <c r="Y43" s="169"/>
      <c r="AC43" s="170" t="str">
        <f t="shared" si="9"/>
        <v>4H.31</v>
      </c>
      <c r="AD43" s="171" t="s">
        <v>4226</v>
      </c>
      <c r="AE43" s="171"/>
      <c r="AF43" s="167" t="s">
        <v>734</v>
      </c>
      <c r="AG43" s="168">
        <v>2</v>
      </c>
      <c r="AH43" s="2703" t="s">
        <v>4227</v>
      </c>
    </row>
    <row r="44" spans="2:35">
      <c r="B44" s="94" t="s">
        <v>4228</v>
      </c>
      <c r="C44" s="173" t="s">
        <v>4229</v>
      </c>
      <c r="D44" s="173"/>
      <c r="E44" s="95" t="s">
        <v>734</v>
      </c>
      <c r="F44" s="95">
        <v>2</v>
      </c>
      <c r="G44" s="2254">
        <v>3.5099999999999999E-2</v>
      </c>
      <c r="I44" s="163"/>
      <c r="K44" s="24">
        <f xml:space="preserve"> IF( SUM( M44:P44 ) = 0, 0, $N$5 )</f>
        <v>0</v>
      </c>
      <c r="L44" s="163"/>
      <c r="M44" s="119"/>
      <c r="N44" s="93">
        <f xml:space="preserve"> IF( ISNUMBER( G44 ), 0, 1 )</f>
        <v>0</v>
      </c>
      <c r="O44" s="93"/>
      <c r="P44" s="119"/>
      <c r="Q44" s="127"/>
      <c r="R44" s="119"/>
      <c r="S44" s="165"/>
      <c r="T44" s="165"/>
      <c r="V44" s="119"/>
      <c r="Y44" s="169"/>
      <c r="AC44" s="170" t="str">
        <f t="shared" si="9"/>
        <v>4H.32</v>
      </c>
      <c r="AD44" s="172" t="s">
        <v>4229</v>
      </c>
      <c r="AE44" s="172"/>
      <c r="AF44" s="167" t="s">
        <v>734</v>
      </c>
      <c r="AG44" s="168">
        <v>2</v>
      </c>
      <c r="AH44" s="2703" t="s">
        <v>4230</v>
      </c>
    </row>
    <row r="45" spans="2:35" ht="14.25" customHeight="1">
      <c r="B45" s="94" t="s">
        <v>4231</v>
      </c>
      <c r="C45" s="173" t="s">
        <v>4232</v>
      </c>
      <c r="D45" s="173"/>
      <c r="E45" s="95" t="s">
        <v>734</v>
      </c>
      <c r="F45" s="95">
        <v>2</v>
      </c>
      <c r="G45" s="2254">
        <v>0.1769</v>
      </c>
      <c r="I45" s="163"/>
      <c r="K45" s="24">
        <f xml:space="preserve"> IF( SUM( M45:P45 ) = 0, 0, $N$5 )</f>
        <v>0</v>
      </c>
      <c r="L45" s="163"/>
      <c r="M45" s="124"/>
      <c r="N45" s="93">
        <f xml:space="preserve"> IF( ISNUMBER( G45 ), 0, 1 )</f>
        <v>0</v>
      </c>
      <c r="O45" s="93"/>
      <c r="P45" s="124"/>
      <c r="Q45" s="82"/>
      <c r="R45" s="124"/>
      <c r="S45" s="165"/>
      <c r="V45" s="124"/>
      <c r="Y45" s="169"/>
      <c r="AC45" s="170" t="str">
        <f t="shared" si="9"/>
        <v>4H.33</v>
      </c>
      <c r="AD45" s="173" t="s">
        <v>4232</v>
      </c>
      <c r="AE45" s="172"/>
      <c r="AF45" s="167" t="s">
        <v>734</v>
      </c>
      <c r="AG45" s="168">
        <v>2</v>
      </c>
      <c r="AH45" s="2703" t="s">
        <v>4233</v>
      </c>
    </row>
    <row r="46" spans="2:35">
      <c r="B46" s="94" t="s">
        <v>4234</v>
      </c>
      <c r="C46" s="173" t="s">
        <v>4235</v>
      </c>
      <c r="D46" s="173"/>
      <c r="E46" s="95" t="s">
        <v>734</v>
      </c>
      <c r="F46" s="95">
        <v>2</v>
      </c>
      <c r="G46" s="2254">
        <v>0.55610000000000004</v>
      </c>
      <c r="I46" s="163"/>
      <c r="K46" s="24">
        <f xml:space="preserve"> IF( SUM( M46:P46 ) = 0, 0, $N$5 )</f>
        <v>0</v>
      </c>
      <c r="L46" s="163"/>
      <c r="M46" s="124"/>
      <c r="N46" s="93">
        <f xml:space="preserve"> IF( ISNUMBER( G46 ), 0, 1 )</f>
        <v>0</v>
      </c>
      <c r="O46" s="93"/>
      <c r="P46" s="124"/>
      <c r="Q46" s="82"/>
      <c r="R46" s="124"/>
      <c r="S46" s="165"/>
      <c r="V46" s="124"/>
      <c r="Y46" s="169"/>
      <c r="AC46" s="170" t="str">
        <f t="shared" si="9"/>
        <v>4H.34</v>
      </c>
      <c r="AD46" s="173" t="s">
        <v>4235</v>
      </c>
      <c r="AE46" s="172"/>
      <c r="AF46" s="167" t="s">
        <v>734</v>
      </c>
      <c r="AG46" s="168">
        <v>2</v>
      </c>
      <c r="AH46" s="2713" t="s">
        <v>4236</v>
      </c>
    </row>
    <row r="47" spans="2:35" ht="23.25" customHeight="1" thickBot="1">
      <c r="B47" s="101" t="s">
        <v>4237</v>
      </c>
      <c r="C47" s="102" t="s">
        <v>4238</v>
      </c>
      <c r="D47" s="102"/>
      <c r="E47" s="103" t="s">
        <v>734</v>
      </c>
      <c r="F47" s="103">
        <v>2</v>
      </c>
      <c r="G47" s="726">
        <v>0.22689999999999999</v>
      </c>
      <c r="I47" s="163"/>
      <c r="J47" s="1370">
        <f xml:space="preserve"> IF( SUM( P47:R47 ) = 0, 0, U47 )</f>
        <v>0</v>
      </c>
      <c r="K47" s="24">
        <f xml:space="preserve"> IF( SUM( M47:P47 ) = 0, 0, $N$5 )</f>
        <v>0</v>
      </c>
      <c r="L47" s="163"/>
      <c r="M47" s="124"/>
      <c r="N47" s="93">
        <f xml:space="preserve"> IF( ISNUMBER( G47 ), 0, 1 )</f>
        <v>0</v>
      </c>
      <c r="O47" s="93"/>
      <c r="P47" s="124"/>
      <c r="Q47" s="93">
        <f xml:space="preserve"> IF( (S47 - T47) = 0, 0, 1 )</f>
        <v>0</v>
      </c>
      <c r="R47" s="119"/>
      <c r="S47" s="165">
        <f xml:space="preserve"> SUM( G43:G47 )</f>
        <v>1</v>
      </c>
      <c r="T47" s="223">
        <v>1</v>
      </c>
      <c r="U47" s="166" t="s">
        <v>4239</v>
      </c>
      <c r="V47" s="124"/>
      <c r="Y47" s="169"/>
      <c r="AC47" s="174" t="str">
        <f t="shared" si="9"/>
        <v>4H.35</v>
      </c>
      <c r="AD47" s="102" t="s">
        <v>4238</v>
      </c>
      <c r="AE47" s="391"/>
      <c r="AF47" s="175" t="s">
        <v>734</v>
      </c>
      <c r="AG47" s="176">
        <v>2</v>
      </c>
      <c r="AH47" s="2541" t="s">
        <v>4240</v>
      </c>
    </row>
    <row r="48" spans="2:35">
      <c r="I48" s="163"/>
      <c r="L48" s="163"/>
      <c r="N48" s="120"/>
      <c r="O48" s="120"/>
      <c r="Q48" s="110"/>
      <c r="R48" s="124"/>
    </row>
    <row r="49" spans="1:23" s="163" customFormat="1">
      <c r="B49" s="3077" t="s">
        <v>243</v>
      </c>
      <c r="C49" s="3077"/>
      <c r="D49" s="2988"/>
      <c r="J49" s="74"/>
      <c r="L49" s="126"/>
      <c r="M49" s="71"/>
      <c r="N49" s="70"/>
      <c r="O49" s="70"/>
      <c r="P49" s="71"/>
      <c r="Q49" s="74"/>
      <c r="R49" s="124"/>
      <c r="S49" s="74"/>
      <c r="T49" s="74"/>
      <c r="U49" s="74"/>
      <c r="V49" s="71"/>
      <c r="W49" s="126"/>
    </row>
    <row r="50" spans="1:23" s="163" customFormat="1">
      <c r="B50" s="141"/>
      <c r="C50" s="142"/>
      <c r="D50" s="142"/>
      <c r="J50" s="74"/>
      <c r="L50" s="126"/>
      <c r="M50" s="71"/>
      <c r="N50" s="70"/>
      <c r="O50" s="70"/>
      <c r="P50" s="71"/>
      <c r="Q50" s="74"/>
      <c r="R50" s="124"/>
      <c r="S50" s="70"/>
      <c r="T50" s="70"/>
      <c r="U50" s="70"/>
      <c r="V50" s="71"/>
      <c r="W50" s="126"/>
    </row>
    <row r="51" spans="1:23" s="163" customFormat="1">
      <c r="B51" s="25"/>
      <c r="C51" s="143" t="s">
        <v>190</v>
      </c>
      <c r="D51" s="143"/>
      <c r="J51" s="74"/>
      <c r="L51" s="126"/>
      <c r="M51" s="71"/>
      <c r="N51" s="70"/>
      <c r="O51" s="70"/>
      <c r="P51" s="71"/>
      <c r="Q51" s="74"/>
      <c r="R51" s="124"/>
      <c r="V51" s="71"/>
      <c r="W51" s="126"/>
    </row>
    <row r="52" spans="1:23" s="163" customFormat="1">
      <c r="B52" s="141"/>
      <c r="C52" s="142"/>
      <c r="D52" s="142"/>
      <c r="J52" s="74"/>
      <c r="L52" s="126"/>
      <c r="M52" s="124"/>
      <c r="N52" s="70"/>
      <c r="O52" s="70"/>
      <c r="P52" s="124"/>
      <c r="Q52" s="74"/>
      <c r="R52" s="124"/>
      <c r="V52" s="124"/>
      <c r="W52" s="126"/>
    </row>
    <row r="53" spans="1:23" s="163" customFormat="1">
      <c r="B53" s="144"/>
      <c r="C53" s="143" t="s">
        <v>191</v>
      </c>
      <c r="D53" s="143"/>
      <c r="J53" s="74"/>
      <c r="L53" s="126"/>
      <c r="M53" s="71"/>
      <c r="N53" s="70"/>
      <c r="O53" s="70"/>
      <c r="P53" s="71"/>
      <c r="Q53" s="74"/>
      <c r="R53" s="71"/>
      <c r="V53" s="71"/>
      <c r="W53" s="126"/>
    </row>
    <row r="54" spans="1:23" s="163" customFormat="1">
      <c r="B54" s="145"/>
      <c r="C54" s="143"/>
      <c r="D54" s="143"/>
      <c r="J54" s="74"/>
      <c r="L54" s="126"/>
      <c r="M54" s="71"/>
      <c r="N54" s="70"/>
      <c r="O54" s="70"/>
      <c r="P54" s="71"/>
      <c r="Q54" s="74"/>
      <c r="R54" s="71"/>
      <c r="V54" s="71"/>
      <c r="W54" s="126"/>
    </row>
    <row r="55" spans="1:23" s="178" customFormat="1" ht="15" thickBot="1">
      <c r="C55" s="179"/>
      <c r="D55" s="179"/>
      <c r="J55" s="74"/>
      <c r="L55" s="130"/>
      <c r="M55" s="71"/>
      <c r="N55" s="70"/>
      <c r="O55" s="70"/>
      <c r="P55" s="71"/>
      <c r="Q55" s="74"/>
      <c r="R55" s="71"/>
      <c r="S55" s="163"/>
      <c r="T55" s="163"/>
      <c r="U55" s="163"/>
      <c r="V55" s="71"/>
      <c r="W55" s="126"/>
    </row>
    <row r="56" spans="1:23" s="178" customFormat="1" ht="24" customHeight="1" thickBot="1">
      <c r="B56" s="3053" t="str">
        <f>'4G'!B28</f>
        <v>Please refer to RAG 4.08 - Guideline for the table definitions in the annual performance report for the reporting year 2019-20</v>
      </c>
      <c r="C56" s="3053"/>
      <c r="D56" s="3053"/>
      <c r="E56" s="3053"/>
      <c r="F56" s="3053"/>
      <c r="G56" s="3053"/>
      <c r="H56" s="2049"/>
      <c r="J56" s="74"/>
      <c r="L56" s="130"/>
      <c r="M56" s="71"/>
      <c r="N56" s="182" t="s">
        <v>780</v>
      </c>
      <c r="O56" s="182"/>
      <c r="P56" s="71"/>
      <c r="Q56" s="74"/>
      <c r="R56" s="71"/>
      <c r="S56" s="163"/>
      <c r="T56" s="163"/>
      <c r="U56" s="163"/>
      <c r="V56" s="71"/>
      <c r="W56" s="126"/>
    </row>
    <row r="57" spans="1:23" s="178" customFormat="1" ht="15" thickBot="1">
      <c r="C57" s="179"/>
      <c r="D57" s="179"/>
      <c r="J57" s="74"/>
      <c r="L57" s="130"/>
      <c r="M57" s="71"/>
      <c r="N57" s="70"/>
      <c r="O57" s="70"/>
      <c r="P57" s="71"/>
      <c r="Q57" s="74"/>
      <c r="R57" s="71"/>
      <c r="S57" s="163"/>
      <c r="T57" s="163"/>
      <c r="U57" s="163"/>
      <c r="V57" s="71"/>
      <c r="W57" s="126"/>
    </row>
    <row r="58" spans="1:23" s="178" customFormat="1" ht="36" customHeight="1" thickBot="1">
      <c r="B58" s="3288" t="s">
        <v>4241</v>
      </c>
      <c r="C58" s="3289"/>
      <c r="D58" s="3289"/>
      <c r="E58" s="3289"/>
      <c r="F58" s="3289"/>
      <c r="G58" s="3290"/>
      <c r="H58" s="2030"/>
      <c r="J58" s="74"/>
      <c r="L58" s="130"/>
      <c r="M58" s="71"/>
      <c r="N58" s="182" t="s">
        <v>780</v>
      </c>
      <c r="O58" s="182"/>
      <c r="P58" s="71"/>
      <c r="Q58" s="74"/>
      <c r="R58" s="71"/>
      <c r="S58" s="163"/>
      <c r="T58" s="163"/>
      <c r="U58" s="163"/>
      <c r="V58" s="71"/>
      <c r="W58" s="126"/>
    </row>
    <row r="59" spans="1:23" s="178" customFormat="1" ht="15" thickBot="1">
      <c r="C59" s="179"/>
      <c r="D59" s="179"/>
      <c r="J59" s="74"/>
      <c r="L59" s="130"/>
      <c r="M59" s="71"/>
      <c r="N59" s="70"/>
      <c r="O59" s="70"/>
      <c r="P59" s="71"/>
      <c r="Q59" s="74"/>
      <c r="R59" s="71"/>
      <c r="S59" s="163"/>
      <c r="T59" s="163"/>
      <c r="U59" s="163"/>
      <c r="V59" s="71"/>
      <c r="W59" s="126"/>
    </row>
    <row r="60" spans="1:23" ht="21" thickBot="1">
      <c r="B60" s="146" t="s">
        <v>4242</v>
      </c>
      <c r="C60" s="147"/>
      <c r="D60" s="147"/>
      <c r="E60" s="148"/>
      <c r="F60" s="148"/>
      <c r="G60" s="149"/>
      <c r="H60" s="178"/>
      <c r="J60" s="70"/>
    </row>
    <row r="61" spans="1:23" ht="15" thickBot="1">
      <c r="B61" s="74"/>
      <c r="C61" s="155"/>
      <c r="D61" s="155"/>
      <c r="E61" s="74"/>
      <c r="F61" s="74"/>
      <c r="G61" s="110"/>
      <c r="H61" s="110"/>
    </row>
    <row r="62" spans="1:23" ht="117" customHeight="1" thickBot="1">
      <c r="B62" s="3288" t="s">
        <v>4243</v>
      </c>
      <c r="C62" s="3289"/>
      <c r="D62" s="3289"/>
      <c r="E62" s="3289"/>
      <c r="F62" s="3289"/>
      <c r="G62" s="3290"/>
      <c r="H62" s="2030"/>
      <c r="I62" s="74"/>
      <c r="N62" s="182" t="s">
        <v>202</v>
      </c>
      <c r="O62" s="182"/>
    </row>
    <row r="63" spans="1:23" s="178" customFormat="1">
      <c r="C63" s="179"/>
      <c r="D63" s="179"/>
      <c r="J63" s="74"/>
      <c r="L63" s="130"/>
      <c r="M63" s="71"/>
      <c r="N63" s="70"/>
      <c r="O63" s="70"/>
      <c r="P63" s="71"/>
      <c r="Q63" s="74"/>
      <c r="R63" s="71"/>
      <c r="S63" s="163"/>
      <c r="T63" s="163"/>
      <c r="U63" s="163"/>
      <c r="V63" s="71"/>
      <c r="W63" s="126"/>
    </row>
    <row r="64" spans="1:23" s="110" customFormat="1" ht="21" hidden="1" thickBot="1">
      <c r="A64" s="1560"/>
      <c r="B64" s="146" t="str">
        <f ca="1" xml:space="preserve"> RIGHT(CELL("filename", $A$1), LEN(CELL("filename", $A$1)) - SEARCH("]", CELL("filename", $A$1)))&amp;" - Line definitions"</f>
        <v>4H - Line definitions</v>
      </c>
      <c r="C64" s="147"/>
      <c r="D64" s="147"/>
      <c r="E64" s="148"/>
      <c r="F64" s="148"/>
      <c r="G64" s="149"/>
      <c r="H64" s="178"/>
      <c r="I64" s="178"/>
      <c r="J64" s="74"/>
      <c r="K64" s="178"/>
      <c r="M64" s="71"/>
      <c r="N64" s="70"/>
      <c r="O64" s="70"/>
      <c r="P64" s="71"/>
      <c r="Q64" s="74"/>
      <c r="R64" s="71"/>
      <c r="S64" s="178"/>
      <c r="T64" s="178"/>
      <c r="U64" s="178"/>
      <c r="V64" s="71"/>
      <c r="W64" s="126"/>
    </row>
    <row r="65" spans="1:23" s="110" customFormat="1" ht="15" hidden="1" thickBot="1">
      <c r="A65" s="1560"/>
      <c r="B65" s="150"/>
      <c r="C65" s="151"/>
      <c r="D65" s="151"/>
      <c r="E65" s="74"/>
      <c r="F65" s="74"/>
      <c r="G65" s="74"/>
      <c r="H65" s="74"/>
      <c r="J65" s="74"/>
      <c r="M65" s="71"/>
      <c r="N65" s="70"/>
      <c r="O65" s="70"/>
      <c r="P65" s="71"/>
      <c r="Q65" s="74"/>
      <c r="R65" s="71"/>
      <c r="S65" s="178"/>
      <c r="T65" s="178"/>
      <c r="U65" s="178"/>
      <c r="V65" s="71"/>
      <c r="W65" s="126"/>
    </row>
    <row r="66" spans="1:23" s="178" customFormat="1" ht="15" hidden="1" thickBot="1">
      <c r="A66" s="1561"/>
      <c r="B66" s="156" t="s">
        <v>193</v>
      </c>
      <c r="C66" s="3287" t="s">
        <v>194</v>
      </c>
      <c r="D66" s="3172"/>
      <c r="E66" s="3172"/>
      <c r="F66" s="3172"/>
      <c r="G66" s="3173"/>
      <c r="H66" s="2031"/>
      <c r="I66" s="110"/>
      <c r="J66" s="74"/>
      <c r="K66" s="110"/>
      <c r="L66" s="110"/>
      <c r="M66" s="71"/>
      <c r="N66" s="180">
        <v>1</v>
      </c>
      <c r="O66" s="180"/>
      <c r="P66" s="71"/>
      <c r="Q66" s="74"/>
      <c r="R66" s="71"/>
      <c r="S66" s="110"/>
      <c r="T66" s="110"/>
      <c r="U66" s="110"/>
      <c r="V66" s="71"/>
      <c r="W66" s="118"/>
    </row>
    <row r="67" spans="1:23" s="178" customFormat="1" ht="14.25" hidden="1" customHeight="1">
      <c r="A67" s="1561"/>
      <c r="B67" s="181" t="s">
        <v>4121</v>
      </c>
      <c r="C67" s="3128" t="s">
        <v>4244</v>
      </c>
      <c r="D67" s="3129"/>
      <c r="E67" s="3129"/>
      <c r="F67" s="3129"/>
      <c r="G67" s="3130"/>
      <c r="H67" s="2030"/>
      <c r="I67" s="110"/>
      <c r="J67" s="74"/>
      <c r="K67" s="110"/>
      <c r="L67" s="110"/>
      <c r="M67" s="71"/>
      <c r="N67" s="180">
        <v>1</v>
      </c>
      <c r="O67" s="180"/>
      <c r="P67" s="71"/>
      <c r="Q67" s="74"/>
      <c r="R67" s="71"/>
      <c r="S67" s="110"/>
      <c r="T67" s="110"/>
      <c r="U67" s="110"/>
      <c r="V67" s="71"/>
      <c r="W67" s="118"/>
    </row>
    <row r="68" spans="1:23" ht="25.5" hidden="1" customHeight="1">
      <c r="A68" s="1563"/>
      <c r="B68" s="159" t="s">
        <v>4123</v>
      </c>
      <c r="C68" s="3125" t="s">
        <v>4245</v>
      </c>
      <c r="D68" s="3126"/>
      <c r="E68" s="3126"/>
      <c r="F68" s="3126"/>
      <c r="G68" s="3127"/>
      <c r="H68" s="2030"/>
      <c r="I68" s="110"/>
      <c r="K68" s="110"/>
      <c r="L68" s="110"/>
      <c r="N68" s="182">
        <v>1</v>
      </c>
      <c r="O68" s="182"/>
      <c r="S68" s="110"/>
      <c r="T68" s="110"/>
      <c r="U68" s="110"/>
    </row>
    <row r="69" spans="1:23" s="110" customFormat="1" ht="13.7" hidden="1" customHeight="1">
      <c r="A69" s="1560"/>
      <c r="B69" s="159" t="s">
        <v>4126</v>
      </c>
      <c r="C69" s="3125" t="s">
        <v>4246</v>
      </c>
      <c r="D69" s="3126"/>
      <c r="E69" s="3126"/>
      <c r="F69" s="3126"/>
      <c r="G69" s="3127"/>
      <c r="H69" s="2030"/>
      <c r="J69" s="74"/>
      <c r="M69" s="71"/>
      <c r="N69" s="182">
        <v>1</v>
      </c>
      <c r="O69" s="182"/>
      <c r="P69" s="71"/>
      <c r="Q69" s="74"/>
      <c r="R69" s="71"/>
      <c r="V69" s="71"/>
      <c r="W69" s="118"/>
    </row>
    <row r="70" spans="1:23" s="110" customFormat="1" ht="63.75" hidden="1" customHeight="1">
      <c r="A70" s="1560"/>
      <c r="B70" s="159" t="s">
        <v>4128</v>
      </c>
      <c r="C70" s="3125" t="s">
        <v>4247</v>
      </c>
      <c r="D70" s="3126"/>
      <c r="E70" s="3126"/>
      <c r="F70" s="3126"/>
      <c r="G70" s="3127"/>
      <c r="H70" s="2030"/>
      <c r="J70" s="74"/>
      <c r="M70" s="71"/>
      <c r="N70" s="182" t="s">
        <v>4248</v>
      </c>
      <c r="O70" s="182"/>
      <c r="P70" s="71"/>
      <c r="Q70" s="74"/>
      <c r="R70" s="71"/>
      <c r="V70" s="71"/>
      <c r="W70" s="118"/>
    </row>
    <row r="71" spans="1:23" s="110" customFormat="1" ht="272.25" hidden="1" customHeight="1">
      <c r="A71" s="1560"/>
      <c r="B71" s="159" t="s">
        <v>4131</v>
      </c>
      <c r="C71" s="3125" t="s">
        <v>4249</v>
      </c>
      <c r="D71" s="3126"/>
      <c r="E71" s="3126"/>
      <c r="F71" s="3126"/>
      <c r="G71" s="3127"/>
      <c r="H71" s="2030"/>
      <c r="J71" s="74"/>
      <c r="M71" s="71"/>
      <c r="N71" s="182" t="s">
        <v>4250</v>
      </c>
      <c r="O71" s="182"/>
      <c r="P71" s="71"/>
      <c r="Q71" s="74"/>
      <c r="R71" s="71"/>
      <c r="V71" s="71"/>
      <c r="W71" s="118"/>
    </row>
    <row r="72" spans="1:23" s="120" customFormat="1" ht="35.450000000000003" hidden="1" customHeight="1">
      <c r="A72" s="1562"/>
      <c r="B72" s="159" t="s">
        <v>4135</v>
      </c>
      <c r="C72" s="3125" t="s">
        <v>4251</v>
      </c>
      <c r="D72" s="3126"/>
      <c r="E72" s="3126"/>
      <c r="F72" s="3126"/>
      <c r="G72" s="3127"/>
      <c r="H72" s="2030"/>
      <c r="I72" s="110"/>
      <c r="J72" s="74"/>
      <c r="K72" s="110"/>
      <c r="L72" s="110"/>
      <c r="M72" s="71"/>
      <c r="N72" s="182" t="s">
        <v>780</v>
      </c>
      <c r="O72" s="182"/>
      <c r="P72" s="71"/>
      <c r="Q72" s="74"/>
      <c r="R72" s="71"/>
      <c r="S72" s="110"/>
      <c r="T72" s="110"/>
      <c r="U72" s="110"/>
      <c r="V72" s="71"/>
      <c r="W72" s="118"/>
    </row>
    <row r="73" spans="1:23" s="120" customFormat="1" ht="23.25" hidden="1" customHeight="1">
      <c r="A73" s="1562"/>
      <c r="B73" s="159" t="s">
        <v>4138</v>
      </c>
      <c r="C73" s="3125" t="s">
        <v>4252</v>
      </c>
      <c r="D73" s="3126"/>
      <c r="E73" s="3126"/>
      <c r="F73" s="3126"/>
      <c r="G73" s="3127"/>
      <c r="H73" s="2030"/>
      <c r="I73" s="110"/>
      <c r="J73" s="74"/>
      <c r="K73" s="110"/>
      <c r="L73" s="110"/>
      <c r="M73" s="71"/>
      <c r="N73" s="182" t="s">
        <v>197</v>
      </c>
      <c r="O73" s="182"/>
      <c r="P73" s="71"/>
      <c r="Q73" s="74"/>
      <c r="R73" s="71"/>
      <c r="S73" s="110"/>
      <c r="T73" s="110"/>
      <c r="U73" s="110"/>
      <c r="V73" s="71"/>
      <c r="W73" s="118"/>
    </row>
    <row r="74" spans="1:23" s="120" customFormat="1" ht="23.25" hidden="1" customHeight="1">
      <c r="A74" s="1562"/>
      <c r="B74" s="159" t="s">
        <v>4143</v>
      </c>
      <c r="C74" s="3125" t="s">
        <v>4252</v>
      </c>
      <c r="D74" s="3126"/>
      <c r="E74" s="3126"/>
      <c r="F74" s="3126"/>
      <c r="G74" s="3127"/>
      <c r="H74" s="2030"/>
      <c r="I74" s="110"/>
      <c r="J74" s="74"/>
      <c r="K74" s="110"/>
      <c r="L74" s="110"/>
      <c r="M74" s="71"/>
      <c r="N74" s="182" t="s">
        <v>197</v>
      </c>
      <c r="O74" s="182"/>
      <c r="P74" s="71"/>
      <c r="Q74" s="74"/>
      <c r="R74" s="71"/>
      <c r="S74" s="110"/>
      <c r="T74" s="110"/>
      <c r="U74" s="110"/>
      <c r="V74" s="71"/>
      <c r="W74" s="118"/>
    </row>
    <row r="75" spans="1:23" s="120" customFormat="1" ht="60.75" hidden="1" customHeight="1">
      <c r="A75" s="1562"/>
      <c r="B75" s="159" t="s">
        <v>4147</v>
      </c>
      <c r="C75" s="3125" t="s">
        <v>4253</v>
      </c>
      <c r="D75" s="3126"/>
      <c r="E75" s="3126"/>
      <c r="F75" s="3126"/>
      <c r="G75" s="3127"/>
      <c r="H75" s="2030"/>
      <c r="I75" s="110"/>
      <c r="J75" s="74"/>
      <c r="K75" s="110"/>
      <c r="L75" s="110"/>
      <c r="M75" s="71"/>
      <c r="N75" s="182" t="s">
        <v>1340</v>
      </c>
      <c r="O75" s="182"/>
      <c r="P75" s="71"/>
      <c r="Q75" s="74"/>
      <c r="R75" s="71"/>
      <c r="S75" s="110"/>
      <c r="T75" s="110"/>
      <c r="U75" s="110"/>
      <c r="V75" s="71"/>
      <c r="W75" s="118"/>
    </row>
    <row r="76" spans="1:23" ht="52.5" hidden="1" customHeight="1">
      <c r="A76" s="1563"/>
      <c r="B76" s="159" t="s">
        <v>4153</v>
      </c>
      <c r="C76" s="3125" t="s">
        <v>4254</v>
      </c>
      <c r="D76" s="3126"/>
      <c r="E76" s="3126"/>
      <c r="F76" s="3126"/>
      <c r="G76" s="3127"/>
      <c r="H76" s="2030"/>
      <c r="I76" s="110"/>
      <c r="K76" s="110"/>
      <c r="L76" s="110"/>
      <c r="N76" s="182" t="s">
        <v>1340</v>
      </c>
      <c r="O76" s="182"/>
      <c r="S76" s="110"/>
      <c r="T76" s="110"/>
      <c r="U76" s="110"/>
    </row>
    <row r="77" spans="1:23" ht="35.450000000000003" hidden="1" customHeight="1">
      <c r="A77" s="1563"/>
      <c r="B77" s="159" t="s">
        <v>4156</v>
      </c>
      <c r="C77" s="3125" t="s">
        <v>4255</v>
      </c>
      <c r="D77" s="3126"/>
      <c r="E77" s="3126"/>
      <c r="F77" s="3126"/>
      <c r="G77" s="3127"/>
      <c r="H77" s="2030"/>
      <c r="I77" s="110"/>
      <c r="K77" s="110"/>
      <c r="L77" s="110"/>
      <c r="N77" s="182" t="s">
        <v>780</v>
      </c>
      <c r="O77" s="182"/>
      <c r="S77" s="110"/>
      <c r="T77" s="110"/>
      <c r="U77" s="110"/>
    </row>
    <row r="78" spans="1:23" ht="35.450000000000003" hidden="1" customHeight="1">
      <c r="A78" s="1563"/>
      <c r="B78" s="159" t="s">
        <v>4160</v>
      </c>
      <c r="C78" s="3125" t="s">
        <v>4256</v>
      </c>
      <c r="D78" s="3126"/>
      <c r="E78" s="3126"/>
      <c r="F78" s="3126"/>
      <c r="G78" s="3127"/>
      <c r="H78" s="2030"/>
      <c r="I78" s="110"/>
      <c r="K78" s="110"/>
      <c r="L78" s="110"/>
      <c r="N78" s="182" t="s">
        <v>780</v>
      </c>
      <c r="O78" s="182"/>
      <c r="S78" s="110"/>
      <c r="T78" s="110"/>
      <c r="U78" s="110"/>
    </row>
    <row r="79" spans="1:23" ht="23.25" hidden="1" customHeight="1">
      <c r="A79" s="1563"/>
      <c r="B79" s="159" t="s">
        <v>4163</v>
      </c>
      <c r="C79" s="3125" t="s">
        <v>4257</v>
      </c>
      <c r="D79" s="3126"/>
      <c r="E79" s="3126"/>
      <c r="F79" s="3126"/>
      <c r="G79" s="3127"/>
      <c r="H79" s="2030"/>
      <c r="I79" s="110"/>
      <c r="K79" s="110"/>
      <c r="L79" s="110"/>
      <c r="N79" s="182" t="s">
        <v>197</v>
      </c>
      <c r="O79" s="182"/>
      <c r="S79" s="110"/>
      <c r="T79" s="110"/>
      <c r="U79" s="110"/>
    </row>
    <row r="80" spans="1:23" ht="58.7" hidden="1" customHeight="1">
      <c r="A80" s="1563"/>
      <c r="B80" s="159" t="s">
        <v>4166</v>
      </c>
      <c r="C80" s="3125" t="s">
        <v>4258</v>
      </c>
      <c r="D80" s="3126"/>
      <c r="E80" s="3126"/>
      <c r="F80" s="3126"/>
      <c r="G80" s="3127"/>
      <c r="H80" s="2030"/>
      <c r="I80" s="110"/>
      <c r="K80" s="110"/>
      <c r="L80" s="110"/>
      <c r="N80" s="182" t="s">
        <v>1340</v>
      </c>
      <c r="O80" s="182"/>
      <c r="S80" s="110"/>
      <c r="T80" s="110"/>
      <c r="U80" s="110"/>
    </row>
    <row r="81" spans="1:21" ht="25.5" hidden="1" customHeight="1">
      <c r="A81" s="1563"/>
      <c r="B81" s="159" t="s">
        <v>4169</v>
      </c>
      <c r="C81" s="3125" t="s">
        <v>4259</v>
      </c>
      <c r="D81" s="3126"/>
      <c r="E81" s="3126"/>
      <c r="F81" s="3126"/>
      <c r="G81" s="3127"/>
      <c r="H81" s="2030"/>
      <c r="I81" s="110"/>
      <c r="K81" s="110"/>
      <c r="L81" s="110"/>
      <c r="N81" s="182">
        <v>1</v>
      </c>
      <c r="O81" s="182"/>
      <c r="S81" s="110"/>
      <c r="T81" s="110"/>
      <c r="U81" s="110"/>
    </row>
    <row r="82" spans="1:21" ht="23.25" hidden="1" customHeight="1">
      <c r="A82" s="1563"/>
      <c r="B82" s="159" t="s">
        <v>4172</v>
      </c>
      <c r="C82" s="3125" t="s">
        <v>4260</v>
      </c>
      <c r="D82" s="3126"/>
      <c r="E82" s="3126"/>
      <c r="F82" s="3126"/>
      <c r="G82" s="3127"/>
      <c r="H82" s="2030"/>
      <c r="I82" s="110"/>
      <c r="K82" s="110"/>
      <c r="L82" s="110"/>
      <c r="N82" s="182" t="s">
        <v>197</v>
      </c>
      <c r="O82" s="182"/>
      <c r="S82" s="110"/>
      <c r="T82" s="110"/>
      <c r="U82" s="110"/>
    </row>
    <row r="83" spans="1:21" ht="17.45" hidden="1" customHeight="1">
      <c r="A83" s="1563"/>
      <c r="B83" s="159" t="s">
        <v>4175</v>
      </c>
      <c r="C83" s="3125" t="s">
        <v>4261</v>
      </c>
      <c r="D83" s="3126"/>
      <c r="E83" s="3126"/>
      <c r="F83" s="3126"/>
      <c r="G83" s="3127"/>
      <c r="H83" s="2030"/>
      <c r="I83" s="110"/>
      <c r="K83" s="110"/>
      <c r="L83" s="110"/>
      <c r="N83" s="180">
        <v>1</v>
      </c>
      <c r="O83" s="180"/>
      <c r="S83" s="110"/>
      <c r="T83" s="110"/>
      <c r="U83" s="110"/>
    </row>
    <row r="84" spans="1:21" ht="17.45" hidden="1" customHeight="1">
      <c r="A84" s="1563"/>
      <c r="B84" s="159" t="s">
        <v>4178</v>
      </c>
      <c r="C84" s="3125" t="s">
        <v>4262</v>
      </c>
      <c r="D84" s="3126"/>
      <c r="E84" s="3126"/>
      <c r="F84" s="3126"/>
      <c r="G84" s="3127"/>
      <c r="H84" s="2030"/>
      <c r="I84" s="110"/>
      <c r="K84" s="110"/>
      <c r="L84" s="110"/>
      <c r="N84" s="180">
        <v>1</v>
      </c>
      <c r="O84" s="180"/>
      <c r="S84" s="110"/>
      <c r="T84" s="110"/>
      <c r="U84" s="110"/>
    </row>
    <row r="85" spans="1:21" ht="17.45" hidden="1" customHeight="1">
      <c r="A85" s="1563"/>
      <c r="B85" s="159" t="s">
        <v>4182</v>
      </c>
      <c r="C85" s="3125" t="s">
        <v>4263</v>
      </c>
      <c r="D85" s="3126"/>
      <c r="E85" s="3126"/>
      <c r="F85" s="3126"/>
      <c r="G85" s="3127"/>
      <c r="H85" s="2030"/>
      <c r="I85" s="110"/>
      <c r="K85" s="110"/>
      <c r="L85" s="110"/>
      <c r="N85" s="180">
        <v>1</v>
      </c>
      <c r="O85" s="180"/>
      <c r="S85" s="110"/>
      <c r="T85" s="110"/>
      <c r="U85" s="110"/>
    </row>
    <row r="86" spans="1:21" ht="38.25" hidden="1">
      <c r="A86" s="1563"/>
      <c r="B86" s="159" t="s">
        <v>4184</v>
      </c>
      <c r="C86" s="3125" t="s">
        <v>4264</v>
      </c>
      <c r="D86" s="3126"/>
      <c r="E86" s="3126"/>
      <c r="F86" s="3126"/>
      <c r="G86" s="3127"/>
      <c r="H86" s="2030"/>
      <c r="I86" s="110"/>
      <c r="K86" s="110"/>
      <c r="L86" s="110"/>
      <c r="N86" s="182" t="s">
        <v>780</v>
      </c>
      <c r="O86" s="182"/>
      <c r="S86" s="110"/>
      <c r="T86" s="110"/>
      <c r="U86" s="110"/>
    </row>
    <row r="87" spans="1:21" ht="40.700000000000003" hidden="1" customHeight="1">
      <c r="A87" s="1563"/>
      <c r="B87" s="159" t="s">
        <v>4188</v>
      </c>
      <c r="C87" s="3125" t="s">
        <v>4265</v>
      </c>
      <c r="D87" s="3126"/>
      <c r="E87" s="3126"/>
      <c r="F87" s="3126"/>
      <c r="G87" s="3127"/>
      <c r="H87" s="2030"/>
      <c r="I87" s="110"/>
      <c r="K87" s="110"/>
      <c r="L87" s="110"/>
      <c r="N87" s="182" t="s">
        <v>197</v>
      </c>
      <c r="O87" s="182"/>
    </row>
    <row r="88" spans="1:21" ht="69.75" hidden="1" customHeight="1">
      <c r="A88" s="1563"/>
      <c r="B88" s="159" t="s">
        <v>4192</v>
      </c>
      <c r="C88" s="3125" t="s">
        <v>4266</v>
      </c>
      <c r="D88" s="3126"/>
      <c r="E88" s="3126"/>
      <c r="F88" s="3126"/>
      <c r="G88" s="3127"/>
      <c r="H88" s="2030"/>
      <c r="I88" s="110"/>
      <c r="K88" s="110"/>
      <c r="L88" s="110"/>
      <c r="N88" s="182"/>
      <c r="O88" s="182"/>
    </row>
    <row r="89" spans="1:21" ht="40.700000000000003" hidden="1" customHeight="1">
      <c r="A89" s="1563"/>
      <c r="B89" s="159" t="s">
        <v>4195</v>
      </c>
      <c r="C89" s="3125" t="s">
        <v>4267</v>
      </c>
      <c r="D89" s="3126"/>
      <c r="E89" s="3126"/>
      <c r="F89" s="3126"/>
      <c r="G89" s="3127"/>
      <c r="H89" s="2030"/>
      <c r="I89" s="110"/>
      <c r="K89" s="110"/>
      <c r="L89" s="110"/>
      <c r="N89" s="182"/>
      <c r="O89" s="182"/>
    </row>
    <row r="90" spans="1:21" ht="48.2" hidden="1" customHeight="1">
      <c r="A90" s="1563"/>
      <c r="B90" s="159" t="s">
        <v>4199</v>
      </c>
      <c r="C90" s="3125" t="s">
        <v>4268</v>
      </c>
      <c r="D90" s="3126"/>
      <c r="E90" s="3126"/>
      <c r="F90" s="3126"/>
      <c r="G90" s="3127"/>
      <c r="H90" s="2030"/>
      <c r="I90" s="110"/>
      <c r="K90" s="110"/>
      <c r="L90" s="110"/>
      <c r="N90" s="182"/>
      <c r="O90" s="182"/>
    </row>
    <row r="91" spans="1:21" ht="104.25" hidden="1" customHeight="1">
      <c r="A91" s="1563"/>
      <c r="B91" s="159" t="s">
        <v>4202</v>
      </c>
      <c r="C91" s="3125" t="s">
        <v>4269</v>
      </c>
      <c r="D91" s="3126"/>
      <c r="E91" s="3126"/>
      <c r="F91" s="3126"/>
      <c r="G91" s="3127"/>
      <c r="H91" s="2030"/>
      <c r="I91" s="110"/>
      <c r="K91" s="110"/>
      <c r="L91" s="110"/>
      <c r="N91" s="182"/>
      <c r="O91" s="182"/>
    </row>
    <row r="92" spans="1:21" ht="13.7" hidden="1" customHeight="1">
      <c r="A92" s="1563"/>
      <c r="B92" s="159" t="s">
        <v>4206</v>
      </c>
      <c r="C92" s="2999" t="s">
        <v>4270</v>
      </c>
      <c r="D92" s="3000"/>
      <c r="E92" s="3000"/>
      <c r="F92" s="3000"/>
      <c r="G92" s="3001"/>
      <c r="H92" s="2030"/>
      <c r="I92" s="110"/>
      <c r="K92" s="110"/>
      <c r="L92" s="110"/>
      <c r="N92" s="182"/>
      <c r="O92" s="182"/>
    </row>
    <row r="93" spans="1:21" ht="18.75" hidden="1" customHeight="1">
      <c r="A93" s="1563"/>
      <c r="B93" s="159" t="s">
        <v>4210</v>
      </c>
      <c r="C93" s="2999" t="s">
        <v>4271</v>
      </c>
      <c r="D93" s="3000"/>
      <c r="E93" s="3000"/>
      <c r="F93" s="3000"/>
      <c r="G93" s="3001"/>
      <c r="H93" s="2030"/>
      <c r="I93" s="110"/>
      <c r="K93" s="110"/>
      <c r="L93" s="110"/>
      <c r="N93" s="182"/>
      <c r="O93" s="182"/>
    </row>
    <row r="94" spans="1:21" ht="17.45" hidden="1" customHeight="1">
      <c r="A94" s="1563"/>
      <c r="B94" s="159" t="s">
        <v>4215</v>
      </c>
      <c r="C94" s="2999" t="s">
        <v>4271</v>
      </c>
      <c r="D94" s="3000"/>
      <c r="E94" s="3000"/>
      <c r="F94" s="3000"/>
      <c r="G94" s="3001"/>
      <c r="H94" s="2030"/>
      <c r="I94" s="110"/>
      <c r="K94" s="110"/>
      <c r="L94" s="110"/>
      <c r="N94" s="180">
        <v>1</v>
      </c>
      <c r="O94" s="180"/>
    </row>
    <row r="95" spans="1:21" ht="17.45" hidden="1" customHeight="1">
      <c r="A95" s="1563"/>
      <c r="B95" s="159" t="s">
        <v>4218</v>
      </c>
      <c r="C95" s="2999" t="s">
        <v>4271</v>
      </c>
      <c r="D95" s="3000"/>
      <c r="E95" s="3000"/>
      <c r="F95" s="3000"/>
      <c r="G95" s="3001"/>
      <c r="H95" s="2030"/>
      <c r="I95" s="110"/>
      <c r="K95" s="110"/>
      <c r="L95" s="110"/>
      <c r="N95" s="180">
        <v>1</v>
      </c>
      <c r="O95" s="180"/>
    </row>
    <row r="96" spans="1:21" ht="14.25" hidden="1" customHeight="1" thickBot="1">
      <c r="A96" s="1563"/>
      <c r="B96" s="183" t="s">
        <v>4272</v>
      </c>
      <c r="C96" s="3131" t="s">
        <v>4273</v>
      </c>
      <c r="D96" s="3132"/>
      <c r="E96" s="3132"/>
      <c r="F96" s="3132"/>
      <c r="G96" s="3133"/>
      <c r="H96" s="2030"/>
      <c r="I96" s="110"/>
      <c r="K96" s="110"/>
      <c r="L96" s="110"/>
      <c r="N96" s="182">
        <v>1</v>
      </c>
      <c r="O96" s="182"/>
    </row>
    <row r="97" spans="1:12" hidden="1">
      <c r="A97" s="1563"/>
      <c r="I97" s="110"/>
      <c r="K97" s="110"/>
      <c r="L97" s="110"/>
    </row>
    <row r="98" spans="1:12" hidden="1">
      <c r="A98" s="1563"/>
    </row>
  </sheetData>
  <sheetProtection algorithmName="SHA-512" hashValue="ANI6Vi1cKeRgpsz2xEMsn5BYL5G5MeRPXYd0ZFyvL86SHRJVjW2DvvlKEbcnqK9db1kuEuEsgDlamHpaPGtWyw==" saltValue="dQ+QH7sH7+sa7T2QgmOXnw==" spinCount="100000" sheet="1" objects="1" scenarios="1"/>
  <mergeCells count="4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C96:G96"/>
    <mergeCell ref="C84:G84"/>
    <mergeCell ref="C85:G85"/>
    <mergeCell ref="C86:G86"/>
    <mergeCell ref="C87:G87"/>
    <mergeCell ref="AC3:AD4"/>
    <mergeCell ref="AF3:AF4"/>
    <mergeCell ref="AG3:AG4"/>
    <mergeCell ref="AH3:AH4"/>
    <mergeCell ref="J3:J4"/>
    <mergeCell ref="K3:K4"/>
  </mergeCells>
  <conditionalFormatting sqref="K10:K12 K43:K47 K17 K19:K20 K15">
    <cfRule type="cellIs" dxfId="245" priority="8" operator="equal">
      <formula>0</formula>
    </cfRule>
  </conditionalFormatting>
  <conditionalFormatting sqref="J42 J47">
    <cfRule type="cellIs" dxfId="244" priority="7" operator="equal">
      <formula>0</formula>
    </cfRule>
  </conditionalFormatting>
  <conditionalFormatting sqref="K16">
    <cfRule type="cellIs" dxfId="243" priority="5" operator="equal">
      <formula>0</formula>
    </cfRule>
  </conditionalFormatting>
  <conditionalFormatting sqref="K22">
    <cfRule type="cellIs" dxfId="242" priority="4" operator="equal">
      <formula>0</formula>
    </cfRule>
  </conditionalFormatting>
  <conditionalFormatting sqref="K31:K35">
    <cfRule type="cellIs" dxfId="241" priority="3" operator="equal">
      <formula>0</formula>
    </cfRule>
  </conditionalFormatting>
  <conditionalFormatting sqref="J37">
    <cfRule type="cellIs" dxfId="240" priority="2" operator="equal">
      <formula>""</formula>
    </cfRule>
  </conditionalFormatting>
  <conditionalFormatting sqref="K36">
    <cfRule type="cellIs" dxfId="2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3" max="9" man="1"/>
  </rowBreaks>
  <customProperties>
    <customPr name="_pios_id" r:id="rId2"/>
    <customPr name="EpmWorksheetKeyString_GUID" r:id="rId3"/>
  </customProperties>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pageSetUpPr fitToPage="1"/>
  </sheetPr>
  <dimension ref="A1:BP90"/>
  <sheetViews>
    <sheetView workbookViewId="0">
      <selection activeCell="P11" sqref="P11"/>
    </sheetView>
  </sheetViews>
  <sheetFormatPr defaultColWidth="0" defaultRowHeight="14.25" zeroHeight="1"/>
  <cols>
    <col min="1" max="1" width="0.5" style="8" customWidth="1"/>
    <col min="2" max="2" width="5.125" style="8" customWidth="1"/>
    <col min="3" max="3" width="36.5" style="8" customWidth="1"/>
    <col min="4" max="4" width="1.125" style="479" hidden="1" customWidth="1"/>
    <col min="5" max="6" width="5.125" style="8" customWidth="1"/>
    <col min="7" max="12" width="10.5" style="8" customWidth="1"/>
    <col min="13" max="14" width="5.125" style="8" customWidth="1"/>
    <col min="15" max="16" width="10.5" style="8" customWidth="1"/>
    <col min="17" max="17" width="2.5" style="162" customWidth="1"/>
    <col min="18" max="18" width="37.125" style="74" customWidth="1"/>
    <col min="19" max="19" width="1.5" style="70" customWidth="1"/>
    <col min="20" max="20" width="1.5" style="71" hidden="1" customWidth="1"/>
    <col min="21" max="27" width="4.5" style="70" hidden="1" customWidth="1"/>
    <col min="28" max="28" width="1.5" style="71" hidden="1" customWidth="1"/>
    <col min="29" max="29" width="8.5" style="72" hidden="1" customWidth="1"/>
    <col min="30" max="30" width="1.5" style="71" hidden="1" customWidth="1"/>
    <col min="31" max="32" width="8.5" style="8" hidden="1" customWidth="1"/>
    <col min="33" max="33" width="77" style="8" hidden="1" customWidth="1"/>
    <col min="34" max="34" width="1.5" style="71" hidden="1" customWidth="1"/>
    <col min="35" max="51" width="0" style="8" hidden="1" customWidth="1"/>
    <col min="52" max="52" width="8.5" style="8" customWidth="1"/>
    <col min="53" max="53" width="5.125" style="479" customWidth="1"/>
    <col min="54" max="54" width="36.5" style="479" customWidth="1"/>
    <col min="55" max="55" width="0.125" style="479" customWidth="1"/>
    <col min="56" max="57" width="5.125" style="479" customWidth="1"/>
    <col min="58" max="63" width="10.5" style="479" customWidth="1"/>
    <col min="64" max="65" width="5.125" style="479" customWidth="1"/>
    <col min="66" max="67" width="10.5" style="479" customWidth="1"/>
    <col min="68" max="68" width="8.5" style="8" customWidth="1"/>
    <col min="69" max="16384" width="8.5" style="8" hidden="1"/>
  </cols>
  <sheetData>
    <row r="1" spans="2:67" ht="20.25">
      <c r="B1" s="66" t="s">
        <v>4274</v>
      </c>
      <c r="C1" s="66"/>
      <c r="D1" s="66"/>
      <c r="E1" s="66"/>
      <c r="F1" s="66"/>
      <c r="G1" s="66"/>
      <c r="H1" s="66"/>
      <c r="I1" s="66"/>
      <c r="J1" s="66"/>
      <c r="K1" s="66"/>
      <c r="L1" s="67"/>
      <c r="M1" s="66"/>
      <c r="N1" s="66"/>
      <c r="O1" s="66"/>
      <c r="P1" s="68" t="str">
        <f>Validation!B3</f>
        <v>Yorkshire Water</v>
      </c>
      <c r="Q1" s="66"/>
      <c r="R1" s="69" t="s">
        <v>34</v>
      </c>
      <c r="AE1" s="479"/>
      <c r="AF1" s="479"/>
      <c r="AG1" s="479"/>
      <c r="AI1" s="479"/>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7"/>
      <c r="BL1" s="66"/>
      <c r="BM1" s="66"/>
      <c r="BN1" s="66"/>
      <c r="BO1" s="68"/>
    </row>
    <row r="2" spans="2:67" ht="15" thickBot="1">
      <c r="B2" s="73" t="str">
        <f>'4H'!B2</f>
        <v>For the 12 months ended 31 March 2020</v>
      </c>
      <c r="C2" s="479"/>
      <c r="E2" s="479"/>
      <c r="F2" s="479"/>
      <c r="G2" s="479"/>
      <c r="H2" s="479"/>
      <c r="I2" s="479"/>
      <c r="J2" s="479"/>
      <c r="K2" s="479"/>
      <c r="L2" s="479"/>
      <c r="M2" s="479"/>
      <c r="N2" s="479"/>
      <c r="O2" s="479"/>
      <c r="P2" s="479"/>
      <c r="Q2" s="74"/>
      <c r="R2" s="70"/>
      <c r="AE2" s="479"/>
      <c r="AF2" s="479"/>
      <c r="AG2" s="479"/>
      <c r="AI2" s="479"/>
      <c r="AJ2" s="479"/>
      <c r="AK2" s="479"/>
      <c r="AL2" s="479"/>
      <c r="AM2" s="479"/>
      <c r="AN2" s="479"/>
      <c r="AO2" s="479"/>
      <c r="AP2" s="479"/>
      <c r="AQ2" s="479"/>
      <c r="AR2" s="479"/>
      <c r="AS2" s="479"/>
      <c r="AT2" s="479"/>
      <c r="AU2" s="479"/>
      <c r="AV2" s="479"/>
      <c r="AW2" s="479"/>
      <c r="AX2" s="479"/>
      <c r="AY2" s="479"/>
      <c r="AZ2" s="479"/>
      <c r="BA2" s="73" t="str">
        <f>+B2</f>
        <v>For the 12 months ended 31 March 2020</v>
      </c>
    </row>
    <row r="3" spans="2:67" s="70" customFormat="1" ht="45" customHeight="1">
      <c r="B3" s="3057" t="s">
        <v>36</v>
      </c>
      <c r="C3" s="3058"/>
      <c r="D3" s="2985" t="s">
        <v>4275</v>
      </c>
      <c r="E3" s="3061" t="s">
        <v>38</v>
      </c>
      <c r="F3" s="3063" t="s">
        <v>39</v>
      </c>
      <c r="G3" s="3067" t="s">
        <v>4276</v>
      </c>
      <c r="H3" s="3068"/>
      <c r="I3" s="3069"/>
      <c r="J3" s="3067" t="s">
        <v>4277</v>
      </c>
      <c r="K3" s="3294"/>
      <c r="L3" s="3070" t="s">
        <v>4278</v>
      </c>
      <c r="M3" s="3291" t="s">
        <v>38</v>
      </c>
      <c r="N3" s="3063" t="s">
        <v>39</v>
      </c>
      <c r="O3" s="3067" t="s">
        <v>4279</v>
      </c>
      <c r="P3" s="3294"/>
      <c r="Q3" s="75"/>
      <c r="R3" s="3070" t="s">
        <v>4280</v>
      </c>
      <c r="T3" s="71"/>
      <c r="U3" s="76" t="s">
        <v>47</v>
      </c>
      <c r="V3" s="77"/>
      <c r="W3" s="77"/>
      <c r="X3" s="77"/>
      <c r="Y3" s="77"/>
      <c r="Z3" s="77"/>
      <c r="AA3" s="77"/>
      <c r="AB3" s="71"/>
      <c r="AC3" s="2987" t="s">
        <v>26</v>
      </c>
      <c r="AD3" s="71"/>
      <c r="AE3" s="76" t="s">
        <v>904</v>
      </c>
      <c r="AF3" s="2987"/>
      <c r="AG3" s="2987"/>
      <c r="AH3" s="71"/>
      <c r="BA3" s="3057" t="s">
        <v>36</v>
      </c>
      <c r="BB3" s="3058"/>
      <c r="BC3" s="2985" t="s">
        <v>4275</v>
      </c>
      <c r="BD3" s="3061" t="s">
        <v>38</v>
      </c>
      <c r="BE3" s="3063" t="s">
        <v>39</v>
      </c>
      <c r="BF3" s="3067" t="s">
        <v>4276</v>
      </c>
      <c r="BG3" s="3068"/>
      <c r="BH3" s="3069"/>
      <c r="BI3" s="3067" t="s">
        <v>4277</v>
      </c>
      <c r="BJ3" s="3294"/>
      <c r="BK3" s="3070" t="s">
        <v>4278</v>
      </c>
      <c r="BL3" s="3291" t="s">
        <v>38</v>
      </c>
      <c r="BM3" s="3063" t="s">
        <v>39</v>
      </c>
      <c r="BN3" s="3067" t="s">
        <v>4279</v>
      </c>
      <c r="BO3" s="3294"/>
    </row>
    <row r="4" spans="2:67" s="70" customFormat="1" ht="27.75" thickBot="1">
      <c r="B4" s="3059"/>
      <c r="C4" s="3060"/>
      <c r="D4" s="2986"/>
      <c r="E4" s="3295"/>
      <c r="F4" s="3064"/>
      <c r="G4" s="2997" t="s">
        <v>4281</v>
      </c>
      <c r="H4" s="78" t="s">
        <v>4282</v>
      </c>
      <c r="I4" s="2998" t="s">
        <v>4283</v>
      </c>
      <c r="J4" s="2997" t="s">
        <v>4284</v>
      </c>
      <c r="K4" s="2998" t="s">
        <v>4285</v>
      </c>
      <c r="L4" s="3284"/>
      <c r="M4" s="3292"/>
      <c r="N4" s="3293"/>
      <c r="O4" s="2997" t="s">
        <v>4286</v>
      </c>
      <c r="P4" s="2998" t="s">
        <v>4287</v>
      </c>
      <c r="Q4" s="74"/>
      <c r="R4" s="3071"/>
      <c r="S4" s="79"/>
      <c r="T4" s="71"/>
      <c r="AB4" s="71"/>
      <c r="AD4" s="71"/>
      <c r="AH4" s="71"/>
      <c r="BA4" s="3059"/>
      <c r="BB4" s="3060"/>
      <c r="BC4" s="2986"/>
      <c r="BD4" s="3295"/>
      <c r="BE4" s="3064"/>
      <c r="BF4" s="2997" t="s">
        <v>4281</v>
      </c>
      <c r="BG4" s="78" t="s">
        <v>4282</v>
      </c>
      <c r="BH4" s="2998" t="s">
        <v>4283</v>
      </c>
      <c r="BI4" s="2997" t="s">
        <v>4284</v>
      </c>
      <c r="BJ4" s="2998" t="s">
        <v>4285</v>
      </c>
      <c r="BK4" s="3284"/>
      <c r="BL4" s="3292"/>
      <c r="BM4" s="3293"/>
      <c r="BN4" s="2997" t="s">
        <v>4286</v>
      </c>
      <c r="BO4" s="2998" t="s">
        <v>4287</v>
      </c>
    </row>
    <row r="5" spans="2:67" ht="15" thickBot="1">
      <c r="B5" s="479"/>
      <c r="C5" s="479"/>
      <c r="E5" s="479"/>
      <c r="F5" s="479"/>
      <c r="G5" s="479"/>
      <c r="H5" s="479"/>
      <c r="I5" s="479"/>
      <c r="J5" s="479"/>
      <c r="K5" s="479"/>
      <c r="L5" s="479"/>
      <c r="M5" s="479"/>
      <c r="N5" s="479"/>
      <c r="O5" s="479"/>
      <c r="P5" s="479"/>
      <c r="Q5" s="74"/>
      <c r="AE5" s="479"/>
      <c r="AF5" s="479"/>
      <c r="AG5" s="479"/>
      <c r="AI5" s="479"/>
      <c r="AJ5" s="479"/>
      <c r="AK5" s="479"/>
      <c r="AL5" s="479"/>
      <c r="AM5" s="479"/>
      <c r="AN5" s="479"/>
      <c r="AO5" s="479"/>
      <c r="AP5" s="479"/>
      <c r="AQ5" s="479"/>
      <c r="AR5" s="479"/>
      <c r="AS5" s="479"/>
      <c r="AT5" s="479"/>
      <c r="AU5" s="479"/>
      <c r="AV5" s="479"/>
      <c r="AW5" s="479"/>
      <c r="AX5" s="479"/>
      <c r="AY5" s="479"/>
      <c r="AZ5" s="479"/>
      <c r="BF5" s="2482" t="s">
        <v>4288</v>
      </c>
      <c r="BG5" s="2482" t="s">
        <v>4289</v>
      </c>
      <c r="BH5" s="2482" t="s">
        <v>4290</v>
      </c>
      <c r="BI5" s="2482" t="s">
        <v>4291</v>
      </c>
      <c r="BJ5" s="2482" t="s">
        <v>4292</v>
      </c>
      <c r="BK5" s="2482" t="s">
        <v>4293</v>
      </c>
      <c r="BL5" s="2482"/>
      <c r="BM5" s="2482"/>
      <c r="BN5" s="2482" t="s">
        <v>4294</v>
      </c>
      <c r="BO5" s="2482" t="s">
        <v>4295</v>
      </c>
    </row>
    <row r="6" spans="2:67" ht="15" thickBot="1">
      <c r="B6" s="80" t="s">
        <v>4296</v>
      </c>
      <c r="C6" s="81"/>
      <c r="D6" s="1526"/>
      <c r="E6" s="82"/>
      <c r="F6" s="82"/>
      <c r="G6" s="82"/>
      <c r="H6" s="82"/>
      <c r="I6" s="82"/>
      <c r="J6" s="82"/>
      <c r="K6" s="82"/>
      <c r="L6" s="82"/>
      <c r="M6" s="82"/>
      <c r="N6" s="82"/>
      <c r="O6" s="82"/>
      <c r="P6" s="82"/>
      <c r="Q6" s="74"/>
      <c r="AE6" s="479"/>
      <c r="AF6" s="479"/>
      <c r="AG6" s="479"/>
      <c r="AI6" s="479"/>
      <c r="AJ6" s="479"/>
      <c r="AK6" s="479"/>
      <c r="AL6" s="479"/>
      <c r="AM6" s="479"/>
      <c r="AN6" s="479"/>
      <c r="AO6" s="479"/>
      <c r="AP6" s="479"/>
      <c r="AQ6" s="479"/>
      <c r="AR6" s="479"/>
      <c r="AS6" s="479"/>
      <c r="AT6" s="479"/>
      <c r="AU6" s="479"/>
      <c r="AV6" s="479"/>
      <c r="AW6" s="479"/>
      <c r="AX6" s="479"/>
      <c r="AY6" s="479"/>
      <c r="AZ6" s="479"/>
      <c r="BA6" s="80" t="s">
        <v>4296</v>
      </c>
      <c r="BB6" s="81"/>
      <c r="BC6" s="82"/>
      <c r="BD6" s="82"/>
      <c r="BE6" s="82"/>
      <c r="BF6" s="82"/>
      <c r="BG6" s="82"/>
      <c r="BH6" s="82"/>
      <c r="BI6" s="82"/>
      <c r="BJ6" s="82"/>
      <c r="BK6" s="82"/>
      <c r="BL6" s="82"/>
      <c r="BM6" s="82"/>
      <c r="BN6" s="82"/>
      <c r="BO6" s="82"/>
    </row>
    <row r="7" spans="2:67" ht="15.75" thickBot="1">
      <c r="B7" s="3036" t="s">
        <v>155</v>
      </c>
      <c r="C7" s="83" t="s">
        <v>4297</v>
      </c>
      <c r="D7" s="1505"/>
      <c r="E7" s="84"/>
      <c r="F7" s="84"/>
      <c r="G7" s="84"/>
      <c r="H7" s="84"/>
      <c r="I7" s="84"/>
      <c r="J7" s="82"/>
      <c r="K7" s="82"/>
      <c r="L7" s="82"/>
      <c r="M7" s="84"/>
      <c r="N7" s="84"/>
      <c r="O7" s="82"/>
      <c r="P7" s="82"/>
      <c r="Q7" s="74"/>
      <c r="U7" s="85" t="s">
        <v>48</v>
      </c>
      <c r="AE7" s="479"/>
      <c r="AF7" s="479"/>
      <c r="AG7" s="479"/>
      <c r="AI7" s="479"/>
      <c r="AJ7" s="479"/>
      <c r="AK7" s="479"/>
      <c r="AL7" s="479"/>
      <c r="AM7" s="479"/>
      <c r="AN7" s="479"/>
      <c r="AO7" s="479"/>
      <c r="AP7" s="479"/>
      <c r="AQ7" s="479"/>
      <c r="AR7" s="479"/>
      <c r="AS7" s="479"/>
      <c r="AT7" s="479"/>
      <c r="AU7" s="479"/>
      <c r="AV7" s="479"/>
      <c r="AW7" s="479"/>
      <c r="AX7" s="479"/>
      <c r="AY7" s="479"/>
      <c r="AZ7" s="479"/>
      <c r="BA7" s="3036" t="s">
        <v>155</v>
      </c>
      <c r="BB7" s="83" t="s">
        <v>4297</v>
      </c>
      <c r="BC7" s="2404"/>
      <c r="BD7" s="84"/>
      <c r="BE7" s="84"/>
      <c r="BF7" s="84"/>
      <c r="BG7" s="84"/>
      <c r="BH7" s="84"/>
      <c r="BI7" s="82"/>
      <c r="BJ7" s="82"/>
      <c r="BK7" s="82"/>
      <c r="BL7" s="84"/>
      <c r="BM7" s="84"/>
      <c r="BN7" s="82"/>
      <c r="BO7" s="82"/>
    </row>
    <row r="8" spans="2:67">
      <c r="B8" s="86" t="s">
        <v>4298</v>
      </c>
      <c r="C8" s="87" t="s">
        <v>4299</v>
      </c>
      <c r="D8" s="171"/>
      <c r="E8" s="88" t="s">
        <v>51</v>
      </c>
      <c r="F8" s="89">
        <v>3</v>
      </c>
      <c r="G8" s="36">
        <v>0</v>
      </c>
      <c r="H8" s="37">
        <v>0</v>
      </c>
      <c r="I8" s="38">
        <v>45</v>
      </c>
      <c r="J8" s="90">
        <f>SUM(G8:I8)</f>
        <v>45</v>
      </c>
      <c r="K8" s="38">
        <v>-26.611000000000001</v>
      </c>
      <c r="L8" s="39">
        <v>0</v>
      </c>
      <c r="M8" s="91" t="s">
        <v>734</v>
      </c>
      <c r="N8" s="89">
        <v>2</v>
      </c>
      <c r="O8" s="868">
        <v>6.0299999999999999E-2</v>
      </c>
      <c r="P8" s="869">
        <v>0</v>
      </c>
      <c r="Q8" s="92"/>
      <c r="R8" s="24">
        <f xml:space="preserve"> IF( SUM( T8:AB8 ) = 0, 0, $U$7 )</f>
        <v>0</v>
      </c>
      <c r="U8" s="93">
        <f xml:space="preserve"> IF( ISNUMBER( G8 ), 0, 1 )</f>
        <v>0</v>
      </c>
      <c r="V8" s="93">
        <f t="shared" ref="V8:W8" si="0" xml:space="preserve"> IF( ISNUMBER( H8 ), 0, 1 )</f>
        <v>0</v>
      </c>
      <c r="W8" s="93">
        <f t="shared" si="0"/>
        <v>0</v>
      </c>
      <c r="X8" s="93">
        <f xml:space="preserve"> IF( ISNUMBER( K8 ), 0, 1 )</f>
        <v>0</v>
      </c>
      <c r="Y8" s="93">
        <f xml:space="preserve"> IF( ISNUMBER( L8 ), 0, 1 )</f>
        <v>0</v>
      </c>
      <c r="Z8" s="93">
        <f xml:space="preserve"> IF( ISNUMBER( O8 ), 0, 1 )</f>
        <v>0</v>
      </c>
      <c r="AA8" s="93">
        <f xml:space="preserve"> IF( ISNUMBER( P8 ), 0, 1 )</f>
        <v>0</v>
      </c>
      <c r="AE8" s="23"/>
      <c r="AF8" s="23"/>
      <c r="AG8" s="23"/>
      <c r="AI8" s="479"/>
      <c r="AJ8" s="479"/>
      <c r="AK8" s="479"/>
      <c r="AL8" s="479"/>
      <c r="AM8" s="479"/>
      <c r="AN8" s="479"/>
      <c r="AO8" s="479"/>
      <c r="AP8" s="479"/>
      <c r="AQ8" s="479"/>
      <c r="AR8" s="479"/>
      <c r="AS8" s="479"/>
      <c r="AT8" s="479"/>
      <c r="AU8" s="479"/>
      <c r="AV8" s="479"/>
      <c r="AW8" s="479"/>
      <c r="AX8" s="479"/>
      <c r="AY8" s="479"/>
      <c r="AZ8" s="479"/>
      <c r="BA8" s="86" t="s">
        <v>4298</v>
      </c>
      <c r="BB8" s="87" t="s">
        <v>4299</v>
      </c>
      <c r="BC8" s="171"/>
      <c r="BD8" s="88" t="s">
        <v>51</v>
      </c>
      <c r="BE8" s="89">
        <v>3</v>
      </c>
      <c r="BF8" s="2714" t="s">
        <v>4300</v>
      </c>
      <c r="BG8" s="2715" t="s">
        <v>4301</v>
      </c>
      <c r="BH8" s="2716" t="s">
        <v>4302</v>
      </c>
      <c r="BI8" s="90" t="s">
        <v>4303</v>
      </c>
      <c r="BJ8" s="2716" t="s">
        <v>4304</v>
      </c>
      <c r="BK8" s="2717" t="s">
        <v>4305</v>
      </c>
      <c r="BL8" s="91" t="s">
        <v>734</v>
      </c>
      <c r="BM8" s="89">
        <v>2</v>
      </c>
      <c r="BN8" s="2718" t="s">
        <v>4306</v>
      </c>
      <c r="BO8" s="2719" t="s">
        <v>4307</v>
      </c>
    </row>
    <row r="9" spans="2:67" s="479" customFormat="1">
      <c r="B9" s="170" t="s">
        <v>4308</v>
      </c>
      <c r="C9" s="87" t="s">
        <v>4309</v>
      </c>
      <c r="D9" s="87"/>
      <c r="E9" s="95" t="s">
        <v>51</v>
      </c>
      <c r="F9" s="96">
        <v>3</v>
      </c>
      <c r="G9" s="635">
        <v>0</v>
      </c>
      <c r="H9" s="636">
        <v>0</v>
      </c>
      <c r="I9" s="637">
        <v>430</v>
      </c>
      <c r="J9" s="97">
        <f t="shared" ref="J9:J13" si="1">SUM(G9:I9)</f>
        <v>430</v>
      </c>
      <c r="K9" s="637">
        <v>82.409000000000006</v>
      </c>
      <c r="L9" s="638">
        <v>0</v>
      </c>
      <c r="M9" s="98" t="s">
        <v>734</v>
      </c>
      <c r="N9" s="96">
        <v>2</v>
      </c>
      <c r="O9" s="870">
        <v>1.4200000000000001E-2</v>
      </c>
      <c r="P9" s="871">
        <v>0</v>
      </c>
      <c r="Q9" s="92"/>
      <c r="R9" s="24">
        <f t="shared" ref="R9:R13" si="2" xml:space="preserve"> IF( SUM( T9:AB9 ) = 0, 0, $U$7 )</f>
        <v>0</v>
      </c>
      <c r="S9" s="70"/>
      <c r="T9" s="71"/>
      <c r="U9" s="93">
        <f t="shared" ref="U9:U13" si="3" xml:space="preserve"> IF( ISNUMBER( G9 ), 0, 1 )</f>
        <v>0</v>
      </c>
      <c r="V9" s="93">
        <f t="shared" ref="V9:V13" si="4" xml:space="preserve"> IF( ISNUMBER( H9 ), 0, 1 )</f>
        <v>0</v>
      </c>
      <c r="W9" s="93">
        <f t="shared" ref="W9:W13" si="5" xml:space="preserve"> IF( ISNUMBER( I9 ), 0, 1 )</f>
        <v>0</v>
      </c>
      <c r="X9" s="93">
        <f t="shared" ref="X9:X13" si="6" xml:space="preserve"> IF( ISNUMBER( K9 ), 0, 1 )</f>
        <v>0</v>
      </c>
      <c r="Y9" s="93">
        <f t="shared" ref="Y9:Y13" si="7" xml:space="preserve"> IF( ISNUMBER( L9 ), 0, 1 )</f>
        <v>0</v>
      </c>
      <c r="Z9" s="93">
        <f t="shared" ref="Z9:Z13" si="8" xml:space="preserve"> IF( ISNUMBER( O9 ), 0, 1 )</f>
        <v>0</v>
      </c>
      <c r="AA9" s="93">
        <f t="shared" ref="AA9:AA13" si="9" xml:space="preserve"> IF( ISNUMBER( P9 ), 0, 1 )</f>
        <v>0</v>
      </c>
      <c r="AB9" s="71"/>
      <c r="AC9" s="72"/>
      <c r="AD9" s="71"/>
      <c r="AE9" s="23"/>
      <c r="AF9" s="23"/>
      <c r="AG9" s="23"/>
      <c r="AH9" s="71"/>
      <c r="BA9" s="170" t="s">
        <v>4308</v>
      </c>
      <c r="BB9" s="87" t="s">
        <v>4309</v>
      </c>
      <c r="BC9" s="87"/>
      <c r="BD9" s="95" t="s">
        <v>51</v>
      </c>
      <c r="BE9" s="96">
        <v>3</v>
      </c>
      <c r="BF9" s="2720" t="s">
        <v>4310</v>
      </c>
      <c r="BG9" s="2721" t="s">
        <v>4311</v>
      </c>
      <c r="BH9" s="2722" t="s">
        <v>4312</v>
      </c>
      <c r="BI9" s="97" t="s">
        <v>4313</v>
      </c>
      <c r="BJ9" s="2722" t="s">
        <v>4314</v>
      </c>
      <c r="BK9" s="2723" t="s">
        <v>4315</v>
      </c>
      <c r="BL9" s="98" t="s">
        <v>734</v>
      </c>
      <c r="BM9" s="96">
        <v>2</v>
      </c>
      <c r="BN9" s="2724" t="s">
        <v>4316</v>
      </c>
      <c r="BO9" s="2725" t="s">
        <v>4317</v>
      </c>
    </row>
    <row r="10" spans="2:67">
      <c r="B10" s="94" t="s">
        <v>4318</v>
      </c>
      <c r="C10" s="87" t="s">
        <v>4319</v>
      </c>
      <c r="D10" s="87"/>
      <c r="E10" s="95" t="s">
        <v>51</v>
      </c>
      <c r="F10" s="96">
        <v>3</v>
      </c>
      <c r="G10" s="40">
        <v>0</v>
      </c>
      <c r="H10" s="41">
        <v>0</v>
      </c>
      <c r="I10" s="42">
        <v>0</v>
      </c>
      <c r="J10" s="97">
        <f t="shared" si="1"/>
        <v>0</v>
      </c>
      <c r="K10" s="42">
        <v>0</v>
      </c>
      <c r="L10" s="43">
        <v>0</v>
      </c>
      <c r="M10" s="98" t="s">
        <v>734</v>
      </c>
      <c r="N10" s="96">
        <v>2</v>
      </c>
      <c r="O10" s="872">
        <v>0</v>
      </c>
      <c r="P10" s="873">
        <v>0</v>
      </c>
      <c r="Q10" s="92"/>
      <c r="R10" s="24">
        <f t="shared" si="2"/>
        <v>0</v>
      </c>
      <c r="U10" s="93">
        <f t="shared" si="3"/>
        <v>0</v>
      </c>
      <c r="V10" s="93">
        <f t="shared" si="4"/>
        <v>0</v>
      </c>
      <c r="W10" s="93">
        <f t="shared" si="5"/>
        <v>0</v>
      </c>
      <c r="X10" s="93">
        <f t="shared" si="6"/>
        <v>0</v>
      </c>
      <c r="Y10" s="93">
        <f t="shared" si="7"/>
        <v>0</v>
      </c>
      <c r="Z10" s="93">
        <f t="shared" si="8"/>
        <v>0</v>
      </c>
      <c r="AA10" s="93">
        <f t="shared" si="9"/>
        <v>0</v>
      </c>
      <c r="AE10" s="23"/>
      <c r="AF10" s="23"/>
      <c r="AG10" s="23"/>
      <c r="AI10" s="479"/>
      <c r="AJ10" s="479"/>
      <c r="AK10" s="479"/>
      <c r="AL10" s="479"/>
      <c r="AM10" s="479"/>
      <c r="AN10" s="479"/>
      <c r="AO10" s="479"/>
      <c r="AP10" s="479"/>
      <c r="AQ10" s="479"/>
      <c r="AR10" s="479"/>
      <c r="AS10" s="479"/>
      <c r="AT10" s="479"/>
      <c r="AU10" s="479"/>
      <c r="AV10" s="479"/>
      <c r="AW10" s="479"/>
      <c r="AX10" s="479"/>
      <c r="AY10" s="479"/>
      <c r="AZ10" s="479"/>
      <c r="BA10" s="94" t="s">
        <v>4318</v>
      </c>
      <c r="BB10" s="87" t="s">
        <v>4319</v>
      </c>
      <c r="BC10" s="87"/>
      <c r="BD10" s="95" t="s">
        <v>51</v>
      </c>
      <c r="BE10" s="96">
        <v>3</v>
      </c>
      <c r="BF10" s="2726" t="s">
        <v>4320</v>
      </c>
      <c r="BG10" s="2727" t="s">
        <v>4321</v>
      </c>
      <c r="BH10" s="2728" t="s">
        <v>4322</v>
      </c>
      <c r="BI10" s="97" t="s">
        <v>4323</v>
      </c>
      <c r="BJ10" s="2728" t="s">
        <v>4324</v>
      </c>
      <c r="BK10" s="2729" t="s">
        <v>4325</v>
      </c>
      <c r="BL10" s="98" t="s">
        <v>734</v>
      </c>
      <c r="BM10" s="96">
        <v>2</v>
      </c>
      <c r="BN10" s="2730" t="s">
        <v>4326</v>
      </c>
      <c r="BO10" s="2731" t="s">
        <v>4327</v>
      </c>
    </row>
    <row r="11" spans="2:67" s="479" customFormat="1">
      <c r="B11" s="94" t="s">
        <v>4328</v>
      </c>
      <c r="C11" s="87" t="s">
        <v>4329</v>
      </c>
      <c r="D11" s="87"/>
      <c r="E11" s="95" t="s">
        <v>51</v>
      </c>
      <c r="F11" s="96">
        <v>3</v>
      </c>
      <c r="G11" s="40">
        <v>0</v>
      </c>
      <c r="H11" s="41">
        <v>174.928</v>
      </c>
      <c r="I11" s="42">
        <v>1114.0719999999999</v>
      </c>
      <c r="J11" s="97">
        <f t="shared" si="1"/>
        <v>1289</v>
      </c>
      <c r="K11" s="42">
        <v>-2694.5390000000002</v>
      </c>
      <c r="L11" s="43">
        <v>154.00200000000001</v>
      </c>
      <c r="M11" s="98" t="s">
        <v>734</v>
      </c>
      <c r="N11" s="96">
        <v>2</v>
      </c>
      <c r="O11" s="874">
        <v>2.9100000000000001E-2</v>
      </c>
      <c r="P11" s="875">
        <v>3.1899999999999998E-2</v>
      </c>
      <c r="Q11" s="92"/>
      <c r="R11" s="24">
        <f t="shared" si="2"/>
        <v>0</v>
      </c>
      <c r="S11" s="70"/>
      <c r="T11" s="71"/>
      <c r="U11" s="93">
        <f t="shared" si="3"/>
        <v>0</v>
      </c>
      <c r="V11" s="93">
        <f t="shared" si="4"/>
        <v>0</v>
      </c>
      <c r="W11" s="93">
        <f t="shared" si="5"/>
        <v>0</v>
      </c>
      <c r="X11" s="93">
        <f t="shared" si="6"/>
        <v>0</v>
      </c>
      <c r="Y11" s="93">
        <f t="shared" si="7"/>
        <v>0</v>
      </c>
      <c r="Z11" s="93">
        <f t="shared" si="8"/>
        <v>0</v>
      </c>
      <c r="AA11" s="93">
        <f t="shared" si="9"/>
        <v>0</v>
      </c>
      <c r="AB11" s="71"/>
      <c r="AC11" s="72"/>
      <c r="AD11" s="71"/>
      <c r="AE11" s="23"/>
      <c r="AF11" s="23"/>
      <c r="AG11" s="23"/>
      <c r="AH11" s="71"/>
      <c r="BA11" s="94" t="s">
        <v>4328</v>
      </c>
      <c r="BB11" s="87" t="s">
        <v>4329</v>
      </c>
      <c r="BC11" s="87"/>
      <c r="BD11" s="95" t="s">
        <v>51</v>
      </c>
      <c r="BE11" s="96">
        <v>3</v>
      </c>
      <c r="BF11" s="2726" t="s">
        <v>4330</v>
      </c>
      <c r="BG11" s="2727" t="s">
        <v>4331</v>
      </c>
      <c r="BH11" s="2728" t="s">
        <v>4332</v>
      </c>
      <c r="BI11" s="97" t="s">
        <v>4333</v>
      </c>
      <c r="BJ11" s="2728" t="s">
        <v>4334</v>
      </c>
      <c r="BK11" s="2729" t="s">
        <v>4335</v>
      </c>
      <c r="BL11" s="98" t="s">
        <v>734</v>
      </c>
      <c r="BM11" s="96">
        <v>2</v>
      </c>
      <c r="BN11" s="2732" t="s">
        <v>4336</v>
      </c>
      <c r="BO11" s="2733" t="s">
        <v>4337</v>
      </c>
    </row>
    <row r="12" spans="2:67" ht="15" customHeight="1">
      <c r="B12" s="94" t="s">
        <v>4338</v>
      </c>
      <c r="C12" s="87" t="s">
        <v>4339</v>
      </c>
      <c r="D12" s="87"/>
      <c r="E12" s="95" t="s">
        <v>51</v>
      </c>
      <c r="F12" s="96">
        <v>3</v>
      </c>
      <c r="G12" s="40">
        <v>0</v>
      </c>
      <c r="H12" s="41">
        <v>0</v>
      </c>
      <c r="I12" s="42">
        <v>0</v>
      </c>
      <c r="J12" s="97">
        <f t="shared" si="1"/>
        <v>0</v>
      </c>
      <c r="K12" s="42">
        <v>0</v>
      </c>
      <c r="L12" s="43">
        <v>0</v>
      </c>
      <c r="M12" s="98" t="s">
        <v>734</v>
      </c>
      <c r="N12" s="96">
        <v>2</v>
      </c>
      <c r="O12" s="874">
        <v>0</v>
      </c>
      <c r="P12" s="875">
        <v>0</v>
      </c>
      <c r="Q12" s="92"/>
      <c r="R12" s="24">
        <f t="shared" si="2"/>
        <v>0</v>
      </c>
      <c r="U12" s="93">
        <f t="shared" si="3"/>
        <v>0</v>
      </c>
      <c r="V12" s="93">
        <f t="shared" si="4"/>
        <v>0</v>
      </c>
      <c r="W12" s="93">
        <f t="shared" si="5"/>
        <v>0</v>
      </c>
      <c r="X12" s="93">
        <f t="shared" si="6"/>
        <v>0</v>
      </c>
      <c r="Y12" s="93">
        <f t="shared" si="7"/>
        <v>0</v>
      </c>
      <c r="Z12" s="93">
        <f t="shared" si="8"/>
        <v>0</v>
      </c>
      <c r="AA12" s="93">
        <f t="shared" si="9"/>
        <v>0</v>
      </c>
      <c r="AE12" s="23"/>
      <c r="AF12" s="23"/>
      <c r="AG12" s="23"/>
      <c r="AI12" s="479"/>
      <c r="AJ12" s="479"/>
      <c r="AK12" s="479"/>
      <c r="AL12" s="479"/>
      <c r="AM12" s="479"/>
      <c r="AN12" s="479"/>
      <c r="AO12" s="479"/>
      <c r="AP12" s="479"/>
      <c r="AQ12" s="479"/>
      <c r="AR12" s="479"/>
      <c r="AS12" s="479"/>
      <c r="AT12" s="479"/>
      <c r="AU12" s="479"/>
      <c r="AV12" s="479"/>
      <c r="AW12" s="479"/>
      <c r="AX12" s="479"/>
      <c r="AY12" s="479"/>
      <c r="AZ12" s="479"/>
      <c r="BA12" s="94" t="s">
        <v>4338</v>
      </c>
      <c r="BB12" s="87" t="s">
        <v>4339</v>
      </c>
      <c r="BC12" s="87"/>
      <c r="BD12" s="95" t="s">
        <v>51</v>
      </c>
      <c r="BE12" s="96">
        <v>3</v>
      </c>
      <c r="BF12" s="2726" t="s">
        <v>4340</v>
      </c>
      <c r="BG12" s="2727" t="s">
        <v>4341</v>
      </c>
      <c r="BH12" s="2728" t="s">
        <v>4342</v>
      </c>
      <c r="BI12" s="97" t="s">
        <v>4343</v>
      </c>
      <c r="BJ12" s="2728" t="s">
        <v>4344</v>
      </c>
      <c r="BK12" s="2729" t="s">
        <v>4345</v>
      </c>
      <c r="BL12" s="98" t="s">
        <v>734</v>
      </c>
      <c r="BM12" s="96">
        <v>2</v>
      </c>
      <c r="BN12" s="2732" t="s">
        <v>4346</v>
      </c>
      <c r="BO12" s="2733" t="s">
        <v>4347</v>
      </c>
    </row>
    <row r="13" spans="2:67" s="479" customFormat="1" ht="15" customHeight="1" thickBot="1">
      <c r="B13" s="366" t="s">
        <v>4348</v>
      </c>
      <c r="C13" s="87" t="s">
        <v>4349</v>
      </c>
      <c r="D13" s="87"/>
      <c r="E13" s="95" t="s">
        <v>51</v>
      </c>
      <c r="F13" s="96">
        <v>3</v>
      </c>
      <c r="G13" s="639">
        <v>0</v>
      </c>
      <c r="H13" s="640">
        <v>0</v>
      </c>
      <c r="I13" s="641">
        <v>0</v>
      </c>
      <c r="J13" s="97">
        <f t="shared" si="1"/>
        <v>0</v>
      </c>
      <c r="K13" s="641">
        <v>0</v>
      </c>
      <c r="L13" s="642">
        <v>0</v>
      </c>
      <c r="M13" s="99" t="s">
        <v>734</v>
      </c>
      <c r="N13" s="100">
        <v>2</v>
      </c>
      <c r="O13" s="876">
        <v>0</v>
      </c>
      <c r="P13" s="877">
        <v>0</v>
      </c>
      <c r="Q13" s="92"/>
      <c r="R13" s="24">
        <f t="shared" si="2"/>
        <v>0</v>
      </c>
      <c r="S13" s="70"/>
      <c r="T13" s="71"/>
      <c r="U13" s="93">
        <f t="shared" si="3"/>
        <v>0</v>
      </c>
      <c r="V13" s="93">
        <f t="shared" si="4"/>
        <v>0</v>
      </c>
      <c r="W13" s="93">
        <f t="shared" si="5"/>
        <v>0</v>
      </c>
      <c r="X13" s="93">
        <f t="shared" si="6"/>
        <v>0</v>
      </c>
      <c r="Y13" s="93">
        <f t="shared" si="7"/>
        <v>0</v>
      </c>
      <c r="Z13" s="93">
        <f t="shared" si="8"/>
        <v>0</v>
      </c>
      <c r="AA13" s="93">
        <f t="shared" si="9"/>
        <v>0</v>
      </c>
      <c r="AB13" s="71"/>
      <c r="AC13" s="72"/>
      <c r="AD13" s="71"/>
      <c r="AE13" s="23"/>
      <c r="AF13" s="23"/>
      <c r="AG13" s="23"/>
      <c r="AH13" s="71"/>
      <c r="BA13" s="366" t="s">
        <v>4348</v>
      </c>
      <c r="BB13" s="87" t="s">
        <v>4349</v>
      </c>
      <c r="BC13" s="87"/>
      <c r="BD13" s="95" t="s">
        <v>51</v>
      </c>
      <c r="BE13" s="96">
        <v>3</v>
      </c>
      <c r="BF13" s="2734" t="s">
        <v>4350</v>
      </c>
      <c r="BG13" s="2735" t="s">
        <v>4351</v>
      </c>
      <c r="BH13" s="2736" t="s">
        <v>4352</v>
      </c>
      <c r="BI13" s="97" t="s">
        <v>4353</v>
      </c>
      <c r="BJ13" s="2736" t="s">
        <v>4354</v>
      </c>
      <c r="BK13" s="2737" t="s">
        <v>4355</v>
      </c>
      <c r="BL13" s="99" t="s">
        <v>734</v>
      </c>
      <c r="BM13" s="100">
        <v>2</v>
      </c>
      <c r="BN13" s="2738" t="s">
        <v>4356</v>
      </c>
      <c r="BO13" s="2739" t="s">
        <v>4357</v>
      </c>
    </row>
    <row r="14" spans="2:67" ht="15" customHeight="1" thickBot="1">
      <c r="B14" s="101" t="s">
        <v>4358</v>
      </c>
      <c r="C14" s="102" t="s">
        <v>710</v>
      </c>
      <c r="D14" s="102"/>
      <c r="E14" s="103" t="s">
        <v>51</v>
      </c>
      <c r="F14" s="100">
        <v>3</v>
      </c>
      <c r="G14" s="104">
        <f t="shared" ref="G14:L14" si="10">SUM(G8:G13)</f>
        <v>0</v>
      </c>
      <c r="H14" s="105">
        <f t="shared" si="10"/>
        <v>174.928</v>
      </c>
      <c r="I14" s="106">
        <f t="shared" si="10"/>
        <v>1589.0719999999999</v>
      </c>
      <c r="J14" s="104">
        <f t="shared" si="10"/>
        <v>1764</v>
      </c>
      <c r="K14" s="106">
        <f t="shared" si="10"/>
        <v>-2638.741</v>
      </c>
      <c r="L14" s="107">
        <f t="shared" si="10"/>
        <v>154.00200000000001</v>
      </c>
      <c r="M14" s="479"/>
      <c r="N14" s="479"/>
      <c r="O14" s="108"/>
      <c r="P14" s="108"/>
      <c r="Q14" s="92"/>
      <c r="AE14" s="23"/>
      <c r="AF14" s="23"/>
      <c r="AG14" s="23"/>
      <c r="AI14" s="479"/>
      <c r="AJ14" s="479"/>
      <c r="AK14" s="479"/>
      <c r="AL14" s="479"/>
      <c r="AM14" s="479"/>
      <c r="AN14" s="479"/>
      <c r="AO14" s="479"/>
      <c r="AP14" s="479"/>
      <c r="AQ14" s="479"/>
      <c r="AR14" s="479"/>
      <c r="AS14" s="479"/>
      <c r="AT14" s="479"/>
      <c r="AU14" s="479"/>
      <c r="AV14" s="479"/>
      <c r="AW14" s="479"/>
      <c r="AX14" s="479"/>
      <c r="AY14" s="479"/>
      <c r="AZ14" s="479"/>
      <c r="BA14" s="101" t="s">
        <v>4358</v>
      </c>
      <c r="BB14" s="102" t="s">
        <v>710</v>
      </c>
      <c r="BC14" s="102"/>
      <c r="BD14" s="103" t="s">
        <v>51</v>
      </c>
      <c r="BE14" s="100">
        <v>3</v>
      </c>
      <c r="BF14" s="104" t="s">
        <v>4359</v>
      </c>
      <c r="BG14" s="105" t="s">
        <v>4360</v>
      </c>
      <c r="BH14" s="106" t="s">
        <v>4361</v>
      </c>
      <c r="BI14" s="104" t="s">
        <v>4362</v>
      </c>
      <c r="BJ14" s="106" t="s">
        <v>4363</v>
      </c>
      <c r="BK14" s="107" t="s">
        <v>4364</v>
      </c>
      <c r="BN14" s="108"/>
      <c r="BO14" s="108"/>
    </row>
    <row r="15" spans="2:67" ht="15" customHeight="1" thickBot="1">
      <c r="B15" s="479"/>
      <c r="C15" s="479"/>
      <c r="E15" s="110"/>
      <c r="F15" s="110"/>
      <c r="G15" s="111"/>
      <c r="H15" s="111"/>
      <c r="I15" s="111"/>
      <c r="J15" s="111"/>
      <c r="K15" s="112"/>
      <c r="L15" s="112"/>
      <c r="M15" s="110"/>
      <c r="N15" s="110"/>
      <c r="O15" s="108"/>
      <c r="P15" s="108"/>
      <c r="Q15" s="92"/>
      <c r="AE15" s="23"/>
      <c r="AF15" s="23"/>
      <c r="AG15" s="23"/>
      <c r="AI15" s="479"/>
      <c r="AJ15" s="479"/>
      <c r="AK15" s="479"/>
      <c r="AL15" s="479"/>
      <c r="AM15" s="479"/>
      <c r="AN15" s="479"/>
      <c r="AO15" s="479"/>
      <c r="AP15" s="479"/>
      <c r="AQ15" s="479"/>
      <c r="AR15" s="479"/>
      <c r="AS15" s="479"/>
      <c r="AT15" s="479"/>
      <c r="AU15" s="479"/>
      <c r="AV15" s="479"/>
      <c r="AW15" s="479"/>
      <c r="AX15" s="479"/>
      <c r="AY15" s="479"/>
      <c r="AZ15" s="479"/>
      <c r="BD15" s="110"/>
      <c r="BE15" s="110"/>
      <c r="BF15" s="111"/>
      <c r="BG15" s="111"/>
      <c r="BH15" s="111"/>
      <c r="BI15" s="111"/>
      <c r="BJ15" s="112"/>
      <c r="BK15" s="112"/>
      <c r="BL15" s="110"/>
      <c r="BM15" s="110"/>
      <c r="BN15" s="108"/>
      <c r="BO15" s="108"/>
    </row>
    <row r="16" spans="2:67" ht="15" customHeight="1" thickBot="1">
      <c r="B16" s="113" t="s">
        <v>177</v>
      </c>
      <c r="C16" s="114" t="s">
        <v>4365</v>
      </c>
      <c r="D16" s="1505"/>
      <c r="E16" s="115"/>
      <c r="F16" s="115"/>
      <c r="G16" s="116"/>
      <c r="H16" s="116"/>
      <c r="I16" s="116"/>
      <c r="J16" s="116"/>
      <c r="K16" s="116"/>
      <c r="L16" s="112"/>
      <c r="M16" s="115"/>
      <c r="N16" s="115"/>
      <c r="O16" s="108"/>
      <c r="P16" s="108"/>
      <c r="Q16" s="2"/>
      <c r="AE16" s="23"/>
      <c r="AF16" s="23"/>
      <c r="AG16" s="23"/>
      <c r="AI16" s="479"/>
      <c r="AJ16" s="479"/>
      <c r="AK16" s="479"/>
      <c r="AL16" s="479"/>
      <c r="AM16" s="479"/>
      <c r="AN16" s="479"/>
      <c r="AO16" s="479"/>
      <c r="AP16" s="479"/>
      <c r="AQ16" s="479"/>
      <c r="AR16" s="479"/>
      <c r="AS16" s="479"/>
      <c r="AT16" s="479"/>
      <c r="AU16" s="479"/>
      <c r="AV16" s="479"/>
      <c r="AW16" s="479"/>
      <c r="AX16" s="479"/>
      <c r="AY16" s="479"/>
      <c r="AZ16" s="479"/>
      <c r="BA16" s="113" t="s">
        <v>177</v>
      </c>
      <c r="BB16" s="114" t="s">
        <v>4365</v>
      </c>
      <c r="BC16" s="2404"/>
      <c r="BD16" s="115"/>
      <c r="BE16" s="115"/>
      <c r="BF16" s="116"/>
      <c r="BG16" s="116"/>
      <c r="BH16" s="116"/>
      <c r="BI16" s="116"/>
      <c r="BJ16" s="116"/>
      <c r="BK16" s="112"/>
      <c r="BL16" s="115"/>
      <c r="BM16" s="115"/>
      <c r="BN16" s="108"/>
      <c r="BO16" s="108"/>
    </row>
    <row r="17" spans="2:67" ht="15" customHeight="1">
      <c r="B17" s="86" t="s">
        <v>4366</v>
      </c>
      <c r="C17" s="117" t="s">
        <v>4367</v>
      </c>
      <c r="D17" s="117"/>
      <c r="E17" s="88" t="s">
        <v>4368</v>
      </c>
      <c r="F17" s="89">
        <v>3</v>
      </c>
      <c r="G17" s="36">
        <v>144.55799999999999</v>
      </c>
      <c r="H17" s="37">
        <v>113.11199999999999</v>
      </c>
      <c r="I17" s="38">
        <v>0</v>
      </c>
      <c r="J17" s="90">
        <f>SUM(G17:I17)</f>
        <v>257.66999999999996</v>
      </c>
      <c r="K17" s="38">
        <v>90.7</v>
      </c>
      <c r="L17" s="44">
        <v>0</v>
      </c>
      <c r="M17" s="91" t="s">
        <v>734</v>
      </c>
      <c r="N17" s="89">
        <v>2</v>
      </c>
      <c r="O17" s="868">
        <v>1.72E-2</v>
      </c>
      <c r="P17" s="869">
        <v>0</v>
      </c>
      <c r="Q17" s="92"/>
      <c r="R17" s="24">
        <f xml:space="preserve"> IF( SUM( T17:AB17 ) = 0, 0, $U$7 )</f>
        <v>0</v>
      </c>
      <c r="U17" s="93">
        <f xml:space="preserve"> IF( ISNUMBER( G17 ), 0, 1 )</f>
        <v>0</v>
      </c>
      <c r="V17" s="93">
        <f t="shared" ref="V17:W20" si="11" xml:space="preserve"> IF( ISNUMBER( H17 ), 0, 1 )</f>
        <v>0</v>
      </c>
      <c r="W17" s="93">
        <f t="shared" si="11"/>
        <v>0</v>
      </c>
      <c r="X17" s="93">
        <f xml:space="preserve"> IF( ISNUMBER( K17 ), 0, 1 )</f>
        <v>0</v>
      </c>
      <c r="Y17" s="93">
        <f xml:space="preserve"> IF( ISNUMBER( L17 ), 0, 1 )</f>
        <v>0</v>
      </c>
      <c r="Z17" s="93">
        <f xml:space="preserve"> IF( ISNUMBER( O17 ), 0, 1 )</f>
        <v>0</v>
      </c>
      <c r="AA17" s="93">
        <f xml:space="preserve"> IF( ISNUMBER( P17 ), 0, 1 )</f>
        <v>0</v>
      </c>
      <c r="AE17" s="23"/>
      <c r="AF17" s="23"/>
      <c r="AG17" s="23"/>
      <c r="AI17" s="479"/>
      <c r="AJ17" s="479"/>
      <c r="AK17" s="479"/>
      <c r="AL17" s="479"/>
      <c r="AM17" s="479"/>
      <c r="AN17" s="479"/>
      <c r="AO17" s="479"/>
      <c r="AP17" s="479"/>
      <c r="AQ17" s="479"/>
      <c r="AR17" s="479"/>
      <c r="AS17" s="479"/>
      <c r="AT17" s="479"/>
      <c r="AU17" s="479"/>
      <c r="AV17" s="479"/>
      <c r="AW17" s="479"/>
      <c r="AX17" s="479"/>
      <c r="AY17" s="479"/>
      <c r="AZ17" s="479"/>
      <c r="BA17" s="86" t="s">
        <v>4366</v>
      </c>
      <c r="BB17" s="117" t="s">
        <v>4367</v>
      </c>
      <c r="BC17" s="84"/>
      <c r="BD17" s="88" t="s">
        <v>4368</v>
      </c>
      <c r="BE17" s="89">
        <v>3</v>
      </c>
      <c r="BF17" s="2714" t="s">
        <v>4369</v>
      </c>
      <c r="BG17" s="2715" t="s">
        <v>4370</v>
      </c>
      <c r="BH17" s="2716" t="s">
        <v>4371</v>
      </c>
      <c r="BI17" s="90" t="s">
        <v>4372</v>
      </c>
      <c r="BJ17" s="2716" t="s">
        <v>4373</v>
      </c>
      <c r="BK17" s="2740" t="s">
        <v>4374</v>
      </c>
      <c r="BL17" s="91" t="s">
        <v>734</v>
      </c>
      <c r="BM17" s="89">
        <v>2</v>
      </c>
      <c r="BN17" s="2718" t="s">
        <v>4375</v>
      </c>
      <c r="BO17" s="2719" t="s">
        <v>4376</v>
      </c>
    </row>
    <row r="18" spans="2:67" ht="15" customHeight="1">
      <c r="B18" s="94" t="s">
        <v>4377</v>
      </c>
      <c r="C18" s="87" t="s">
        <v>4378</v>
      </c>
      <c r="D18" s="87"/>
      <c r="E18" s="95" t="s">
        <v>4368</v>
      </c>
      <c r="F18" s="96">
        <v>3</v>
      </c>
      <c r="G18" s="40">
        <v>0</v>
      </c>
      <c r="H18" s="41">
        <v>0</v>
      </c>
      <c r="I18" s="42">
        <v>0</v>
      </c>
      <c r="J18" s="97">
        <f t="shared" ref="J18" si="12">SUM(G18:I18)</f>
        <v>0</v>
      </c>
      <c r="K18" s="42">
        <v>0</v>
      </c>
      <c r="L18" s="45">
        <v>0</v>
      </c>
      <c r="M18" s="98" t="s">
        <v>734</v>
      </c>
      <c r="N18" s="96">
        <v>2</v>
      </c>
      <c r="O18" s="872">
        <v>0</v>
      </c>
      <c r="P18" s="873">
        <v>0</v>
      </c>
      <c r="Q18" s="92"/>
      <c r="R18" s="24">
        <f t="shared" ref="R18:R20" si="13" xml:space="preserve"> IF( SUM( T18:AB18 ) = 0, 0, $U$7 )</f>
        <v>0</v>
      </c>
      <c r="U18" s="93">
        <f t="shared" ref="U18:U20" si="14" xml:space="preserve"> IF( ISNUMBER( G18 ), 0, 1 )</f>
        <v>0</v>
      </c>
      <c r="V18" s="93">
        <f t="shared" si="11"/>
        <v>0</v>
      </c>
      <c r="W18" s="93">
        <f t="shared" si="11"/>
        <v>0</v>
      </c>
      <c r="X18" s="93">
        <f t="shared" ref="X18:Y20" si="15" xml:space="preserve"> IF( ISNUMBER( K18 ), 0, 1 )</f>
        <v>0</v>
      </c>
      <c r="Y18" s="93">
        <f t="shared" si="15"/>
        <v>0</v>
      </c>
      <c r="Z18" s="93">
        <f t="shared" ref="Z18:AA20" si="16" xml:space="preserve"> IF( ISNUMBER( O18 ), 0, 1 )</f>
        <v>0</v>
      </c>
      <c r="AA18" s="93">
        <f t="shared" si="16"/>
        <v>0</v>
      </c>
      <c r="AE18" s="23"/>
      <c r="AF18" s="23"/>
      <c r="AG18" s="23"/>
      <c r="AI18" s="479"/>
      <c r="AJ18" s="479"/>
      <c r="AK18" s="479"/>
      <c r="AL18" s="479"/>
      <c r="AM18" s="479"/>
      <c r="AN18" s="479"/>
      <c r="AO18" s="479"/>
      <c r="AP18" s="479"/>
      <c r="AQ18" s="479"/>
      <c r="AR18" s="479"/>
      <c r="AS18" s="479"/>
      <c r="AT18" s="479"/>
      <c r="AU18" s="479"/>
      <c r="AV18" s="479"/>
      <c r="AW18" s="479"/>
      <c r="AX18" s="479"/>
      <c r="AY18" s="479"/>
      <c r="AZ18" s="479"/>
      <c r="BA18" s="94" t="s">
        <v>4377</v>
      </c>
      <c r="BB18" s="87" t="s">
        <v>4378</v>
      </c>
      <c r="BC18" s="87"/>
      <c r="BD18" s="95" t="s">
        <v>4368</v>
      </c>
      <c r="BE18" s="96">
        <v>3</v>
      </c>
      <c r="BF18" s="2726" t="s">
        <v>4379</v>
      </c>
      <c r="BG18" s="2727" t="s">
        <v>4380</v>
      </c>
      <c r="BH18" s="2728" t="s">
        <v>4381</v>
      </c>
      <c r="BI18" s="97" t="s">
        <v>4382</v>
      </c>
      <c r="BJ18" s="2728" t="s">
        <v>4383</v>
      </c>
      <c r="BK18" s="2741" t="s">
        <v>4384</v>
      </c>
      <c r="BL18" s="98" t="s">
        <v>734</v>
      </c>
      <c r="BM18" s="96">
        <v>2</v>
      </c>
      <c r="BN18" s="2730" t="s">
        <v>4385</v>
      </c>
      <c r="BO18" s="2731" t="s">
        <v>4386</v>
      </c>
    </row>
    <row r="19" spans="2:67" ht="15" customHeight="1">
      <c r="B19" s="94" t="s">
        <v>4387</v>
      </c>
      <c r="C19" s="87" t="s">
        <v>4388</v>
      </c>
      <c r="D19" s="87"/>
      <c r="E19" s="95" t="s">
        <v>4368</v>
      </c>
      <c r="F19" s="96">
        <v>3</v>
      </c>
      <c r="G19" s="40">
        <v>0</v>
      </c>
      <c r="H19" s="41">
        <v>0</v>
      </c>
      <c r="I19" s="42">
        <v>0</v>
      </c>
      <c r="J19" s="97">
        <f>SUM(G19:I19)</f>
        <v>0</v>
      </c>
      <c r="K19" s="42">
        <v>0</v>
      </c>
      <c r="L19" s="45">
        <v>0</v>
      </c>
      <c r="M19" s="98" t="s">
        <v>734</v>
      </c>
      <c r="N19" s="96">
        <v>2</v>
      </c>
      <c r="O19" s="872">
        <v>0</v>
      </c>
      <c r="P19" s="873">
        <v>0</v>
      </c>
      <c r="Q19" s="2"/>
      <c r="R19" s="24">
        <f t="shared" si="13"/>
        <v>0</v>
      </c>
      <c r="U19" s="93">
        <f t="shared" si="14"/>
        <v>0</v>
      </c>
      <c r="V19" s="93">
        <f t="shared" si="11"/>
        <v>0</v>
      </c>
      <c r="W19" s="93">
        <f t="shared" si="11"/>
        <v>0</v>
      </c>
      <c r="X19" s="93">
        <f t="shared" si="15"/>
        <v>0</v>
      </c>
      <c r="Y19" s="93">
        <f t="shared" si="15"/>
        <v>0</v>
      </c>
      <c r="Z19" s="93">
        <f t="shared" si="16"/>
        <v>0</v>
      </c>
      <c r="AA19" s="93">
        <f t="shared" si="16"/>
        <v>0</v>
      </c>
      <c r="AE19" s="23"/>
      <c r="AF19" s="23"/>
      <c r="AG19" s="23"/>
      <c r="AI19" s="479"/>
      <c r="AJ19" s="479"/>
      <c r="AK19" s="479"/>
      <c r="AL19" s="479"/>
      <c r="AM19" s="479"/>
      <c r="AN19" s="479"/>
      <c r="AO19" s="479"/>
      <c r="AP19" s="479"/>
      <c r="AQ19" s="479"/>
      <c r="AR19" s="479"/>
      <c r="AS19" s="479"/>
      <c r="AT19" s="479"/>
      <c r="AU19" s="479"/>
      <c r="AV19" s="479"/>
      <c r="AW19" s="479"/>
      <c r="AX19" s="479"/>
      <c r="AY19" s="479"/>
      <c r="AZ19" s="479"/>
      <c r="BA19" s="94" t="s">
        <v>4387</v>
      </c>
      <c r="BB19" s="87" t="s">
        <v>4388</v>
      </c>
      <c r="BC19" s="87"/>
      <c r="BD19" s="95" t="s">
        <v>4368</v>
      </c>
      <c r="BE19" s="96">
        <v>3</v>
      </c>
      <c r="BF19" s="2726" t="s">
        <v>4389</v>
      </c>
      <c r="BG19" s="2727" t="s">
        <v>4390</v>
      </c>
      <c r="BH19" s="2728" t="s">
        <v>4391</v>
      </c>
      <c r="BI19" s="97" t="s">
        <v>4392</v>
      </c>
      <c r="BJ19" s="2728" t="s">
        <v>4393</v>
      </c>
      <c r="BK19" s="2741" t="s">
        <v>4394</v>
      </c>
      <c r="BL19" s="98" t="s">
        <v>734</v>
      </c>
      <c r="BM19" s="96">
        <v>2</v>
      </c>
      <c r="BN19" s="2730" t="s">
        <v>4395</v>
      </c>
      <c r="BO19" s="2731" t="s">
        <v>4396</v>
      </c>
    </row>
    <row r="20" spans="2:67" ht="15" customHeight="1" thickBot="1">
      <c r="B20" s="94" t="s">
        <v>4397</v>
      </c>
      <c r="C20" s="87" t="s">
        <v>4398</v>
      </c>
      <c r="D20" s="87"/>
      <c r="E20" s="95" t="s">
        <v>4368</v>
      </c>
      <c r="F20" s="96">
        <v>3</v>
      </c>
      <c r="G20" s="40">
        <v>0</v>
      </c>
      <c r="H20" s="41">
        <v>33.799999999999997</v>
      </c>
      <c r="I20" s="42">
        <v>0</v>
      </c>
      <c r="J20" s="97">
        <f t="shared" ref="J20" si="17">SUM(G20:I20)</f>
        <v>33.799999999999997</v>
      </c>
      <c r="K20" s="42">
        <v>-6.952</v>
      </c>
      <c r="L20" s="45">
        <v>0</v>
      </c>
      <c r="M20" s="99" t="s">
        <v>734</v>
      </c>
      <c r="N20" s="100">
        <v>2</v>
      </c>
      <c r="O20" s="876">
        <v>1.4500000000000001E-2</v>
      </c>
      <c r="P20" s="877">
        <v>0</v>
      </c>
      <c r="Q20" s="2"/>
      <c r="R20" s="24">
        <f t="shared" si="13"/>
        <v>0</v>
      </c>
      <c r="U20" s="93">
        <f t="shared" si="14"/>
        <v>0</v>
      </c>
      <c r="V20" s="93">
        <f t="shared" si="11"/>
        <v>0</v>
      </c>
      <c r="W20" s="93">
        <f t="shared" si="11"/>
        <v>0</v>
      </c>
      <c r="X20" s="93">
        <f t="shared" si="15"/>
        <v>0</v>
      </c>
      <c r="Y20" s="93">
        <f t="shared" si="15"/>
        <v>0</v>
      </c>
      <c r="Z20" s="93">
        <f t="shared" si="16"/>
        <v>0</v>
      </c>
      <c r="AA20" s="93">
        <f t="shared" si="16"/>
        <v>0</v>
      </c>
      <c r="AE20" s="23"/>
      <c r="AF20" s="23"/>
      <c r="AG20" s="23"/>
      <c r="AI20" s="479"/>
      <c r="AJ20" s="479"/>
      <c r="AK20" s="479"/>
      <c r="AL20" s="479"/>
      <c r="AM20" s="479"/>
      <c r="AN20" s="479"/>
      <c r="AO20" s="479"/>
      <c r="AP20" s="479"/>
      <c r="AQ20" s="479"/>
      <c r="AR20" s="479"/>
      <c r="AS20" s="479"/>
      <c r="AT20" s="479"/>
      <c r="AU20" s="479"/>
      <c r="AV20" s="479"/>
      <c r="AW20" s="479"/>
      <c r="AX20" s="479"/>
      <c r="AY20" s="479"/>
      <c r="AZ20" s="479"/>
      <c r="BA20" s="94" t="s">
        <v>4397</v>
      </c>
      <c r="BB20" s="87" t="s">
        <v>4398</v>
      </c>
      <c r="BC20" s="87"/>
      <c r="BD20" s="95" t="s">
        <v>4368</v>
      </c>
      <c r="BE20" s="96">
        <v>3</v>
      </c>
      <c r="BF20" s="2726" t="s">
        <v>4399</v>
      </c>
      <c r="BG20" s="2727" t="s">
        <v>4400</v>
      </c>
      <c r="BH20" s="2728" t="s">
        <v>4401</v>
      </c>
      <c r="BI20" s="97" t="s">
        <v>4402</v>
      </c>
      <c r="BJ20" s="2728" t="s">
        <v>4403</v>
      </c>
      <c r="BK20" s="2741" t="s">
        <v>4404</v>
      </c>
      <c r="BL20" s="99" t="s">
        <v>734</v>
      </c>
      <c r="BM20" s="100">
        <v>2</v>
      </c>
      <c r="BN20" s="2738" t="s">
        <v>4405</v>
      </c>
      <c r="BO20" s="2739" t="s">
        <v>4406</v>
      </c>
    </row>
    <row r="21" spans="2:67" ht="15.75" customHeight="1" thickBot="1">
      <c r="B21" s="101" t="s">
        <v>4407</v>
      </c>
      <c r="C21" s="102" t="s">
        <v>710</v>
      </c>
      <c r="D21" s="102"/>
      <c r="E21" s="103" t="s">
        <v>4368</v>
      </c>
      <c r="F21" s="100">
        <v>3</v>
      </c>
      <c r="G21" s="104">
        <f>SUM(G17:G20)</f>
        <v>144.55799999999999</v>
      </c>
      <c r="H21" s="105">
        <f t="shared" ref="H21:K21" si="18">SUM(H17:H20)</f>
        <v>146.91199999999998</v>
      </c>
      <c r="I21" s="106">
        <f t="shared" si="18"/>
        <v>0</v>
      </c>
      <c r="J21" s="104">
        <f t="shared" si="18"/>
        <v>291.46999999999997</v>
      </c>
      <c r="K21" s="106">
        <f t="shared" si="18"/>
        <v>83.748000000000005</v>
      </c>
      <c r="L21" s="107">
        <f>SUM(L17:L20)</f>
        <v>0</v>
      </c>
      <c r="M21" s="115"/>
      <c r="N21" s="115"/>
      <c r="O21" s="108"/>
      <c r="P21" s="108"/>
      <c r="Q21" s="92"/>
      <c r="S21" s="118"/>
      <c r="T21" s="119"/>
      <c r="U21" s="120"/>
      <c r="V21" s="118"/>
      <c r="W21" s="118"/>
      <c r="X21" s="118"/>
      <c r="Y21" s="118"/>
      <c r="Z21" s="118"/>
      <c r="AA21" s="118"/>
      <c r="AB21" s="119"/>
      <c r="AD21" s="119"/>
      <c r="AE21" s="23"/>
      <c r="AF21" s="23"/>
      <c r="AG21" s="23"/>
      <c r="AH21" s="119"/>
      <c r="AI21" s="479"/>
      <c r="AJ21" s="479"/>
      <c r="AK21" s="479"/>
      <c r="AL21" s="479"/>
      <c r="AM21" s="479"/>
      <c r="AN21" s="479"/>
      <c r="AO21" s="479"/>
      <c r="AP21" s="479"/>
      <c r="AQ21" s="479"/>
      <c r="AR21" s="479"/>
      <c r="AS21" s="479"/>
      <c r="AT21" s="479"/>
      <c r="AU21" s="479"/>
      <c r="AV21" s="479"/>
      <c r="AW21" s="479"/>
      <c r="AX21" s="479"/>
      <c r="AY21" s="479"/>
      <c r="AZ21" s="479"/>
      <c r="BA21" s="101" t="s">
        <v>4407</v>
      </c>
      <c r="BB21" s="102" t="s">
        <v>710</v>
      </c>
      <c r="BC21" s="102"/>
      <c r="BD21" s="103" t="s">
        <v>4368</v>
      </c>
      <c r="BE21" s="100">
        <v>3</v>
      </c>
      <c r="BF21" s="104" t="s">
        <v>4408</v>
      </c>
      <c r="BG21" s="105" t="s">
        <v>4409</v>
      </c>
      <c r="BH21" s="106" t="s">
        <v>4410</v>
      </c>
      <c r="BI21" s="104" t="s">
        <v>4411</v>
      </c>
      <c r="BJ21" s="106" t="s">
        <v>4412</v>
      </c>
      <c r="BK21" s="107" t="s">
        <v>4413</v>
      </c>
      <c r="BL21" s="115"/>
      <c r="BM21" s="115"/>
      <c r="BN21" s="108"/>
      <c r="BO21" s="108"/>
    </row>
    <row r="22" spans="2:67" ht="15.75" customHeight="1" thickBot="1">
      <c r="B22" s="121"/>
      <c r="C22" s="122"/>
      <c r="D22" s="122"/>
      <c r="E22" s="115"/>
      <c r="F22" s="115"/>
      <c r="G22" s="116"/>
      <c r="H22" s="116"/>
      <c r="I22" s="116"/>
      <c r="J22" s="116"/>
      <c r="K22" s="116"/>
      <c r="L22" s="116"/>
      <c r="M22" s="115"/>
      <c r="N22" s="115"/>
      <c r="O22" s="123"/>
      <c r="P22" s="123"/>
      <c r="Q22" s="92"/>
      <c r="S22" s="118"/>
      <c r="T22" s="119"/>
      <c r="U22" s="120"/>
      <c r="V22" s="118"/>
      <c r="W22" s="118"/>
      <c r="X22" s="118"/>
      <c r="Y22" s="118"/>
      <c r="Z22" s="118"/>
      <c r="AA22" s="118"/>
      <c r="AB22" s="119"/>
      <c r="AD22" s="119"/>
      <c r="AE22" s="23"/>
      <c r="AF22" s="23"/>
      <c r="AG22" s="23"/>
      <c r="AH22" s="119"/>
      <c r="AI22" s="479"/>
      <c r="AJ22" s="479"/>
      <c r="AK22" s="479"/>
      <c r="AL22" s="479"/>
      <c r="AM22" s="479"/>
      <c r="AN22" s="479"/>
      <c r="AO22" s="479"/>
      <c r="AP22" s="479"/>
      <c r="AQ22" s="479"/>
      <c r="AR22" s="479"/>
      <c r="AS22" s="479"/>
      <c r="AT22" s="479"/>
      <c r="AU22" s="479"/>
      <c r="AV22" s="479"/>
      <c r="AW22" s="479"/>
      <c r="AX22" s="479"/>
      <c r="AY22" s="479"/>
      <c r="AZ22" s="479"/>
      <c r="BA22" s="121"/>
      <c r="BB22" s="122"/>
      <c r="BC22" s="122"/>
      <c r="BD22" s="115"/>
      <c r="BE22" s="115"/>
      <c r="BF22" s="116"/>
      <c r="BG22" s="116"/>
      <c r="BH22" s="116"/>
      <c r="BI22" s="116"/>
      <c r="BJ22" s="116"/>
      <c r="BK22" s="116"/>
      <c r="BL22" s="115"/>
      <c r="BM22" s="115"/>
      <c r="BN22" s="123"/>
      <c r="BO22" s="123"/>
    </row>
    <row r="23" spans="2:67" ht="15" thickBot="1">
      <c r="B23" s="113" t="s">
        <v>335</v>
      </c>
      <c r="C23" s="114" t="s">
        <v>4414</v>
      </c>
      <c r="D23" s="1505"/>
      <c r="E23" s="115"/>
      <c r="F23" s="115"/>
      <c r="G23" s="116"/>
      <c r="H23" s="116"/>
      <c r="I23" s="116"/>
      <c r="J23" s="116"/>
      <c r="K23" s="116"/>
      <c r="L23" s="112"/>
      <c r="M23" s="115"/>
      <c r="N23" s="115"/>
      <c r="O23" s="108"/>
      <c r="P23" s="108"/>
      <c r="Q23" s="92"/>
      <c r="S23" s="118"/>
      <c r="T23" s="119"/>
      <c r="U23" s="120"/>
      <c r="V23" s="118"/>
      <c r="W23" s="118"/>
      <c r="X23" s="118"/>
      <c r="Y23" s="118"/>
      <c r="Z23" s="118"/>
      <c r="AA23" s="118"/>
      <c r="AB23" s="119"/>
      <c r="AD23" s="119"/>
      <c r="AE23" s="23"/>
      <c r="AF23" s="23"/>
      <c r="AG23" s="23"/>
      <c r="AH23" s="119"/>
      <c r="AI23" s="479"/>
      <c r="AJ23" s="479"/>
      <c r="AK23" s="479"/>
      <c r="AL23" s="479"/>
      <c r="AM23" s="479"/>
      <c r="AN23" s="479"/>
      <c r="AO23" s="479"/>
      <c r="AP23" s="479"/>
      <c r="AQ23" s="479"/>
      <c r="AR23" s="479"/>
      <c r="AS23" s="479"/>
      <c r="AT23" s="479"/>
      <c r="AU23" s="479"/>
      <c r="AV23" s="479"/>
      <c r="AW23" s="479"/>
      <c r="AX23" s="479"/>
      <c r="AY23" s="479"/>
      <c r="AZ23" s="479"/>
      <c r="BA23" s="113" t="s">
        <v>335</v>
      </c>
      <c r="BB23" s="114" t="s">
        <v>4414</v>
      </c>
      <c r="BC23" s="2404"/>
      <c r="BD23" s="115"/>
      <c r="BE23" s="115"/>
      <c r="BF23" s="116"/>
      <c r="BG23" s="116"/>
      <c r="BH23" s="116"/>
      <c r="BI23" s="116"/>
      <c r="BJ23" s="116"/>
      <c r="BK23" s="112"/>
      <c r="BL23" s="115"/>
      <c r="BM23" s="115"/>
      <c r="BN23" s="108"/>
      <c r="BO23" s="108"/>
    </row>
    <row r="24" spans="2:67">
      <c r="B24" s="86" t="s">
        <v>4415</v>
      </c>
      <c r="C24" s="117" t="s">
        <v>4416</v>
      </c>
      <c r="D24" s="117"/>
      <c r="E24" s="88" t="s">
        <v>4368</v>
      </c>
      <c r="F24" s="89">
        <v>3</v>
      </c>
      <c r="G24" s="36">
        <v>0</v>
      </c>
      <c r="H24" s="37">
        <v>0</v>
      </c>
      <c r="I24" s="38">
        <v>0</v>
      </c>
      <c r="J24" s="90">
        <f>SUM(G24:I24)</f>
        <v>0</v>
      </c>
      <c r="K24" s="38">
        <v>0</v>
      </c>
      <c r="L24" s="46">
        <v>0</v>
      </c>
      <c r="M24" s="91" t="s">
        <v>734</v>
      </c>
      <c r="N24" s="89">
        <v>2</v>
      </c>
      <c r="O24" s="868">
        <v>0</v>
      </c>
      <c r="P24" s="869">
        <v>0</v>
      </c>
      <c r="Q24" s="92"/>
      <c r="R24" s="24">
        <f t="shared" ref="R24:R27" si="19" xml:space="preserve"> IF( SUM( T24:AB24 ) = 0, 0, $U$7 )</f>
        <v>0</v>
      </c>
      <c r="U24" s="93">
        <f t="shared" ref="U24:W27" si="20" xml:space="preserve"> IF( ISNUMBER( G24 ), 0, 1 )</f>
        <v>0</v>
      </c>
      <c r="V24" s="93">
        <f t="shared" si="20"/>
        <v>0</v>
      </c>
      <c r="W24" s="93">
        <f t="shared" si="20"/>
        <v>0</v>
      </c>
      <c r="X24" s="93">
        <f t="shared" ref="X24:Y27" si="21" xml:space="preserve"> IF( ISNUMBER( K24 ), 0, 1 )</f>
        <v>0</v>
      </c>
      <c r="Y24" s="93">
        <f t="shared" si="21"/>
        <v>0</v>
      </c>
      <c r="Z24" s="93">
        <f t="shared" ref="Z24:AA27" si="22" xml:space="preserve"> IF( ISNUMBER( O24 ), 0, 1 )</f>
        <v>0</v>
      </c>
      <c r="AA24" s="93">
        <f t="shared" si="22"/>
        <v>0</v>
      </c>
      <c r="AE24" s="23"/>
      <c r="AF24" s="23"/>
      <c r="AG24" s="23"/>
      <c r="AI24" s="479"/>
      <c r="AJ24" s="479"/>
      <c r="AK24" s="479"/>
      <c r="AL24" s="479"/>
      <c r="AM24" s="479"/>
      <c r="AN24" s="479"/>
      <c r="AO24" s="479"/>
      <c r="AP24" s="479"/>
      <c r="AQ24" s="479"/>
      <c r="AR24" s="479"/>
      <c r="AS24" s="479"/>
      <c r="AT24" s="479"/>
      <c r="AU24" s="479"/>
      <c r="AV24" s="479"/>
      <c r="AW24" s="479"/>
      <c r="AX24" s="479"/>
      <c r="AY24" s="479"/>
      <c r="AZ24" s="479"/>
      <c r="BA24" s="86" t="s">
        <v>4415</v>
      </c>
      <c r="BB24" s="117" t="s">
        <v>4416</v>
      </c>
      <c r="BC24" s="117"/>
      <c r="BD24" s="88" t="s">
        <v>4368</v>
      </c>
      <c r="BE24" s="89">
        <v>3</v>
      </c>
      <c r="BF24" s="2714" t="s">
        <v>4417</v>
      </c>
      <c r="BG24" s="2715" t="s">
        <v>4418</v>
      </c>
      <c r="BH24" s="2716" t="s">
        <v>4419</v>
      </c>
      <c r="BI24" s="90" t="s">
        <v>4420</v>
      </c>
      <c r="BJ24" s="2716" t="s">
        <v>4421</v>
      </c>
      <c r="BK24" s="2742" t="s">
        <v>4422</v>
      </c>
      <c r="BL24" s="91" t="s">
        <v>734</v>
      </c>
      <c r="BM24" s="89">
        <v>2</v>
      </c>
      <c r="BN24" s="2718" t="s">
        <v>4423</v>
      </c>
      <c r="BO24" s="2719" t="s">
        <v>4424</v>
      </c>
    </row>
    <row r="25" spans="2:67">
      <c r="B25" s="94" t="s">
        <v>4425</v>
      </c>
      <c r="C25" s="87" t="s">
        <v>4426</v>
      </c>
      <c r="D25" s="87"/>
      <c r="E25" s="95" t="s">
        <v>4368</v>
      </c>
      <c r="F25" s="96">
        <v>3</v>
      </c>
      <c r="G25" s="40">
        <v>0</v>
      </c>
      <c r="H25" s="41">
        <v>0</v>
      </c>
      <c r="I25" s="42">
        <v>0</v>
      </c>
      <c r="J25" s="97">
        <f t="shared" ref="J25:J27" si="23">SUM(G25:I25)</f>
        <v>0</v>
      </c>
      <c r="K25" s="42">
        <v>0</v>
      </c>
      <c r="L25" s="47">
        <v>0</v>
      </c>
      <c r="M25" s="98" t="s">
        <v>734</v>
      </c>
      <c r="N25" s="96">
        <v>2</v>
      </c>
      <c r="O25" s="872">
        <v>0</v>
      </c>
      <c r="P25" s="873">
        <v>0</v>
      </c>
      <c r="Q25" s="92"/>
      <c r="R25" s="24">
        <f t="shared" si="19"/>
        <v>0</v>
      </c>
      <c r="U25" s="93">
        <f t="shared" si="20"/>
        <v>0</v>
      </c>
      <c r="V25" s="93">
        <f t="shared" si="20"/>
        <v>0</v>
      </c>
      <c r="W25" s="93">
        <f t="shared" si="20"/>
        <v>0</v>
      </c>
      <c r="X25" s="93">
        <f t="shared" si="21"/>
        <v>0</v>
      </c>
      <c r="Y25" s="93">
        <f t="shared" si="21"/>
        <v>0</v>
      </c>
      <c r="Z25" s="93">
        <f t="shared" si="22"/>
        <v>0</v>
      </c>
      <c r="AA25" s="93">
        <f t="shared" si="22"/>
        <v>0</v>
      </c>
      <c r="AE25" s="23"/>
      <c r="AF25" s="23"/>
      <c r="AG25" s="23"/>
      <c r="AI25" s="479"/>
      <c r="AJ25" s="479"/>
      <c r="AK25" s="479"/>
      <c r="AL25" s="479"/>
      <c r="AM25" s="479"/>
      <c r="AN25" s="479"/>
      <c r="AO25" s="479"/>
      <c r="AP25" s="479"/>
      <c r="AQ25" s="479"/>
      <c r="AR25" s="479"/>
      <c r="AS25" s="479"/>
      <c r="AT25" s="479"/>
      <c r="AU25" s="479"/>
      <c r="AV25" s="479"/>
      <c r="AW25" s="479"/>
      <c r="AX25" s="479"/>
      <c r="AY25" s="479"/>
      <c r="AZ25" s="479"/>
      <c r="BA25" s="94" t="s">
        <v>4425</v>
      </c>
      <c r="BB25" s="87" t="s">
        <v>4426</v>
      </c>
      <c r="BC25" s="87"/>
      <c r="BD25" s="95" t="s">
        <v>4368</v>
      </c>
      <c r="BE25" s="96">
        <v>3</v>
      </c>
      <c r="BF25" s="2726" t="s">
        <v>4427</v>
      </c>
      <c r="BG25" s="2727" t="s">
        <v>4428</v>
      </c>
      <c r="BH25" s="2728" t="s">
        <v>4429</v>
      </c>
      <c r="BI25" s="97" t="s">
        <v>4430</v>
      </c>
      <c r="BJ25" s="2728" t="s">
        <v>4431</v>
      </c>
      <c r="BK25" s="2743" t="s">
        <v>4432</v>
      </c>
      <c r="BL25" s="98" t="s">
        <v>734</v>
      </c>
      <c r="BM25" s="96">
        <v>2</v>
      </c>
      <c r="BN25" s="2730" t="s">
        <v>4433</v>
      </c>
      <c r="BO25" s="2731" t="s">
        <v>4434</v>
      </c>
    </row>
    <row r="26" spans="2:67">
      <c r="B26" s="94" t="s">
        <v>4435</v>
      </c>
      <c r="C26" s="87" t="s">
        <v>4436</v>
      </c>
      <c r="D26" s="87"/>
      <c r="E26" s="95" t="s">
        <v>4368</v>
      </c>
      <c r="F26" s="96">
        <v>3</v>
      </c>
      <c r="G26" s="40">
        <v>0</v>
      </c>
      <c r="H26" s="41">
        <v>0</v>
      </c>
      <c r="I26" s="42">
        <v>0</v>
      </c>
      <c r="J26" s="97">
        <f>SUM(G26:I26)</f>
        <v>0</v>
      </c>
      <c r="K26" s="42">
        <v>0</v>
      </c>
      <c r="L26" s="47">
        <v>0</v>
      </c>
      <c r="M26" s="98" t="s">
        <v>734</v>
      </c>
      <c r="N26" s="96">
        <v>2</v>
      </c>
      <c r="O26" s="872">
        <v>0</v>
      </c>
      <c r="P26" s="873">
        <v>0</v>
      </c>
      <c r="Q26" s="92"/>
      <c r="R26" s="24">
        <f t="shared" si="19"/>
        <v>0</v>
      </c>
      <c r="U26" s="93">
        <f t="shared" si="20"/>
        <v>0</v>
      </c>
      <c r="V26" s="93">
        <f t="shared" si="20"/>
        <v>0</v>
      </c>
      <c r="W26" s="93">
        <f t="shared" si="20"/>
        <v>0</v>
      </c>
      <c r="X26" s="93">
        <f t="shared" si="21"/>
        <v>0</v>
      </c>
      <c r="Y26" s="93">
        <f t="shared" si="21"/>
        <v>0</v>
      </c>
      <c r="Z26" s="93">
        <f t="shared" si="22"/>
        <v>0</v>
      </c>
      <c r="AA26" s="93">
        <f t="shared" si="22"/>
        <v>0</v>
      </c>
      <c r="AB26" s="124"/>
      <c r="AD26" s="124"/>
      <c r="AE26" s="23"/>
      <c r="AF26" s="23"/>
      <c r="AG26" s="23"/>
      <c r="AH26" s="124"/>
      <c r="AI26" s="479"/>
      <c r="AJ26" s="479"/>
      <c r="AK26" s="479"/>
      <c r="AL26" s="479"/>
      <c r="AM26" s="479"/>
      <c r="AN26" s="479"/>
      <c r="AO26" s="479"/>
      <c r="AP26" s="479"/>
      <c r="AQ26" s="479"/>
      <c r="AR26" s="479"/>
      <c r="AS26" s="479"/>
      <c r="AT26" s="479"/>
      <c r="AU26" s="479"/>
      <c r="AV26" s="479"/>
      <c r="AW26" s="479"/>
      <c r="AX26" s="479"/>
      <c r="AY26" s="479"/>
      <c r="AZ26" s="479"/>
      <c r="BA26" s="94" t="s">
        <v>4435</v>
      </c>
      <c r="BB26" s="87" t="s">
        <v>4436</v>
      </c>
      <c r="BC26" s="87"/>
      <c r="BD26" s="95" t="s">
        <v>4368</v>
      </c>
      <c r="BE26" s="96">
        <v>3</v>
      </c>
      <c r="BF26" s="2726" t="s">
        <v>4437</v>
      </c>
      <c r="BG26" s="2727" t="s">
        <v>4438</v>
      </c>
      <c r="BH26" s="2728" t="s">
        <v>4439</v>
      </c>
      <c r="BI26" s="97" t="s">
        <v>4440</v>
      </c>
      <c r="BJ26" s="2728" t="s">
        <v>4441</v>
      </c>
      <c r="BK26" s="2743" t="s">
        <v>4442</v>
      </c>
      <c r="BL26" s="98" t="s">
        <v>734</v>
      </c>
      <c r="BM26" s="96">
        <v>2</v>
      </c>
      <c r="BN26" s="2730" t="s">
        <v>4443</v>
      </c>
      <c r="BO26" s="2731" t="s">
        <v>4444</v>
      </c>
    </row>
    <row r="27" spans="2:67" ht="15" thickBot="1">
      <c r="B27" s="94" t="s">
        <v>4445</v>
      </c>
      <c r="C27" s="87" t="s">
        <v>4446</v>
      </c>
      <c r="D27" s="87"/>
      <c r="E27" s="95" t="s">
        <v>4368</v>
      </c>
      <c r="F27" s="96">
        <v>3</v>
      </c>
      <c r="G27" s="40">
        <v>0</v>
      </c>
      <c r="H27" s="41">
        <v>0</v>
      </c>
      <c r="I27" s="42">
        <v>0</v>
      </c>
      <c r="J27" s="97">
        <f t="shared" si="23"/>
        <v>0</v>
      </c>
      <c r="K27" s="42">
        <v>0</v>
      </c>
      <c r="L27" s="48">
        <v>0</v>
      </c>
      <c r="M27" s="99" t="s">
        <v>734</v>
      </c>
      <c r="N27" s="100">
        <v>2</v>
      </c>
      <c r="O27" s="876">
        <v>0</v>
      </c>
      <c r="P27" s="877">
        <v>0</v>
      </c>
      <c r="Q27" s="92"/>
      <c r="R27" s="24">
        <f t="shared" si="19"/>
        <v>0</v>
      </c>
      <c r="U27" s="93">
        <f t="shared" si="20"/>
        <v>0</v>
      </c>
      <c r="V27" s="93">
        <f t="shared" si="20"/>
        <v>0</v>
      </c>
      <c r="W27" s="93">
        <f t="shared" si="20"/>
        <v>0</v>
      </c>
      <c r="X27" s="93">
        <f t="shared" si="21"/>
        <v>0</v>
      </c>
      <c r="Y27" s="93">
        <f t="shared" si="21"/>
        <v>0</v>
      </c>
      <c r="Z27" s="93">
        <f t="shared" si="22"/>
        <v>0</v>
      </c>
      <c r="AA27" s="93">
        <f t="shared" si="22"/>
        <v>0</v>
      </c>
      <c r="AB27" s="119"/>
      <c r="AD27" s="119"/>
      <c r="AE27" s="23"/>
      <c r="AF27" s="23"/>
      <c r="AG27" s="23"/>
      <c r="AH27" s="119"/>
      <c r="AI27" s="479"/>
      <c r="AJ27" s="479"/>
      <c r="AK27" s="479"/>
      <c r="AL27" s="479"/>
      <c r="AM27" s="479"/>
      <c r="AN27" s="479"/>
      <c r="AO27" s="479"/>
      <c r="AP27" s="479"/>
      <c r="AQ27" s="479"/>
      <c r="AR27" s="479"/>
      <c r="AS27" s="479"/>
      <c r="AT27" s="479"/>
      <c r="AU27" s="479"/>
      <c r="AV27" s="479"/>
      <c r="AW27" s="479"/>
      <c r="AX27" s="479"/>
      <c r="AY27" s="479"/>
      <c r="AZ27" s="479"/>
      <c r="BA27" s="94" t="s">
        <v>4445</v>
      </c>
      <c r="BB27" s="87" t="s">
        <v>4446</v>
      </c>
      <c r="BC27" s="87"/>
      <c r="BD27" s="95" t="s">
        <v>4368</v>
      </c>
      <c r="BE27" s="96">
        <v>3</v>
      </c>
      <c r="BF27" s="2726" t="s">
        <v>4447</v>
      </c>
      <c r="BG27" s="2727" t="s">
        <v>4448</v>
      </c>
      <c r="BH27" s="2728" t="s">
        <v>4449</v>
      </c>
      <c r="BI27" s="97" t="s">
        <v>4450</v>
      </c>
      <c r="BJ27" s="2728" t="s">
        <v>4451</v>
      </c>
      <c r="BK27" s="2744" t="s">
        <v>4452</v>
      </c>
      <c r="BL27" s="99" t="s">
        <v>734</v>
      </c>
      <c r="BM27" s="100">
        <v>2</v>
      </c>
      <c r="BN27" s="2738" t="s">
        <v>4453</v>
      </c>
      <c r="BO27" s="2739" t="s">
        <v>4454</v>
      </c>
    </row>
    <row r="28" spans="2:67" ht="15" thickBot="1">
      <c r="B28" s="101" t="s">
        <v>4455</v>
      </c>
      <c r="C28" s="102" t="s">
        <v>710</v>
      </c>
      <c r="D28" s="102"/>
      <c r="E28" s="103" t="s">
        <v>4368</v>
      </c>
      <c r="F28" s="100">
        <v>3</v>
      </c>
      <c r="G28" s="104">
        <f>SUM(G24:G27)</f>
        <v>0</v>
      </c>
      <c r="H28" s="105">
        <f t="shared" ref="H28:K28" si="24">SUM(H24:H27)</f>
        <v>0</v>
      </c>
      <c r="I28" s="106">
        <f t="shared" si="24"/>
        <v>0</v>
      </c>
      <c r="J28" s="104">
        <f t="shared" si="24"/>
        <v>0</v>
      </c>
      <c r="K28" s="106">
        <f t="shared" si="24"/>
        <v>0</v>
      </c>
      <c r="L28" s="125">
        <f>SUM(L24:L27)</f>
        <v>0</v>
      </c>
      <c r="M28" s="115"/>
      <c r="N28" s="115"/>
      <c r="O28" s="108"/>
      <c r="P28" s="108"/>
      <c r="Q28" s="92"/>
      <c r="S28" s="118"/>
      <c r="T28" s="119"/>
      <c r="U28" s="120"/>
      <c r="V28" s="118"/>
      <c r="W28" s="118"/>
      <c r="X28" s="118"/>
      <c r="Y28" s="118"/>
      <c r="Z28" s="118"/>
      <c r="AA28" s="118"/>
      <c r="AB28" s="119"/>
      <c r="AD28" s="119"/>
      <c r="AE28" s="23"/>
      <c r="AF28" s="23"/>
      <c r="AG28" s="23"/>
      <c r="AH28" s="119"/>
      <c r="AI28" s="479"/>
      <c r="AJ28" s="479"/>
      <c r="AK28" s="479"/>
      <c r="AL28" s="479"/>
      <c r="AM28" s="479"/>
      <c r="AN28" s="479"/>
      <c r="AO28" s="479"/>
      <c r="AP28" s="479"/>
      <c r="AQ28" s="479"/>
      <c r="AR28" s="479"/>
      <c r="AS28" s="479"/>
      <c r="AT28" s="479"/>
      <c r="AU28" s="479"/>
      <c r="AV28" s="479"/>
      <c r="AW28" s="479"/>
      <c r="AX28" s="479"/>
      <c r="AY28" s="479"/>
      <c r="AZ28" s="479"/>
      <c r="BA28" s="101" t="s">
        <v>4455</v>
      </c>
      <c r="BB28" s="102" t="s">
        <v>710</v>
      </c>
      <c r="BC28" s="102"/>
      <c r="BD28" s="103" t="s">
        <v>4368</v>
      </c>
      <c r="BE28" s="100">
        <v>3</v>
      </c>
      <c r="BF28" s="104" t="s">
        <v>4456</v>
      </c>
      <c r="BG28" s="105" t="s">
        <v>4457</v>
      </c>
      <c r="BH28" s="106" t="s">
        <v>4458</v>
      </c>
      <c r="BI28" s="104" t="s">
        <v>4459</v>
      </c>
      <c r="BJ28" s="106" t="s">
        <v>4460</v>
      </c>
      <c r="BK28" s="125" t="s">
        <v>4461</v>
      </c>
      <c r="BL28" s="115"/>
      <c r="BM28" s="115"/>
      <c r="BN28" s="108"/>
      <c r="BO28" s="108"/>
    </row>
    <row r="29" spans="2:67" ht="15" thickBot="1">
      <c r="B29" s="121"/>
      <c r="C29" s="122"/>
      <c r="D29" s="122"/>
      <c r="E29" s="115"/>
      <c r="F29" s="115"/>
      <c r="G29" s="116"/>
      <c r="H29" s="116"/>
      <c r="I29" s="116"/>
      <c r="J29" s="116"/>
      <c r="K29" s="116"/>
      <c r="L29" s="116"/>
      <c r="M29" s="115"/>
      <c r="N29" s="115"/>
      <c r="O29" s="123"/>
      <c r="P29" s="123"/>
      <c r="Q29" s="92"/>
      <c r="S29" s="126"/>
      <c r="T29" s="119"/>
      <c r="U29" s="126"/>
      <c r="V29" s="126"/>
      <c r="W29" s="126"/>
      <c r="X29" s="126"/>
      <c r="Y29" s="126"/>
      <c r="Z29" s="126"/>
      <c r="AA29" s="126"/>
      <c r="AB29" s="119"/>
      <c r="AD29" s="119"/>
      <c r="AE29" s="479"/>
      <c r="AF29" s="479"/>
      <c r="AG29" s="479"/>
      <c r="AH29" s="119"/>
      <c r="AI29" s="479"/>
      <c r="AJ29" s="479"/>
      <c r="AK29" s="479"/>
      <c r="AL29" s="479"/>
      <c r="AM29" s="479"/>
      <c r="AN29" s="479"/>
      <c r="AO29" s="479"/>
      <c r="AP29" s="479"/>
      <c r="AQ29" s="479"/>
      <c r="AR29" s="479"/>
      <c r="AS29" s="479"/>
      <c r="AT29" s="479"/>
      <c r="AU29" s="479"/>
      <c r="AV29" s="479"/>
      <c r="AW29" s="479"/>
      <c r="AX29" s="479"/>
      <c r="AY29" s="479"/>
      <c r="AZ29" s="479"/>
      <c r="BA29" s="121"/>
      <c r="BB29" s="122"/>
      <c r="BC29" s="122"/>
      <c r="BD29" s="115"/>
      <c r="BE29" s="115"/>
      <c r="BF29" s="116"/>
      <c r="BG29" s="116"/>
      <c r="BH29" s="116"/>
      <c r="BI29" s="116"/>
      <c r="BJ29" s="116"/>
      <c r="BK29" s="116"/>
      <c r="BL29" s="115"/>
      <c r="BM29" s="115"/>
      <c r="BN29" s="123"/>
      <c r="BO29" s="123"/>
    </row>
    <row r="30" spans="2:67" ht="15" thickBot="1">
      <c r="B30" s="113" t="s">
        <v>392</v>
      </c>
      <c r="C30" s="114" t="s">
        <v>4462</v>
      </c>
      <c r="D30" s="1505"/>
      <c r="E30" s="115"/>
      <c r="F30" s="115"/>
      <c r="G30" s="116"/>
      <c r="H30" s="116"/>
      <c r="I30" s="116"/>
      <c r="J30" s="116"/>
      <c r="K30" s="116"/>
      <c r="L30" s="112"/>
      <c r="M30" s="115"/>
      <c r="N30" s="115"/>
      <c r="O30" s="108"/>
      <c r="P30" s="108"/>
      <c r="Q30" s="2"/>
      <c r="S30" s="126"/>
      <c r="T30" s="119"/>
      <c r="U30" s="126"/>
      <c r="V30" s="126"/>
      <c r="W30" s="126"/>
      <c r="X30" s="126"/>
      <c r="Y30" s="126"/>
      <c r="Z30" s="126"/>
      <c r="AA30" s="126"/>
      <c r="AB30" s="119"/>
      <c r="AD30" s="119"/>
      <c r="AE30" s="479"/>
      <c r="AF30" s="479"/>
      <c r="AG30" s="479"/>
      <c r="AH30" s="119"/>
      <c r="AI30" s="479"/>
      <c r="AJ30" s="479"/>
      <c r="AK30" s="479"/>
      <c r="AL30" s="479"/>
      <c r="AM30" s="479"/>
      <c r="AN30" s="479"/>
      <c r="AO30" s="479"/>
      <c r="AP30" s="479"/>
      <c r="AQ30" s="479"/>
      <c r="AR30" s="479"/>
      <c r="AS30" s="479"/>
      <c r="AT30" s="479"/>
      <c r="AU30" s="479"/>
      <c r="AV30" s="479"/>
      <c r="AW30" s="479"/>
      <c r="AX30" s="479"/>
      <c r="AY30" s="479"/>
      <c r="AZ30" s="479"/>
      <c r="BA30" s="113" t="s">
        <v>392</v>
      </c>
      <c r="BB30" s="114" t="s">
        <v>4462</v>
      </c>
      <c r="BC30" s="2404"/>
      <c r="BD30" s="115"/>
      <c r="BE30" s="115"/>
      <c r="BF30" s="116"/>
      <c r="BG30" s="116"/>
      <c r="BH30" s="116"/>
      <c r="BI30" s="116"/>
      <c r="BJ30" s="116"/>
      <c r="BK30" s="112"/>
      <c r="BL30" s="115"/>
      <c r="BM30" s="115"/>
      <c r="BN30" s="108"/>
      <c r="BO30" s="108"/>
    </row>
    <row r="31" spans="2:67">
      <c r="B31" s="86" t="s">
        <v>4463</v>
      </c>
      <c r="C31" s="117" t="s">
        <v>4464</v>
      </c>
      <c r="D31" s="117"/>
      <c r="E31" s="88" t="s">
        <v>51</v>
      </c>
      <c r="F31" s="89">
        <v>3</v>
      </c>
      <c r="G31" s="36">
        <v>0</v>
      </c>
      <c r="H31" s="37">
        <v>0</v>
      </c>
      <c r="I31" s="38">
        <v>0</v>
      </c>
      <c r="J31" s="90">
        <f>SUM(G31:I31)</f>
        <v>0</v>
      </c>
      <c r="K31" s="38">
        <v>0</v>
      </c>
      <c r="L31" s="46">
        <v>0</v>
      </c>
      <c r="M31" s="91" t="s">
        <v>734</v>
      </c>
      <c r="N31" s="89">
        <v>2</v>
      </c>
      <c r="O31" s="868">
        <v>0</v>
      </c>
      <c r="P31" s="869">
        <v>0</v>
      </c>
      <c r="Q31" s="2"/>
      <c r="R31" s="24">
        <f t="shared" ref="R31:R37" si="25" xml:space="preserve"> IF( SUM( T31:AB31 ) = 0, 0, $U$7 )</f>
        <v>0</v>
      </c>
      <c r="U31" s="93">
        <f t="shared" ref="U31:W37" si="26" xml:space="preserve"> IF( ISNUMBER( G31 ), 0, 1 )</f>
        <v>0</v>
      </c>
      <c r="V31" s="93">
        <f t="shared" si="26"/>
        <v>0</v>
      </c>
      <c r="W31" s="93">
        <f t="shared" si="26"/>
        <v>0</v>
      </c>
      <c r="X31" s="93">
        <f t="shared" ref="X31:Y37" si="27" xml:space="preserve"> IF( ISNUMBER( K31 ), 0, 1 )</f>
        <v>0</v>
      </c>
      <c r="Y31" s="93">
        <f t="shared" si="27"/>
        <v>0</v>
      </c>
      <c r="Z31" s="93">
        <f t="shared" ref="Z31:AA37" si="28" xml:space="preserve"> IF( ISNUMBER( O31 ), 0, 1 )</f>
        <v>0</v>
      </c>
      <c r="AA31" s="93">
        <f t="shared" si="28"/>
        <v>0</v>
      </c>
      <c r="AE31" s="479"/>
      <c r="AF31" s="479"/>
      <c r="AG31" s="479"/>
      <c r="AI31" s="479"/>
      <c r="AJ31" s="479"/>
      <c r="AK31" s="479"/>
      <c r="AL31" s="479"/>
      <c r="AM31" s="479"/>
      <c r="AN31" s="479"/>
      <c r="AO31" s="479"/>
      <c r="AP31" s="479"/>
      <c r="AQ31" s="479"/>
      <c r="AR31" s="479"/>
      <c r="AS31" s="479"/>
      <c r="AT31" s="479"/>
      <c r="AU31" s="479"/>
      <c r="AV31" s="479"/>
      <c r="AW31" s="479"/>
      <c r="AX31" s="479"/>
      <c r="AY31" s="479"/>
      <c r="AZ31" s="479"/>
      <c r="BA31" s="86" t="s">
        <v>4463</v>
      </c>
      <c r="BB31" s="117" t="s">
        <v>4464</v>
      </c>
      <c r="BC31" s="117"/>
      <c r="BD31" s="88" t="s">
        <v>51</v>
      </c>
      <c r="BE31" s="89">
        <v>3</v>
      </c>
      <c r="BF31" s="2714" t="s">
        <v>4465</v>
      </c>
      <c r="BG31" s="2715" t="s">
        <v>4466</v>
      </c>
      <c r="BH31" s="2716" t="s">
        <v>4467</v>
      </c>
      <c r="BI31" s="90" t="s">
        <v>4468</v>
      </c>
      <c r="BJ31" s="2716" t="s">
        <v>4469</v>
      </c>
      <c r="BK31" s="2742" t="s">
        <v>4470</v>
      </c>
      <c r="BL31" s="91" t="s">
        <v>734</v>
      </c>
      <c r="BM31" s="89">
        <v>2</v>
      </c>
      <c r="BN31" s="2718" t="s">
        <v>4471</v>
      </c>
      <c r="BO31" s="2719" t="s">
        <v>4472</v>
      </c>
    </row>
    <row r="32" spans="2:67">
      <c r="B32" s="94" t="s">
        <v>4473</v>
      </c>
      <c r="C32" s="87" t="s">
        <v>4474</v>
      </c>
      <c r="D32" s="87"/>
      <c r="E32" s="95" t="s">
        <v>51</v>
      </c>
      <c r="F32" s="96">
        <v>3</v>
      </c>
      <c r="G32" s="40">
        <v>0</v>
      </c>
      <c r="H32" s="41">
        <v>0</v>
      </c>
      <c r="I32" s="42">
        <v>0</v>
      </c>
      <c r="J32" s="97">
        <f t="shared" ref="J32" si="29">SUM(G32:I32)</f>
        <v>0</v>
      </c>
      <c r="K32" s="42">
        <v>0</v>
      </c>
      <c r="L32" s="47">
        <v>0</v>
      </c>
      <c r="M32" s="98" t="s">
        <v>734</v>
      </c>
      <c r="N32" s="96">
        <v>2</v>
      </c>
      <c r="O32" s="872">
        <v>0</v>
      </c>
      <c r="P32" s="873">
        <v>0</v>
      </c>
      <c r="Q32" s="92"/>
      <c r="R32" s="24">
        <f t="shared" si="25"/>
        <v>0</v>
      </c>
      <c r="U32" s="93">
        <f t="shared" si="26"/>
        <v>0</v>
      </c>
      <c r="V32" s="93">
        <f t="shared" si="26"/>
        <v>0</v>
      </c>
      <c r="W32" s="93">
        <f t="shared" si="26"/>
        <v>0</v>
      </c>
      <c r="X32" s="93">
        <f t="shared" si="27"/>
        <v>0</v>
      </c>
      <c r="Y32" s="93">
        <f t="shared" si="27"/>
        <v>0</v>
      </c>
      <c r="Z32" s="93">
        <f t="shared" si="28"/>
        <v>0</v>
      </c>
      <c r="AA32" s="93">
        <f t="shared" si="28"/>
        <v>0</v>
      </c>
      <c r="AE32" s="479"/>
      <c r="AF32" s="479"/>
      <c r="AG32" s="479"/>
      <c r="AI32" s="479"/>
      <c r="AJ32" s="479"/>
      <c r="AK32" s="479"/>
      <c r="AL32" s="479"/>
      <c r="AM32" s="479"/>
      <c r="AN32" s="479"/>
      <c r="AO32" s="479"/>
      <c r="AP32" s="479"/>
      <c r="AQ32" s="479"/>
      <c r="AR32" s="479"/>
      <c r="AS32" s="479"/>
      <c r="AT32" s="479"/>
      <c r="AU32" s="479"/>
      <c r="AV32" s="479"/>
      <c r="AW32" s="479"/>
      <c r="AX32" s="479"/>
      <c r="AY32" s="479"/>
      <c r="AZ32" s="479"/>
      <c r="BA32" s="94" t="s">
        <v>4473</v>
      </c>
      <c r="BB32" s="87" t="s">
        <v>4474</v>
      </c>
      <c r="BC32" s="87"/>
      <c r="BD32" s="95" t="s">
        <v>51</v>
      </c>
      <c r="BE32" s="96">
        <v>3</v>
      </c>
      <c r="BF32" s="2726" t="s">
        <v>4475</v>
      </c>
      <c r="BG32" s="2727" t="s">
        <v>4476</v>
      </c>
      <c r="BH32" s="2728" t="s">
        <v>4477</v>
      </c>
      <c r="BI32" s="97" t="s">
        <v>4478</v>
      </c>
      <c r="BJ32" s="2728" t="s">
        <v>4479</v>
      </c>
      <c r="BK32" s="2743" t="s">
        <v>4480</v>
      </c>
      <c r="BL32" s="98" t="s">
        <v>734</v>
      </c>
      <c r="BM32" s="96">
        <v>2</v>
      </c>
      <c r="BN32" s="2730" t="s">
        <v>4481</v>
      </c>
      <c r="BO32" s="2731" t="s">
        <v>4482</v>
      </c>
    </row>
    <row r="33" spans="2:67">
      <c r="B33" s="94" t="s">
        <v>4483</v>
      </c>
      <c r="C33" s="87" t="s">
        <v>4484</v>
      </c>
      <c r="D33" s="87"/>
      <c r="E33" s="95" t="s">
        <v>51</v>
      </c>
      <c r="F33" s="96">
        <v>3</v>
      </c>
      <c r="G33" s="40">
        <v>0</v>
      </c>
      <c r="H33" s="41">
        <v>0</v>
      </c>
      <c r="I33" s="42">
        <v>0</v>
      </c>
      <c r="J33" s="97">
        <f>SUM(G33:I33)</f>
        <v>0</v>
      </c>
      <c r="K33" s="42">
        <v>0</v>
      </c>
      <c r="L33" s="47">
        <v>0</v>
      </c>
      <c r="M33" s="98" t="s">
        <v>734</v>
      </c>
      <c r="N33" s="96">
        <v>2</v>
      </c>
      <c r="O33" s="872">
        <v>0</v>
      </c>
      <c r="P33" s="873">
        <v>0</v>
      </c>
      <c r="Q33" s="92"/>
      <c r="R33" s="24">
        <f t="shared" si="25"/>
        <v>0</v>
      </c>
      <c r="U33" s="93">
        <f t="shared" si="26"/>
        <v>0</v>
      </c>
      <c r="V33" s="93">
        <f t="shared" si="26"/>
        <v>0</v>
      </c>
      <c r="W33" s="93">
        <f t="shared" si="26"/>
        <v>0</v>
      </c>
      <c r="X33" s="93">
        <f t="shared" si="27"/>
        <v>0</v>
      </c>
      <c r="Y33" s="93">
        <f t="shared" si="27"/>
        <v>0</v>
      </c>
      <c r="Z33" s="93">
        <f t="shared" si="28"/>
        <v>0</v>
      </c>
      <c r="AA33" s="93">
        <f t="shared" si="28"/>
        <v>0</v>
      </c>
      <c r="AC33" s="127"/>
      <c r="AE33" s="479"/>
      <c r="AF33" s="479"/>
      <c r="AG33" s="479"/>
      <c r="AI33" s="479"/>
      <c r="AJ33" s="479"/>
      <c r="AK33" s="479"/>
      <c r="AL33" s="479"/>
      <c r="AM33" s="479"/>
      <c r="AN33" s="479"/>
      <c r="AO33" s="479"/>
      <c r="AP33" s="479"/>
      <c r="AQ33" s="479"/>
      <c r="AR33" s="479"/>
      <c r="AS33" s="479"/>
      <c r="AT33" s="479"/>
      <c r="AU33" s="479"/>
      <c r="AV33" s="479"/>
      <c r="AW33" s="479"/>
      <c r="AX33" s="479"/>
      <c r="AY33" s="479"/>
      <c r="AZ33" s="479"/>
      <c r="BA33" s="94" t="s">
        <v>4483</v>
      </c>
      <c r="BB33" s="87" t="s">
        <v>4484</v>
      </c>
      <c r="BC33" s="87"/>
      <c r="BD33" s="95" t="s">
        <v>51</v>
      </c>
      <c r="BE33" s="96">
        <v>3</v>
      </c>
      <c r="BF33" s="2726" t="s">
        <v>4485</v>
      </c>
      <c r="BG33" s="2727" t="s">
        <v>4486</v>
      </c>
      <c r="BH33" s="2728" t="s">
        <v>4487</v>
      </c>
      <c r="BI33" s="97" t="s">
        <v>4488</v>
      </c>
      <c r="BJ33" s="2728" t="s">
        <v>4489</v>
      </c>
      <c r="BK33" s="2743" t="s">
        <v>4490</v>
      </c>
      <c r="BL33" s="98" t="s">
        <v>734</v>
      </c>
      <c r="BM33" s="96">
        <v>2</v>
      </c>
      <c r="BN33" s="2730" t="s">
        <v>4491</v>
      </c>
      <c r="BO33" s="2731" t="s">
        <v>4492</v>
      </c>
    </row>
    <row r="34" spans="2:67" s="479" customFormat="1">
      <c r="B34" s="94" t="s">
        <v>4493</v>
      </c>
      <c r="C34" s="87" t="s">
        <v>4494</v>
      </c>
      <c r="D34" s="87"/>
      <c r="E34" s="95" t="s">
        <v>51</v>
      </c>
      <c r="F34" s="96">
        <v>3</v>
      </c>
      <c r="G34" s="40">
        <v>0</v>
      </c>
      <c r="H34" s="41">
        <v>0</v>
      </c>
      <c r="I34" s="42">
        <v>0</v>
      </c>
      <c r="J34" s="97">
        <f t="shared" ref="J34:J36" si="30">SUM(G34:I34)</f>
        <v>0</v>
      </c>
      <c r="K34" s="42">
        <v>0</v>
      </c>
      <c r="L34" s="47">
        <v>0</v>
      </c>
      <c r="M34" s="98" t="s">
        <v>734</v>
      </c>
      <c r="N34" s="96">
        <v>2</v>
      </c>
      <c r="O34" s="872">
        <v>0</v>
      </c>
      <c r="P34" s="873">
        <v>0</v>
      </c>
      <c r="Q34" s="92"/>
      <c r="R34" s="24">
        <f t="shared" ref="R34:R36" si="31" xml:space="preserve"> IF( SUM( T34:AB34 ) = 0, 0, $U$7 )</f>
        <v>0</v>
      </c>
      <c r="S34" s="70"/>
      <c r="T34" s="71"/>
      <c r="U34" s="93">
        <f t="shared" ref="U34:U36" si="32" xml:space="preserve"> IF( ISNUMBER( G34 ), 0, 1 )</f>
        <v>0</v>
      </c>
      <c r="V34" s="93">
        <f t="shared" ref="V34:V36" si="33" xml:space="preserve"> IF( ISNUMBER( H34 ), 0, 1 )</f>
        <v>0</v>
      </c>
      <c r="W34" s="93">
        <f t="shared" ref="W34:W36" si="34" xml:space="preserve"> IF( ISNUMBER( I34 ), 0, 1 )</f>
        <v>0</v>
      </c>
      <c r="X34" s="93">
        <f t="shared" ref="X34:X36" si="35" xml:space="preserve"> IF( ISNUMBER( K34 ), 0, 1 )</f>
        <v>0</v>
      </c>
      <c r="Y34" s="93">
        <f t="shared" ref="Y34:Y36" si="36" xml:space="preserve"> IF( ISNUMBER( L34 ), 0, 1 )</f>
        <v>0</v>
      </c>
      <c r="Z34" s="93">
        <f t="shared" ref="Z34:Z36" si="37" xml:space="preserve"> IF( ISNUMBER( O34 ), 0, 1 )</f>
        <v>0</v>
      </c>
      <c r="AA34" s="93">
        <f t="shared" ref="AA34:AA36" si="38" xml:space="preserve"> IF( ISNUMBER( P34 ), 0, 1 )</f>
        <v>0</v>
      </c>
      <c r="AB34" s="71"/>
      <c r="AC34" s="127"/>
      <c r="AD34" s="71"/>
      <c r="AH34" s="71"/>
      <c r="BA34" s="94" t="s">
        <v>4493</v>
      </c>
      <c r="BB34" s="87" t="s">
        <v>4494</v>
      </c>
      <c r="BC34" s="2403" t="s">
        <v>4495</v>
      </c>
      <c r="BD34" s="1268" t="s">
        <v>51</v>
      </c>
      <c r="BE34" s="1269">
        <v>3</v>
      </c>
      <c r="BF34" s="2726" t="str">
        <f>+$BC34&amp;BF5</f>
        <v>CR2029N1</v>
      </c>
      <c r="BG34" s="2727" t="str">
        <f t="shared" ref="BG34:BK34" si="39">+$BC34&amp;BG5</f>
        <v>CR2029N2</v>
      </c>
      <c r="BH34" s="2728" t="str">
        <f t="shared" si="39"/>
        <v>CR2029N5</v>
      </c>
      <c r="BI34" s="97" t="str">
        <f t="shared" si="39"/>
        <v>CR2029N6</v>
      </c>
      <c r="BJ34" s="2728" t="str">
        <f t="shared" si="39"/>
        <v>CR2029MM</v>
      </c>
      <c r="BK34" s="2743" t="str">
        <f t="shared" si="39"/>
        <v>CR2029TA</v>
      </c>
      <c r="BL34" s="2402" t="s">
        <v>734</v>
      </c>
      <c r="BM34" s="1269">
        <v>2</v>
      </c>
      <c r="BN34" s="2730" t="str">
        <f t="shared" ref="BN34:BO34" si="40">+$BC34&amp;BN5</f>
        <v>CR2029RP</v>
      </c>
      <c r="BO34" s="2731" t="str">
        <f t="shared" si="40"/>
        <v>CR2029RR</v>
      </c>
    </row>
    <row r="35" spans="2:67" s="479" customFormat="1">
      <c r="B35" s="94" t="s">
        <v>4496</v>
      </c>
      <c r="C35" s="87" t="s">
        <v>4497</v>
      </c>
      <c r="D35" s="87"/>
      <c r="E35" s="95" t="s">
        <v>51</v>
      </c>
      <c r="F35" s="96">
        <v>3</v>
      </c>
      <c r="G35" s="40">
        <v>0</v>
      </c>
      <c r="H35" s="41">
        <v>0</v>
      </c>
      <c r="I35" s="42">
        <v>0</v>
      </c>
      <c r="J35" s="97">
        <f t="shared" si="30"/>
        <v>0</v>
      </c>
      <c r="K35" s="42">
        <v>0</v>
      </c>
      <c r="L35" s="47">
        <v>0</v>
      </c>
      <c r="M35" s="98" t="s">
        <v>734</v>
      </c>
      <c r="N35" s="96">
        <v>2</v>
      </c>
      <c r="O35" s="872">
        <v>0</v>
      </c>
      <c r="P35" s="873">
        <v>0</v>
      </c>
      <c r="Q35" s="92"/>
      <c r="R35" s="24">
        <f t="shared" si="31"/>
        <v>0</v>
      </c>
      <c r="S35" s="70"/>
      <c r="T35" s="71"/>
      <c r="U35" s="93">
        <f t="shared" si="32"/>
        <v>0</v>
      </c>
      <c r="V35" s="93">
        <f t="shared" si="33"/>
        <v>0</v>
      </c>
      <c r="W35" s="93">
        <f t="shared" si="34"/>
        <v>0</v>
      </c>
      <c r="X35" s="93">
        <f t="shared" si="35"/>
        <v>0</v>
      </c>
      <c r="Y35" s="93">
        <f t="shared" si="36"/>
        <v>0</v>
      </c>
      <c r="Z35" s="93">
        <f t="shared" si="37"/>
        <v>0</v>
      </c>
      <c r="AA35" s="93">
        <f t="shared" si="38"/>
        <v>0</v>
      </c>
      <c r="AB35" s="71"/>
      <c r="AC35" s="127"/>
      <c r="AD35" s="71"/>
      <c r="AH35" s="71"/>
      <c r="BA35" s="94" t="s">
        <v>4496</v>
      </c>
      <c r="BB35" s="87" t="s">
        <v>4497</v>
      </c>
      <c r="BC35" s="2403" t="s">
        <v>4498</v>
      </c>
      <c r="BD35" s="1268" t="s">
        <v>51</v>
      </c>
      <c r="BE35" s="1269">
        <v>3</v>
      </c>
      <c r="BF35" s="2726" t="str">
        <f>+$BC35&amp;BF5</f>
        <v>CR2030N1</v>
      </c>
      <c r="BG35" s="2727" t="str">
        <f t="shared" ref="BG35:BK35" si="41">+$BC35&amp;BG5</f>
        <v>CR2030N2</v>
      </c>
      <c r="BH35" s="2728" t="str">
        <f t="shared" si="41"/>
        <v>CR2030N5</v>
      </c>
      <c r="BI35" s="97" t="str">
        <f t="shared" si="41"/>
        <v>CR2030N6</v>
      </c>
      <c r="BJ35" s="2728" t="str">
        <f t="shared" si="41"/>
        <v>CR2030MM</v>
      </c>
      <c r="BK35" s="2743" t="str">
        <f t="shared" si="41"/>
        <v>CR2030TA</v>
      </c>
      <c r="BL35" s="2402" t="s">
        <v>734</v>
      </c>
      <c r="BM35" s="1269">
        <v>2</v>
      </c>
      <c r="BN35" s="2730" t="str">
        <f t="shared" ref="BN35:BO35" si="42">+$BC35&amp;BN5</f>
        <v>CR2030RP</v>
      </c>
      <c r="BO35" s="2731" t="str">
        <f t="shared" si="42"/>
        <v>CR2030RR</v>
      </c>
    </row>
    <row r="36" spans="2:67" s="479" customFormat="1">
      <c r="B36" s="94" t="s">
        <v>4499</v>
      </c>
      <c r="C36" s="87" t="s">
        <v>4500</v>
      </c>
      <c r="D36" s="87"/>
      <c r="E36" s="95" t="s">
        <v>51</v>
      </c>
      <c r="F36" s="96">
        <v>3</v>
      </c>
      <c r="G36" s="40">
        <v>0</v>
      </c>
      <c r="H36" s="41">
        <v>0</v>
      </c>
      <c r="I36" s="42">
        <v>0</v>
      </c>
      <c r="J36" s="97">
        <f t="shared" si="30"/>
        <v>0</v>
      </c>
      <c r="K36" s="42">
        <v>0</v>
      </c>
      <c r="L36" s="47">
        <v>0</v>
      </c>
      <c r="M36" s="98" t="s">
        <v>734</v>
      </c>
      <c r="N36" s="96">
        <v>2</v>
      </c>
      <c r="O36" s="872">
        <v>0</v>
      </c>
      <c r="P36" s="873">
        <v>0</v>
      </c>
      <c r="Q36" s="92"/>
      <c r="R36" s="24">
        <f t="shared" si="31"/>
        <v>0</v>
      </c>
      <c r="S36" s="70"/>
      <c r="T36" s="71"/>
      <c r="U36" s="93">
        <f t="shared" si="32"/>
        <v>0</v>
      </c>
      <c r="V36" s="93">
        <f t="shared" si="33"/>
        <v>0</v>
      </c>
      <c r="W36" s="93">
        <f t="shared" si="34"/>
        <v>0</v>
      </c>
      <c r="X36" s="93">
        <f t="shared" si="35"/>
        <v>0</v>
      </c>
      <c r="Y36" s="93">
        <f t="shared" si="36"/>
        <v>0</v>
      </c>
      <c r="Z36" s="93">
        <f t="shared" si="37"/>
        <v>0</v>
      </c>
      <c r="AA36" s="93">
        <f t="shared" si="38"/>
        <v>0</v>
      </c>
      <c r="AB36" s="71"/>
      <c r="AC36" s="127"/>
      <c r="AD36" s="71"/>
      <c r="AH36" s="71"/>
      <c r="BA36" s="94" t="s">
        <v>4499</v>
      </c>
      <c r="BB36" s="87" t="s">
        <v>4500</v>
      </c>
      <c r="BC36" s="2403" t="s">
        <v>4501</v>
      </c>
      <c r="BD36" s="1268" t="s">
        <v>51</v>
      </c>
      <c r="BE36" s="1269">
        <v>3</v>
      </c>
      <c r="BF36" s="2726" t="str">
        <f>+$BC36&amp;BF5</f>
        <v>CR2031N1</v>
      </c>
      <c r="BG36" s="2727" t="str">
        <f t="shared" ref="BG36:BK36" si="43">+$BC36&amp;BG5</f>
        <v>CR2031N2</v>
      </c>
      <c r="BH36" s="2728" t="str">
        <f t="shared" si="43"/>
        <v>CR2031N5</v>
      </c>
      <c r="BI36" s="97" t="str">
        <f t="shared" si="43"/>
        <v>CR2031N6</v>
      </c>
      <c r="BJ36" s="2728" t="str">
        <f t="shared" si="43"/>
        <v>CR2031MM</v>
      </c>
      <c r="BK36" s="2743" t="str">
        <f t="shared" si="43"/>
        <v>CR2031TA</v>
      </c>
      <c r="BL36" s="2402" t="s">
        <v>734</v>
      </c>
      <c r="BM36" s="1269">
        <v>2</v>
      </c>
      <c r="BN36" s="2730" t="str">
        <f t="shared" ref="BN36:BO36" si="44">+$BC36&amp;BN5</f>
        <v>CR2031RP</v>
      </c>
      <c r="BO36" s="2731" t="str">
        <f t="shared" si="44"/>
        <v>CR2031RR</v>
      </c>
    </row>
    <row r="37" spans="2:67" ht="15" thickBot="1">
      <c r="B37" s="94" t="s">
        <v>4502</v>
      </c>
      <c r="C37" s="87" t="s">
        <v>4503</v>
      </c>
      <c r="D37" s="87"/>
      <c r="E37" s="95" t="s">
        <v>51</v>
      </c>
      <c r="F37" s="96">
        <v>3</v>
      </c>
      <c r="G37" s="40">
        <v>0</v>
      </c>
      <c r="H37" s="41">
        <v>0</v>
      </c>
      <c r="I37" s="42">
        <v>0</v>
      </c>
      <c r="J37" s="97">
        <f t="shared" ref="J37" si="45">SUM(G37:I37)</f>
        <v>0</v>
      </c>
      <c r="K37" s="42">
        <v>0</v>
      </c>
      <c r="L37" s="47">
        <v>0</v>
      </c>
      <c r="M37" s="99" t="s">
        <v>734</v>
      </c>
      <c r="N37" s="100">
        <v>2</v>
      </c>
      <c r="O37" s="876">
        <v>0</v>
      </c>
      <c r="P37" s="877">
        <v>0</v>
      </c>
      <c r="Q37" s="92"/>
      <c r="R37" s="24">
        <f t="shared" si="25"/>
        <v>0</v>
      </c>
      <c r="U37" s="93">
        <f t="shared" si="26"/>
        <v>0</v>
      </c>
      <c r="V37" s="93">
        <f t="shared" si="26"/>
        <v>0</v>
      </c>
      <c r="W37" s="93">
        <f t="shared" si="26"/>
        <v>0</v>
      </c>
      <c r="X37" s="93">
        <f t="shared" si="27"/>
        <v>0</v>
      </c>
      <c r="Y37" s="93">
        <f t="shared" si="27"/>
        <v>0</v>
      </c>
      <c r="Z37" s="93">
        <f t="shared" si="28"/>
        <v>0</v>
      </c>
      <c r="AA37" s="93">
        <f t="shared" si="28"/>
        <v>0</v>
      </c>
      <c r="AE37" s="479"/>
      <c r="AF37" s="479"/>
      <c r="AG37" s="479"/>
      <c r="AI37" s="479"/>
      <c r="AJ37" s="479"/>
      <c r="AK37" s="479"/>
      <c r="AL37" s="479"/>
      <c r="AM37" s="479"/>
      <c r="AN37" s="479"/>
      <c r="AO37" s="479"/>
      <c r="AP37" s="479"/>
      <c r="AQ37" s="479"/>
      <c r="AR37" s="479"/>
      <c r="AS37" s="479"/>
      <c r="AT37" s="479"/>
      <c r="AU37" s="479"/>
      <c r="AV37" s="479"/>
      <c r="AW37" s="479"/>
      <c r="AX37" s="479"/>
      <c r="AY37" s="479"/>
      <c r="AZ37" s="479"/>
      <c r="BA37" s="94" t="s">
        <v>4502</v>
      </c>
      <c r="BB37" s="87" t="s">
        <v>4503</v>
      </c>
      <c r="BC37" s="87"/>
      <c r="BD37" s="95" t="s">
        <v>51</v>
      </c>
      <c r="BE37" s="96">
        <v>3</v>
      </c>
      <c r="BF37" s="2726" t="s">
        <v>4504</v>
      </c>
      <c r="BG37" s="2727" t="s">
        <v>4505</v>
      </c>
      <c r="BH37" s="2728" t="s">
        <v>4506</v>
      </c>
      <c r="BI37" s="97" t="s">
        <v>4507</v>
      </c>
      <c r="BJ37" s="2728" t="s">
        <v>4508</v>
      </c>
      <c r="BK37" s="2743" t="s">
        <v>4509</v>
      </c>
      <c r="BL37" s="99" t="s">
        <v>734</v>
      </c>
      <c r="BM37" s="100">
        <v>2</v>
      </c>
      <c r="BN37" s="2738" t="s">
        <v>4510</v>
      </c>
      <c r="BO37" s="2739" t="s">
        <v>4511</v>
      </c>
    </row>
    <row r="38" spans="2:67" ht="15" thickBot="1">
      <c r="B38" s="101" t="s">
        <v>4512</v>
      </c>
      <c r="C38" s="102" t="s">
        <v>710</v>
      </c>
      <c r="D38" s="102"/>
      <c r="E38" s="103" t="s">
        <v>4368</v>
      </c>
      <c r="F38" s="100">
        <v>3</v>
      </c>
      <c r="G38" s="104">
        <f xml:space="preserve"> SUM( G31:G37 )</f>
        <v>0</v>
      </c>
      <c r="H38" s="105">
        <f t="shared" ref="H38:L38" si="46" xml:space="preserve"> SUM( H31:H37 )</f>
        <v>0</v>
      </c>
      <c r="I38" s="106">
        <f t="shared" si="46"/>
        <v>0</v>
      </c>
      <c r="J38" s="104">
        <f t="shared" si="46"/>
        <v>0</v>
      </c>
      <c r="K38" s="106">
        <f t="shared" si="46"/>
        <v>0</v>
      </c>
      <c r="L38" s="128">
        <f t="shared" si="46"/>
        <v>0</v>
      </c>
      <c r="M38" s="115"/>
      <c r="N38" s="115"/>
      <c r="O38" s="108"/>
      <c r="P38" s="108"/>
      <c r="Q38" s="92"/>
      <c r="S38" s="118"/>
      <c r="T38" s="119"/>
      <c r="U38" s="120"/>
      <c r="V38" s="118"/>
      <c r="W38" s="118"/>
      <c r="X38" s="118"/>
      <c r="Y38" s="118"/>
      <c r="Z38" s="118"/>
      <c r="AA38" s="118"/>
      <c r="AB38" s="119"/>
      <c r="AD38" s="119"/>
      <c r="AE38" s="479"/>
      <c r="AF38" s="479"/>
      <c r="AG38" s="479"/>
      <c r="AH38" s="119"/>
      <c r="AI38" s="479"/>
      <c r="AJ38" s="479"/>
      <c r="AK38" s="479"/>
      <c r="AL38" s="479"/>
      <c r="AM38" s="479"/>
      <c r="AN38" s="479"/>
      <c r="AO38" s="479"/>
      <c r="AP38" s="479"/>
      <c r="AQ38" s="479"/>
      <c r="AR38" s="479"/>
      <c r="AS38" s="479"/>
      <c r="AT38" s="479"/>
      <c r="AU38" s="479"/>
      <c r="AV38" s="479"/>
      <c r="AW38" s="479"/>
      <c r="AX38" s="479"/>
      <c r="AY38" s="479"/>
      <c r="AZ38" s="479"/>
      <c r="BA38" s="101" t="s">
        <v>4512</v>
      </c>
      <c r="BB38" s="102" t="s">
        <v>710</v>
      </c>
      <c r="BC38" s="102"/>
      <c r="BD38" s="103" t="s">
        <v>4368</v>
      </c>
      <c r="BE38" s="100">
        <v>3</v>
      </c>
      <c r="BF38" s="104" t="s">
        <v>4513</v>
      </c>
      <c r="BG38" s="105" t="s">
        <v>4514</v>
      </c>
      <c r="BH38" s="106" t="s">
        <v>4515</v>
      </c>
      <c r="BI38" s="104" t="s">
        <v>4516</v>
      </c>
      <c r="BJ38" s="106" t="s">
        <v>4517</v>
      </c>
      <c r="BK38" s="128" t="s">
        <v>4518</v>
      </c>
      <c r="BL38" s="115"/>
      <c r="BM38" s="115"/>
      <c r="BN38" s="108"/>
      <c r="BO38" s="108"/>
    </row>
    <row r="39" spans="2:67" ht="15" thickBot="1">
      <c r="B39" s="121"/>
      <c r="C39" s="122"/>
      <c r="D39" s="122"/>
      <c r="E39" s="115"/>
      <c r="F39" s="115"/>
      <c r="G39" s="116"/>
      <c r="H39" s="116"/>
      <c r="I39" s="129"/>
      <c r="J39" s="116"/>
      <c r="K39" s="116"/>
      <c r="L39" s="116"/>
      <c r="M39" s="115"/>
      <c r="N39" s="115"/>
      <c r="O39" s="123"/>
      <c r="P39" s="123"/>
      <c r="Q39" s="92"/>
      <c r="S39" s="118"/>
      <c r="T39" s="124"/>
      <c r="U39" s="120"/>
      <c r="V39" s="118"/>
      <c r="W39" s="118"/>
      <c r="X39" s="118"/>
      <c r="Y39" s="118"/>
      <c r="Z39" s="118"/>
      <c r="AA39" s="118"/>
      <c r="AB39" s="124"/>
      <c r="AD39" s="124"/>
      <c r="AE39" s="479"/>
      <c r="AF39" s="479"/>
      <c r="AG39" s="479"/>
      <c r="AH39" s="124"/>
      <c r="AI39" s="479"/>
      <c r="AJ39" s="479"/>
      <c r="AK39" s="479"/>
      <c r="AL39" s="479"/>
      <c r="AM39" s="479"/>
      <c r="AN39" s="479"/>
      <c r="AO39" s="479"/>
      <c r="AP39" s="479"/>
      <c r="AQ39" s="479"/>
      <c r="AR39" s="479"/>
      <c r="AS39" s="479"/>
      <c r="AT39" s="479"/>
      <c r="AU39" s="479"/>
      <c r="AV39" s="479"/>
      <c r="AW39" s="479"/>
      <c r="AX39" s="479"/>
      <c r="AY39" s="479"/>
      <c r="AZ39" s="479"/>
      <c r="BA39" s="121"/>
      <c r="BB39" s="122"/>
      <c r="BC39" s="122"/>
      <c r="BD39" s="115"/>
      <c r="BE39" s="115"/>
      <c r="BF39" s="116"/>
      <c r="BG39" s="116"/>
      <c r="BH39" s="129"/>
      <c r="BI39" s="116"/>
      <c r="BJ39" s="116"/>
      <c r="BK39" s="116"/>
      <c r="BL39" s="115"/>
      <c r="BM39" s="115"/>
      <c r="BN39" s="123"/>
      <c r="BO39" s="123"/>
    </row>
    <row r="40" spans="2:67" s="479" customFormat="1" ht="15" thickBot="1">
      <c r="B40" s="113" t="s">
        <v>466</v>
      </c>
      <c r="C40" s="114" t="s">
        <v>4519</v>
      </c>
      <c r="D40" s="1505"/>
      <c r="E40" s="115"/>
      <c r="F40" s="115"/>
      <c r="G40" s="116"/>
      <c r="H40" s="116"/>
      <c r="I40" s="129"/>
      <c r="J40" s="116"/>
      <c r="K40" s="116"/>
      <c r="L40" s="116"/>
      <c r="M40" s="115"/>
      <c r="N40" s="115"/>
      <c r="O40" s="123"/>
      <c r="P40" s="123"/>
      <c r="Q40" s="92"/>
      <c r="R40" s="74"/>
      <c r="S40" s="118"/>
      <c r="T40" s="124"/>
      <c r="U40" s="120"/>
      <c r="V40" s="118"/>
      <c r="W40" s="118"/>
      <c r="X40" s="118"/>
      <c r="Y40" s="118"/>
      <c r="Z40" s="118"/>
      <c r="AA40" s="118"/>
      <c r="AB40" s="124"/>
      <c r="AC40" s="72"/>
      <c r="AD40" s="124"/>
      <c r="AH40" s="124"/>
      <c r="BA40" s="113" t="s">
        <v>466</v>
      </c>
      <c r="BB40" s="114" t="s">
        <v>4519</v>
      </c>
      <c r="BC40" s="2404"/>
      <c r="BD40" s="115"/>
      <c r="BE40" s="115"/>
      <c r="BF40" s="116"/>
      <c r="BG40" s="116"/>
      <c r="BH40" s="129"/>
      <c r="BI40" s="116"/>
      <c r="BJ40" s="116"/>
      <c r="BK40" s="116"/>
      <c r="BL40" s="115"/>
      <c r="BM40" s="115"/>
      <c r="BN40" s="123"/>
      <c r="BO40" s="123"/>
    </row>
    <row r="41" spans="2:67" s="479" customFormat="1" ht="15" thickBot="1">
      <c r="B41" s="593" t="s">
        <v>4520</v>
      </c>
      <c r="C41" s="594" t="s">
        <v>4519</v>
      </c>
      <c r="D41" s="594"/>
      <c r="E41" s="133" t="s">
        <v>51</v>
      </c>
      <c r="F41" s="134">
        <v>3</v>
      </c>
      <c r="G41" s="481">
        <v>0</v>
      </c>
      <c r="H41" s="482">
        <v>0</v>
      </c>
      <c r="I41" s="483">
        <v>0</v>
      </c>
      <c r="J41" s="135">
        <f>SUM(G41:I41)</f>
        <v>0</v>
      </c>
      <c r="K41" s="483">
        <v>-3.8639999999999999</v>
      </c>
      <c r="L41" s="484">
        <v>0</v>
      </c>
      <c r="M41" s="485" t="s">
        <v>734</v>
      </c>
      <c r="N41" s="134">
        <v>2</v>
      </c>
      <c r="O41" s="878">
        <v>0</v>
      </c>
      <c r="P41" s="879">
        <v>0</v>
      </c>
      <c r="Q41" s="92"/>
      <c r="R41" s="24">
        <f t="shared" ref="R41" si="47" xml:space="preserve"> IF( SUM( T41:AB41 ) = 0, 0, $U$7 )</f>
        <v>0</v>
      </c>
      <c r="S41" s="118"/>
      <c r="T41" s="124"/>
      <c r="U41" s="93">
        <f t="shared" ref="U41" si="48" xml:space="preserve"> IF( ISNUMBER( G41 ), 0, 1 )</f>
        <v>0</v>
      </c>
      <c r="V41" s="93">
        <f t="shared" ref="V41" si="49" xml:space="preserve"> IF( ISNUMBER( H41 ), 0, 1 )</f>
        <v>0</v>
      </c>
      <c r="W41" s="93">
        <f t="shared" ref="W41" si="50" xml:space="preserve"> IF( ISNUMBER( I41 ), 0, 1 )</f>
        <v>0</v>
      </c>
      <c r="X41" s="93">
        <f t="shared" ref="X41" si="51" xml:space="preserve"> IF( ISNUMBER( K41 ), 0, 1 )</f>
        <v>0</v>
      </c>
      <c r="Y41" s="93">
        <f t="shared" ref="Y41" si="52" xml:space="preserve"> IF( ISNUMBER( L41 ), 0, 1 )</f>
        <v>0</v>
      </c>
      <c r="Z41" s="93">
        <f t="shared" ref="Z41" si="53" xml:space="preserve"> IF( ISNUMBER( O41 ), 0, 1 )</f>
        <v>0</v>
      </c>
      <c r="AA41" s="93">
        <f t="shared" ref="AA41" si="54" xml:space="preserve"> IF( ISNUMBER( P41 ), 0, 1 )</f>
        <v>0</v>
      </c>
      <c r="AB41" s="124"/>
      <c r="AC41" s="72"/>
      <c r="AD41" s="124"/>
      <c r="AH41" s="124"/>
      <c r="BA41" s="593" t="s">
        <v>4520</v>
      </c>
      <c r="BB41" s="594" t="s">
        <v>4519</v>
      </c>
      <c r="BC41" s="594"/>
      <c r="BD41" s="133" t="s">
        <v>51</v>
      </c>
      <c r="BE41" s="134">
        <v>3</v>
      </c>
      <c r="BF41" s="2745" t="s">
        <v>4521</v>
      </c>
      <c r="BG41" s="2746" t="s">
        <v>4522</v>
      </c>
      <c r="BH41" s="2747" t="s">
        <v>4523</v>
      </c>
      <c r="BI41" s="135" t="s">
        <v>4524</v>
      </c>
      <c r="BJ41" s="2747" t="s">
        <v>4525</v>
      </c>
      <c r="BK41" s="2748" t="s">
        <v>4526</v>
      </c>
      <c r="BL41" s="485" t="s">
        <v>734</v>
      </c>
      <c r="BM41" s="134">
        <v>2</v>
      </c>
      <c r="BN41" s="2749" t="s">
        <v>4527</v>
      </c>
      <c r="BO41" s="2750" t="s">
        <v>4528</v>
      </c>
    </row>
    <row r="42" spans="2:67" s="479" customFormat="1" ht="15" thickBot="1">
      <c r="B42" s="121"/>
      <c r="C42" s="122"/>
      <c r="D42" s="122"/>
      <c r="E42" s="115"/>
      <c r="F42" s="115"/>
      <c r="G42" s="116"/>
      <c r="H42" s="116"/>
      <c r="I42" s="129"/>
      <c r="J42" s="116"/>
      <c r="K42" s="116"/>
      <c r="L42" s="116"/>
      <c r="M42" s="115"/>
      <c r="N42" s="115"/>
      <c r="O42" s="123"/>
      <c r="P42" s="123"/>
      <c r="Q42" s="92"/>
      <c r="R42" s="480"/>
      <c r="S42" s="118"/>
      <c r="T42" s="124"/>
      <c r="U42" s="120"/>
      <c r="V42" s="118"/>
      <c r="W42" s="118"/>
      <c r="X42" s="118"/>
      <c r="Y42" s="118"/>
      <c r="Z42" s="118"/>
      <c r="AA42" s="118"/>
      <c r="AB42" s="124"/>
      <c r="AC42" s="72"/>
      <c r="AD42" s="124"/>
      <c r="AH42" s="124"/>
      <c r="BA42" s="121"/>
      <c r="BB42" s="122"/>
      <c r="BC42" s="122"/>
      <c r="BD42" s="115"/>
      <c r="BE42" s="115"/>
      <c r="BF42" s="116"/>
      <c r="BG42" s="116"/>
      <c r="BH42" s="129"/>
      <c r="BI42" s="116"/>
      <c r="BJ42" s="116"/>
      <c r="BK42" s="116"/>
      <c r="BL42" s="115"/>
      <c r="BM42" s="115"/>
      <c r="BN42" s="123"/>
      <c r="BO42" s="123"/>
    </row>
    <row r="43" spans="2:67" ht="15" thickBot="1">
      <c r="B43" s="113" t="s">
        <v>2325</v>
      </c>
      <c r="C43" s="114" t="s">
        <v>710</v>
      </c>
      <c r="D43" s="1505"/>
      <c r="E43" s="115"/>
      <c r="F43" s="115"/>
      <c r="G43" s="116"/>
      <c r="H43" s="116"/>
      <c r="I43" s="116"/>
      <c r="J43" s="116"/>
      <c r="K43" s="116"/>
      <c r="L43" s="116"/>
      <c r="M43" s="115"/>
      <c r="N43" s="115"/>
      <c r="O43" s="123"/>
      <c r="P43" s="123"/>
      <c r="Q43" s="118"/>
      <c r="S43" s="118"/>
      <c r="T43" s="124"/>
      <c r="U43" s="130"/>
      <c r="V43" s="118"/>
      <c r="W43" s="118"/>
      <c r="X43" s="118"/>
      <c r="Y43" s="118"/>
      <c r="Z43" s="118"/>
      <c r="AA43" s="118"/>
      <c r="AB43" s="124"/>
      <c r="AD43" s="124"/>
      <c r="AE43" s="479"/>
      <c r="AF43" s="479"/>
      <c r="AG43" s="479"/>
      <c r="AH43" s="124"/>
      <c r="AI43" s="479"/>
      <c r="AJ43" s="479"/>
      <c r="AK43" s="479"/>
      <c r="AL43" s="479"/>
      <c r="AM43" s="479"/>
      <c r="AN43" s="479"/>
      <c r="AO43" s="479"/>
      <c r="AP43" s="479"/>
      <c r="AQ43" s="479"/>
      <c r="AR43" s="479"/>
      <c r="AS43" s="479"/>
      <c r="AT43" s="479"/>
      <c r="AU43" s="479"/>
      <c r="AV43" s="479"/>
      <c r="AW43" s="479"/>
      <c r="AX43" s="479"/>
      <c r="AY43" s="479"/>
      <c r="AZ43" s="479"/>
      <c r="BA43" s="113" t="s">
        <v>2325</v>
      </c>
      <c r="BB43" s="114" t="s">
        <v>710</v>
      </c>
      <c r="BC43" s="2404"/>
      <c r="BD43" s="115"/>
      <c r="BE43" s="115"/>
      <c r="BF43" s="116"/>
      <c r="BG43" s="116"/>
      <c r="BH43" s="116"/>
      <c r="BI43" s="116"/>
      <c r="BJ43" s="116"/>
      <c r="BK43" s="116"/>
      <c r="BL43" s="115"/>
      <c r="BM43" s="115"/>
      <c r="BN43" s="123"/>
      <c r="BO43" s="123"/>
    </row>
    <row r="44" spans="2:67" ht="23.25" thickBot="1">
      <c r="B44" s="131" t="s">
        <v>4529</v>
      </c>
      <c r="C44" s="132" t="s">
        <v>4530</v>
      </c>
      <c r="D44" s="132"/>
      <c r="E44" s="133" t="s">
        <v>51</v>
      </c>
      <c r="F44" s="134">
        <v>3</v>
      </c>
      <c r="G44" s="135">
        <f xml:space="preserve"> G14 + G21 + G28 + G38 + G41</f>
        <v>144.55799999999999</v>
      </c>
      <c r="H44" s="136">
        <f t="shared" ref="H44:L44" si="55" xml:space="preserve"> H14 + H21 + H28 + H38 + H41</f>
        <v>321.83999999999997</v>
      </c>
      <c r="I44" s="137">
        <f t="shared" si="55"/>
        <v>1589.0719999999999</v>
      </c>
      <c r="J44" s="135">
        <f t="shared" si="55"/>
        <v>2055.4699999999998</v>
      </c>
      <c r="K44" s="137">
        <f t="shared" si="55"/>
        <v>-2558.857</v>
      </c>
      <c r="L44" s="138">
        <f t="shared" si="55"/>
        <v>154.00200000000001</v>
      </c>
      <c r="M44" s="115"/>
      <c r="N44" s="115"/>
      <c r="O44" s="108"/>
      <c r="P44" s="108"/>
      <c r="Q44" s="126"/>
      <c r="R44" s="1370" t="str">
        <f xml:space="preserve"> IF( SUM( AB44:AD44 ) = 0, 0, AG44 )</f>
        <v>Please provide explanation why 'Mark to Market' does not equal the 'Financial instruments' totals from table 1C.</v>
      </c>
      <c r="S44" s="118"/>
      <c r="T44" s="124"/>
      <c r="U44" s="120"/>
      <c r="V44" s="118"/>
      <c r="W44" s="118"/>
      <c r="X44" s="118"/>
      <c r="Y44" s="118"/>
      <c r="Z44" s="118"/>
      <c r="AA44" s="118"/>
      <c r="AB44" s="124"/>
      <c r="AC44" s="93">
        <f xml:space="preserve"> IF( (AE44 - AF44) = 0, 0, 1 )</f>
        <v>1</v>
      </c>
      <c r="AD44" s="124"/>
      <c r="AE44" s="112">
        <f xml:space="preserve"> ROUND( K44, 3 )</f>
        <v>-2558.857</v>
      </c>
      <c r="AF44" s="112">
        <f xml:space="preserve"> ROUND( ('1C'!K11 + '1C'!K18 + '1C'!K26 + '1C'!K36), 3 )</f>
        <v>-1967.5519999999999</v>
      </c>
      <c r="AG44" s="139" t="s">
        <v>4531</v>
      </c>
      <c r="AH44" s="124"/>
      <c r="AI44" s="479"/>
      <c r="AJ44" s="479"/>
      <c r="AK44" s="479"/>
      <c r="AL44" s="479"/>
      <c r="AM44" s="479"/>
      <c r="AN44" s="479"/>
      <c r="AO44" s="479"/>
      <c r="AP44" s="479"/>
      <c r="AQ44" s="479"/>
      <c r="AR44" s="479"/>
      <c r="AS44" s="479"/>
      <c r="AT44" s="479"/>
      <c r="AU44" s="479"/>
      <c r="AV44" s="479"/>
      <c r="AW44" s="479"/>
      <c r="AX44" s="479"/>
      <c r="AY44" s="479"/>
      <c r="AZ44" s="479"/>
      <c r="BA44" s="131" t="s">
        <v>4529</v>
      </c>
      <c r="BB44" s="132" t="s">
        <v>4530</v>
      </c>
      <c r="BC44" s="132"/>
      <c r="BD44" s="133" t="s">
        <v>51</v>
      </c>
      <c r="BE44" s="134">
        <v>3</v>
      </c>
      <c r="BF44" s="135" t="s">
        <v>4532</v>
      </c>
      <c r="BG44" s="136" t="s">
        <v>4533</v>
      </c>
      <c r="BH44" s="137" t="s">
        <v>4534</v>
      </c>
      <c r="BI44" s="135" t="s">
        <v>4535</v>
      </c>
      <c r="BJ44" s="137" t="s">
        <v>4536</v>
      </c>
      <c r="BK44" s="138" t="s">
        <v>4537</v>
      </c>
      <c r="BL44" s="115"/>
      <c r="BM44" s="115"/>
      <c r="BN44" s="108"/>
      <c r="BO44" s="108"/>
    </row>
    <row r="45" spans="2:67">
      <c r="B45" s="121"/>
      <c r="C45" s="122"/>
      <c r="D45" s="122"/>
      <c r="E45" s="115"/>
      <c r="F45" s="115"/>
      <c r="G45" s="140"/>
      <c r="H45" s="140"/>
      <c r="I45" s="140"/>
      <c r="J45" s="140"/>
      <c r="K45" s="140"/>
      <c r="L45" s="140"/>
      <c r="M45" s="115"/>
      <c r="N45" s="115"/>
      <c r="O45" s="123"/>
      <c r="P45" s="123"/>
      <c r="Q45" s="126"/>
      <c r="S45" s="110"/>
      <c r="T45" s="124"/>
      <c r="U45" s="110"/>
      <c r="V45" s="110"/>
      <c r="W45" s="110"/>
      <c r="X45" s="110"/>
      <c r="Y45" s="110"/>
      <c r="Z45" s="110"/>
      <c r="AA45" s="110"/>
      <c r="AB45" s="124"/>
      <c r="AD45" s="124"/>
      <c r="AE45" s="479"/>
      <c r="AF45" s="479"/>
      <c r="AG45" s="479"/>
      <c r="AH45" s="124"/>
      <c r="AI45" s="479"/>
      <c r="AJ45" s="479"/>
      <c r="AK45" s="479"/>
      <c r="AL45" s="479"/>
      <c r="AM45" s="479"/>
      <c r="AN45" s="479"/>
      <c r="AO45" s="479"/>
      <c r="AP45" s="479"/>
      <c r="AQ45" s="479"/>
      <c r="AR45" s="479"/>
      <c r="AS45" s="479"/>
      <c r="AT45" s="479"/>
      <c r="AU45" s="479"/>
      <c r="AV45" s="479"/>
      <c r="AW45" s="479"/>
      <c r="AX45" s="479"/>
      <c r="AY45" s="479"/>
      <c r="AZ45" s="479"/>
      <c r="BA45" s="121"/>
      <c r="BB45" s="122"/>
      <c r="BC45" s="122"/>
      <c r="BD45" s="115"/>
      <c r="BE45" s="115"/>
      <c r="BF45" s="140"/>
      <c r="BG45" s="140"/>
      <c r="BH45" s="140"/>
      <c r="BI45" s="140"/>
      <c r="BJ45" s="140"/>
      <c r="BK45" s="140"/>
      <c r="BL45" s="115"/>
      <c r="BM45" s="115"/>
      <c r="BN45" s="123"/>
      <c r="BO45" s="123"/>
    </row>
    <row r="46" spans="2:67">
      <c r="B46" s="3077" t="s">
        <v>243</v>
      </c>
      <c r="C46" s="3077"/>
      <c r="D46" s="2988"/>
      <c r="E46" s="115"/>
      <c r="F46" s="115"/>
      <c r="G46" s="140"/>
      <c r="H46" s="140"/>
      <c r="I46" s="140"/>
      <c r="J46" s="140"/>
      <c r="K46" s="140"/>
      <c r="L46" s="140"/>
      <c r="M46" s="115"/>
      <c r="N46" s="115"/>
      <c r="O46" s="123"/>
      <c r="P46" s="123"/>
      <c r="Q46" s="126"/>
      <c r="S46" s="110"/>
      <c r="T46" s="124"/>
      <c r="U46" s="110"/>
      <c r="V46" s="110"/>
      <c r="W46" s="110"/>
      <c r="X46" s="110"/>
      <c r="Y46" s="110"/>
      <c r="Z46" s="110"/>
      <c r="AA46" s="110"/>
      <c r="AB46" s="124"/>
      <c r="AD46" s="124"/>
      <c r="AE46" s="479"/>
      <c r="AF46" s="479"/>
      <c r="AG46" s="479"/>
      <c r="AH46" s="124"/>
      <c r="AI46" s="479"/>
      <c r="AJ46" s="479"/>
      <c r="AK46" s="479"/>
      <c r="AL46" s="479"/>
      <c r="AM46" s="479"/>
      <c r="AN46" s="479"/>
      <c r="AO46" s="479"/>
      <c r="AP46" s="479"/>
      <c r="AQ46" s="479"/>
      <c r="AR46" s="479"/>
      <c r="AS46" s="479"/>
      <c r="AT46" s="479"/>
      <c r="AU46" s="479"/>
      <c r="AV46" s="479"/>
      <c r="AW46" s="479"/>
      <c r="AX46" s="479"/>
      <c r="AY46" s="479"/>
      <c r="AZ46" s="479"/>
    </row>
    <row r="47" spans="2:67">
      <c r="B47" s="141"/>
      <c r="C47" s="142"/>
      <c r="D47" s="142"/>
      <c r="E47" s="115"/>
      <c r="F47" s="115"/>
      <c r="G47" s="140"/>
      <c r="H47" s="140"/>
      <c r="I47" s="140"/>
      <c r="J47" s="140"/>
      <c r="K47" s="140"/>
      <c r="L47" s="140"/>
      <c r="M47" s="115"/>
      <c r="N47" s="115"/>
      <c r="O47" s="140"/>
      <c r="P47" s="140"/>
      <c r="Q47" s="126"/>
      <c r="S47" s="120"/>
      <c r="T47" s="124"/>
      <c r="U47" s="120"/>
      <c r="V47" s="120"/>
      <c r="W47" s="120"/>
      <c r="X47" s="120"/>
      <c r="Y47" s="120"/>
      <c r="Z47" s="120"/>
      <c r="AA47" s="120"/>
      <c r="AB47" s="124"/>
      <c r="AD47" s="124"/>
      <c r="AE47" s="479"/>
      <c r="AF47" s="479"/>
      <c r="AG47" s="479"/>
      <c r="AH47" s="124"/>
      <c r="AI47" s="479"/>
      <c r="AJ47" s="479"/>
      <c r="AK47" s="479"/>
      <c r="AL47" s="479"/>
      <c r="AM47" s="479"/>
      <c r="AN47" s="479"/>
      <c r="AO47" s="479"/>
      <c r="AP47" s="479"/>
      <c r="AQ47" s="479"/>
      <c r="AR47" s="479"/>
      <c r="AS47" s="479"/>
      <c r="AT47" s="479"/>
      <c r="AU47" s="479"/>
      <c r="AV47" s="479"/>
      <c r="AW47" s="479"/>
      <c r="AX47" s="479"/>
      <c r="AY47" s="479"/>
      <c r="AZ47" s="479"/>
    </row>
    <row r="48" spans="2:67">
      <c r="B48" s="25"/>
      <c r="C48" s="143" t="s">
        <v>190</v>
      </c>
      <c r="D48" s="143"/>
      <c r="E48" s="115"/>
      <c r="F48" s="115"/>
      <c r="G48" s="140"/>
      <c r="H48" s="140"/>
      <c r="I48" s="140"/>
      <c r="J48" s="140"/>
      <c r="K48" s="140"/>
      <c r="L48" s="140"/>
      <c r="M48" s="115"/>
      <c r="N48" s="115"/>
      <c r="O48" s="140"/>
      <c r="P48" s="140"/>
      <c r="Q48" s="126"/>
      <c r="S48" s="120"/>
      <c r="T48" s="124"/>
      <c r="U48" s="120"/>
      <c r="V48" s="120"/>
      <c r="W48" s="120"/>
      <c r="X48" s="120"/>
      <c r="Y48" s="120"/>
      <c r="Z48" s="120"/>
      <c r="AA48" s="120"/>
      <c r="AB48" s="124"/>
      <c r="AD48" s="124"/>
      <c r="AE48" s="479"/>
      <c r="AF48" s="479"/>
      <c r="AG48" s="479"/>
      <c r="AH48" s="124"/>
      <c r="AI48" s="479"/>
      <c r="AJ48" s="479"/>
      <c r="AK48" s="479"/>
      <c r="AL48" s="479"/>
      <c r="AM48" s="479"/>
      <c r="AN48" s="479"/>
      <c r="AO48" s="479"/>
      <c r="AP48" s="479"/>
      <c r="AQ48" s="479"/>
      <c r="AR48" s="479"/>
      <c r="AS48" s="479"/>
      <c r="AT48" s="479"/>
      <c r="AU48" s="479"/>
      <c r="AV48" s="479"/>
      <c r="AW48" s="479"/>
      <c r="AX48" s="479"/>
      <c r="AY48" s="479"/>
      <c r="AZ48" s="479"/>
    </row>
    <row r="49" spans="1:52">
      <c r="A49" s="479"/>
      <c r="B49" s="141"/>
      <c r="C49" s="142"/>
      <c r="D49" s="142"/>
      <c r="E49" s="115"/>
      <c r="F49" s="115"/>
      <c r="G49" s="140"/>
      <c r="H49" s="140"/>
      <c r="I49" s="140"/>
      <c r="J49" s="140"/>
      <c r="K49" s="140"/>
      <c r="L49" s="140"/>
      <c r="M49" s="115"/>
      <c r="N49" s="115"/>
      <c r="O49" s="140"/>
      <c r="P49" s="140"/>
      <c r="Q49" s="126"/>
      <c r="S49" s="120"/>
      <c r="T49" s="124"/>
      <c r="U49" s="120"/>
      <c r="V49" s="120"/>
      <c r="W49" s="120"/>
      <c r="X49" s="120"/>
      <c r="Y49" s="120"/>
      <c r="Z49" s="120"/>
      <c r="AA49" s="120"/>
      <c r="AB49" s="124"/>
      <c r="AD49" s="124"/>
      <c r="AE49" s="479"/>
      <c r="AF49" s="479"/>
      <c r="AG49" s="479"/>
      <c r="AH49" s="124"/>
      <c r="AI49" s="479"/>
      <c r="AJ49" s="479"/>
      <c r="AK49" s="479"/>
      <c r="AL49" s="479"/>
      <c r="AM49" s="479"/>
      <c r="AN49" s="479"/>
      <c r="AO49" s="479"/>
      <c r="AP49" s="479"/>
      <c r="AQ49" s="479"/>
      <c r="AR49" s="479"/>
      <c r="AS49" s="479"/>
      <c r="AT49" s="479"/>
      <c r="AU49" s="479"/>
      <c r="AV49" s="479"/>
      <c r="AW49" s="479"/>
      <c r="AX49" s="479"/>
      <c r="AY49" s="479"/>
      <c r="AZ49" s="479"/>
    </row>
    <row r="50" spans="1:52">
      <c r="A50" s="479"/>
      <c r="B50" s="144"/>
      <c r="C50" s="143" t="s">
        <v>191</v>
      </c>
      <c r="D50" s="143"/>
      <c r="E50" s="479"/>
      <c r="F50" s="479"/>
      <c r="G50" s="479"/>
      <c r="H50" s="479"/>
      <c r="I50" s="479"/>
      <c r="J50" s="479"/>
      <c r="K50" s="479"/>
      <c r="L50" s="479"/>
      <c r="M50" s="479"/>
      <c r="N50" s="479"/>
      <c r="O50" s="479"/>
      <c r="P50" s="479"/>
      <c r="Q50" s="126"/>
      <c r="T50" s="124"/>
      <c r="AB50" s="124"/>
      <c r="AD50" s="124"/>
      <c r="AE50" s="479"/>
      <c r="AF50" s="479"/>
      <c r="AG50" s="479"/>
      <c r="AH50" s="124"/>
      <c r="AI50" s="479"/>
      <c r="AJ50" s="479"/>
      <c r="AK50" s="479"/>
      <c r="AL50" s="479"/>
      <c r="AM50" s="479"/>
      <c r="AN50" s="479"/>
      <c r="AO50" s="479"/>
      <c r="AP50" s="479"/>
      <c r="AQ50" s="479"/>
      <c r="AR50" s="479"/>
      <c r="AS50" s="479"/>
      <c r="AT50" s="479"/>
      <c r="AU50" s="479"/>
      <c r="AV50" s="479"/>
      <c r="AW50" s="479"/>
      <c r="AX50" s="479"/>
      <c r="AY50" s="479"/>
      <c r="AZ50" s="479"/>
    </row>
    <row r="51" spans="1:52">
      <c r="A51" s="479"/>
      <c r="B51" s="145"/>
      <c r="C51" s="143"/>
      <c r="D51" s="143"/>
      <c r="E51" s="479"/>
      <c r="F51" s="479"/>
      <c r="G51" s="479"/>
      <c r="H51" s="479"/>
      <c r="I51" s="479"/>
      <c r="J51" s="479"/>
      <c r="K51" s="479"/>
      <c r="L51" s="479"/>
      <c r="M51" s="479"/>
      <c r="N51" s="479"/>
      <c r="O51" s="479"/>
      <c r="P51" s="479"/>
      <c r="Q51" s="130"/>
      <c r="AE51" s="479"/>
      <c r="AF51" s="479"/>
      <c r="AG51" s="479"/>
      <c r="AI51" s="479"/>
      <c r="AJ51" s="479"/>
      <c r="AK51" s="479"/>
      <c r="AL51" s="479"/>
      <c r="AM51" s="479"/>
      <c r="AN51" s="479"/>
      <c r="AO51" s="479"/>
      <c r="AP51" s="479"/>
      <c r="AQ51" s="479"/>
      <c r="AR51" s="479"/>
      <c r="AS51" s="479"/>
      <c r="AT51" s="479"/>
      <c r="AU51" s="479"/>
      <c r="AV51" s="479"/>
      <c r="AW51" s="479"/>
      <c r="AX51" s="479"/>
      <c r="AY51" s="479"/>
      <c r="AZ51" s="479"/>
    </row>
    <row r="52" spans="1:52" ht="15" thickBot="1">
      <c r="A52" s="479"/>
      <c r="B52" s="143"/>
      <c r="C52" s="143"/>
      <c r="D52" s="143"/>
      <c r="E52" s="479"/>
      <c r="F52" s="479"/>
      <c r="G52" s="479"/>
      <c r="H52" s="479"/>
      <c r="I52" s="479"/>
      <c r="J52" s="479"/>
      <c r="K52" s="479"/>
      <c r="L52" s="479"/>
      <c r="M52" s="479"/>
      <c r="N52" s="479"/>
      <c r="O52" s="479"/>
      <c r="P52" s="479"/>
      <c r="Q52" s="130"/>
      <c r="U52" s="110"/>
      <c r="AE52" s="479"/>
      <c r="AF52" s="479"/>
      <c r="AG52" s="479"/>
      <c r="AI52" s="479"/>
      <c r="AJ52" s="479"/>
      <c r="AK52" s="479"/>
      <c r="AL52" s="479"/>
      <c r="AM52" s="479"/>
      <c r="AN52" s="479"/>
      <c r="AO52" s="479"/>
      <c r="AP52" s="479"/>
      <c r="AQ52" s="479"/>
      <c r="AR52" s="479"/>
      <c r="AS52" s="479"/>
      <c r="AT52" s="479"/>
      <c r="AU52" s="479"/>
      <c r="AV52" s="479"/>
      <c r="AW52" s="479"/>
      <c r="AX52" s="479"/>
      <c r="AY52" s="479"/>
      <c r="AZ52" s="479"/>
    </row>
    <row r="53" spans="1:52" ht="20.85" customHeight="1" thickBot="1">
      <c r="A53" s="479"/>
      <c r="B53" s="3053" t="str">
        <f>'4H'!B56</f>
        <v>Please refer to RAG 4.08 - Guideline for the table definitions in the annual performance report for the reporting year 2019-20</v>
      </c>
      <c r="C53" s="2048"/>
      <c r="D53" s="2048"/>
      <c r="E53" s="2048"/>
      <c r="F53" s="2048"/>
      <c r="G53" s="2048"/>
      <c r="H53" s="148"/>
      <c r="I53" s="148"/>
      <c r="J53" s="148"/>
      <c r="K53" s="148"/>
      <c r="L53" s="148"/>
      <c r="M53" s="148"/>
      <c r="N53" s="148"/>
      <c r="O53" s="148"/>
      <c r="P53" s="149"/>
      <c r="Q53" s="2"/>
      <c r="AE53" s="479"/>
      <c r="AF53" s="479"/>
      <c r="AG53" s="479"/>
      <c r="AI53" s="479"/>
      <c r="AJ53" s="479"/>
      <c r="AK53" s="479"/>
      <c r="AL53" s="479"/>
      <c r="AM53" s="479"/>
      <c r="AN53" s="479"/>
      <c r="AO53" s="479"/>
      <c r="AP53" s="479"/>
      <c r="AQ53" s="479"/>
      <c r="AR53" s="479"/>
      <c r="AS53" s="479"/>
      <c r="AT53" s="479"/>
      <c r="AU53" s="479"/>
      <c r="AV53" s="479"/>
      <c r="AW53" s="479"/>
      <c r="AX53" s="479"/>
      <c r="AY53" s="479"/>
      <c r="AZ53" s="479"/>
    </row>
    <row r="54" spans="1:52">
      <c r="A54" s="479"/>
      <c r="B54" s="150"/>
      <c r="C54" s="151"/>
      <c r="D54" s="151"/>
      <c r="E54" s="74"/>
      <c r="F54" s="74"/>
      <c r="G54" s="74"/>
      <c r="H54" s="110"/>
      <c r="I54" s="110"/>
      <c r="J54" s="110"/>
      <c r="K54" s="479"/>
      <c r="L54" s="479"/>
      <c r="M54" s="479"/>
      <c r="N54" s="479"/>
      <c r="O54" s="479"/>
      <c r="P54" s="479" t="s">
        <v>4538</v>
      </c>
      <c r="Q54" s="2"/>
      <c r="AE54" s="479"/>
      <c r="AF54" s="479"/>
      <c r="AG54" s="479"/>
      <c r="AI54" s="479"/>
      <c r="AJ54" s="479"/>
      <c r="AK54" s="479"/>
      <c r="AL54" s="479"/>
      <c r="AM54" s="479"/>
      <c r="AN54" s="479"/>
      <c r="AO54" s="479"/>
      <c r="AP54" s="479"/>
      <c r="AQ54" s="479"/>
      <c r="AR54" s="479"/>
      <c r="AS54" s="479"/>
      <c r="AT54" s="479"/>
      <c r="AU54" s="479"/>
      <c r="AV54" s="479"/>
      <c r="AW54" s="479"/>
      <c r="AX54" s="479"/>
      <c r="AY54" s="479"/>
      <c r="AZ54" s="479"/>
    </row>
    <row r="55" spans="1:52" ht="33" customHeight="1">
      <c r="A55" s="479"/>
      <c r="B55" s="110"/>
      <c r="C55" s="152"/>
      <c r="D55" s="152"/>
      <c r="E55" s="110"/>
      <c r="F55" s="110"/>
      <c r="G55" s="110"/>
      <c r="H55" s="110"/>
      <c r="I55" s="110"/>
      <c r="J55" s="110"/>
      <c r="K55" s="479"/>
      <c r="L55" s="479"/>
      <c r="M55" s="479"/>
      <c r="N55" s="479"/>
      <c r="O55" s="479"/>
      <c r="P55" s="479"/>
      <c r="Q55" s="2"/>
      <c r="AE55" s="479"/>
      <c r="AF55" s="479"/>
      <c r="AG55" s="479"/>
      <c r="AI55" s="479"/>
      <c r="AJ55" s="479"/>
      <c r="AK55" s="479"/>
      <c r="AL55" s="479"/>
      <c r="AM55" s="479"/>
      <c r="AN55" s="479"/>
      <c r="AO55" s="479"/>
      <c r="AP55" s="479"/>
      <c r="AQ55" s="479"/>
      <c r="AR55" s="479"/>
      <c r="AS55" s="479"/>
      <c r="AT55" s="479"/>
      <c r="AU55" s="479"/>
      <c r="AV55" s="479"/>
      <c r="AW55" s="479"/>
      <c r="AX55" s="479"/>
      <c r="AY55" s="479"/>
      <c r="AZ55" s="479"/>
    </row>
    <row r="56" spans="1:52">
      <c r="A56" s="479"/>
      <c r="B56" s="153"/>
      <c r="C56" s="152"/>
      <c r="D56" s="152"/>
      <c r="E56" s="110"/>
      <c r="F56" s="110"/>
      <c r="G56" s="110"/>
      <c r="H56" s="110"/>
      <c r="I56" s="110"/>
      <c r="J56" s="110"/>
      <c r="K56" s="479"/>
      <c r="L56" s="479"/>
      <c r="M56" s="479"/>
      <c r="N56" s="479"/>
      <c r="O56" s="479"/>
      <c r="P56" s="479"/>
      <c r="Q56" s="2"/>
      <c r="AE56" s="479"/>
      <c r="AF56" s="479"/>
      <c r="AG56" s="479"/>
      <c r="AI56" s="479"/>
      <c r="AJ56" s="479"/>
      <c r="AK56" s="479"/>
      <c r="AL56" s="479"/>
      <c r="AM56" s="479"/>
      <c r="AN56" s="479"/>
      <c r="AO56" s="479"/>
      <c r="AP56" s="479"/>
      <c r="AQ56" s="479"/>
      <c r="AR56" s="479"/>
      <c r="AS56" s="479"/>
      <c r="AT56" s="479"/>
      <c r="AU56" s="479"/>
      <c r="AV56" s="479"/>
      <c r="AW56" s="479"/>
      <c r="AX56" s="479"/>
      <c r="AY56" s="479"/>
      <c r="AZ56" s="479"/>
    </row>
    <row r="57" spans="1:52">
      <c r="A57" s="479"/>
      <c r="B57" s="110"/>
      <c r="C57" s="152"/>
      <c r="D57" s="152"/>
      <c r="E57" s="110"/>
      <c r="F57" s="110"/>
      <c r="G57" s="110"/>
      <c r="H57" s="110"/>
      <c r="I57" s="110"/>
      <c r="J57" s="118"/>
      <c r="K57" s="479"/>
      <c r="L57" s="479"/>
      <c r="M57" s="479"/>
      <c r="N57" s="479"/>
      <c r="O57" s="479"/>
      <c r="P57" s="479"/>
      <c r="Q57" s="2"/>
      <c r="AE57" s="479"/>
      <c r="AF57" s="479"/>
      <c r="AG57" s="479"/>
      <c r="AI57" s="479"/>
      <c r="AJ57" s="479"/>
      <c r="AK57" s="479"/>
      <c r="AL57" s="479"/>
      <c r="AM57" s="479"/>
      <c r="AN57" s="479"/>
      <c r="AO57" s="479"/>
      <c r="AP57" s="479"/>
      <c r="AQ57" s="479"/>
      <c r="AR57" s="479"/>
      <c r="AS57" s="479"/>
      <c r="AT57" s="479"/>
      <c r="AU57" s="479"/>
      <c r="AV57" s="479"/>
      <c r="AW57" s="479"/>
      <c r="AX57" s="479"/>
      <c r="AY57" s="479"/>
      <c r="AZ57" s="479"/>
    </row>
    <row r="58" spans="1:52" ht="21" hidden="1" thickBot="1">
      <c r="A58" s="1566"/>
      <c r="B58" s="146" t="str">
        <f ca="1" xml:space="preserve"> RIGHT(CELL("filename", $A$1), LEN(CELL("filename", $A$1)) - SEARCH("]", CELL("filename", $A$1)))&amp;" - Line definitions"</f>
        <v>4I - Line definitions</v>
      </c>
      <c r="C58" s="147"/>
      <c r="D58" s="147"/>
      <c r="E58" s="148"/>
      <c r="F58" s="148"/>
      <c r="G58" s="148"/>
      <c r="H58" s="148"/>
      <c r="I58" s="148"/>
      <c r="J58" s="148"/>
      <c r="K58" s="148"/>
      <c r="L58" s="148"/>
      <c r="M58" s="148"/>
      <c r="N58" s="148"/>
      <c r="O58" s="148"/>
      <c r="P58" s="154"/>
      <c r="Q58" s="2"/>
      <c r="AE58" s="479"/>
      <c r="AF58" s="479"/>
      <c r="AG58" s="479"/>
      <c r="AI58" s="479"/>
      <c r="AJ58" s="479"/>
      <c r="AK58" s="479"/>
      <c r="AL58" s="479"/>
      <c r="AM58" s="479"/>
      <c r="AN58" s="479"/>
      <c r="AO58" s="479"/>
      <c r="AP58" s="479"/>
      <c r="AQ58" s="479"/>
      <c r="AR58" s="479"/>
      <c r="AS58" s="479"/>
      <c r="AT58" s="479"/>
      <c r="AU58" s="479"/>
      <c r="AV58" s="479"/>
      <c r="AW58" s="479"/>
      <c r="AX58" s="479"/>
      <c r="AY58" s="479"/>
      <c r="AZ58" s="479"/>
    </row>
    <row r="59" spans="1:52" ht="15" hidden="1" thickBot="1">
      <c r="A59" s="1566"/>
      <c r="B59" s="74"/>
      <c r="C59" s="155"/>
      <c r="D59" s="155"/>
      <c r="E59" s="74"/>
      <c r="F59" s="74"/>
      <c r="G59" s="74"/>
      <c r="H59" s="110"/>
      <c r="I59" s="110"/>
      <c r="J59" s="118"/>
      <c r="K59" s="479"/>
      <c r="L59" s="479"/>
      <c r="M59" s="479"/>
      <c r="N59" s="479"/>
      <c r="O59" s="479"/>
      <c r="P59" s="479"/>
      <c r="Q59" s="2"/>
      <c r="AE59" s="479"/>
      <c r="AF59" s="479"/>
      <c r="AG59" s="479"/>
      <c r="AI59" s="479"/>
      <c r="AJ59" s="479"/>
      <c r="AK59" s="479"/>
      <c r="AL59" s="479"/>
      <c r="AM59" s="479"/>
      <c r="AN59" s="479"/>
      <c r="AO59" s="479"/>
      <c r="AP59" s="479"/>
      <c r="AQ59" s="479"/>
      <c r="AR59" s="479"/>
      <c r="AS59" s="479"/>
      <c r="AT59" s="479"/>
      <c r="AU59" s="479"/>
      <c r="AV59" s="479"/>
      <c r="AW59" s="479"/>
      <c r="AX59" s="479"/>
      <c r="AY59" s="479"/>
      <c r="AZ59" s="479"/>
    </row>
    <row r="60" spans="1:52" ht="15" hidden="1" thickBot="1">
      <c r="A60" s="1566"/>
      <c r="B60" s="156" t="s">
        <v>193</v>
      </c>
      <c r="C60" s="3025" t="s">
        <v>194</v>
      </c>
      <c r="D60" s="3014"/>
      <c r="E60" s="3014"/>
      <c r="F60" s="3014"/>
      <c r="G60" s="3014"/>
      <c r="H60" s="3014"/>
      <c r="I60" s="3014"/>
      <c r="J60" s="3014"/>
      <c r="K60" s="3014"/>
      <c r="L60" s="3014"/>
      <c r="M60" s="3014"/>
      <c r="N60" s="3014"/>
      <c r="O60" s="3014"/>
      <c r="P60" s="157"/>
      <c r="Q60" s="2"/>
      <c r="U60" s="85" t="s">
        <v>195</v>
      </c>
      <c r="AE60" s="479"/>
      <c r="AF60" s="479"/>
      <c r="AG60" s="479"/>
      <c r="AI60" s="479"/>
      <c r="AJ60" s="479"/>
      <c r="AK60" s="479"/>
      <c r="AL60" s="479"/>
      <c r="AM60" s="479"/>
      <c r="AN60" s="479"/>
      <c r="AO60" s="479"/>
      <c r="AP60" s="479"/>
      <c r="AQ60" s="479"/>
      <c r="AR60" s="479"/>
      <c r="AS60" s="479"/>
      <c r="AT60" s="479"/>
      <c r="AU60" s="479"/>
      <c r="AV60" s="479"/>
      <c r="AW60" s="479"/>
      <c r="AX60" s="479"/>
      <c r="AY60" s="479"/>
      <c r="AZ60" s="479"/>
    </row>
    <row r="61" spans="1:52" ht="46.5" hidden="1" customHeight="1">
      <c r="A61" s="1566"/>
      <c r="B61" s="814" t="s">
        <v>4298</v>
      </c>
      <c r="C61" s="3299" t="s">
        <v>4539</v>
      </c>
      <c r="D61" s="3300"/>
      <c r="E61" s="3300"/>
      <c r="F61" s="3300"/>
      <c r="G61" s="3300"/>
      <c r="H61" s="3300"/>
      <c r="I61" s="3300"/>
      <c r="J61" s="3300"/>
      <c r="K61" s="3300"/>
      <c r="L61" s="3300"/>
      <c r="M61" s="3300"/>
      <c r="N61" s="3300"/>
      <c r="O61" s="3300"/>
      <c r="P61" s="3301"/>
      <c r="Q61" s="2"/>
      <c r="U61" s="161" t="s">
        <v>2214</v>
      </c>
      <c r="AE61" s="479"/>
      <c r="AF61" s="479"/>
      <c r="AG61" s="479"/>
      <c r="AI61" s="479"/>
      <c r="AJ61" s="479"/>
      <c r="AK61" s="479"/>
      <c r="AL61" s="479"/>
      <c r="AM61" s="479"/>
      <c r="AN61" s="479"/>
      <c r="AO61" s="479"/>
      <c r="AP61" s="479"/>
      <c r="AQ61" s="479"/>
      <c r="AR61" s="479"/>
      <c r="AS61" s="479"/>
      <c r="AT61" s="479"/>
      <c r="AU61" s="479"/>
      <c r="AV61" s="479"/>
      <c r="AW61" s="479"/>
      <c r="AX61" s="479"/>
      <c r="AY61" s="479"/>
      <c r="AZ61" s="479"/>
    </row>
    <row r="62" spans="1:52" s="479" customFormat="1" ht="48.75" hidden="1" customHeight="1">
      <c r="A62" s="1566"/>
      <c r="B62" s="814" t="s">
        <v>4308</v>
      </c>
      <c r="C62" s="3296" t="s">
        <v>4540</v>
      </c>
      <c r="D62" s="3297"/>
      <c r="E62" s="3297"/>
      <c r="F62" s="3297"/>
      <c r="G62" s="3297"/>
      <c r="H62" s="3297"/>
      <c r="I62" s="3297"/>
      <c r="J62" s="3297"/>
      <c r="K62" s="3297"/>
      <c r="L62" s="3297"/>
      <c r="M62" s="3297"/>
      <c r="N62" s="3297"/>
      <c r="O62" s="3297"/>
      <c r="P62" s="3298"/>
      <c r="Q62" s="2"/>
      <c r="R62" s="74"/>
      <c r="S62" s="70"/>
      <c r="T62" s="71"/>
      <c r="U62" s="161" t="s">
        <v>2214</v>
      </c>
      <c r="V62" s="70"/>
      <c r="W62" s="70"/>
      <c r="X62" s="70"/>
      <c r="Y62" s="70"/>
      <c r="Z62" s="70"/>
      <c r="AA62" s="70"/>
      <c r="AB62" s="71"/>
      <c r="AC62" s="72"/>
      <c r="AD62" s="71"/>
      <c r="AH62" s="71"/>
    </row>
    <row r="63" spans="1:52" ht="48.75" hidden="1" customHeight="1">
      <c r="A63" s="1566"/>
      <c r="B63" s="159" t="s">
        <v>4318</v>
      </c>
      <c r="C63" s="3296" t="s">
        <v>4541</v>
      </c>
      <c r="D63" s="3297"/>
      <c r="E63" s="3297"/>
      <c r="F63" s="3297"/>
      <c r="G63" s="3297"/>
      <c r="H63" s="3297"/>
      <c r="I63" s="3297"/>
      <c r="J63" s="3297"/>
      <c r="K63" s="3297"/>
      <c r="L63" s="3297"/>
      <c r="M63" s="3297"/>
      <c r="N63" s="3297"/>
      <c r="O63" s="3297"/>
      <c r="P63" s="3298"/>
      <c r="Q63" s="2"/>
      <c r="U63" s="161" t="s">
        <v>2214</v>
      </c>
      <c r="AE63" s="479"/>
      <c r="AF63" s="479"/>
      <c r="AG63" s="479"/>
      <c r="AI63" s="479"/>
      <c r="AJ63" s="479"/>
      <c r="AK63" s="479"/>
      <c r="AL63" s="479"/>
      <c r="AM63" s="479"/>
      <c r="AN63" s="479"/>
      <c r="AO63" s="479"/>
      <c r="AP63" s="479"/>
      <c r="AQ63" s="479"/>
      <c r="AR63" s="479"/>
      <c r="AS63" s="479"/>
      <c r="AT63" s="479"/>
      <c r="AU63" s="479"/>
      <c r="AV63" s="479"/>
      <c r="AW63" s="479"/>
      <c r="AX63" s="479"/>
      <c r="AY63" s="479"/>
      <c r="AZ63" s="479"/>
    </row>
    <row r="64" spans="1:52" s="479" customFormat="1" ht="48.75" hidden="1" customHeight="1">
      <c r="A64" s="1566"/>
      <c r="B64" s="159" t="s">
        <v>4328</v>
      </c>
      <c r="C64" s="3296" t="s">
        <v>4542</v>
      </c>
      <c r="D64" s="3297"/>
      <c r="E64" s="3297"/>
      <c r="F64" s="3297"/>
      <c r="G64" s="3297"/>
      <c r="H64" s="3297"/>
      <c r="I64" s="3297"/>
      <c r="J64" s="3297"/>
      <c r="K64" s="3297"/>
      <c r="L64" s="3297"/>
      <c r="M64" s="3297"/>
      <c r="N64" s="3297"/>
      <c r="O64" s="3297"/>
      <c r="P64" s="3298"/>
      <c r="Q64" s="2"/>
      <c r="R64" s="74"/>
      <c r="S64" s="70"/>
      <c r="T64" s="71"/>
      <c r="U64" s="161" t="s">
        <v>2214</v>
      </c>
      <c r="V64" s="70"/>
      <c r="W64" s="70"/>
      <c r="X64" s="70"/>
      <c r="Y64" s="70"/>
      <c r="Z64" s="70"/>
      <c r="AA64" s="70"/>
      <c r="AB64" s="71"/>
      <c r="AC64" s="72"/>
      <c r="AD64" s="71"/>
      <c r="AH64" s="71"/>
    </row>
    <row r="65" spans="1:52" ht="48.75" hidden="1" customHeight="1">
      <c r="A65" s="1566"/>
      <c r="B65" s="159" t="s">
        <v>4338</v>
      </c>
      <c r="C65" s="3296" t="s">
        <v>4543</v>
      </c>
      <c r="D65" s="3297"/>
      <c r="E65" s="3297"/>
      <c r="F65" s="3297"/>
      <c r="G65" s="3297"/>
      <c r="H65" s="3297"/>
      <c r="I65" s="3297"/>
      <c r="J65" s="3297"/>
      <c r="K65" s="3297"/>
      <c r="L65" s="3297"/>
      <c r="M65" s="3297"/>
      <c r="N65" s="3297"/>
      <c r="O65" s="3297"/>
      <c r="P65" s="3298"/>
      <c r="Q65" s="2"/>
      <c r="U65" s="161" t="s">
        <v>2214</v>
      </c>
      <c r="AE65" s="479"/>
      <c r="AF65" s="479"/>
      <c r="AG65" s="479"/>
      <c r="AI65" s="479"/>
      <c r="AJ65" s="479"/>
      <c r="AK65" s="479"/>
      <c r="AL65" s="479"/>
      <c r="AM65" s="479"/>
      <c r="AN65" s="479"/>
      <c r="AO65" s="479"/>
      <c r="AP65" s="479"/>
      <c r="AQ65" s="479"/>
      <c r="AR65" s="479"/>
      <c r="AS65" s="479"/>
      <c r="AT65" s="479"/>
      <c r="AU65" s="479"/>
      <c r="AV65" s="479"/>
      <c r="AW65" s="479"/>
      <c r="AX65" s="479"/>
      <c r="AY65" s="479"/>
      <c r="AZ65" s="479"/>
    </row>
    <row r="66" spans="1:52" s="479" customFormat="1" ht="48.2" hidden="1" customHeight="1">
      <c r="A66" s="1566"/>
      <c r="B66" s="159" t="s">
        <v>4348</v>
      </c>
      <c r="C66" s="3296" t="s">
        <v>4544</v>
      </c>
      <c r="D66" s="3297"/>
      <c r="E66" s="3297"/>
      <c r="F66" s="3297"/>
      <c r="G66" s="3297"/>
      <c r="H66" s="3297"/>
      <c r="I66" s="3297"/>
      <c r="J66" s="3297"/>
      <c r="K66" s="3297"/>
      <c r="L66" s="3297"/>
      <c r="M66" s="3297"/>
      <c r="N66" s="3297"/>
      <c r="O66" s="3297"/>
      <c r="P66" s="3298"/>
      <c r="Q66" s="2"/>
      <c r="R66" s="74"/>
      <c r="S66" s="70"/>
      <c r="T66" s="71"/>
      <c r="U66" s="161" t="s">
        <v>2214</v>
      </c>
      <c r="V66" s="70"/>
      <c r="W66" s="70"/>
      <c r="X66" s="70"/>
      <c r="Y66" s="70"/>
      <c r="Z66" s="70"/>
      <c r="AA66" s="70"/>
      <c r="AB66" s="71"/>
      <c r="AC66" s="72"/>
      <c r="AD66" s="71"/>
      <c r="AH66" s="71"/>
    </row>
    <row r="67" spans="1:52" ht="13.7" hidden="1" customHeight="1">
      <c r="A67" s="1566"/>
      <c r="B67" s="159" t="s">
        <v>4358</v>
      </c>
      <c r="C67" s="3296" t="s">
        <v>4545</v>
      </c>
      <c r="D67" s="3297"/>
      <c r="E67" s="3297"/>
      <c r="F67" s="3297"/>
      <c r="G67" s="3297"/>
      <c r="H67" s="3297"/>
      <c r="I67" s="3297"/>
      <c r="J67" s="3297"/>
      <c r="K67" s="3297"/>
      <c r="L67" s="3297"/>
      <c r="M67" s="3297"/>
      <c r="N67" s="3297"/>
      <c r="O67" s="3297"/>
      <c r="P67" s="3298"/>
      <c r="Q67" s="2"/>
      <c r="U67" s="158">
        <v>1</v>
      </c>
      <c r="AE67" s="479"/>
      <c r="AF67" s="479"/>
      <c r="AG67" s="479"/>
      <c r="AI67" s="479"/>
      <c r="AJ67" s="479"/>
      <c r="AK67" s="479"/>
      <c r="AL67" s="479"/>
      <c r="AM67" s="479"/>
      <c r="AN67" s="479"/>
      <c r="AO67" s="479"/>
      <c r="AP67" s="479"/>
      <c r="AQ67" s="479"/>
      <c r="AR67" s="479"/>
      <c r="AS67" s="479"/>
      <c r="AT67" s="479"/>
      <c r="AU67" s="479"/>
      <c r="AV67" s="479"/>
      <c r="AW67" s="479"/>
      <c r="AX67" s="479"/>
      <c r="AY67" s="479"/>
      <c r="AZ67" s="479"/>
    </row>
    <row r="68" spans="1:52" ht="13.7" hidden="1" customHeight="1">
      <c r="A68" s="1566"/>
      <c r="B68" s="159" t="s">
        <v>4366</v>
      </c>
      <c r="C68" s="3296" t="s">
        <v>4546</v>
      </c>
      <c r="D68" s="3297"/>
      <c r="E68" s="3297"/>
      <c r="F68" s="3297"/>
      <c r="G68" s="3297"/>
      <c r="H68" s="3297"/>
      <c r="I68" s="3297"/>
      <c r="J68" s="3297"/>
      <c r="K68" s="3297"/>
      <c r="L68" s="3297"/>
      <c r="M68" s="3297"/>
      <c r="N68" s="3297"/>
      <c r="O68" s="3297"/>
      <c r="P68" s="3298"/>
      <c r="Q68" s="2"/>
      <c r="U68" s="158">
        <v>1</v>
      </c>
      <c r="AE68" s="479"/>
      <c r="AF68" s="479"/>
      <c r="AG68" s="479"/>
      <c r="AI68" s="479"/>
      <c r="AJ68" s="479"/>
      <c r="AK68" s="479"/>
      <c r="AL68" s="479"/>
      <c r="AM68" s="479"/>
      <c r="AN68" s="479"/>
      <c r="AO68" s="479"/>
      <c r="AP68" s="479"/>
      <c r="AQ68" s="479"/>
      <c r="AR68" s="479"/>
      <c r="AS68" s="479"/>
      <c r="AT68" s="479"/>
      <c r="AU68" s="479"/>
      <c r="AV68" s="479"/>
      <c r="AW68" s="479"/>
      <c r="AX68" s="479"/>
      <c r="AY68" s="479"/>
      <c r="AZ68" s="479"/>
    </row>
    <row r="69" spans="1:52" ht="13.7" hidden="1" customHeight="1">
      <c r="A69" s="1566"/>
      <c r="B69" s="159" t="s">
        <v>4377</v>
      </c>
      <c r="C69" s="3296" t="s">
        <v>4547</v>
      </c>
      <c r="D69" s="3297"/>
      <c r="E69" s="3297"/>
      <c r="F69" s="3297"/>
      <c r="G69" s="3297"/>
      <c r="H69" s="3297"/>
      <c r="I69" s="3297"/>
      <c r="J69" s="3297"/>
      <c r="K69" s="3297"/>
      <c r="L69" s="3297"/>
      <c r="M69" s="3297"/>
      <c r="N69" s="3297"/>
      <c r="O69" s="3297"/>
      <c r="P69" s="3298"/>
      <c r="Q69" s="2"/>
      <c r="U69" s="158">
        <v>1</v>
      </c>
      <c r="AE69" s="479"/>
      <c r="AF69" s="479"/>
      <c r="AG69" s="479"/>
      <c r="AI69" s="479"/>
      <c r="AJ69" s="479"/>
      <c r="AK69" s="479"/>
      <c r="AL69" s="479"/>
      <c r="AM69" s="479"/>
      <c r="AN69" s="479"/>
      <c r="AO69" s="479"/>
      <c r="AP69" s="479"/>
      <c r="AQ69" s="479"/>
      <c r="AR69" s="479"/>
      <c r="AS69" s="479"/>
      <c r="AT69" s="479"/>
      <c r="AU69" s="479"/>
      <c r="AV69" s="479"/>
      <c r="AW69" s="479"/>
      <c r="AX69" s="479"/>
      <c r="AY69" s="479"/>
      <c r="AZ69" s="479"/>
    </row>
    <row r="70" spans="1:52" ht="13.7" hidden="1" customHeight="1">
      <c r="A70" s="1566"/>
      <c r="B70" s="159" t="s">
        <v>4387</v>
      </c>
      <c r="C70" s="3296" t="s">
        <v>4548</v>
      </c>
      <c r="D70" s="3297"/>
      <c r="E70" s="3297"/>
      <c r="F70" s="3297"/>
      <c r="G70" s="3297"/>
      <c r="H70" s="3297"/>
      <c r="I70" s="3297"/>
      <c r="J70" s="3297"/>
      <c r="K70" s="3297"/>
      <c r="L70" s="3297"/>
      <c r="M70" s="3297"/>
      <c r="N70" s="3297"/>
      <c r="O70" s="3297"/>
      <c r="P70" s="3298"/>
      <c r="Q70" s="2"/>
      <c r="U70" s="158">
        <v>1</v>
      </c>
      <c r="AE70" s="479"/>
      <c r="AF70" s="479"/>
      <c r="AG70" s="479"/>
      <c r="AI70" s="479"/>
      <c r="AJ70" s="479"/>
      <c r="AK70" s="479"/>
      <c r="AL70" s="479"/>
      <c r="AM70" s="479"/>
      <c r="AN70" s="479"/>
      <c r="AO70" s="479"/>
      <c r="AP70" s="479"/>
      <c r="AQ70" s="479"/>
      <c r="AR70" s="479"/>
      <c r="AS70" s="479"/>
      <c r="AT70" s="479"/>
      <c r="AU70" s="479"/>
      <c r="AV70" s="479"/>
      <c r="AW70" s="479"/>
      <c r="AX70" s="479"/>
      <c r="AY70" s="479"/>
      <c r="AZ70" s="479"/>
    </row>
    <row r="71" spans="1:52" ht="13.7" hidden="1" customHeight="1">
      <c r="A71" s="1566"/>
      <c r="B71" s="159" t="s">
        <v>4397</v>
      </c>
      <c r="C71" s="3296" t="s">
        <v>4549</v>
      </c>
      <c r="D71" s="3297"/>
      <c r="E71" s="3297"/>
      <c r="F71" s="3297"/>
      <c r="G71" s="3297"/>
      <c r="H71" s="3297"/>
      <c r="I71" s="3297"/>
      <c r="J71" s="3297"/>
      <c r="K71" s="3297"/>
      <c r="L71" s="3297"/>
      <c r="M71" s="3297"/>
      <c r="N71" s="3297"/>
      <c r="O71" s="3297"/>
      <c r="P71" s="3298"/>
      <c r="Q71" s="2"/>
      <c r="U71" s="158">
        <v>1</v>
      </c>
      <c r="AE71" s="479"/>
      <c r="AF71" s="479"/>
      <c r="AG71" s="479"/>
      <c r="AI71" s="479"/>
      <c r="AJ71" s="479"/>
      <c r="AK71" s="479"/>
      <c r="AL71" s="479"/>
      <c r="AM71" s="479"/>
      <c r="AN71" s="479"/>
      <c r="AO71" s="479"/>
      <c r="AP71" s="479"/>
      <c r="AQ71" s="479"/>
      <c r="AR71" s="479"/>
      <c r="AS71" s="479"/>
      <c r="AT71" s="479"/>
      <c r="AU71" s="479"/>
      <c r="AV71" s="479"/>
      <c r="AW71" s="479"/>
      <c r="AX71" s="479"/>
      <c r="AY71" s="479"/>
      <c r="AZ71" s="479"/>
    </row>
    <row r="72" spans="1:52" ht="13.7" hidden="1" customHeight="1">
      <c r="A72" s="1566"/>
      <c r="B72" s="159" t="s">
        <v>4407</v>
      </c>
      <c r="C72" s="3296" t="s">
        <v>4550</v>
      </c>
      <c r="D72" s="3297"/>
      <c r="E72" s="3297"/>
      <c r="F72" s="3297"/>
      <c r="G72" s="3297"/>
      <c r="H72" s="3297"/>
      <c r="I72" s="3297"/>
      <c r="J72" s="3297"/>
      <c r="K72" s="3297"/>
      <c r="L72" s="3297"/>
      <c r="M72" s="3297"/>
      <c r="N72" s="3297"/>
      <c r="O72" s="3297"/>
      <c r="P72" s="3298"/>
      <c r="Q72" s="2"/>
      <c r="U72" s="158">
        <v>1</v>
      </c>
      <c r="AE72" s="479"/>
      <c r="AF72" s="479"/>
      <c r="AG72" s="479"/>
      <c r="AI72" s="479"/>
      <c r="AJ72" s="479"/>
      <c r="AK72" s="479"/>
      <c r="AL72" s="479"/>
      <c r="AM72" s="479"/>
      <c r="AN72" s="479"/>
      <c r="AO72" s="479"/>
      <c r="AP72" s="479"/>
      <c r="AQ72" s="479"/>
      <c r="AR72" s="479"/>
      <c r="AS72" s="479"/>
      <c r="AT72" s="479"/>
      <c r="AU72" s="479"/>
      <c r="AV72" s="479"/>
      <c r="AW72" s="479"/>
      <c r="AX72" s="479"/>
      <c r="AY72" s="479"/>
      <c r="AZ72" s="479"/>
    </row>
    <row r="73" spans="1:52" ht="13.7" hidden="1" customHeight="1">
      <c r="A73" s="1566"/>
      <c r="B73" s="159" t="s">
        <v>4415</v>
      </c>
      <c r="C73" s="3296" t="s">
        <v>4551</v>
      </c>
      <c r="D73" s="3297"/>
      <c r="E73" s="3297"/>
      <c r="F73" s="3297"/>
      <c r="G73" s="3297"/>
      <c r="H73" s="3297"/>
      <c r="I73" s="3297"/>
      <c r="J73" s="3297"/>
      <c r="K73" s="3297"/>
      <c r="L73" s="3297"/>
      <c r="M73" s="3297"/>
      <c r="N73" s="3297"/>
      <c r="O73" s="3297"/>
      <c r="P73" s="3298"/>
      <c r="Q73" s="2"/>
      <c r="U73" s="158">
        <v>1</v>
      </c>
      <c r="AE73" s="479"/>
      <c r="AF73" s="479"/>
      <c r="AG73" s="479"/>
      <c r="AI73" s="479"/>
      <c r="AJ73" s="479"/>
      <c r="AK73" s="479"/>
      <c r="AL73" s="479"/>
      <c r="AM73" s="479"/>
      <c r="AN73" s="479"/>
      <c r="AO73" s="479"/>
      <c r="AP73" s="479"/>
      <c r="AQ73" s="479"/>
      <c r="AR73" s="479"/>
      <c r="AS73" s="479"/>
      <c r="AT73" s="479"/>
      <c r="AU73" s="479"/>
      <c r="AV73" s="479"/>
      <c r="AW73" s="479"/>
      <c r="AX73" s="479"/>
      <c r="AY73" s="479"/>
      <c r="AZ73" s="479"/>
    </row>
    <row r="74" spans="1:52" ht="13.7" hidden="1" customHeight="1">
      <c r="A74" s="1566"/>
      <c r="B74" s="159" t="s">
        <v>4425</v>
      </c>
      <c r="C74" s="3296" t="s">
        <v>4552</v>
      </c>
      <c r="D74" s="3297"/>
      <c r="E74" s="3297"/>
      <c r="F74" s="3297"/>
      <c r="G74" s="3297"/>
      <c r="H74" s="3297"/>
      <c r="I74" s="3297"/>
      <c r="J74" s="3297"/>
      <c r="K74" s="3297"/>
      <c r="L74" s="3297"/>
      <c r="M74" s="3297"/>
      <c r="N74" s="3297"/>
      <c r="O74" s="3297"/>
      <c r="P74" s="3298"/>
      <c r="Q74" s="2"/>
      <c r="U74" s="158">
        <v>1</v>
      </c>
      <c r="AE74" s="479"/>
      <c r="AF74" s="479"/>
      <c r="AG74" s="479"/>
      <c r="AI74" s="479"/>
      <c r="AJ74" s="479"/>
      <c r="AK74" s="479"/>
      <c r="AL74" s="479"/>
      <c r="AM74" s="479"/>
      <c r="AN74" s="479"/>
      <c r="AO74" s="479"/>
      <c r="AP74" s="479"/>
      <c r="AQ74" s="479"/>
      <c r="AR74" s="479"/>
      <c r="AS74" s="479"/>
      <c r="AT74" s="479"/>
      <c r="AU74" s="479"/>
      <c r="AV74" s="479"/>
      <c r="AW74" s="479"/>
      <c r="AX74" s="479"/>
      <c r="AY74" s="479"/>
      <c r="AZ74" s="479"/>
    </row>
    <row r="75" spans="1:52" ht="13.7" hidden="1" customHeight="1">
      <c r="A75" s="1566"/>
      <c r="B75" s="159" t="s">
        <v>4435</v>
      </c>
      <c r="C75" s="3296" t="s">
        <v>4553</v>
      </c>
      <c r="D75" s="3297"/>
      <c r="E75" s="3297"/>
      <c r="F75" s="3297"/>
      <c r="G75" s="3297"/>
      <c r="H75" s="3297"/>
      <c r="I75" s="3297"/>
      <c r="J75" s="3297"/>
      <c r="K75" s="3297"/>
      <c r="L75" s="3297"/>
      <c r="M75" s="3297"/>
      <c r="N75" s="3297"/>
      <c r="O75" s="3297"/>
      <c r="P75" s="3298"/>
      <c r="Q75" s="2"/>
      <c r="U75" s="158">
        <v>1</v>
      </c>
      <c r="AE75" s="479"/>
      <c r="AF75" s="479"/>
      <c r="AG75" s="479"/>
      <c r="AI75" s="479"/>
      <c r="AJ75" s="479"/>
      <c r="AK75" s="479"/>
      <c r="AL75" s="479"/>
      <c r="AM75" s="479"/>
      <c r="AN75" s="479"/>
      <c r="AO75" s="479"/>
      <c r="AP75" s="479"/>
      <c r="AQ75" s="479"/>
      <c r="AR75" s="479"/>
      <c r="AS75" s="479"/>
      <c r="AT75" s="479"/>
      <c r="AU75" s="479"/>
      <c r="AV75" s="479"/>
      <c r="AW75" s="479"/>
      <c r="AX75" s="479"/>
      <c r="AY75" s="479"/>
      <c r="AZ75" s="479"/>
    </row>
    <row r="76" spans="1:52" ht="13.7" hidden="1" customHeight="1">
      <c r="A76" s="1566"/>
      <c r="B76" s="159" t="s">
        <v>4445</v>
      </c>
      <c r="C76" s="3296" t="s">
        <v>4554</v>
      </c>
      <c r="D76" s="3297"/>
      <c r="E76" s="3297"/>
      <c r="F76" s="3297"/>
      <c r="G76" s="3297"/>
      <c r="H76" s="3297"/>
      <c r="I76" s="3297"/>
      <c r="J76" s="3297"/>
      <c r="K76" s="3297"/>
      <c r="L76" s="3297"/>
      <c r="M76" s="3297"/>
      <c r="N76" s="3297"/>
      <c r="O76" s="3297"/>
      <c r="P76" s="3298"/>
      <c r="Q76" s="2"/>
      <c r="U76" s="158">
        <v>1</v>
      </c>
      <c r="AE76" s="479"/>
      <c r="AF76" s="479"/>
      <c r="AG76" s="479"/>
      <c r="AI76" s="479"/>
      <c r="AJ76" s="479"/>
      <c r="AK76" s="479"/>
      <c r="AL76" s="479"/>
      <c r="AM76" s="479"/>
      <c r="AN76" s="479"/>
      <c r="AO76" s="479"/>
      <c r="AP76" s="479"/>
      <c r="AQ76" s="479"/>
      <c r="AR76" s="479"/>
      <c r="AS76" s="479"/>
      <c r="AT76" s="479"/>
      <c r="AU76" s="479"/>
      <c r="AV76" s="479"/>
      <c r="AW76" s="479"/>
      <c r="AX76" s="479"/>
      <c r="AY76" s="479"/>
      <c r="AZ76" s="479"/>
    </row>
    <row r="77" spans="1:52" ht="13.7" hidden="1" customHeight="1">
      <c r="A77" s="1566"/>
      <c r="B77" s="159" t="s">
        <v>4455</v>
      </c>
      <c r="C77" s="3296" t="s">
        <v>4555</v>
      </c>
      <c r="D77" s="3297"/>
      <c r="E77" s="3297"/>
      <c r="F77" s="3297"/>
      <c r="G77" s="3297"/>
      <c r="H77" s="3297"/>
      <c r="I77" s="3297"/>
      <c r="J77" s="3297"/>
      <c r="K77" s="3297"/>
      <c r="L77" s="3297"/>
      <c r="M77" s="3297"/>
      <c r="N77" s="3297"/>
      <c r="O77" s="3297"/>
      <c r="P77" s="3298"/>
      <c r="Q77" s="2"/>
      <c r="U77" s="158">
        <v>1</v>
      </c>
      <c r="AE77" s="479"/>
      <c r="AF77" s="479"/>
      <c r="AG77" s="479"/>
      <c r="AI77" s="479"/>
      <c r="AJ77" s="479"/>
      <c r="AK77" s="479"/>
      <c r="AL77" s="479"/>
      <c r="AM77" s="479"/>
      <c r="AN77" s="479"/>
      <c r="AO77" s="479"/>
      <c r="AP77" s="479"/>
      <c r="AQ77" s="479"/>
      <c r="AR77" s="479"/>
      <c r="AS77" s="479"/>
      <c r="AT77" s="479"/>
      <c r="AU77" s="479"/>
      <c r="AV77" s="479"/>
      <c r="AW77" s="479"/>
      <c r="AX77" s="479"/>
      <c r="AY77" s="479"/>
      <c r="AZ77" s="479"/>
    </row>
    <row r="78" spans="1:52" ht="13.7" hidden="1" customHeight="1">
      <c r="A78" s="1566"/>
      <c r="B78" s="159" t="s">
        <v>4463</v>
      </c>
      <c r="C78" s="3296" t="s">
        <v>4556</v>
      </c>
      <c r="D78" s="3297"/>
      <c r="E78" s="3297"/>
      <c r="F78" s="3297"/>
      <c r="G78" s="3297"/>
      <c r="H78" s="3297"/>
      <c r="I78" s="3297"/>
      <c r="J78" s="3297"/>
      <c r="K78" s="3297"/>
      <c r="L78" s="3297"/>
      <c r="M78" s="3297"/>
      <c r="N78" s="3297"/>
      <c r="O78" s="3297"/>
      <c r="P78" s="3298"/>
      <c r="Q78" s="2"/>
      <c r="U78" s="158">
        <v>1</v>
      </c>
      <c r="AE78" s="479"/>
      <c r="AF78" s="479"/>
      <c r="AG78" s="479"/>
      <c r="AI78" s="479"/>
      <c r="AJ78" s="479"/>
      <c r="AK78" s="479"/>
      <c r="AL78" s="479"/>
      <c r="AM78" s="479"/>
      <c r="AN78" s="479"/>
      <c r="AO78" s="479"/>
      <c r="AP78" s="479"/>
      <c r="AQ78" s="479"/>
      <c r="AR78" s="479"/>
      <c r="AS78" s="479"/>
      <c r="AT78" s="479"/>
      <c r="AU78" s="479"/>
      <c r="AV78" s="479"/>
      <c r="AW78" s="479"/>
      <c r="AX78" s="479"/>
      <c r="AY78" s="479"/>
      <c r="AZ78" s="479"/>
    </row>
    <row r="79" spans="1:52" ht="13.7" hidden="1" customHeight="1">
      <c r="A79" s="1566"/>
      <c r="B79" s="159" t="s">
        <v>4473</v>
      </c>
      <c r="C79" s="3296" t="s">
        <v>4557</v>
      </c>
      <c r="D79" s="3297"/>
      <c r="E79" s="3297"/>
      <c r="F79" s="3297"/>
      <c r="G79" s="3297"/>
      <c r="H79" s="3297"/>
      <c r="I79" s="3297"/>
      <c r="J79" s="3297"/>
      <c r="K79" s="3297"/>
      <c r="L79" s="3297"/>
      <c r="M79" s="3297"/>
      <c r="N79" s="3297"/>
      <c r="O79" s="3297"/>
      <c r="P79" s="3298"/>
      <c r="Q79" s="2"/>
      <c r="U79" s="158">
        <v>1</v>
      </c>
      <c r="AE79" s="479"/>
      <c r="AF79" s="479"/>
      <c r="AG79" s="479"/>
      <c r="AI79" s="479"/>
      <c r="AJ79" s="479"/>
      <c r="AK79" s="479"/>
      <c r="AL79" s="479"/>
      <c r="AM79" s="479"/>
      <c r="AN79" s="479"/>
      <c r="AO79" s="479"/>
      <c r="AP79" s="479"/>
      <c r="AQ79" s="479"/>
      <c r="AR79" s="479"/>
      <c r="AS79" s="479"/>
      <c r="AT79" s="479"/>
      <c r="AU79" s="479"/>
      <c r="AV79" s="479"/>
      <c r="AW79" s="479"/>
      <c r="AX79" s="479"/>
      <c r="AY79" s="479"/>
      <c r="AZ79" s="479"/>
    </row>
    <row r="80" spans="1:52" ht="13.7" hidden="1" customHeight="1">
      <c r="A80" s="1566"/>
      <c r="B80" s="159" t="s">
        <v>4483</v>
      </c>
      <c r="C80" s="3296" t="s">
        <v>4558</v>
      </c>
      <c r="D80" s="3297"/>
      <c r="E80" s="3297"/>
      <c r="F80" s="3297"/>
      <c r="G80" s="3297"/>
      <c r="H80" s="3297"/>
      <c r="I80" s="3297"/>
      <c r="J80" s="3297"/>
      <c r="K80" s="3297"/>
      <c r="L80" s="3297"/>
      <c r="M80" s="3297"/>
      <c r="N80" s="3297"/>
      <c r="O80" s="3297"/>
      <c r="P80" s="3298"/>
      <c r="Q80" s="2"/>
      <c r="U80" s="158">
        <v>1</v>
      </c>
      <c r="AE80" s="479"/>
      <c r="AF80" s="479"/>
      <c r="AG80" s="479"/>
      <c r="AI80" s="479"/>
      <c r="AJ80" s="479"/>
      <c r="AK80" s="479"/>
      <c r="AL80" s="479"/>
      <c r="AM80" s="479"/>
      <c r="AN80" s="479"/>
      <c r="AO80" s="479"/>
      <c r="AP80" s="479"/>
      <c r="AQ80" s="479"/>
      <c r="AR80" s="479"/>
      <c r="AS80" s="479"/>
      <c r="AT80" s="479"/>
      <c r="AU80" s="479"/>
      <c r="AV80" s="479"/>
      <c r="AW80" s="479"/>
      <c r="AX80" s="479"/>
      <c r="AY80" s="479"/>
      <c r="AZ80" s="479"/>
    </row>
    <row r="81" spans="1:52" s="479" customFormat="1" ht="13.7" hidden="1" customHeight="1">
      <c r="A81" s="1566"/>
      <c r="B81" s="159" t="s">
        <v>4493</v>
      </c>
      <c r="C81" s="3296" t="s">
        <v>4559</v>
      </c>
      <c r="D81" s="3297"/>
      <c r="E81" s="3297"/>
      <c r="F81" s="3297"/>
      <c r="G81" s="3297"/>
      <c r="H81" s="3297"/>
      <c r="I81" s="3297"/>
      <c r="J81" s="3297"/>
      <c r="K81" s="3297"/>
      <c r="L81" s="3297"/>
      <c r="M81" s="3297"/>
      <c r="N81" s="3297"/>
      <c r="O81" s="3297"/>
      <c r="P81" s="3298"/>
      <c r="Q81" s="2"/>
      <c r="R81" s="74"/>
      <c r="S81" s="70"/>
      <c r="T81" s="71"/>
      <c r="U81" s="158">
        <v>1</v>
      </c>
      <c r="V81" s="70"/>
      <c r="W81" s="70"/>
      <c r="X81" s="70"/>
      <c r="Y81" s="70"/>
      <c r="Z81" s="70"/>
      <c r="AA81" s="70"/>
      <c r="AB81" s="71"/>
      <c r="AC81" s="72"/>
      <c r="AD81" s="71"/>
      <c r="AH81" s="71"/>
    </row>
    <row r="82" spans="1:52" s="479" customFormat="1" ht="13.7" hidden="1" customHeight="1">
      <c r="A82" s="1566"/>
      <c r="B82" s="159" t="s">
        <v>4496</v>
      </c>
      <c r="C82" s="3296" t="s">
        <v>4560</v>
      </c>
      <c r="D82" s="3297"/>
      <c r="E82" s="3297"/>
      <c r="F82" s="3297"/>
      <c r="G82" s="3297"/>
      <c r="H82" s="3297"/>
      <c r="I82" s="3297"/>
      <c r="J82" s="3297"/>
      <c r="K82" s="3297"/>
      <c r="L82" s="3297"/>
      <c r="M82" s="3297"/>
      <c r="N82" s="3297"/>
      <c r="O82" s="3297"/>
      <c r="P82" s="3298"/>
      <c r="Q82" s="2"/>
      <c r="R82" s="74"/>
      <c r="S82" s="70"/>
      <c r="T82" s="71"/>
      <c r="U82" s="158">
        <v>1</v>
      </c>
      <c r="V82" s="70"/>
      <c r="W82" s="70"/>
      <c r="X82" s="70"/>
      <c r="Y82" s="70"/>
      <c r="Z82" s="70"/>
      <c r="AA82" s="70"/>
      <c r="AB82" s="71"/>
      <c r="AC82" s="72"/>
      <c r="AD82" s="71"/>
      <c r="AH82" s="71"/>
    </row>
    <row r="83" spans="1:52" s="479" customFormat="1" ht="13.7" hidden="1" customHeight="1">
      <c r="A83" s="1566"/>
      <c r="B83" s="159" t="s">
        <v>4499</v>
      </c>
      <c r="C83" s="3296" t="s">
        <v>4561</v>
      </c>
      <c r="D83" s="3297"/>
      <c r="E83" s="3297"/>
      <c r="F83" s="3297"/>
      <c r="G83" s="3297"/>
      <c r="H83" s="3297"/>
      <c r="I83" s="3297"/>
      <c r="J83" s="3297"/>
      <c r="K83" s="3297"/>
      <c r="L83" s="3297"/>
      <c r="M83" s="3297"/>
      <c r="N83" s="3297"/>
      <c r="O83" s="3297"/>
      <c r="P83" s="3298"/>
      <c r="Q83" s="2"/>
      <c r="R83" s="74"/>
      <c r="S83" s="70"/>
      <c r="T83" s="71"/>
      <c r="U83" s="158">
        <v>1</v>
      </c>
      <c r="V83" s="70"/>
      <c r="W83" s="70"/>
      <c r="X83" s="70"/>
      <c r="Y83" s="70"/>
      <c r="Z83" s="70"/>
      <c r="AA83" s="70"/>
      <c r="AB83" s="71"/>
      <c r="AC83" s="72"/>
      <c r="AD83" s="71"/>
      <c r="AH83" s="71"/>
    </row>
    <row r="84" spans="1:52" ht="13.7" hidden="1" customHeight="1">
      <c r="A84" s="1566"/>
      <c r="B84" s="159" t="s">
        <v>4502</v>
      </c>
      <c r="C84" s="3296" t="s">
        <v>4562</v>
      </c>
      <c r="D84" s="3297"/>
      <c r="E84" s="3297"/>
      <c r="F84" s="3297"/>
      <c r="G84" s="3297"/>
      <c r="H84" s="3297"/>
      <c r="I84" s="3297"/>
      <c r="J84" s="3297"/>
      <c r="K84" s="3297"/>
      <c r="L84" s="3297"/>
      <c r="M84" s="3297"/>
      <c r="N84" s="3297"/>
      <c r="O84" s="3297"/>
      <c r="P84" s="3298"/>
      <c r="Q84" s="2"/>
      <c r="U84" s="158">
        <v>1</v>
      </c>
      <c r="AE84" s="479"/>
      <c r="AF84" s="479"/>
      <c r="AG84" s="479"/>
      <c r="AI84" s="479"/>
      <c r="AJ84" s="479"/>
      <c r="AK84" s="479"/>
      <c r="AL84" s="479"/>
      <c r="AM84" s="479"/>
      <c r="AN84" s="479"/>
      <c r="AO84" s="479"/>
      <c r="AP84" s="479"/>
      <c r="AQ84" s="479"/>
      <c r="AR84" s="479"/>
      <c r="AS84" s="479"/>
      <c r="AT84" s="479"/>
      <c r="AU84" s="479"/>
      <c r="AV84" s="479"/>
      <c r="AW84" s="479"/>
      <c r="AX84" s="479"/>
      <c r="AY84" s="479"/>
      <c r="AZ84" s="479"/>
    </row>
    <row r="85" spans="1:52" ht="13.7" hidden="1" customHeight="1">
      <c r="A85" s="1566"/>
      <c r="B85" s="159" t="s">
        <v>4512</v>
      </c>
      <c r="C85" s="3296" t="s">
        <v>4563</v>
      </c>
      <c r="D85" s="3297"/>
      <c r="E85" s="3297"/>
      <c r="F85" s="3297"/>
      <c r="G85" s="3297"/>
      <c r="H85" s="3297"/>
      <c r="I85" s="3297"/>
      <c r="J85" s="3297"/>
      <c r="K85" s="3297"/>
      <c r="L85" s="3297"/>
      <c r="M85" s="3297"/>
      <c r="N85" s="3297"/>
      <c r="O85" s="3297"/>
      <c r="P85" s="3298"/>
      <c r="Q85" s="2"/>
      <c r="U85" s="158">
        <v>1</v>
      </c>
      <c r="AE85" s="479"/>
      <c r="AF85" s="479"/>
      <c r="AG85" s="479"/>
      <c r="AI85" s="479"/>
      <c r="AJ85" s="479"/>
      <c r="AK85" s="479"/>
      <c r="AL85" s="479"/>
      <c r="AM85" s="479"/>
      <c r="AN85" s="479"/>
      <c r="AO85" s="479"/>
      <c r="AP85" s="479"/>
      <c r="AQ85" s="479"/>
      <c r="AR85" s="479"/>
      <c r="AS85" s="479"/>
      <c r="AT85" s="479"/>
      <c r="AU85" s="479"/>
      <c r="AV85" s="479"/>
      <c r="AW85" s="479"/>
      <c r="AX85" s="479"/>
      <c r="AY85" s="479"/>
      <c r="AZ85" s="479"/>
    </row>
    <row r="86" spans="1:52" s="479" customFormat="1" ht="13.7" hidden="1" customHeight="1">
      <c r="A86" s="1566"/>
      <c r="B86" s="779" t="s">
        <v>4520</v>
      </c>
      <c r="C86" s="3296" t="s">
        <v>4564</v>
      </c>
      <c r="D86" s="3297"/>
      <c r="E86" s="3297"/>
      <c r="F86" s="3297"/>
      <c r="G86" s="3297"/>
      <c r="H86" s="3297"/>
      <c r="I86" s="3297"/>
      <c r="J86" s="3297"/>
      <c r="K86" s="3297"/>
      <c r="L86" s="3297"/>
      <c r="M86" s="3297"/>
      <c r="N86" s="3297"/>
      <c r="O86" s="3297"/>
      <c r="P86" s="3298"/>
      <c r="Q86" s="2"/>
      <c r="R86" s="74"/>
      <c r="S86" s="70"/>
      <c r="T86" s="71"/>
      <c r="U86" s="158">
        <v>1</v>
      </c>
      <c r="V86" s="70"/>
      <c r="W86" s="70"/>
      <c r="X86" s="70"/>
      <c r="Y86" s="70"/>
      <c r="Z86" s="70"/>
      <c r="AA86" s="70"/>
      <c r="AB86" s="71"/>
      <c r="AC86" s="72"/>
      <c r="AD86" s="71"/>
      <c r="AH86" s="71"/>
    </row>
    <row r="87" spans="1:52" ht="35.450000000000003" hidden="1" customHeight="1" thickBot="1">
      <c r="A87" s="1566"/>
      <c r="B87" s="815" t="s">
        <v>4529</v>
      </c>
      <c r="C87" s="3302" t="s">
        <v>4565</v>
      </c>
      <c r="D87" s="3303"/>
      <c r="E87" s="3303"/>
      <c r="F87" s="3303"/>
      <c r="G87" s="3303"/>
      <c r="H87" s="3303"/>
      <c r="I87" s="3303"/>
      <c r="J87" s="3303"/>
      <c r="K87" s="3303"/>
      <c r="L87" s="3303"/>
      <c r="M87" s="3303"/>
      <c r="N87" s="3303"/>
      <c r="O87" s="3303"/>
      <c r="P87" s="3304"/>
      <c r="Q87" s="2"/>
      <c r="U87" s="161" t="s">
        <v>780</v>
      </c>
      <c r="AE87" s="479"/>
      <c r="AF87" s="479"/>
      <c r="AG87" s="479"/>
      <c r="AI87" s="479"/>
      <c r="AJ87" s="479"/>
      <c r="AK87" s="479"/>
      <c r="AL87" s="479"/>
      <c r="AM87" s="479"/>
      <c r="AN87" s="479"/>
      <c r="AO87" s="479"/>
      <c r="AP87" s="479"/>
      <c r="AQ87" s="479"/>
      <c r="AR87" s="479"/>
      <c r="AS87" s="479"/>
      <c r="AT87" s="479"/>
      <c r="AU87" s="479"/>
      <c r="AV87" s="479"/>
      <c r="AW87" s="479"/>
      <c r="AX87" s="479"/>
      <c r="AY87" s="479"/>
      <c r="AZ87" s="479"/>
    </row>
    <row r="88" spans="1:52" hidden="1">
      <c r="A88" s="1566"/>
      <c r="B88" s="479"/>
      <c r="C88" s="479"/>
      <c r="E88" s="479"/>
      <c r="F88" s="479"/>
      <c r="G88" s="479"/>
      <c r="H88" s="479"/>
      <c r="I88" s="479"/>
      <c r="J88" s="479"/>
      <c r="K88" s="479"/>
      <c r="L88" s="479"/>
      <c r="M88" s="479"/>
      <c r="N88" s="479"/>
      <c r="O88" s="479"/>
      <c r="P88" s="479"/>
      <c r="Q88" s="2"/>
      <c r="U88" s="161"/>
      <c r="AE88" s="479"/>
      <c r="AF88" s="479"/>
      <c r="AG88" s="479"/>
      <c r="AI88" s="479"/>
      <c r="AJ88" s="479"/>
      <c r="AK88" s="479"/>
      <c r="AL88" s="479"/>
      <c r="AM88" s="479"/>
      <c r="AN88" s="479"/>
      <c r="AO88" s="479"/>
      <c r="AP88" s="479"/>
      <c r="AQ88" s="479"/>
      <c r="AR88" s="479"/>
      <c r="AS88" s="479"/>
      <c r="AT88" s="479"/>
      <c r="AU88" s="479"/>
      <c r="AV88" s="479"/>
      <c r="AW88" s="479"/>
      <c r="AX88" s="479"/>
      <c r="AY88" s="479"/>
      <c r="AZ88" s="479"/>
    </row>
    <row r="89" spans="1:52" hidden="1">
      <c r="A89" s="479"/>
      <c r="B89" s="479"/>
      <c r="C89" s="479"/>
      <c r="E89" s="479"/>
      <c r="F89" s="479"/>
      <c r="G89" s="479"/>
      <c r="H89" s="479"/>
      <c r="I89" s="479"/>
      <c r="J89" s="479"/>
      <c r="K89" s="479"/>
      <c r="L89" s="479"/>
      <c r="M89" s="479"/>
      <c r="N89" s="479"/>
      <c r="O89" s="479"/>
      <c r="P89" s="479"/>
      <c r="AE89" s="479"/>
      <c r="AF89" s="479"/>
      <c r="AG89" s="479"/>
      <c r="AI89" s="479"/>
      <c r="AJ89" s="479"/>
      <c r="AK89" s="479"/>
      <c r="AL89" s="479"/>
      <c r="AM89" s="479"/>
      <c r="AN89" s="479"/>
      <c r="AO89" s="479"/>
      <c r="AP89" s="479"/>
      <c r="AQ89" s="479"/>
      <c r="AR89" s="479"/>
      <c r="AS89" s="479"/>
      <c r="AT89" s="479"/>
      <c r="AU89" s="479"/>
      <c r="AV89" s="479"/>
      <c r="AW89" s="479"/>
      <c r="AX89" s="479"/>
      <c r="AY89" s="479"/>
      <c r="AZ89" s="479"/>
    </row>
    <row r="90" spans="1:52" hidden="1">
      <c r="A90" s="479"/>
      <c r="B90" s="479"/>
      <c r="C90" s="479"/>
      <c r="E90" s="479"/>
      <c r="F90" s="479"/>
      <c r="G90" s="479"/>
      <c r="H90" s="479"/>
      <c r="I90" s="479"/>
      <c r="J90" s="479"/>
      <c r="K90" s="479"/>
      <c r="L90" s="479"/>
      <c r="M90" s="479"/>
      <c r="N90" s="479"/>
      <c r="O90" s="479"/>
      <c r="P90" s="479"/>
      <c r="AE90" s="479"/>
      <c r="AF90" s="479"/>
      <c r="AG90" s="479"/>
      <c r="AI90" s="479"/>
      <c r="AJ90" s="479"/>
      <c r="AK90" s="479"/>
      <c r="AL90" s="479"/>
      <c r="AM90" s="479"/>
      <c r="AN90" s="479"/>
      <c r="AO90" s="479"/>
      <c r="AP90" s="479"/>
      <c r="AQ90" s="479"/>
      <c r="AR90" s="479"/>
      <c r="AS90" s="479"/>
      <c r="AT90" s="479"/>
      <c r="AU90" s="479"/>
      <c r="AV90" s="479"/>
      <c r="AW90" s="479"/>
      <c r="AX90" s="479"/>
      <c r="AY90" s="479"/>
      <c r="AZ90" s="479"/>
    </row>
  </sheetData>
  <sheetProtection algorithmName="SHA-512" hashValue="FJryM2ux/49GcXZBDz9OolW4Yipj/ElHH9o+XVHPuopUBdGE/KwcFvSgPA3DPUobyTua6N4eIoBlid8COqZX9w==" saltValue="+ywv5wt8cQw++Gd9Q2UBQQ==" spinCount="100000" sheet="1" objects="1" scenarios="1"/>
  <mergeCells count="47">
    <mergeCell ref="C87:P87"/>
    <mergeCell ref="C77:P77"/>
    <mergeCell ref="C78:P78"/>
    <mergeCell ref="C79:P79"/>
    <mergeCell ref="C80:P80"/>
    <mergeCell ref="C84:P84"/>
    <mergeCell ref="C85:P85"/>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BK3:BK4"/>
    <mergeCell ref="BL3:BL4"/>
    <mergeCell ref="BM3:BM4"/>
    <mergeCell ref="BN3:BO3"/>
    <mergeCell ref="BA3:BB4"/>
    <mergeCell ref="BD3:BD4"/>
    <mergeCell ref="BE3:BE4"/>
    <mergeCell ref="BF3:BH3"/>
    <mergeCell ref="BI3:BJ3"/>
  </mergeCells>
  <conditionalFormatting sqref="R8:R13">
    <cfRule type="cellIs" dxfId="238" priority="7" operator="equal">
      <formula>0</formula>
    </cfRule>
  </conditionalFormatting>
  <conditionalFormatting sqref="R10:R13">
    <cfRule type="cellIs" dxfId="237" priority="6" operator="equal">
      <formula>0</formula>
    </cfRule>
  </conditionalFormatting>
  <conditionalFormatting sqref="R17:R20">
    <cfRule type="cellIs" dxfId="236" priority="5" operator="equal">
      <formula>0</formula>
    </cfRule>
  </conditionalFormatting>
  <conditionalFormatting sqref="R24:R27">
    <cfRule type="cellIs" dxfId="235" priority="4" operator="equal">
      <formula>0</formula>
    </cfRule>
  </conditionalFormatting>
  <conditionalFormatting sqref="R44">
    <cfRule type="cellIs" dxfId="234" priority="2" operator="equal">
      <formula>0</formula>
    </cfRule>
  </conditionalFormatting>
  <conditionalFormatting sqref="R31:R37">
    <cfRule type="cellIs" dxfId="233" priority="3" operator="equal">
      <formula>0</formula>
    </cfRule>
  </conditionalFormatting>
  <conditionalFormatting sqref="R41">
    <cfRule type="cellIs" dxfId="23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AX96"/>
  <sheetViews>
    <sheetView workbookViewId="0">
      <selection activeCell="M23" sqref="M23"/>
    </sheetView>
  </sheetViews>
  <sheetFormatPr defaultColWidth="0" defaultRowHeight="14.25" zeroHeight="1"/>
  <cols>
    <col min="1" max="1" width="0.5" style="479" customWidth="1"/>
    <col min="2" max="2" width="5.5" style="479" customWidth="1"/>
    <col min="3" max="3" width="45.125" style="479" customWidth="1"/>
    <col min="4" max="4" width="0.125" style="479" hidden="1" customWidth="1"/>
    <col min="5" max="6" width="5.125" style="479" customWidth="1"/>
    <col min="7" max="13" width="11.125" style="479" customWidth="1"/>
    <col min="14" max="14" width="31.5" style="479" customWidth="1"/>
    <col min="15" max="15" width="2.5" style="479" customWidth="1"/>
    <col min="16" max="16" width="33.5" style="479" customWidth="1"/>
    <col min="17" max="17" width="1" style="82" customWidth="1"/>
    <col min="18" max="18" width="1.5" style="71" hidden="1" customWidth="1"/>
    <col min="19" max="25" width="3.5" style="82" hidden="1" customWidth="1"/>
    <col min="26" max="26" width="1.5" style="71" hidden="1" customWidth="1"/>
    <col min="27" max="27" width="9.5" style="72" hidden="1" customWidth="1"/>
    <col min="28" max="28" width="1.5" style="71" hidden="1" customWidth="1"/>
    <col min="29" max="29" width="8.5" style="479" hidden="1" customWidth="1"/>
    <col min="30" max="30" width="10.125" style="479" hidden="1" customWidth="1"/>
    <col min="31" max="31" width="77" style="479" hidden="1" customWidth="1"/>
    <col min="32" max="32" width="1.5" style="71" hidden="1" customWidth="1"/>
    <col min="33" max="36" width="5.5" style="82" hidden="1" customWidth="1"/>
    <col min="37" max="37" width="5.5" style="82" customWidth="1"/>
    <col min="38" max="38" width="10" style="82" customWidth="1"/>
    <col min="39" max="39" width="51.5" style="82" bestFit="1" customWidth="1"/>
    <col min="40" max="40" width="0.625" style="82" customWidth="1"/>
    <col min="41" max="42" width="12.5" style="82" customWidth="1"/>
    <col min="43" max="43" width="13.125" style="82" customWidth="1"/>
    <col min="44" max="44" width="14.125" style="82" customWidth="1"/>
    <col min="45" max="45" width="16.5" style="82" bestFit="1" customWidth="1"/>
    <col min="46" max="46" width="15.5" style="82" bestFit="1" customWidth="1"/>
    <col min="47" max="47" width="13.5" style="82" bestFit="1" customWidth="1"/>
    <col min="48" max="49" width="13.125" style="82" bestFit="1" customWidth="1"/>
    <col min="50" max="50" width="12.5" style="82" customWidth="1"/>
    <col min="51" max="16384" width="8.5" style="82" hidden="1"/>
  </cols>
  <sheetData>
    <row r="1" spans="1:49" s="192" customFormat="1" ht="20.25">
      <c r="A1" s="479"/>
      <c r="B1" s="66" t="s">
        <v>4566</v>
      </c>
      <c r="C1" s="66"/>
      <c r="D1" s="66"/>
      <c r="E1" s="66"/>
      <c r="F1" s="66"/>
      <c r="G1" s="66"/>
      <c r="H1" s="66"/>
      <c r="I1" s="66"/>
      <c r="J1" s="66"/>
      <c r="K1" s="66"/>
      <c r="L1" s="66"/>
      <c r="M1" s="66"/>
      <c r="N1" s="68" t="str">
        <f>Validation!B3</f>
        <v>Yorkshire Water</v>
      </c>
      <c r="O1" s="68"/>
      <c r="P1" s="69" t="s">
        <v>34</v>
      </c>
      <c r="Q1" s="70"/>
      <c r="R1" s="71"/>
      <c r="S1" s="70"/>
      <c r="T1" s="70"/>
      <c r="U1" s="70"/>
      <c r="V1" s="70"/>
      <c r="W1" s="70"/>
      <c r="X1" s="70"/>
      <c r="Y1" s="70"/>
      <c r="Z1" s="71"/>
      <c r="AA1" s="72"/>
      <c r="AB1" s="71"/>
      <c r="AC1" s="479"/>
      <c r="AD1" s="479"/>
      <c r="AE1" s="479"/>
      <c r="AF1" s="71"/>
      <c r="AL1" s="66" t="s">
        <v>4566</v>
      </c>
      <c r="AM1" s="66"/>
      <c r="AN1" s="66"/>
      <c r="AO1" s="66"/>
      <c r="AP1" s="66"/>
      <c r="AQ1" s="66"/>
      <c r="AR1" s="66"/>
      <c r="AS1" s="66"/>
      <c r="AT1" s="66"/>
      <c r="AU1" s="66"/>
      <c r="AV1" s="66"/>
      <c r="AW1" s="66"/>
    </row>
    <row r="2" spans="1:49" s="1429" customFormat="1" ht="16.5" thickBot="1">
      <c r="A2" s="1425"/>
      <c r="B2" s="73" t="str">
        <f>'4I'!B2</f>
        <v>For the 12 months ended 31 March 2020</v>
      </c>
      <c r="C2" s="1426"/>
      <c r="D2" s="1426"/>
      <c r="E2" s="1426"/>
      <c r="F2" s="1426"/>
      <c r="G2" s="1426"/>
      <c r="H2" s="1426"/>
      <c r="I2" s="1426"/>
      <c r="J2" s="1426"/>
      <c r="K2" s="1426"/>
      <c r="L2" s="1426"/>
      <c r="M2" s="1426"/>
      <c r="N2" s="1426"/>
      <c r="O2" s="1427"/>
      <c r="P2" s="169"/>
      <c r="Q2" s="169"/>
      <c r="R2" s="71"/>
      <c r="S2" s="169"/>
      <c r="T2" s="169"/>
      <c r="U2" s="169"/>
      <c r="V2" s="169"/>
      <c r="W2" s="169"/>
      <c r="X2" s="169"/>
      <c r="Y2" s="169"/>
      <c r="Z2" s="71"/>
      <c r="AA2" s="72"/>
      <c r="AB2" s="71"/>
      <c r="AC2" s="479"/>
      <c r="AD2" s="479"/>
      <c r="AE2" s="479"/>
      <c r="AF2" s="71"/>
      <c r="AL2" s="73" t="str">
        <f>+B2</f>
        <v>For the 12 months ended 31 March 2020</v>
      </c>
      <c r="AM2" s="1426"/>
      <c r="AN2" s="1426"/>
      <c r="AO2" s="1426"/>
      <c r="AP2" s="1426"/>
      <c r="AQ2" s="1426"/>
      <c r="AR2" s="1426"/>
      <c r="AS2" s="1426"/>
      <c r="AT2" s="1426"/>
      <c r="AU2" s="1426"/>
      <c r="AV2" s="1426"/>
      <c r="AW2" s="1426"/>
    </row>
    <row r="3" spans="1:49" s="192" customFormat="1" ht="24" customHeight="1" thickBot="1">
      <c r="A3" s="479"/>
      <c r="B3" s="3324" t="s">
        <v>36</v>
      </c>
      <c r="C3" s="3325"/>
      <c r="D3" s="3016" t="s">
        <v>3098</v>
      </c>
      <c r="E3" s="3061" t="s">
        <v>38</v>
      </c>
      <c r="F3" s="3063" t="s">
        <v>39</v>
      </c>
      <c r="G3" s="3088" t="s">
        <v>907</v>
      </c>
      <c r="H3" s="3090"/>
      <c r="I3" s="3088" t="s">
        <v>3250</v>
      </c>
      <c r="J3" s="3089"/>
      <c r="K3" s="3089"/>
      <c r="L3" s="3090"/>
      <c r="M3" s="3070" t="s">
        <v>710</v>
      </c>
      <c r="N3" s="3070" t="s">
        <v>4567</v>
      </c>
      <c r="O3" s="70"/>
      <c r="P3" s="3070" t="s">
        <v>43</v>
      </c>
      <c r="Q3" s="70"/>
      <c r="R3" s="71"/>
      <c r="S3" s="76" t="s">
        <v>47</v>
      </c>
      <c r="T3" s="77"/>
      <c r="U3" s="76"/>
      <c r="V3" s="76"/>
      <c r="W3" s="1605"/>
      <c r="X3" s="1605"/>
      <c r="Y3" s="1605"/>
      <c r="Z3" s="71"/>
      <c r="AA3" s="2987" t="s">
        <v>26</v>
      </c>
      <c r="AB3" s="71"/>
      <c r="AC3" s="76" t="s">
        <v>904</v>
      </c>
      <c r="AD3" s="2987"/>
      <c r="AE3" s="2987"/>
      <c r="AF3" s="71"/>
      <c r="AL3" s="3169" t="s">
        <v>36</v>
      </c>
      <c r="AM3" s="3170"/>
      <c r="AN3" s="3016" t="s">
        <v>3098</v>
      </c>
      <c r="AO3" s="184" t="s">
        <v>38</v>
      </c>
      <c r="AP3" s="185" t="s">
        <v>39</v>
      </c>
      <c r="AQ3" s="3101" t="s">
        <v>907</v>
      </c>
      <c r="AR3" s="3103"/>
      <c r="AS3" s="3101" t="s">
        <v>3250</v>
      </c>
      <c r="AT3" s="3102"/>
      <c r="AU3" s="3102"/>
      <c r="AV3" s="3102"/>
      <c r="AW3" s="3070" t="s">
        <v>710</v>
      </c>
    </row>
    <row r="4" spans="1:49" s="192" customFormat="1" ht="27.75" thickBot="1">
      <c r="A4" s="479"/>
      <c r="B4" s="3326"/>
      <c r="C4" s="3327"/>
      <c r="D4" s="1697"/>
      <c r="E4" s="3062"/>
      <c r="F4" s="3064"/>
      <c r="G4" s="2997" t="s">
        <v>3251</v>
      </c>
      <c r="H4" s="1698" t="s">
        <v>3252</v>
      </c>
      <c r="I4" s="373" t="s">
        <v>3253</v>
      </c>
      <c r="J4" s="78" t="s">
        <v>3254</v>
      </c>
      <c r="K4" s="78" t="s">
        <v>3255</v>
      </c>
      <c r="L4" s="2998" t="s">
        <v>3256</v>
      </c>
      <c r="M4" s="3071"/>
      <c r="N4" s="3071"/>
      <c r="O4" s="70"/>
      <c r="P4" s="3071"/>
      <c r="Q4" s="70"/>
      <c r="R4" s="71"/>
      <c r="S4" s="70"/>
      <c r="W4" s="633"/>
      <c r="X4" s="633"/>
      <c r="Y4" s="633"/>
      <c r="Z4" s="71"/>
      <c r="AA4" s="70"/>
      <c r="AB4" s="71"/>
      <c r="AC4" s="70"/>
      <c r="AD4" s="70"/>
      <c r="AE4" s="70"/>
      <c r="AF4" s="71"/>
      <c r="AL4" s="881"/>
      <c r="AM4" s="881"/>
      <c r="AN4" s="881"/>
      <c r="AO4" s="881"/>
      <c r="AP4" s="881"/>
      <c r="AQ4" s="1386" t="s">
        <v>3251</v>
      </c>
      <c r="AR4" s="2989" t="s">
        <v>3252</v>
      </c>
      <c r="AS4" s="1606" t="s">
        <v>3253</v>
      </c>
      <c r="AT4" s="3021" t="s">
        <v>3254</v>
      </c>
      <c r="AU4" s="3021" t="s">
        <v>3255</v>
      </c>
      <c r="AV4" s="882" t="s">
        <v>3256</v>
      </c>
      <c r="AW4" s="3071"/>
    </row>
    <row r="5" spans="1:49" s="192" customFormat="1" ht="15" customHeight="1" thickBot="1">
      <c r="A5" s="82"/>
      <c r="B5" s="883"/>
      <c r="C5" s="883"/>
      <c r="D5" s="883"/>
      <c r="E5" s="881"/>
      <c r="F5" s="881"/>
      <c r="G5" s="884"/>
      <c r="H5" s="884"/>
      <c r="I5" s="884"/>
      <c r="J5" s="884"/>
      <c r="K5" s="884"/>
      <c r="L5" s="884"/>
      <c r="M5" s="884"/>
      <c r="N5" s="884"/>
      <c r="O5" s="884"/>
      <c r="P5" s="2004"/>
      <c r="Q5" s="70"/>
      <c r="R5" s="71"/>
      <c r="S5" s="70"/>
      <c r="T5" s="85" t="s">
        <v>48</v>
      </c>
      <c r="U5" s="85"/>
      <c r="V5" s="85"/>
      <c r="W5" s="85"/>
      <c r="X5" s="85"/>
      <c r="Y5" s="85"/>
      <c r="Z5" s="71"/>
      <c r="AA5" s="72"/>
      <c r="AB5" s="71"/>
      <c r="AC5" s="479"/>
      <c r="AD5" s="479"/>
      <c r="AE5" s="479"/>
      <c r="AF5" s="71"/>
      <c r="AL5" s="883"/>
      <c r="AM5" s="883"/>
      <c r="AN5" s="883"/>
      <c r="AO5" s="881"/>
      <c r="AP5" s="881"/>
      <c r="AQ5" s="884"/>
      <c r="AR5" s="884"/>
      <c r="AS5" s="884"/>
      <c r="AT5" s="884"/>
      <c r="AU5" s="884"/>
      <c r="AV5" s="884"/>
      <c r="AW5" s="884"/>
    </row>
    <row r="6" spans="1:49" customFormat="1" ht="16.5" thickBot="1">
      <c r="A6" s="885"/>
      <c r="B6" s="886" t="s">
        <v>155</v>
      </c>
      <c r="C6" s="887" t="s">
        <v>4568</v>
      </c>
      <c r="D6" s="888"/>
      <c r="E6" s="888"/>
      <c r="F6" s="888"/>
      <c r="G6" s="888"/>
      <c r="H6" s="888"/>
      <c r="I6" s="885"/>
      <c r="J6" s="885"/>
      <c r="K6" s="885"/>
      <c r="L6" s="885"/>
      <c r="M6" s="885"/>
      <c r="N6" s="885"/>
      <c r="O6" s="2004"/>
      <c r="P6" s="2004"/>
      <c r="Q6" s="70"/>
      <c r="R6" s="71"/>
      <c r="S6" s="70"/>
      <c r="T6" s="85"/>
      <c r="U6" s="85"/>
      <c r="V6" s="85"/>
      <c r="W6" s="85"/>
      <c r="X6" s="85"/>
      <c r="Y6" s="85"/>
      <c r="Z6" s="71"/>
      <c r="AA6" s="72"/>
      <c r="AB6" s="71"/>
      <c r="AC6" s="479"/>
      <c r="AD6" s="479"/>
      <c r="AE6" s="479"/>
      <c r="AF6" s="71"/>
      <c r="AG6" s="2004"/>
      <c r="AH6" s="2004"/>
      <c r="AI6" s="2004"/>
      <c r="AJ6" s="2004"/>
      <c r="AK6" s="2004"/>
      <c r="AL6" s="886" t="s">
        <v>155</v>
      </c>
      <c r="AM6" s="887" t="s">
        <v>4568</v>
      </c>
      <c r="AN6" s="888"/>
      <c r="AO6" s="888"/>
      <c r="AP6" s="888"/>
      <c r="AQ6" s="888"/>
      <c r="AR6" s="888"/>
      <c r="AS6" s="923"/>
      <c r="AT6" s="923"/>
      <c r="AU6" s="923"/>
      <c r="AV6" s="923"/>
      <c r="AW6" s="923"/>
    </row>
    <row r="7" spans="1:49" customFormat="1" ht="15.75">
      <c r="A7" s="885"/>
      <c r="B7" s="889" t="s">
        <v>4569</v>
      </c>
      <c r="C7" s="890" t="s">
        <v>1042</v>
      </c>
      <c r="D7" s="890"/>
      <c r="E7" s="891" t="s">
        <v>51</v>
      </c>
      <c r="F7" s="892">
        <v>3</v>
      </c>
      <c r="G7" s="893">
        <v>0</v>
      </c>
      <c r="H7" s="1417">
        <v>2.2200000000000002</v>
      </c>
      <c r="I7" s="1409">
        <v>4.4109999999999996</v>
      </c>
      <c r="J7" s="894">
        <v>2E-3</v>
      </c>
      <c r="K7" s="894">
        <v>9.2940000000000005</v>
      </c>
      <c r="L7" s="933">
        <v>12.13</v>
      </c>
      <c r="M7" s="895">
        <f>+SUM(G7:L7)</f>
        <v>28.057000000000002</v>
      </c>
      <c r="N7" s="896"/>
      <c r="O7" s="2004"/>
      <c r="P7" s="897">
        <f t="shared" ref="P7:P10" si="0" xml:space="preserve"> IF( SUM( R7:Z7 ) = 0, 0, $T$5 )</f>
        <v>0</v>
      </c>
      <c r="Q7" s="898"/>
      <c r="R7" s="71"/>
      <c r="S7" s="70"/>
      <c r="T7" s="93">
        <f t="shared" ref="T7:Y7" si="1" xml:space="preserve"> IF( ISNUMBER( G7 ), 0, 1 )</f>
        <v>0</v>
      </c>
      <c r="U7" s="93">
        <f t="shared" si="1"/>
        <v>0</v>
      </c>
      <c r="V7" s="93">
        <f t="shared" si="1"/>
        <v>0</v>
      </c>
      <c r="W7" s="93">
        <f t="shared" si="1"/>
        <v>0</v>
      </c>
      <c r="X7" s="93">
        <f t="shared" si="1"/>
        <v>0</v>
      </c>
      <c r="Y7" s="93">
        <f t="shared" si="1"/>
        <v>0</v>
      </c>
      <c r="Z7" s="71"/>
      <c r="AA7" s="72"/>
      <c r="AB7" s="71"/>
      <c r="AC7" s="479"/>
      <c r="AD7" s="479"/>
      <c r="AE7" s="479"/>
      <c r="AF7" s="71"/>
      <c r="AG7" s="2004"/>
      <c r="AH7" s="2004"/>
      <c r="AI7" s="2004"/>
      <c r="AJ7" s="2004"/>
      <c r="AK7" s="2004"/>
      <c r="AL7" s="889" t="s">
        <v>4569</v>
      </c>
      <c r="AM7" s="890" t="s">
        <v>1042</v>
      </c>
      <c r="AN7" s="890"/>
      <c r="AO7" s="891" t="s">
        <v>51</v>
      </c>
      <c r="AP7" s="892">
        <v>3</v>
      </c>
      <c r="AQ7" s="2751" t="s">
        <v>4570</v>
      </c>
      <c r="AR7" s="2752" t="s">
        <v>4571</v>
      </c>
      <c r="AS7" s="2753" t="s">
        <v>4572</v>
      </c>
      <c r="AT7" s="2754" t="s">
        <v>4573</v>
      </c>
      <c r="AU7" s="2754" t="s">
        <v>4574</v>
      </c>
      <c r="AV7" s="2755" t="s">
        <v>4575</v>
      </c>
      <c r="AW7" s="2117" t="s">
        <v>4576</v>
      </c>
    </row>
    <row r="8" spans="1:49" customFormat="1" ht="15.75">
      <c r="A8" s="885"/>
      <c r="B8" s="899" t="s">
        <v>4577</v>
      </c>
      <c r="C8" s="900" t="s">
        <v>1050</v>
      </c>
      <c r="D8" s="900"/>
      <c r="E8" s="901" t="s">
        <v>51</v>
      </c>
      <c r="F8" s="902">
        <v>3</v>
      </c>
      <c r="G8" s="903">
        <v>0</v>
      </c>
      <c r="H8" s="1418">
        <v>0</v>
      </c>
      <c r="I8" s="1410">
        <v>0</v>
      </c>
      <c r="J8" s="904">
        <v>0</v>
      </c>
      <c r="K8" s="904">
        <v>0</v>
      </c>
      <c r="L8" s="935">
        <v>0</v>
      </c>
      <c r="M8" s="905">
        <f>+SUM(G8:L8)</f>
        <v>0</v>
      </c>
      <c r="N8" s="906"/>
      <c r="O8" s="2004"/>
      <c r="P8" s="897">
        <f t="shared" si="0"/>
        <v>0</v>
      </c>
      <c r="Q8" s="898"/>
      <c r="R8" s="71"/>
      <c r="S8" s="70"/>
      <c r="T8" s="93">
        <f t="shared" ref="T8:T10" si="2" xml:space="preserve"> IF( ISNUMBER( G8 ), 0, 1 )</f>
        <v>0</v>
      </c>
      <c r="U8" s="93">
        <f t="shared" ref="U8:Y10" si="3" xml:space="preserve"> IF( ISNUMBER( H8 ), 0, 1 )</f>
        <v>0</v>
      </c>
      <c r="V8" s="93">
        <f t="shared" si="3"/>
        <v>0</v>
      </c>
      <c r="W8" s="93">
        <f t="shared" si="3"/>
        <v>0</v>
      </c>
      <c r="X8" s="93">
        <f t="shared" si="3"/>
        <v>0</v>
      </c>
      <c r="Y8" s="93">
        <f t="shared" si="3"/>
        <v>0</v>
      </c>
      <c r="Z8" s="71"/>
      <c r="AA8" s="72"/>
      <c r="AB8" s="71"/>
      <c r="AC8" s="23"/>
      <c r="AD8" s="23"/>
      <c r="AE8" s="23"/>
      <c r="AF8" s="71"/>
      <c r="AG8" s="2004"/>
      <c r="AH8" s="2004"/>
      <c r="AI8" s="2004"/>
      <c r="AJ8" s="2004"/>
      <c r="AK8" s="2004"/>
      <c r="AL8" s="899" t="s">
        <v>4577</v>
      </c>
      <c r="AM8" s="900" t="s">
        <v>1050</v>
      </c>
      <c r="AN8" s="900"/>
      <c r="AO8" s="901" t="s">
        <v>51</v>
      </c>
      <c r="AP8" s="902">
        <v>3</v>
      </c>
      <c r="AQ8" s="2756" t="s">
        <v>4578</v>
      </c>
      <c r="AR8" s="2757" t="s">
        <v>4579</v>
      </c>
      <c r="AS8" s="2758" t="s">
        <v>4580</v>
      </c>
      <c r="AT8" s="2759" t="s">
        <v>4581</v>
      </c>
      <c r="AU8" s="2759" t="s">
        <v>4582</v>
      </c>
      <c r="AV8" s="2760" t="s">
        <v>4583</v>
      </c>
      <c r="AW8" s="2118" t="s">
        <v>4584</v>
      </c>
    </row>
    <row r="9" spans="1:49" customFormat="1" ht="15.75">
      <c r="A9" s="885"/>
      <c r="B9" s="899" t="s">
        <v>4585</v>
      </c>
      <c r="C9" s="900" t="s">
        <v>1058</v>
      </c>
      <c r="D9" s="900"/>
      <c r="E9" s="901" t="s">
        <v>51</v>
      </c>
      <c r="F9" s="902">
        <v>3</v>
      </c>
      <c r="G9" s="903">
        <v>4.9690000000000003</v>
      </c>
      <c r="H9" s="1418">
        <v>0.57999999999999996</v>
      </c>
      <c r="I9" s="1410">
        <v>0</v>
      </c>
      <c r="J9" s="904">
        <v>0</v>
      </c>
      <c r="K9" s="904">
        <v>4.0000000000000001E-3</v>
      </c>
      <c r="L9" s="935">
        <v>0</v>
      </c>
      <c r="M9" s="905">
        <f>+SUM(G9:L9)</f>
        <v>5.5529999999999999</v>
      </c>
      <c r="N9" s="906"/>
      <c r="O9" s="2004"/>
      <c r="P9" s="897">
        <f t="shared" si="0"/>
        <v>0</v>
      </c>
      <c r="Q9" s="898"/>
      <c r="R9" s="71"/>
      <c r="S9" s="70"/>
      <c r="T9" s="93">
        <f t="shared" si="2"/>
        <v>0</v>
      </c>
      <c r="U9" s="93">
        <f t="shared" si="3"/>
        <v>0</v>
      </c>
      <c r="V9" s="93">
        <f t="shared" si="3"/>
        <v>0</v>
      </c>
      <c r="W9" s="93">
        <f t="shared" si="3"/>
        <v>0</v>
      </c>
      <c r="X9" s="93">
        <f t="shared" si="3"/>
        <v>0</v>
      </c>
      <c r="Y9" s="93">
        <f t="shared" si="3"/>
        <v>0</v>
      </c>
      <c r="Z9" s="71"/>
      <c r="AA9" s="72"/>
      <c r="AB9" s="71"/>
      <c r="AC9" s="23"/>
      <c r="AD9" s="23"/>
      <c r="AE9" s="23"/>
      <c r="AF9" s="71"/>
      <c r="AG9" s="2004"/>
      <c r="AH9" s="2004"/>
      <c r="AI9" s="2004"/>
      <c r="AJ9" s="2004"/>
      <c r="AK9" s="2004"/>
      <c r="AL9" s="899" t="s">
        <v>4585</v>
      </c>
      <c r="AM9" s="900" t="s">
        <v>1058</v>
      </c>
      <c r="AN9" s="900"/>
      <c r="AO9" s="901" t="s">
        <v>51</v>
      </c>
      <c r="AP9" s="902">
        <v>3</v>
      </c>
      <c r="AQ9" s="2756" t="s">
        <v>4586</v>
      </c>
      <c r="AR9" s="2757" t="s">
        <v>4587</v>
      </c>
      <c r="AS9" s="2758" t="s">
        <v>4588</v>
      </c>
      <c r="AT9" s="2759" t="s">
        <v>4589</v>
      </c>
      <c r="AU9" s="2759" t="s">
        <v>4590</v>
      </c>
      <c r="AV9" s="2760" t="s">
        <v>4591</v>
      </c>
      <c r="AW9" s="2118" t="s">
        <v>4592</v>
      </c>
    </row>
    <row r="10" spans="1:49" customFormat="1" ht="15.75">
      <c r="A10" s="885"/>
      <c r="B10" s="899" t="s">
        <v>4593</v>
      </c>
      <c r="C10" s="900" t="s">
        <v>3282</v>
      </c>
      <c r="D10" s="900"/>
      <c r="E10" s="901" t="s">
        <v>51</v>
      </c>
      <c r="F10" s="902">
        <v>3</v>
      </c>
      <c r="G10" s="903">
        <v>0</v>
      </c>
      <c r="H10" s="1418">
        <v>3.8039999999999998</v>
      </c>
      <c r="I10" s="1410">
        <v>0</v>
      </c>
      <c r="J10" s="904">
        <v>0</v>
      </c>
      <c r="K10" s="904">
        <v>0</v>
      </c>
      <c r="L10" s="935">
        <v>0</v>
      </c>
      <c r="M10" s="905">
        <f>+SUM(G10:L10)</f>
        <v>3.8039999999999998</v>
      </c>
      <c r="N10" s="906"/>
      <c r="O10" s="2004"/>
      <c r="P10" s="897">
        <f t="shared" si="0"/>
        <v>0</v>
      </c>
      <c r="Q10" s="898"/>
      <c r="R10" s="71"/>
      <c r="S10" s="70"/>
      <c r="T10" s="93">
        <f t="shared" si="2"/>
        <v>0</v>
      </c>
      <c r="U10" s="93">
        <f t="shared" si="3"/>
        <v>0</v>
      </c>
      <c r="V10" s="93">
        <f t="shared" si="3"/>
        <v>0</v>
      </c>
      <c r="W10" s="93">
        <f t="shared" si="3"/>
        <v>0</v>
      </c>
      <c r="X10" s="93">
        <f t="shared" si="3"/>
        <v>0</v>
      </c>
      <c r="Y10" s="93">
        <f t="shared" si="3"/>
        <v>0</v>
      </c>
      <c r="Z10" s="71"/>
      <c r="AA10" s="72"/>
      <c r="AB10" s="71"/>
      <c r="AC10" s="23"/>
      <c r="AD10" s="23"/>
      <c r="AE10" s="23"/>
      <c r="AF10" s="71"/>
      <c r="AG10" s="2004"/>
      <c r="AH10" s="2004"/>
      <c r="AI10" s="2004"/>
      <c r="AJ10" s="2004"/>
      <c r="AK10" s="2004"/>
      <c r="AL10" s="899" t="s">
        <v>4593</v>
      </c>
      <c r="AM10" s="900" t="s">
        <v>3282</v>
      </c>
      <c r="AN10" s="900"/>
      <c r="AO10" s="901" t="s">
        <v>51</v>
      </c>
      <c r="AP10" s="902">
        <v>3</v>
      </c>
      <c r="AQ10" s="2756" t="s">
        <v>4594</v>
      </c>
      <c r="AR10" s="2757" t="s">
        <v>4595</v>
      </c>
      <c r="AS10" s="2758" t="s">
        <v>4596</v>
      </c>
      <c r="AT10" s="2759" t="s">
        <v>4597</v>
      </c>
      <c r="AU10" s="2759" t="s">
        <v>4598</v>
      </c>
      <c r="AV10" s="2760" t="s">
        <v>4599</v>
      </c>
      <c r="AW10" s="2118" t="s">
        <v>4600</v>
      </c>
    </row>
    <row r="11" spans="1:49" customFormat="1" ht="15.75">
      <c r="A11" s="923"/>
      <c r="B11" s="899"/>
      <c r="C11" s="907" t="s">
        <v>1282</v>
      </c>
      <c r="D11" s="908"/>
      <c r="E11" s="909"/>
      <c r="F11" s="910"/>
      <c r="G11" s="911"/>
      <c r="H11" s="911"/>
      <c r="I11" s="911"/>
      <c r="J11" s="911"/>
      <c r="K11" s="911"/>
      <c r="L11" s="911"/>
      <c r="M11" s="911"/>
      <c r="N11" s="1921"/>
      <c r="O11" s="479"/>
      <c r="P11" s="1922"/>
      <c r="Q11" s="2004"/>
      <c r="R11" s="71"/>
      <c r="S11" s="70"/>
      <c r="T11" s="2004"/>
      <c r="U11" s="2004"/>
      <c r="V11" s="2004"/>
      <c r="W11" s="2004"/>
      <c r="X11" s="2004"/>
      <c r="Y11" s="2004"/>
      <c r="Z11" s="71"/>
      <c r="AA11" s="72"/>
      <c r="AB11" s="71"/>
      <c r="AC11" s="23"/>
      <c r="AD11" s="23"/>
      <c r="AE11" s="23"/>
      <c r="AF11" s="71"/>
      <c r="AG11" s="2004"/>
      <c r="AH11" s="2004"/>
      <c r="AI11" s="2004"/>
      <c r="AJ11" s="2004"/>
      <c r="AK11" s="2004"/>
      <c r="AL11" s="899"/>
      <c r="AM11" s="907" t="s">
        <v>1282</v>
      </c>
      <c r="AN11" s="908"/>
      <c r="AO11" s="909"/>
      <c r="AP11" s="910"/>
      <c r="AQ11" s="2119"/>
      <c r="AR11" s="2761"/>
      <c r="AS11" s="2119"/>
      <c r="AT11" s="2119"/>
      <c r="AU11" s="2119"/>
      <c r="AV11" s="2119"/>
      <c r="AW11" s="2119"/>
    </row>
    <row r="12" spans="1:49" customFormat="1" ht="15.75">
      <c r="A12" s="885"/>
      <c r="B12" s="912" t="s">
        <v>4601</v>
      </c>
      <c r="C12" s="913" t="s">
        <v>4602</v>
      </c>
      <c r="D12" s="913"/>
      <c r="E12" s="901" t="s">
        <v>51</v>
      </c>
      <c r="F12" s="914">
        <v>3</v>
      </c>
      <c r="G12" s="903">
        <v>0</v>
      </c>
      <c r="H12" s="1418">
        <v>0</v>
      </c>
      <c r="I12" s="1410">
        <v>0</v>
      </c>
      <c r="J12" s="904">
        <v>0</v>
      </c>
      <c r="K12" s="904">
        <v>0</v>
      </c>
      <c r="L12" s="935">
        <v>0</v>
      </c>
      <c r="M12" s="905">
        <f>+SUM(G12:L12)</f>
        <v>0</v>
      </c>
      <c r="N12" s="906"/>
      <c r="O12" s="2004"/>
      <c r="P12" s="897">
        <f t="shared" ref="P12:P15" si="4" xml:space="preserve"> IF( SUM( R12:Z12 ) = 0, 0, $T$5 )</f>
        <v>0</v>
      </c>
      <c r="Q12" s="898"/>
      <c r="R12" s="71"/>
      <c r="S12" s="70"/>
      <c r="T12" s="93">
        <f t="shared" ref="T12:Y15" si="5" xml:space="preserve"> IF( ISNUMBER( G12 ), 0, 1 )</f>
        <v>0</v>
      </c>
      <c r="U12" s="93">
        <f t="shared" si="5"/>
        <v>0</v>
      </c>
      <c r="V12" s="93">
        <f t="shared" si="5"/>
        <v>0</v>
      </c>
      <c r="W12" s="93">
        <f t="shared" si="5"/>
        <v>0</v>
      </c>
      <c r="X12" s="93">
        <f t="shared" si="5"/>
        <v>0</v>
      </c>
      <c r="Y12" s="93">
        <f t="shared" si="5"/>
        <v>0</v>
      </c>
      <c r="Z12" s="71"/>
      <c r="AA12" s="72"/>
      <c r="AB12" s="71"/>
      <c r="AC12" s="23"/>
      <c r="AD12" s="23"/>
      <c r="AE12" s="23"/>
      <c r="AF12" s="71"/>
      <c r="AG12" s="2004"/>
      <c r="AH12" s="2004"/>
      <c r="AI12" s="2004"/>
      <c r="AJ12" s="2004"/>
      <c r="AK12" s="2004"/>
      <c r="AL12" s="912" t="s">
        <v>4601</v>
      </c>
      <c r="AM12" s="913" t="s">
        <v>4602</v>
      </c>
      <c r="AN12" s="913"/>
      <c r="AO12" s="901" t="s">
        <v>51</v>
      </c>
      <c r="AP12" s="914">
        <v>3</v>
      </c>
      <c r="AQ12" s="2756" t="s">
        <v>4603</v>
      </c>
      <c r="AR12" s="2757" t="s">
        <v>4604</v>
      </c>
      <c r="AS12" s="2758" t="s">
        <v>4605</v>
      </c>
      <c r="AT12" s="2759" t="s">
        <v>4606</v>
      </c>
      <c r="AU12" s="2759" t="s">
        <v>4607</v>
      </c>
      <c r="AV12" s="2760" t="s">
        <v>4608</v>
      </c>
      <c r="AW12" s="2118" t="s">
        <v>4609</v>
      </c>
    </row>
    <row r="13" spans="1:49" customFormat="1" ht="15.75">
      <c r="A13" s="885"/>
      <c r="B13" s="899" t="s">
        <v>4610</v>
      </c>
      <c r="C13" s="900" t="s">
        <v>4611</v>
      </c>
      <c r="D13" s="900"/>
      <c r="E13" s="901" t="s">
        <v>51</v>
      </c>
      <c r="F13" s="914">
        <v>3</v>
      </c>
      <c r="G13" s="903">
        <v>0</v>
      </c>
      <c r="H13" s="1418">
        <v>0</v>
      </c>
      <c r="I13" s="1410">
        <v>0</v>
      </c>
      <c r="J13" s="904">
        <v>0</v>
      </c>
      <c r="K13" s="904">
        <v>0</v>
      </c>
      <c r="L13" s="935">
        <v>0</v>
      </c>
      <c r="M13" s="905">
        <f>+SUM(G13:L13)</f>
        <v>0</v>
      </c>
      <c r="N13" s="906"/>
      <c r="O13" s="2004"/>
      <c r="P13" s="897">
        <f t="shared" si="4"/>
        <v>0</v>
      </c>
      <c r="Q13" s="898"/>
      <c r="R13" s="71"/>
      <c r="S13" s="70"/>
      <c r="T13" s="93">
        <f t="shared" si="5"/>
        <v>0</v>
      </c>
      <c r="U13" s="93">
        <f t="shared" si="5"/>
        <v>0</v>
      </c>
      <c r="V13" s="93">
        <f t="shared" si="5"/>
        <v>0</v>
      </c>
      <c r="W13" s="93">
        <f t="shared" si="5"/>
        <v>0</v>
      </c>
      <c r="X13" s="93">
        <f t="shared" si="5"/>
        <v>0</v>
      </c>
      <c r="Y13" s="93">
        <f t="shared" si="5"/>
        <v>0</v>
      </c>
      <c r="Z13" s="71"/>
      <c r="AA13" s="72"/>
      <c r="AB13" s="71"/>
      <c r="AC13" s="23"/>
      <c r="AD13" s="23"/>
      <c r="AE13" s="23"/>
      <c r="AF13" s="71"/>
      <c r="AG13" s="2004"/>
      <c r="AH13" s="2004"/>
      <c r="AI13" s="2004"/>
      <c r="AJ13" s="2004"/>
      <c r="AK13" s="2004"/>
      <c r="AL13" s="899" t="s">
        <v>4610</v>
      </c>
      <c r="AM13" s="900" t="s">
        <v>4611</v>
      </c>
      <c r="AN13" s="900"/>
      <c r="AO13" s="901" t="s">
        <v>51</v>
      </c>
      <c r="AP13" s="914">
        <v>3</v>
      </c>
      <c r="AQ13" s="2756" t="s">
        <v>4612</v>
      </c>
      <c r="AR13" s="2757" t="s">
        <v>4613</v>
      </c>
      <c r="AS13" s="2758" t="s">
        <v>4614</v>
      </c>
      <c r="AT13" s="2759" t="s">
        <v>4615</v>
      </c>
      <c r="AU13" s="2759" t="s">
        <v>4616</v>
      </c>
      <c r="AV13" s="2760" t="s">
        <v>4617</v>
      </c>
      <c r="AW13" s="2118" t="s">
        <v>4618</v>
      </c>
    </row>
    <row r="14" spans="1:49" customFormat="1" ht="15.75">
      <c r="A14" s="885"/>
      <c r="B14" s="899" t="s">
        <v>4619</v>
      </c>
      <c r="C14" s="900" t="s">
        <v>4620</v>
      </c>
      <c r="D14" s="900"/>
      <c r="E14" s="901" t="s">
        <v>51</v>
      </c>
      <c r="F14" s="914">
        <v>3</v>
      </c>
      <c r="G14" s="903">
        <v>0.218</v>
      </c>
      <c r="H14" s="1418">
        <v>8.8879999999999999</v>
      </c>
      <c r="I14" s="1410">
        <v>3.4630000000000001</v>
      </c>
      <c r="J14" s="904">
        <v>1.036</v>
      </c>
      <c r="K14" s="904">
        <v>46.037999999999997</v>
      </c>
      <c r="L14" s="935">
        <v>106.72199999999999</v>
      </c>
      <c r="M14" s="905">
        <f>+SUM(G14:L14)</f>
        <v>166.36499999999998</v>
      </c>
      <c r="N14" s="906"/>
      <c r="O14" s="2004"/>
      <c r="P14" s="897">
        <f t="shared" si="4"/>
        <v>0</v>
      </c>
      <c r="Q14" s="898"/>
      <c r="R14" s="71"/>
      <c r="S14" s="70"/>
      <c r="T14" s="93">
        <f t="shared" si="5"/>
        <v>0</v>
      </c>
      <c r="U14" s="93">
        <f t="shared" si="5"/>
        <v>0</v>
      </c>
      <c r="V14" s="93">
        <f t="shared" si="5"/>
        <v>0</v>
      </c>
      <c r="W14" s="93">
        <f t="shared" si="5"/>
        <v>0</v>
      </c>
      <c r="X14" s="93">
        <f t="shared" si="5"/>
        <v>0</v>
      </c>
      <c r="Y14" s="93">
        <f t="shared" si="5"/>
        <v>0</v>
      </c>
      <c r="Z14" s="71"/>
      <c r="AA14" s="72"/>
      <c r="AB14" s="71"/>
      <c r="AC14" s="23"/>
      <c r="AD14" s="23"/>
      <c r="AE14" s="23"/>
      <c r="AF14" s="71"/>
      <c r="AG14" s="2004"/>
      <c r="AH14" s="2004"/>
      <c r="AI14" s="2004"/>
      <c r="AJ14" s="2004"/>
      <c r="AK14" s="2004"/>
      <c r="AL14" s="899" t="s">
        <v>4619</v>
      </c>
      <c r="AM14" s="900" t="s">
        <v>4620</v>
      </c>
      <c r="AN14" s="900"/>
      <c r="AO14" s="901" t="s">
        <v>51</v>
      </c>
      <c r="AP14" s="914">
        <v>3</v>
      </c>
      <c r="AQ14" s="2756" t="s">
        <v>4621</v>
      </c>
      <c r="AR14" s="2757" t="s">
        <v>4622</v>
      </c>
      <c r="AS14" s="2758" t="s">
        <v>4623</v>
      </c>
      <c r="AT14" s="2759" t="s">
        <v>4624</v>
      </c>
      <c r="AU14" s="2759" t="s">
        <v>4625</v>
      </c>
      <c r="AV14" s="2760" t="s">
        <v>4626</v>
      </c>
      <c r="AW14" s="2118" t="s">
        <v>4627</v>
      </c>
    </row>
    <row r="15" spans="1:49" customFormat="1" ht="15.75">
      <c r="A15" s="885"/>
      <c r="B15" s="899" t="s">
        <v>4628</v>
      </c>
      <c r="C15" s="900" t="s">
        <v>1098</v>
      </c>
      <c r="D15" s="900"/>
      <c r="E15" s="901" t="s">
        <v>51</v>
      </c>
      <c r="F15" s="914">
        <v>3</v>
      </c>
      <c r="G15" s="903">
        <v>0</v>
      </c>
      <c r="H15" s="1418">
        <v>7.923</v>
      </c>
      <c r="I15" s="1410">
        <v>1.992</v>
      </c>
      <c r="J15" s="904">
        <v>0.67400000000000004</v>
      </c>
      <c r="K15" s="904">
        <v>1.179</v>
      </c>
      <c r="L15" s="935">
        <v>29.033000000000001</v>
      </c>
      <c r="M15" s="905">
        <f>+SUM(G15:L15)</f>
        <v>40.801000000000002</v>
      </c>
      <c r="N15" s="906"/>
      <c r="O15" s="2004"/>
      <c r="P15" s="897">
        <f t="shared" si="4"/>
        <v>0</v>
      </c>
      <c r="Q15" s="898"/>
      <c r="R15" s="71"/>
      <c r="S15" s="70"/>
      <c r="T15" s="93">
        <f t="shared" si="5"/>
        <v>0</v>
      </c>
      <c r="U15" s="93">
        <f t="shared" si="5"/>
        <v>0</v>
      </c>
      <c r="V15" s="93">
        <f t="shared" si="5"/>
        <v>0</v>
      </c>
      <c r="W15" s="93">
        <f t="shared" si="5"/>
        <v>0</v>
      </c>
      <c r="X15" s="93">
        <f t="shared" si="5"/>
        <v>0</v>
      </c>
      <c r="Y15" s="93">
        <f t="shared" si="5"/>
        <v>0</v>
      </c>
      <c r="Z15" s="71"/>
      <c r="AA15" s="72"/>
      <c r="AB15" s="71"/>
      <c r="AC15" s="23"/>
      <c r="AD15" s="23"/>
      <c r="AE15" s="23"/>
      <c r="AF15" s="71"/>
      <c r="AG15" s="2004"/>
      <c r="AH15" s="2004"/>
      <c r="AI15" s="2004"/>
      <c r="AJ15" s="2004"/>
      <c r="AK15" s="2004"/>
      <c r="AL15" s="899" t="s">
        <v>4628</v>
      </c>
      <c r="AM15" s="900" t="s">
        <v>1098</v>
      </c>
      <c r="AN15" s="900"/>
      <c r="AO15" s="901" t="s">
        <v>51</v>
      </c>
      <c r="AP15" s="914">
        <v>3</v>
      </c>
      <c r="AQ15" s="2756" t="s">
        <v>4629</v>
      </c>
      <c r="AR15" s="2757" t="s">
        <v>4630</v>
      </c>
      <c r="AS15" s="2758" t="s">
        <v>4631</v>
      </c>
      <c r="AT15" s="2759" t="s">
        <v>4632</v>
      </c>
      <c r="AU15" s="2759" t="s">
        <v>4633</v>
      </c>
      <c r="AV15" s="2760" t="s">
        <v>4634</v>
      </c>
      <c r="AW15" s="2118" t="s">
        <v>4635</v>
      </c>
    </row>
    <row r="16" spans="1:49" customFormat="1" ht="16.5" thickBot="1">
      <c r="A16" s="885"/>
      <c r="B16" s="915" t="s">
        <v>4636</v>
      </c>
      <c r="C16" s="916" t="s">
        <v>4637</v>
      </c>
      <c r="D16" s="916"/>
      <c r="E16" s="917" t="s">
        <v>51</v>
      </c>
      <c r="F16" s="918">
        <v>3</v>
      </c>
      <c r="G16" s="919">
        <f t="shared" ref="G16" si="6">+SUM(G7:G15)</f>
        <v>5.1870000000000003</v>
      </c>
      <c r="H16" s="1419">
        <f>+SUM(H7:H15)</f>
        <v>23.414999999999999</v>
      </c>
      <c r="I16" s="1411">
        <f>+SUM(I7:I15)</f>
        <v>9.8659999999999997</v>
      </c>
      <c r="J16" s="920">
        <f>+SUM(J7:J15)</f>
        <v>1.7120000000000002</v>
      </c>
      <c r="K16" s="920">
        <f>+SUM(K7:K15)</f>
        <v>56.515000000000001</v>
      </c>
      <c r="L16" s="1431">
        <f>+SUM(L7:L15)</f>
        <v>147.88499999999999</v>
      </c>
      <c r="M16" s="921">
        <f>+SUM(G16:L16)</f>
        <v>244.57999999999998</v>
      </c>
      <c r="N16" s="922"/>
      <c r="O16" s="2004"/>
      <c r="P16" s="576"/>
      <c r="Q16" s="2004"/>
      <c r="R16" s="71"/>
      <c r="S16" s="70"/>
      <c r="T16" s="2004"/>
      <c r="U16" s="2004"/>
      <c r="V16" s="2004"/>
      <c r="W16" s="2004"/>
      <c r="X16" s="2004"/>
      <c r="Y16" s="2004"/>
      <c r="Z16" s="71"/>
      <c r="AA16" s="72"/>
      <c r="AB16" s="71"/>
      <c r="AC16" s="23"/>
      <c r="AD16" s="23"/>
      <c r="AE16" s="23"/>
      <c r="AF16" s="71"/>
      <c r="AG16" s="2004"/>
      <c r="AH16" s="2004"/>
      <c r="AI16" s="2004"/>
      <c r="AJ16" s="2004"/>
      <c r="AK16" s="2004"/>
      <c r="AL16" s="915" t="s">
        <v>4636</v>
      </c>
      <c r="AM16" s="916" t="s">
        <v>4637</v>
      </c>
      <c r="AN16" s="916"/>
      <c r="AO16" s="917" t="s">
        <v>51</v>
      </c>
      <c r="AP16" s="918">
        <v>3</v>
      </c>
      <c r="AQ16" s="919" t="s">
        <v>4638</v>
      </c>
      <c r="AR16" s="1419" t="s">
        <v>4639</v>
      </c>
      <c r="AS16" s="1411" t="s">
        <v>4640</v>
      </c>
      <c r="AT16" s="920" t="s">
        <v>4641</v>
      </c>
      <c r="AU16" s="920" t="s">
        <v>4642</v>
      </c>
      <c r="AV16" s="1431" t="s">
        <v>4643</v>
      </c>
      <c r="AW16" s="2120" t="s">
        <v>4644</v>
      </c>
    </row>
    <row r="17" spans="1:49" customFormat="1" ht="16.5" thickBot="1">
      <c r="A17" s="885"/>
      <c r="B17" s="923"/>
      <c r="C17" s="923"/>
      <c r="D17" s="923"/>
      <c r="E17" s="923"/>
      <c r="F17" s="923"/>
      <c r="G17" s="885"/>
      <c r="H17" s="885"/>
      <c r="I17" s="885"/>
      <c r="J17" s="885"/>
      <c r="K17" s="885"/>
      <c r="L17" s="885"/>
      <c r="M17" s="885"/>
      <c r="N17" s="1994"/>
      <c r="O17" s="2004"/>
      <c r="P17" s="576"/>
      <c r="Q17" s="2004"/>
      <c r="R17" s="71"/>
      <c r="S17" s="70"/>
      <c r="T17" s="2004"/>
      <c r="U17" s="2004"/>
      <c r="V17" s="2004"/>
      <c r="W17" s="2004"/>
      <c r="X17" s="2004"/>
      <c r="Y17" s="2004"/>
      <c r="Z17" s="71"/>
      <c r="AA17" s="72"/>
      <c r="AB17" s="71"/>
      <c r="AC17" s="23"/>
      <c r="AD17" s="23"/>
      <c r="AE17" s="23"/>
      <c r="AF17" s="71"/>
      <c r="AG17" s="2004"/>
      <c r="AH17" s="2004"/>
      <c r="AI17" s="2004"/>
      <c r="AJ17" s="2004"/>
      <c r="AK17" s="2004"/>
      <c r="AL17" s="923"/>
      <c r="AM17" s="923"/>
      <c r="AN17" s="923"/>
      <c r="AO17" s="923"/>
      <c r="AP17" s="923"/>
      <c r="AQ17" s="2762"/>
      <c r="AR17" s="2762"/>
      <c r="AS17" s="2762"/>
      <c r="AT17" s="2762"/>
      <c r="AU17" s="2762"/>
      <c r="AV17" s="2762"/>
      <c r="AW17" s="2762"/>
    </row>
    <row r="18" spans="1:49" customFormat="1" ht="15.75">
      <c r="A18" s="885"/>
      <c r="B18" s="889" t="s">
        <v>4645</v>
      </c>
      <c r="C18" s="890" t="s">
        <v>1114</v>
      </c>
      <c r="D18" s="890"/>
      <c r="E18" s="891" t="s">
        <v>51</v>
      </c>
      <c r="F18" s="892">
        <v>3</v>
      </c>
      <c r="G18" s="893">
        <v>0</v>
      </c>
      <c r="H18" s="1417">
        <v>0</v>
      </c>
      <c r="I18" s="1409">
        <v>0</v>
      </c>
      <c r="J18" s="894">
        <v>0</v>
      </c>
      <c r="K18" s="894">
        <v>0</v>
      </c>
      <c r="L18" s="933">
        <v>1.4550000000000001</v>
      </c>
      <c r="M18" s="895">
        <f>+SUM(G18:L18)</f>
        <v>1.4550000000000001</v>
      </c>
      <c r="N18" s="896"/>
      <c r="O18" s="2004"/>
      <c r="P18" s="897">
        <f t="shared" ref="P18" si="7" xml:space="preserve"> IF( SUM( R18:Z18 ) = 0, 0, $T$5 )</f>
        <v>0</v>
      </c>
      <c r="Q18" s="898"/>
      <c r="R18" s="71"/>
      <c r="S18" s="70"/>
      <c r="T18" s="93">
        <f t="shared" ref="T18:Y18" si="8" xml:space="preserve"> IF( ISNUMBER( G18 ), 0, 1 )</f>
        <v>0</v>
      </c>
      <c r="U18" s="93">
        <f t="shared" si="8"/>
        <v>0</v>
      </c>
      <c r="V18" s="93">
        <f t="shared" si="8"/>
        <v>0</v>
      </c>
      <c r="W18" s="93">
        <f t="shared" si="8"/>
        <v>0</v>
      </c>
      <c r="X18" s="93">
        <f t="shared" si="8"/>
        <v>0</v>
      </c>
      <c r="Y18" s="93">
        <f t="shared" si="8"/>
        <v>0</v>
      </c>
      <c r="Z18" s="71"/>
      <c r="AA18" s="72"/>
      <c r="AB18" s="71"/>
      <c r="AC18" s="23"/>
      <c r="AD18" s="23"/>
      <c r="AE18" s="23"/>
      <c r="AF18" s="71"/>
      <c r="AG18" s="2004"/>
      <c r="AH18" s="2004"/>
      <c r="AI18" s="2004"/>
      <c r="AJ18" s="2004"/>
      <c r="AK18" s="2004"/>
      <c r="AL18" s="889" t="s">
        <v>4645</v>
      </c>
      <c r="AM18" s="890" t="s">
        <v>1114</v>
      </c>
      <c r="AN18" s="890"/>
      <c r="AO18" s="891" t="s">
        <v>51</v>
      </c>
      <c r="AP18" s="892">
        <v>3</v>
      </c>
      <c r="AQ18" s="2751" t="s">
        <v>4646</v>
      </c>
      <c r="AR18" s="2752" t="s">
        <v>4647</v>
      </c>
      <c r="AS18" s="2753" t="s">
        <v>4648</v>
      </c>
      <c r="AT18" s="2754" t="s">
        <v>4649</v>
      </c>
      <c r="AU18" s="2754" t="s">
        <v>4650</v>
      </c>
      <c r="AV18" s="2755" t="s">
        <v>4651</v>
      </c>
      <c r="AW18" s="2117" t="s">
        <v>4652</v>
      </c>
    </row>
    <row r="19" spans="1:49" customFormat="1" ht="16.5" thickBot="1">
      <c r="A19" s="885"/>
      <c r="B19" s="915" t="s">
        <v>4653</v>
      </c>
      <c r="C19" s="916" t="s">
        <v>1122</v>
      </c>
      <c r="D19" s="916"/>
      <c r="E19" s="917" t="s">
        <v>51</v>
      </c>
      <c r="F19" s="918">
        <v>3</v>
      </c>
      <c r="G19" s="919">
        <f t="shared" ref="G19" si="9">+G16+G18</f>
        <v>5.1870000000000003</v>
      </c>
      <c r="H19" s="1419">
        <f>+H16+H18</f>
        <v>23.414999999999999</v>
      </c>
      <c r="I19" s="1411">
        <f>+I16+I18</f>
        <v>9.8659999999999997</v>
      </c>
      <c r="J19" s="920">
        <f>+J16+J18</f>
        <v>1.7120000000000002</v>
      </c>
      <c r="K19" s="920">
        <f>+K16+K18</f>
        <v>56.515000000000001</v>
      </c>
      <c r="L19" s="1431">
        <f>+L16+L18</f>
        <v>149.34</v>
      </c>
      <c r="M19" s="921">
        <f>+SUM(G19:L19)</f>
        <v>246.03500000000003</v>
      </c>
      <c r="N19" s="922"/>
      <c r="O19" s="2004"/>
      <c r="P19" s="576"/>
      <c r="Q19" s="2004"/>
      <c r="R19" s="71"/>
      <c r="S19" s="70"/>
      <c r="T19" s="2004"/>
      <c r="U19" s="2004"/>
      <c r="V19" s="2004"/>
      <c r="W19" s="2004"/>
      <c r="X19" s="2004"/>
      <c r="Y19" s="2004"/>
      <c r="Z19" s="71"/>
      <c r="AA19" s="72"/>
      <c r="AB19" s="71"/>
      <c r="AC19" s="23"/>
      <c r="AD19" s="23"/>
      <c r="AE19" s="23"/>
      <c r="AF19" s="71"/>
      <c r="AG19" s="2004"/>
      <c r="AH19" s="2004"/>
      <c r="AI19" s="2004"/>
      <c r="AJ19" s="2004"/>
      <c r="AK19" s="2004"/>
      <c r="AL19" s="915" t="s">
        <v>4653</v>
      </c>
      <c r="AM19" s="916" t="s">
        <v>1122</v>
      </c>
      <c r="AN19" s="916"/>
      <c r="AO19" s="917" t="s">
        <v>51</v>
      </c>
      <c r="AP19" s="918">
        <v>3</v>
      </c>
      <c r="AQ19" s="919" t="s">
        <v>4654</v>
      </c>
      <c r="AR19" s="1419" t="s">
        <v>4655</v>
      </c>
      <c r="AS19" s="1411" t="s">
        <v>4656</v>
      </c>
      <c r="AT19" s="920" t="s">
        <v>4657</v>
      </c>
      <c r="AU19" s="920" t="s">
        <v>4658</v>
      </c>
      <c r="AV19" s="1431" t="s">
        <v>4659</v>
      </c>
      <c r="AW19" s="2120" t="s">
        <v>4660</v>
      </c>
    </row>
    <row r="20" spans="1:49" customFormat="1" ht="16.5" thickBot="1">
      <c r="A20" s="885"/>
      <c r="B20" s="923"/>
      <c r="C20" s="923"/>
      <c r="D20" s="923"/>
      <c r="E20" s="923"/>
      <c r="F20" s="923"/>
      <c r="G20" s="885"/>
      <c r="H20" s="885"/>
      <c r="I20" s="885"/>
      <c r="J20" s="885"/>
      <c r="K20" s="885"/>
      <c r="L20" s="885"/>
      <c r="M20" s="885"/>
      <c r="N20" s="1994"/>
      <c r="O20" s="2004"/>
      <c r="P20" s="576"/>
      <c r="Q20" s="2004"/>
      <c r="R20" s="71"/>
      <c r="S20" s="70"/>
      <c r="T20" s="2004"/>
      <c r="U20" s="2004"/>
      <c r="V20" s="2004"/>
      <c r="W20" s="2004"/>
      <c r="X20" s="2004"/>
      <c r="Y20" s="2004"/>
      <c r="Z20" s="71"/>
      <c r="AA20" s="72"/>
      <c r="AB20" s="71"/>
      <c r="AC20" s="23"/>
      <c r="AD20" s="23"/>
      <c r="AE20" s="23"/>
      <c r="AF20" s="71"/>
      <c r="AG20" s="2004"/>
      <c r="AH20" s="2004"/>
      <c r="AI20" s="2004"/>
      <c r="AJ20" s="2004"/>
      <c r="AK20" s="2004"/>
      <c r="AL20" s="923"/>
      <c r="AM20" s="923"/>
      <c r="AN20" s="923"/>
      <c r="AO20" s="923"/>
      <c r="AP20" s="923"/>
      <c r="AQ20" s="2762"/>
      <c r="AR20" s="2762"/>
      <c r="AS20" s="2762"/>
      <c r="AT20" s="2762"/>
      <c r="AU20" s="2762"/>
      <c r="AV20" s="2762"/>
      <c r="AW20" s="2762"/>
    </row>
    <row r="21" spans="1:49" customFormat="1" ht="16.5" thickBot="1">
      <c r="A21" s="885"/>
      <c r="B21" s="886" t="s">
        <v>177</v>
      </c>
      <c r="C21" s="887" t="s">
        <v>4661</v>
      </c>
      <c r="D21" s="3030"/>
      <c r="E21" s="888"/>
      <c r="F21" s="888"/>
      <c r="G21" s="885"/>
      <c r="H21" s="885"/>
      <c r="I21" s="885"/>
      <c r="J21" s="885"/>
      <c r="K21" s="885"/>
      <c r="L21" s="885"/>
      <c r="M21" s="885"/>
      <c r="N21" s="1994"/>
      <c r="O21" s="2004"/>
      <c r="P21" s="576"/>
      <c r="Q21" s="2004"/>
      <c r="R21" s="119"/>
      <c r="S21" s="70"/>
      <c r="T21" s="2004"/>
      <c r="U21" s="2004"/>
      <c r="V21" s="2004"/>
      <c r="W21" s="2004"/>
      <c r="X21" s="2004"/>
      <c r="Y21" s="2004"/>
      <c r="Z21" s="119"/>
      <c r="AA21" s="72"/>
      <c r="AB21" s="119"/>
      <c r="AC21" s="23"/>
      <c r="AD21" s="23"/>
      <c r="AE21" s="23"/>
      <c r="AF21" s="119"/>
      <c r="AG21" s="2004"/>
      <c r="AH21" s="2004"/>
      <c r="AI21" s="2004"/>
      <c r="AJ21" s="2004"/>
      <c r="AK21" s="2004"/>
      <c r="AL21" s="886" t="s">
        <v>177</v>
      </c>
      <c r="AM21" s="887" t="s">
        <v>4661</v>
      </c>
      <c r="AN21" s="3030"/>
      <c r="AO21" s="888"/>
      <c r="AP21" s="888"/>
      <c r="AQ21" s="2762"/>
      <c r="AR21" s="2762"/>
      <c r="AS21" s="2762"/>
      <c r="AT21" s="2762"/>
      <c r="AU21" s="2762"/>
      <c r="AV21" s="2762"/>
      <c r="AW21" s="2762"/>
    </row>
    <row r="22" spans="1:49" customFormat="1" ht="409.5">
      <c r="A22" s="885"/>
      <c r="B22" s="889" t="s">
        <v>4662</v>
      </c>
      <c r="C22" s="890" t="s">
        <v>1131</v>
      </c>
      <c r="D22" s="890"/>
      <c r="E22" s="891" t="s">
        <v>51</v>
      </c>
      <c r="F22" s="892">
        <v>3</v>
      </c>
      <c r="G22" s="924">
        <v>0</v>
      </c>
      <c r="H22" s="1420">
        <v>7.7869999999999999</v>
      </c>
      <c r="I22" s="924">
        <v>-5.3999999999999999E-2</v>
      </c>
      <c r="J22" s="925">
        <v>-0.25900000000000001</v>
      </c>
      <c r="K22" s="925">
        <v>-2.5000000000000001E-2</v>
      </c>
      <c r="L22" s="1732">
        <v>29.382000000000001</v>
      </c>
      <c r="M22" s="895">
        <f t="shared" ref="M22:M31" si="10">+SUM(G22:L22)</f>
        <v>36.831000000000003</v>
      </c>
      <c r="N22" s="896" t="s">
        <v>4663</v>
      </c>
      <c r="O22" s="2004"/>
      <c r="P22" s="897">
        <f t="shared" ref="P22:P26" si="11" xml:space="preserve"> IF( SUM( R22:Z22 ) = 0, 0, $T$5 )</f>
        <v>0</v>
      </c>
      <c r="Q22" s="898"/>
      <c r="R22" s="119"/>
      <c r="S22" s="70"/>
      <c r="T22" s="93">
        <f t="shared" ref="T22:Y26" si="12" xml:space="preserve"> IF( ISNUMBER( G22 ), 0, 1 )</f>
        <v>0</v>
      </c>
      <c r="U22" s="93">
        <f t="shared" si="12"/>
        <v>0</v>
      </c>
      <c r="V22" s="93">
        <f t="shared" si="12"/>
        <v>0</v>
      </c>
      <c r="W22" s="93">
        <f t="shared" si="12"/>
        <v>0</v>
      </c>
      <c r="X22" s="93">
        <f t="shared" si="12"/>
        <v>0</v>
      </c>
      <c r="Y22" s="93">
        <f t="shared" si="12"/>
        <v>0</v>
      </c>
      <c r="Z22" s="119"/>
      <c r="AA22" s="72"/>
      <c r="AB22" s="119"/>
      <c r="AC22" s="23"/>
      <c r="AD22" s="23"/>
      <c r="AE22" s="23"/>
      <c r="AF22" s="119"/>
      <c r="AG22" s="2004"/>
      <c r="AH22" s="2004"/>
      <c r="AI22" s="2004"/>
      <c r="AJ22" s="2004"/>
      <c r="AK22" s="2004"/>
      <c r="AL22" s="889" t="s">
        <v>4662</v>
      </c>
      <c r="AM22" s="890" t="s">
        <v>1131</v>
      </c>
      <c r="AN22" s="890"/>
      <c r="AO22" s="891" t="s">
        <v>51</v>
      </c>
      <c r="AP22" s="892">
        <v>3</v>
      </c>
      <c r="AQ22" s="2763" t="s">
        <v>4664</v>
      </c>
      <c r="AR22" s="2764" t="s">
        <v>4665</v>
      </c>
      <c r="AS22" s="2765" t="s">
        <v>4666</v>
      </c>
      <c r="AT22" s="2766" t="s">
        <v>4667</v>
      </c>
      <c r="AU22" s="2766" t="s">
        <v>4668</v>
      </c>
      <c r="AV22" s="2767" t="s">
        <v>4669</v>
      </c>
      <c r="AW22" s="2117" t="s">
        <v>4670</v>
      </c>
    </row>
    <row r="23" spans="1:49" customFormat="1" ht="409.5">
      <c r="A23" s="885"/>
      <c r="B23" s="899" t="s">
        <v>4671</v>
      </c>
      <c r="C23" s="900" t="s">
        <v>3355</v>
      </c>
      <c r="D23" s="900"/>
      <c r="E23" s="901" t="s">
        <v>51</v>
      </c>
      <c r="F23" s="902">
        <v>3</v>
      </c>
      <c r="G23" s="926">
        <v>0</v>
      </c>
      <c r="H23" s="1421">
        <v>1.1439999999999999</v>
      </c>
      <c r="I23" s="926">
        <v>2.2410000000000001</v>
      </c>
      <c r="J23" s="927">
        <v>0.40699999999999997</v>
      </c>
      <c r="K23" s="927">
        <v>42.128999999999998</v>
      </c>
      <c r="L23" s="1733">
        <v>29.145</v>
      </c>
      <c r="M23" s="905">
        <f t="shared" si="10"/>
        <v>75.066000000000003</v>
      </c>
      <c r="N23" s="906" t="s">
        <v>4672</v>
      </c>
      <c r="O23" s="2004"/>
      <c r="P23" s="897">
        <f t="shared" si="11"/>
        <v>0</v>
      </c>
      <c r="Q23" s="898"/>
      <c r="R23" s="119"/>
      <c r="S23" s="70"/>
      <c r="T23" s="93">
        <f t="shared" si="12"/>
        <v>0</v>
      </c>
      <c r="U23" s="93">
        <f t="shared" si="12"/>
        <v>0</v>
      </c>
      <c r="V23" s="93">
        <f t="shared" si="12"/>
        <v>0</v>
      </c>
      <c r="W23" s="93">
        <f t="shared" si="12"/>
        <v>0</v>
      </c>
      <c r="X23" s="93">
        <f t="shared" si="12"/>
        <v>0</v>
      </c>
      <c r="Y23" s="93">
        <f xml:space="preserve"> IF( ISNUMBER( L23 ), 0, 1 )</f>
        <v>0</v>
      </c>
      <c r="Z23" s="119"/>
      <c r="AA23" s="72"/>
      <c r="AB23" s="119"/>
      <c r="AC23" s="23"/>
      <c r="AD23" s="23"/>
      <c r="AE23" s="23"/>
      <c r="AF23" s="119"/>
      <c r="AG23" s="2004"/>
      <c r="AH23" s="2004"/>
      <c r="AI23" s="2004"/>
      <c r="AJ23" s="2004"/>
      <c r="AK23" s="2004"/>
      <c r="AL23" s="899" t="s">
        <v>4671</v>
      </c>
      <c r="AM23" s="900" t="s">
        <v>3355</v>
      </c>
      <c r="AN23" s="900"/>
      <c r="AO23" s="901" t="s">
        <v>51</v>
      </c>
      <c r="AP23" s="902">
        <v>3</v>
      </c>
      <c r="AQ23" s="2768" t="s">
        <v>4673</v>
      </c>
      <c r="AR23" s="2769" t="s">
        <v>4674</v>
      </c>
      <c r="AS23" s="2770" t="s">
        <v>4675</v>
      </c>
      <c r="AT23" s="2771" t="s">
        <v>4676</v>
      </c>
      <c r="AU23" s="2771" t="s">
        <v>4677</v>
      </c>
      <c r="AV23" s="2772" t="s">
        <v>4678</v>
      </c>
      <c r="AW23" s="2118" t="s">
        <v>4679</v>
      </c>
    </row>
    <row r="24" spans="1:49" customFormat="1" ht="38.25">
      <c r="A24" s="885"/>
      <c r="B24" s="899" t="s">
        <v>4680</v>
      </c>
      <c r="C24" s="900" t="s">
        <v>1147</v>
      </c>
      <c r="D24" s="900"/>
      <c r="E24" s="901" t="s">
        <v>51</v>
      </c>
      <c r="F24" s="902">
        <v>3</v>
      </c>
      <c r="G24" s="926">
        <v>0</v>
      </c>
      <c r="H24" s="1421">
        <v>0.60499999999999998</v>
      </c>
      <c r="I24" s="926">
        <v>0</v>
      </c>
      <c r="J24" s="927">
        <v>0</v>
      </c>
      <c r="K24" s="927">
        <v>7.0000000000000001E-3</v>
      </c>
      <c r="L24" s="1733">
        <v>40.616</v>
      </c>
      <c r="M24" s="905">
        <f t="shared" si="10"/>
        <v>41.228000000000002</v>
      </c>
      <c r="N24" s="906" t="s">
        <v>4681</v>
      </c>
      <c r="O24" s="2004"/>
      <c r="P24" s="897">
        <f t="shared" si="11"/>
        <v>0</v>
      </c>
      <c r="Q24" s="898"/>
      <c r="R24" s="71"/>
      <c r="S24" s="70"/>
      <c r="T24" s="93">
        <f t="shared" si="12"/>
        <v>0</v>
      </c>
      <c r="U24" s="93">
        <f t="shared" si="12"/>
        <v>0</v>
      </c>
      <c r="V24" s="93">
        <f t="shared" si="12"/>
        <v>0</v>
      </c>
      <c r="W24" s="93">
        <f t="shared" si="12"/>
        <v>0</v>
      </c>
      <c r="X24" s="93">
        <f t="shared" si="12"/>
        <v>0</v>
      </c>
      <c r="Y24" s="93">
        <f t="shared" si="12"/>
        <v>0</v>
      </c>
      <c r="Z24" s="71"/>
      <c r="AA24" s="72"/>
      <c r="AB24" s="71"/>
      <c r="AC24" s="23"/>
      <c r="AD24" s="23"/>
      <c r="AE24" s="23"/>
      <c r="AF24" s="71"/>
      <c r="AG24" s="2004"/>
      <c r="AH24" s="2004"/>
      <c r="AI24" s="2004"/>
      <c r="AJ24" s="2004"/>
      <c r="AK24" s="2004"/>
      <c r="AL24" s="899" t="s">
        <v>4680</v>
      </c>
      <c r="AM24" s="900" t="s">
        <v>1147</v>
      </c>
      <c r="AN24" s="900"/>
      <c r="AO24" s="901" t="s">
        <v>51</v>
      </c>
      <c r="AP24" s="902">
        <v>3</v>
      </c>
      <c r="AQ24" s="2768" t="s">
        <v>4682</v>
      </c>
      <c r="AR24" s="2769" t="s">
        <v>4683</v>
      </c>
      <c r="AS24" s="2770" t="s">
        <v>4684</v>
      </c>
      <c r="AT24" s="2771" t="s">
        <v>4685</v>
      </c>
      <c r="AU24" s="2771" t="s">
        <v>4686</v>
      </c>
      <c r="AV24" s="2772" t="s">
        <v>4687</v>
      </c>
      <c r="AW24" s="2118" t="s">
        <v>4688</v>
      </c>
    </row>
    <row r="25" spans="1:49" customFormat="1" ht="38.25">
      <c r="A25" s="885"/>
      <c r="B25" s="899" t="s">
        <v>4689</v>
      </c>
      <c r="C25" s="900" t="s">
        <v>1155</v>
      </c>
      <c r="D25" s="900"/>
      <c r="E25" s="901" t="s">
        <v>51</v>
      </c>
      <c r="F25" s="902">
        <v>3</v>
      </c>
      <c r="G25" s="926">
        <v>0</v>
      </c>
      <c r="H25" s="1421">
        <v>3.3130000000000002</v>
      </c>
      <c r="I25" s="926">
        <v>7.0000000000000001E-3</v>
      </c>
      <c r="J25" s="927">
        <v>1.7999999999999999E-2</v>
      </c>
      <c r="K25" s="927">
        <v>7.7910000000000004</v>
      </c>
      <c r="L25" s="1733">
        <v>34.527000000000001</v>
      </c>
      <c r="M25" s="905">
        <f t="shared" si="10"/>
        <v>45.656000000000006</v>
      </c>
      <c r="N25" s="906" t="s">
        <v>4690</v>
      </c>
      <c r="O25" s="2004"/>
      <c r="P25" s="897">
        <f t="shared" si="11"/>
        <v>0</v>
      </c>
      <c r="Q25" s="898"/>
      <c r="R25" s="71"/>
      <c r="S25" s="70"/>
      <c r="T25" s="93">
        <f t="shared" si="12"/>
        <v>0</v>
      </c>
      <c r="U25" s="93">
        <f t="shared" si="12"/>
        <v>0</v>
      </c>
      <c r="V25" s="93">
        <f t="shared" si="12"/>
        <v>0</v>
      </c>
      <c r="W25" s="93">
        <f t="shared" si="12"/>
        <v>0</v>
      </c>
      <c r="X25" s="93">
        <f t="shared" si="12"/>
        <v>0</v>
      </c>
      <c r="Y25" s="93">
        <f t="shared" si="12"/>
        <v>0</v>
      </c>
      <c r="Z25" s="71"/>
      <c r="AA25" s="72"/>
      <c r="AB25" s="71"/>
      <c r="AC25" s="23"/>
      <c r="AD25" s="23"/>
      <c r="AE25" s="23"/>
      <c r="AF25" s="71"/>
      <c r="AG25" s="2004"/>
      <c r="AH25" s="2004"/>
      <c r="AI25" s="2004"/>
      <c r="AJ25" s="2004"/>
      <c r="AK25" s="2004"/>
      <c r="AL25" s="899" t="s">
        <v>4689</v>
      </c>
      <c r="AM25" s="900" t="s">
        <v>1155</v>
      </c>
      <c r="AN25" s="900"/>
      <c r="AO25" s="901" t="s">
        <v>51</v>
      </c>
      <c r="AP25" s="902">
        <v>3</v>
      </c>
      <c r="AQ25" s="2768" t="s">
        <v>4691</v>
      </c>
      <c r="AR25" s="2769" t="s">
        <v>4692</v>
      </c>
      <c r="AS25" s="2770" t="s">
        <v>4693</v>
      </c>
      <c r="AT25" s="2771" t="s">
        <v>4694</v>
      </c>
      <c r="AU25" s="2771" t="s">
        <v>4695</v>
      </c>
      <c r="AV25" s="2772" t="s">
        <v>4696</v>
      </c>
      <c r="AW25" s="2118" t="s">
        <v>4697</v>
      </c>
    </row>
    <row r="26" spans="1:49" customFormat="1" ht="191.25">
      <c r="A26" s="885"/>
      <c r="B26" s="899" t="s">
        <v>4698</v>
      </c>
      <c r="C26" s="900" t="s">
        <v>1163</v>
      </c>
      <c r="D26" s="900"/>
      <c r="E26" s="901" t="s">
        <v>51</v>
      </c>
      <c r="F26" s="902">
        <v>3</v>
      </c>
      <c r="G26" s="926">
        <v>0</v>
      </c>
      <c r="H26" s="1421">
        <v>0</v>
      </c>
      <c r="I26" s="926">
        <v>0</v>
      </c>
      <c r="J26" s="927">
        <v>0</v>
      </c>
      <c r="K26" s="927">
        <v>0</v>
      </c>
      <c r="L26" s="1733">
        <v>4.4180000000000001</v>
      </c>
      <c r="M26" s="905">
        <f t="shared" si="10"/>
        <v>4.4180000000000001</v>
      </c>
      <c r="N26" s="906" t="s">
        <v>4699</v>
      </c>
      <c r="O26" s="2004"/>
      <c r="P26" s="897">
        <f t="shared" si="11"/>
        <v>0</v>
      </c>
      <c r="Q26" s="898"/>
      <c r="R26" s="71"/>
      <c r="S26" s="70"/>
      <c r="T26" s="93">
        <f t="shared" si="12"/>
        <v>0</v>
      </c>
      <c r="U26" s="93">
        <f t="shared" si="12"/>
        <v>0</v>
      </c>
      <c r="V26" s="93">
        <f t="shared" si="12"/>
        <v>0</v>
      </c>
      <c r="W26" s="93">
        <f t="shared" si="12"/>
        <v>0</v>
      </c>
      <c r="X26" s="93">
        <f t="shared" si="12"/>
        <v>0</v>
      </c>
      <c r="Y26" s="93">
        <f t="shared" si="12"/>
        <v>0</v>
      </c>
      <c r="Z26" s="71"/>
      <c r="AA26" s="72"/>
      <c r="AB26" s="124"/>
      <c r="AC26" s="23"/>
      <c r="AD26" s="23"/>
      <c r="AE26" s="23"/>
      <c r="AF26" s="124"/>
      <c r="AG26" s="2004"/>
      <c r="AH26" s="2004"/>
      <c r="AI26" s="2004"/>
      <c r="AJ26" s="2004"/>
      <c r="AK26" s="2004"/>
      <c r="AL26" s="899" t="s">
        <v>4698</v>
      </c>
      <c r="AM26" s="900" t="s">
        <v>1163</v>
      </c>
      <c r="AN26" s="900"/>
      <c r="AO26" s="901" t="s">
        <v>51</v>
      </c>
      <c r="AP26" s="902">
        <v>3</v>
      </c>
      <c r="AQ26" s="2768" t="s">
        <v>4700</v>
      </c>
      <c r="AR26" s="2769" t="s">
        <v>4701</v>
      </c>
      <c r="AS26" s="2770" t="s">
        <v>4702</v>
      </c>
      <c r="AT26" s="2771" t="s">
        <v>4703</v>
      </c>
      <c r="AU26" s="2771" t="s">
        <v>4704</v>
      </c>
      <c r="AV26" s="2772" t="s">
        <v>4705</v>
      </c>
      <c r="AW26" s="2118" t="s">
        <v>4706</v>
      </c>
    </row>
    <row r="27" spans="1:49" customFormat="1" ht="15.75">
      <c r="A27" s="885"/>
      <c r="B27" s="899" t="s">
        <v>4707</v>
      </c>
      <c r="C27" s="900" t="s">
        <v>1171</v>
      </c>
      <c r="D27" s="900"/>
      <c r="E27" s="901" t="s">
        <v>51</v>
      </c>
      <c r="F27" s="902">
        <v>3</v>
      </c>
      <c r="G27" s="928">
        <f t="shared" ref="G27" si="13">SUM(G22:G26)</f>
        <v>0</v>
      </c>
      <c r="H27" s="1422">
        <f>SUM(H22:H26)</f>
        <v>12.849</v>
      </c>
      <c r="I27" s="928">
        <f>SUM(I22:I26)</f>
        <v>2.1940000000000004</v>
      </c>
      <c r="J27" s="1734">
        <f>SUM(J22:J26)</f>
        <v>0.16599999999999995</v>
      </c>
      <c r="K27" s="1734">
        <f>SUM(K22:K26)</f>
        <v>49.902000000000001</v>
      </c>
      <c r="L27" s="1735">
        <f>SUM(L22:L26)</f>
        <v>138.08800000000002</v>
      </c>
      <c r="M27" s="928">
        <f t="shared" si="10"/>
        <v>203.19900000000001</v>
      </c>
      <c r="N27" s="906"/>
      <c r="O27" s="2004"/>
      <c r="P27" s="576"/>
      <c r="Q27" s="2004"/>
      <c r="R27" s="71"/>
      <c r="S27" s="70"/>
      <c r="T27" s="2004"/>
      <c r="U27" s="2004"/>
      <c r="V27" s="2004"/>
      <c r="W27" s="2004"/>
      <c r="X27" s="2004"/>
      <c r="Y27" s="2004"/>
      <c r="Z27" s="71"/>
      <c r="AA27" s="72"/>
      <c r="AB27" s="119"/>
      <c r="AC27" s="23"/>
      <c r="AD27" s="23"/>
      <c r="AE27" s="23"/>
      <c r="AF27" s="119"/>
      <c r="AG27" s="2004"/>
      <c r="AH27" s="2004"/>
      <c r="AI27" s="2004"/>
      <c r="AJ27" s="2004"/>
      <c r="AK27" s="2004"/>
      <c r="AL27" s="899" t="s">
        <v>4707</v>
      </c>
      <c r="AM27" s="900" t="s">
        <v>1171</v>
      </c>
      <c r="AN27" s="900"/>
      <c r="AO27" s="901" t="s">
        <v>51</v>
      </c>
      <c r="AP27" s="902">
        <v>3</v>
      </c>
      <c r="AQ27" s="2122" t="s">
        <v>4708</v>
      </c>
      <c r="AR27" s="2123" t="s">
        <v>4709</v>
      </c>
      <c r="AS27" s="2124" t="s">
        <v>4710</v>
      </c>
      <c r="AT27" s="2122" t="s">
        <v>4711</v>
      </c>
      <c r="AU27" s="2122" t="s">
        <v>4712</v>
      </c>
      <c r="AV27" s="2125" t="s">
        <v>4713</v>
      </c>
      <c r="AW27" s="2122" t="s">
        <v>4714</v>
      </c>
    </row>
    <row r="28" spans="1:49" customFormat="1" ht="15.75">
      <c r="A28" s="885"/>
      <c r="B28" s="899" t="s">
        <v>4715</v>
      </c>
      <c r="C28" s="900" t="s">
        <v>1114</v>
      </c>
      <c r="D28" s="900"/>
      <c r="E28" s="901" t="s">
        <v>51</v>
      </c>
      <c r="F28" s="902">
        <v>3</v>
      </c>
      <c r="G28" s="926">
        <v>0</v>
      </c>
      <c r="H28" s="1421">
        <v>0</v>
      </c>
      <c r="I28" s="926">
        <v>0</v>
      </c>
      <c r="J28" s="927">
        <v>0</v>
      </c>
      <c r="K28" s="927">
        <v>0</v>
      </c>
      <c r="L28" s="1733">
        <v>0</v>
      </c>
      <c r="M28" s="905">
        <f t="shared" si="10"/>
        <v>0</v>
      </c>
      <c r="N28" s="906"/>
      <c r="O28" s="2004"/>
      <c r="P28" s="897">
        <f t="shared" ref="P28" si="14" xml:space="preserve"> IF( SUM( R28:Z28 ) = 0, 0, $T$5 )</f>
        <v>0</v>
      </c>
      <c r="Q28" s="898"/>
      <c r="R28" s="119"/>
      <c r="S28" s="70"/>
      <c r="T28" s="93">
        <f t="shared" ref="T28:Y28" si="15" xml:space="preserve"> IF( ISNUMBER( G28 ), 0, 1 )</f>
        <v>0</v>
      </c>
      <c r="U28" s="93">
        <f t="shared" si="15"/>
        <v>0</v>
      </c>
      <c r="V28" s="93">
        <f t="shared" si="15"/>
        <v>0</v>
      </c>
      <c r="W28" s="93">
        <f t="shared" si="15"/>
        <v>0</v>
      </c>
      <c r="X28" s="93">
        <f t="shared" si="15"/>
        <v>0</v>
      </c>
      <c r="Y28" s="93">
        <f t="shared" si="15"/>
        <v>0</v>
      </c>
      <c r="Z28" s="119"/>
      <c r="AA28" s="72"/>
      <c r="AB28" s="119"/>
      <c r="AC28" s="23"/>
      <c r="AD28" s="23"/>
      <c r="AE28" s="23"/>
      <c r="AF28" s="119"/>
      <c r="AG28" s="2004"/>
      <c r="AH28" s="2004"/>
      <c r="AI28" s="2004"/>
      <c r="AJ28" s="2004"/>
      <c r="AK28" s="2004"/>
      <c r="AL28" s="899" t="s">
        <v>4715</v>
      </c>
      <c r="AM28" s="900" t="s">
        <v>1114</v>
      </c>
      <c r="AN28" s="900"/>
      <c r="AO28" s="901" t="s">
        <v>51</v>
      </c>
      <c r="AP28" s="902">
        <v>3</v>
      </c>
      <c r="AQ28" s="2756" t="s">
        <v>4716</v>
      </c>
      <c r="AR28" s="2757" t="s">
        <v>4717</v>
      </c>
      <c r="AS28" s="2770" t="s">
        <v>4718</v>
      </c>
      <c r="AT28" s="2771" t="s">
        <v>4719</v>
      </c>
      <c r="AU28" s="2771" t="s">
        <v>4720</v>
      </c>
      <c r="AV28" s="2772" t="s">
        <v>4721</v>
      </c>
      <c r="AW28" s="2118" t="s">
        <v>4722</v>
      </c>
    </row>
    <row r="29" spans="1:49" customFormat="1" ht="15.75">
      <c r="A29" s="885"/>
      <c r="B29" s="899" t="s">
        <v>4723</v>
      </c>
      <c r="C29" s="900" t="s">
        <v>1186</v>
      </c>
      <c r="D29" s="900"/>
      <c r="E29" s="901" t="s">
        <v>51</v>
      </c>
      <c r="F29" s="902">
        <v>3</v>
      </c>
      <c r="G29" s="928">
        <f t="shared" ref="G29:L29" si="16">SUM(G27:G28)</f>
        <v>0</v>
      </c>
      <c r="H29" s="1422">
        <f t="shared" si="16"/>
        <v>12.849</v>
      </c>
      <c r="I29" s="928">
        <f t="shared" si="16"/>
        <v>2.1940000000000004</v>
      </c>
      <c r="J29" s="1734">
        <f t="shared" si="16"/>
        <v>0.16599999999999995</v>
      </c>
      <c r="K29" s="1734">
        <f t="shared" si="16"/>
        <v>49.902000000000001</v>
      </c>
      <c r="L29" s="1735">
        <f t="shared" si="16"/>
        <v>138.08800000000002</v>
      </c>
      <c r="M29" s="928">
        <f t="shared" si="10"/>
        <v>203.19900000000001</v>
      </c>
      <c r="N29" s="906"/>
      <c r="O29" s="2004"/>
      <c r="P29" s="576"/>
      <c r="Q29" s="2004"/>
      <c r="R29" s="119"/>
      <c r="S29" s="70"/>
      <c r="T29" s="2004"/>
      <c r="U29" s="2004"/>
      <c r="V29" s="2004"/>
      <c r="W29" s="2004"/>
      <c r="X29" s="2004"/>
      <c r="Y29" s="2004"/>
      <c r="Z29" s="119"/>
      <c r="AA29" s="72"/>
      <c r="AB29" s="119"/>
      <c r="AC29" s="479"/>
      <c r="AD29" s="479"/>
      <c r="AE29" s="479"/>
      <c r="AF29" s="119"/>
      <c r="AG29" s="2004"/>
      <c r="AH29" s="2004"/>
      <c r="AI29" s="2004"/>
      <c r="AJ29" s="2004"/>
      <c r="AK29" s="2004"/>
      <c r="AL29" s="899" t="s">
        <v>4723</v>
      </c>
      <c r="AM29" s="900" t="s">
        <v>1186</v>
      </c>
      <c r="AN29" s="900"/>
      <c r="AO29" s="901" t="s">
        <v>51</v>
      </c>
      <c r="AP29" s="902">
        <v>3</v>
      </c>
      <c r="AQ29" s="2122" t="s">
        <v>4724</v>
      </c>
      <c r="AR29" s="2123" t="s">
        <v>4725</v>
      </c>
      <c r="AS29" s="2124" t="s">
        <v>4726</v>
      </c>
      <c r="AT29" s="2122" t="s">
        <v>4727</v>
      </c>
      <c r="AU29" s="2122" t="s">
        <v>4728</v>
      </c>
      <c r="AV29" s="2125" t="s">
        <v>4729</v>
      </c>
      <c r="AW29" s="2122" t="s">
        <v>4730</v>
      </c>
    </row>
    <row r="30" spans="1:49" customFormat="1" ht="127.5">
      <c r="A30" s="885"/>
      <c r="B30" s="899" t="s">
        <v>4731</v>
      </c>
      <c r="C30" s="900" t="s">
        <v>1193</v>
      </c>
      <c r="D30" s="900"/>
      <c r="E30" s="901" t="s">
        <v>51</v>
      </c>
      <c r="F30" s="929">
        <v>3</v>
      </c>
      <c r="G30" s="926">
        <v>0</v>
      </c>
      <c r="H30" s="1421">
        <v>0.23300000000000001</v>
      </c>
      <c r="I30" s="926">
        <v>0</v>
      </c>
      <c r="J30" s="927">
        <v>0</v>
      </c>
      <c r="K30" s="927">
        <v>0</v>
      </c>
      <c r="L30" s="1733">
        <v>15.95</v>
      </c>
      <c r="M30" s="905">
        <f t="shared" si="10"/>
        <v>16.183</v>
      </c>
      <c r="N30" s="906" t="s">
        <v>4732</v>
      </c>
      <c r="O30" s="2004"/>
      <c r="P30" s="1557">
        <f>IF(SUM(R30:Z30)&lt;&gt;0,$T$5,IF(SUM(Z30:AB30)=0,0,$AE$30))</f>
        <v>0</v>
      </c>
      <c r="Q30" s="898"/>
      <c r="R30" s="119"/>
      <c r="S30" s="70"/>
      <c r="T30" s="93">
        <f t="shared" ref="T30:Y30" si="17" xml:space="preserve"> IF( ISNUMBER( G30 ), 0, 1 )</f>
        <v>0</v>
      </c>
      <c r="U30" s="93">
        <f t="shared" si="17"/>
        <v>0</v>
      </c>
      <c r="V30" s="93">
        <f t="shared" si="17"/>
        <v>0</v>
      </c>
      <c r="W30" s="93">
        <f t="shared" si="17"/>
        <v>0</v>
      </c>
      <c r="X30" s="93">
        <f t="shared" si="17"/>
        <v>0</v>
      </c>
      <c r="Y30" s="93">
        <f t="shared" si="17"/>
        <v>0</v>
      </c>
      <c r="Z30" s="119"/>
      <c r="AA30" s="93">
        <f xml:space="preserve"> IF( (AC30 - AD30) = 0, 0, 1 )</f>
        <v>0</v>
      </c>
      <c r="AB30" s="119"/>
      <c r="AC30" s="112">
        <f>+M30</f>
        <v>16.183</v>
      </c>
      <c r="AD30" s="112">
        <f xml:space="preserve"> ROUND( ('2B'!G30+'2B'!H30), 3 )</f>
        <v>16.183</v>
      </c>
      <c r="AE30" s="139" t="s">
        <v>4733</v>
      </c>
      <c r="AF30" s="119"/>
      <c r="AG30" s="2004"/>
      <c r="AH30" s="2004"/>
      <c r="AI30" s="2004"/>
      <c r="AJ30" s="2004"/>
      <c r="AK30" s="2004"/>
      <c r="AL30" s="899" t="s">
        <v>4731</v>
      </c>
      <c r="AM30" s="900" t="s">
        <v>1193</v>
      </c>
      <c r="AN30" s="900"/>
      <c r="AO30" s="901" t="s">
        <v>51</v>
      </c>
      <c r="AP30" s="929">
        <v>3</v>
      </c>
      <c r="AQ30" s="2756" t="s">
        <v>4734</v>
      </c>
      <c r="AR30" s="2757" t="s">
        <v>4735</v>
      </c>
      <c r="AS30" s="2770" t="s">
        <v>4736</v>
      </c>
      <c r="AT30" s="2771" t="s">
        <v>4737</v>
      </c>
      <c r="AU30" s="2771" t="s">
        <v>4738</v>
      </c>
      <c r="AV30" s="2772" t="s">
        <v>4739</v>
      </c>
      <c r="AW30" s="2118" t="s">
        <v>4740</v>
      </c>
    </row>
    <row r="31" spans="1:49" customFormat="1" ht="16.5" thickBot="1">
      <c r="A31" s="885"/>
      <c r="B31" s="915" t="s">
        <v>4741</v>
      </c>
      <c r="C31" s="916" t="s">
        <v>1203</v>
      </c>
      <c r="D31" s="916"/>
      <c r="E31" s="917" t="s">
        <v>51</v>
      </c>
      <c r="F31" s="1662">
        <v>3</v>
      </c>
      <c r="G31" s="930">
        <f t="shared" ref="G31" si="18">G19+G29-G30</f>
        <v>5.1870000000000003</v>
      </c>
      <c r="H31" s="1423">
        <f>H19+H29-H30</f>
        <v>36.030999999999999</v>
      </c>
      <c r="I31" s="930">
        <f t="shared" ref="I31:L31" si="19">I19+I29-I30</f>
        <v>12.06</v>
      </c>
      <c r="J31" s="938">
        <f t="shared" si="19"/>
        <v>1.8780000000000001</v>
      </c>
      <c r="K31" s="938">
        <f t="shared" si="19"/>
        <v>106.417</v>
      </c>
      <c r="L31" s="1736">
        <f t="shared" si="19"/>
        <v>271.47800000000001</v>
      </c>
      <c r="M31" s="921">
        <f t="shared" si="10"/>
        <v>433.05100000000004</v>
      </c>
      <c r="N31" s="922"/>
      <c r="O31" s="2004"/>
      <c r="P31" s="576"/>
      <c r="Q31" s="2004"/>
      <c r="R31" s="71"/>
      <c r="S31" s="70"/>
      <c r="T31" s="2004"/>
      <c r="U31" s="2004"/>
      <c r="V31" s="2004"/>
      <c r="W31" s="2004"/>
      <c r="X31" s="2004"/>
      <c r="Y31" s="2004"/>
      <c r="Z31" s="71"/>
      <c r="AA31" s="72"/>
      <c r="AB31" s="71"/>
      <c r="AC31" s="479"/>
      <c r="AD31" s="479"/>
      <c r="AE31" s="479"/>
      <c r="AF31" s="71"/>
      <c r="AG31" s="2004"/>
      <c r="AH31" s="2004"/>
      <c r="AI31" s="2004"/>
      <c r="AJ31" s="2004"/>
      <c r="AK31" s="2004"/>
      <c r="AL31" s="915" t="s">
        <v>4741</v>
      </c>
      <c r="AM31" s="916" t="s">
        <v>1203</v>
      </c>
      <c r="AN31" s="916"/>
      <c r="AO31" s="917" t="s">
        <v>51</v>
      </c>
      <c r="AP31" s="914">
        <v>3</v>
      </c>
      <c r="AQ31" s="2126" t="s">
        <v>4742</v>
      </c>
      <c r="AR31" s="2127" t="s">
        <v>4743</v>
      </c>
      <c r="AS31" s="2127" t="s">
        <v>4744</v>
      </c>
      <c r="AT31" s="2127" t="s">
        <v>4745</v>
      </c>
      <c r="AU31" s="2127" t="s">
        <v>4746</v>
      </c>
      <c r="AV31" s="2127" t="s">
        <v>4747</v>
      </c>
      <c r="AW31" s="2118" t="s">
        <v>4748</v>
      </c>
    </row>
    <row r="32" spans="1:49" customFormat="1" ht="16.5" thickBot="1">
      <c r="A32" s="885"/>
      <c r="B32" s="885"/>
      <c r="C32" s="885"/>
      <c r="D32" s="885"/>
      <c r="E32" s="885"/>
      <c r="F32" s="885"/>
      <c r="G32" s="885"/>
      <c r="H32" s="885"/>
      <c r="I32" s="885"/>
      <c r="J32" s="885"/>
      <c r="K32" s="885"/>
      <c r="L32" s="885"/>
      <c r="M32" s="885"/>
      <c r="N32" s="1994"/>
      <c r="O32" s="2004"/>
      <c r="P32" s="576"/>
      <c r="Q32" s="2004"/>
      <c r="R32" s="71"/>
      <c r="S32" s="70"/>
      <c r="T32" s="2004"/>
      <c r="U32" s="2004"/>
      <c r="V32" s="2004"/>
      <c r="W32" s="2004"/>
      <c r="X32" s="2004"/>
      <c r="Y32" s="2004"/>
      <c r="Z32" s="71"/>
      <c r="AA32" s="72"/>
      <c r="AB32" s="71"/>
      <c r="AC32" s="479"/>
      <c r="AD32" s="479"/>
      <c r="AE32" s="479"/>
      <c r="AF32" s="71"/>
      <c r="AG32" s="2004"/>
      <c r="AH32" s="2004"/>
      <c r="AI32" s="2004"/>
      <c r="AJ32" s="2004"/>
      <c r="AK32" s="2004"/>
      <c r="AL32" s="923"/>
      <c r="AM32" s="923"/>
      <c r="AN32" s="923"/>
      <c r="AO32" s="923"/>
      <c r="AP32" s="923"/>
      <c r="AQ32" s="2762"/>
      <c r="AR32" s="2762"/>
      <c r="AS32" s="2762"/>
      <c r="AT32" s="2762"/>
      <c r="AU32" s="2762"/>
      <c r="AV32" s="2762"/>
      <c r="AW32" s="2762"/>
    </row>
    <row r="33" spans="1:49" customFormat="1" ht="16.5" thickBot="1">
      <c r="A33" s="885"/>
      <c r="B33" s="886" t="s">
        <v>335</v>
      </c>
      <c r="C33" s="887" t="s">
        <v>4749</v>
      </c>
      <c r="D33" s="3030"/>
      <c r="E33" s="931"/>
      <c r="F33" s="931"/>
      <c r="G33" s="931"/>
      <c r="H33" s="931"/>
      <c r="I33" s="931"/>
      <c r="J33" s="931"/>
      <c r="K33" s="931"/>
      <c r="L33" s="931"/>
      <c r="M33" s="931"/>
      <c r="N33" s="1994"/>
      <c r="O33" s="2004"/>
      <c r="P33" s="576"/>
      <c r="Q33" s="2004"/>
      <c r="R33" s="71"/>
      <c r="S33" s="70"/>
      <c r="T33" s="2004"/>
      <c r="U33" s="2004"/>
      <c r="V33" s="2004"/>
      <c r="W33" s="2004"/>
      <c r="X33" s="2004"/>
      <c r="Y33" s="2004"/>
      <c r="Z33" s="71"/>
      <c r="AA33" s="127"/>
      <c r="AB33" s="71"/>
      <c r="AC33" s="479"/>
      <c r="AD33" s="479"/>
      <c r="AE33" s="479"/>
      <c r="AF33" s="71"/>
      <c r="AG33" s="2004"/>
      <c r="AH33" s="2004"/>
      <c r="AI33" s="2004"/>
      <c r="AJ33" s="2004"/>
      <c r="AK33" s="2004"/>
      <c r="AL33" s="886" t="s">
        <v>335</v>
      </c>
      <c r="AM33" s="887" t="s">
        <v>4749</v>
      </c>
      <c r="AN33" s="3030"/>
      <c r="AO33" s="931"/>
      <c r="AP33" s="931"/>
      <c r="AQ33" s="2128"/>
      <c r="AR33" s="2128"/>
      <c r="AS33" s="2128"/>
      <c r="AT33" s="2128"/>
      <c r="AU33" s="2128"/>
      <c r="AV33" s="2128"/>
      <c r="AW33" s="2128"/>
    </row>
    <row r="34" spans="1:49" customFormat="1" ht="15.75">
      <c r="A34" s="885"/>
      <c r="B34" s="889" t="s">
        <v>4750</v>
      </c>
      <c r="C34" s="890" t="s">
        <v>1212</v>
      </c>
      <c r="D34" s="890"/>
      <c r="E34" s="891" t="s">
        <v>51</v>
      </c>
      <c r="F34" s="932">
        <v>3</v>
      </c>
      <c r="G34" s="893">
        <v>0</v>
      </c>
      <c r="H34" s="1417">
        <v>0</v>
      </c>
      <c r="I34" s="1409">
        <v>0</v>
      </c>
      <c r="J34" s="894">
        <v>0</v>
      </c>
      <c r="K34" s="933">
        <v>0</v>
      </c>
      <c r="L34" s="933">
        <v>0</v>
      </c>
      <c r="M34" s="1432">
        <f>+SUM(G34:L34)</f>
        <v>0</v>
      </c>
      <c r="N34" s="934"/>
      <c r="O34" s="2004"/>
      <c r="P34" s="897">
        <f t="shared" ref="P34:P35" si="20" xml:space="preserve"> IF( SUM( R34:Z34 ) = 0, 0, $T$5 )</f>
        <v>0</v>
      </c>
      <c r="Q34" s="898"/>
      <c r="R34" s="71"/>
      <c r="S34" s="70"/>
      <c r="T34" s="93">
        <f t="shared" ref="T34:Y35" si="21" xml:space="preserve"> IF( ISNUMBER( G34 ), 0, 1 )</f>
        <v>0</v>
      </c>
      <c r="U34" s="93">
        <f t="shared" si="21"/>
        <v>0</v>
      </c>
      <c r="V34" s="93">
        <f t="shared" si="21"/>
        <v>0</v>
      </c>
      <c r="W34" s="93">
        <f t="shared" si="21"/>
        <v>0</v>
      </c>
      <c r="X34" s="93">
        <f t="shared" si="21"/>
        <v>0</v>
      </c>
      <c r="Y34" s="93">
        <f t="shared" si="21"/>
        <v>0</v>
      </c>
      <c r="Z34" s="71"/>
      <c r="AA34" s="72"/>
      <c r="AB34" s="71"/>
      <c r="AC34" s="479"/>
      <c r="AD34" s="479"/>
      <c r="AE34" s="479"/>
      <c r="AF34" s="71"/>
      <c r="AG34" s="2004"/>
      <c r="AH34" s="2004"/>
      <c r="AI34" s="2004"/>
      <c r="AJ34" s="2004"/>
      <c r="AK34" s="2004"/>
      <c r="AL34" s="889" t="s">
        <v>4750</v>
      </c>
      <c r="AM34" s="890" t="s">
        <v>1212</v>
      </c>
      <c r="AN34" s="890"/>
      <c r="AO34" s="891" t="s">
        <v>51</v>
      </c>
      <c r="AP34" s="932">
        <v>3</v>
      </c>
      <c r="AQ34" s="2751" t="s">
        <v>4751</v>
      </c>
      <c r="AR34" s="2752" t="s">
        <v>4752</v>
      </c>
      <c r="AS34" s="2753" t="s">
        <v>4753</v>
      </c>
      <c r="AT34" s="2754" t="s">
        <v>4754</v>
      </c>
      <c r="AU34" s="2755" t="s">
        <v>4755</v>
      </c>
      <c r="AV34" s="2755" t="s">
        <v>4756</v>
      </c>
      <c r="AW34" s="2129" t="s">
        <v>4757</v>
      </c>
    </row>
    <row r="35" spans="1:49" customFormat="1" ht="15.75">
      <c r="A35" s="885"/>
      <c r="B35" s="899" t="s">
        <v>4758</v>
      </c>
      <c r="C35" s="900" t="s">
        <v>1220</v>
      </c>
      <c r="D35" s="900"/>
      <c r="E35" s="901" t="s">
        <v>51</v>
      </c>
      <c r="F35" s="929">
        <v>3</v>
      </c>
      <c r="G35" s="903">
        <v>0</v>
      </c>
      <c r="H35" s="1418">
        <v>0</v>
      </c>
      <c r="I35" s="1410">
        <v>0</v>
      </c>
      <c r="J35" s="904">
        <v>0</v>
      </c>
      <c r="K35" s="935">
        <v>0</v>
      </c>
      <c r="L35" s="935">
        <v>0</v>
      </c>
      <c r="M35" s="1433">
        <f>+SUM(G35:L35)</f>
        <v>0</v>
      </c>
      <c r="N35" s="936"/>
      <c r="O35" s="2004"/>
      <c r="P35" s="897">
        <f t="shared" si="20"/>
        <v>0</v>
      </c>
      <c r="Q35" s="898"/>
      <c r="R35" s="119"/>
      <c r="S35" s="70"/>
      <c r="T35" s="93">
        <f t="shared" si="21"/>
        <v>0</v>
      </c>
      <c r="U35" s="93">
        <f t="shared" si="21"/>
        <v>0</v>
      </c>
      <c r="V35" s="93">
        <f t="shared" si="21"/>
        <v>0</v>
      </c>
      <c r="W35" s="93">
        <f t="shared" si="21"/>
        <v>0</v>
      </c>
      <c r="X35" s="93">
        <f t="shared" si="21"/>
        <v>0</v>
      </c>
      <c r="Y35" s="93">
        <f t="shared" si="21"/>
        <v>0</v>
      </c>
      <c r="Z35" s="119"/>
      <c r="AA35" s="72"/>
      <c r="AB35" s="119"/>
      <c r="AC35" s="479"/>
      <c r="AD35" s="479"/>
      <c r="AE35" s="479"/>
      <c r="AF35" s="119"/>
      <c r="AG35" s="2004"/>
      <c r="AH35" s="2004"/>
      <c r="AI35" s="2004"/>
      <c r="AJ35" s="2004"/>
      <c r="AK35" s="2004"/>
      <c r="AL35" s="899" t="s">
        <v>4758</v>
      </c>
      <c r="AM35" s="900" t="s">
        <v>1220</v>
      </c>
      <c r="AN35" s="900"/>
      <c r="AO35" s="901" t="s">
        <v>51</v>
      </c>
      <c r="AP35" s="929">
        <v>3</v>
      </c>
      <c r="AQ35" s="2756" t="s">
        <v>4759</v>
      </c>
      <c r="AR35" s="2757" t="s">
        <v>4760</v>
      </c>
      <c r="AS35" s="2758" t="s">
        <v>4761</v>
      </c>
      <c r="AT35" s="2759" t="s">
        <v>4762</v>
      </c>
      <c r="AU35" s="2760" t="s">
        <v>4763</v>
      </c>
      <c r="AV35" s="2760" t="s">
        <v>4764</v>
      </c>
      <c r="AW35" s="2130" t="s">
        <v>4765</v>
      </c>
    </row>
    <row r="36" spans="1:49" customFormat="1" ht="16.5" thickBot="1">
      <c r="A36" s="885"/>
      <c r="B36" s="915" t="s">
        <v>4766</v>
      </c>
      <c r="C36" s="916" t="s">
        <v>1228</v>
      </c>
      <c r="D36" s="916"/>
      <c r="E36" s="917" t="s">
        <v>51</v>
      </c>
      <c r="F36" s="937">
        <v>3</v>
      </c>
      <c r="G36" s="930">
        <f t="shared" ref="G36" si="22">SUM(G31:G35)</f>
        <v>5.1870000000000003</v>
      </c>
      <c r="H36" s="1423">
        <f>SUM(H31:H35)</f>
        <v>36.030999999999999</v>
      </c>
      <c r="I36" s="1415">
        <f>SUM(I31:I35)</f>
        <v>12.06</v>
      </c>
      <c r="J36" s="938">
        <f>SUM(J31:J35)</f>
        <v>1.8780000000000001</v>
      </c>
      <c r="K36" s="939">
        <f>SUM(K31:K35)</f>
        <v>106.417</v>
      </c>
      <c r="L36" s="939">
        <f>SUM(L31:L35)</f>
        <v>271.47800000000001</v>
      </c>
      <c r="M36" s="1434">
        <f>+SUM(G36:L36)</f>
        <v>433.05100000000004</v>
      </c>
      <c r="N36" s="922"/>
      <c r="O36" s="2004"/>
      <c r="P36" s="576"/>
      <c r="Q36" s="2004"/>
      <c r="R36" s="124"/>
      <c r="S36" s="70"/>
      <c r="T36" s="2004"/>
      <c r="U36" s="2004"/>
      <c r="V36" s="2004"/>
      <c r="W36" s="2004"/>
      <c r="X36" s="2004"/>
      <c r="Y36" s="2004"/>
      <c r="Z36" s="124"/>
      <c r="AA36" s="72"/>
      <c r="AB36" s="124"/>
      <c r="AC36" s="479"/>
      <c r="AD36" s="479"/>
      <c r="AE36" s="479"/>
      <c r="AF36" s="124"/>
      <c r="AG36" s="2004"/>
      <c r="AH36" s="2004"/>
      <c r="AI36" s="2004"/>
      <c r="AJ36" s="2004"/>
      <c r="AK36" s="2004"/>
      <c r="AL36" s="915" t="s">
        <v>4766</v>
      </c>
      <c r="AM36" s="916" t="s">
        <v>1228</v>
      </c>
      <c r="AN36" s="916"/>
      <c r="AO36" s="917" t="s">
        <v>51</v>
      </c>
      <c r="AP36" s="937">
        <v>3</v>
      </c>
      <c r="AQ36" s="2126" t="s">
        <v>4767</v>
      </c>
      <c r="AR36" s="2127" t="s">
        <v>4768</v>
      </c>
      <c r="AS36" s="2131" t="s">
        <v>4769</v>
      </c>
      <c r="AT36" s="2132" t="s">
        <v>4770</v>
      </c>
      <c r="AU36" s="2133" t="s">
        <v>4771</v>
      </c>
      <c r="AV36" s="2133" t="s">
        <v>4772</v>
      </c>
      <c r="AW36" s="2134" t="s">
        <v>4773</v>
      </c>
    </row>
    <row r="37" spans="1:49" customFormat="1" ht="16.5" thickBot="1">
      <c r="A37" s="885"/>
      <c r="B37" s="949"/>
      <c r="C37" s="941"/>
      <c r="D37" s="941"/>
      <c r="E37" s="942"/>
      <c r="F37" s="942"/>
      <c r="G37" s="942"/>
      <c r="H37" s="942"/>
      <c r="I37" s="942"/>
      <c r="J37" s="942"/>
      <c r="K37" s="942"/>
      <c r="L37" s="942"/>
      <c r="M37" s="942"/>
      <c r="N37" s="1995"/>
      <c r="O37" s="2004"/>
      <c r="P37" s="576"/>
      <c r="Q37" s="2004"/>
      <c r="R37" s="124"/>
      <c r="S37" s="70"/>
      <c r="T37" s="2004"/>
      <c r="U37" s="2004"/>
      <c r="V37" s="2004"/>
      <c r="W37" s="2004"/>
      <c r="X37" s="2004"/>
      <c r="Y37" s="2004"/>
      <c r="Z37" s="124"/>
      <c r="AA37" s="72"/>
      <c r="AB37" s="124"/>
      <c r="AC37" s="479"/>
      <c r="AD37" s="479"/>
      <c r="AE37" s="479"/>
      <c r="AF37" s="124"/>
      <c r="AG37" s="2004"/>
      <c r="AH37" s="2004"/>
      <c r="AI37" s="2004"/>
      <c r="AJ37" s="2004"/>
      <c r="AK37" s="2004"/>
      <c r="AL37" s="949"/>
      <c r="AM37" s="941"/>
      <c r="AN37" s="941"/>
      <c r="AO37" s="942"/>
      <c r="AP37" s="942"/>
      <c r="AQ37" s="2135"/>
      <c r="AR37" s="2135"/>
      <c r="AS37" s="2135"/>
      <c r="AT37" s="2135"/>
      <c r="AU37" s="2135"/>
      <c r="AV37" s="2135"/>
      <c r="AW37" s="2135"/>
    </row>
    <row r="38" spans="1:49" customFormat="1" ht="16.5" thickBot="1">
      <c r="A38" s="885"/>
      <c r="B38" s="886" t="s">
        <v>392</v>
      </c>
      <c r="C38" s="1691" t="s">
        <v>4774</v>
      </c>
      <c r="D38" s="3030"/>
      <c r="E38" s="942"/>
      <c r="F38" s="942"/>
      <c r="G38" s="943"/>
      <c r="H38" s="943"/>
      <c r="I38" s="943"/>
      <c r="J38" s="943"/>
      <c r="K38" s="943"/>
      <c r="L38" s="943"/>
      <c r="M38" s="943"/>
      <c r="N38" s="1996"/>
      <c r="O38" s="2004"/>
      <c r="P38" s="576"/>
      <c r="Q38" s="2004"/>
      <c r="R38" s="124"/>
      <c r="S38" s="2004"/>
      <c r="T38" s="2004"/>
      <c r="U38" s="2004"/>
      <c r="V38" s="2004"/>
      <c r="W38" s="2004"/>
      <c r="X38" s="2004"/>
      <c r="Y38" s="2004"/>
      <c r="Z38" s="124"/>
      <c r="AA38" s="72"/>
      <c r="AB38" s="124"/>
      <c r="AC38" s="479"/>
      <c r="AD38" s="479"/>
      <c r="AE38" s="479"/>
      <c r="AF38" s="124"/>
      <c r="AG38" s="2004"/>
      <c r="AH38" s="2004"/>
      <c r="AI38" s="2004"/>
      <c r="AJ38" s="2004"/>
      <c r="AK38" s="2004"/>
      <c r="AL38" s="886" t="s">
        <v>392</v>
      </c>
      <c r="AM38" s="887" t="s">
        <v>4774</v>
      </c>
      <c r="AN38" s="3030"/>
      <c r="AO38" s="942"/>
      <c r="AP38" s="942"/>
      <c r="AQ38" s="2102"/>
      <c r="AR38" s="2102"/>
      <c r="AS38" s="2102"/>
      <c r="AT38" s="2102"/>
      <c r="AU38" s="2102"/>
      <c r="AV38" s="2102"/>
      <c r="AW38" s="2102"/>
    </row>
    <row r="39" spans="1:49" customFormat="1" ht="15.75">
      <c r="A39" s="885"/>
      <c r="B39" s="889" t="s">
        <v>4775</v>
      </c>
      <c r="C39" s="2971" t="s">
        <v>4776</v>
      </c>
      <c r="D39" s="945"/>
      <c r="E39" s="891" t="s">
        <v>51</v>
      </c>
      <c r="F39" s="892">
        <v>3</v>
      </c>
      <c r="G39" s="893">
        <v>0</v>
      </c>
      <c r="H39" s="1417">
        <v>0</v>
      </c>
      <c r="I39" s="1409">
        <v>2E-3</v>
      </c>
      <c r="J39" s="894">
        <v>0</v>
      </c>
      <c r="K39" s="933">
        <v>0</v>
      </c>
      <c r="L39" s="933">
        <v>-1E-3</v>
      </c>
      <c r="M39" s="1435">
        <f t="shared" ref="M39:M49" si="23">+SUM(G39:L39)</f>
        <v>1E-3</v>
      </c>
      <c r="N39" s="934"/>
      <c r="O39" s="2004"/>
      <c r="P39" s="1557">
        <f t="shared" ref="P39:P48" si="24">(IF(SUM(T39:Z39)=0,IF(S39=1,AE$39,0),$T$5))</f>
        <v>0</v>
      </c>
      <c r="Q39" s="898"/>
      <c r="R39" s="124"/>
      <c r="S39" s="1758">
        <f xml:space="preserve"> IF( AND(OR(C39 = "Item 1",C39=""), OR( G39 &lt;&gt; 0, H39 &lt;&gt; 0, I39 &lt;&gt; 0, J39 &lt;&gt; 0, K39 &lt;&gt; 0, L39 &lt;&gt; 0) ), 1, 0 )</f>
        <v>0</v>
      </c>
      <c r="T39" s="1758">
        <f xml:space="preserve"> IF(AND($C39="Item 1",$M39=0), 0, IF( ISNUMBER( G39 ), 0, 1 ))</f>
        <v>0</v>
      </c>
      <c r="U39" s="1758">
        <f t="shared" ref="U39:Y39" si="25" xml:space="preserve"> IF(AND($C39="Item 1",$M39=0), 0, IF( ISNUMBER( H39 ), 0, 1 ))</f>
        <v>0</v>
      </c>
      <c r="V39" s="1758">
        <f t="shared" si="25"/>
        <v>0</v>
      </c>
      <c r="W39" s="1758">
        <f t="shared" si="25"/>
        <v>0</v>
      </c>
      <c r="X39" s="1758">
        <f t="shared" si="25"/>
        <v>0</v>
      </c>
      <c r="Y39" s="1758">
        <f t="shared" si="25"/>
        <v>0</v>
      </c>
      <c r="Z39" s="71"/>
      <c r="AA39" s="72"/>
      <c r="AB39" s="124"/>
      <c r="AC39" s="479"/>
      <c r="AD39" s="479"/>
      <c r="AE39" s="479" t="s">
        <v>4777</v>
      </c>
      <c r="AF39" s="124"/>
      <c r="AG39" s="2004"/>
      <c r="AH39" s="2004"/>
      <c r="AI39" s="2004"/>
      <c r="AJ39" s="2004"/>
      <c r="AK39" s="2004"/>
      <c r="AL39" s="889" t="s">
        <v>4775</v>
      </c>
      <c r="AM39" s="2773" t="s">
        <v>4778</v>
      </c>
      <c r="AN39" s="2774"/>
      <c r="AO39" s="891" t="s">
        <v>51</v>
      </c>
      <c r="AP39" s="892">
        <v>3</v>
      </c>
      <c r="AQ39" s="2751" t="s">
        <v>4778</v>
      </c>
      <c r="AR39" s="2752" t="s">
        <v>4779</v>
      </c>
      <c r="AS39" s="2753" t="s">
        <v>4780</v>
      </c>
      <c r="AT39" s="2754" t="s">
        <v>4781</v>
      </c>
      <c r="AU39" s="2755" t="s">
        <v>4782</v>
      </c>
      <c r="AV39" s="2755" t="s">
        <v>4783</v>
      </c>
      <c r="AW39" s="2136" t="s">
        <v>4784</v>
      </c>
    </row>
    <row r="40" spans="1:49" customFormat="1" ht="15.75">
      <c r="A40" s="885"/>
      <c r="B40" s="899" t="s">
        <v>4785</v>
      </c>
      <c r="C40" s="2971" t="s">
        <v>4786</v>
      </c>
      <c r="D40" s="904"/>
      <c r="E40" s="901" t="s">
        <v>51</v>
      </c>
      <c r="F40" s="902">
        <v>3</v>
      </c>
      <c r="G40" s="903">
        <v>0</v>
      </c>
      <c r="H40" s="1418">
        <v>0</v>
      </c>
      <c r="I40" s="1410">
        <v>0</v>
      </c>
      <c r="J40" s="904">
        <v>0</v>
      </c>
      <c r="K40" s="935">
        <v>0</v>
      </c>
      <c r="L40" s="935">
        <v>0</v>
      </c>
      <c r="M40" s="1436">
        <f t="shared" si="23"/>
        <v>0</v>
      </c>
      <c r="N40" s="946"/>
      <c r="O40" s="2004"/>
      <c r="P40" s="1557">
        <f t="shared" si="24"/>
        <v>0</v>
      </c>
      <c r="Q40" s="898"/>
      <c r="R40" s="124"/>
      <c r="S40" s="1758">
        <f xml:space="preserve"> IF( AND(OR(C40 = "Item 2",C40=""), OR( G40 &lt;&gt; 0, H40 &lt;&gt; 0, I40 &lt;&gt; 0, J40 &lt;&gt; 0, K40 &lt;&gt; 0, L40 &lt;&gt; 0) ), 1, 0 )</f>
        <v>0</v>
      </c>
      <c r="T40" s="1758">
        <f xml:space="preserve"> IF(AND($C40="Item 2",$M40=0), 0, IF( ISNUMBER( G40 ), 0, 1 ))</f>
        <v>0</v>
      </c>
      <c r="U40" s="1758">
        <f t="shared" ref="U40:Y40" si="26" xml:space="preserve"> IF(AND($C40="Item 2",$M40=0), 0, IF( ISNUMBER( H40 ), 0, 1 ))</f>
        <v>0</v>
      </c>
      <c r="V40" s="1758">
        <f t="shared" si="26"/>
        <v>0</v>
      </c>
      <c r="W40" s="1758">
        <f t="shared" si="26"/>
        <v>0</v>
      </c>
      <c r="X40" s="1758">
        <f t="shared" si="26"/>
        <v>0</v>
      </c>
      <c r="Y40" s="1758">
        <f t="shared" si="26"/>
        <v>0</v>
      </c>
      <c r="Z40" s="124"/>
      <c r="AA40" s="72"/>
      <c r="AB40" s="124"/>
      <c r="AC40" s="479"/>
      <c r="AD40" s="479"/>
      <c r="AE40" s="479"/>
      <c r="AF40" s="124"/>
      <c r="AG40" s="2004"/>
      <c r="AH40" s="2004"/>
      <c r="AI40" s="2004"/>
      <c r="AJ40" s="2004"/>
      <c r="AK40" s="2004"/>
      <c r="AL40" s="899" t="s">
        <v>4785</v>
      </c>
      <c r="AM40" s="2773" t="s">
        <v>4787</v>
      </c>
      <c r="AN40" s="2775"/>
      <c r="AO40" s="901" t="s">
        <v>51</v>
      </c>
      <c r="AP40" s="902">
        <v>3</v>
      </c>
      <c r="AQ40" s="2756" t="s">
        <v>4787</v>
      </c>
      <c r="AR40" s="2757" t="s">
        <v>4788</v>
      </c>
      <c r="AS40" s="2758" t="s">
        <v>4789</v>
      </c>
      <c r="AT40" s="2759" t="s">
        <v>4790</v>
      </c>
      <c r="AU40" s="2760" t="s">
        <v>4791</v>
      </c>
      <c r="AV40" s="2760" t="s">
        <v>4792</v>
      </c>
      <c r="AW40" s="2137" t="s">
        <v>4793</v>
      </c>
    </row>
    <row r="41" spans="1:49" customFormat="1" ht="15.75">
      <c r="A41" s="885"/>
      <c r="B41" s="899" t="s">
        <v>4794</v>
      </c>
      <c r="C41" s="2971" t="s">
        <v>4795</v>
      </c>
      <c r="D41" s="904"/>
      <c r="E41" s="901" t="s">
        <v>51</v>
      </c>
      <c r="F41" s="902">
        <v>3</v>
      </c>
      <c r="G41" s="903">
        <v>0</v>
      </c>
      <c r="H41" s="1418">
        <v>0</v>
      </c>
      <c r="I41" s="1410">
        <v>0</v>
      </c>
      <c r="J41" s="904">
        <v>0</v>
      </c>
      <c r="K41" s="935">
        <v>0</v>
      </c>
      <c r="L41" s="935">
        <v>0</v>
      </c>
      <c r="M41" s="1436">
        <f t="shared" si="23"/>
        <v>0</v>
      </c>
      <c r="N41" s="946"/>
      <c r="O41" s="2004"/>
      <c r="P41" s="1557">
        <f t="shared" si="24"/>
        <v>0</v>
      </c>
      <c r="Q41" s="898"/>
      <c r="R41" s="124"/>
      <c r="S41" s="1758">
        <f xml:space="preserve"> IF( AND(OR(C41 = "Item 3",C41=""), OR( G41 &lt;&gt; 0, H41 &lt;&gt; 0, I41 &lt;&gt; 0, J41 &lt;&gt; 0, K41 &lt;&gt; 0, L41 &lt;&gt; 0) ), 1, 0 )</f>
        <v>0</v>
      </c>
      <c r="T41" s="1758">
        <f xml:space="preserve"> IF(AND($C41="Item 3",$M41=0), 0, IF( ISNUMBER( G41 ), 0, 1 ))</f>
        <v>0</v>
      </c>
      <c r="U41" s="1758">
        <f t="shared" ref="U41:Y41" si="27" xml:space="preserve"> IF(AND($C41="Item 3",$M41=0), 0, IF( ISNUMBER( H41 ), 0, 1 ))</f>
        <v>0</v>
      </c>
      <c r="V41" s="1758">
        <f t="shared" si="27"/>
        <v>0</v>
      </c>
      <c r="W41" s="1758">
        <f t="shared" si="27"/>
        <v>0</v>
      </c>
      <c r="X41" s="1758">
        <f t="shared" si="27"/>
        <v>0</v>
      </c>
      <c r="Y41" s="1758">
        <f t="shared" si="27"/>
        <v>0</v>
      </c>
      <c r="Z41" s="124"/>
      <c r="AA41" s="72"/>
      <c r="AB41" s="124"/>
      <c r="AC41" s="112"/>
      <c r="AD41" s="112"/>
      <c r="AE41" s="139"/>
      <c r="AF41" s="124"/>
      <c r="AG41" s="2004"/>
      <c r="AH41" s="2004"/>
      <c r="AI41" s="2004"/>
      <c r="AJ41" s="2004"/>
      <c r="AK41" s="2004"/>
      <c r="AL41" s="899" t="s">
        <v>4794</v>
      </c>
      <c r="AM41" s="2773" t="s">
        <v>4796</v>
      </c>
      <c r="AN41" s="2775"/>
      <c r="AO41" s="901" t="s">
        <v>51</v>
      </c>
      <c r="AP41" s="902">
        <v>3</v>
      </c>
      <c r="AQ41" s="2756" t="s">
        <v>4796</v>
      </c>
      <c r="AR41" s="2757" t="s">
        <v>4797</v>
      </c>
      <c r="AS41" s="2758" t="s">
        <v>4798</v>
      </c>
      <c r="AT41" s="2759" t="s">
        <v>4799</v>
      </c>
      <c r="AU41" s="2760" t="s">
        <v>4800</v>
      </c>
      <c r="AV41" s="2760" t="s">
        <v>4801</v>
      </c>
      <c r="AW41" s="2137" t="s">
        <v>4802</v>
      </c>
    </row>
    <row r="42" spans="1:49" customFormat="1" ht="140.25">
      <c r="A42" s="885"/>
      <c r="B42" s="947" t="s">
        <v>4803</v>
      </c>
      <c r="C42" s="2971" t="s">
        <v>4804</v>
      </c>
      <c r="D42" s="904"/>
      <c r="E42" s="901" t="s">
        <v>51</v>
      </c>
      <c r="F42" s="902">
        <v>3</v>
      </c>
      <c r="G42" s="903">
        <v>0</v>
      </c>
      <c r="H42" s="1418">
        <v>0.35699999999999998</v>
      </c>
      <c r="I42" s="1410">
        <v>0</v>
      </c>
      <c r="J42" s="904">
        <v>0</v>
      </c>
      <c r="K42" s="935">
        <v>0.754</v>
      </c>
      <c r="L42" s="935">
        <v>0</v>
      </c>
      <c r="M42" s="1436">
        <f t="shared" si="23"/>
        <v>1.111</v>
      </c>
      <c r="N42" s="946" t="s">
        <v>4805</v>
      </c>
      <c r="O42" s="2004"/>
      <c r="P42" s="1557">
        <f t="shared" si="24"/>
        <v>0</v>
      </c>
      <c r="Q42" s="898"/>
      <c r="R42" s="124"/>
      <c r="S42" s="1758">
        <f xml:space="preserve"> IF( AND(OR(C42 = "Item 4",C42=""), OR( G42 &lt;&gt; 0, H42 &lt;&gt; 0, I42 &lt;&gt; 0, J42 &lt;&gt; 0, K42 &lt;&gt; 0, L42 &lt;&gt; 0) ), 1, 0 )</f>
        <v>0</v>
      </c>
      <c r="T42" s="1758">
        <f xml:space="preserve"> IF(AND($C42="Item 4",$M42=0), 0, IF( ISNUMBER( G42 ), 0, 1 ))</f>
        <v>0</v>
      </c>
      <c r="U42" s="1758">
        <f t="shared" ref="U42:Y42" si="28" xml:space="preserve"> IF(AND($C42="Item 4",$M42=0), 0, IF( ISNUMBER( H42 ), 0, 1 ))</f>
        <v>0</v>
      </c>
      <c r="V42" s="1758">
        <f t="shared" si="28"/>
        <v>0</v>
      </c>
      <c r="W42" s="1758">
        <f t="shared" si="28"/>
        <v>0</v>
      </c>
      <c r="X42" s="1758">
        <f t="shared" si="28"/>
        <v>0</v>
      </c>
      <c r="Y42" s="1758">
        <f t="shared" si="28"/>
        <v>0</v>
      </c>
      <c r="Z42" s="124"/>
      <c r="AA42" s="72"/>
      <c r="AB42" s="124"/>
      <c r="AC42" s="479"/>
      <c r="AD42" s="479"/>
      <c r="AE42" s="479"/>
      <c r="AF42" s="124"/>
      <c r="AG42" s="2004"/>
      <c r="AH42" s="2004"/>
      <c r="AI42" s="2004"/>
      <c r="AJ42" s="2004"/>
      <c r="AK42" s="2004"/>
      <c r="AL42" s="947" t="s">
        <v>4803</v>
      </c>
      <c r="AM42" s="2773" t="s">
        <v>4806</v>
      </c>
      <c r="AN42" s="2775"/>
      <c r="AO42" s="901" t="s">
        <v>51</v>
      </c>
      <c r="AP42" s="902">
        <v>3</v>
      </c>
      <c r="AQ42" s="2756" t="s">
        <v>4806</v>
      </c>
      <c r="AR42" s="2757" t="s">
        <v>4807</v>
      </c>
      <c r="AS42" s="2758" t="s">
        <v>4808</v>
      </c>
      <c r="AT42" s="2759" t="s">
        <v>4809</v>
      </c>
      <c r="AU42" s="2760" t="s">
        <v>4810</v>
      </c>
      <c r="AV42" s="2760" t="s">
        <v>4811</v>
      </c>
      <c r="AW42" s="2137" t="s">
        <v>4812</v>
      </c>
    </row>
    <row r="43" spans="1:49" customFormat="1" ht="15.75">
      <c r="A43" s="885"/>
      <c r="B43" s="899" t="s">
        <v>4813</v>
      </c>
      <c r="C43" s="1993" t="s">
        <v>4814</v>
      </c>
      <c r="D43" s="904"/>
      <c r="E43" s="901" t="s">
        <v>51</v>
      </c>
      <c r="F43" s="902">
        <v>3</v>
      </c>
      <c r="G43" s="903">
        <v>0</v>
      </c>
      <c r="H43" s="1418">
        <v>0</v>
      </c>
      <c r="I43" s="1410">
        <v>0</v>
      </c>
      <c r="J43" s="904">
        <v>0</v>
      </c>
      <c r="K43" s="935">
        <v>8.5000000000000006E-2</v>
      </c>
      <c r="L43" s="935">
        <v>0</v>
      </c>
      <c r="M43" s="1436">
        <f t="shared" si="23"/>
        <v>8.5000000000000006E-2</v>
      </c>
      <c r="N43" s="946"/>
      <c r="O43" s="2004"/>
      <c r="P43" s="1557">
        <f t="shared" si="24"/>
        <v>0</v>
      </c>
      <c r="Q43" s="898"/>
      <c r="R43" s="124"/>
      <c r="S43" s="1758">
        <f xml:space="preserve"> IF( AND(OR(C43 = "Item 5",C43=""), OR( G43 &lt;&gt; 0, H43 &lt;&gt; 0, I43 &lt;&gt; 0, J43 &lt;&gt; 0, K43 &lt;&gt; 0, L43 &lt;&gt; 0) ), 1, 0 )</f>
        <v>0</v>
      </c>
      <c r="T43" s="1758">
        <f xml:space="preserve"> IF(AND($C43="Item 5",$M43=0), 0, IF( ISNUMBER( G43 ), 0, 1 ))</f>
        <v>0</v>
      </c>
      <c r="U43" s="1758">
        <f t="shared" ref="U43:Y43" si="29" xml:space="preserve"> IF(AND($C43="Item 5",$M43=0), 0, IF( ISNUMBER( H43 ), 0, 1 ))</f>
        <v>0</v>
      </c>
      <c r="V43" s="1758">
        <f t="shared" si="29"/>
        <v>0</v>
      </c>
      <c r="W43" s="1758">
        <f t="shared" si="29"/>
        <v>0</v>
      </c>
      <c r="X43" s="1758">
        <f t="shared" si="29"/>
        <v>0</v>
      </c>
      <c r="Y43" s="1758">
        <f t="shared" si="29"/>
        <v>0</v>
      </c>
      <c r="Z43" s="124"/>
      <c r="AA43" s="72"/>
      <c r="AB43" s="124"/>
      <c r="AC43" s="479"/>
      <c r="AD43" s="479"/>
      <c r="AE43" s="479"/>
      <c r="AF43" s="124"/>
      <c r="AG43" s="2004"/>
      <c r="AH43" s="2004"/>
      <c r="AI43" s="2004"/>
      <c r="AJ43" s="2004"/>
      <c r="AK43" s="2004"/>
      <c r="AL43" s="899" t="s">
        <v>4813</v>
      </c>
      <c r="AM43" s="2773" t="s">
        <v>4815</v>
      </c>
      <c r="AN43" s="2775"/>
      <c r="AO43" s="901" t="s">
        <v>51</v>
      </c>
      <c r="AP43" s="902">
        <v>3</v>
      </c>
      <c r="AQ43" s="2756" t="s">
        <v>4815</v>
      </c>
      <c r="AR43" s="2757" t="s">
        <v>4816</v>
      </c>
      <c r="AS43" s="2758" t="s">
        <v>4817</v>
      </c>
      <c r="AT43" s="2759" t="s">
        <v>4818</v>
      </c>
      <c r="AU43" s="2760" t="s">
        <v>4819</v>
      </c>
      <c r="AV43" s="2760" t="s">
        <v>4820</v>
      </c>
      <c r="AW43" s="2137" t="s">
        <v>4821</v>
      </c>
    </row>
    <row r="44" spans="1:49" customFormat="1" ht="15.75">
      <c r="A44" s="885"/>
      <c r="B44" s="1374" t="s">
        <v>4822</v>
      </c>
      <c r="C44" s="2971" t="s">
        <v>4823</v>
      </c>
      <c r="D44" s="1375"/>
      <c r="E44" s="901" t="s">
        <v>51</v>
      </c>
      <c r="F44" s="902">
        <v>3</v>
      </c>
      <c r="G44" s="1376">
        <v>0</v>
      </c>
      <c r="H44" s="1424">
        <v>0</v>
      </c>
      <c r="I44" s="1416">
        <v>0</v>
      </c>
      <c r="J44" s="1375">
        <v>0</v>
      </c>
      <c r="K44" s="1377">
        <v>0.13700000000000001</v>
      </c>
      <c r="L44" s="1377">
        <v>0</v>
      </c>
      <c r="M44" s="1436">
        <f t="shared" ref="M44:M48" si="30">+SUM(G44:L44)</f>
        <v>0.13700000000000001</v>
      </c>
      <c r="N44" s="946"/>
      <c r="O44" s="2004"/>
      <c r="P44" s="1557">
        <f t="shared" si="24"/>
        <v>0</v>
      </c>
      <c r="Q44" s="898"/>
      <c r="R44" s="124"/>
      <c r="S44" s="1758">
        <f xml:space="preserve"> IF( AND(OR(C44 = "Item 6",C44=""), OR( G44 &lt;&gt; 0, H44 &lt;&gt; 0, I44 &lt;&gt; 0, J44 &lt;&gt; 0, K44 &lt;&gt; 0, L44 &lt;&gt; 0) ), 1, 0 )</f>
        <v>0</v>
      </c>
      <c r="T44" s="1758">
        <f xml:space="preserve"> IF(AND($C44="Item 6",$M44=0), 0, IF( ISNUMBER( G44 ), 0, 1 ))</f>
        <v>0</v>
      </c>
      <c r="U44" s="1758">
        <f t="shared" ref="U44:Y44" si="31" xml:space="preserve"> IF(AND($C44="Item 6",$M44=0), 0, IF( ISNUMBER( H44 ), 0, 1 ))</f>
        <v>0</v>
      </c>
      <c r="V44" s="1758">
        <f t="shared" si="31"/>
        <v>0</v>
      </c>
      <c r="W44" s="1758">
        <f t="shared" si="31"/>
        <v>0</v>
      </c>
      <c r="X44" s="1758">
        <f t="shared" si="31"/>
        <v>0</v>
      </c>
      <c r="Y44" s="1758">
        <f t="shared" si="31"/>
        <v>0</v>
      </c>
      <c r="Z44" s="124"/>
      <c r="AA44" s="72"/>
      <c r="AB44" s="124"/>
      <c r="AC44" s="479"/>
      <c r="AD44" s="479"/>
      <c r="AE44" s="479"/>
      <c r="AF44" s="124"/>
      <c r="AG44" s="2004"/>
      <c r="AH44" s="2004"/>
      <c r="AI44" s="2004"/>
      <c r="AJ44" s="2004"/>
      <c r="AK44" s="2004"/>
      <c r="AL44" s="1374" t="s">
        <v>4822</v>
      </c>
      <c r="AM44" s="2773" t="s">
        <v>4824</v>
      </c>
      <c r="AN44" s="2776"/>
      <c r="AO44" s="901" t="s">
        <v>51</v>
      </c>
      <c r="AP44" s="902">
        <v>3</v>
      </c>
      <c r="AQ44" s="2777" t="s">
        <v>4824</v>
      </c>
      <c r="AR44" s="2778" t="s">
        <v>4825</v>
      </c>
      <c r="AS44" s="2779" t="s">
        <v>4826</v>
      </c>
      <c r="AT44" s="2780" t="s">
        <v>4827</v>
      </c>
      <c r="AU44" s="2781" t="s">
        <v>4828</v>
      </c>
      <c r="AV44" s="2781" t="s">
        <v>4829</v>
      </c>
      <c r="AW44" s="2137" t="s">
        <v>4830</v>
      </c>
    </row>
    <row r="45" spans="1:49" customFormat="1" ht="15.75">
      <c r="A45" s="885"/>
      <c r="B45" s="1374" t="s">
        <v>4831</v>
      </c>
      <c r="C45" s="1993" t="s">
        <v>4832</v>
      </c>
      <c r="D45" s="1375"/>
      <c r="E45" s="901" t="s">
        <v>51</v>
      </c>
      <c r="F45" s="902">
        <v>3</v>
      </c>
      <c r="G45" s="1376">
        <v>3.9E-2</v>
      </c>
      <c r="H45" s="1424">
        <v>8.3000000000000004E-2</v>
      </c>
      <c r="I45" s="1416">
        <v>0.108</v>
      </c>
      <c r="J45" s="1375">
        <v>1.4E-2</v>
      </c>
      <c r="K45" s="1377">
        <v>0.122</v>
      </c>
      <c r="L45" s="1377">
        <v>0.122</v>
      </c>
      <c r="M45" s="1436">
        <f t="shared" si="30"/>
        <v>0.48799999999999999</v>
      </c>
      <c r="N45" s="946"/>
      <c r="O45" s="2004"/>
      <c r="P45" s="1557">
        <f t="shared" si="24"/>
        <v>0</v>
      </c>
      <c r="Q45" s="898"/>
      <c r="R45" s="124"/>
      <c r="S45" s="1758">
        <f xml:space="preserve"> IF( AND(OR(C45 = "Item 7",C45=""), OR( G45 &lt;&gt; 0, H45 &lt;&gt; 0, I45 &lt;&gt; 0, J45 &lt;&gt; 0, K45 &lt;&gt; 0, L45 &lt;&gt; 0) ), 1, 0 )</f>
        <v>0</v>
      </c>
      <c r="T45" s="1758">
        <f xml:space="preserve"> IF(AND($C45="Item 7",$M45=0), 0, IF( ISNUMBER( G45 ), 0, 1 ))</f>
        <v>0</v>
      </c>
      <c r="U45" s="1758">
        <f t="shared" ref="U45:Y45" si="32" xml:space="preserve"> IF(AND($C45="Item 7",$M45=0), 0, IF( ISNUMBER( H45 ), 0, 1 ))</f>
        <v>0</v>
      </c>
      <c r="V45" s="1758">
        <f t="shared" si="32"/>
        <v>0</v>
      </c>
      <c r="W45" s="1758">
        <f t="shared" si="32"/>
        <v>0</v>
      </c>
      <c r="X45" s="1758">
        <f t="shared" si="32"/>
        <v>0</v>
      </c>
      <c r="Y45" s="1758">
        <f t="shared" si="32"/>
        <v>0</v>
      </c>
      <c r="Z45" s="124"/>
      <c r="AA45" s="72"/>
      <c r="AB45" s="124"/>
      <c r="AC45" s="479"/>
      <c r="AD45" s="479"/>
      <c r="AE45" s="479"/>
      <c r="AF45" s="124"/>
      <c r="AG45" s="2004"/>
      <c r="AH45" s="2004"/>
      <c r="AI45" s="2004"/>
      <c r="AJ45" s="2004"/>
      <c r="AK45" s="2004"/>
      <c r="AL45" s="1374" t="s">
        <v>4831</v>
      </c>
      <c r="AM45" s="2773" t="s">
        <v>4833</v>
      </c>
      <c r="AN45" s="2776"/>
      <c r="AO45" s="901" t="s">
        <v>51</v>
      </c>
      <c r="AP45" s="902">
        <v>3</v>
      </c>
      <c r="AQ45" s="2777" t="s">
        <v>4833</v>
      </c>
      <c r="AR45" s="2778" t="s">
        <v>4834</v>
      </c>
      <c r="AS45" s="2779" t="s">
        <v>4835</v>
      </c>
      <c r="AT45" s="2780" t="s">
        <v>4836</v>
      </c>
      <c r="AU45" s="2781" t="s">
        <v>4837</v>
      </c>
      <c r="AV45" s="2781" t="s">
        <v>4838</v>
      </c>
      <c r="AW45" s="2137" t="s">
        <v>4839</v>
      </c>
    </row>
    <row r="46" spans="1:49" customFormat="1" ht="15.75">
      <c r="A46" s="885"/>
      <c r="B46" s="1374" t="s">
        <v>4840</v>
      </c>
      <c r="C46" s="1993" t="s">
        <v>4841</v>
      </c>
      <c r="D46" s="1375"/>
      <c r="E46" s="901" t="s">
        <v>51</v>
      </c>
      <c r="F46" s="902">
        <v>3</v>
      </c>
      <c r="G46" s="1376">
        <v>5.0000000000000001E-3</v>
      </c>
      <c r="H46" s="1424">
        <v>5.0999999999999997E-2</v>
      </c>
      <c r="I46" s="1416">
        <v>2.4E-2</v>
      </c>
      <c r="J46" s="1375">
        <v>6.0000000000000001E-3</v>
      </c>
      <c r="K46" s="1377">
        <v>0.23799999999999999</v>
      </c>
      <c r="L46" s="1377">
        <v>0.78600000000000003</v>
      </c>
      <c r="M46" s="1436">
        <f t="shared" si="30"/>
        <v>1.1099999999999999</v>
      </c>
      <c r="N46" s="946"/>
      <c r="O46" s="2004"/>
      <c r="P46" s="1557">
        <f t="shared" si="24"/>
        <v>0</v>
      </c>
      <c r="Q46" s="898"/>
      <c r="R46" s="124"/>
      <c r="S46" s="1758">
        <f xml:space="preserve"> IF( AND(OR(C46 = "Item 8",C46=""), OR( G46 &lt;&gt; 0, H46 &lt;&gt; 0, I46 &lt;&gt; 0, J46 &lt;&gt; 0, K46 &lt;&gt; 0, L46 &lt;&gt; 0) ), 1, 0 )</f>
        <v>0</v>
      </c>
      <c r="T46" s="1758">
        <f xml:space="preserve"> IF(AND($C46="Item 8",$M46=0), 0, IF( ISNUMBER( G46 ), 0, 1 ))</f>
        <v>0</v>
      </c>
      <c r="U46" s="1758">
        <f t="shared" ref="U46:Y46" si="33" xml:space="preserve"> IF(AND($C46="Item 8",$M46=0), 0, IF( ISNUMBER( H46 ), 0, 1 ))</f>
        <v>0</v>
      </c>
      <c r="V46" s="1758">
        <f t="shared" si="33"/>
        <v>0</v>
      </c>
      <c r="W46" s="1758">
        <f t="shared" si="33"/>
        <v>0</v>
      </c>
      <c r="X46" s="1758">
        <f t="shared" si="33"/>
        <v>0</v>
      </c>
      <c r="Y46" s="1758">
        <f t="shared" si="33"/>
        <v>0</v>
      </c>
      <c r="Z46" s="124"/>
      <c r="AA46" s="72"/>
      <c r="AB46" s="124"/>
      <c r="AC46" s="479"/>
      <c r="AD46" s="479"/>
      <c r="AE46" s="479"/>
      <c r="AF46" s="124"/>
      <c r="AG46" s="2004"/>
      <c r="AH46" s="2004"/>
      <c r="AI46" s="2004"/>
      <c r="AJ46" s="2004"/>
      <c r="AK46" s="2004"/>
      <c r="AL46" s="1374" t="s">
        <v>4840</v>
      </c>
      <c r="AM46" s="2773" t="s">
        <v>4842</v>
      </c>
      <c r="AN46" s="2776"/>
      <c r="AO46" s="901" t="s">
        <v>51</v>
      </c>
      <c r="AP46" s="902">
        <v>3</v>
      </c>
      <c r="AQ46" s="2777" t="s">
        <v>4842</v>
      </c>
      <c r="AR46" s="2778" t="s">
        <v>4843</v>
      </c>
      <c r="AS46" s="2779" t="s">
        <v>4844</v>
      </c>
      <c r="AT46" s="2780" t="s">
        <v>4845</v>
      </c>
      <c r="AU46" s="2781" t="s">
        <v>4846</v>
      </c>
      <c r="AV46" s="2781" t="s">
        <v>4847</v>
      </c>
      <c r="AW46" s="2137" t="s">
        <v>4848</v>
      </c>
    </row>
    <row r="47" spans="1:49" customFormat="1" ht="15.75">
      <c r="A47" s="885"/>
      <c r="B47" s="1374" t="s">
        <v>4849</v>
      </c>
      <c r="C47" s="1997" t="s">
        <v>4850</v>
      </c>
      <c r="D47" s="1375"/>
      <c r="E47" s="901" t="s">
        <v>51</v>
      </c>
      <c r="F47" s="902">
        <v>3</v>
      </c>
      <c r="G47" s="1376">
        <v>0</v>
      </c>
      <c r="H47" s="1424">
        <v>4.8000000000000001E-2</v>
      </c>
      <c r="I47" s="1416">
        <v>0</v>
      </c>
      <c r="J47" s="1375">
        <v>0</v>
      </c>
      <c r="K47" s="1377">
        <v>0</v>
      </c>
      <c r="L47" s="1377">
        <v>0</v>
      </c>
      <c r="M47" s="1436">
        <f t="shared" si="30"/>
        <v>4.8000000000000001E-2</v>
      </c>
      <c r="N47" s="946"/>
      <c r="O47" s="2004"/>
      <c r="P47" s="1557">
        <f t="shared" si="24"/>
        <v>0</v>
      </c>
      <c r="Q47" s="898"/>
      <c r="R47" s="124"/>
      <c r="S47" s="1758">
        <f xml:space="preserve"> IF( AND(OR(C47 = "Item 9",C47=""), OR( G47 &lt;&gt; 0, H47 &lt;&gt; 0, I47 &lt;&gt; 0, J47 &lt;&gt; 0, K47 &lt;&gt; 0, L47 &lt;&gt; 0) ), 1, 0 )</f>
        <v>0</v>
      </c>
      <c r="T47" s="1758">
        <f xml:space="preserve"> IF(AND($C47="Item 9",$M47=0), 0, IF( ISNUMBER( G47 ), 0, 1 ))</f>
        <v>0</v>
      </c>
      <c r="U47" s="1758">
        <f t="shared" ref="U47:Y47" si="34" xml:space="preserve"> IF(AND($C47="Item 9",$M47=0), 0, IF( ISNUMBER( H47 ), 0, 1 ))</f>
        <v>0</v>
      </c>
      <c r="V47" s="1758">
        <f t="shared" si="34"/>
        <v>0</v>
      </c>
      <c r="W47" s="1758">
        <f t="shared" si="34"/>
        <v>0</v>
      </c>
      <c r="X47" s="1758">
        <f t="shared" si="34"/>
        <v>0</v>
      </c>
      <c r="Y47" s="1758">
        <f t="shared" si="34"/>
        <v>0</v>
      </c>
      <c r="Z47" s="124"/>
      <c r="AA47" s="72"/>
      <c r="AB47" s="124"/>
      <c r="AC47" s="479"/>
      <c r="AD47" s="479"/>
      <c r="AE47" s="479"/>
      <c r="AF47" s="124"/>
      <c r="AG47" s="2004"/>
      <c r="AH47" s="2004"/>
      <c r="AI47" s="2004"/>
      <c r="AJ47" s="2004"/>
      <c r="AK47" s="2004"/>
      <c r="AL47" s="1374" t="s">
        <v>4849</v>
      </c>
      <c r="AM47" s="2773" t="s">
        <v>4851</v>
      </c>
      <c r="AN47" s="2776"/>
      <c r="AO47" s="901" t="s">
        <v>51</v>
      </c>
      <c r="AP47" s="902">
        <v>3</v>
      </c>
      <c r="AQ47" s="2777" t="s">
        <v>4851</v>
      </c>
      <c r="AR47" s="2778" t="s">
        <v>4852</v>
      </c>
      <c r="AS47" s="2779" t="s">
        <v>4853</v>
      </c>
      <c r="AT47" s="2780" t="s">
        <v>4854</v>
      </c>
      <c r="AU47" s="2781" t="s">
        <v>4855</v>
      </c>
      <c r="AV47" s="2781" t="s">
        <v>4856</v>
      </c>
      <c r="AW47" s="2137" t="s">
        <v>4857</v>
      </c>
    </row>
    <row r="48" spans="1:49" customFormat="1" ht="15.75">
      <c r="A48" s="885"/>
      <c r="B48" s="1374" t="s">
        <v>4858</v>
      </c>
      <c r="C48" s="1993" t="s">
        <v>4859</v>
      </c>
      <c r="D48" s="1375"/>
      <c r="E48" s="901" t="s">
        <v>51</v>
      </c>
      <c r="F48" s="902">
        <v>3</v>
      </c>
      <c r="G48" s="1376"/>
      <c r="H48" s="1424"/>
      <c r="I48" s="1416"/>
      <c r="J48" s="1375"/>
      <c r="K48" s="1377"/>
      <c r="L48" s="1377"/>
      <c r="M48" s="1436">
        <f t="shared" si="30"/>
        <v>0</v>
      </c>
      <c r="N48" s="946"/>
      <c r="O48" s="2004"/>
      <c r="P48" s="1557">
        <f t="shared" si="24"/>
        <v>0</v>
      </c>
      <c r="Q48" s="898"/>
      <c r="R48" s="71"/>
      <c r="S48" s="1758">
        <f xml:space="preserve"> IF( AND(OR(C48 = "Item 10",C48=""), OR( G48 &lt;&gt; 0, H48 &lt;&gt; 0, I48 &lt;&gt; 0, J48 &lt;&gt; 0, K48 &lt;&gt; 0, L48 &lt;&gt; 0) ), 1, 0 )</f>
        <v>0</v>
      </c>
      <c r="T48" s="1758">
        <f xml:space="preserve"> IF(AND($C48="Item 10",$M48=0), 0, IF( ISNUMBER( G48 ), 0, 1 ))</f>
        <v>0</v>
      </c>
      <c r="U48" s="1758">
        <f t="shared" ref="U48:Y48" si="35" xml:space="preserve"> IF(AND($C48="Item 10",$M48=0), 0, IF( ISNUMBER( H48 ), 0, 1 ))</f>
        <v>0</v>
      </c>
      <c r="V48" s="1758">
        <f t="shared" si="35"/>
        <v>0</v>
      </c>
      <c r="W48" s="1758">
        <f t="shared" si="35"/>
        <v>0</v>
      </c>
      <c r="X48" s="1758">
        <f t="shared" si="35"/>
        <v>0</v>
      </c>
      <c r="Y48" s="1758">
        <f t="shared" si="35"/>
        <v>0</v>
      </c>
      <c r="Z48" s="71"/>
      <c r="AA48" s="72"/>
      <c r="AB48" s="71"/>
      <c r="AC48" s="479"/>
      <c r="AD48" s="479"/>
      <c r="AE48" s="479"/>
      <c r="AF48" s="71"/>
      <c r="AG48" s="2004"/>
      <c r="AH48" s="2004"/>
      <c r="AI48" s="2004"/>
      <c r="AJ48" s="2004"/>
      <c r="AK48" s="2004"/>
      <c r="AL48" s="1374" t="s">
        <v>4858</v>
      </c>
      <c r="AM48" s="2773" t="s">
        <v>4860</v>
      </c>
      <c r="AN48" s="2776"/>
      <c r="AO48" s="901" t="s">
        <v>51</v>
      </c>
      <c r="AP48" s="902">
        <v>3</v>
      </c>
      <c r="AQ48" s="2777" t="s">
        <v>4860</v>
      </c>
      <c r="AR48" s="2778" t="s">
        <v>4861</v>
      </c>
      <c r="AS48" s="2779" t="s">
        <v>4862</v>
      </c>
      <c r="AT48" s="2780" t="s">
        <v>4863</v>
      </c>
      <c r="AU48" s="2781" t="s">
        <v>4864</v>
      </c>
      <c r="AV48" s="2781" t="s">
        <v>4865</v>
      </c>
      <c r="AW48" s="2137" t="s">
        <v>4866</v>
      </c>
    </row>
    <row r="49" spans="1:49" customFormat="1" ht="16.5" thickBot="1">
      <c r="A49" s="885"/>
      <c r="B49" s="915" t="s">
        <v>4867</v>
      </c>
      <c r="C49" s="916" t="s">
        <v>4868</v>
      </c>
      <c r="D49" s="916"/>
      <c r="E49" s="917" t="s">
        <v>51</v>
      </c>
      <c r="F49" s="918">
        <v>3</v>
      </c>
      <c r="G49" s="1923">
        <f t="shared" ref="G49:L49" si="36">+SUM(G39:G48)</f>
        <v>4.3999999999999997E-2</v>
      </c>
      <c r="H49" s="1924">
        <f t="shared" si="36"/>
        <v>0.53900000000000003</v>
      </c>
      <c r="I49" s="1925">
        <f t="shared" si="36"/>
        <v>0.13400000000000001</v>
      </c>
      <c r="J49" s="1926">
        <f t="shared" si="36"/>
        <v>0.02</v>
      </c>
      <c r="K49" s="1927">
        <f t="shared" si="36"/>
        <v>1.3359999999999999</v>
      </c>
      <c r="L49" s="1927">
        <f t="shared" si="36"/>
        <v>0.90700000000000003</v>
      </c>
      <c r="M49" s="1437">
        <f t="shared" si="23"/>
        <v>2.98</v>
      </c>
      <c r="N49" s="948"/>
      <c r="O49" s="2004"/>
      <c r="P49" s="2004"/>
      <c r="Q49" s="2004"/>
      <c r="R49" s="71"/>
      <c r="S49" s="2004"/>
      <c r="T49" s="2004"/>
      <c r="U49" s="2004"/>
      <c r="V49" s="2004"/>
      <c r="W49" s="2004"/>
      <c r="X49" s="2004"/>
      <c r="Y49" s="2004"/>
      <c r="Z49" s="71"/>
      <c r="AA49" s="72"/>
      <c r="AB49" s="124"/>
      <c r="AC49" s="479"/>
      <c r="AD49" s="479"/>
      <c r="AE49" s="479"/>
      <c r="AF49" s="71"/>
      <c r="AG49" s="2004"/>
      <c r="AH49" s="2004"/>
      <c r="AI49" s="2004"/>
      <c r="AJ49" s="2004"/>
      <c r="AK49" s="2004"/>
      <c r="AL49" s="915" t="s">
        <v>4867</v>
      </c>
      <c r="AM49" s="916" t="s">
        <v>4868</v>
      </c>
      <c r="AN49" s="1608"/>
      <c r="AO49" s="917" t="s">
        <v>51</v>
      </c>
      <c r="AP49" s="918">
        <v>3</v>
      </c>
      <c r="AQ49" s="2782" t="s">
        <v>4869</v>
      </c>
      <c r="AR49" s="2783" t="s">
        <v>4870</v>
      </c>
      <c r="AS49" s="2784" t="s">
        <v>4871</v>
      </c>
      <c r="AT49" s="2785" t="s">
        <v>4872</v>
      </c>
      <c r="AU49" s="2786" t="s">
        <v>4873</v>
      </c>
      <c r="AV49" s="2786" t="s">
        <v>4874</v>
      </c>
      <c r="AW49" s="2138" t="s">
        <v>4875</v>
      </c>
    </row>
    <row r="50" spans="1:49" customFormat="1" ht="16.5" thickBot="1">
      <c r="A50" s="885"/>
      <c r="B50" s="949"/>
      <c r="C50" s="941"/>
      <c r="D50" s="941"/>
      <c r="E50" s="942"/>
      <c r="F50" s="942"/>
      <c r="G50" s="943"/>
      <c r="H50" s="943"/>
      <c r="I50" s="943"/>
      <c r="J50" s="943"/>
      <c r="K50" s="943"/>
      <c r="L50" s="943"/>
      <c r="M50" s="943"/>
      <c r="N50" s="944"/>
      <c r="O50" s="2004"/>
      <c r="P50" s="848"/>
      <c r="Q50" s="2004"/>
      <c r="R50" s="71"/>
      <c r="S50" s="2004"/>
      <c r="T50" s="2004"/>
      <c r="U50" s="2004"/>
      <c r="V50" s="2004"/>
      <c r="W50" s="2004"/>
      <c r="X50" s="2004"/>
      <c r="Y50" s="2004"/>
      <c r="Z50" s="71"/>
      <c r="AA50" s="72"/>
      <c r="AB50" s="124"/>
      <c r="AC50" s="479"/>
      <c r="AD50" s="479"/>
      <c r="AE50" s="479"/>
      <c r="AF50" s="71"/>
      <c r="AG50" s="2004"/>
      <c r="AH50" s="2004"/>
      <c r="AI50" s="2004"/>
      <c r="AJ50" s="2004"/>
      <c r="AK50" s="2004"/>
      <c r="AL50" s="949"/>
      <c r="AM50" s="941"/>
      <c r="AN50" s="941"/>
      <c r="AO50" s="942"/>
      <c r="AP50" s="942"/>
      <c r="AQ50" s="2102"/>
      <c r="AR50" s="2102"/>
      <c r="AS50" s="2102"/>
      <c r="AT50" s="2102"/>
      <c r="AU50" s="2102"/>
      <c r="AV50" s="2102"/>
      <c r="AW50" s="2102"/>
    </row>
    <row r="51" spans="1:49" customFormat="1" ht="16.5" thickBot="1">
      <c r="A51" s="885"/>
      <c r="B51" s="886" t="s">
        <v>466</v>
      </c>
      <c r="C51" s="1691" t="s">
        <v>4876</v>
      </c>
      <c r="D51" s="3030"/>
      <c r="E51" s="942"/>
      <c r="F51" s="942"/>
      <c r="G51" s="943"/>
      <c r="H51" s="943"/>
      <c r="I51" s="943"/>
      <c r="J51" s="943"/>
      <c r="K51" s="943"/>
      <c r="L51" s="943"/>
      <c r="M51" s="943"/>
      <c r="N51" s="944"/>
      <c r="O51" s="2004"/>
      <c r="P51" s="2004"/>
      <c r="Q51" s="2004"/>
      <c r="R51" s="71"/>
      <c r="S51" s="82"/>
      <c r="T51" s="2004"/>
      <c r="U51" s="2004"/>
      <c r="V51" s="2004"/>
      <c r="W51" s="2004"/>
      <c r="X51" s="2004"/>
      <c r="Y51" s="2004"/>
      <c r="Z51" s="71"/>
      <c r="AA51" s="72"/>
      <c r="AB51" s="124"/>
      <c r="AC51" s="479"/>
      <c r="AD51" s="479"/>
      <c r="AE51" s="479"/>
      <c r="AF51" s="71"/>
      <c r="AG51" s="2004"/>
      <c r="AH51" s="2004"/>
      <c r="AI51" s="2004"/>
      <c r="AJ51" s="2004"/>
      <c r="AK51" s="2004"/>
      <c r="AL51" s="886" t="s">
        <v>466</v>
      </c>
      <c r="AM51" s="950" t="s">
        <v>4876</v>
      </c>
      <c r="AN51" s="3030"/>
      <c r="AO51" s="942"/>
      <c r="AP51" s="942"/>
      <c r="AQ51" s="2102"/>
      <c r="AR51" s="2102"/>
      <c r="AS51" s="2102"/>
      <c r="AT51" s="2102"/>
      <c r="AU51" s="2102"/>
      <c r="AV51" s="2102"/>
      <c r="AW51" s="2102"/>
    </row>
    <row r="52" spans="1:49" customFormat="1" ht="27" customHeight="1" thickBot="1">
      <c r="A52" s="885"/>
      <c r="B52" s="951" t="s">
        <v>4877</v>
      </c>
      <c r="C52" s="952" t="s">
        <v>4878</v>
      </c>
      <c r="D52" s="953"/>
      <c r="E52" s="954" t="s">
        <v>51</v>
      </c>
      <c r="F52" s="955">
        <v>3</v>
      </c>
      <c r="G52" s="1928">
        <f t="shared" ref="G52:L52" si="37">+G49+G36</f>
        <v>5.2309999999999999</v>
      </c>
      <c r="H52" s="1929">
        <f t="shared" si="37"/>
        <v>36.57</v>
      </c>
      <c r="I52" s="1930">
        <f t="shared" si="37"/>
        <v>12.194000000000001</v>
      </c>
      <c r="J52" s="1931">
        <f t="shared" si="37"/>
        <v>1.8980000000000001</v>
      </c>
      <c r="K52" s="1931">
        <f t="shared" si="37"/>
        <v>107.753</v>
      </c>
      <c r="L52" s="1932">
        <f t="shared" si="37"/>
        <v>272.38499999999999</v>
      </c>
      <c r="M52" s="1933">
        <f>+SUM(G52:L52)</f>
        <v>436.03100000000001</v>
      </c>
      <c r="N52" s="944"/>
      <c r="O52" s="2004"/>
      <c r="P52" s="1370">
        <f xml:space="preserve"> IF( SUM( Z52:AB52 ) = 0, 0, AE52 )</f>
        <v>0</v>
      </c>
      <c r="Q52" s="2004"/>
      <c r="R52" s="71"/>
      <c r="S52" s="82"/>
      <c r="T52" s="2004"/>
      <c r="U52" s="2004"/>
      <c r="V52" s="2004"/>
      <c r="W52" s="2004"/>
      <c r="X52" s="2004"/>
      <c r="Y52" s="2004"/>
      <c r="Z52" s="71"/>
      <c r="AA52" s="93">
        <f xml:space="preserve"> IF( (AC52 - AD52) = 0, 0, 1 )</f>
        <v>0</v>
      </c>
      <c r="AB52" s="124"/>
      <c r="AC52" s="112">
        <f xml:space="preserve"> ROUND( M52, 3 )</f>
        <v>436.03100000000001</v>
      </c>
      <c r="AD52" s="112">
        <f xml:space="preserve"> ROUND( ('4D'!M39), 3 )</f>
        <v>436.03100000000001</v>
      </c>
      <c r="AE52" s="139" t="s">
        <v>4879</v>
      </c>
      <c r="AF52" s="71"/>
      <c r="AG52" s="2004"/>
      <c r="AH52" s="2004"/>
      <c r="AI52" s="2004"/>
      <c r="AJ52" s="2004"/>
      <c r="AK52" s="2004"/>
      <c r="AL52" s="951" t="s">
        <v>4877</v>
      </c>
      <c r="AM52" s="952" t="s">
        <v>4878</v>
      </c>
      <c r="AN52" s="1609"/>
      <c r="AO52" s="954" t="s">
        <v>51</v>
      </c>
      <c r="AP52" s="955">
        <v>3</v>
      </c>
      <c r="AQ52" s="2787" t="s">
        <v>4880</v>
      </c>
      <c r="AR52" s="2788" t="s">
        <v>4881</v>
      </c>
      <c r="AS52" s="2789" t="s">
        <v>4882</v>
      </c>
      <c r="AT52" s="2790" t="s">
        <v>4883</v>
      </c>
      <c r="AU52" s="2790" t="s">
        <v>4884</v>
      </c>
      <c r="AV52" s="2791" t="s">
        <v>4885</v>
      </c>
      <c r="AW52" s="2792" t="s">
        <v>4886</v>
      </c>
    </row>
    <row r="53" spans="1:49"/>
    <row r="54" spans="1:49">
      <c r="B54" s="3314" t="s">
        <v>243</v>
      </c>
      <c r="C54" s="3314"/>
      <c r="D54" s="3027"/>
      <c r="E54" s="163"/>
      <c r="F54" s="163"/>
      <c r="G54" s="163"/>
      <c r="H54" s="163"/>
      <c r="I54" s="163"/>
      <c r="J54" s="163"/>
      <c r="K54" s="163"/>
      <c r="L54" s="163"/>
      <c r="M54" s="163"/>
      <c r="N54" s="163"/>
    </row>
    <row r="55" spans="1:49">
      <c r="B55" s="956"/>
      <c r="C55" s="957"/>
      <c r="D55" s="957"/>
      <c r="E55" s="163"/>
      <c r="F55" s="163"/>
      <c r="G55" s="163"/>
      <c r="H55" s="163"/>
      <c r="I55" s="163"/>
      <c r="J55" s="163"/>
      <c r="K55" s="163"/>
      <c r="L55" s="163"/>
      <c r="M55" s="163"/>
      <c r="N55" s="163"/>
    </row>
    <row r="56" spans="1:49">
      <c r="B56" s="958"/>
      <c r="C56" s="959" t="s">
        <v>190</v>
      </c>
      <c r="D56" s="959"/>
      <c r="E56" s="163"/>
      <c r="F56" s="163"/>
      <c r="G56" s="163"/>
      <c r="H56" s="163"/>
      <c r="I56" s="163"/>
      <c r="J56" s="163"/>
      <c r="K56" s="163"/>
      <c r="L56" s="163"/>
      <c r="M56" s="163"/>
      <c r="N56" s="163"/>
    </row>
    <row r="57" spans="1:49">
      <c r="B57" s="956"/>
      <c r="C57" s="957"/>
      <c r="D57" s="957"/>
      <c r="E57" s="163"/>
      <c r="F57" s="163"/>
      <c r="G57" s="163"/>
      <c r="H57" s="163" t="s">
        <v>4887</v>
      </c>
      <c r="I57" s="163"/>
      <c r="J57" s="163"/>
      <c r="K57" s="163"/>
      <c r="L57" s="163"/>
      <c r="M57" s="163"/>
      <c r="N57" s="163"/>
    </row>
    <row r="58" spans="1:49">
      <c r="B58" s="960"/>
      <c r="C58" s="959" t="s">
        <v>191</v>
      </c>
      <c r="D58" s="959"/>
      <c r="E58" s="163"/>
      <c r="F58" s="163"/>
      <c r="G58" s="163"/>
      <c r="H58" s="163"/>
      <c r="I58" s="163"/>
      <c r="J58" s="163"/>
      <c r="K58" s="163"/>
      <c r="L58" s="163"/>
      <c r="M58" s="163"/>
      <c r="N58" s="163"/>
    </row>
    <row r="59" spans="1:49" s="192" customFormat="1">
      <c r="A59" s="479"/>
      <c r="B59" s="178"/>
      <c r="C59" s="179"/>
      <c r="D59" s="179"/>
      <c r="E59" s="178"/>
      <c r="F59" s="178"/>
      <c r="G59" s="178"/>
      <c r="H59" s="178"/>
      <c r="I59" s="178"/>
      <c r="J59" s="178"/>
      <c r="K59" s="178"/>
      <c r="L59" s="178"/>
      <c r="M59" s="178"/>
      <c r="N59" s="178"/>
      <c r="O59" s="479"/>
      <c r="P59" s="82"/>
      <c r="R59" s="71"/>
      <c r="Z59" s="71"/>
      <c r="AA59" s="72"/>
      <c r="AB59" s="71"/>
      <c r="AC59" s="479"/>
      <c r="AD59" s="479"/>
      <c r="AE59" s="479"/>
      <c r="AF59" s="71"/>
    </row>
    <row r="60" spans="1:49" s="192" customFormat="1" ht="15" thickBot="1">
      <c r="A60" s="479"/>
      <c r="B60" s="178"/>
      <c r="C60" s="179"/>
      <c r="D60" s="179"/>
      <c r="E60" s="178"/>
      <c r="F60" s="178"/>
      <c r="G60" s="178"/>
      <c r="H60" s="178"/>
      <c r="I60" s="178"/>
      <c r="J60" s="178"/>
      <c r="K60" s="178"/>
      <c r="L60" s="178"/>
      <c r="M60" s="178"/>
      <c r="N60" s="178"/>
      <c r="O60" s="479"/>
      <c r="P60" s="82"/>
      <c r="R60" s="71"/>
      <c r="Z60" s="71"/>
      <c r="AA60" s="72"/>
      <c r="AB60" s="71"/>
      <c r="AC60" s="479"/>
      <c r="AD60" s="479"/>
      <c r="AE60" s="479"/>
      <c r="AF60" s="71"/>
    </row>
    <row r="61" spans="1:49" s="192" customFormat="1" ht="15" customHeight="1" thickBot="1">
      <c r="A61" s="479"/>
      <c r="B61" s="3053" t="str">
        <f>'4I'!B53</f>
        <v>Please refer to RAG 4.08 - Guideline for the table definitions in the annual performance report for the reporting year 2019-20</v>
      </c>
      <c r="C61" s="962"/>
      <c r="D61" s="962"/>
      <c r="E61" s="962"/>
      <c r="F61" s="962"/>
      <c r="G61" s="962"/>
      <c r="H61" s="962"/>
      <c r="I61" s="962"/>
      <c r="J61" s="962"/>
      <c r="K61" s="962"/>
      <c r="L61" s="962"/>
      <c r="M61" s="962"/>
      <c r="N61" s="962"/>
      <c r="O61" s="963"/>
      <c r="P61" s="82"/>
      <c r="R61" s="71"/>
      <c r="Z61" s="71"/>
      <c r="AA61" s="72"/>
      <c r="AB61" s="71"/>
      <c r="AC61" s="479"/>
      <c r="AD61" s="479"/>
      <c r="AE61" s="479"/>
      <c r="AF61" s="71"/>
    </row>
    <row r="62" spans="1:49" s="192" customFormat="1" ht="15" thickBot="1">
      <c r="A62" s="479"/>
      <c r="B62" s="178"/>
      <c r="C62" s="179"/>
      <c r="D62" s="179"/>
      <c r="E62" s="178"/>
      <c r="F62" s="178"/>
      <c r="G62" s="178"/>
      <c r="H62" s="178"/>
      <c r="I62" s="178"/>
      <c r="J62" s="178"/>
      <c r="K62" s="178"/>
      <c r="L62" s="178"/>
      <c r="M62" s="178"/>
      <c r="N62" s="178"/>
      <c r="O62" s="479"/>
      <c r="P62" s="82"/>
      <c r="R62" s="71"/>
      <c r="Z62" s="71"/>
      <c r="AA62" s="72"/>
      <c r="AB62" s="71"/>
      <c r="AC62" s="479"/>
      <c r="AD62" s="479"/>
      <c r="AE62" s="479"/>
      <c r="AF62" s="71"/>
    </row>
    <row r="63" spans="1:49" s="192" customFormat="1" ht="16.5" hidden="1" thickBot="1">
      <c r="A63" s="1566"/>
      <c r="B63" s="34" t="str">
        <f ca="1" xml:space="preserve"> RIGHT(CELL("filename", $A$1), LEN(CELL("filename", $A$1)) - SEARCH("]", CELL("filename", $A$1)))&amp;" - Line definitions"</f>
        <v>4J - Line definitions</v>
      </c>
      <c r="C63" s="961"/>
      <c r="D63" s="961"/>
      <c r="E63" s="962"/>
      <c r="F63" s="962"/>
      <c r="G63" s="962"/>
      <c r="H63" s="962"/>
      <c r="I63" s="962"/>
      <c r="J63" s="962"/>
      <c r="K63" s="962"/>
      <c r="L63" s="962"/>
      <c r="M63" s="962"/>
      <c r="N63" s="962"/>
      <c r="O63" s="963"/>
      <c r="P63" s="964"/>
      <c r="R63" s="71"/>
      <c r="Z63" s="71"/>
      <c r="AA63" s="72"/>
      <c r="AB63" s="71"/>
      <c r="AC63" s="479"/>
      <c r="AD63" s="479"/>
      <c r="AE63" s="479"/>
      <c r="AF63" s="71"/>
    </row>
    <row r="64" spans="1:49" s="192" customFormat="1" ht="16.5" hidden="1" thickBot="1">
      <c r="A64" s="1566"/>
      <c r="B64" s="965"/>
      <c r="C64" s="966"/>
      <c r="D64" s="966"/>
      <c r="E64" s="964"/>
      <c r="F64" s="964"/>
      <c r="G64" s="964"/>
      <c r="H64" s="964"/>
      <c r="I64" s="964"/>
      <c r="J64" s="964"/>
      <c r="K64" s="964"/>
      <c r="L64" s="964"/>
      <c r="M64" s="964"/>
      <c r="N64" s="964"/>
      <c r="O64" s="964"/>
      <c r="P64" s="964"/>
      <c r="R64" s="71"/>
      <c r="Z64" s="71"/>
      <c r="AA64" s="72"/>
      <c r="AB64" s="71"/>
      <c r="AC64" s="479"/>
      <c r="AD64" s="479"/>
      <c r="AE64" s="479"/>
      <c r="AF64" s="71"/>
    </row>
    <row r="65" spans="1:32" s="192" customFormat="1" ht="15" hidden="1" thickBot="1">
      <c r="A65" s="1566"/>
      <c r="B65" s="967" t="s">
        <v>193</v>
      </c>
      <c r="C65" s="3315" t="s">
        <v>194</v>
      </c>
      <c r="D65" s="3316"/>
      <c r="E65" s="3316"/>
      <c r="F65" s="3316"/>
      <c r="G65" s="3316"/>
      <c r="H65" s="3316"/>
      <c r="I65" s="3316"/>
      <c r="J65" s="3316"/>
      <c r="K65" s="3316"/>
      <c r="L65" s="3316"/>
      <c r="M65" s="3316"/>
      <c r="N65" s="3316"/>
      <c r="O65" s="3317"/>
      <c r="P65" s="968"/>
      <c r="R65" s="71"/>
      <c r="Z65" s="71"/>
      <c r="AA65" s="72"/>
      <c r="AB65" s="71"/>
      <c r="AC65" s="479"/>
      <c r="AD65" s="479"/>
      <c r="AE65" s="479"/>
      <c r="AF65" s="71"/>
    </row>
    <row r="66" spans="1:32" s="192" customFormat="1" ht="14.25" hidden="1" customHeight="1">
      <c r="A66" s="1566"/>
      <c r="B66" s="969">
        <v>1</v>
      </c>
      <c r="C66" s="3318" t="s">
        <v>4888</v>
      </c>
      <c r="D66" s="3319"/>
      <c r="E66" s="3319"/>
      <c r="F66" s="3319"/>
      <c r="G66" s="3319"/>
      <c r="H66" s="3319"/>
      <c r="I66" s="3319"/>
      <c r="J66" s="3319"/>
      <c r="K66" s="3319"/>
      <c r="L66" s="3319"/>
      <c r="M66" s="3319"/>
      <c r="N66" s="3319"/>
      <c r="O66" s="3320"/>
      <c r="P66" s="970"/>
      <c r="R66" s="71"/>
      <c r="Z66" s="71"/>
      <c r="AA66" s="72"/>
      <c r="AB66" s="71"/>
      <c r="AC66" s="479"/>
      <c r="AD66" s="479"/>
      <c r="AE66" s="479"/>
      <c r="AF66" s="71"/>
    </row>
    <row r="67" spans="1:32" s="192" customFormat="1" ht="45" hidden="1" customHeight="1">
      <c r="A67" s="1566"/>
      <c r="B67" s="971">
        <f t="shared" ref="B67:B89" si="38" xml:space="preserve"> B66 + 1</f>
        <v>2</v>
      </c>
      <c r="C67" s="3308" t="s">
        <v>4889</v>
      </c>
      <c r="D67" s="3309"/>
      <c r="E67" s="3309"/>
      <c r="F67" s="3309"/>
      <c r="G67" s="3309"/>
      <c r="H67" s="3309"/>
      <c r="I67" s="3309"/>
      <c r="J67" s="3309"/>
      <c r="K67" s="3309"/>
      <c r="L67" s="3309"/>
      <c r="M67" s="3309"/>
      <c r="N67" s="3309"/>
      <c r="O67" s="3310"/>
      <c r="P67" s="970"/>
      <c r="R67" s="71"/>
      <c r="Z67" s="71"/>
      <c r="AA67" s="72"/>
      <c r="AB67" s="71"/>
      <c r="AC67" s="479"/>
      <c r="AD67" s="479"/>
      <c r="AE67" s="479"/>
      <c r="AF67" s="71"/>
    </row>
    <row r="68" spans="1:32" s="192" customFormat="1" ht="14.25" hidden="1" customHeight="1">
      <c r="A68" s="1566"/>
      <c r="B68" s="971">
        <f t="shared" si="38"/>
        <v>3</v>
      </c>
      <c r="C68" s="3308" t="s">
        <v>4890</v>
      </c>
      <c r="D68" s="3309"/>
      <c r="E68" s="3309"/>
      <c r="F68" s="3309"/>
      <c r="G68" s="3309"/>
      <c r="H68" s="3309"/>
      <c r="I68" s="3309"/>
      <c r="J68" s="3309"/>
      <c r="K68" s="3309"/>
      <c r="L68" s="3309"/>
      <c r="M68" s="3309"/>
      <c r="N68" s="3309"/>
      <c r="O68" s="3310"/>
      <c r="P68" s="970"/>
      <c r="R68" s="71"/>
      <c r="Z68" s="71"/>
      <c r="AA68" s="72"/>
      <c r="AB68" s="71"/>
      <c r="AC68" s="479"/>
      <c r="AD68" s="479"/>
      <c r="AE68" s="479"/>
      <c r="AF68" s="71"/>
    </row>
    <row r="69" spans="1:32" s="192" customFormat="1" ht="13.7" hidden="1" customHeight="1">
      <c r="A69" s="1566"/>
      <c r="B69" s="971">
        <f t="shared" si="38"/>
        <v>4</v>
      </c>
      <c r="C69" s="3308" t="s">
        <v>3494</v>
      </c>
      <c r="D69" s="3309"/>
      <c r="E69" s="3309"/>
      <c r="F69" s="3309"/>
      <c r="G69" s="3309"/>
      <c r="H69" s="3309"/>
      <c r="I69" s="3309"/>
      <c r="J69" s="3309"/>
      <c r="K69" s="3309"/>
      <c r="L69" s="3309"/>
      <c r="M69" s="3309"/>
      <c r="N69" s="3309"/>
      <c r="O69" s="3310"/>
      <c r="P69" s="970"/>
      <c r="R69" s="71"/>
      <c r="Z69" s="71"/>
      <c r="AA69" s="72"/>
      <c r="AB69" s="71"/>
      <c r="AC69" s="479"/>
      <c r="AD69" s="479"/>
      <c r="AE69" s="479"/>
      <c r="AF69" s="71"/>
    </row>
    <row r="70" spans="1:32" s="192" customFormat="1" ht="14.25" hidden="1" customHeight="1">
      <c r="A70" s="1566"/>
      <c r="B70" s="971">
        <f t="shared" si="38"/>
        <v>5</v>
      </c>
      <c r="C70" s="3321" t="s">
        <v>1239</v>
      </c>
      <c r="D70" s="3322"/>
      <c r="E70" s="3322"/>
      <c r="F70" s="3322"/>
      <c r="G70" s="3322"/>
      <c r="H70" s="3322"/>
      <c r="I70" s="3322"/>
      <c r="J70" s="3322"/>
      <c r="K70" s="3322"/>
      <c r="L70" s="3322"/>
      <c r="M70" s="3322"/>
      <c r="N70" s="3322"/>
      <c r="O70" s="3323"/>
      <c r="P70" s="970"/>
      <c r="R70" s="71"/>
      <c r="Z70" s="71"/>
      <c r="AA70" s="72"/>
      <c r="AB70" s="71"/>
      <c r="AC70" s="479"/>
      <c r="AD70" s="479"/>
      <c r="AE70" s="479"/>
      <c r="AF70" s="71"/>
    </row>
    <row r="71" spans="1:32" s="192" customFormat="1" ht="14.25" hidden="1" customHeight="1">
      <c r="A71" s="1566"/>
      <c r="B71" s="971">
        <f t="shared" si="38"/>
        <v>6</v>
      </c>
      <c r="C71" s="3321" t="s">
        <v>1240</v>
      </c>
      <c r="D71" s="3322"/>
      <c r="E71" s="3322"/>
      <c r="F71" s="3322"/>
      <c r="G71" s="3322"/>
      <c r="H71" s="3322"/>
      <c r="I71" s="3322"/>
      <c r="J71" s="3322"/>
      <c r="K71" s="3322"/>
      <c r="L71" s="3322"/>
      <c r="M71" s="3322"/>
      <c r="N71" s="3322"/>
      <c r="O71" s="3323"/>
      <c r="P71" s="970"/>
      <c r="R71" s="71"/>
      <c r="Z71" s="71"/>
      <c r="AA71" s="72"/>
      <c r="AB71" s="71"/>
      <c r="AC71" s="479"/>
      <c r="AD71" s="479"/>
      <c r="AE71" s="479"/>
      <c r="AF71" s="71"/>
    </row>
    <row r="72" spans="1:32" s="192" customFormat="1" ht="14.25" hidden="1" customHeight="1">
      <c r="A72" s="1566"/>
      <c r="B72" s="971">
        <f t="shared" si="38"/>
        <v>7</v>
      </c>
      <c r="C72" s="3321" t="s">
        <v>4891</v>
      </c>
      <c r="D72" s="3322"/>
      <c r="E72" s="3322"/>
      <c r="F72" s="3322"/>
      <c r="G72" s="3322"/>
      <c r="H72" s="3322"/>
      <c r="I72" s="3322"/>
      <c r="J72" s="3322"/>
      <c r="K72" s="3322"/>
      <c r="L72" s="3322"/>
      <c r="M72" s="3322"/>
      <c r="N72" s="3322"/>
      <c r="O72" s="3323"/>
      <c r="P72" s="970"/>
      <c r="R72" s="71"/>
      <c r="Z72" s="71"/>
      <c r="AA72" s="72"/>
      <c r="AB72" s="71"/>
      <c r="AC72" s="479"/>
      <c r="AD72" s="479"/>
      <c r="AE72" s="479"/>
      <c r="AF72" s="71"/>
    </row>
    <row r="73" spans="1:32" s="192" customFormat="1" ht="13.7" hidden="1" customHeight="1">
      <c r="A73" s="1566"/>
      <c r="B73" s="971">
        <f t="shared" si="38"/>
        <v>8</v>
      </c>
      <c r="C73" s="3308" t="s">
        <v>4892</v>
      </c>
      <c r="D73" s="3309"/>
      <c r="E73" s="3309"/>
      <c r="F73" s="3309"/>
      <c r="G73" s="3309"/>
      <c r="H73" s="3309"/>
      <c r="I73" s="3309"/>
      <c r="J73" s="3309"/>
      <c r="K73" s="3309"/>
      <c r="L73" s="3309"/>
      <c r="M73" s="3309"/>
      <c r="N73" s="3309"/>
      <c r="O73" s="3310"/>
      <c r="P73" s="970"/>
      <c r="R73" s="71"/>
      <c r="Z73" s="71"/>
      <c r="AA73" s="72"/>
      <c r="AB73" s="71"/>
      <c r="AC73" s="479"/>
      <c r="AD73" s="479"/>
      <c r="AE73" s="479"/>
      <c r="AF73" s="71"/>
    </row>
    <row r="74" spans="1:32" s="192" customFormat="1" ht="14.25" hidden="1" customHeight="1">
      <c r="A74" s="1566"/>
      <c r="B74" s="971">
        <f t="shared" si="38"/>
        <v>9</v>
      </c>
      <c r="C74" s="3308" t="s">
        <v>4893</v>
      </c>
      <c r="D74" s="3309"/>
      <c r="E74" s="3309"/>
      <c r="F74" s="3309"/>
      <c r="G74" s="3309"/>
      <c r="H74" s="3309"/>
      <c r="I74" s="3309"/>
      <c r="J74" s="3309"/>
      <c r="K74" s="3309"/>
      <c r="L74" s="3309"/>
      <c r="M74" s="3309"/>
      <c r="N74" s="3309"/>
      <c r="O74" s="3310"/>
      <c r="P74" s="970"/>
      <c r="R74" s="71"/>
      <c r="Z74" s="71"/>
      <c r="AA74" s="72"/>
      <c r="AB74" s="71"/>
      <c r="AC74" s="479"/>
      <c r="AD74" s="479"/>
      <c r="AE74" s="479"/>
      <c r="AF74" s="71"/>
    </row>
    <row r="75" spans="1:32" s="192" customFormat="1" ht="13.7" hidden="1" customHeight="1">
      <c r="A75" s="1566"/>
      <c r="B75" s="971">
        <f t="shared" si="38"/>
        <v>10</v>
      </c>
      <c r="C75" s="3308" t="s">
        <v>4894</v>
      </c>
      <c r="D75" s="3309"/>
      <c r="E75" s="3309"/>
      <c r="F75" s="3309"/>
      <c r="G75" s="3309"/>
      <c r="H75" s="3309"/>
      <c r="I75" s="3309"/>
      <c r="J75" s="3309"/>
      <c r="K75" s="3309"/>
      <c r="L75" s="3309"/>
      <c r="M75" s="3309"/>
      <c r="N75" s="3309"/>
      <c r="O75" s="3310"/>
      <c r="P75" s="970"/>
      <c r="R75" s="71"/>
      <c r="Z75" s="71"/>
      <c r="AA75" s="72"/>
      <c r="AB75" s="71"/>
      <c r="AC75" s="479"/>
      <c r="AD75" s="479"/>
      <c r="AE75" s="479"/>
      <c r="AF75" s="71"/>
    </row>
    <row r="76" spans="1:32" s="192" customFormat="1" ht="13.7" hidden="1" customHeight="1">
      <c r="A76" s="1566"/>
      <c r="B76" s="971">
        <f t="shared" si="38"/>
        <v>11</v>
      </c>
      <c r="C76" s="3308" t="s">
        <v>4895</v>
      </c>
      <c r="D76" s="3309"/>
      <c r="E76" s="3309"/>
      <c r="F76" s="3309"/>
      <c r="G76" s="3309"/>
      <c r="H76" s="3309"/>
      <c r="I76" s="3309"/>
      <c r="J76" s="3309"/>
      <c r="K76" s="3309"/>
      <c r="L76" s="3309"/>
      <c r="M76" s="3309"/>
      <c r="N76" s="3309"/>
      <c r="O76" s="3310"/>
      <c r="P76" s="970"/>
      <c r="R76" s="71"/>
      <c r="Z76" s="71"/>
      <c r="AA76" s="72"/>
      <c r="AB76" s="71"/>
      <c r="AC76" s="479"/>
      <c r="AD76" s="479"/>
      <c r="AE76" s="479"/>
      <c r="AF76" s="71"/>
    </row>
    <row r="77" spans="1:32" s="192" customFormat="1" ht="13.7" hidden="1" customHeight="1">
      <c r="A77" s="1566"/>
      <c r="B77" s="971">
        <f t="shared" si="38"/>
        <v>12</v>
      </c>
      <c r="C77" s="3308" t="s">
        <v>4896</v>
      </c>
      <c r="D77" s="3309"/>
      <c r="E77" s="3309"/>
      <c r="F77" s="3309"/>
      <c r="G77" s="3309"/>
      <c r="H77" s="3309"/>
      <c r="I77" s="3309"/>
      <c r="J77" s="3309"/>
      <c r="K77" s="3309"/>
      <c r="L77" s="3309"/>
      <c r="M77" s="3309"/>
      <c r="N77" s="3309"/>
      <c r="O77" s="3310"/>
      <c r="P77" s="970"/>
      <c r="R77" s="71"/>
      <c r="Z77" s="71"/>
      <c r="AA77" s="72"/>
      <c r="AB77" s="71"/>
      <c r="AC77" s="479"/>
      <c r="AD77" s="479"/>
      <c r="AE77" s="479"/>
      <c r="AF77" s="71"/>
    </row>
    <row r="78" spans="1:32" s="192" customFormat="1" ht="13.7" hidden="1" customHeight="1">
      <c r="A78" s="1566"/>
      <c r="B78" s="971">
        <f t="shared" si="38"/>
        <v>13</v>
      </c>
      <c r="C78" s="3308" t="s">
        <v>4897</v>
      </c>
      <c r="D78" s="3309"/>
      <c r="E78" s="3309"/>
      <c r="F78" s="3309"/>
      <c r="G78" s="3309"/>
      <c r="H78" s="3309"/>
      <c r="I78" s="3309"/>
      <c r="J78" s="3309"/>
      <c r="K78" s="3309"/>
      <c r="L78" s="3309"/>
      <c r="M78" s="3309"/>
      <c r="N78" s="3309"/>
      <c r="O78" s="3310"/>
      <c r="P78" s="970"/>
      <c r="R78" s="71"/>
      <c r="Z78" s="71"/>
      <c r="AA78" s="72"/>
      <c r="AB78" s="71"/>
      <c r="AC78" s="479"/>
      <c r="AD78" s="479"/>
      <c r="AE78" s="479"/>
      <c r="AF78" s="71"/>
    </row>
    <row r="79" spans="1:32" s="192" customFormat="1" ht="14.25" hidden="1" customHeight="1">
      <c r="A79" s="1566"/>
      <c r="B79" s="971">
        <f t="shared" si="38"/>
        <v>14</v>
      </c>
      <c r="C79" s="3308" t="s">
        <v>4898</v>
      </c>
      <c r="D79" s="3309"/>
      <c r="E79" s="3309"/>
      <c r="F79" s="3309"/>
      <c r="G79" s="3309"/>
      <c r="H79" s="3309"/>
      <c r="I79" s="3309"/>
      <c r="J79" s="3309"/>
      <c r="K79" s="3309"/>
      <c r="L79" s="3309"/>
      <c r="M79" s="3309"/>
      <c r="N79" s="3309"/>
      <c r="O79" s="3310"/>
      <c r="P79" s="970"/>
      <c r="R79" s="71"/>
      <c r="Z79" s="71"/>
      <c r="AA79" s="72"/>
      <c r="AB79" s="71"/>
      <c r="AC79" s="479"/>
      <c r="AD79" s="479"/>
      <c r="AE79" s="479"/>
      <c r="AF79" s="71"/>
    </row>
    <row r="80" spans="1:32" s="192" customFormat="1" ht="14.25" hidden="1" customHeight="1">
      <c r="A80" s="1566"/>
      <c r="B80" s="971">
        <f t="shared" si="38"/>
        <v>15</v>
      </c>
      <c r="C80" s="3308" t="s">
        <v>4899</v>
      </c>
      <c r="D80" s="3309"/>
      <c r="E80" s="3309"/>
      <c r="F80" s="3309"/>
      <c r="G80" s="3309"/>
      <c r="H80" s="3309"/>
      <c r="I80" s="3309"/>
      <c r="J80" s="3309"/>
      <c r="K80" s="3309"/>
      <c r="L80" s="3309"/>
      <c r="M80" s="3309"/>
      <c r="N80" s="3309"/>
      <c r="O80" s="3310"/>
      <c r="P80" s="970"/>
      <c r="R80" s="71"/>
      <c r="Z80" s="71"/>
      <c r="AA80" s="72"/>
      <c r="AB80" s="71"/>
      <c r="AC80" s="479"/>
      <c r="AD80" s="479"/>
      <c r="AE80" s="479"/>
      <c r="AF80" s="71"/>
    </row>
    <row r="81" spans="1:32" s="192" customFormat="1" ht="50.25" hidden="1" customHeight="1">
      <c r="A81" s="1566"/>
      <c r="B81" s="971">
        <f t="shared" si="38"/>
        <v>16</v>
      </c>
      <c r="C81" s="3308" t="s">
        <v>4900</v>
      </c>
      <c r="D81" s="3309"/>
      <c r="E81" s="3309"/>
      <c r="F81" s="3309"/>
      <c r="G81" s="3309"/>
      <c r="H81" s="3309"/>
      <c r="I81" s="3309"/>
      <c r="J81" s="3309"/>
      <c r="K81" s="3309"/>
      <c r="L81" s="3309"/>
      <c r="M81" s="3309"/>
      <c r="N81" s="3309"/>
      <c r="O81" s="3310"/>
      <c r="P81" s="970"/>
      <c r="R81" s="71"/>
      <c r="Z81" s="71"/>
      <c r="AA81" s="72"/>
      <c r="AB81" s="71"/>
      <c r="AC81" s="479"/>
      <c r="AD81" s="479"/>
      <c r="AE81" s="479"/>
      <c r="AF81" s="71"/>
    </row>
    <row r="82" spans="1:32" s="192" customFormat="1" ht="14.25" hidden="1" customHeight="1">
      <c r="A82" s="1566"/>
      <c r="B82" s="971">
        <f t="shared" si="38"/>
        <v>17</v>
      </c>
      <c r="C82" s="3308" t="s">
        <v>4901</v>
      </c>
      <c r="D82" s="3309"/>
      <c r="E82" s="3309"/>
      <c r="F82" s="3309"/>
      <c r="G82" s="3309"/>
      <c r="H82" s="3309"/>
      <c r="I82" s="3309"/>
      <c r="J82" s="3309"/>
      <c r="K82" s="3309"/>
      <c r="L82" s="3309"/>
      <c r="M82" s="3309"/>
      <c r="N82" s="3309"/>
      <c r="O82" s="3310"/>
      <c r="P82" s="970"/>
      <c r="R82" s="71"/>
      <c r="Z82" s="71"/>
      <c r="AA82" s="72"/>
      <c r="AB82" s="71"/>
      <c r="AC82" s="479"/>
      <c r="AD82" s="479"/>
      <c r="AE82" s="479"/>
      <c r="AF82" s="71"/>
    </row>
    <row r="83" spans="1:32" s="192" customFormat="1" ht="13.7" hidden="1" customHeight="1">
      <c r="A83" s="1566"/>
      <c r="B83" s="971">
        <f t="shared" si="38"/>
        <v>18</v>
      </c>
      <c r="C83" s="3308" t="s">
        <v>4902</v>
      </c>
      <c r="D83" s="3309"/>
      <c r="E83" s="3309"/>
      <c r="F83" s="3309"/>
      <c r="G83" s="3309"/>
      <c r="H83" s="3309"/>
      <c r="I83" s="3309"/>
      <c r="J83" s="3309"/>
      <c r="K83" s="3309"/>
      <c r="L83" s="3309"/>
      <c r="M83" s="3309"/>
      <c r="N83" s="3309"/>
      <c r="O83" s="3310"/>
      <c r="P83" s="970"/>
      <c r="R83" s="71"/>
      <c r="Z83" s="71"/>
      <c r="AA83" s="72"/>
      <c r="AB83" s="71"/>
      <c r="AC83" s="479"/>
      <c r="AD83" s="479"/>
      <c r="AE83" s="479"/>
      <c r="AF83" s="71"/>
    </row>
    <row r="84" spans="1:32" s="192" customFormat="1" hidden="1">
      <c r="A84" s="1566"/>
      <c r="B84" s="971">
        <f t="shared" si="38"/>
        <v>19</v>
      </c>
      <c r="C84" s="3308" t="s">
        <v>4903</v>
      </c>
      <c r="D84" s="3309"/>
      <c r="E84" s="3309"/>
      <c r="F84" s="3309"/>
      <c r="G84" s="3309"/>
      <c r="H84" s="3309"/>
      <c r="I84" s="3309"/>
      <c r="J84" s="3309"/>
      <c r="K84" s="3309"/>
      <c r="L84" s="3309"/>
      <c r="M84" s="3309"/>
      <c r="N84" s="3309"/>
      <c r="O84" s="3310"/>
      <c r="P84" s="970"/>
      <c r="R84" s="71"/>
      <c r="Z84" s="71"/>
      <c r="AA84" s="72"/>
      <c r="AB84" s="71"/>
      <c r="AC84" s="479"/>
      <c r="AD84" s="479"/>
      <c r="AE84" s="479"/>
      <c r="AF84" s="71"/>
    </row>
    <row r="85" spans="1:32" s="192" customFormat="1" ht="14.25" hidden="1" customHeight="1">
      <c r="A85" s="1566"/>
      <c r="B85" s="971">
        <f t="shared" si="38"/>
        <v>20</v>
      </c>
      <c r="C85" s="3308" t="s">
        <v>4904</v>
      </c>
      <c r="D85" s="3309"/>
      <c r="E85" s="3309"/>
      <c r="F85" s="3309"/>
      <c r="G85" s="3309"/>
      <c r="H85" s="3309"/>
      <c r="I85" s="3309"/>
      <c r="J85" s="3309"/>
      <c r="K85" s="3309"/>
      <c r="L85" s="3309"/>
      <c r="M85" s="3309"/>
      <c r="N85" s="3309"/>
      <c r="O85" s="3310"/>
      <c r="P85" s="970"/>
      <c r="R85" s="71"/>
      <c r="Z85" s="71"/>
      <c r="AA85" s="72"/>
      <c r="AB85" s="71"/>
      <c r="AC85" s="479"/>
      <c r="AD85" s="479"/>
      <c r="AE85" s="479"/>
      <c r="AF85" s="71"/>
    </row>
    <row r="86" spans="1:32" s="192" customFormat="1" hidden="1">
      <c r="A86" s="1566"/>
      <c r="B86" s="971">
        <f t="shared" si="38"/>
        <v>21</v>
      </c>
      <c r="C86" s="3308" t="s">
        <v>4905</v>
      </c>
      <c r="D86" s="3309"/>
      <c r="E86" s="3309"/>
      <c r="F86" s="3309"/>
      <c r="G86" s="3309"/>
      <c r="H86" s="3309"/>
      <c r="I86" s="3309"/>
      <c r="J86" s="3309"/>
      <c r="K86" s="3309"/>
      <c r="L86" s="3309"/>
      <c r="M86" s="3309"/>
      <c r="N86" s="3309"/>
      <c r="O86" s="3310"/>
      <c r="P86" s="970"/>
      <c r="R86" s="71"/>
      <c r="Z86" s="71"/>
      <c r="AA86" s="72"/>
      <c r="AB86" s="71"/>
      <c r="AC86" s="479"/>
      <c r="AD86" s="479"/>
      <c r="AE86" s="479"/>
      <c r="AF86" s="71"/>
    </row>
    <row r="87" spans="1:32" s="192" customFormat="1" ht="14.25" hidden="1" customHeight="1">
      <c r="A87" s="1566"/>
      <c r="B87" s="971">
        <f t="shared" si="38"/>
        <v>22</v>
      </c>
      <c r="C87" s="3308" t="s">
        <v>1256</v>
      </c>
      <c r="D87" s="3309"/>
      <c r="E87" s="3309"/>
      <c r="F87" s="3309"/>
      <c r="G87" s="3309"/>
      <c r="H87" s="3309"/>
      <c r="I87" s="3309"/>
      <c r="J87" s="3309"/>
      <c r="K87" s="3309"/>
      <c r="L87" s="3309"/>
      <c r="M87" s="3309"/>
      <c r="N87" s="3309"/>
      <c r="O87" s="3310"/>
      <c r="P87" s="970"/>
      <c r="R87" s="71"/>
      <c r="Z87" s="71"/>
      <c r="AA87" s="72"/>
      <c r="AB87" s="71"/>
      <c r="AC87" s="479"/>
      <c r="AD87" s="479"/>
      <c r="AE87" s="479"/>
      <c r="AF87" s="71"/>
    </row>
    <row r="88" spans="1:32" s="192" customFormat="1" hidden="1">
      <c r="A88" s="1566"/>
      <c r="B88" s="971">
        <f t="shared" si="38"/>
        <v>23</v>
      </c>
      <c r="C88" s="3308" t="s">
        <v>3509</v>
      </c>
      <c r="D88" s="3309"/>
      <c r="E88" s="3309"/>
      <c r="F88" s="3309"/>
      <c r="G88" s="3309"/>
      <c r="H88" s="3309"/>
      <c r="I88" s="3309"/>
      <c r="J88" s="3309"/>
      <c r="K88" s="3309"/>
      <c r="L88" s="3309"/>
      <c r="M88" s="3309"/>
      <c r="N88" s="3309"/>
      <c r="O88" s="3310"/>
      <c r="P88" s="970"/>
      <c r="R88" s="71"/>
      <c r="Z88" s="71"/>
      <c r="AA88" s="72"/>
      <c r="AB88" s="71"/>
      <c r="AC88" s="479"/>
      <c r="AD88" s="479"/>
      <c r="AE88" s="479"/>
      <c r="AF88" s="71"/>
    </row>
    <row r="89" spans="1:32" s="192" customFormat="1" hidden="1">
      <c r="A89" s="1566"/>
      <c r="B89" s="971">
        <f t="shared" si="38"/>
        <v>24</v>
      </c>
      <c r="C89" s="3308" t="s">
        <v>4906</v>
      </c>
      <c r="D89" s="3309"/>
      <c r="E89" s="3309"/>
      <c r="F89" s="3309"/>
      <c r="G89" s="3309"/>
      <c r="H89" s="3309"/>
      <c r="I89" s="3309"/>
      <c r="J89" s="3309"/>
      <c r="K89" s="3309"/>
      <c r="L89" s="3309"/>
      <c r="M89" s="3309"/>
      <c r="N89" s="3309"/>
      <c r="O89" s="3310"/>
      <c r="P89" s="970"/>
      <c r="R89" s="71"/>
      <c r="Z89" s="71"/>
      <c r="AA89" s="72"/>
      <c r="AB89" s="71"/>
      <c r="AC89" s="479"/>
      <c r="AD89" s="479"/>
      <c r="AE89" s="479"/>
      <c r="AF89" s="71"/>
    </row>
    <row r="90" spans="1:32" s="192" customFormat="1" ht="25.5" hidden="1" customHeight="1">
      <c r="A90" s="1566"/>
      <c r="B90" s="972" t="s">
        <v>4907</v>
      </c>
      <c r="C90" s="3308" t="s">
        <v>4908</v>
      </c>
      <c r="D90" s="3309"/>
      <c r="E90" s="3309"/>
      <c r="F90" s="3309"/>
      <c r="G90" s="3309"/>
      <c r="H90" s="3309"/>
      <c r="I90" s="3309"/>
      <c r="J90" s="3309"/>
      <c r="K90" s="3309"/>
      <c r="L90" s="3309"/>
      <c r="M90" s="3309"/>
      <c r="N90" s="3309"/>
      <c r="O90" s="3310"/>
      <c r="P90" s="970"/>
      <c r="R90" s="71"/>
      <c r="Z90" s="71"/>
      <c r="AA90" s="72"/>
      <c r="AB90" s="71"/>
      <c r="AC90" s="479"/>
      <c r="AD90" s="479"/>
      <c r="AE90" s="479"/>
      <c r="AF90" s="71"/>
    </row>
    <row r="91" spans="1:32" s="192" customFormat="1" ht="13.7" hidden="1" customHeight="1">
      <c r="A91" s="1566"/>
      <c r="B91" s="972">
        <v>35</v>
      </c>
      <c r="C91" s="3308" t="s">
        <v>4909</v>
      </c>
      <c r="D91" s="3309"/>
      <c r="E91" s="3309"/>
      <c r="F91" s="3309"/>
      <c r="G91" s="3309"/>
      <c r="H91" s="3309"/>
      <c r="I91" s="3309"/>
      <c r="J91" s="3309"/>
      <c r="K91" s="3309"/>
      <c r="L91" s="3309"/>
      <c r="M91" s="3309"/>
      <c r="N91" s="3309"/>
      <c r="O91" s="3310"/>
      <c r="P91" s="970"/>
      <c r="R91" s="71"/>
      <c r="Z91" s="71"/>
      <c r="AA91" s="72"/>
      <c r="AB91" s="71"/>
      <c r="AC91" s="479"/>
      <c r="AD91" s="479"/>
      <c r="AE91" s="479"/>
      <c r="AF91" s="71"/>
    </row>
    <row r="92" spans="1:32" s="192" customFormat="1" hidden="1">
      <c r="A92" s="1566"/>
      <c r="B92" s="972">
        <v>36</v>
      </c>
      <c r="C92" s="3308" t="s">
        <v>4910</v>
      </c>
      <c r="D92" s="3309"/>
      <c r="E92" s="3309"/>
      <c r="F92" s="3309"/>
      <c r="G92" s="3309"/>
      <c r="H92" s="3309"/>
      <c r="I92" s="3309"/>
      <c r="J92" s="3309"/>
      <c r="K92" s="3309"/>
      <c r="L92" s="3309"/>
      <c r="M92" s="3309"/>
      <c r="N92" s="3309"/>
      <c r="O92" s="3310"/>
      <c r="P92" s="970"/>
      <c r="R92" s="71"/>
      <c r="Z92" s="71"/>
      <c r="AA92" s="72"/>
      <c r="AB92" s="71"/>
      <c r="AC92" s="479"/>
      <c r="AD92" s="479"/>
      <c r="AE92" s="479"/>
      <c r="AF92" s="71"/>
    </row>
    <row r="93" spans="1:32" s="192" customFormat="1" ht="15.75" hidden="1" thickBot="1">
      <c r="A93" s="1566"/>
      <c r="B93" s="973"/>
      <c r="C93" s="970"/>
      <c r="D93" s="970"/>
      <c r="E93" s="974"/>
      <c r="F93" s="970"/>
      <c r="G93" s="970"/>
      <c r="H93" s="970"/>
      <c r="I93" s="970"/>
      <c r="J93" s="970"/>
      <c r="K93" s="970"/>
      <c r="L93" s="970"/>
      <c r="M93" s="970"/>
      <c r="N93" s="970"/>
      <c r="O93" s="970"/>
      <c r="P93" s="970"/>
      <c r="R93" s="71"/>
      <c r="Z93" s="71"/>
      <c r="AA93" s="72"/>
      <c r="AB93" s="71"/>
      <c r="AC93" s="479"/>
      <c r="AD93" s="479"/>
      <c r="AE93" s="479"/>
      <c r="AF93" s="71"/>
    </row>
    <row r="94" spans="1:32" s="192" customFormat="1" ht="15" customHeight="1" thickBot="1">
      <c r="A94" s="82"/>
      <c r="B94" s="3311" t="s">
        <v>4911</v>
      </c>
      <c r="C94" s="3312"/>
      <c r="D94" s="3312"/>
      <c r="E94" s="3312"/>
      <c r="F94" s="3312"/>
      <c r="G94" s="3312"/>
      <c r="H94" s="3312"/>
      <c r="I94" s="3312"/>
      <c r="J94" s="3312"/>
      <c r="K94" s="3312"/>
      <c r="L94" s="3312"/>
      <c r="M94" s="3312"/>
      <c r="N94" s="3312"/>
      <c r="O94" s="3313"/>
      <c r="P94" s="970"/>
      <c r="R94" s="71"/>
      <c r="Z94" s="71"/>
      <c r="AA94" s="72"/>
      <c r="AB94" s="71"/>
      <c r="AC94" s="479"/>
      <c r="AD94" s="479"/>
      <c r="AE94" s="479"/>
      <c r="AF94" s="71"/>
    </row>
    <row r="95" spans="1:32" s="192" customFormat="1" ht="30.2" customHeight="1" thickBot="1">
      <c r="A95" s="82"/>
      <c r="B95" s="3305" t="s">
        <v>4912</v>
      </c>
      <c r="C95" s="3306"/>
      <c r="D95" s="3306"/>
      <c r="E95" s="3306"/>
      <c r="F95" s="3306"/>
      <c r="G95" s="3306"/>
      <c r="H95" s="3306"/>
      <c r="I95" s="3306"/>
      <c r="J95" s="3306"/>
      <c r="K95" s="3306"/>
      <c r="L95" s="3306"/>
      <c r="M95" s="3306"/>
      <c r="N95" s="3306"/>
      <c r="O95" s="3307"/>
      <c r="P95" s="970"/>
      <c r="R95" s="71"/>
      <c r="Z95" s="71"/>
      <c r="AA95" s="72"/>
      <c r="AB95" s="71"/>
      <c r="AC95" s="479"/>
      <c r="AD95" s="479"/>
      <c r="AE95" s="479"/>
      <c r="AF95" s="71"/>
    </row>
    <row r="96" spans="1:32" s="192" customFormat="1" hidden="1">
      <c r="A96" s="479"/>
      <c r="B96" s="479"/>
      <c r="C96" s="479"/>
      <c r="D96" s="479"/>
      <c r="E96" s="479"/>
      <c r="F96" s="479"/>
      <c r="G96" s="479"/>
      <c r="H96" s="479"/>
      <c r="I96" s="479"/>
      <c r="J96" s="479"/>
      <c r="K96" s="479"/>
      <c r="L96" s="479"/>
      <c r="M96" s="479"/>
      <c r="N96" s="479"/>
      <c r="O96" s="479"/>
      <c r="P96" s="479"/>
      <c r="R96" s="71"/>
      <c r="Z96" s="71"/>
      <c r="AA96" s="72"/>
      <c r="AB96" s="71"/>
      <c r="AC96" s="479"/>
      <c r="AD96" s="479"/>
      <c r="AE96" s="479"/>
      <c r="AF96" s="71"/>
    </row>
  </sheetData>
  <sheetProtection algorithmName="SHA-512" hashValue="+Qqhb8myFuK9fAjaidZg3kfmMZZJS5tfRDysWNh67JPNUp67cJNhASgJ4jm/6zhD2mb02V6USqagzpuMVFyZjQ==" saltValue="EFRu3Br9a7Gj0W5rZSl+Rg==" spinCount="100000" sheet="1" objects="1" scenarios="1"/>
  <mergeCells count="43">
    <mergeCell ref="C74:O74"/>
    <mergeCell ref="C80:O80"/>
    <mergeCell ref="C81:O81"/>
    <mergeCell ref="P3:P4"/>
    <mergeCell ref="G3:H3"/>
    <mergeCell ref="I3:L3"/>
    <mergeCell ref="M3:M4"/>
    <mergeCell ref="N3:N4"/>
    <mergeCell ref="B3:C4"/>
    <mergeCell ref="E3:E4"/>
    <mergeCell ref="F3:F4"/>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s>
  <conditionalFormatting sqref="P40:P48">
    <cfRule type="cellIs" dxfId="231" priority="23" operator="equal">
      <formula>0</formula>
    </cfRule>
  </conditionalFormatting>
  <conditionalFormatting sqref="P52">
    <cfRule type="cellIs" dxfId="230" priority="20" operator="equal">
      <formula>0</formula>
    </cfRule>
  </conditionalFormatting>
  <conditionalFormatting sqref="P34:P35">
    <cfRule type="cellIs" dxfId="229" priority="18" operator="equal">
      <formula>0</formula>
    </cfRule>
  </conditionalFormatting>
  <conditionalFormatting sqref="P30">
    <cfRule type="cellIs" dxfId="228" priority="16" operator="equal">
      <formula>0</formula>
    </cfRule>
  </conditionalFormatting>
  <conditionalFormatting sqref="P28">
    <cfRule type="cellIs" dxfId="227" priority="14" operator="equal">
      <formula>0</formula>
    </cfRule>
  </conditionalFormatting>
  <conditionalFormatting sqref="P22:P26">
    <cfRule type="cellIs" dxfId="226" priority="12" operator="equal">
      <formula>0</formula>
    </cfRule>
  </conditionalFormatting>
  <conditionalFormatting sqref="P18">
    <cfRule type="cellIs" dxfId="225" priority="10" operator="equal">
      <formula>0</formula>
    </cfRule>
  </conditionalFormatting>
  <conditionalFormatting sqref="P12:P15">
    <cfRule type="cellIs" dxfId="224" priority="8" operator="equal">
      <formula>0</formula>
    </cfRule>
  </conditionalFormatting>
  <conditionalFormatting sqref="P7:P10">
    <cfRule type="cellIs" dxfId="223" priority="6" operator="equal">
      <formula>0</formula>
    </cfRule>
  </conditionalFormatting>
  <conditionalFormatting sqref="P39:P48">
    <cfRule type="cellIs" dxfId="222" priority="2" operator="equal">
      <formula>0</formula>
    </cfRule>
  </conditionalFormatting>
  <conditionalFormatting sqref="P39:P48">
    <cfRule type="cellIs" dxfId="221"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AZ97"/>
  <sheetViews>
    <sheetView topLeftCell="A15" workbookViewId="0">
      <selection activeCell="H15" sqref="H15"/>
    </sheetView>
  </sheetViews>
  <sheetFormatPr defaultColWidth="0" defaultRowHeight="14.25" zeroHeight="1"/>
  <cols>
    <col min="1" max="1" width="0.5" customWidth="1"/>
    <col min="2" max="2" width="8.5" customWidth="1"/>
    <col min="3" max="3" width="45.125" bestFit="1" customWidth="1"/>
    <col min="4" max="4" width="0.5" hidden="1" customWidth="1"/>
    <col min="5" max="6" width="8.5" customWidth="1"/>
    <col min="7" max="15" width="13.125" customWidth="1"/>
    <col min="16" max="16" width="33.125" customWidth="1"/>
    <col min="17" max="17" width="1.5" customWidth="1"/>
    <col min="18" max="18" width="31" customWidth="1"/>
    <col min="19" max="19" width="2.5" customWidth="1"/>
    <col min="20" max="20" width="1.5" style="1665" hidden="1" customWidth="1"/>
    <col min="21" max="29" width="3.5" hidden="1" customWidth="1"/>
    <col min="30" max="30" width="1.5" style="1665" hidden="1" customWidth="1"/>
    <col min="31" max="31" width="0" hidden="1" customWidth="1"/>
    <col min="32" max="32" width="1.5" style="1665" hidden="1" customWidth="1"/>
    <col min="33" max="33" width="10.125" hidden="1" customWidth="1"/>
    <col min="34" max="34" width="10.5" hidden="1" customWidth="1"/>
    <col min="35" max="35" width="67.5" hidden="1" customWidth="1"/>
    <col min="36" max="36" width="1.5" style="1665" hidden="1" customWidth="1"/>
    <col min="37" max="38" width="8.5" customWidth="1"/>
    <col min="39" max="39" width="47.5" bestFit="1" customWidth="1"/>
    <col min="40" max="40" width="0.5" customWidth="1"/>
    <col min="41" max="42" width="8.5" customWidth="1"/>
    <col min="43" max="43" width="11.125" bestFit="1" customWidth="1"/>
    <col min="44" max="44" width="13.125" bestFit="1" customWidth="1"/>
    <col min="45" max="45" width="11.5" bestFit="1" customWidth="1"/>
    <col min="46" max="51" width="12.5" bestFit="1" customWidth="1"/>
    <col min="52" max="52" width="8.5" customWidth="1"/>
    <col min="53" max="16384" width="8.5" hidden="1"/>
  </cols>
  <sheetData>
    <row r="1" spans="1:51" ht="20.25">
      <c r="A1" s="975"/>
      <c r="B1" s="976" t="s">
        <v>4913</v>
      </c>
      <c r="C1" s="976"/>
      <c r="D1" s="976"/>
      <c r="E1" s="976"/>
      <c r="F1" s="976"/>
      <c r="G1" s="976"/>
      <c r="H1" s="976"/>
      <c r="I1" s="976"/>
      <c r="J1" s="977"/>
      <c r="K1" s="977"/>
      <c r="L1" s="977"/>
      <c r="M1" s="977"/>
      <c r="N1" s="977"/>
      <c r="O1" s="977"/>
      <c r="P1" s="977" t="str">
        <f>Validation!B3</f>
        <v>Yorkshire Water</v>
      </c>
      <c r="Q1" s="976"/>
      <c r="R1" s="69" t="s">
        <v>34</v>
      </c>
      <c r="S1" s="70"/>
      <c r="T1" s="71"/>
      <c r="U1" s="70"/>
      <c r="V1" s="70"/>
      <c r="W1" s="70"/>
      <c r="X1" s="70"/>
      <c r="Y1" s="70"/>
      <c r="Z1" s="70"/>
      <c r="AA1" s="70"/>
      <c r="AB1" s="70"/>
      <c r="AC1" s="70"/>
      <c r="AD1" s="1673"/>
      <c r="AE1" s="2004"/>
      <c r="AG1" s="2004"/>
      <c r="AH1" s="2004"/>
      <c r="AI1" s="2004"/>
      <c r="AK1" s="2004"/>
      <c r="AL1" s="976" t="s">
        <v>4913</v>
      </c>
      <c r="AM1" s="976"/>
      <c r="AN1" s="976"/>
      <c r="AO1" s="976"/>
      <c r="AP1" s="976"/>
      <c r="AQ1" s="976"/>
      <c r="AR1" s="976"/>
      <c r="AS1" s="976"/>
      <c r="AT1" s="977"/>
      <c r="AU1" s="977"/>
      <c r="AV1" s="977"/>
      <c r="AW1" s="977"/>
      <c r="AX1" s="977"/>
      <c r="AY1" s="977"/>
    </row>
    <row r="2" spans="1:51" ht="16.5" thickBot="1">
      <c r="A2" s="885"/>
      <c r="B2" s="73" t="str">
        <f>'4J'!B2</f>
        <v>For the 12 months ended 31 March 2020</v>
      </c>
      <c r="C2" s="978"/>
      <c r="D2" s="978"/>
      <c r="E2" s="978"/>
      <c r="F2" s="978"/>
      <c r="G2" s="978"/>
      <c r="H2" s="978"/>
      <c r="I2" s="978"/>
      <c r="J2" s="885"/>
      <c r="K2" s="885"/>
      <c r="L2" s="885"/>
      <c r="M2" s="885"/>
      <c r="N2" s="885"/>
      <c r="O2" s="885"/>
      <c r="P2" s="885"/>
      <c r="Q2" s="885"/>
      <c r="R2" s="70"/>
      <c r="S2" s="70"/>
      <c r="T2" s="71"/>
      <c r="U2" s="70"/>
      <c r="V2" s="70"/>
      <c r="W2" s="70"/>
      <c r="X2" s="70"/>
      <c r="Y2" s="70"/>
      <c r="Z2" s="70"/>
      <c r="AA2" s="70"/>
      <c r="AB2" s="70"/>
      <c r="AC2" s="70"/>
      <c r="AD2" s="1673"/>
      <c r="AE2" s="2004"/>
      <c r="AG2" s="2004"/>
      <c r="AH2" s="2004"/>
      <c r="AI2" s="2004"/>
      <c r="AK2" s="2004"/>
      <c r="AL2" s="73" t="str">
        <f>+B2</f>
        <v>For the 12 months ended 31 March 2020</v>
      </c>
      <c r="AM2" s="978"/>
      <c r="AN2" s="978"/>
      <c r="AO2" s="978"/>
      <c r="AP2" s="978"/>
      <c r="AQ2" s="978"/>
      <c r="AR2" s="978"/>
      <c r="AS2" s="978"/>
      <c r="AT2" s="923"/>
      <c r="AU2" s="923"/>
      <c r="AV2" s="923"/>
      <c r="AW2" s="923"/>
      <c r="AX2" s="923"/>
      <c r="AY2" s="923"/>
    </row>
    <row r="3" spans="1:51" ht="16.5" customHeight="1">
      <c r="A3" s="979"/>
      <c r="B3" s="3057" t="s">
        <v>36</v>
      </c>
      <c r="C3" s="3058"/>
      <c r="D3" s="3028" t="s">
        <v>3098</v>
      </c>
      <c r="E3" s="3337" t="s">
        <v>38</v>
      </c>
      <c r="F3" s="3339" t="s">
        <v>39</v>
      </c>
      <c r="G3" s="3261" t="s">
        <v>4914</v>
      </c>
      <c r="H3" s="3262"/>
      <c r="I3" s="3283"/>
      <c r="J3" s="3282" t="s">
        <v>4915</v>
      </c>
      <c r="K3" s="3283"/>
      <c r="L3" s="3282" t="s">
        <v>911</v>
      </c>
      <c r="M3" s="3262"/>
      <c r="N3" s="3283"/>
      <c r="O3" s="3352" t="s">
        <v>710</v>
      </c>
      <c r="P3" s="3348" t="s">
        <v>4567</v>
      </c>
      <c r="Q3" s="979"/>
      <c r="R3" s="3070" t="s">
        <v>43</v>
      </c>
      <c r="S3" s="70"/>
      <c r="T3" s="71"/>
      <c r="U3" s="70"/>
      <c r="V3" s="70"/>
      <c r="W3" s="70"/>
      <c r="X3" s="70"/>
      <c r="Y3" s="85"/>
      <c r="Z3" s="85"/>
      <c r="AA3" s="85"/>
      <c r="AB3" s="85"/>
      <c r="AC3" s="85"/>
      <c r="AD3" s="71"/>
      <c r="AE3" s="2004"/>
      <c r="AG3" s="2004"/>
      <c r="AH3" s="2004"/>
      <c r="AI3" s="2004"/>
      <c r="AK3" s="2004"/>
      <c r="AL3" s="3057" t="s">
        <v>193</v>
      </c>
      <c r="AM3" s="3335" t="s">
        <v>4916</v>
      </c>
      <c r="AN3" s="3335" t="s">
        <v>3098</v>
      </c>
      <c r="AO3" s="3337" t="s">
        <v>38</v>
      </c>
      <c r="AP3" s="3339" t="s">
        <v>39</v>
      </c>
      <c r="AQ3" s="3341" t="s">
        <v>4914</v>
      </c>
      <c r="AR3" s="3342"/>
      <c r="AS3" s="3343"/>
      <c r="AT3" s="3330" t="s">
        <v>4915</v>
      </c>
      <c r="AU3" s="3331"/>
      <c r="AV3" s="3332" t="s">
        <v>911</v>
      </c>
      <c r="AW3" s="3333"/>
      <c r="AX3" s="3334"/>
      <c r="AY3" s="3255" t="s">
        <v>710</v>
      </c>
    </row>
    <row r="4" spans="1:51" ht="192.75" thickBot="1">
      <c r="A4" s="979"/>
      <c r="B4" s="3059"/>
      <c r="C4" s="3060"/>
      <c r="D4" s="3029"/>
      <c r="E4" s="3350"/>
      <c r="F4" s="3351"/>
      <c r="G4" s="211" t="s">
        <v>3521</v>
      </c>
      <c r="H4" s="212" t="s">
        <v>3522</v>
      </c>
      <c r="I4" s="213" t="s">
        <v>3523</v>
      </c>
      <c r="J4" s="214" t="s">
        <v>3524</v>
      </c>
      <c r="K4" s="213" t="s">
        <v>4917</v>
      </c>
      <c r="L4" s="214" t="s">
        <v>3526</v>
      </c>
      <c r="M4" s="212" t="s">
        <v>3527</v>
      </c>
      <c r="N4" s="213" t="s">
        <v>3528</v>
      </c>
      <c r="O4" s="3353"/>
      <c r="P4" s="3349"/>
      <c r="Q4" s="979"/>
      <c r="R4" s="3071"/>
      <c r="S4" s="70"/>
      <c r="T4" s="71"/>
      <c r="U4" s="76" t="s">
        <v>47</v>
      </c>
      <c r="V4" s="76"/>
      <c r="W4" s="76"/>
      <c r="X4" s="76"/>
      <c r="Y4" s="76"/>
      <c r="Z4" s="76"/>
      <c r="AA4" s="76"/>
      <c r="AB4" s="76"/>
      <c r="AC4" s="76"/>
      <c r="AD4" s="71"/>
      <c r="AE4" s="2987" t="s">
        <v>26</v>
      </c>
      <c r="AF4" s="71"/>
      <c r="AG4" s="76" t="s">
        <v>904</v>
      </c>
      <c r="AH4" s="2987"/>
      <c r="AI4" s="2987"/>
      <c r="AJ4" s="71"/>
      <c r="AK4" s="2004"/>
      <c r="AL4" s="3059"/>
      <c r="AM4" s="3336"/>
      <c r="AN4" s="3336"/>
      <c r="AO4" s="3338"/>
      <c r="AP4" s="3340"/>
      <c r="AQ4" s="980" t="s">
        <v>3521</v>
      </c>
      <c r="AR4" s="980" t="s">
        <v>3522</v>
      </c>
      <c r="AS4" s="980" t="s">
        <v>3523</v>
      </c>
      <c r="AT4" s="980" t="s">
        <v>3524</v>
      </c>
      <c r="AU4" s="980" t="s">
        <v>4917</v>
      </c>
      <c r="AV4" s="980" t="s">
        <v>3526</v>
      </c>
      <c r="AW4" s="980" t="s">
        <v>3527</v>
      </c>
      <c r="AX4" s="980" t="s">
        <v>3528</v>
      </c>
      <c r="AY4" s="3256"/>
    </row>
    <row r="5" spans="1:51" ht="16.5" thickBot="1">
      <c r="A5" s="885"/>
      <c r="B5" s="981"/>
      <c r="C5" s="981"/>
      <c r="D5" s="981"/>
      <c r="E5" s="981"/>
      <c r="F5" s="981"/>
      <c r="G5" s="981"/>
      <c r="H5" s="981"/>
      <c r="I5" s="981"/>
      <c r="J5" s="982"/>
      <c r="K5" s="982"/>
      <c r="L5" s="982"/>
      <c r="M5" s="982"/>
      <c r="N5" s="982"/>
      <c r="O5" s="982"/>
      <c r="P5" s="982"/>
      <c r="Q5" s="2004"/>
      <c r="R5" s="2004"/>
      <c r="S5" s="70"/>
      <c r="T5" s="71"/>
      <c r="U5" s="70"/>
      <c r="V5" s="85" t="s">
        <v>48</v>
      </c>
      <c r="W5" s="85"/>
      <c r="X5" s="85"/>
      <c r="Y5" s="85"/>
      <c r="Z5" s="85"/>
      <c r="AA5" s="85"/>
      <c r="AB5" s="85"/>
      <c r="AC5" s="85"/>
      <c r="AD5" s="71"/>
      <c r="AE5" s="2004"/>
      <c r="AG5" s="2004"/>
      <c r="AH5" s="2004"/>
      <c r="AI5" s="2004"/>
      <c r="AK5" s="2004"/>
      <c r="AL5" s="981"/>
      <c r="AM5" s="981"/>
      <c r="AN5" s="981"/>
      <c r="AO5" s="981"/>
      <c r="AP5" s="981"/>
      <c r="AQ5" s="981"/>
      <c r="AR5" s="981"/>
      <c r="AS5" s="981"/>
      <c r="AT5" s="2793"/>
      <c r="AU5" s="2793"/>
      <c r="AV5" s="2793"/>
      <c r="AW5" s="2793"/>
      <c r="AX5" s="2793"/>
      <c r="AY5" s="2793"/>
    </row>
    <row r="6" spans="1:51" ht="16.5" thickBot="1">
      <c r="A6" s="885"/>
      <c r="B6" s="886" t="s">
        <v>155</v>
      </c>
      <c r="C6" s="887" t="s">
        <v>4568</v>
      </c>
      <c r="D6" s="888"/>
      <c r="E6" s="888"/>
      <c r="F6" s="888"/>
      <c r="G6" s="888"/>
      <c r="H6" s="888"/>
      <c r="I6" s="888"/>
      <c r="J6" s="885"/>
      <c r="K6" s="885"/>
      <c r="L6" s="885"/>
      <c r="M6" s="885"/>
      <c r="N6" s="885"/>
      <c r="O6" s="885"/>
      <c r="P6" s="885"/>
      <c r="Q6" s="2004"/>
      <c r="R6" s="2004"/>
      <c r="S6" s="70"/>
      <c r="T6" s="71"/>
      <c r="U6" s="70"/>
      <c r="V6" s="85"/>
      <c r="W6" s="85"/>
      <c r="X6" s="85"/>
      <c r="Y6" s="85"/>
      <c r="Z6" s="85"/>
      <c r="AA6" s="85"/>
      <c r="AB6" s="85"/>
      <c r="AC6" s="85"/>
      <c r="AD6" s="71"/>
      <c r="AE6" s="2004"/>
      <c r="AG6" s="2004"/>
      <c r="AH6" s="2004"/>
      <c r="AI6" s="2004"/>
      <c r="AK6" s="2004"/>
      <c r="AL6" s="886" t="s">
        <v>155</v>
      </c>
      <c r="AM6" s="887" t="s">
        <v>4568</v>
      </c>
      <c r="AN6" s="888"/>
      <c r="AO6" s="888"/>
      <c r="AP6" s="888"/>
      <c r="AQ6" s="888"/>
      <c r="AR6" s="888"/>
      <c r="AS6" s="888"/>
      <c r="AT6" s="923"/>
      <c r="AU6" s="923"/>
      <c r="AV6" s="923"/>
      <c r="AW6" s="923"/>
      <c r="AX6" s="923"/>
      <c r="AY6" s="923"/>
    </row>
    <row r="7" spans="1:51" ht="15.75">
      <c r="A7" s="885"/>
      <c r="B7" s="1472" t="s">
        <v>4918</v>
      </c>
      <c r="C7" s="890" t="s">
        <v>1042</v>
      </c>
      <c r="D7" s="890"/>
      <c r="E7" s="891" t="s">
        <v>51</v>
      </c>
      <c r="F7" s="892">
        <v>3</v>
      </c>
      <c r="G7" s="893">
        <v>1.768</v>
      </c>
      <c r="H7" s="1409">
        <v>1.944</v>
      </c>
      <c r="I7" s="894">
        <v>0.82499999999999996</v>
      </c>
      <c r="J7" s="893">
        <v>28.495999999999999</v>
      </c>
      <c r="K7" s="894">
        <v>0.20899999999999999</v>
      </c>
      <c r="L7" s="894">
        <v>0</v>
      </c>
      <c r="M7" s="894">
        <v>-3.0710000000000002</v>
      </c>
      <c r="N7" s="933">
        <v>0</v>
      </c>
      <c r="O7" s="895">
        <f>+SUM(G7:N7)</f>
        <v>30.171000000000003</v>
      </c>
      <c r="P7" s="896"/>
      <c r="Q7" s="2004"/>
      <c r="R7" s="897">
        <f t="shared" ref="R7:R10" si="0" xml:space="preserve"> IF( SUM( T7:AD7 ) = 0, 0, $V$5 )</f>
        <v>0</v>
      </c>
      <c r="S7" s="898"/>
      <c r="T7" s="71"/>
      <c r="U7" s="2004"/>
      <c r="V7" s="93">
        <f>IF(Validation!$H$3=1,0,IF(ISNUMBER(G7),0,1))</f>
        <v>0</v>
      </c>
      <c r="W7" s="93">
        <f>IF(Validation!$H$3=1,0,IF(ISNUMBER(H7),0,1))</f>
        <v>0</v>
      </c>
      <c r="X7" s="93">
        <f>IF(Validation!$H$3=1,0,IF(ISNUMBER(I7),0,1))</f>
        <v>0</v>
      </c>
      <c r="Y7" s="93">
        <f>IF(Validation!$H$3=1,0,IF(ISNUMBER(J7),0,1))</f>
        <v>0</v>
      </c>
      <c r="Z7" s="93">
        <f>IF(Validation!$H$3=1,0,IF(ISNUMBER(K7),0,1))</f>
        <v>0</v>
      </c>
      <c r="AA7" s="93">
        <f>IF(Validation!$H$3=1,0,IF(ISNUMBER(L7),0,1))</f>
        <v>0</v>
      </c>
      <c r="AB7" s="93">
        <f>IF(Validation!$H$3=1,0,IF(ISNUMBER(M7),0,1))</f>
        <v>0</v>
      </c>
      <c r="AC7" s="93">
        <f>IF(Validation!$H$3=1,0,IF(ISNUMBER(N7),0,1))</f>
        <v>0</v>
      </c>
      <c r="AD7" s="71"/>
      <c r="AE7" s="2004"/>
      <c r="AG7" s="2004"/>
      <c r="AH7" s="2004"/>
      <c r="AI7" s="2004"/>
      <c r="AK7" s="2004"/>
      <c r="AL7" s="1472" t="s">
        <v>4918</v>
      </c>
      <c r="AM7" s="890" t="s">
        <v>1042</v>
      </c>
      <c r="AN7" s="890"/>
      <c r="AO7" s="891" t="s">
        <v>51</v>
      </c>
      <c r="AP7" s="892">
        <v>3</v>
      </c>
      <c r="AQ7" s="2751" t="s">
        <v>4919</v>
      </c>
      <c r="AR7" s="2753" t="s">
        <v>4920</v>
      </c>
      <c r="AS7" s="2754" t="s">
        <v>4921</v>
      </c>
      <c r="AT7" s="2751" t="s">
        <v>4922</v>
      </c>
      <c r="AU7" s="2754" t="s">
        <v>4923</v>
      </c>
      <c r="AV7" s="2754" t="s">
        <v>4924</v>
      </c>
      <c r="AW7" s="2754" t="s">
        <v>4925</v>
      </c>
      <c r="AX7" s="2755" t="s">
        <v>4926</v>
      </c>
      <c r="AY7" s="2117" t="s">
        <v>4927</v>
      </c>
    </row>
    <row r="8" spans="1:51" ht="15.75">
      <c r="A8" s="885"/>
      <c r="B8" s="899" t="s">
        <v>4928</v>
      </c>
      <c r="C8" s="900" t="s">
        <v>1050</v>
      </c>
      <c r="D8" s="900"/>
      <c r="E8" s="901" t="s">
        <v>51</v>
      </c>
      <c r="F8" s="902">
        <v>3</v>
      </c>
      <c r="G8" s="903">
        <v>0</v>
      </c>
      <c r="H8" s="1410">
        <v>0</v>
      </c>
      <c r="I8" s="904">
        <v>0</v>
      </c>
      <c r="J8" s="903">
        <v>0</v>
      </c>
      <c r="K8" s="904">
        <v>0</v>
      </c>
      <c r="L8" s="904">
        <v>0</v>
      </c>
      <c r="M8" s="904">
        <v>-2.262</v>
      </c>
      <c r="N8" s="935">
        <v>0</v>
      </c>
      <c r="O8" s="905">
        <f t="shared" ref="O8:O10" si="1">+SUM(G8:N8)</f>
        <v>-2.262</v>
      </c>
      <c r="P8" s="906"/>
      <c r="Q8" s="2004"/>
      <c r="R8" s="897">
        <f t="shared" si="0"/>
        <v>0</v>
      </c>
      <c r="S8" s="898"/>
      <c r="T8" s="71"/>
      <c r="U8" s="2004"/>
      <c r="V8" s="93">
        <f>IF(Validation!$H$3=1,0,IF(ISNUMBER(G8),0,1))</f>
        <v>0</v>
      </c>
      <c r="W8" s="93">
        <f>IF(Validation!$H$3=1,0,IF(ISNUMBER(H8),0,1))</f>
        <v>0</v>
      </c>
      <c r="X8" s="93">
        <f>IF(Validation!$H$3=1,0,IF(ISNUMBER(I8),0,1))</f>
        <v>0</v>
      </c>
      <c r="Y8" s="93">
        <f>IF(Validation!$H$3=1,0,IF(ISNUMBER(J8),0,1))</f>
        <v>0</v>
      </c>
      <c r="Z8" s="93">
        <f>IF(Validation!$H$3=1,0,IF(ISNUMBER(K8),0,1))</f>
        <v>0</v>
      </c>
      <c r="AA8" s="93">
        <f>IF(Validation!$H$3=1,0,IF(ISNUMBER(L8),0,1))</f>
        <v>0</v>
      </c>
      <c r="AB8" s="93">
        <f>IF(Validation!$H$3=1,0,IF(ISNUMBER(M8),0,1))</f>
        <v>0</v>
      </c>
      <c r="AC8" s="93">
        <f>IF(Validation!$H$3=1,0,IF(ISNUMBER(N8),0,1))</f>
        <v>0</v>
      </c>
      <c r="AD8" s="71"/>
      <c r="AE8" s="2004"/>
      <c r="AG8" s="2004"/>
      <c r="AH8" s="2004"/>
      <c r="AI8" s="2004"/>
      <c r="AK8" s="2004"/>
      <c r="AL8" s="899" t="s">
        <v>4928</v>
      </c>
      <c r="AM8" s="900" t="s">
        <v>1050</v>
      </c>
      <c r="AN8" s="900"/>
      <c r="AO8" s="901" t="s">
        <v>51</v>
      </c>
      <c r="AP8" s="902">
        <v>3</v>
      </c>
      <c r="AQ8" s="2756" t="s">
        <v>4929</v>
      </c>
      <c r="AR8" s="2758" t="s">
        <v>4930</v>
      </c>
      <c r="AS8" s="2759" t="s">
        <v>4931</v>
      </c>
      <c r="AT8" s="2756" t="s">
        <v>4932</v>
      </c>
      <c r="AU8" s="2759" t="s">
        <v>4933</v>
      </c>
      <c r="AV8" s="2759" t="s">
        <v>4934</v>
      </c>
      <c r="AW8" s="2759" t="s">
        <v>4935</v>
      </c>
      <c r="AX8" s="2760" t="s">
        <v>4936</v>
      </c>
      <c r="AY8" s="2118" t="s">
        <v>4937</v>
      </c>
    </row>
    <row r="9" spans="1:51" ht="15.75">
      <c r="A9" s="885"/>
      <c r="B9" s="899" t="s">
        <v>4938</v>
      </c>
      <c r="C9" s="900" t="s">
        <v>4939</v>
      </c>
      <c r="D9" s="900"/>
      <c r="E9" s="901" t="s">
        <v>51</v>
      </c>
      <c r="F9" s="902">
        <v>3</v>
      </c>
      <c r="G9" s="903">
        <v>0.68100000000000005</v>
      </c>
      <c r="H9" s="1410">
        <v>0.751</v>
      </c>
      <c r="I9" s="904">
        <v>0.58299999999999996</v>
      </c>
      <c r="J9" s="903">
        <v>4.2489999999999997</v>
      </c>
      <c r="K9" s="904">
        <v>0</v>
      </c>
      <c r="L9" s="904">
        <v>0</v>
      </c>
      <c r="M9" s="904">
        <v>0</v>
      </c>
      <c r="N9" s="935">
        <v>0</v>
      </c>
      <c r="O9" s="905">
        <f t="shared" si="1"/>
        <v>6.2639999999999993</v>
      </c>
      <c r="P9" s="906"/>
      <c r="Q9" s="2004"/>
      <c r="R9" s="897">
        <f t="shared" si="0"/>
        <v>0</v>
      </c>
      <c r="S9" s="898"/>
      <c r="T9" s="71"/>
      <c r="U9" s="2004"/>
      <c r="V9" s="93">
        <f>IF(Validation!$H$3=1,0,IF(ISNUMBER(G9),0,1))</f>
        <v>0</v>
      </c>
      <c r="W9" s="93">
        <f>IF(Validation!$H$3=1,0,IF(ISNUMBER(H9),0,1))</f>
        <v>0</v>
      </c>
      <c r="X9" s="93">
        <f>IF(Validation!$H$3=1,0,IF(ISNUMBER(I9),0,1))</f>
        <v>0</v>
      </c>
      <c r="Y9" s="93">
        <f>IF(Validation!$H$3=1,0,IF(ISNUMBER(J9),0,1))</f>
        <v>0</v>
      </c>
      <c r="Z9" s="93">
        <f>IF(Validation!$H$3=1,0,IF(ISNUMBER(K9),0,1))</f>
        <v>0</v>
      </c>
      <c r="AA9" s="93">
        <f>IF(Validation!$H$3=1,0,IF(ISNUMBER(L9),0,1))</f>
        <v>0</v>
      </c>
      <c r="AB9" s="93">
        <f>IF(Validation!$H$3=1,0,IF(ISNUMBER(M9),0,1))</f>
        <v>0</v>
      </c>
      <c r="AC9" s="93">
        <f>IF(Validation!$H$3=1,0,IF(ISNUMBER(N9),0,1))</f>
        <v>0</v>
      </c>
      <c r="AD9" s="71"/>
      <c r="AE9" s="2004"/>
      <c r="AG9" s="2004"/>
      <c r="AH9" s="2004"/>
      <c r="AI9" s="2004"/>
      <c r="AK9" s="2004"/>
      <c r="AL9" s="899" t="s">
        <v>4938</v>
      </c>
      <c r="AM9" s="900" t="s">
        <v>4939</v>
      </c>
      <c r="AN9" s="900"/>
      <c r="AO9" s="901" t="s">
        <v>51</v>
      </c>
      <c r="AP9" s="902">
        <v>3</v>
      </c>
      <c r="AQ9" s="2756" t="s">
        <v>4940</v>
      </c>
      <c r="AR9" s="2758" t="s">
        <v>4941</v>
      </c>
      <c r="AS9" s="2759" t="s">
        <v>4942</v>
      </c>
      <c r="AT9" s="2756" t="s">
        <v>4943</v>
      </c>
      <c r="AU9" s="2759" t="s">
        <v>4944</v>
      </c>
      <c r="AV9" s="2759" t="s">
        <v>4945</v>
      </c>
      <c r="AW9" s="2759" t="s">
        <v>4946</v>
      </c>
      <c r="AX9" s="2760" t="s">
        <v>4947</v>
      </c>
      <c r="AY9" s="2118" t="s">
        <v>4948</v>
      </c>
    </row>
    <row r="10" spans="1:51" ht="15.75">
      <c r="A10" s="885"/>
      <c r="B10" s="899" t="s">
        <v>4949</v>
      </c>
      <c r="C10" s="900" t="s">
        <v>3561</v>
      </c>
      <c r="D10" s="900"/>
      <c r="E10" s="901" t="s">
        <v>51</v>
      </c>
      <c r="F10" s="902">
        <v>3</v>
      </c>
      <c r="G10" s="903">
        <v>0</v>
      </c>
      <c r="H10" s="1410">
        <v>0</v>
      </c>
      <c r="I10" s="904">
        <v>0</v>
      </c>
      <c r="J10" s="903">
        <v>0</v>
      </c>
      <c r="K10" s="904">
        <v>0</v>
      </c>
      <c r="L10" s="904">
        <v>0</v>
      </c>
      <c r="M10" s="904">
        <v>0</v>
      </c>
      <c r="N10" s="935">
        <v>0</v>
      </c>
      <c r="O10" s="905">
        <f t="shared" si="1"/>
        <v>0</v>
      </c>
      <c r="P10" s="906"/>
      <c r="Q10" s="2004"/>
      <c r="R10" s="897">
        <f t="shared" si="0"/>
        <v>0</v>
      </c>
      <c r="S10" s="898"/>
      <c r="T10" s="71"/>
      <c r="U10" s="2004"/>
      <c r="V10" s="93">
        <f>IF(Validation!$H$3=1,0,IF(ISNUMBER(G10),0,1))</f>
        <v>0</v>
      </c>
      <c r="W10" s="93">
        <f>IF(Validation!$H$3=1,0,IF(ISNUMBER(H10),0,1))</f>
        <v>0</v>
      </c>
      <c r="X10" s="93">
        <f>IF(Validation!$H$3=1,0,IF(ISNUMBER(I10),0,1))</f>
        <v>0</v>
      </c>
      <c r="Y10" s="93">
        <f>IF(Validation!$H$3=1,0,IF(ISNUMBER(J10),0,1))</f>
        <v>0</v>
      </c>
      <c r="Z10" s="93">
        <f>IF(Validation!$H$3=1,0,IF(ISNUMBER(K10),0,1))</f>
        <v>0</v>
      </c>
      <c r="AA10" s="93">
        <f>IF(Validation!$H$3=1,0,IF(ISNUMBER(L10),0,1))</f>
        <v>0</v>
      </c>
      <c r="AB10" s="93">
        <f>IF(Validation!$H$3=1,0,IF(ISNUMBER(M10),0,1))</f>
        <v>0</v>
      </c>
      <c r="AC10" s="93">
        <f>IF(Validation!$H$3=1,0,IF(ISNUMBER(N10),0,1))</f>
        <v>0</v>
      </c>
      <c r="AD10" s="71"/>
      <c r="AE10" s="2004"/>
      <c r="AG10" s="2004"/>
      <c r="AH10" s="2004"/>
      <c r="AI10" s="2004"/>
      <c r="AK10" s="2004"/>
      <c r="AL10" s="899" t="s">
        <v>4949</v>
      </c>
      <c r="AM10" s="900" t="s">
        <v>3561</v>
      </c>
      <c r="AN10" s="900"/>
      <c r="AO10" s="901" t="s">
        <v>51</v>
      </c>
      <c r="AP10" s="902">
        <v>3</v>
      </c>
      <c r="AQ10" s="2756" t="s">
        <v>4950</v>
      </c>
      <c r="AR10" s="2758" t="s">
        <v>4951</v>
      </c>
      <c r="AS10" s="2759" t="s">
        <v>4952</v>
      </c>
      <c r="AT10" s="2756" t="s">
        <v>4953</v>
      </c>
      <c r="AU10" s="2759" t="s">
        <v>4954</v>
      </c>
      <c r="AV10" s="2759" t="s">
        <v>4955</v>
      </c>
      <c r="AW10" s="2759" t="s">
        <v>4956</v>
      </c>
      <c r="AX10" s="2760" t="s">
        <v>4957</v>
      </c>
      <c r="AY10" s="2118" t="s">
        <v>4958</v>
      </c>
    </row>
    <row r="11" spans="1:51" ht="15.75">
      <c r="A11" s="923"/>
      <c r="B11" s="1934"/>
      <c r="C11" s="907" t="s">
        <v>1282</v>
      </c>
      <c r="D11" s="908"/>
      <c r="E11" s="909"/>
      <c r="F11" s="910"/>
      <c r="G11" s="911"/>
      <c r="H11" s="911"/>
      <c r="I11" s="911"/>
      <c r="J11" s="911"/>
      <c r="K11" s="911"/>
      <c r="L11" s="911"/>
      <c r="M11" s="911"/>
      <c r="N11" s="911"/>
      <c r="O11" s="911"/>
      <c r="P11" s="1935"/>
      <c r="Q11" s="479"/>
      <c r="R11" s="576"/>
      <c r="S11" s="2004"/>
      <c r="U11" s="2004"/>
      <c r="V11" s="2004"/>
      <c r="W11" s="2004"/>
      <c r="X11" s="2004"/>
      <c r="Y11" s="2004"/>
      <c r="Z11" s="2004"/>
      <c r="AA11" s="2004"/>
      <c r="AB11" s="2004"/>
      <c r="AC11" s="2004"/>
      <c r="AE11" s="2004"/>
      <c r="AG11" s="2004"/>
      <c r="AH11" s="2004"/>
      <c r="AI11" s="2004"/>
      <c r="AK11" s="2004"/>
      <c r="AL11" s="1934"/>
      <c r="AM11" s="907" t="s">
        <v>1282</v>
      </c>
      <c r="AN11" s="908"/>
      <c r="AO11" s="909"/>
      <c r="AP11" s="910"/>
      <c r="AQ11" s="2119"/>
      <c r="AR11" s="2119"/>
      <c r="AS11" s="2119"/>
      <c r="AT11" s="2119"/>
      <c r="AU11" s="2119"/>
      <c r="AV11" s="2119"/>
      <c r="AW11" s="2119"/>
      <c r="AX11" s="2119"/>
      <c r="AY11" s="2119"/>
    </row>
    <row r="12" spans="1:51" ht="15.75">
      <c r="A12" s="885"/>
      <c r="B12" s="899" t="s">
        <v>4959</v>
      </c>
      <c r="C12" s="913" t="s">
        <v>4602</v>
      </c>
      <c r="D12" s="913"/>
      <c r="E12" s="901" t="s">
        <v>51</v>
      </c>
      <c r="F12" s="914">
        <v>3</v>
      </c>
      <c r="G12" s="903">
        <v>0</v>
      </c>
      <c r="H12" s="1410">
        <v>0</v>
      </c>
      <c r="I12" s="904">
        <v>0</v>
      </c>
      <c r="J12" s="903">
        <v>0</v>
      </c>
      <c r="K12" s="904">
        <v>0</v>
      </c>
      <c r="L12" s="904">
        <v>0</v>
      </c>
      <c r="M12" s="904">
        <v>0</v>
      </c>
      <c r="N12" s="935">
        <v>0</v>
      </c>
      <c r="O12" s="905">
        <f t="shared" ref="O12:O16" si="2">+SUM(G12:N12)</f>
        <v>0</v>
      </c>
      <c r="P12" s="906"/>
      <c r="Q12" s="2004"/>
      <c r="R12" s="897">
        <f t="shared" ref="R12:R15" si="3" xml:space="preserve"> IF( SUM( T12:AD12 ) = 0, 0, $V$5 )</f>
        <v>0</v>
      </c>
      <c r="S12" s="898"/>
      <c r="T12" s="71"/>
      <c r="U12" s="2004"/>
      <c r="V12" s="93">
        <f>IF(Validation!$H$3=1,0,IF(ISNUMBER(G12),0,1))</f>
        <v>0</v>
      </c>
      <c r="W12" s="93">
        <f>IF(Validation!$H$3=1,0,IF(ISNUMBER(H12),0,1))</f>
        <v>0</v>
      </c>
      <c r="X12" s="93">
        <f>IF(Validation!$H$3=1,0,IF(ISNUMBER(I12),0,1))</f>
        <v>0</v>
      </c>
      <c r="Y12" s="93">
        <f>IF(Validation!$H$3=1,0,IF(ISNUMBER(J12),0,1))</f>
        <v>0</v>
      </c>
      <c r="Z12" s="93">
        <f>IF(Validation!$H$3=1,0,IF(ISNUMBER(K12),0,1))</f>
        <v>0</v>
      </c>
      <c r="AA12" s="93">
        <f>IF(Validation!$H$3=1,0,IF(ISNUMBER(L12),0,1))</f>
        <v>0</v>
      </c>
      <c r="AB12" s="93">
        <f>IF(Validation!$H$3=1,0,IF(ISNUMBER(M12),0,1))</f>
        <v>0</v>
      </c>
      <c r="AC12" s="93">
        <f>IF(Validation!$H$3=1,0,IF(ISNUMBER(N12),0,1))</f>
        <v>0</v>
      </c>
      <c r="AD12" s="71"/>
      <c r="AE12" s="2004"/>
      <c r="AG12" s="2004"/>
      <c r="AH12" s="2004"/>
      <c r="AI12" s="2004"/>
      <c r="AK12" s="2004"/>
      <c r="AL12" s="899" t="s">
        <v>4959</v>
      </c>
      <c r="AM12" s="913" t="s">
        <v>4602</v>
      </c>
      <c r="AN12" s="913"/>
      <c r="AO12" s="901" t="s">
        <v>51</v>
      </c>
      <c r="AP12" s="914">
        <v>3</v>
      </c>
      <c r="AQ12" s="2756" t="s">
        <v>4960</v>
      </c>
      <c r="AR12" s="2758" t="s">
        <v>4961</v>
      </c>
      <c r="AS12" s="2759" t="s">
        <v>4962</v>
      </c>
      <c r="AT12" s="2756" t="s">
        <v>4963</v>
      </c>
      <c r="AU12" s="2759" t="s">
        <v>4964</v>
      </c>
      <c r="AV12" s="2759" t="s">
        <v>4965</v>
      </c>
      <c r="AW12" s="2759" t="s">
        <v>4966</v>
      </c>
      <c r="AX12" s="2760" t="s">
        <v>4967</v>
      </c>
      <c r="AY12" s="2118" t="s">
        <v>4968</v>
      </c>
    </row>
    <row r="13" spans="1:51" ht="15.75">
      <c r="A13" s="885"/>
      <c r="B13" s="899" t="s">
        <v>4969</v>
      </c>
      <c r="C13" s="900" t="s">
        <v>4611</v>
      </c>
      <c r="D13" s="900"/>
      <c r="E13" s="901" t="s">
        <v>51</v>
      </c>
      <c r="F13" s="914">
        <v>3</v>
      </c>
      <c r="G13" s="903">
        <v>0</v>
      </c>
      <c r="H13" s="1410">
        <v>0</v>
      </c>
      <c r="I13" s="904">
        <v>0</v>
      </c>
      <c r="J13" s="903">
        <v>0</v>
      </c>
      <c r="K13" s="904">
        <v>0</v>
      </c>
      <c r="L13" s="904">
        <v>0</v>
      </c>
      <c r="M13" s="904">
        <v>0</v>
      </c>
      <c r="N13" s="935">
        <v>0</v>
      </c>
      <c r="O13" s="905">
        <f t="shared" si="2"/>
        <v>0</v>
      </c>
      <c r="P13" s="906"/>
      <c r="Q13" s="2004"/>
      <c r="R13" s="897">
        <f t="shared" si="3"/>
        <v>0</v>
      </c>
      <c r="S13" s="898"/>
      <c r="T13" s="71"/>
      <c r="U13" s="2004"/>
      <c r="V13" s="93">
        <f>IF(Validation!$H$3=1,0,IF(ISNUMBER(G13),0,1))</f>
        <v>0</v>
      </c>
      <c r="W13" s="93">
        <f>IF(Validation!$H$3=1,0,IF(ISNUMBER(H13),0,1))</f>
        <v>0</v>
      </c>
      <c r="X13" s="93">
        <f>IF(Validation!$H$3=1,0,IF(ISNUMBER(I13),0,1))</f>
        <v>0</v>
      </c>
      <c r="Y13" s="93">
        <f>IF(Validation!$H$3=1,0,IF(ISNUMBER(J13),0,1))</f>
        <v>0</v>
      </c>
      <c r="Z13" s="93">
        <f>IF(Validation!$H$3=1,0,IF(ISNUMBER(K13),0,1))</f>
        <v>0</v>
      </c>
      <c r="AA13" s="93">
        <f>IF(Validation!$H$3=1,0,IF(ISNUMBER(L13),0,1))</f>
        <v>0</v>
      </c>
      <c r="AB13" s="93">
        <f>IF(Validation!$H$3=1,0,IF(ISNUMBER(M13),0,1))</f>
        <v>0</v>
      </c>
      <c r="AC13" s="93">
        <f>IF(Validation!$H$3=1,0,IF(ISNUMBER(N13),0,1))</f>
        <v>0</v>
      </c>
      <c r="AD13" s="71"/>
      <c r="AE13" s="2004"/>
      <c r="AG13" s="2004"/>
      <c r="AH13" s="2004"/>
      <c r="AI13" s="2004"/>
      <c r="AK13" s="2004"/>
      <c r="AL13" s="899" t="s">
        <v>4969</v>
      </c>
      <c r="AM13" s="900" t="s">
        <v>4611</v>
      </c>
      <c r="AN13" s="900"/>
      <c r="AO13" s="901" t="s">
        <v>51</v>
      </c>
      <c r="AP13" s="914">
        <v>3</v>
      </c>
      <c r="AQ13" s="2756" t="s">
        <v>4970</v>
      </c>
      <c r="AR13" s="2758" t="s">
        <v>4971</v>
      </c>
      <c r="AS13" s="2759" t="s">
        <v>4972</v>
      </c>
      <c r="AT13" s="2756" t="s">
        <v>4973</v>
      </c>
      <c r="AU13" s="2759" t="s">
        <v>4974</v>
      </c>
      <c r="AV13" s="2759" t="s">
        <v>4975</v>
      </c>
      <c r="AW13" s="2759" t="s">
        <v>4976</v>
      </c>
      <c r="AX13" s="2760" t="s">
        <v>4977</v>
      </c>
      <c r="AY13" s="2118" t="s">
        <v>4978</v>
      </c>
    </row>
    <row r="14" spans="1:51" ht="15.75">
      <c r="A14" s="885"/>
      <c r="B14" s="899" t="s">
        <v>4979</v>
      </c>
      <c r="C14" s="900" t="s">
        <v>4620</v>
      </c>
      <c r="D14" s="900"/>
      <c r="E14" s="901" t="s">
        <v>51</v>
      </c>
      <c r="F14" s="914">
        <v>3</v>
      </c>
      <c r="G14" s="903">
        <v>26.684999999999999</v>
      </c>
      <c r="H14" s="1410">
        <v>26.202999999999999</v>
      </c>
      <c r="I14" s="904">
        <v>16.73</v>
      </c>
      <c r="J14" s="903">
        <v>46.402999999999999</v>
      </c>
      <c r="K14" s="904">
        <v>0.60899999999999999</v>
      </c>
      <c r="L14" s="904">
        <v>4.7910000000000004</v>
      </c>
      <c r="M14" s="904">
        <v>17.861000000000001</v>
      </c>
      <c r="N14" s="935">
        <v>9.0570000000000004</v>
      </c>
      <c r="O14" s="905">
        <f t="shared" si="2"/>
        <v>148.33899999999997</v>
      </c>
      <c r="P14" s="906"/>
      <c r="Q14" s="2004"/>
      <c r="R14" s="897">
        <f t="shared" si="3"/>
        <v>0</v>
      </c>
      <c r="S14" s="898"/>
      <c r="T14" s="71"/>
      <c r="U14" s="2004"/>
      <c r="V14" s="93">
        <f>IF(Validation!$H$3=1,0,IF(ISNUMBER(G14),0,1))</f>
        <v>0</v>
      </c>
      <c r="W14" s="93">
        <f>IF(Validation!$H$3=1,0,IF(ISNUMBER(H14),0,1))</f>
        <v>0</v>
      </c>
      <c r="X14" s="93">
        <f>IF(Validation!$H$3=1,0,IF(ISNUMBER(I14),0,1))</f>
        <v>0</v>
      </c>
      <c r="Y14" s="93">
        <f>IF(Validation!$H$3=1,0,IF(ISNUMBER(J14),0,1))</f>
        <v>0</v>
      </c>
      <c r="Z14" s="93">
        <f>IF(Validation!$H$3=1,0,IF(ISNUMBER(K14),0,1))</f>
        <v>0</v>
      </c>
      <c r="AA14" s="93">
        <f>IF(Validation!$H$3=1,0,IF(ISNUMBER(L14),0,1))</f>
        <v>0</v>
      </c>
      <c r="AB14" s="93">
        <f>IF(Validation!$H$3=1,0,IF(ISNUMBER(M14),0,1))</f>
        <v>0</v>
      </c>
      <c r="AC14" s="93">
        <f>IF(Validation!$H$3=1,0,IF(ISNUMBER(N14),0,1))</f>
        <v>0</v>
      </c>
      <c r="AD14" s="71"/>
      <c r="AE14" s="2004"/>
      <c r="AG14" s="2004"/>
      <c r="AH14" s="2004"/>
      <c r="AI14" s="2004"/>
      <c r="AK14" s="2004"/>
      <c r="AL14" s="899" t="s">
        <v>4979</v>
      </c>
      <c r="AM14" s="900" t="s">
        <v>4620</v>
      </c>
      <c r="AN14" s="900"/>
      <c r="AO14" s="901" t="s">
        <v>51</v>
      </c>
      <c r="AP14" s="914">
        <v>3</v>
      </c>
      <c r="AQ14" s="2756" t="s">
        <v>4980</v>
      </c>
      <c r="AR14" s="2758" t="s">
        <v>4981</v>
      </c>
      <c r="AS14" s="2759" t="s">
        <v>4982</v>
      </c>
      <c r="AT14" s="2756" t="s">
        <v>4983</v>
      </c>
      <c r="AU14" s="2759" t="s">
        <v>4984</v>
      </c>
      <c r="AV14" s="2759" t="s">
        <v>4985</v>
      </c>
      <c r="AW14" s="2759" t="s">
        <v>4986</v>
      </c>
      <c r="AX14" s="2760" t="s">
        <v>4987</v>
      </c>
      <c r="AY14" s="2118" t="s">
        <v>4988</v>
      </c>
    </row>
    <row r="15" spans="1:51" ht="15.75">
      <c r="A15" s="885"/>
      <c r="B15" s="899" t="s">
        <v>4989</v>
      </c>
      <c r="C15" s="900" t="s">
        <v>1098</v>
      </c>
      <c r="D15" s="900"/>
      <c r="E15" s="901" t="s">
        <v>51</v>
      </c>
      <c r="F15" s="914">
        <v>3</v>
      </c>
      <c r="G15" s="903">
        <v>8.5000000000000006E-2</v>
      </c>
      <c r="H15" s="1410">
        <v>0.08</v>
      </c>
      <c r="I15" s="904">
        <v>6.0999999999999999E-2</v>
      </c>
      <c r="J15" s="903">
        <v>19.806000000000001</v>
      </c>
      <c r="K15" s="904">
        <v>3.0000000000000001E-3</v>
      </c>
      <c r="L15" s="904">
        <v>1E-3</v>
      </c>
      <c r="M15" s="904">
        <v>1.4119999999999999</v>
      </c>
      <c r="N15" s="935">
        <v>0</v>
      </c>
      <c r="O15" s="905">
        <f t="shared" si="2"/>
        <v>21.448</v>
      </c>
      <c r="P15" s="906"/>
      <c r="Q15" s="2004"/>
      <c r="R15" s="897">
        <f t="shared" si="3"/>
        <v>0</v>
      </c>
      <c r="S15" s="898"/>
      <c r="T15" s="71"/>
      <c r="U15" s="2004"/>
      <c r="V15" s="93">
        <f>IF(Validation!$H$3=1,0,IF(ISNUMBER(G15),0,1))</f>
        <v>0</v>
      </c>
      <c r="W15" s="93">
        <f>IF(Validation!$H$3=1,0,IF(ISNUMBER(H15),0,1))</f>
        <v>0</v>
      </c>
      <c r="X15" s="93">
        <f>IF(Validation!$H$3=1,0,IF(ISNUMBER(I15),0,1))</f>
        <v>0</v>
      </c>
      <c r="Y15" s="93">
        <f>IF(Validation!$H$3=1,0,IF(ISNUMBER(J15),0,1))</f>
        <v>0</v>
      </c>
      <c r="Z15" s="93">
        <f>IF(Validation!$H$3=1,0,IF(ISNUMBER(K15),0,1))</f>
        <v>0</v>
      </c>
      <c r="AA15" s="93">
        <f>IF(Validation!$H$3=1,0,IF(ISNUMBER(L15),0,1))</f>
        <v>0</v>
      </c>
      <c r="AB15" s="93">
        <f>IF(Validation!$H$3=1,0,IF(ISNUMBER(M15),0,1))</f>
        <v>0</v>
      </c>
      <c r="AC15" s="93">
        <f>IF(Validation!$H$3=1,0,IF(ISNUMBER(N15),0,1))</f>
        <v>0</v>
      </c>
      <c r="AD15" s="71"/>
      <c r="AE15" s="2004"/>
      <c r="AG15" s="2004"/>
      <c r="AH15" s="2004"/>
      <c r="AI15" s="2004"/>
      <c r="AK15" s="2004"/>
      <c r="AL15" s="899" t="s">
        <v>4989</v>
      </c>
      <c r="AM15" s="900" t="s">
        <v>1098</v>
      </c>
      <c r="AN15" s="900"/>
      <c r="AO15" s="901" t="s">
        <v>51</v>
      </c>
      <c r="AP15" s="914">
        <v>3</v>
      </c>
      <c r="AQ15" s="2756" t="s">
        <v>4990</v>
      </c>
      <c r="AR15" s="2758" t="s">
        <v>4991</v>
      </c>
      <c r="AS15" s="2759" t="s">
        <v>4992</v>
      </c>
      <c r="AT15" s="2756" t="s">
        <v>4993</v>
      </c>
      <c r="AU15" s="2759" t="s">
        <v>4994</v>
      </c>
      <c r="AV15" s="2759" t="s">
        <v>4995</v>
      </c>
      <c r="AW15" s="2759" t="s">
        <v>4996</v>
      </c>
      <c r="AX15" s="2760" t="s">
        <v>4997</v>
      </c>
      <c r="AY15" s="2118" t="s">
        <v>4998</v>
      </c>
    </row>
    <row r="16" spans="1:51" ht="16.5" thickBot="1">
      <c r="A16" s="885"/>
      <c r="B16" s="915" t="s">
        <v>4999</v>
      </c>
      <c r="C16" s="916" t="s">
        <v>4637</v>
      </c>
      <c r="D16" s="916"/>
      <c r="E16" s="917" t="s">
        <v>51</v>
      </c>
      <c r="F16" s="918">
        <v>3</v>
      </c>
      <c r="G16" s="919">
        <f t="shared" ref="G16" si="4">+SUM(G7:G15)</f>
        <v>29.219000000000001</v>
      </c>
      <c r="H16" s="1411">
        <f t="shared" ref="H16:N16" si="5">+SUM(H7:H15)</f>
        <v>28.977999999999998</v>
      </c>
      <c r="I16" s="920">
        <f t="shared" si="5"/>
        <v>18.199000000000002</v>
      </c>
      <c r="J16" s="919">
        <f t="shared" si="5"/>
        <v>98.953999999999994</v>
      </c>
      <c r="K16" s="920">
        <f t="shared" si="5"/>
        <v>0.82099999999999995</v>
      </c>
      <c r="L16" s="920">
        <f t="shared" si="5"/>
        <v>4.7920000000000007</v>
      </c>
      <c r="M16" s="920">
        <f t="shared" si="5"/>
        <v>13.940000000000001</v>
      </c>
      <c r="N16" s="1431">
        <f t="shared" si="5"/>
        <v>9.0570000000000004</v>
      </c>
      <c r="O16" s="921">
        <f t="shared" si="2"/>
        <v>203.95999999999998</v>
      </c>
      <c r="P16" s="922"/>
      <c r="Q16" s="2004"/>
      <c r="R16" s="576"/>
      <c r="S16" s="2004"/>
      <c r="U16" s="2004"/>
      <c r="V16" s="2004"/>
      <c r="W16" s="2004"/>
      <c r="X16" s="2004"/>
      <c r="Y16" s="2004"/>
      <c r="Z16" s="2004"/>
      <c r="AA16" s="2004"/>
      <c r="AB16" s="2004"/>
      <c r="AC16" s="2004"/>
      <c r="AE16" s="2004"/>
      <c r="AG16" s="2004"/>
      <c r="AH16" s="2004"/>
      <c r="AI16" s="2004"/>
      <c r="AK16" s="2004"/>
      <c r="AL16" s="915" t="s">
        <v>4999</v>
      </c>
      <c r="AM16" s="916" t="s">
        <v>4637</v>
      </c>
      <c r="AN16" s="916"/>
      <c r="AO16" s="917" t="s">
        <v>51</v>
      </c>
      <c r="AP16" s="918">
        <v>3</v>
      </c>
      <c r="AQ16" s="919" t="s">
        <v>5000</v>
      </c>
      <c r="AR16" s="1411" t="s">
        <v>5001</v>
      </c>
      <c r="AS16" s="920" t="s">
        <v>5002</v>
      </c>
      <c r="AT16" s="919" t="s">
        <v>5003</v>
      </c>
      <c r="AU16" s="920" t="s">
        <v>5004</v>
      </c>
      <c r="AV16" s="920" t="s">
        <v>5005</v>
      </c>
      <c r="AW16" s="920" t="s">
        <v>5006</v>
      </c>
      <c r="AX16" s="1431" t="s">
        <v>5007</v>
      </c>
      <c r="AY16" s="2120" t="s">
        <v>5008</v>
      </c>
    </row>
    <row r="17" spans="1:51" ht="16.5" thickBot="1">
      <c r="A17" s="885"/>
      <c r="B17" s="923"/>
      <c r="C17" s="923"/>
      <c r="D17" s="923"/>
      <c r="E17" s="923"/>
      <c r="F17" s="923"/>
      <c r="G17" s="885"/>
      <c r="H17" s="885"/>
      <c r="I17" s="885"/>
      <c r="J17" s="885"/>
      <c r="K17" s="885"/>
      <c r="L17" s="885"/>
      <c r="M17" s="885"/>
      <c r="N17" s="885"/>
      <c r="O17" s="885"/>
      <c r="P17" s="885"/>
      <c r="Q17" s="2004"/>
      <c r="R17" s="576"/>
      <c r="S17" s="2004"/>
      <c r="U17" s="2004"/>
      <c r="V17" s="2004"/>
      <c r="W17" s="2004"/>
      <c r="X17" s="2004"/>
      <c r="Y17" s="2004"/>
      <c r="Z17" s="2004"/>
      <c r="AA17" s="2004"/>
      <c r="AB17" s="2004"/>
      <c r="AC17" s="2004"/>
      <c r="AE17" s="2004"/>
      <c r="AG17" s="2004"/>
      <c r="AH17" s="2004"/>
      <c r="AI17" s="2004"/>
      <c r="AK17" s="2004"/>
      <c r="AL17" s="923"/>
      <c r="AM17" s="923"/>
      <c r="AN17" s="923"/>
      <c r="AO17" s="923"/>
      <c r="AP17" s="923"/>
      <c r="AQ17" s="2762"/>
      <c r="AR17" s="2762"/>
      <c r="AS17" s="2762"/>
      <c r="AT17" s="2762"/>
      <c r="AU17" s="2762"/>
      <c r="AV17" s="2762"/>
      <c r="AW17" s="2762"/>
      <c r="AX17" s="2762"/>
      <c r="AY17" s="2762"/>
    </row>
    <row r="18" spans="1:51" ht="15.75">
      <c r="A18" s="885"/>
      <c r="B18" s="889" t="s">
        <v>5009</v>
      </c>
      <c r="C18" s="890" t="s">
        <v>1114</v>
      </c>
      <c r="D18" s="890"/>
      <c r="E18" s="891" t="s">
        <v>51</v>
      </c>
      <c r="F18" s="892">
        <v>3</v>
      </c>
      <c r="G18" s="893">
        <v>0</v>
      </c>
      <c r="H18" s="1409">
        <v>0</v>
      </c>
      <c r="I18" s="894">
        <v>0</v>
      </c>
      <c r="J18" s="893">
        <v>0</v>
      </c>
      <c r="K18" s="894">
        <v>0</v>
      </c>
      <c r="L18" s="894">
        <v>0</v>
      </c>
      <c r="M18" s="894">
        <v>0</v>
      </c>
      <c r="N18" s="933">
        <v>0</v>
      </c>
      <c r="O18" s="895">
        <f t="shared" ref="O18:O19" si="6">+SUM(G18:N18)</f>
        <v>0</v>
      </c>
      <c r="P18" s="896"/>
      <c r="Q18" s="2004"/>
      <c r="R18" s="897">
        <f t="shared" ref="R18" si="7" xml:space="preserve"> IF( SUM( T18:AD18 ) = 0, 0, $V$5 )</f>
        <v>0</v>
      </c>
      <c r="S18" s="898"/>
      <c r="T18" s="71"/>
      <c r="U18" s="2004"/>
      <c r="V18" s="93">
        <f>IF(Validation!$H$3=1,0,IF(ISNUMBER(G18),0,1))</f>
        <v>0</v>
      </c>
      <c r="W18" s="93">
        <f>IF(Validation!$H$3=1,0,IF(ISNUMBER(H18),0,1))</f>
        <v>0</v>
      </c>
      <c r="X18" s="93">
        <f>IF(Validation!$H$3=1,0,IF(ISNUMBER(I18),0,1))</f>
        <v>0</v>
      </c>
      <c r="Y18" s="93">
        <f>IF(Validation!$H$3=1,0,IF(ISNUMBER(J18),0,1))</f>
        <v>0</v>
      </c>
      <c r="Z18" s="93">
        <f>IF(Validation!$H$3=1,0,IF(ISNUMBER(K18),0,1))</f>
        <v>0</v>
      </c>
      <c r="AA18" s="93">
        <f>IF(Validation!$H$3=1,0,IF(ISNUMBER(L18),0,1))</f>
        <v>0</v>
      </c>
      <c r="AB18" s="93">
        <f>IF(Validation!$H$3=1,0,IF(ISNUMBER(M18),0,1))</f>
        <v>0</v>
      </c>
      <c r="AC18" s="93">
        <f>IF(Validation!$H$3=1,0,IF(ISNUMBER(N18),0,1))</f>
        <v>0</v>
      </c>
      <c r="AD18" s="71"/>
      <c r="AE18" s="2004"/>
      <c r="AG18" s="2004"/>
      <c r="AH18" s="2004"/>
      <c r="AI18" s="2004"/>
      <c r="AK18" s="2004"/>
      <c r="AL18" s="889" t="s">
        <v>5009</v>
      </c>
      <c r="AM18" s="890" t="s">
        <v>1114</v>
      </c>
      <c r="AN18" s="890"/>
      <c r="AO18" s="891" t="s">
        <v>51</v>
      </c>
      <c r="AP18" s="892">
        <v>3</v>
      </c>
      <c r="AQ18" s="2751" t="s">
        <v>5010</v>
      </c>
      <c r="AR18" s="2753" t="s">
        <v>5011</v>
      </c>
      <c r="AS18" s="2754" t="s">
        <v>5012</v>
      </c>
      <c r="AT18" s="2751" t="s">
        <v>5013</v>
      </c>
      <c r="AU18" s="2754" t="s">
        <v>5014</v>
      </c>
      <c r="AV18" s="2754" t="s">
        <v>5015</v>
      </c>
      <c r="AW18" s="2754" t="s">
        <v>5016</v>
      </c>
      <c r="AX18" s="2755" t="s">
        <v>5017</v>
      </c>
      <c r="AY18" s="2117" t="s">
        <v>5018</v>
      </c>
    </row>
    <row r="19" spans="1:51" ht="16.5" thickBot="1">
      <c r="A19" s="885"/>
      <c r="B19" s="915" t="s">
        <v>5019</v>
      </c>
      <c r="C19" s="916" t="s">
        <v>1122</v>
      </c>
      <c r="D19" s="916"/>
      <c r="E19" s="917" t="s">
        <v>51</v>
      </c>
      <c r="F19" s="918">
        <v>3</v>
      </c>
      <c r="G19" s="919">
        <f t="shared" ref="G19:N19" si="8">+G16+G18</f>
        <v>29.219000000000001</v>
      </c>
      <c r="H19" s="1411">
        <f t="shared" si="8"/>
        <v>28.977999999999998</v>
      </c>
      <c r="I19" s="920">
        <f t="shared" si="8"/>
        <v>18.199000000000002</v>
      </c>
      <c r="J19" s="919">
        <f t="shared" si="8"/>
        <v>98.953999999999994</v>
      </c>
      <c r="K19" s="920">
        <f t="shared" si="8"/>
        <v>0.82099999999999995</v>
      </c>
      <c r="L19" s="920">
        <f t="shared" si="8"/>
        <v>4.7920000000000007</v>
      </c>
      <c r="M19" s="920">
        <f t="shared" si="8"/>
        <v>13.940000000000001</v>
      </c>
      <c r="N19" s="1431">
        <f t="shared" si="8"/>
        <v>9.0570000000000004</v>
      </c>
      <c r="O19" s="921">
        <f t="shared" si="6"/>
        <v>203.95999999999998</v>
      </c>
      <c r="P19" s="922"/>
      <c r="Q19" s="2004"/>
      <c r="R19" s="576"/>
      <c r="S19" s="2004"/>
      <c r="U19" s="2004"/>
      <c r="V19" s="2004"/>
      <c r="W19" s="2004"/>
      <c r="X19" s="2004"/>
      <c r="Y19" s="2004"/>
      <c r="Z19" s="2004"/>
      <c r="AA19" s="2004"/>
      <c r="AB19" s="2004"/>
      <c r="AC19" s="2004"/>
      <c r="AE19" s="2004"/>
      <c r="AG19" s="2004"/>
      <c r="AH19" s="2004"/>
      <c r="AI19" s="2004"/>
      <c r="AK19" s="2004"/>
      <c r="AL19" s="915" t="s">
        <v>5019</v>
      </c>
      <c r="AM19" s="916" t="s">
        <v>1122</v>
      </c>
      <c r="AN19" s="916"/>
      <c r="AO19" s="917" t="s">
        <v>51</v>
      </c>
      <c r="AP19" s="918">
        <v>3</v>
      </c>
      <c r="AQ19" s="919" t="s">
        <v>5020</v>
      </c>
      <c r="AR19" s="1411" t="s">
        <v>5021</v>
      </c>
      <c r="AS19" s="920" t="s">
        <v>5022</v>
      </c>
      <c r="AT19" s="919" t="s">
        <v>5023</v>
      </c>
      <c r="AU19" s="920" t="s">
        <v>5024</v>
      </c>
      <c r="AV19" s="920" t="s">
        <v>5025</v>
      </c>
      <c r="AW19" s="920" t="s">
        <v>5026</v>
      </c>
      <c r="AX19" s="1431" t="s">
        <v>5027</v>
      </c>
      <c r="AY19" s="2120" t="s">
        <v>5028</v>
      </c>
    </row>
    <row r="20" spans="1:51" ht="16.5" thickBot="1">
      <c r="A20" s="885"/>
      <c r="B20" s="923"/>
      <c r="C20" s="923"/>
      <c r="D20" s="923"/>
      <c r="E20" s="923"/>
      <c r="F20" s="923"/>
      <c r="G20" s="885"/>
      <c r="H20" s="885"/>
      <c r="I20" s="885"/>
      <c r="J20" s="885"/>
      <c r="K20" s="885"/>
      <c r="L20" s="885"/>
      <c r="M20" s="885"/>
      <c r="N20" s="885"/>
      <c r="O20" s="885"/>
      <c r="P20" s="885"/>
      <c r="Q20" s="2004"/>
      <c r="R20" s="576"/>
      <c r="S20" s="2004"/>
      <c r="U20" s="2004"/>
      <c r="V20" s="2004"/>
      <c r="W20" s="2004"/>
      <c r="X20" s="2004"/>
      <c r="Y20" s="2004"/>
      <c r="Z20" s="2004"/>
      <c r="AA20" s="2004"/>
      <c r="AB20" s="2004"/>
      <c r="AC20" s="2004"/>
      <c r="AE20" s="2004"/>
      <c r="AG20" s="2004"/>
      <c r="AH20" s="2004"/>
      <c r="AI20" s="2004"/>
      <c r="AK20" s="2004"/>
      <c r="AL20" s="923"/>
      <c r="AM20" s="923"/>
      <c r="AN20" s="923"/>
      <c r="AO20" s="923"/>
      <c r="AP20" s="923"/>
      <c r="AQ20" s="2762"/>
      <c r="AR20" s="2762"/>
      <c r="AS20" s="2762"/>
      <c r="AT20" s="2762"/>
      <c r="AU20" s="2762"/>
      <c r="AV20" s="2762"/>
      <c r="AW20" s="2762"/>
      <c r="AX20" s="2762"/>
      <c r="AY20" s="2762"/>
    </row>
    <row r="21" spans="1:51" ht="16.5" thickBot="1">
      <c r="A21" s="885"/>
      <c r="B21" s="886" t="s">
        <v>177</v>
      </c>
      <c r="C21" s="887" t="s">
        <v>4661</v>
      </c>
      <c r="D21" s="3030"/>
      <c r="E21" s="888"/>
      <c r="F21" s="888"/>
      <c r="G21" s="885"/>
      <c r="H21" s="885"/>
      <c r="I21" s="885"/>
      <c r="J21" s="885"/>
      <c r="K21" s="885"/>
      <c r="L21" s="885"/>
      <c r="M21" s="885"/>
      <c r="N21" s="885"/>
      <c r="O21" s="885"/>
      <c r="P21" s="885"/>
      <c r="Q21" s="2004"/>
      <c r="R21" s="576"/>
      <c r="S21" s="2004"/>
      <c r="U21" s="2004"/>
      <c r="V21" s="2004"/>
      <c r="W21" s="2004"/>
      <c r="X21" s="2004"/>
      <c r="Y21" s="2004"/>
      <c r="Z21" s="2004"/>
      <c r="AA21" s="2004"/>
      <c r="AB21" s="2004"/>
      <c r="AC21" s="2004"/>
      <c r="AE21" s="2004"/>
      <c r="AG21" s="2004"/>
      <c r="AH21" s="2004"/>
      <c r="AI21" s="2004"/>
      <c r="AK21" s="2004"/>
      <c r="AL21" s="886" t="s">
        <v>177</v>
      </c>
      <c r="AM21" s="887" t="s">
        <v>4661</v>
      </c>
      <c r="AN21" s="3030"/>
      <c r="AO21" s="888"/>
      <c r="AP21" s="888"/>
      <c r="AQ21" s="2762"/>
      <c r="AR21" s="2762"/>
      <c r="AS21" s="2762"/>
      <c r="AT21" s="2762"/>
      <c r="AU21" s="2762"/>
      <c r="AV21" s="2762"/>
      <c r="AW21" s="2762"/>
      <c r="AX21" s="2762"/>
      <c r="AY21" s="2762"/>
    </row>
    <row r="22" spans="1:51" ht="409.5">
      <c r="A22" s="885"/>
      <c r="B22" s="889" t="s">
        <v>5029</v>
      </c>
      <c r="C22" s="890" t="s">
        <v>1131</v>
      </c>
      <c r="D22" s="890"/>
      <c r="E22" s="891" t="s">
        <v>51</v>
      </c>
      <c r="F22" s="892">
        <v>3</v>
      </c>
      <c r="G22" s="924">
        <v>11.930999999999999</v>
      </c>
      <c r="H22" s="1412">
        <v>13.153</v>
      </c>
      <c r="I22" s="925">
        <v>5.5069999999999997</v>
      </c>
      <c r="J22" s="924">
        <v>3.5659999999999998</v>
      </c>
      <c r="K22" s="925">
        <v>0</v>
      </c>
      <c r="L22" s="925">
        <v>0</v>
      </c>
      <c r="M22" s="925">
        <v>0</v>
      </c>
      <c r="N22" s="1732">
        <v>0</v>
      </c>
      <c r="O22" s="895">
        <f t="shared" ref="O22:O31" si="9">+SUM(G22:N22)</f>
        <v>34.157000000000004</v>
      </c>
      <c r="P22" s="896" t="s">
        <v>5030</v>
      </c>
      <c r="Q22" s="2004"/>
      <c r="R22" s="897">
        <f t="shared" ref="R22:R28" si="10" xml:space="preserve"> IF( SUM( T22:AD22 ) = 0, 0, $V$5 )</f>
        <v>0</v>
      </c>
      <c r="S22" s="898"/>
      <c r="T22" s="71"/>
      <c r="U22" s="2004"/>
      <c r="V22" s="93">
        <f>IF(Validation!$H$3=1,0,IF(ISNUMBER(G22),0,1))</f>
        <v>0</v>
      </c>
      <c r="W22" s="93">
        <f>IF(Validation!$H$3=1,0,IF(ISNUMBER(H22),0,1))</f>
        <v>0</v>
      </c>
      <c r="X22" s="93">
        <f>IF(Validation!$H$3=1,0,IF(ISNUMBER(I22),0,1))</f>
        <v>0</v>
      </c>
      <c r="Y22" s="93">
        <f>IF(Validation!$H$3=1,0,IF(ISNUMBER(J22),0,1))</f>
        <v>0</v>
      </c>
      <c r="Z22" s="93">
        <f>IF(Validation!$H$3=1,0,IF(ISNUMBER(K22),0,1))</f>
        <v>0</v>
      </c>
      <c r="AA22" s="93">
        <f>IF(Validation!$H$3=1,0,IF(ISNUMBER(L22),0,1))</f>
        <v>0</v>
      </c>
      <c r="AB22" s="93">
        <f>IF(Validation!$H$3=1,0,IF(ISNUMBER(M22),0,1))</f>
        <v>0</v>
      </c>
      <c r="AC22" s="93">
        <f>IF(Validation!$H$3=1,0,IF(ISNUMBER(N22),0,1))</f>
        <v>0</v>
      </c>
      <c r="AD22" s="71"/>
      <c r="AE22" s="2004"/>
      <c r="AG22" s="2004"/>
      <c r="AH22" s="2004"/>
      <c r="AI22" s="2004"/>
      <c r="AK22" s="2004"/>
      <c r="AL22" s="889" t="s">
        <v>5029</v>
      </c>
      <c r="AM22" s="890" t="s">
        <v>1131</v>
      </c>
      <c r="AN22" s="890"/>
      <c r="AO22" s="891" t="s">
        <v>51</v>
      </c>
      <c r="AP22" s="892">
        <v>3</v>
      </c>
      <c r="AQ22" s="2763" t="s">
        <v>5031</v>
      </c>
      <c r="AR22" s="2765" t="s">
        <v>5032</v>
      </c>
      <c r="AS22" s="2766" t="s">
        <v>5033</v>
      </c>
      <c r="AT22" s="2763" t="s">
        <v>5034</v>
      </c>
      <c r="AU22" s="2766" t="s">
        <v>5035</v>
      </c>
      <c r="AV22" s="2766" t="s">
        <v>5036</v>
      </c>
      <c r="AW22" s="2766" t="s">
        <v>5037</v>
      </c>
      <c r="AX22" s="2767" t="s">
        <v>5038</v>
      </c>
      <c r="AY22" s="2117" t="s">
        <v>5039</v>
      </c>
    </row>
    <row r="23" spans="1:51" ht="409.5">
      <c r="A23" s="885"/>
      <c r="B23" s="899" t="s">
        <v>5040</v>
      </c>
      <c r="C23" s="900" t="s">
        <v>3355</v>
      </c>
      <c r="D23" s="900"/>
      <c r="E23" s="901" t="s">
        <v>51</v>
      </c>
      <c r="F23" s="902">
        <v>3</v>
      </c>
      <c r="G23" s="926">
        <v>9.2189999999999994</v>
      </c>
      <c r="H23" s="1413">
        <v>9.07</v>
      </c>
      <c r="I23" s="927">
        <v>6.0830000000000002</v>
      </c>
      <c r="J23" s="926">
        <v>56.837000000000003</v>
      </c>
      <c r="K23" s="927">
        <v>0.221</v>
      </c>
      <c r="L23" s="927">
        <v>0.54700000000000004</v>
      </c>
      <c r="M23" s="927">
        <v>78.921999999999997</v>
      </c>
      <c r="N23" s="1733">
        <v>9.8000000000000004E-2</v>
      </c>
      <c r="O23" s="905">
        <f t="shared" si="9"/>
        <v>160.99700000000001</v>
      </c>
      <c r="P23" s="906" t="s">
        <v>5041</v>
      </c>
      <c r="Q23" s="2004"/>
      <c r="R23" s="897">
        <f t="shared" si="10"/>
        <v>0</v>
      </c>
      <c r="S23" s="898"/>
      <c r="T23" s="71"/>
      <c r="U23" s="2004"/>
      <c r="V23" s="93">
        <f>IF(Validation!$H$3=1,0,IF(ISNUMBER(G23),0,1))</f>
        <v>0</v>
      </c>
      <c r="W23" s="93">
        <f>IF(Validation!$H$3=1,0,IF(ISNUMBER(H23),0,1))</f>
        <v>0</v>
      </c>
      <c r="X23" s="93">
        <f>IF(Validation!$H$3=1,0,IF(ISNUMBER(I23),0,1))</f>
        <v>0</v>
      </c>
      <c r="Y23" s="93">
        <f>IF(Validation!$H$3=1,0,IF(ISNUMBER(J23),0,1))</f>
        <v>0</v>
      </c>
      <c r="Z23" s="93">
        <f>IF(Validation!$H$3=1,0,IF(ISNUMBER(K23),0,1))</f>
        <v>0</v>
      </c>
      <c r="AA23" s="93">
        <f>IF(Validation!$H$3=1,0,IF(ISNUMBER(L23),0,1))</f>
        <v>0</v>
      </c>
      <c r="AB23" s="93">
        <f>IF(Validation!$H$3=1,0,IF(ISNUMBER(M23),0,1))</f>
        <v>0</v>
      </c>
      <c r="AC23" s="93">
        <f>IF(Validation!$H$3=1,0,IF(ISNUMBER(N23),0,1))</f>
        <v>0</v>
      </c>
      <c r="AD23" s="71"/>
      <c r="AE23" s="2004"/>
      <c r="AG23" s="2004"/>
      <c r="AH23" s="2004"/>
      <c r="AI23" s="2004"/>
      <c r="AK23" s="2004"/>
      <c r="AL23" s="899" t="s">
        <v>5040</v>
      </c>
      <c r="AM23" s="900" t="s">
        <v>3355</v>
      </c>
      <c r="AN23" s="900"/>
      <c r="AO23" s="901" t="s">
        <v>51</v>
      </c>
      <c r="AP23" s="902">
        <v>3</v>
      </c>
      <c r="AQ23" s="2768" t="s">
        <v>5042</v>
      </c>
      <c r="AR23" s="2770" t="s">
        <v>5043</v>
      </c>
      <c r="AS23" s="2771" t="s">
        <v>5044</v>
      </c>
      <c r="AT23" s="2768" t="s">
        <v>5045</v>
      </c>
      <c r="AU23" s="2771" t="s">
        <v>5046</v>
      </c>
      <c r="AV23" s="2771" t="s">
        <v>5047</v>
      </c>
      <c r="AW23" s="2771" t="s">
        <v>5048</v>
      </c>
      <c r="AX23" s="2772" t="s">
        <v>5049</v>
      </c>
      <c r="AY23" s="2118" t="s">
        <v>5050</v>
      </c>
    </row>
    <row r="24" spans="1:51" ht="38.25">
      <c r="A24" s="885"/>
      <c r="B24" s="899" t="s">
        <v>5051</v>
      </c>
      <c r="C24" s="900" t="s">
        <v>1147</v>
      </c>
      <c r="D24" s="900"/>
      <c r="E24" s="901" t="s">
        <v>51</v>
      </c>
      <c r="F24" s="902">
        <v>3</v>
      </c>
      <c r="G24" s="926">
        <v>17.324000000000002</v>
      </c>
      <c r="H24" s="1413">
        <v>19.100999999999999</v>
      </c>
      <c r="I24" s="927">
        <v>7.9960000000000004</v>
      </c>
      <c r="J24" s="926">
        <v>0</v>
      </c>
      <c r="K24" s="927">
        <v>0</v>
      </c>
      <c r="L24" s="927">
        <v>0</v>
      </c>
      <c r="M24" s="927">
        <v>0</v>
      </c>
      <c r="N24" s="1733">
        <v>0</v>
      </c>
      <c r="O24" s="905">
        <f t="shared" si="9"/>
        <v>44.420999999999999</v>
      </c>
      <c r="P24" s="906" t="s">
        <v>5052</v>
      </c>
      <c r="Q24" s="2004"/>
      <c r="R24" s="897">
        <f t="shared" si="10"/>
        <v>0</v>
      </c>
      <c r="S24" s="898"/>
      <c r="T24" s="71"/>
      <c r="U24" s="2004"/>
      <c r="V24" s="93">
        <f>IF(Validation!$H$3=1,0,IF(ISNUMBER(G24),0,1))</f>
        <v>0</v>
      </c>
      <c r="W24" s="93">
        <f>IF(Validation!$H$3=1,0,IF(ISNUMBER(H24),0,1))</f>
        <v>0</v>
      </c>
      <c r="X24" s="93">
        <f>IF(Validation!$H$3=1,0,IF(ISNUMBER(I24),0,1))</f>
        <v>0</v>
      </c>
      <c r="Y24" s="93">
        <f>IF(Validation!$H$3=1,0,IF(ISNUMBER(J24),0,1))</f>
        <v>0</v>
      </c>
      <c r="Z24" s="93">
        <f>IF(Validation!$H$3=1,0,IF(ISNUMBER(K24),0,1))</f>
        <v>0</v>
      </c>
      <c r="AA24" s="93">
        <f>IF(Validation!$H$3=1,0,IF(ISNUMBER(L24),0,1))</f>
        <v>0</v>
      </c>
      <c r="AB24" s="93">
        <f>IF(Validation!$H$3=1,0,IF(ISNUMBER(M24),0,1))</f>
        <v>0</v>
      </c>
      <c r="AC24" s="93">
        <f>IF(Validation!$H$3=1,0,IF(ISNUMBER(N24),0,1))</f>
        <v>0</v>
      </c>
      <c r="AD24" s="71"/>
      <c r="AE24" s="2004"/>
      <c r="AG24" s="2004"/>
      <c r="AH24" s="2004"/>
      <c r="AI24" s="2004"/>
      <c r="AK24" s="2004"/>
      <c r="AL24" s="899" t="s">
        <v>5051</v>
      </c>
      <c r="AM24" s="900" t="s">
        <v>1147</v>
      </c>
      <c r="AN24" s="900"/>
      <c r="AO24" s="901" t="s">
        <v>51</v>
      </c>
      <c r="AP24" s="902">
        <v>3</v>
      </c>
      <c r="AQ24" s="2768" t="s">
        <v>5053</v>
      </c>
      <c r="AR24" s="2770" t="s">
        <v>5054</v>
      </c>
      <c r="AS24" s="2771" t="s">
        <v>5055</v>
      </c>
      <c r="AT24" s="2768" t="s">
        <v>5056</v>
      </c>
      <c r="AU24" s="2771" t="s">
        <v>5057</v>
      </c>
      <c r="AV24" s="2771" t="s">
        <v>5058</v>
      </c>
      <c r="AW24" s="2771" t="s">
        <v>5059</v>
      </c>
      <c r="AX24" s="2772" t="s">
        <v>5060</v>
      </c>
      <c r="AY24" s="2118" t="s">
        <v>5061</v>
      </c>
    </row>
    <row r="25" spans="1:51" ht="38.25">
      <c r="A25" s="885"/>
      <c r="B25" s="899" t="s">
        <v>5062</v>
      </c>
      <c r="C25" s="900" t="s">
        <v>1155</v>
      </c>
      <c r="D25" s="900"/>
      <c r="E25" s="901" t="s">
        <v>51</v>
      </c>
      <c r="F25" s="902">
        <v>3</v>
      </c>
      <c r="G25" s="926">
        <v>10.999000000000001</v>
      </c>
      <c r="H25" s="1413">
        <v>12.071999999999999</v>
      </c>
      <c r="I25" s="927">
        <v>5.1669999999999998</v>
      </c>
      <c r="J25" s="926">
        <v>31.611999999999998</v>
      </c>
      <c r="K25" s="927">
        <v>1.0999999999999999E-2</v>
      </c>
      <c r="L25" s="927">
        <v>2.7E-2</v>
      </c>
      <c r="M25" s="927">
        <v>2.2930000000000001</v>
      </c>
      <c r="N25" s="1733">
        <v>5.0000000000000001E-3</v>
      </c>
      <c r="O25" s="905">
        <f t="shared" si="9"/>
        <v>62.186</v>
      </c>
      <c r="P25" s="906" t="s">
        <v>5063</v>
      </c>
      <c r="Q25" s="2004"/>
      <c r="R25" s="897">
        <f t="shared" si="10"/>
        <v>0</v>
      </c>
      <c r="S25" s="898"/>
      <c r="T25" s="71"/>
      <c r="U25" s="2004"/>
      <c r="V25" s="93">
        <f>IF(Validation!$H$3=1,0,IF(ISNUMBER(G25),0,1))</f>
        <v>0</v>
      </c>
      <c r="W25" s="93">
        <f>IF(Validation!$H$3=1,0,IF(ISNUMBER(H25),0,1))</f>
        <v>0</v>
      </c>
      <c r="X25" s="93">
        <f>IF(Validation!$H$3=1,0,IF(ISNUMBER(I25),0,1))</f>
        <v>0</v>
      </c>
      <c r="Y25" s="93">
        <f>IF(Validation!$H$3=1,0,IF(ISNUMBER(J25),0,1))</f>
        <v>0</v>
      </c>
      <c r="Z25" s="93">
        <f>IF(Validation!$H$3=1,0,IF(ISNUMBER(K25),0,1))</f>
        <v>0</v>
      </c>
      <c r="AA25" s="93">
        <f>IF(Validation!$H$3=1,0,IF(ISNUMBER(L25),0,1))</f>
        <v>0</v>
      </c>
      <c r="AB25" s="93">
        <f>IF(Validation!$H$3=1,0,IF(ISNUMBER(M25),0,1))</f>
        <v>0</v>
      </c>
      <c r="AC25" s="93">
        <f>IF(Validation!$H$3=1,0,IF(ISNUMBER(N25),0,1))</f>
        <v>0</v>
      </c>
      <c r="AD25" s="71"/>
      <c r="AE25" s="2004"/>
      <c r="AG25" s="2004"/>
      <c r="AH25" s="2004"/>
      <c r="AI25" s="2004"/>
      <c r="AK25" s="2004"/>
      <c r="AL25" s="899" t="s">
        <v>5062</v>
      </c>
      <c r="AM25" s="900" t="s">
        <v>1155</v>
      </c>
      <c r="AN25" s="900"/>
      <c r="AO25" s="901" t="s">
        <v>51</v>
      </c>
      <c r="AP25" s="902">
        <v>3</v>
      </c>
      <c r="AQ25" s="2768" t="s">
        <v>5064</v>
      </c>
      <c r="AR25" s="2770" t="s">
        <v>5065</v>
      </c>
      <c r="AS25" s="2771" t="s">
        <v>5066</v>
      </c>
      <c r="AT25" s="2768" t="s">
        <v>5067</v>
      </c>
      <c r="AU25" s="2771" t="s">
        <v>5068</v>
      </c>
      <c r="AV25" s="2771" t="s">
        <v>5069</v>
      </c>
      <c r="AW25" s="2771" t="s">
        <v>5070</v>
      </c>
      <c r="AX25" s="2772" t="s">
        <v>5071</v>
      </c>
      <c r="AY25" s="2118" t="s">
        <v>5072</v>
      </c>
    </row>
    <row r="26" spans="1:51" ht="63.75">
      <c r="A26" s="885"/>
      <c r="B26" s="899" t="s">
        <v>5073</v>
      </c>
      <c r="C26" s="900" t="s">
        <v>1163</v>
      </c>
      <c r="D26" s="900"/>
      <c r="E26" s="901" t="s">
        <v>51</v>
      </c>
      <c r="F26" s="902">
        <v>3</v>
      </c>
      <c r="G26" s="926">
        <v>1.079</v>
      </c>
      <c r="H26" s="1413">
        <v>1.19</v>
      </c>
      <c r="I26" s="927">
        <v>0.498</v>
      </c>
      <c r="J26" s="926">
        <v>0</v>
      </c>
      <c r="K26" s="927">
        <v>0</v>
      </c>
      <c r="L26" s="927">
        <v>0</v>
      </c>
      <c r="M26" s="927">
        <v>0</v>
      </c>
      <c r="N26" s="1733">
        <v>0</v>
      </c>
      <c r="O26" s="905">
        <f t="shared" si="9"/>
        <v>2.7670000000000003</v>
      </c>
      <c r="P26" s="906" t="s">
        <v>5074</v>
      </c>
      <c r="Q26" s="2004"/>
      <c r="R26" s="897">
        <f t="shared" si="10"/>
        <v>0</v>
      </c>
      <c r="S26" s="898"/>
      <c r="T26" s="71"/>
      <c r="U26" s="2004"/>
      <c r="V26" s="93">
        <f>IF(Validation!$H$3=1,0,IF(ISNUMBER(G26),0,1))</f>
        <v>0</v>
      </c>
      <c r="W26" s="93">
        <f>IF(Validation!$H$3=1,0,IF(ISNUMBER(H26),0,1))</f>
        <v>0</v>
      </c>
      <c r="X26" s="93">
        <f>IF(Validation!$H$3=1,0,IF(ISNUMBER(I26),0,1))</f>
        <v>0</v>
      </c>
      <c r="Y26" s="93">
        <f>IF(Validation!$H$3=1,0,IF(ISNUMBER(J26),0,1))</f>
        <v>0</v>
      </c>
      <c r="Z26" s="93">
        <f>IF(Validation!$H$3=1,0,IF(ISNUMBER(K26),0,1))</f>
        <v>0</v>
      </c>
      <c r="AA26" s="93">
        <f>IF(Validation!$H$3=1,0,IF(ISNUMBER(L26),0,1))</f>
        <v>0</v>
      </c>
      <c r="AB26" s="93">
        <f>IF(Validation!$H$3=1,0,IF(ISNUMBER(M26),0,1))</f>
        <v>0</v>
      </c>
      <c r="AC26" s="93">
        <f>IF(Validation!$H$3=1,0,IF(ISNUMBER(N26),0,1))</f>
        <v>0</v>
      </c>
      <c r="AD26" s="71"/>
      <c r="AE26" s="2004"/>
      <c r="AG26" s="2004"/>
      <c r="AH26" s="2004"/>
      <c r="AI26" s="2004"/>
      <c r="AK26" s="2004"/>
      <c r="AL26" s="899" t="s">
        <v>5073</v>
      </c>
      <c r="AM26" s="900" t="s">
        <v>1163</v>
      </c>
      <c r="AN26" s="900"/>
      <c r="AO26" s="901" t="s">
        <v>51</v>
      </c>
      <c r="AP26" s="902">
        <v>3</v>
      </c>
      <c r="AQ26" s="2768" t="s">
        <v>5075</v>
      </c>
      <c r="AR26" s="2770" t="s">
        <v>5076</v>
      </c>
      <c r="AS26" s="2771" t="s">
        <v>5077</v>
      </c>
      <c r="AT26" s="2768" t="s">
        <v>5078</v>
      </c>
      <c r="AU26" s="2771" t="s">
        <v>5079</v>
      </c>
      <c r="AV26" s="2771" t="s">
        <v>5080</v>
      </c>
      <c r="AW26" s="2771" t="s">
        <v>5081</v>
      </c>
      <c r="AX26" s="2772" t="s">
        <v>5082</v>
      </c>
      <c r="AY26" s="2118" t="s">
        <v>5083</v>
      </c>
    </row>
    <row r="27" spans="1:51" ht="15.75">
      <c r="A27" s="885"/>
      <c r="B27" s="899" t="s">
        <v>5084</v>
      </c>
      <c r="C27" s="900" t="s">
        <v>1171</v>
      </c>
      <c r="D27" s="900"/>
      <c r="E27" s="901" t="s">
        <v>51</v>
      </c>
      <c r="F27" s="902">
        <v>3</v>
      </c>
      <c r="G27" s="928">
        <f t="shared" ref="G27" si="11">SUM(G22:G26)</f>
        <v>50.552000000000007</v>
      </c>
      <c r="H27" s="1414">
        <f t="shared" ref="H27:N27" si="12">SUM(H22:H26)</f>
        <v>54.585999999999999</v>
      </c>
      <c r="I27" s="928">
        <f t="shared" si="12"/>
        <v>25.251000000000001</v>
      </c>
      <c r="J27" s="928">
        <f t="shared" si="12"/>
        <v>92.015000000000001</v>
      </c>
      <c r="K27" s="1734">
        <f t="shared" si="12"/>
        <v>0.23200000000000001</v>
      </c>
      <c r="L27" s="1734">
        <f t="shared" si="12"/>
        <v>0.57400000000000007</v>
      </c>
      <c r="M27" s="1734">
        <f t="shared" si="12"/>
        <v>81.215000000000003</v>
      </c>
      <c r="N27" s="1735">
        <f t="shared" si="12"/>
        <v>0.10300000000000001</v>
      </c>
      <c r="O27" s="928">
        <f t="shared" si="9"/>
        <v>304.52800000000002</v>
      </c>
      <c r="P27" s="906"/>
      <c r="Q27" s="2004"/>
      <c r="R27" s="576"/>
      <c r="S27" s="2004"/>
      <c r="U27" s="2004"/>
      <c r="V27" s="2004"/>
      <c r="W27" s="2004"/>
      <c r="X27" s="2004"/>
      <c r="Y27" s="2004"/>
      <c r="Z27" s="2004"/>
      <c r="AA27" s="2004"/>
      <c r="AB27" s="2004"/>
      <c r="AC27" s="2004"/>
      <c r="AE27" s="2004"/>
      <c r="AG27" s="2004"/>
      <c r="AH27" s="2004"/>
      <c r="AI27" s="2004"/>
      <c r="AK27" s="2004"/>
      <c r="AL27" s="899" t="s">
        <v>5084</v>
      </c>
      <c r="AM27" s="900" t="s">
        <v>1171</v>
      </c>
      <c r="AN27" s="900"/>
      <c r="AO27" s="901" t="s">
        <v>51</v>
      </c>
      <c r="AP27" s="902">
        <v>3</v>
      </c>
      <c r="AQ27" s="2122" t="s">
        <v>5085</v>
      </c>
      <c r="AR27" s="2124" t="s">
        <v>5086</v>
      </c>
      <c r="AS27" s="2122" t="s">
        <v>5087</v>
      </c>
      <c r="AT27" s="2122" t="s">
        <v>5088</v>
      </c>
      <c r="AU27" s="2122" t="s">
        <v>5089</v>
      </c>
      <c r="AV27" s="2122" t="s">
        <v>5090</v>
      </c>
      <c r="AW27" s="2122" t="s">
        <v>5091</v>
      </c>
      <c r="AX27" s="2125" t="s">
        <v>5092</v>
      </c>
      <c r="AY27" s="2122" t="s">
        <v>5093</v>
      </c>
    </row>
    <row r="28" spans="1:51" ht="15.75">
      <c r="A28" s="885"/>
      <c r="B28" s="899" t="s">
        <v>5094</v>
      </c>
      <c r="C28" s="900" t="s">
        <v>1114</v>
      </c>
      <c r="D28" s="900"/>
      <c r="E28" s="901" t="s">
        <v>51</v>
      </c>
      <c r="F28" s="902">
        <v>3</v>
      </c>
      <c r="G28" s="903">
        <v>0</v>
      </c>
      <c r="H28" s="1410">
        <v>0</v>
      </c>
      <c r="I28" s="927">
        <v>0</v>
      </c>
      <c r="J28" s="903">
        <v>0</v>
      </c>
      <c r="K28" s="927">
        <v>0</v>
      </c>
      <c r="L28" s="927">
        <v>0</v>
      </c>
      <c r="M28" s="927">
        <v>0</v>
      </c>
      <c r="N28" s="1733">
        <v>0</v>
      </c>
      <c r="O28" s="905">
        <f t="shared" si="9"/>
        <v>0</v>
      </c>
      <c r="P28" s="906"/>
      <c r="Q28" s="2004"/>
      <c r="R28" s="897">
        <f t="shared" si="10"/>
        <v>0</v>
      </c>
      <c r="S28" s="898"/>
      <c r="T28" s="71"/>
      <c r="U28" s="2004"/>
      <c r="V28" s="93">
        <f>IF(Validation!$H$3=1,0,IF(ISNUMBER(G28),0,1))</f>
        <v>0</v>
      </c>
      <c r="W28" s="93">
        <f>IF(Validation!$H$3=1,0,IF(ISNUMBER(H28),0,1))</f>
        <v>0</v>
      </c>
      <c r="X28" s="93">
        <f>IF(Validation!$H$3=1,0,IF(ISNUMBER(I28),0,1))</f>
        <v>0</v>
      </c>
      <c r="Y28" s="93">
        <f>IF(Validation!$H$3=1,0,IF(ISNUMBER(J28),0,1))</f>
        <v>0</v>
      </c>
      <c r="Z28" s="93">
        <f>IF(Validation!$H$3=1,0,IF(ISNUMBER(K28),0,1))</f>
        <v>0</v>
      </c>
      <c r="AA28" s="93">
        <f>IF(Validation!$H$3=1,0,IF(ISNUMBER(L28),0,1))</f>
        <v>0</v>
      </c>
      <c r="AB28" s="93">
        <f>IF(Validation!$H$3=1,0,IF(ISNUMBER(M28),0,1))</f>
        <v>0</v>
      </c>
      <c r="AC28" s="93">
        <f>IF(Validation!$H$3=1,0,IF(ISNUMBER(N28),0,1))</f>
        <v>0</v>
      </c>
      <c r="AD28" s="71"/>
      <c r="AE28" s="2004"/>
      <c r="AG28" s="2004"/>
      <c r="AH28" s="2004"/>
      <c r="AI28" s="2004"/>
      <c r="AK28" s="2004"/>
      <c r="AL28" s="899" t="s">
        <v>5094</v>
      </c>
      <c r="AM28" s="900" t="s">
        <v>1114</v>
      </c>
      <c r="AN28" s="900"/>
      <c r="AO28" s="901" t="s">
        <v>51</v>
      </c>
      <c r="AP28" s="902">
        <v>3</v>
      </c>
      <c r="AQ28" s="2756" t="s">
        <v>5095</v>
      </c>
      <c r="AR28" s="2758" t="s">
        <v>5096</v>
      </c>
      <c r="AS28" s="2771" t="s">
        <v>5097</v>
      </c>
      <c r="AT28" s="2756" t="s">
        <v>5098</v>
      </c>
      <c r="AU28" s="2771" t="s">
        <v>5099</v>
      </c>
      <c r="AV28" s="2771" t="s">
        <v>5100</v>
      </c>
      <c r="AW28" s="2771" t="s">
        <v>5101</v>
      </c>
      <c r="AX28" s="2772" t="s">
        <v>5102</v>
      </c>
      <c r="AY28" s="2118" t="s">
        <v>5103</v>
      </c>
    </row>
    <row r="29" spans="1:51" ht="15.75">
      <c r="A29" s="885"/>
      <c r="B29" s="899" t="s">
        <v>5104</v>
      </c>
      <c r="C29" s="900" t="s">
        <v>1186</v>
      </c>
      <c r="D29" s="900"/>
      <c r="E29" s="901" t="s">
        <v>51</v>
      </c>
      <c r="F29" s="902">
        <v>3</v>
      </c>
      <c r="G29" s="928">
        <f t="shared" ref="G29:I29" si="13">SUM(G27:G28)</f>
        <v>50.552000000000007</v>
      </c>
      <c r="H29" s="1414">
        <f t="shared" si="13"/>
        <v>54.585999999999999</v>
      </c>
      <c r="I29" s="928">
        <f t="shared" si="13"/>
        <v>25.251000000000001</v>
      </c>
      <c r="J29" s="928">
        <f t="shared" ref="J29:N29" si="14">SUM(J27:J28)</f>
        <v>92.015000000000001</v>
      </c>
      <c r="K29" s="1734">
        <f t="shared" si="14"/>
        <v>0.23200000000000001</v>
      </c>
      <c r="L29" s="1734">
        <f t="shared" si="14"/>
        <v>0.57400000000000007</v>
      </c>
      <c r="M29" s="1734">
        <f t="shared" si="14"/>
        <v>81.215000000000003</v>
      </c>
      <c r="N29" s="1735">
        <f t="shared" si="14"/>
        <v>0.10300000000000001</v>
      </c>
      <c r="O29" s="928">
        <f t="shared" si="9"/>
        <v>304.52800000000002</v>
      </c>
      <c r="P29" s="906"/>
      <c r="Q29" s="2004"/>
      <c r="R29" s="576"/>
      <c r="S29" s="2004"/>
      <c r="U29" s="2004"/>
      <c r="V29" s="2004"/>
      <c r="W29" s="2004"/>
      <c r="X29" s="2004"/>
      <c r="Y29" s="2004"/>
      <c r="Z29" s="2004"/>
      <c r="AA29" s="2004"/>
      <c r="AB29" s="2004"/>
      <c r="AC29" s="2004"/>
      <c r="AE29" s="2004"/>
      <c r="AG29" s="2004"/>
      <c r="AH29" s="2004"/>
      <c r="AI29" s="2004"/>
      <c r="AK29" s="2004"/>
      <c r="AL29" s="899" t="s">
        <v>5104</v>
      </c>
      <c r="AM29" s="900" t="s">
        <v>1186</v>
      </c>
      <c r="AN29" s="900"/>
      <c r="AO29" s="901" t="s">
        <v>51</v>
      </c>
      <c r="AP29" s="902">
        <v>3</v>
      </c>
      <c r="AQ29" s="2122" t="s">
        <v>5105</v>
      </c>
      <c r="AR29" s="2124" t="s">
        <v>5106</v>
      </c>
      <c r="AS29" s="2122" t="s">
        <v>5107</v>
      </c>
      <c r="AT29" s="2122" t="s">
        <v>5108</v>
      </c>
      <c r="AU29" s="2122" t="s">
        <v>5109</v>
      </c>
      <c r="AV29" s="2122" t="s">
        <v>5110</v>
      </c>
      <c r="AW29" s="2122" t="s">
        <v>5111</v>
      </c>
      <c r="AX29" s="2125" t="s">
        <v>5112</v>
      </c>
      <c r="AY29" s="2122" t="s">
        <v>5113</v>
      </c>
    </row>
    <row r="30" spans="1:51" ht="140.25">
      <c r="A30" s="885"/>
      <c r="B30" s="899" t="s">
        <v>5114</v>
      </c>
      <c r="C30" s="900" t="s">
        <v>5115</v>
      </c>
      <c r="D30" s="900"/>
      <c r="E30" s="901" t="s">
        <v>51</v>
      </c>
      <c r="F30" s="929">
        <v>3</v>
      </c>
      <c r="G30" s="926">
        <v>3.7650000000000001</v>
      </c>
      <c r="H30" s="1413">
        <v>4.1509999999999998</v>
      </c>
      <c r="I30" s="927">
        <v>1.738</v>
      </c>
      <c r="J30" s="926">
        <v>0.93600000000000005</v>
      </c>
      <c r="K30" s="927">
        <v>0</v>
      </c>
      <c r="L30" s="927">
        <v>0</v>
      </c>
      <c r="M30" s="927">
        <v>0</v>
      </c>
      <c r="N30" s="1733">
        <v>0</v>
      </c>
      <c r="O30" s="905">
        <f t="shared" si="9"/>
        <v>10.59</v>
      </c>
      <c r="P30" s="906" t="s">
        <v>5116</v>
      </c>
      <c r="Q30" s="2004"/>
      <c r="R30" s="1557">
        <f>IF(SUM(T30:AD30)&lt;&gt; 0,$V$5,IF(SUM(AD30:AF30)=0,0,$AI$30))</f>
        <v>0</v>
      </c>
      <c r="S30" s="898"/>
      <c r="T30" s="71"/>
      <c r="U30" s="2004"/>
      <c r="V30" s="93">
        <f>IF(Validation!$H$3=1,0,IF(ISNUMBER(G30),0,1))</f>
        <v>0</v>
      </c>
      <c r="W30" s="93">
        <f>IF(Validation!$H$3=1,0,IF(ISNUMBER(H30),0,1))</f>
        <v>0</v>
      </c>
      <c r="X30" s="93">
        <f>IF(Validation!$H$3=1,0,IF(ISNUMBER(I30),0,1))</f>
        <v>0</v>
      </c>
      <c r="Y30" s="93">
        <f>IF(Validation!$H$3=1,0,IF(ISNUMBER(J30),0,1))</f>
        <v>0</v>
      </c>
      <c r="Z30" s="93">
        <f>IF(Validation!$H$3=1,0,IF(ISNUMBER(K30),0,1))</f>
        <v>0</v>
      </c>
      <c r="AA30" s="93">
        <f>IF(Validation!$H$3=1,0,IF(ISNUMBER(L30),0,1))</f>
        <v>0</v>
      </c>
      <c r="AB30" s="93">
        <f>IF(Validation!$H$3=1,0,IF(ISNUMBER(M30),0,1))</f>
        <v>0</v>
      </c>
      <c r="AC30" s="93">
        <f>IF(Validation!$H$3=1,0,IF(ISNUMBER(N30),0,1))</f>
        <v>0</v>
      </c>
      <c r="AD30" s="71"/>
      <c r="AE30" s="93">
        <f xml:space="preserve"> IF( (AG30 - AH30) = 0, 0, 1 )</f>
        <v>0</v>
      </c>
      <c r="AF30" s="119"/>
      <c r="AG30" s="112">
        <f xml:space="preserve"> ROUND( O30, 3 )</f>
        <v>10.59</v>
      </c>
      <c r="AH30" s="112">
        <f xml:space="preserve"> ROUND( ('2B'!I30+'2B'!J30), 3 )</f>
        <v>10.59</v>
      </c>
      <c r="AI30" s="139" t="s">
        <v>5117</v>
      </c>
      <c r="AJ30" s="119"/>
      <c r="AK30" s="2004"/>
      <c r="AL30" s="899" t="s">
        <v>5114</v>
      </c>
      <c r="AM30" s="900" t="s">
        <v>5115</v>
      </c>
      <c r="AN30" s="900"/>
      <c r="AO30" s="901" t="s">
        <v>51</v>
      </c>
      <c r="AP30" s="929">
        <v>3</v>
      </c>
      <c r="AQ30" s="2756" t="s">
        <v>5118</v>
      </c>
      <c r="AR30" s="2758" t="s">
        <v>5119</v>
      </c>
      <c r="AS30" s="2771" t="s">
        <v>5120</v>
      </c>
      <c r="AT30" s="2756" t="s">
        <v>5121</v>
      </c>
      <c r="AU30" s="2771" t="s">
        <v>5122</v>
      </c>
      <c r="AV30" s="2771" t="s">
        <v>5123</v>
      </c>
      <c r="AW30" s="2771" t="s">
        <v>5124</v>
      </c>
      <c r="AX30" s="2772" t="s">
        <v>5125</v>
      </c>
      <c r="AY30" s="2118" t="s">
        <v>5126</v>
      </c>
    </row>
    <row r="31" spans="1:51" ht="16.5" thickBot="1">
      <c r="A31" s="885"/>
      <c r="B31" s="915" t="s">
        <v>5127</v>
      </c>
      <c r="C31" s="916" t="s">
        <v>1203</v>
      </c>
      <c r="D31" s="916"/>
      <c r="E31" s="917" t="s">
        <v>51</v>
      </c>
      <c r="F31" s="1662">
        <v>3</v>
      </c>
      <c r="G31" s="930">
        <f t="shared" ref="G31" si="15">G19+G29-G30</f>
        <v>76.006000000000014</v>
      </c>
      <c r="H31" s="1415">
        <f>H19+H29-H30</f>
        <v>79.412999999999997</v>
      </c>
      <c r="I31" s="1415">
        <f>I19+I29-I30</f>
        <v>41.712000000000003</v>
      </c>
      <c r="J31" s="930">
        <f>J19+J29-J30</f>
        <v>190.03299999999999</v>
      </c>
      <c r="K31" s="920">
        <f t="shared" ref="K31:N31" si="16">K19+K29-K30</f>
        <v>1.0529999999999999</v>
      </c>
      <c r="L31" s="920">
        <f t="shared" si="16"/>
        <v>5.3660000000000005</v>
      </c>
      <c r="M31" s="920">
        <f t="shared" si="16"/>
        <v>95.155000000000001</v>
      </c>
      <c r="N31" s="1737">
        <f t="shared" si="16"/>
        <v>9.16</v>
      </c>
      <c r="O31" s="921">
        <f t="shared" si="9"/>
        <v>497.89799999999997</v>
      </c>
      <c r="P31" s="922"/>
      <c r="Q31" s="2004"/>
      <c r="R31" s="576"/>
      <c r="S31" s="2004"/>
      <c r="U31" s="2004"/>
      <c r="V31" s="2004"/>
      <c r="W31" s="2004"/>
      <c r="X31" s="2004"/>
      <c r="Y31" s="2004"/>
      <c r="Z31" s="2004"/>
      <c r="AA31" s="2004"/>
      <c r="AB31" s="2004"/>
      <c r="AC31" s="2004"/>
      <c r="AE31" s="2004"/>
      <c r="AG31" s="2004"/>
      <c r="AH31" s="2004"/>
      <c r="AI31" s="2004"/>
      <c r="AK31" s="2004"/>
      <c r="AL31" s="915" t="s">
        <v>5127</v>
      </c>
      <c r="AM31" s="916" t="s">
        <v>1203</v>
      </c>
      <c r="AN31" s="916"/>
      <c r="AO31" s="917" t="s">
        <v>51</v>
      </c>
      <c r="AP31" s="914">
        <v>3</v>
      </c>
      <c r="AQ31" s="2126" t="s">
        <v>5128</v>
      </c>
      <c r="AR31" s="2131" t="s">
        <v>5129</v>
      </c>
      <c r="AS31" s="2131" t="s">
        <v>5130</v>
      </c>
      <c r="AT31" s="2126" t="s">
        <v>5131</v>
      </c>
      <c r="AU31" s="2139" t="s">
        <v>5132</v>
      </c>
      <c r="AV31" s="2139" t="s">
        <v>5133</v>
      </c>
      <c r="AW31" s="2139" t="s">
        <v>5134</v>
      </c>
      <c r="AX31" s="2140" t="s">
        <v>5135</v>
      </c>
      <c r="AY31" s="2118" t="s">
        <v>5136</v>
      </c>
    </row>
    <row r="32" spans="1:51" ht="16.5" thickBot="1">
      <c r="A32" s="885"/>
      <c r="B32" s="885"/>
      <c r="C32" s="885"/>
      <c r="D32" s="885"/>
      <c r="E32" s="885"/>
      <c r="F32" s="885"/>
      <c r="G32" s="885"/>
      <c r="H32" s="885"/>
      <c r="I32" s="885"/>
      <c r="J32" s="885"/>
      <c r="K32" s="885"/>
      <c r="L32" s="885"/>
      <c r="M32" s="885"/>
      <c r="N32" s="885"/>
      <c r="O32" s="885"/>
      <c r="P32" s="885"/>
      <c r="Q32" s="2004"/>
      <c r="R32" s="576"/>
      <c r="S32" s="2004"/>
      <c r="U32" s="2004"/>
      <c r="V32" s="2004"/>
      <c r="W32" s="2004"/>
      <c r="X32" s="2004"/>
      <c r="Y32" s="2004"/>
      <c r="Z32" s="2004"/>
      <c r="AA32" s="2004"/>
      <c r="AB32" s="2004"/>
      <c r="AC32" s="2004"/>
      <c r="AE32" s="2004"/>
      <c r="AG32" s="2004"/>
      <c r="AH32" s="2004"/>
      <c r="AI32" s="2004"/>
      <c r="AK32" s="2004"/>
      <c r="AL32" s="923"/>
      <c r="AM32" s="923"/>
      <c r="AN32" s="923"/>
      <c r="AO32" s="923"/>
      <c r="AP32" s="923"/>
      <c r="AQ32" s="2762"/>
      <c r="AR32" s="2762"/>
      <c r="AS32" s="2762"/>
      <c r="AT32" s="2762"/>
      <c r="AU32" s="2762"/>
      <c r="AV32" s="2762"/>
      <c r="AW32" s="2762"/>
      <c r="AX32" s="2762"/>
      <c r="AY32" s="2762"/>
    </row>
    <row r="33" spans="1:51" ht="16.5" thickBot="1">
      <c r="A33" s="885"/>
      <c r="B33" s="886" t="s">
        <v>335</v>
      </c>
      <c r="C33" s="887" t="s">
        <v>4749</v>
      </c>
      <c r="D33" s="3030"/>
      <c r="E33" s="931"/>
      <c r="F33" s="931"/>
      <c r="G33" s="931"/>
      <c r="H33" s="931"/>
      <c r="I33" s="931"/>
      <c r="J33" s="931"/>
      <c r="K33" s="931"/>
      <c r="L33" s="931"/>
      <c r="M33" s="931"/>
      <c r="N33" s="931"/>
      <c r="O33" s="931"/>
      <c r="P33" s="885"/>
      <c r="Q33" s="2004"/>
      <c r="R33" s="576"/>
      <c r="S33" s="2004"/>
      <c r="U33" s="2004"/>
      <c r="V33" s="2004"/>
      <c r="W33" s="2004"/>
      <c r="X33" s="2004"/>
      <c r="Y33" s="2004"/>
      <c r="Z33" s="2004"/>
      <c r="AA33" s="2004"/>
      <c r="AB33" s="2004"/>
      <c r="AC33" s="2004"/>
      <c r="AE33" s="2004"/>
      <c r="AG33" s="2004"/>
      <c r="AH33" s="2004"/>
      <c r="AI33" s="2004"/>
      <c r="AK33" s="2004"/>
      <c r="AL33" s="886" t="s">
        <v>335</v>
      </c>
      <c r="AM33" s="887" t="s">
        <v>4749</v>
      </c>
      <c r="AN33" s="3030"/>
      <c r="AO33" s="931"/>
      <c r="AP33" s="931"/>
      <c r="AQ33" s="2128"/>
      <c r="AR33" s="2128"/>
      <c r="AS33" s="2128"/>
      <c r="AT33" s="2128"/>
      <c r="AU33" s="2128"/>
      <c r="AV33" s="2128"/>
      <c r="AW33" s="2128"/>
      <c r="AX33" s="2128"/>
      <c r="AY33" s="2128"/>
    </row>
    <row r="34" spans="1:51" ht="15.75">
      <c r="A34" s="885"/>
      <c r="B34" s="889" t="s">
        <v>5137</v>
      </c>
      <c r="C34" s="890" t="s">
        <v>1212</v>
      </c>
      <c r="D34" s="890"/>
      <c r="E34" s="891" t="s">
        <v>51</v>
      </c>
      <c r="F34" s="932">
        <v>3</v>
      </c>
      <c r="G34" s="893">
        <v>0</v>
      </c>
      <c r="H34" s="1409">
        <v>0</v>
      </c>
      <c r="I34" s="894">
        <v>0</v>
      </c>
      <c r="J34" s="893">
        <v>0</v>
      </c>
      <c r="K34" s="894">
        <v>0</v>
      </c>
      <c r="L34" s="894">
        <v>0</v>
      </c>
      <c r="M34" s="933">
        <v>0</v>
      </c>
      <c r="N34" s="933">
        <v>0</v>
      </c>
      <c r="O34" s="1432">
        <f t="shared" ref="O34:O36" si="17">+SUM(G34:N34)</f>
        <v>0</v>
      </c>
      <c r="P34" s="934"/>
      <c r="Q34" s="2004"/>
      <c r="R34" s="897">
        <f t="shared" ref="R34:R35" si="18" xml:space="preserve"> IF( SUM( T34:AD34 ) = 0, 0, $V$5 )</f>
        <v>0</v>
      </c>
      <c r="S34" s="898"/>
      <c r="T34" s="71"/>
      <c r="U34" s="2004"/>
      <c r="V34" s="93">
        <f>IF(Validation!$H$3=1,0,IF(ISNUMBER(G34),0,1))</f>
        <v>0</v>
      </c>
      <c r="W34" s="93">
        <f>IF(Validation!$H$3=1,0,IF(ISNUMBER(H34),0,1))</f>
        <v>0</v>
      </c>
      <c r="X34" s="93">
        <f>IF(Validation!$H$3=1,0,IF(ISNUMBER(I34),0,1))</f>
        <v>0</v>
      </c>
      <c r="Y34" s="93">
        <f>IF(Validation!$H$3=1,0,IF(ISNUMBER(J34),0,1))</f>
        <v>0</v>
      </c>
      <c r="Z34" s="93">
        <f>IF(Validation!$H$3=1,0,IF(ISNUMBER(K34),0,1))</f>
        <v>0</v>
      </c>
      <c r="AA34" s="93">
        <f>IF(Validation!$H$3=1,0,IF(ISNUMBER(L34),0,1))</f>
        <v>0</v>
      </c>
      <c r="AB34" s="93">
        <f>IF(Validation!$H$3=1,0,IF(ISNUMBER(M34),0,1))</f>
        <v>0</v>
      </c>
      <c r="AC34" s="93">
        <f>IF(Validation!$H$3=1,0,IF(ISNUMBER(N34),0,1))</f>
        <v>0</v>
      </c>
      <c r="AD34" s="71"/>
      <c r="AE34" s="2004"/>
      <c r="AG34" s="2004"/>
      <c r="AH34" s="2004"/>
      <c r="AI34" s="2004"/>
      <c r="AK34" s="2004"/>
      <c r="AL34" s="889" t="s">
        <v>5137</v>
      </c>
      <c r="AM34" s="890" t="s">
        <v>1212</v>
      </c>
      <c r="AN34" s="890"/>
      <c r="AO34" s="891" t="s">
        <v>51</v>
      </c>
      <c r="AP34" s="932">
        <v>3</v>
      </c>
      <c r="AQ34" s="2751" t="s">
        <v>5138</v>
      </c>
      <c r="AR34" s="2753" t="s">
        <v>5139</v>
      </c>
      <c r="AS34" s="2754" t="s">
        <v>5140</v>
      </c>
      <c r="AT34" s="2751" t="s">
        <v>5141</v>
      </c>
      <c r="AU34" s="2754" t="s">
        <v>5142</v>
      </c>
      <c r="AV34" s="2754" t="s">
        <v>5143</v>
      </c>
      <c r="AW34" s="2755" t="s">
        <v>5144</v>
      </c>
      <c r="AX34" s="2755" t="s">
        <v>5145</v>
      </c>
      <c r="AY34" s="2129" t="s">
        <v>5146</v>
      </c>
    </row>
    <row r="35" spans="1:51" ht="15.75">
      <c r="A35" s="885"/>
      <c r="B35" s="899" t="s">
        <v>5147</v>
      </c>
      <c r="C35" s="900" t="s">
        <v>1220</v>
      </c>
      <c r="D35" s="900"/>
      <c r="E35" s="901" t="s">
        <v>51</v>
      </c>
      <c r="F35" s="929">
        <v>3</v>
      </c>
      <c r="G35" s="903">
        <v>0</v>
      </c>
      <c r="H35" s="1410">
        <v>0</v>
      </c>
      <c r="I35" s="904">
        <v>0</v>
      </c>
      <c r="J35" s="903">
        <v>0</v>
      </c>
      <c r="K35" s="904">
        <v>0</v>
      </c>
      <c r="L35" s="904">
        <v>0</v>
      </c>
      <c r="M35" s="935">
        <v>0</v>
      </c>
      <c r="N35" s="935">
        <v>0</v>
      </c>
      <c r="O35" s="1433">
        <f t="shared" si="17"/>
        <v>0</v>
      </c>
      <c r="P35" s="936"/>
      <c r="Q35" s="2004"/>
      <c r="R35" s="897">
        <f t="shared" si="18"/>
        <v>0</v>
      </c>
      <c r="S35" s="898"/>
      <c r="T35" s="71"/>
      <c r="U35" s="2004"/>
      <c r="V35" s="93">
        <f>IF(Validation!$H$3=1,0,IF(ISNUMBER(G35),0,1))</f>
        <v>0</v>
      </c>
      <c r="W35" s="93">
        <f>IF(Validation!$H$3=1,0,IF(ISNUMBER(H35),0,1))</f>
        <v>0</v>
      </c>
      <c r="X35" s="93">
        <f>IF(Validation!$H$3=1,0,IF(ISNUMBER(I35),0,1))</f>
        <v>0</v>
      </c>
      <c r="Y35" s="93">
        <f>IF(Validation!$H$3=1,0,IF(ISNUMBER(J35),0,1))</f>
        <v>0</v>
      </c>
      <c r="Z35" s="93">
        <f>IF(Validation!$H$3=1,0,IF(ISNUMBER(K35),0,1))</f>
        <v>0</v>
      </c>
      <c r="AA35" s="93">
        <f>IF(Validation!$H$3=1,0,IF(ISNUMBER(L35),0,1))</f>
        <v>0</v>
      </c>
      <c r="AB35" s="93">
        <f>IF(Validation!$H$3=1,0,IF(ISNUMBER(M35),0,1))</f>
        <v>0</v>
      </c>
      <c r="AC35" s="93">
        <f>IF(Validation!$H$3=1,0,IF(ISNUMBER(N35),0,1))</f>
        <v>0</v>
      </c>
      <c r="AD35" s="71"/>
      <c r="AE35" s="2004"/>
      <c r="AG35" s="2004"/>
      <c r="AH35" s="2004"/>
      <c r="AI35" s="2004"/>
      <c r="AK35" s="2004"/>
      <c r="AL35" s="899" t="s">
        <v>5147</v>
      </c>
      <c r="AM35" s="900" t="s">
        <v>1220</v>
      </c>
      <c r="AN35" s="900"/>
      <c r="AO35" s="901" t="s">
        <v>51</v>
      </c>
      <c r="AP35" s="929">
        <v>3</v>
      </c>
      <c r="AQ35" s="2756" t="s">
        <v>5148</v>
      </c>
      <c r="AR35" s="2758" t="s">
        <v>5149</v>
      </c>
      <c r="AS35" s="2759" t="s">
        <v>5150</v>
      </c>
      <c r="AT35" s="2756" t="s">
        <v>5151</v>
      </c>
      <c r="AU35" s="2759" t="s">
        <v>5152</v>
      </c>
      <c r="AV35" s="2759" t="s">
        <v>5153</v>
      </c>
      <c r="AW35" s="2760" t="s">
        <v>5154</v>
      </c>
      <c r="AX35" s="2760" t="s">
        <v>5155</v>
      </c>
      <c r="AY35" s="2130" t="s">
        <v>5156</v>
      </c>
    </row>
    <row r="36" spans="1:51" ht="16.5" thickBot="1">
      <c r="A36" s="885"/>
      <c r="B36" s="915" t="s">
        <v>5157</v>
      </c>
      <c r="C36" s="916" t="s">
        <v>1228</v>
      </c>
      <c r="D36" s="916"/>
      <c r="E36" s="917" t="s">
        <v>51</v>
      </c>
      <c r="F36" s="937">
        <v>3</v>
      </c>
      <c r="G36" s="930">
        <f t="shared" ref="G36" si="19">SUM(G31:G35)</f>
        <v>76.006000000000014</v>
      </c>
      <c r="H36" s="1415">
        <f t="shared" ref="H36:N36" si="20">SUM(H31:H35)</f>
        <v>79.412999999999997</v>
      </c>
      <c r="I36" s="938">
        <f t="shared" si="20"/>
        <v>41.712000000000003</v>
      </c>
      <c r="J36" s="930">
        <f t="shared" si="20"/>
        <v>190.03299999999999</v>
      </c>
      <c r="K36" s="938">
        <f t="shared" si="20"/>
        <v>1.0529999999999999</v>
      </c>
      <c r="L36" s="938">
        <f t="shared" si="20"/>
        <v>5.3660000000000005</v>
      </c>
      <c r="M36" s="939">
        <f t="shared" si="20"/>
        <v>95.155000000000001</v>
      </c>
      <c r="N36" s="939">
        <f t="shared" si="20"/>
        <v>9.16</v>
      </c>
      <c r="O36" s="1434">
        <f t="shared" si="17"/>
        <v>497.89799999999997</v>
      </c>
      <c r="P36" s="922"/>
      <c r="Q36" s="2004"/>
      <c r="R36" s="576"/>
      <c r="S36" s="2004"/>
      <c r="U36" s="2004"/>
      <c r="V36" s="2004"/>
      <c r="W36" s="2004"/>
      <c r="X36" s="2004"/>
      <c r="Y36" s="2004"/>
      <c r="Z36" s="2004"/>
      <c r="AA36" s="2004"/>
      <c r="AB36" s="2004"/>
      <c r="AC36" s="2004"/>
      <c r="AE36" s="2004"/>
      <c r="AG36" s="2004"/>
      <c r="AH36" s="2004"/>
      <c r="AI36" s="2004"/>
      <c r="AK36" s="2004"/>
      <c r="AL36" s="915" t="s">
        <v>5157</v>
      </c>
      <c r="AM36" s="916" t="s">
        <v>1228</v>
      </c>
      <c r="AN36" s="916"/>
      <c r="AO36" s="917" t="s">
        <v>51</v>
      </c>
      <c r="AP36" s="937">
        <v>3</v>
      </c>
      <c r="AQ36" s="2126" t="s">
        <v>5158</v>
      </c>
      <c r="AR36" s="2131" t="s">
        <v>5159</v>
      </c>
      <c r="AS36" s="2132" t="s">
        <v>5160</v>
      </c>
      <c r="AT36" s="2126" t="s">
        <v>5161</v>
      </c>
      <c r="AU36" s="2132" t="s">
        <v>5162</v>
      </c>
      <c r="AV36" s="2132" t="s">
        <v>5163</v>
      </c>
      <c r="AW36" s="2133" t="s">
        <v>5164</v>
      </c>
      <c r="AX36" s="2133" t="s">
        <v>5165</v>
      </c>
      <c r="AY36" s="2134" t="s">
        <v>5166</v>
      </c>
    </row>
    <row r="37" spans="1:51" ht="16.5" thickBot="1">
      <c r="A37" s="885"/>
      <c r="B37" s="1473"/>
      <c r="C37" s="940"/>
      <c r="D37" s="941"/>
      <c r="E37" s="942"/>
      <c r="F37" s="942"/>
      <c r="G37" s="942"/>
      <c r="H37" s="942"/>
      <c r="I37" s="942"/>
      <c r="J37" s="942"/>
      <c r="K37" s="942"/>
      <c r="L37" s="942"/>
      <c r="M37" s="942"/>
      <c r="N37" s="942"/>
      <c r="O37" s="942"/>
      <c r="P37" s="942"/>
      <c r="Q37" s="2004"/>
      <c r="R37" s="576"/>
      <c r="S37" s="2004"/>
      <c r="U37" s="2004"/>
      <c r="V37" s="2004"/>
      <c r="W37" s="2004"/>
      <c r="X37" s="2004"/>
      <c r="Y37" s="2004"/>
      <c r="Z37" s="2004"/>
      <c r="AA37" s="2004"/>
      <c r="AB37" s="2004"/>
      <c r="AC37" s="2004"/>
      <c r="AE37" s="2004"/>
      <c r="AG37" s="2004"/>
      <c r="AH37" s="2004"/>
      <c r="AI37" s="2004"/>
      <c r="AK37" s="2004"/>
      <c r="AL37" s="1473"/>
      <c r="AM37" s="940"/>
      <c r="AN37" s="941"/>
      <c r="AO37" s="942"/>
      <c r="AP37" s="942"/>
      <c r="AQ37" s="2135"/>
      <c r="AR37" s="2135"/>
      <c r="AS37" s="2135"/>
      <c r="AT37" s="2135"/>
      <c r="AU37" s="2135"/>
      <c r="AV37" s="2135"/>
      <c r="AW37" s="2135"/>
      <c r="AX37" s="2135"/>
      <c r="AY37" s="2135"/>
    </row>
    <row r="38" spans="1:51" ht="16.5" thickBot="1">
      <c r="A38" s="885"/>
      <c r="B38" s="886" t="s">
        <v>392</v>
      </c>
      <c r="C38" s="1691" t="s">
        <v>4774</v>
      </c>
      <c r="D38" s="3030"/>
      <c r="E38" s="942"/>
      <c r="F38" s="942"/>
      <c r="G38" s="943"/>
      <c r="H38" s="943"/>
      <c r="I38" s="943"/>
      <c r="J38" s="943"/>
      <c r="K38" s="943"/>
      <c r="L38" s="943"/>
      <c r="M38" s="943"/>
      <c r="N38" s="943"/>
      <c r="O38" s="943"/>
      <c r="P38" s="944"/>
      <c r="Q38" s="2004"/>
      <c r="R38" s="576"/>
      <c r="S38" s="2004"/>
      <c r="U38" s="2004"/>
      <c r="V38" s="2004"/>
      <c r="W38" s="2004"/>
      <c r="X38" s="2004"/>
      <c r="Y38" s="2004"/>
      <c r="Z38" s="2004"/>
      <c r="AA38" s="2004"/>
      <c r="AB38" s="2004"/>
      <c r="AC38" s="2004"/>
      <c r="AE38" s="2004"/>
      <c r="AG38" s="2004"/>
      <c r="AH38" s="2004"/>
      <c r="AI38" s="2004"/>
      <c r="AK38" s="2004"/>
      <c r="AL38" s="886" t="s">
        <v>392</v>
      </c>
      <c r="AM38" s="887" t="s">
        <v>4774</v>
      </c>
      <c r="AN38" s="3030"/>
      <c r="AO38" s="942"/>
      <c r="AP38" s="942"/>
      <c r="AQ38" s="2102"/>
      <c r="AR38" s="2102"/>
      <c r="AS38" s="2102"/>
      <c r="AT38" s="2102"/>
      <c r="AU38" s="2102"/>
      <c r="AV38" s="2102"/>
      <c r="AW38" s="2102"/>
      <c r="AX38" s="2102"/>
      <c r="AY38" s="2102"/>
    </row>
    <row r="39" spans="1:51" ht="140.25">
      <c r="A39" s="885"/>
      <c r="B39" s="889" t="s">
        <v>5167</v>
      </c>
      <c r="C39" s="945" t="s">
        <v>4776</v>
      </c>
      <c r="D39" s="890"/>
      <c r="E39" s="891" t="s">
        <v>51</v>
      </c>
      <c r="F39" s="892">
        <v>3</v>
      </c>
      <c r="G39" s="893">
        <v>0.11600000000000001</v>
      </c>
      <c r="H39" s="1409">
        <v>0.128</v>
      </c>
      <c r="I39" s="894">
        <v>5.3999999999999999E-2</v>
      </c>
      <c r="J39" s="893">
        <v>0.4</v>
      </c>
      <c r="K39" s="894">
        <v>0</v>
      </c>
      <c r="L39" s="894">
        <v>0</v>
      </c>
      <c r="M39" s="933">
        <v>-0.11799999999999999</v>
      </c>
      <c r="N39" s="933">
        <v>0</v>
      </c>
      <c r="O39" s="1435">
        <f t="shared" ref="O39:O49" si="21">+SUM(G39:N39)</f>
        <v>0.57999999999999996</v>
      </c>
      <c r="P39" s="934" t="s">
        <v>5168</v>
      </c>
      <c r="Q39" s="2004"/>
      <c r="R39" s="897">
        <f>(IF(SUM(V39:AD39)=0,IF(U39=1,AI$39,0),$V$5))</f>
        <v>0</v>
      </c>
      <c r="S39" s="898"/>
      <c r="T39" s="71"/>
      <c r="U39" s="93">
        <f xml:space="preserve"> IF( AND(OR(C39 = "Item 1",C39=""), OR( G39 &lt;&gt; 0, H39 &lt;&gt; 0, I39 &lt;&gt; 0, J39 &lt;&gt; 0, K39 &lt;&gt; 0, L39 &lt;&gt; 0, M39 &lt;&gt; 0, N39 &lt;&gt; 0) ), 1, 0 )</f>
        <v>0</v>
      </c>
      <c r="V39" s="93">
        <f xml:space="preserve"> IF(AND($C39="Item 1",$O39=0), 0, IF( ISNUMBER( G39 ), 0, 1 ))</f>
        <v>0</v>
      </c>
      <c r="W39" s="93">
        <f t="shared" ref="W39:AC39" si="22" xml:space="preserve"> IF(AND($C39="Item 1",$O39=0), 0, IF( ISNUMBER( H39 ), 0, 1 ))</f>
        <v>0</v>
      </c>
      <c r="X39" s="93">
        <f t="shared" si="22"/>
        <v>0</v>
      </c>
      <c r="Y39" s="93">
        <f t="shared" si="22"/>
        <v>0</v>
      </c>
      <c r="Z39" s="93">
        <f t="shared" si="22"/>
        <v>0</v>
      </c>
      <c r="AA39" s="93">
        <f t="shared" si="22"/>
        <v>0</v>
      </c>
      <c r="AB39" s="93">
        <f t="shared" si="22"/>
        <v>0</v>
      </c>
      <c r="AC39" s="93">
        <f t="shared" si="22"/>
        <v>0</v>
      </c>
      <c r="AD39" s="71"/>
      <c r="AE39" s="2004"/>
      <c r="AF39" s="71"/>
      <c r="AG39" s="2004"/>
      <c r="AH39" s="2004"/>
      <c r="AI39" s="2004" t="s">
        <v>4777</v>
      </c>
      <c r="AK39" s="2004"/>
      <c r="AL39" s="889" t="s">
        <v>5167</v>
      </c>
      <c r="AM39" s="2759" t="s">
        <v>5169</v>
      </c>
      <c r="AN39" s="890"/>
      <c r="AO39" s="891" t="s">
        <v>51</v>
      </c>
      <c r="AP39" s="892">
        <v>3</v>
      </c>
      <c r="AQ39" s="2751" t="s">
        <v>5169</v>
      </c>
      <c r="AR39" s="2753" t="s">
        <v>5170</v>
      </c>
      <c r="AS39" s="2754" t="s">
        <v>5171</v>
      </c>
      <c r="AT39" s="2751" t="s">
        <v>5172</v>
      </c>
      <c r="AU39" s="2754" t="s">
        <v>5173</v>
      </c>
      <c r="AV39" s="2754" t="s">
        <v>5174</v>
      </c>
      <c r="AW39" s="2755" t="s">
        <v>5175</v>
      </c>
      <c r="AX39" s="2755" t="s">
        <v>5176</v>
      </c>
      <c r="AY39" s="2136" t="s">
        <v>5177</v>
      </c>
    </row>
    <row r="40" spans="1:51" ht="89.25">
      <c r="A40" s="885"/>
      <c r="B40" s="899" t="s">
        <v>5178</v>
      </c>
      <c r="C40" s="1997" t="s">
        <v>4786</v>
      </c>
      <c r="D40" s="983"/>
      <c r="E40" s="901" t="s">
        <v>51</v>
      </c>
      <c r="F40" s="902">
        <v>3</v>
      </c>
      <c r="G40" s="903">
        <v>0.16200000000000001</v>
      </c>
      <c r="H40" s="1410">
        <v>0.17799999999999999</v>
      </c>
      <c r="I40" s="904">
        <v>7.4999999999999997E-2</v>
      </c>
      <c r="J40" s="903">
        <v>0.622</v>
      </c>
      <c r="K40" s="904">
        <v>0</v>
      </c>
      <c r="L40" s="904">
        <v>0</v>
      </c>
      <c r="M40" s="935">
        <v>0</v>
      </c>
      <c r="N40" s="935">
        <v>0</v>
      </c>
      <c r="O40" s="1436">
        <f t="shared" si="21"/>
        <v>1.0369999999999999</v>
      </c>
      <c r="P40" s="936" t="s">
        <v>5179</v>
      </c>
      <c r="Q40" s="2004"/>
      <c r="R40" s="897">
        <f t="shared" ref="R40:R49" si="23">(IF(SUM(V40:AD40)=0,IF(U40=1,AI$39,0),$V$5))</f>
        <v>0</v>
      </c>
      <c r="S40" s="898"/>
      <c r="T40" s="71"/>
      <c r="U40" s="93">
        <f xml:space="preserve"> IF( AND(OR(C40 = "Item 2",C40=""), OR( G40 &lt;&gt; 0, H40 &lt;&gt; 0, I40 &lt;&gt; 0, J40 &lt;&gt; 0, K40 &lt;&gt; 0, L40 &lt;&gt; 0, M40 &lt;&gt; 0, N40 &lt;&gt; 0) ), 1, 0 )</f>
        <v>0</v>
      </c>
      <c r="V40" s="93">
        <f xml:space="preserve"> IF(AND($C40="Item 2",$O40=0), 0, IF( ISNUMBER( G40 ), 0, 1 ))</f>
        <v>0</v>
      </c>
      <c r="W40" s="93">
        <f t="shared" ref="W40:AC40" si="24" xml:space="preserve"> IF(AND($C40="Item 2",$O40=0), 0, IF( ISNUMBER( H40 ), 0, 1 ))</f>
        <v>0</v>
      </c>
      <c r="X40" s="93">
        <f t="shared" si="24"/>
        <v>0</v>
      </c>
      <c r="Y40" s="93">
        <f t="shared" si="24"/>
        <v>0</v>
      </c>
      <c r="Z40" s="93">
        <f t="shared" si="24"/>
        <v>0</v>
      </c>
      <c r="AA40" s="93">
        <f t="shared" si="24"/>
        <v>0</v>
      </c>
      <c r="AB40" s="93">
        <f t="shared" si="24"/>
        <v>0</v>
      </c>
      <c r="AC40" s="93">
        <f t="shared" si="24"/>
        <v>0</v>
      </c>
      <c r="AD40" s="71"/>
      <c r="AE40" s="2004"/>
      <c r="AF40" s="71"/>
      <c r="AG40" s="2004"/>
      <c r="AH40" s="2004"/>
      <c r="AI40" s="2004"/>
      <c r="AK40" s="2004"/>
      <c r="AL40" s="899" t="s">
        <v>5178</v>
      </c>
      <c r="AM40" s="2759" t="s">
        <v>5180</v>
      </c>
      <c r="AN40" s="2794"/>
      <c r="AO40" s="901" t="s">
        <v>51</v>
      </c>
      <c r="AP40" s="902">
        <v>3</v>
      </c>
      <c r="AQ40" s="2756" t="s">
        <v>5180</v>
      </c>
      <c r="AR40" s="2758" t="s">
        <v>5181</v>
      </c>
      <c r="AS40" s="2759" t="s">
        <v>5182</v>
      </c>
      <c r="AT40" s="2756" t="s">
        <v>5183</v>
      </c>
      <c r="AU40" s="2759" t="s">
        <v>5184</v>
      </c>
      <c r="AV40" s="2759" t="s">
        <v>5185</v>
      </c>
      <c r="AW40" s="2760" t="s">
        <v>5186</v>
      </c>
      <c r="AX40" s="2760" t="s">
        <v>5187</v>
      </c>
      <c r="AY40" s="2137" t="s">
        <v>5188</v>
      </c>
    </row>
    <row r="41" spans="1:51" ht="141" thickBot="1">
      <c r="A41" s="885"/>
      <c r="B41" s="899" t="s">
        <v>5189</v>
      </c>
      <c r="C41" s="1997" t="s">
        <v>4804</v>
      </c>
      <c r="D41" s="983"/>
      <c r="E41" s="901" t="s">
        <v>51</v>
      </c>
      <c r="F41" s="902">
        <v>3</v>
      </c>
      <c r="G41" s="903">
        <v>0.122</v>
      </c>
      <c r="H41" s="1410">
        <v>0.113</v>
      </c>
      <c r="I41" s="904">
        <v>9.0999999999999998E-2</v>
      </c>
      <c r="J41" s="903">
        <v>4.6310000000000002</v>
      </c>
      <c r="K41" s="904">
        <v>4.0000000000000001E-3</v>
      </c>
      <c r="L41" s="904">
        <v>1.0999999999999999E-2</v>
      </c>
      <c r="M41" s="935">
        <v>7.0000000000000007E-2</v>
      </c>
      <c r="N41" s="935">
        <v>2E-3</v>
      </c>
      <c r="O41" s="1436">
        <f t="shared" si="21"/>
        <v>5.0439999999999996</v>
      </c>
      <c r="P41" s="946" t="s">
        <v>5190</v>
      </c>
      <c r="Q41" s="2004"/>
      <c r="R41" s="897">
        <f t="shared" si="23"/>
        <v>0</v>
      </c>
      <c r="S41" s="898"/>
      <c r="T41" s="71"/>
      <c r="U41" s="93">
        <f xml:space="preserve"> IF( AND(OR(C41 = "Item 3",C41=""), OR( G41 &lt;&gt; 0, H41 &lt;&gt; 0, I41 &lt;&gt; 0, J41 &lt;&gt; 0, K41 &lt;&gt; 0, L41 &lt;&gt; 0, M41 &lt;&gt; 0, N41 &lt;&gt; 0) ), 1, 0 )</f>
        <v>0</v>
      </c>
      <c r="V41" s="93">
        <f xml:space="preserve"> IF(AND($C41="Item 3",$O41=0), 0, IF( ISNUMBER( G41 ), 0, 1 ))</f>
        <v>0</v>
      </c>
      <c r="W41" s="93">
        <f t="shared" ref="W41:AC41" si="25" xml:space="preserve"> IF(AND($C41="Item 3",$O41=0), 0, IF( ISNUMBER( H41 ), 0, 1 ))</f>
        <v>0</v>
      </c>
      <c r="X41" s="93">
        <f t="shared" si="25"/>
        <v>0</v>
      </c>
      <c r="Y41" s="93">
        <f t="shared" si="25"/>
        <v>0</v>
      </c>
      <c r="Z41" s="93">
        <f t="shared" si="25"/>
        <v>0</v>
      </c>
      <c r="AA41" s="93">
        <f t="shared" si="25"/>
        <v>0</v>
      </c>
      <c r="AB41" s="93">
        <f t="shared" si="25"/>
        <v>0</v>
      </c>
      <c r="AC41" s="93">
        <f t="shared" si="25"/>
        <v>0</v>
      </c>
      <c r="AD41" s="71"/>
      <c r="AE41" s="2004"/>
      <c r="AF41" s="71"/>
      <c r="AG41" s="2004"/>
      <c r="AH41" s="2004"/>
      <c r="AI41" s="2004"/>
      <c r="AK41" s="2004"/>
      <c r="AL41" s="899" t="s">
        <v>5189</v>
      </c>
      <c r="AM41" s="2759" t="s">
        <v>5191</v>
      </c>
      <c r="AN41" s="2794"/>
      <c r="AO41" s="901" t="s">
        <v>51</v>
      </c>
      <c r="AP41" s="902">
        <v>3</v>
      </c>
      <c r="AQ41" s="2756" t="s">
        <v>5191</v>
      </c>
      <c r="AR41" s="2758" t="s">
        <v>5192</v>
      </c>
      <c r="AS41" s="2759" t="s">
        <v>5193</v>
      </c>
      <c r="AT41" s="2756" t="s">
        <v>5194</v>
      </c>
      <c r="AU41" s="2759" t="s">
        <v>5195</v>
      </c>
      <c r="AV41" s="2759" t="s">
        <v>5196</v>
      </c>
      <c r="AW41" s="2760" t="s">
        <v>5197</v>
      </c>
      <c r="AX41" s="2760" t="s">
        <v>5198</v>
      </c>
      <c r="AY41" s="2137" t="s">
        <v>5199</v>
      </c>
    </row>
    <row r="42" spans="1:51" ht="15.75">
      <c r="A42" s="885"/>
      <c r="B42" s="947" t="s">
        <v>5200</v>
      </c>
      <c r="C42" s="2984" t="s">
        <v>5201</v>
      </c>
      <c r="D42" s="983"/>
      <c r="E42" s="901" t="s">
        <v>51</v>
      </c>
      <c r="F42" s="902">
        <v>3</v>
      </c>
      <c r="G42" s="893">
        <v>0</v>
      </c>
      <c r="H42" s="1409">
        <v>0</v>
      </c>
      <c r="I42" s="894">
        <v>0</v>
      </c>
      <c r="J42" s="893">
        <v>0</v>
      </c>
      <c r="K42" s="894">
        <v>0</v>
      </c>
      <c r="L42" s="894">
        <v>0</v>
      </c>
      <c r="M42" s="933">
        <v>2.1150000000000002</v>
      </c>
      <c r="N42" s="933">
        <v>1.6140000000000001</v>
      </c>
      <c r="O42" s="1436">
        <f t="shared" si="21"/>
        <v>3.7290000000000001</v>
      </c>
      <c r="P42" s="946"/>
      <c r="Q42" s="2004"/>
      <c r="R42" s="897">
        <f t="shared" si="23"/>
        <v>0</v>
      </c>
      <c r="S42" s="898"/>
      <c r="T42" s="71"/>
      <c r="U42" s="93">
        <f xml:space="preserve"> IF( AND(OR(C42 = "Item 4",C42=""), OR( G42 &lt;&gt; 0, H42 &lt;&gt; 0, I42 &lt;&gt; 0, J42 &lt;&gt; 0, K42 &lt;&gt; 0, L42 &lt;&gt; 0, M42 &lt;&gt; 0, N42 &lt;&gt; 0) ), 1, 0 )</f>
        <v>0</v>
      </c>
      <c r="V42" s="93">
        <f xml:space="preserve"> IF(AND($C42="Item 4",$O42=0), 0, IF( ISNUMBER( G42 ), 0, 1 ))</f>
        <v>0</v>
      </c>
      <c r="W42" s="93">
        <f t="shared" ref="W42:AC42" si="26" xml:space="preserve"> IF(AND($C42="Item 4",$O42=0), 0, IF( ISNUMBER( H42 ), 0, 1 ))</f>
        <v>0</v>
      </c>
      <c r="X42" s="93">
        <f t="shared" si="26"/>
        <v>0</v>
      </c>
      <c r="Y42" s="93">
        <f t="shared" si="26"/>
        <v>0</v>
      </c>
      <c r="Z42" s="93">
        <f t="shared" si="26"/>
        <v>0</v>
      </c>
      <c r="AA42" s="93">
        <f t="shared" si="26"/>
        <v>0</v>
      </c>
      <c r="AB42" s="93">
        <f t="shared" si="26"/>
        <v>0</v>
      </c>
      <c r="AC42" s="93">
        <f t="shared" si="26"/>
        <v>0</v>
      </c>
      <c r="AD42" s="71"/>
      <c r="AE42" s="2004"/>
      <c r="AF42" s="71"/>
      <c r="AG42" s="2004"/>
      <c r="AH42" s="2004"/>
      <c r="AI42" s="2004"/>
      <c r="AK42" s="2004"/>
      <c r="AL42" s="947" t="s">
        <v>5200</v>
      </c>
      <c r="AM42" s="2759" t="s">
        <v>5202</v>
      </c>
      <c r="AN42" s="2794"/>
      <c r="AO42" s="901" t="s">
        <v>51</v>
      </c>
      <c r="AP42" s="902">
        <v>3</v>
      </c>
      <c r="AQ42" s="2756" t="s">
        <v>5202</v>
      </c>
      <c r="AR42" s="2758" t="s">
        <v>5203</v>
      </c>
      <c r="AS42" s="2759" t="s">
        <v>5204</v>
      </c>
      <c r="AT42" s="2756" t="s">
        <v>5205</v>
      </c>
      <c r="AU42" s="2759" t="s">
        <v>5206</v>
      </c>
      <c r="AV42" s="2759" t="s">
        <v>5207</v>
      </c>
      <c r="AW42" s="2760" t="s">
        <v>5208</v>
      </c>
      <c r="AX42" s="2760" t="s">
        <v>5209</v>
      </c>
      <c r="AY42" s="2137" t="s">
        <v>5210</v>
      </c>
    </row>
    <row r="43" spans="1:51" ht="15.75">
      <c r="A43" s="885"/>
      <c r="B43" s="899" t="s">
        <v>5211</v>
      </c>
      <c r="C43" s="1997" t="s">
        <v>5212</v>
      </c>
      <c r="D43" s="983"/>
      <c r="E43" s="901" t="s">
        <v>51</v>
      </c>
      <c r="F43" s="902">
        <v>3</v>
      </c>
      <c r="G43" s="903">
        <v>0.65200000000000002</v>
      </c>
      <c r="H43" s="1410">
        <v>0.71899999999999997</v>
      </c>
      <c r="I43" s="904">
        <v>0.30099999999999999</v>
      </c>
      <c r="J43" s="903">
        <v>0.89900000000000002</v>
      </c>
      <c r="K43" s="904">
        <v>0</v>
      </c>
      <c r="L43" s="904">
        <v>0</v>
      </c>
      <c r="M43" s="935">
        <v>0.34599999999999997</v>
      </c>
      <c r="N43" s="935">
        <v>4.2000000000000003E-2</v>
      </c>
      <c r="O43" s="1436">
        <f t="shared" si="21"/>
        <v>2.9589999999999996</v>
      </c>
      <c r="P43" s="946"/>
      <c r="Q43" s="2004"/>
      <c r="R43" s="897">
        <f t="shared" si="23"/>
        <v>0</v>
      </c>
      <c r="S43" s="898"/>
      <c r="T43" s="71"/>
      <c r="U43" s="93">
        <f xml:space="preserve"> IF( AND(OR(C43 = "Item 5",C43=""), OR( G43 &lt;&gt; 0, H43 &lt;&gt; 0, I43 &lt;&gt; 0, J43 &lt;&gt; 0, K43 &lt;&gt; 0, L43 &lt;&gt; 0, M43 &lt;&gt; 0, N43 &lt;&gt; 0) ), 1, 0 )</f>
        <v>0</v>
      </c>
      <c r="V43" s="93">
        <f xml:space="preserve"> IF(AND($C43="Item 5",$O43=0), 0, IF( ISNUMBER( G43 ), 0, 1 ))</f>
        <v>0</v>
      </c>
      <c r="W43" s="93">
        <f t="shared" ref="W43:AC43" si="27" xml:space="preserve"> IF(AND($C43="Item 5",$O43=0), 0, IF( ISNUMBER( H43 ), 0, 1 ))</f>
        <v>0</v>
      </c>
      <c r="X43" s="93">
        <f t="shared" si="27"/>
        <v>0</v>
      </c>
      <c r="Y43" s="93">
        <f t="shared" si="27"/>
        <v>0</v>
      </c>
      <c r="Z43" s="93">
        <f t="shared" si="27"/>
        <v>0</v>
      </c>
      <c r="AA43" s="93">
        <f t="shared" si="27"/>
        <v>0</v>
      </c>
      <c r="AB43" s="93">
        <f t="shared" si="27"/>
        <v>0</v>
      </c>
      <c r="AC43" s="93">
        <f t="shared" si="27"/>
        <v>0</v>
      </c>
      <c r="AD43" s="71"/>
      <c r="AE43" s="2004"/>
      <c r="AF43" s="71"/>
      <c r="AG43" s="2004"/>
      <c r="AH43" s="2004"/>
      <c r="AI43" s="2004"/>
      <c r="AK43" s="2004"/>
      <c r="AL43" s="899" t="s">
        <v>5211</v>
      </c>
      <c r="AM43" s="2759" t="s">
        <v>5213</v>
      </c>
      <c r="AN43" s="2794"/>
      <c r="AO43" s="901" t="s">
        <v>51</v>
      </c>
      <c r="AP43" s="902">
        <v>3</v>
      </c>
      <c r="AQ43" s="2756" t="s">
        <v>5213</v>
      </c>
      <c r="AR43" s="2758" t="s">
        <v>5214</v>
      </c>
      <c r="AS43" s="2759" t="s">
        <v>5215</v>
      </c>
      <c r="AT43" s="2756" t="s">
        <v>5216</v>
      </c>
      <c r="AU43" s="2759" t="s">
        <v>5217</v>
      </c>
      <c r="AV43" s="2759" t="s">
        <v>5218</v>
      </c>
      <c r="AW43" s="2760" t="s">
        <v>5219</v>
      </c>
      <c r="AX43" s="2760" t="s">
        <v>5220</v>
      </c>
      <c r="AY43" s="2137" t="s">
        <v>5221</v>
      </c>
    </row>
    <row r="44" spans="1:51" ht="15.75">
      <c r="A44" s="885"/>
      <c r="B44" s="1374" t="s">
        <v>5222</v>
      </c>
      <c r="C44" s="1997" t="s">
        <v>5223</v>
      </c>
      <c r="D44" s="1555"/>
      <c r="E44" s="901" t="s">
        <v>51</v>
      </c>
      <c r="F44" s="902">
        <v>3</v>
      </c>
      <c r="G44" s="903">
        <v>0.215</v>
      </c>
      <c r="H44" s="1410">
        <v>0.23699999999999999</v>
      </c>
      <c r="I44" s="904">
        <v>9.9000000000000005E-2</v>
      </c>
      <c r="J44" s="903">
        <v>0.41199999999999998</v>
      </c>
      <c r="K44" s="904">
        <v>0</v>
      </c>
      <c r="L44" s="904">
        <v>0</v>
      </c>
      <c r="M44" s="935">
        <v>0.107</v>
      </c>
      <c r="N44" s="935">
        <v>4.7E-2</v>
      </c>
      <c r="O44" s="1572">
        <f t="shared" si="21"/>
        <v>1.1169999999999998</v>
      </c>
      <c r="P44" s="946"/>
      <c r="Q44" s="2004"/>
      <c r="R44" s="897">
        <f t="shared" si="23"/>
        <v>0</v>
      </c>
      <c r="S44" s="898"/>
      <c r="T44" s="71"/>
      <c r="U44" s="93">
        <f xml:space="preserve"> IF( AND(OR(C44 = "Item 6",C44=""), OR( G44 &lt;&gt; 0, H44 &lt;&gt; 0, I44 &lt;&gt; 0, J44 &lt;&gt; 0, K44 &lt;&gt; 0, L44 &lt;&gt; 0, M44 &lt;&gt; 0, N44 &lt;&gt; 0) ), 1, 0 )</f>
        <v>0</v>
      </c>
      <c r="V44" s="93">
        <f xml:space="preserve"> IF(AND($C44="Item 6",$O44=0), 0, IF( ISNUMBER( G44 ), 0, 1 ))</f>
        <v>0</v>
      </c>
      <c r="W44" s="93">
        <f t="shared" ref="W44:AC44" si="28" xml:space="preserve"> IF(AND($C44="Item 6",$O44=0), 0, IF( ISNUMBER( H44 ), 0, 1 ))</f>
        <v>0</v>
      </c>
      <c r="X44" s="93">
        <f t="shared" si="28"/>
        <v>0</v>
      </c>
      <c r="Y44" s="93">
        <f t="shared" si="28"/>
        <v>0</v>
      </c>
      <c r="Z44" s="93">
        <f t="shared" si="28"/>
        <v>0</v>
      </c>
      <c r="AA44" s="93">
        <f t="shared" si="28"/>
        <v>0</v>
      </c>
      <c r="AB44" s="93">
        <f t="shared" si="28"/>
        <v>0</v>
      </c>
      <c r="AC44" s="93">
        <f t="shared" si="28"/>
        <v>0</v>
      </c>
      <c r="AD44" s="71"/>
      <c r="AE44" s="2004"/>
      <c r="AF44" s="71"/>
      <c r="AG44" s="2004"/>
      <c r="AH44" s="2004"/>
      <c r="AI44" s="2004"/>
      <c r="AK44" s="2004"/>
      <c r="AL44" s="1374" t="s">
        <v>5222</v>
      </c>
      <c r="AM44" s="2759" t="s">
        <v>5224</v>
      </c>
      <c r="AN44" s="2795"/>
      <c r="AO44" s="901" t="s">
        <v>51</v>
      </c>
      <c r="AP44" s="902">
        <v>3</v>
      </c>
      <c r="AQ44" s="2777" t="s">
        <v>5224</v>
      </c>
      <c r="AR44" s="2779" t="s">
        <v>5225</v>
      </c>
      <c r="AS44" s="2780" t="s">
        <v>5226</v>
      </c>
      <c r="AT44" s="2777" t="s">
        <v>5227</v>
      </c>
      <c r="AU44" s="2780" t="s">
        <v>5228</v>
      </c>
      <c r="AV44" s="2780" t="s">
        <v>5229</v>
      </c>
      <c r="AW44" s="2781" t="s">
        <v>5230</v>
      </c>
      <c r="AX44" s="2781" t="s">
        <v>5231</v>
      </c>
      <c r="AY44" s="2141" t="s">
        <v>5232</v>
      </c>
    </row>
    <row r="45" spans="1:51" ht="15.75">
      <c r="A45" s="885"/>
      <c r="B45" s="1374" t="s">
        <v>5233</v>
      </c>
      <c r="C45" s="1993" t="s">
        <v>4832</v>
      </c>
      <c r="D45" s="1555"/>
      <c r="E45" s="901" t="s">
        <v>51</v>
      </c>
      <c r="F45" s="902">
        <v>3</v>
      </c>
      <c r="G45" s="903">
        <v>4.7E-2</v>
      </c>
      <c r="H45" s="1410">
        <v>5.1999999999999998E-2</v>
      </c>
      <c r="I45" s="904">
        <v>2.3E-2</v>
      </c>
      <c r="J45" s="903">
        <v>0.121</v>
      </c>
      <c r="K45" s="904">
        <v>1E-3</v>
      </c>
      <c r="L45" s="904">
        <v>3.5000000000000003E-2</v>
      </c>
      <c r="M45" s="935">
        <v>8.6999999999999994E-2</v>
      </c>
      <c r="N45" s="935">
        <v>0.122</v>
      </c>
      <c r="O45" s="1572">
        <f t="shared" si="21"/>
        <v>0.48799999999999999</v>
      </c>
      <c r="P45" s="946"/>
      <c r="Q45" s="2004"/>
      <c r="R45" s="897">
        <f t="shared" si="23"/>
        <v>0</v>
      </c>
      <c r="S45" s="898"/>
      <c r="T45" s="71"/>
      <c r="U45" s="93">
        <f xml:space="preserve"> IF( AND(OR(C45 = "Item 7",C45=""), OR( G45 &lt;&gt; 0, H45 &lt;&gt; 0, I45 &lt;&gt; 0, J45 &lt;&gt; 0, K45 &lt;&gt; 0, L45 &lt;&gt; 0, M45 &lt;&gt; 0, N45 &lt;&gt; 0) ), 1, 0 )</f>
        <v>0</v>
      </c>
      <c r="V45" s="93">
        <f xml:space="preserve"> IF(AND($C45="Item 7",$O45=0), 0, IF( ISNUMBER( G45 ), 0, 1 ))</f>
        <v>0</v>
      </c>
      <c r="W45" s="93">
        <f t="shared" ref="W45:AC45" si="29" xml:space="preserve"> IF(AND($C45="Item 7",$O45=0), 0, IF( ISNUMBER( H45 ), 0, 1 ))</f>
        <v>0</v>
      </c>
      <c r="X45" s="93">
        <f t="shared" si="29"/>
        <v>0</v>
      </c>
      <c r="Y45" s="93">
        <f t="shared" si="29"/>
        <v>0</v>
      </c>
      <c r="Z45" s="93">
        <f t="shared" si="29"/>
        <v>0</v>
      </c>
      <c r="AA45" s="93">
        <f t="shared" si="29"/>
        <v>0</v>
      </c>
      <c r="AB45" s="93">
        <f t="shared" si="29"/>
        <v>0</v>
      </c>
      <c r="AC45" s="93">
        <f t="shared" si="29"/>
        <v>0</v>
      </c>
      <c r="AD45" s="71"/>
      <c r="AE45" s="2004"/>
      <c r="AF45" s="71"/>
      <c r="AG45" s="2004"/>
      <c r="AH45" s="2004"/>
      <c r="AI45" s="2004"/>
      <c r="AK45" s="2004"/>
      <c r="AL45" s="1374" t="s">
        <v>5233</v>
      </c>
      <c r="AM45" s="2759" t="s">
        <v>5234</v>
      </c>
      <c r="AN45" s="2795"/>
      <c r="AO45" s="901" t="s">
        <v>51</v>
      </c>
      <c r="AP45" s="902">
        <v>3</v>
      </c>
      <c r="AQ45" s="2777" t="s">
        <v>5234</v>
      </c>
      <c r="AR45" s="2779" t="s">
        <v>5235</v>
      </c>
      <c r="AS45" s="2780" t="s">
        <v>5236</v>
      </c>
      <c r="AT45" s="2777" t="s">
        <v>5237</v>
      </c>
      <c r="AU45" s="2780" t="s">
        <v>5238</v>
      </c>
      <c r="AV45" s="2780" t="s">
        <v>5239</v>
      </c>
      <c r="AW45" s="2781" t="s">
        <v>5240</v>
      </c>
      <c r="AX45" s="2781" t="s">
        <v>5241</v>
      </c>
      <c r="AY45" s="2141" t="s">
        <v>5242</v>
      </c>
    </row>
    <row r="46" spans="1:51" ht="15.75">
      <c r="A46" s="885"/>
      <c r="B46" s="1374" t="s">
        <v>5243</v>
      </c>
      <c r="C46" s="1993" t="s">
        <v>4841</v>
      </c>
      <c r="D46" s="1555"/>
      <c r="E46" s="901" t="s">
        <v>51</v>
      </c>
      <c r="F46" s="902">
        <v>3</v>
      </c>
      <c r="G46" s="903">
        <v>0.215</v>
      </c>
      <c r="H46" s="1410">
        <v>0.21299999999999999</v>
      </c>
      <c r="I46" s="904">
        <v>0.14899999999999999</v>
      </c>
      <c r="J46" s="903">
        <v>0.38800000000000001</v>
      </c>
      <c r="K46" s="904">
        <v>5.0000000000000001E-3</v>
      </c>
      <c r="L46" s="904">
        <v>1.0999999999999999E-2</v>
      </c>
      <c r="M46" s="935">
        <v>0.124</v>
      </c>
      <c r="N46" s="935">
        <v>1.4999999999999999E-2</v>
      </c>
      <c r="O46" s="1572">
        <f t="shared" si="21"/>
        <v>1.1199999999999999</v>
      </c>
      <c r="P46" s="946"/>
      <c r="Q46" s="2004"/>
      <c r="R46" s="897">
        <f t="shared" si="23"/>
        <v>0</v>
      </c>
      <c r="S46" s="898"/>
      <c r="T46" s="71"/>
      <c r="U46" s="93">
        <f xml:space="preserve"> IF( AND(OR(C46 = "Item 8",C46=""), OR( G46 &lt;&gt; 0, H46 &lt;&gt; 0, I46 &lt;&gt; 0, J46 &lt;&gt; 0, K46 &lt;&gt; 0, L46 &lt;&gt; 0, M46 &lt;&gt; 0, N46 &lt;&gt; 0) ), 1, 0 )</f>
        <v>0</v>
      </c>
      <c r="V46" s="93">
        <f xml:space="preserve"> IF(AND($C46="Item 8",$O46=0), 0, IF( ISNUMBER( G46 ), 0, 1 ))</f>
        <v>0</v>
      </c>
      <c r="W46" s="93">
        <f t="shared" ref="W46:AC46" si="30" xml:space="preserve"> IF(AND($C46="Item 8",$O46=0), 0, IF( ISNUMBER( H46 ), 0, 1 ))</f>
        <v>0</v>
      </c>
      <c r="X46" s="93">
        <f t="shared" si="30"/>
        <v>0</v>
      </c>
      <c r="Y46" s="93">
        <f t="shared" si="30"/>
        <v>0</v>
      </c>
      <c r="Z46" s="93">
        <f t="shared" si="30"/>
        <v>0</v>
      </c>
      <c r="AA46" s="93">
        <f t="shared" si="30"/>
        <v>0</v>
      </c>
      <c r="AB46" s="93">
        <f t="shared" si="30"/>
        <v>0</v>
      </c>
      <c r="AC46" s="93">
        <f t="shared" si="30"/>
        <v>0</v>
      </c>
      <c r="AD46" s="71"/>
      <c r="AE46" s="2004"/>
      <c r="AF46" s="71"/>
      <c r="AG46" s="2004"/>
      <c r="AH46" s="2004"/>
      <c r="AI46" s="2004"/>
      <c r="AK46" s="2004"/>
      <c r="AL46" s="1374" t="s">
        <v>5243</v>
      </c>
      <c r="AM46" s="2759" t="s">
        <v>5244</v>
      </c>
      <c r="AN46" s="2795"/>
      <c r="AO46" s="901" t="s">
        <v>51</v>
      </c>
      <c r="AP46" s="902">
        <v>3</v>
      </c>
      <c r="AQ46" s="2777" t="s">
        <v>5244</v>
      </c>
      <c r="AR46" s="2779" t="s">
        <v>5245</v>
      </c>
      <c r="AS46" s="2780" t="s">
        <v>5246</v>
      </c>
      <c r="AT46" s="2777" t="s">
        <v>5247</v>
      </c>
      <c r="AU46" s="2780" t="s">
        <v>5248</v>
      </c>
      <c r="AV46" s="2780" t="s">
        <v>5249</v>
      </c>
      <c r="AW46" s="2781" t="s">
        <v>5250</v>
      </c>
      <c r="AX46" s="2781" t="s">
        <v>5251</v>
      </c>
      <c r="AY46" s="2141" t="s">
        <v>5252</v>
      </c>
    </row>
    <row r="47" spans="1:51" ht="15.75">
      <c r="A47" s="885"/>
      <c r="B47" s="1374" t="s">
        <v>5253</v>
      </c>
      <c r="C47" s="1997" t="s">
        <v>4850</v>
      </c>
      <c r="D47" s="1555"/>
      <c r="E47" s="901" t="s">
        <v>51</v>
      </c>
      <c r="F47" s="902">
        <v>3</v>
      </c>
      <c r="G47" s="1376">
        <v>0</v>
      </c>
      <c r="H47" s="1416">
        <v>0</v>
      </c>
      <c r="I47" s="1375">
        <v>0</v>
      </c>
      <c r="J47" s="1376">
        <v>8.4000000000000005E-2</v>
      </c>
      <c r="K47" s="1375">
        <v>0</v>
      </c>
      <c r="L47" s="1375">
        <v>0</v>
      </c>
      <c r="M47" s="1377">
        <v>0</v>
      </c>
      <c r="N47" s="1377">
        <v>0</v>
      </c>
      <c r="O47" s="1572">
        <f t="shared" si="21"/>
        <v>8.4000000000000005E-2</v>
      </c>
      <c r="P47" s="946"/>
      <c r="Q47" s="2004"/>
      <c r="R47" s="897">
        <f t="shared" si="23"/>
        <v>0</v>
      </c>
      <c r="S47" s="898"/>
      <c r="T47" s="71"/>
      <c r="U47" s="93">
        <f xml:space="preserve"> IF( AND(OR(C47 = "Item 9",C47=""), OR( G47 &lt;&gt; 0, H47 &lt;&gt; 0, I47 &lt;&gt; 0, J47 &lt;&gt; 0, K47 &lt;&gt; 0, L47 &lt;&gt; 0, M47 &lt;&gt; 0, N47 &lt;&gt; 0) ), 1, 0 )</f>
        <v>0</v>
      </c>
      <c r="V47" s="93">
        <f xml:space="preserve"> IF(AND($C47="Item 9",$O47=0), 0, IF( ISNUMBER( G47 ), 0, 1 ))</f>
        <v>0</v>
      </c>
      <c r="W47" s="93">
        <f t="shared" ref="W47:AC47" si="31" xml:space="preserve"> IF(AND($C47="Item 9",$O47=0), 0, IF( ISNUMBER( H47 ), 0, 1 ))</f>
        <v>0</v>
      </c>
      <c r="X47" s="93">
        <f t="shared" si="31"/>
        <v>0</v>
      </c>
      <c r="Y47" s="93">
        <f t="shared" si="31"/>
        <v>0</v>
      </c>
      <c r="Z47" s="93">
        <f t="shared" si="31"/>
        <v>0</v>
      </c>
      <c r="AA47" s="93">
        <f t="shared" si="31"/>
        <v>0</v>
      </c>
      <c r="AB47" s="93">
        <f t="shared" si="31"/>
        <v>0</v>
      </c>
      <c r="AC47" s="93">
        <f t="shared" si="31"/>
        <v>0</v>
      </c>
      <c r="AD47" s="71"/>
      <c r="AE47" s="2004"/>
      <c r="AF47" s="71"/>
      <c r="AG47" s="2004"/>
      <c r="AH47" s="2004"/>
      <c r="AI47" s="2004"/>
      <c r="AK47" s="2004"/>
      <c r="AL47" s="1374" t="s">
        <v>5253</v>
      </c>
      <c r="AM47" s="2759" t="s">
        <v>5254</v>
      </c>
      <c r="AN47" s="2795"/>
      <c r="AO47" s="901" t="s">
        <v>51</v>
      </c>
      <c r="AP47" s="902">
        <v>3</v>
      </c>
      <c r="AQ47" s="2777" t="s">
        <v>5254</v>
      </c>
      <c r="AR47" s="2779" t="s">
        <v>5255</v>
      </c>
      <c r="AS47" s="2780" t="s">
        <v>5256</v>
      </c>
      <c r="AT47" s="2777" t="s">
        <v>5257</v>
      </c>
      <c r="AU47" s="2780" t="s">
        <v>5258</v>
      </c>
      <c r="AV47" s="2780" t="s">
        <v>5259</v>
      </c>
      <c r="AW47" s="2781" t="s">
        <v>5260</v>
      </c>
      <c r="AX47" s="2781" t="s">
        <v>5261</v>
      </c>
      <c r="AY47" s="2141" t="s">
        <v>5262</v>
      </c>
    </row>
    <row r="48" spans="1:51" ht="15.75">
      <c r="A48" s="885"/>
      <c r="B48" s="1374" t="s">
        <v>5263</v>
      </c>
      <c r="C48" s="1997" t="s">
        <v>4859</v>
      </c>
      <c r="D48" s="1555"/>
      <c r="E48" s="901" t="s">
        <v>51</v>
      </c>
      <c r="F48" s="902">
        <v>3</v>
      </c>
      <c r="G48" s="1376"/>
      <c r="H48" s="1416"/>
      <c r="I48" s="1375"/>
      <c r="J48" s="1376"/>
      <c r="K48" s="1375"/>
      <c r="L48" s="1375"/>
      <c r="M48" s="1377"/>
      <c r="N48" s="1377"/>
      <c r="O48" s="1572">
        <f t="shared" si="21"/>
        <v>0</v>
      </c>
      <c r="P48" s="946"/>
      <c r="Q48" s="2004"/>
      <c r="R48" s="897">
        <f t="shared" si="23"/>
        <v>0</v>
      </c>
      <c r="S48" s="898"/>
      <c r="T48" s="71"/>
      <c r="U48" s="93">
        <f xml:space="preserve"> IF( AND(OR(C48 = "Item 10",C48=""), OR( G48 &lt;&gt; 0, H48 &lt;&gt; 0, I48 &lt;&gt; 0, J48 &lt;&gt; 0, K48 &lt;&gt; 0, L48 &lt;&gt; 0, M48 &lt;&gt; 0, N48 &lt;&gt; 0) ), 1, 0 )</f>
        <v>0</v>
      </c>
      <c r="V48" s="93">
        <f xml:space="preserve"> IF(AND($C48="Item 10",$O48=0), 0, IF( ISNUMBER( G48 ), 0, 1 ))</f>
        <v>0</v>
      </c>
      <c r="W48" s="93">
        <f t="shared" ref="W48:AC48" si="32" xml:space="preserve"> IF(AND($C48="Item 10",$O48=0), 0, IF( ISNUMBER( H48 ), 0, 1 ))</f>
        <v>0</v>
      </c>
      <c r="X48" s="93">
        <f t="shared" si="32"/>
        <v>0</v>
      </c>
      <c r="Y48" s="93">
        <f t="shared" si="32"/>
        <v>0</v>
      </c>
      <c r="Z48" s="93">
        <f t="shared" si="32"/>
        <v>0</v>
      </c>
      <c r="AA48" s="93">
        <f t="shared" si="32"/>
        <v>0</v>
      </c>
      <c r="AB48" s="93">
        <f t="shared" si="32"/>
        <v>0</v>
      </c>
      <c r="AC48" s="93">
        <f t="shared" si="32"/>
        <v>0</v>
      </c>
      <c r="AD48" s="71"/>
      <c r="AE48" s="2004"/>
      <c r="AF48" s="71"/>
      <c r="AG48" s="2004"/>
      <c r="AH48" s="2004"/>
      <c r="AI48" s="2004"/>
      <c r="AK48" s="2004"/>
      <c r="AL48" s="1374" t="s">
        <v>5263</v>
      </c>
      <c r="AM48" s="2759" t="s">
        <v>5264</v>
      </c>
      <c r="AN48" s="2795"/>
      <c r="AO48" s="901" t="s">
        <v>51</v>
      </c>
      <c r="AP48" s="902">
        <v>3</v>
      </c>
      <c r="AQ48" s="2777" t="s">
        <v>5264</v>
      </c>
      <c r="AR48" s="2779" t="s">
        <v>5265</v>
      </c>
      <c r="AS48" s="2780" t="s">
        <v>5266</v>
      </c>
      <c r="AT48" s="2777" t="s">
        <v>5267</v>
      </c>
      <c r="AU48" s="2780" t="s">
        <v>5268</v>
      </c>
      <c r="AV48" s="2780" t="s">
        <v>5269</v>
      </c>
      <c r="AW48" s="2781" t="s">
        <v>5270</v>
      </c>
      <c r="AX48" s="2781" t="s">
        <v>5271</v>
      </c>
      <c r="AY48" s="2141" t="s">
        <v>5272</v>
      </c>
    </row>
    <row r="49" spans="1:51" ht="16.5" thickBot="1">
      <c r="A49" s="923"/>
      <c r="B49" s="915" t="s">
        <v>5273</v>
      </c>
      <c r="C49" s="916" t="s">
        <v>4868</v>
      </c>
      <c r="D49" s="916"/>
      <c r="E49" s="917" t="s">
        <v>51</v>
      </c>
      <c r="F49" s="918">
        <v>3</v>
      </c>
      <c r="G49" s="1923">
        <f t="shared" ref="G49:N49" si="33">+SUM(G39:G48)</f>
        <v>1.5290000000000001</v>
      </c>
      <c r="H49" s="1925">
        <f t="shared" si="33"/>
        <v>1.6400000000000001</v>
      </c>
      <c r="I49" s="1926">
        <f t="shared" si="33"/>
        <v>0.79200000000000004</v>
      </c>
      <c r="J49" s="1923">
        <f t="shared" si="33"/>
        <v>7.5570000000000004</v>
      </c>
      <c r="K49" s="1926">
        <f t="shared" si="33"/>
        <v>0.01</v>
      </c>
      <c r="L49" s="1926">
        <f t="shared" si="33"/>
        <v>5.6999999999999995E-2</v>
      </c>
      <c r="M49" s="1927">
        <f t="shared" si="33"/>
        <v>2.7310000000000008</v>
      </c>
      <c r="N49" s="1927">
        <f t="shared" si="33"/>
        <v>1.8419999999999999</v>
      </c>
      <c r="O49" s="1437">
        <f t="shared" si="21"/>
        <v>16.158000000000001</v>
      </c>
      <c r="P49" s="948"/>
      <c r="Q49" s="2004"/>
      <c r="R49" s="897">
        <f t="shared" si="23"/>
        <v>0</v>
      </c>
      <c r="S49" s="2004"/>
      <c r="T49" s="71"/>
      <c r="U49" s="2004"/>
      <c r="V49" s="2004"/>
      <c r="W49" s="2004"/>
      <c r="X49" s="2004"/>
      <c r="Y49" s="2004"/>
      <c r="Z49" s="2004"/>
      <c r="AA49" s="2004"/>
      <c r="AB49" s="2004"/>
      <c r="AC49" s="2004"/>
      <c r="AD49" s="71"/>
      <c r="AE49" s="2004"/>
      <c r="AF49" s="71"/>
      <c r="AG49" s="2004"/>
      <c r="AH49" s="2004"/>
      <c r="AI49" s="2004"/>
      <c r="AK49" s="2004"/>
      <c r="AL49" s="915" t="s">
        <v>5273</v>
      </c>
      <c r="AM49" s="2143" t="s">
        <v>4868</v>
      </c>
      <c r="AN49" s="916"/>
      <c r="AO49" s="917" t="s">
        <v>51</v>
      </c>
      <c r="AP49" s="918">
        <v>3</v>
      </c>
      <c r="AQ49" s="2782" t="s">
        <v>5274</v>
      </c>
      <c r="AR49" s="2784" t="s">
        <v>5275</v>
      </c>
      <c r="AS49" s="2785" t="s">
        <v>5276</v>
      </c>
      <c r="AT49" s="2782" t="s">
        <v>5277</v>
      </c>
      <c r="AU49" s="2785" t="s">
        <v>5278</v>
      </c>
      <c r="AV49" s="2785" t="s">
        <v>5279</v>
      </c>
      <c r="AW49" s="2786" t="s">
        <v>5280</v>
      </c>
      <c r="AX49" s="2786" t="s">
        <v>5281</v>
      </c>
      <c r="AY49" s="2138" t="s">
        <v>5282</v>
      </c>
    </row>
    <row r="50" spans="1:51" ht="16.5" thickBot="1">
      <c r="A50" s="885"/>
      <c r="B50" s="949"/>
      <c r="C50" s="941"/>
      <c r="D50" s="941"/>
      <c r="E50" s="942"/>
      <c r="F50" s="942"/>
      <c r="G50" s="943"/>
      <c r="H50" s="943"/>
      <c r="I50" s="943"/>
      <c r="J50" s="943"/>
      <c r="K50" s="943"/>
      <c r="L50" s="943"/>
      <c r="M50" s="943"/>
      <c r="N50" s="943"/>
      <c r="O50" s="943"/>
      <c r="P50" s="944"/>
      <c r="Q50" s="2004"/>
      <c r="R50" s="2004"/>
      <c r="S50" s="2004"/>
      <c r="T50" s="71"/>
      <c r="U50" s="2004"/>
      <c r="V50" s="2004"/>
      <c r="W50" s="2004"/>
      <c r="X50" s="2004"/>
      <c r="Y50" s="2004"/>
      <c r="Z50" s="2004"/>
      <c r="AA50" s="2004"/>
      <c r="AB50" s="2004"/>
      <c r="AC50" s="2004"/>
      <c r="AD50" s="71"/>
      <c r="AE50" s="2004"/>
      <c r="AF50" s="71"/>
      <c r="AG50" s="2004"/>
      <c r="AH50" s="2004"/>
      <c r="AI50" s="2004"/>
      <c r="AK50" s="2004"/>
      <c r="AL50" s="949"/>
      <c r="AM50" s="941"/>
      <c r="AN50" s="941"/>
      <c r="AO50" s="942"/>
      <c r="AP50" s="942"/>
      <c r="AQ50" s="2102"/>
      <c r="AR50" s="2102"/>
      <c r="AS50" s="2102"/>
      <c r="AT50" s="2102"/>
      <c r="AU50" s="2102"/>
      <c r="AV50" s="2102"/>
      <c r="AW50" s="2102"/>
      <c r="AX50" s="2102"/>
      <c r="AY50" s="2102"/>
    </row>
    <row r="51" spans="1:51" ht="16.5" thickBot="1">
      <c r="A51" s="885"/>
      <c r="B51" s="886" t="s">
        <v>466</v>
      </c>
      <c r="C51" s="1691" t="s">
        <v>4876</v>
      </c>
      <c r="D51" s="3030"/>
      <c r="E51" s="942"/>
      <c r="F51" s="942"/>
      <c r="G51" s="943"/>
      <c r="H51" s="943"/>
      <c r="I51" s="943"/>
      <c r="J51" s="943"/>
      <c r="K51" s="943"/>
      <c r="L51" s="943"/>
      <c r="M51" s="943"/>
      <c r="N51" s="943"/>
      <c r="O51" s="943"/>
      <c r="P51" s="944"/>
      <c r="Q51" s="2004"/>
      <c r="R51" s="2004"/>
      <c r="S51" s="2004"/>
      <c r="T51" s="71"/>
      <c r="U51" s="2004"/>
      <c r="V51" s="2004"/>
      <c r="W51" s="2004"/>
      <c r="X51" s="2004"/>
      <c r="Y51" s="2004"/>
      <c r="Z51" s="2004"/>
      <c r="AA51" s="2004"/>
      <c r="AB51" s="2004"/>
      <c r="AC51" s="2004"/>
      <c r="AD51" s="71"/>
      <c r="AE51" s="2004"/>
      <c r="AF51" s="71"/>
      <c r="AG51" s="2004"/>
      <c r="AH51" s="2004"/>
      <c r="AI51" s="2004"/>
      <c r="AK51" s="2004"/>
      <c r="AL51" s="886" t="s">
        <v>466</v>
      </c>
      <c r="AM51" s="950" t="s">
        <v>4876</v>
      </c>
      <c r="AN51" s="3030"/>
      <c r="AO51" s="942"/>
      <c r="AP51" s="942"/>
      <c r="AQ51" s="2102"/>
      <c r="AR51" s="2102"/>
      <c r="AS51" s="2102"/>
      <c r="AT51" s="2102"/>
      <c r="AU51" s="2102"/>
      <c r="AV51" s="2102"/>
      <c r="AW51" s="2102"/>
      <c r="AX51" s="2102"/>
      <c r="AY51" s="2102"/>
    </row>
    <row r="52" spans="1:51" ht="24" customHeight="1" thickBot="1">
      <c r="A52" s="923"/>
      <c r="B52" s="951" t="s">
        <v>5283</v>
      </c>
      <c r="C52" s="952" t="s">
        <v>4878</v>
      </c>
      <c r="D52" s="952"/>
      <c r="E52" s="954" t="s">
        <v>51</v>
      </c>
      <c r="F52" s="955">
        <v>3</v>
      </c>
      <c r="G52" s="1928">
        <f t="shared" ref="G52:N52" si="34">+G49+G36</f>
        <v>77.535000000000011</v>
      </c>
      <c r="H52" s="1930">
        <f t="shared" si="34"/>
        <v>81.052999999999997</v>
      </c>
      <c r="I52" s="1931">
        <f t="shared" si="34"/>
        <v>42.504000000000005</v>
      </c>
      <c r="J52" s="1928">
        <f t="shared" si="34"/>
        <v>197.58999999999997</v>
      </c>
      <c r="K52" s="1931">
        <f t="shared" si="34"/>
        <v>1.0629999999999999</v>
      </c>
      <c r="L52" s="1931">
        <f t="shared" si="34"/>
        <v>5.4230000000000009</v>
      </c>
      <c r="M52" s="1936">
        <f t="shared" si="34"/>
        <v>97.885999999999996</v>
      </c>
      <c r="N52" s="1556">
        <f t="shared" si="34"/>
        <v>11.002000000000001</v>
      </c>
      <c r="O52" s="1933">
        <f>+SUM(G52:N52)</f>
        <v>514.05599999999993</v>
      </c>
      <c r="P52" s="944"/>
      <c r="Q52" s="2004"/>
      <c r="R52" s="1370">
        <f xml:space="preserve"> IF( SUM( AD52:AF52 ) = 0, 0, AI52 )</f>
        <v>0</v>
      </c>
      <c r="S52" s="2004"/>
      <c r="T52" s="71"/>
      <c r="U52" s="2004"/>
      <c r="V52" s="2004"/>
      <c r="W52" s="2004"/>
      <c r="X52" s="2004"/>
      <c r="Y52" s="2004"/>
      <c r="Z52" s="2004"/>
      <c r="AA52" s="2004"/>
      <c r="AB52" s="2004"/>
      <c r="AC52" s="2004"/>
      <c r="AD52" s="71"/>
      <c r="AE52" s="93">
        <f xml:space="preserve"> IF( (AG52 - AH52) = 0, 0, 1 )</f>
        <v>0</v>
      </c>
      <c r="AF52" s="124"/>
      <c r="AG52" s="112">
        <f xml:space="preserve"> ROUND( O52, 3 )</f>
        <v>514.05600000000004</v>
      </c>
      <c r="AH52" s="112">
        <f xml:space="preserve"> ROUND( ('4E'!O39), 3 )</f>
        <v>514.05600000000004</v>
      </c>
      <c r="AI52" s="139" t="s">
        <v>5284</v>
      </c>
      <c r="AJ52" s="71"/>
      <c r="AK52" s="2004"/>
      <c r="AL52" s="951" t="s">
        <v>5283</v>
      </c>
      <c r="AM52" s="952" t="s">
        <v>4878</v>
      </c>
      <c r="AN52" s="952"/>
      <c r="AO52" s="954" t="s">
        <v>51</v>
      </c>
      <c r="AP52" s="955">
        <v>3</v>
      </c>
      <c r="AQ52" s="2787" t="s">
        <v>5285</v>
      </c>
      <c r="AR52" s="2789" t="s">
        <v>5286</v>
      </c>
      <c r="AS52" s="2790" t="s">
        <v>5287</v>
      </c>
      <c r="AT52" s="2787" t="s">
        <v>5288</v>
      </c>
      <c r="AU52" s="2790" t="s">
        <v>5289</v>
      </c>
      <c r="AV52" s="2790" t="s">
        <v>5290</v>
      </c>
      <c r="AW52" s="2796" t="s">
        <v>5291</v>
      </c>
      <c r="AX52" s="2142" t="s">
        <v>5292</v>
      </c>
      <c r="AY52" s="2792" t="s">
        <v>5293</v>
      </c>
    </row>
    <row r="53" spans="1:51">
      <c r="A53" s="2004"/>
      <c r="B53" s="2004"/>
      <c r="C53" s="2004"/>
      <c r="D53" s="2004"/>
      <c r="E53" s="2004"/>
      <c r="F53" s="2004"/>
      <c r="G53" s="2004"/>
      <c r="H53" s="2004"/>
      <c r="I53" s="2004"/>
      <c r="J53" s="2004"/>
      <c r="K53" s="2004"/>
      <c r="L53" s="2004"/>
      <c r="M53" s="2004"/>
      <c r="N53" s="2004"/>
      <c r="O53" s="2004"/>
      <c r="P53" s="2004"/>
      <c r="Q53" s="2004"/>
      <c r="R53" s="2004"/>
      <c r="S53" s="2004"/>
      <c r="U53" s="2004"/>
      <c r="V53" s="2004"/>
      <c r="W53" s="2004"/>
      <c r="X53" s="2004"/>
      <c r="Y53" s="2004"/>
      <c r="Z53" s="2004"/>
      <c r="AA53" s="2004"/>
      <c r="AB53" s="2004"/>
      <c r="AC53" s="2004"/>
      <c r="AE53" s="2004"/>
      <c r="AG53" s="2004"/>
      <c r="AH53" s="2004"/>
      <c r="AI53" s="2004"/>
      <c r="AK53" s="2004"/>
      <c r="AL53" s="479"/>
      <c r="AM53" s="479"/>
      <c r="AN53" s="479"/>
      <c r="AO53" s="479"/>
      <c r="AP53" s="479"/>
      <c r="AQ53" s="2104"/>
      <c r="AR53" s="2104"/>
      <c r="AS53" s="2104"/>
      <c r="AT53" s="2104"/>
      <c r="AU53" s="2104"/>
      <c r="AV53" s="2104"/>
      <c r="AW53" s="2104"/>
      <c r="AX53" s="2104"/>
      <c r="AY53" s="2104"/>
    </row>
    <row r="54" spans="1:51" ht="15.75">
      <c r="A54" s="2004"/>
      <c r="B54" s="3347" t="s">
        <v>243</v>
      </c>
      <c r="C54" s="3347"/>
      <c r="D54" s="3030"/>
      <c r="E54" s="885"/>
      <c r="F54" s="885"/>
      <c r="G54" s="885"/>
      <c r="H54" s="885"/>
      <c r="I54" s="885"/>
      <c r="J54" s="885"/>
      <c r="K54" s="885"/>
      <c r="L54" s="885"/>
      <c r="M54" s="885"/>
      <c r="N54" s="885"/>
      <c r="O54" s="885"/>
      <c r="P54" s="885"/>
      <c r="Q54" s="885"/>
      <c r="R54" s="885"/>
      <c r="S54" s="885"/>
      <c r="T54" s="1688"/>
      <c r="U54" s="885"/>
      <c r="V54" s="885"/>
      <c r="W54" s="885"/>
      <c r="X54" s="885"/>
      <c r="Y54" s="885"/>
      <c r="Z54" s="885"/>
      <c r="AA54" s="885"/>
      <c r="AB54" s="2004"/>
      <c r="AC54" s="2004"/>
      <c r="AE54" s="2004"/>
      <c r="AG54" s="2004"/>
      <c r="AH54" s="2004"/>
      <c r="AI54" s="2004"/>
      <c r="AK54" s="2004"/>
      <c r="AL54" s="2004"/>
      <c r="AM54" s="2004"/>
      <c r="AN54" s="2004"/>
      <c r="AO54" s="2004"/>
      <c r="AP54" s="2004"/>
      <c r="AQ54" s="1659"/>
      <c r="AR54" s="1659"/>
      <c r="AS54" s="1659"/>
      <c r="AT54" s="1659"/>
      <c r="AU54" s="1659"/>
      <c r="AV54" s="1659"/>
      <c r="AW54" s="1659"/>
      <c r="AX54" s="1659"/>
      <c r="AY54" s="1659"/>
    </row>
    <row r="55" spans="1:51" ht="15.75">
      <c r="A55" s="2004"/>
      <c r="B55" s="337"/>
      <c r="C55" s="984"/>
      <c r="D55" s="984"/>
      <c r="E55" s="885"/>
      <c r="F55" s="885"/>
      <c r="G55" s="885"/>
      <c r="H55" s="885"/>
      <c r="I55" s="885"/>
      <c r="J55" s="885"/>
      <c r="K55" s="885"/>
      <c r="L55" s="885"/>
      <c r="M55" s="885"/>
      <c r="N55" s="885"/>
      <c r="O55" s="885"/>
      <c r="P55" s="885"/>
      <c r="Q55" s="885"/>
      <c r="R55" s="885"/>
      <c r="S55" s="885"/>
      <c r="T55" s="1688"/>
      <c r="U55" s="885"/>
      <c r="V55" s="885"/>
      <c r="W55" s="885"/>
      <c r="X55" s="885"/>
      <c r="Y55" s="885"/>
      <c r="Z55" s="885"/>
      <c r="AA55" s="885"/>
      <c r="AB55" s="2004"/>
      <c r="AC55" s="2004"/>
      <c r="AE55" s="2004"/>
      <c r="AG55" s="2004"/>
      <c r="AH55" s="2004"/>
      <c r="AI55" s="2004"/>
      <c r="AK55" s="2004"/>
      <c r="AL55" s="2004"/>
      <c r="AM55" s="2004"/>
      <c r="AN55" s="2004"/>
      <c r="AO55" s="2004"/>
      <c r="AP55" s="2004"/>
      <c r="AQ55" s="2004"/>
      <c r="AR55" s="2004"/>
      <c r="AS55" s="2004"/>
      <c r="AT55" s="2004"/>
      <c r="AU55" s="2004"/>
      <c r="AV55" s="2004"/>
      <c r="AW55" s="2004"/>
      <c r="AX55" s="2004"/>
      <c r="AY55" s="2004"/>
    </row>
    <row r="56" spans="1:51" ht="15.75">
      <c r="A56" s="2004"/>
      <c r="B56" s="985"/>
      <c r="C56" s="986" t="s">
        <v>190</v>
      </c>
      <c r="D56" s="986"/>
      <c r="E56" s="885"/>
      <c r="F56" s="885"/>
      <c r="G56" s="885"/>
      <c r="H56" s="885"/>
      <c r="I56" s="885"/>
      <c r="J56" s="885"/>
      <c r="K56" s="885"/>
      <c r="L56" s="885"/>
      <c r="M56" s="885"/>
      <c r="N56" s="885"/>
      <c r="O56" s="885"/>
      <c r="P56" s="885"/>
      <c r="Q56" s="885"/>
      <c r="R56" s="885"/>
      <c r="S56" s="885"/>
      <c r="T56" s="1688"/>
      <c r="U56" s="885"/>
      <c r="V56" s="885"/>
      <c r="W56" s="885"/>
      <c r="X56" s="885"/>
      <c r="Y56" s="885"/>
      <c r="Z56" s="885"/>
      <c r="AA56" s="885"/>
      <c r="AB56" s="2004"/>
      <c r="AC56" s="2004"/>
      <c r="AE56" s="2004"/>
      <c r="AG56" s="2004"/>
      <c r="AH56" s="2004"/>
      <c r="AI56" s="2004"/>
      <c r="AK56" s="2004"/>
      <c r="AL56" s="2004"/>
      <c r="AM56" s="2004"/>
      <c r="AN56" s="2004"/>
      <c r="AO56" s="2004"/>
      <c r="AP56" s="2004"/>
      <c r="AQ56" s="2004"/>
      <c r="AR56" s="2004"/>
      <c r="AS56" s="2004"/>
      <c r="AT56" s="2004"/>
      <c r="AU56" s="2004"/>
      <c r="AV56" s="2004"/>
      <c r="AW56" s="2004"/>
      <c r="AX56" s="2004"/>
      <c r="AY56" s="2004"/>
    </row>
    <row r="57" spans="1:51" ht="15.75">
      <c r="A57" s="2004"/>
      <c r="B57" s="337"/>
      <c r="C57" s="984"/>
      <c r="D57" s="984"/>
      <c r="E57" s="885"/>
      <c r="F57" s="885"/>
      <c r="G57" s="885"/>
      <c r="H57" s="885"/>
      <c r="I57" s="885"/>
      <c r="J57" s="885"/>
      <c r="K57" s="885"/>
      <c r="L57" s="885"/>
      <c r="M57" s="885"/>
      <c r="N57" s="885"/>
      <c r="O57" s="885"/>
      <c r="P57" s="885"/>
      <c r="Q57" s="885"/>
      <c r="R57" s="885"/>
      <c r="S57" s="885"/>
      <c r="T57" s="1688"/>
      <c r="U57" s="885"/>
      <c r="V57" s="885"/>
      <c r="W57" s="885"/>
      <c r="X57" s="885"/>
      <c r="Y57" s="885"/>
      <c r="Z57" s="885"/>
      <c r="AA57" s="885"/>
      <c r="AB57" s="2004"/>
      <c r="AC57" s="2004"/>
      <c r="AE57" s="2004"/>
      <c r="AG57" s="2004"/>
      <c r="AH57" s="2004"/>
      <c r="AI57" s="2004"/>
      <c r="AK57" s="2004"/>
      <c r="AL57" s="2004"/>
      <c r="AM57" s="2004"/>
      <c r="AN57" s="2004"/>
      <c r="AO57" s="2004"/>
      <c r="AP57" s="2004"/>
      <c r="AQ57" s="2004"/>
      <c r="AR57" s="2004"/>
      <c r="AS57" s="2004"/>
      <c r="AT57" s="2004"/>
      <c r="AU57" s="2004"/>
      <c r="AV57" s="2004"/>
      <c r="AW57" s="2004"/>
      <c r="AX57" s="2004"/>
      <c r="AY57" s="2004"/>
    </row>
    <row r="58" spans="1:51" ht="15.75">
      <c r="A58" s="2004"/>
      <c r="B58" s="987"/>
      <c r="C58" s="986" t="s">
        <v>5294</v>
      </c>
      <c r="D58" s="986"/>
      <c r="E58" s="885"/>
      <c r="F58" s="885"/>
      <c r="G58" s="885"/>
      <c r="H58" s="885"/>
      <c r="I58" s="885"/>
      <c r="J58" s="885"/>
      <c r="K58" s="885"/>
      <c r="L58" s="885"/>
      <c r="M58" s="885"/>
      <c r="N58" s="885"/>
      <c r="O58" s="885"/>
      <c r="P58" s="885"/>
      <c r="Q58" s="885"/>
      <c r="R58" s="885"/>
      <c r="S58" s="885"/>
      <c r="T58" s="1688"/>
      <c r="U58" s="885"/>
      <c r="V58" s="885"/>
      <c r="W58" s="885"/>
      <c r="X58" s="885"/>
      <c r="Y58" s="885"/>
      <c r="Z58" s="885"/>
      <c r="AA58" s="885"/>
      <c r="AB58" s="2004"/>
      <c r="AC58" s="2004"/>
      <c r="AE58" s="2004"/>
      <c r="AG58" s="2004"/>
      <c r="AH58" s="2004"/>
      <c r="AI58" s="2004"/>
      <c r="AK58" s="2004"/>
      <c r="AL58" s="2004"/>
      <c r="AM58" s="2004"/>
      <c r="AN58" s="2004"/>
      <c r="AO58" s="2004"/>
      <c r="AP58" s="2004"/>
      <c r="AQ58" s="2004"/>
      <c r="AR58" s="2004"/>
      <c r="AS58" s="2004"/>
      <c r="AT58" s="2004"/>
      <c r="AU58" s="2004"/>
      <c r="AV58" s="2004"/>
      <c r="AW58" s="2004"/>
      <c r="AX58" s="2004"/>
      <c r="AY58" s="2004"/>
    </row>
    <row r="59" spans="1:51" ht="15.75">
      <c r="A59" s="2004"/>
      <c r="B59" s="988"/>
      <c r="C59" s="989"/>
      <c r="D59" s="989"/>
      <c r="E59" s="885"/>
      <c r="F59" s="885"/>
      <c r="G59" s="885"/>
      <c r="H59" s="885"/>
      <c r="I59" s="885"/>
      <c r="J59" s="885"/>
      <c r="K59" s="885"/>
      <c r="L59" s="885"/>
      <c r="M59" s="885"/>
      <c r="N59" s="885"/>
      <c r="O59" s="885"/>
      <c r="P59" s="885"/>
      <c r="Q59" s="885"/>
      <c r="R59" s="885"/>
      <c r="S59" s="885"/>
      <c r="T59" s="1688"/>
      <c r="U59" s="885"/>
      <c r="V59" s="885"/>
      <c r="W59" s="885"/>
      <c r="X59" s="885"/>
      <c r="Y59" s="885"/>
      <c r="Z59" s="885"/>
      <c r="AA59" s="885"/>
      <c r="AB59" s="2004"/>
      <c r="AC59" s="2004"/>
      <c r="AE59" s="2004"/>
      <c r="AG59" s="2004"/>
      <c r="AH59" s="2004"/>
      <c r="AI59" s="2004"/>
      <c r="AK59" s="2004"/>
      <c r="AL59" s="2004"/>
      <c r="AM59" s="2004"/>
      <c r="AN59" s="2004"/>
      <c r="AO59" s="2004"/>
      <c r="AP59" s="2004"/>
      <c r="AQ59" s="2004"/>
      <c r="AR59" s="2004"/>
      <c r="AS59" s="2004"/>
      <c r="AT59" s="2004"/>
      <c r="AU59" s="2004"/>
      <c r="AV59" s="2004"/>
      <c r="AW59" s="2004"/>
      <c r="AX59" s="2004"/>
      <c r="AY59" s="2004"/>
    </row>
    <row r="60" spans="1:51" ht="16.5" thickBot="1">
      <c r="A60" s="2004"/>
      <c r="B60" s="988"/>
      <c r="C60" s="989"/>
      <c r="D60" s="989"/>
      <c r="E60" s="885"/>
      <c r="F60" s="885"/>
      <c r="G60" s="885"/>
      <c r="H60" s="885"/>
      <c r="I60" s="885"/>
      <c r="J60" s="885"/>
      <c r="K60" s="885"/>
      <c r="L60" s="885"/>
      <c r="M60" s="885"/>
      <c r="N60" s="885"/>
      <c r="O60" s="885"/>
      <c r="P60" s="885"/>
      <c r="Q60" s="885"/>
      <c r="R60" s="885"/>
      <c r="S60" s="885"/>
      <c r="T60" s="1688"/>
      <c r="U60" s="885"/>
      <c r="V60" s="885"/>
      <c r="W60" s="885"/>
      <c r="X60" s="885"/>
      <c r="Y60" s="885"/>
      <c r="Z60" s="885"/>
      <c r="AA60" s="885"/>
      <c r="AB60" s="2004"/>
      <c r="AC60" s="2004"/>
      <c r="AE60" s="2004"/>
      <c r="AG60" s="2004"/>
      <c r="AH60" s="2004"/>
      <c r="AI60" s="2004"/>
      <c r="AK60" s="2004"/>
      <c r="AL60" s="2004"/>
      <c r="AM60" s="2004"/>
      <c r="AN60" s="2004"/>
      <c r="AO60" s="2004"/>
      <c r="AP60" s="2004"/>
      <c r="AQ60" s="2004"/>
      <c r="AR60" s="2004"/>
      <c r="AS60" s="2004"/>
      <c r="AT60" s="2004"/>
      <c r="AU60" s="2004"/>
      <c r="AV60" s="2004"/>
      <c r="AW60" s="2004"/>
      <c r="AX60" s="2004"/>
      <c r="AY60" s="2004"/>
    </row>
    <row r="61" spans="1:51" ht="16.5" thickBot="1">
      <c r="A61" s="2004"/>
      <c r="B61" s="3053" t="str">
        <f>'4J'!B61</f>
        <v>Please refer to RAG 4.08 - Guideline for the table definitions in the annual performance report for the reporting year 2019-20</v>
      </c>
      <c r="C61" s="3041"/>
      <c r="D61" s="3041"/>
      <c r="E61" s="3041"/>
      <c r="F61" s="3041"/>
      <c r="G61" s="3041"/>
      <c r="H61" s="3041"/>
      <c r="I61" s="3041"/>
      <c r="J61" s="3041"/>
      <c r="K61" s="3041"/>
      <c r="L61" s="3041"/>
      <c r="M61" s="3041"/>
      <c r="N61" s="3041"/>
      <c r="O61" s="3042"/>
      <c r="P61" s="885"/>
      <c r="Q61" s="885"/>
      <c r="R61" s="885"/>
      <c r="S61" s="885"/>
      <c r="T61" s="1688"/>
      <c r="U61" s="885"/>
      <c r="V61" s="885"/>
      <c r="W61" s="885"/>
      <c r="X61" s="885"/>
      <c r="Y61" s="885"/>
      <c r="Z61" s="885"/>
      <c r="AA61" s="885"/>
      <c r="AB61" s="2004"/>
      <c r="AC61" s="2004"/>
      <c r="AE61" s="2004"/>
      <c r="AG61" s="2004"/>
      <c r="AH61" s="2004"/>
      <c r="AI61" s="2004"/>
      <c r="AK61" s="2004"/>
      <c r="AL61" s="2004"/>
      <c r="AM61" s="2004"/>
      <c r="AN61" s="2004"/>
      <c r="AO61" s="2004"/>
      <c r="AP61" s="2004"/>
      <c r="AQ61" s="2004"/>
      <c r="AR61" s="2004"/>
      <c r="AS61" s="2004"/>
      <c r="AT61" s="2004"/>
      <c r="AU61" s="2004"/>
      <c r="AV61" s="2004"/>
      <c r="AW61" s="2004"/>
      <c r="AX61" s="2004"/>
      <c r="AY61" s="2004"/>
    </row>
    <row r="62" spans="1:51" ht="15.75">
      <c r="A62" s="2004"/>
      <c r="B62" s="988"/>
      <c r="C62" s="989"/>
      <c r="D62" s="989"/>
      <c r="E62" s="885"/>
      <c r="F62" s="885"/>
      <c r="G62" s="885"/>
      <c r="H62" s="885"/>
      <c r="I62" s="885"/>
      <c r="J62" s="885"/>
      <c r="K62" s="885"/>
      <c r="L62" s="885"/>
      <c r="M62" s="885"/>
      <c r="N62" s="885"/>
      <c r="O62" s="885"/>
      <c r="P62" s="885"/>
      <c r="Q62" s="885"/>
      <c r="R62" s="885"/>
      <c r="S62" s="885"/>
      <c r="T62" s="1688"/>
      <c r="U62" s="885"/>
      <c r="V62" s="885"/>
      <c r="W62" s="885"/>
      <c r="X62" s="885"/>
      <c r="Y62" s="885"/>
      <c r="Z62" s="885"/>
      <c r="AA62" s="885"/>
      <c r="AB62" s="2004"/>
      <c r="AC62" s="2004"/>
      <c r="AE62" s="2004"/>
      <c r="AG62" s="2004"/>
      <c r="AH62" s="2004"/>
      <c r="AI62" s="2004"/>
      <c r="AK62" s="2004"/>
      <c r="AL62" s="2004"/>
      <c r="AM62" s="2004"/>
      <c r="AN62" s="2004"/>
      <c r="AO62" s="2004"/>
      <c r="AP62" s="2004"/>
      <c r="AQ62" s="2004"/>
      <c r="AR62" s="2004"/>
      <c r="AS62" s="2004"/>
      <c r="AT62" s="2004"/>
      <c r="AU62" s="2004"/>
      <c r="AV62" s="2004"/>
      <c r="AW62" s="2004"/>
      <c r="AX62" s="2004"/>
      <c r="AY62" s="2004"/>
    </row>
    <row r="63" spans="1:51" ht="16.5" hidden="1" thickBot="1">
      <c r="A63" s="1602"/>
      <c r="B63" s="3354" t="str">
        <f ca="1" xml:space="preserve"> RIGHT(CELL("filename", $A$1), LEN(CELL("filename", $A$1)) - SEARCH("]", CELL("filename", $A$1)))&amp;" - Line definitions"</f>
        <v>4K - Line definitions</v>
      </c>
      <c r="C63" s="3355"/>
      <c r="D63" s="3355"/>
      <c r="E63" s="3355"/>
      <c r="F63" s="3355"/>
      <c r="G63" s="3355"/>
      <c r="H63" s="3355"/>
      <c r="I63" s="3355"/>
      <c r="J63" s="3355"/>
      <c r="K63" s="3355"/>
      <c r="L63" s="3355"/>
      <c r="M63" s="3355"/>
      <c r="N63" s="3355"/>
      <c r="O63" s="3356"/>
      <c r="P63" s="885"/>
      <c r="Q63" s="885"/>
      <c r="R63" s="885"/>
      <c r="S63" s="885"/>
      <c r="T63" s="1688"/>
      <c r="U63" s="885"/>
      <c r="V63" s="885"/>
      <c r="W63" s="885"/>
      <c r="X63" s="885"/>
      <c r="Y63" s="885"/>
      <c r="Z63" s="885"/>
      <c r="AA63" s="885"/>
      <c r="AB63" s="2004"/>
      <c r="AC63" s="2004"/>
      <c r="AE63" s="2004"/>
      <c r="AG63" s="2004"/>
      <c r="AH63" s="2004"/>
      <c r="AI63" s="2004"/>
      <c r="AK63" s="2004"/>
      <c r="AL63" s="2004"/>
      <c r="AM63" s="2004"/>
      <c r="AN63" s="2004"/>
      <c r="AO63" s="2004"/>
      <c r="AP63" s="2004"/>
      <c r="AQ63" s="2004"/>
      <c r="AR63" s="2004"/>
      <c r="AS63" s="2004"/>
      <c r="AT63" s="2004"/>
      <c r="AU63" s="2004"/>
      <c r="AV63" s="2004"/>
      <c r="AW63" s="2004"/>
      <c r="AX63" s="2004"/>
      <c r="AY63" s="2004"/>
    </row>
    <row r="64" spans="1:51" ht="16.5" hidden="1" thickBot="1">
      <c r="A64" s="1602"/>
      <c r="B64" s="965"/>
      <c r="C64" s="964"/>
      <c r="D64" s="964"/>
      <c r="E64" s="964"/>
      <c r="F64" s="964"/>
      <c r="G64" s="964"/>
      <c r="H64" s="964"/>
      <c r="I64" s="964"/>
      <c r="J64" s="964"/>
      <c r="K64" s="964"/>
      <c r="L64" s="964"/>
      <c r="M64" s="964"/>
      <c r="N64" s="964"/>
      <c r="O64" s="964"/>
      <c r="P64" s="964"/>
      <c r="Q64" s="964"/>
      <c r="R64" s="964"/>
      <c r="S64" s="964"/>
      <c r="T64" s="1688"/>
      <c r="U64" s="964"/>
      <c r="V64" s="964"/>
      <c r="W64" s="964"/>
      <c r="X64" s="964"/>
      <c r="Y64" s="964"/>
      <c r="Z64" s="964"/>
      <c r="AA64" s="964"/>
      <c r="AB64" s="2004"/>
      <c r="AC64" s="2004"/>
      <c r="AE64" s="2004"/>
      <c r="AG64" s="2004"/>
      <c r="AH64" s="2004"/>
      <c r="AI64" s="2004"/>
      <c r="AK64" s="2004"/>
      <c r="AL64" s="2004"/>
      <c r="AM64" s="2004"/>
      <c r="AN64" s="2004"/>
      <c r="AO64" s="2004"/>
      <c r="AP64" s="2004"/>
      <c r="AQ64" s="2004"/>
      <c r="AR64" s="2004"/>
      <c r="AS64" s="2004"/>
      <c r="AT64" s="2004"/>
      <c r="AU64" s="2004"/>
      <c r="AV64" s="2004"/>
      <c r="AW64" s="2004"/>
      <c r="AX64" s="2004"/>
      <c r="AY64" s="2004"/>
    </row>
    <row r="65" spans="1:27" ht="16.5" hidden="1" thickBot="1">
      <c r="A65" s="1602"/>
      <c r="B65" s="1794" t="s">
        <v>193</v>
      </c>
      <c r="C65" s="3357" t="s">
        <v>194</v>
      </c>
      <c r="D65" s="3358"/>
      <c r="E65" s="3358"/>
      <c r="F65" s="3358"/>
      <c r="G65" s="3358"/>
      <c r="H65" s="3358"/>
      <c r="I65" s="3358"/>
      <c r="J65" s="3358"/>
      <c r="K65" s="3358"/>
      <c r="L65" s="3358"/>
      <c r="M65" s="3358"/>
      <c r="N65" s="3358"/>
      <c r="O65" s="3359"/>
      <c r="P65" s="964"/>
      <c r="Q65" s="964"/>
      <c r="R65" s="964"/>
      <c r="S65" s="964"/>
      <c r="T65" s="1688"/>
      <c r="U65" s="964"/>
      <c r="V65" s="964"/>
      <c r="W65" s="964"/>
      <c r="X65" s="964"/>
      <c r="Y65" s="964"/>
      <c r="Z65" s="964"/>
      <c r="AA65" s="964"/>
    </row>
    <row r="66" spans="1:27" ht="14.25" hidden="1" customHeight="1">
      <c r="A66" s="1602"/>
      <c r="B66" s="1795">
        <v>1</v>
      </c>
      <c r="C66" s="3360" t="s">
        <v>4888</v>
      </c>
      <c r="D66" s="3361"/>
      <c r="E66" s="3361"/>
      <c r="F66" s="3361"/>
      <c r="G66" s="3361"/>
      <c r="H66" s="3361"/>
      <c r="I66" s="3361"/>
      <c r="J66" s="3361"/>
      <c r="K66" s="3361"/>
      <c r="L66" s="3361"/>
      <c r="M66" s="3361"/>
      <c r="N66" s="3361"/>
      <c r="O66" s="3362"/>
      <c r="P66" s="964"/>
      <c r="Q66" s="964"/>
      <c r="R66" s="964"/>
      <c r="S66" s="964"/>
      <c r="T66" s="1688"/>
      <c r="U66" s="964"/>
      <c r="V66" s="964"/>
      <c r="W66" s="964"/>
      <c r="X66" s="964"/>
      <c r="Y66" s="964"/>
      <c r="Z66" s="964"/>
      <c r="AA66" s="964"/>
    </row>
    <row r="67" spans="1:27" ht="66.2" hidden="1" customHeight="1">
      <c r="A67" s="1602"/>
      <c r="B67" s="1796">
        <f>+B66+1</f>
        <v>2</v>
      </c>
      <c r="C67" s="3344" t="s">
        <v>5295</v>
      </c>
      <c r="D67" s="3345"/>
      <c r="E67" s="3345"/>
      <c r="F67" s="3345"/>
      <c r="G67" s="3345"/>
      <c r="H67" s="3345"/>
      <c r="I67" s="3345"/>
      <c r="J67" s="3345"/>
      <c r="K67" s="3345"/>
      <c r="L67" s="3345"/>
      <c r="M67" s="3345"/>
      <c r="N67" s="3345"/>
      <c r="O67" s="3346"/>
      <c r="P67" s="964"/>
      <c r="Q67" s="964"/>
      <c r="R67" s="964"/>
      <c r="S67" s="964"/>
      <c r="T67" s="1688"/>
      <c r="U67" s="964"/>
      <c r="V67" s="964"/>
      <c r="W67" s="964"/>
      <c r="X67" s="964"/>
      <c r="Y67" s="964"/>
      <c r="Z67" s="964"/>
      <c r="AA67" s="964"/>
    </row>
    <row r="68" spans="1:27" ht="14.25" hidden="1" customHeight="1">
      <c r="A68" s="1602"/>
      <c r="B68" s="1796">
        <f t="shared" ref="B68:B89" si="35">+B67+1</f>
        <v>3</v>
      </c>
      <c r="C68" s="3344" t="s">
        <v>3817</v>
      </c>
      <c r="D68" s="3345"/>
      <c r="E68" s="3345"/>
      <c r="F68" s="3345"/>
      <c r="G68" s="3345"/>
      <c r="H68" s="3345"/>
      <c r="I68" s="3345"/>
      <c r="J68" s="3345"/>
      <c r="K68" s="3345"/>
      <c r="L68" s="3345"/>
      <c r="M68" s="3345"/>
      <c r="N68" s="3345"/>
      <c r="O68" s="3346"/>
      <c r="P68" s="964"/>
      <c r="Q68" s="964"/>
      <c r="R68" s="964"/>
      <c r="S68" s="964"/>
      <c r="T68" s="1688"/>
      <c r="U68" s="964"/>
      <c r="V68" s="964"/>
      <c r="W68" s="964"/>
      <c r="X68" s="964"/>
      <c r="Y68" s="964"/>
      <c r="Z68" s="964"/>
      <c r="AA68" s="964"/>
    </row>
    <row r="69" spans="1:27" ht="14.25" hidden="1" customHeight="1">
      <c r="A69" s="1602"/>
      <c r="B69" s="1796">
        <f t="shared" si="35"/>
        <v>4</v>
      </c>
      <c r="C69" s="3344" t="s">
        <v>3818</v>
      </c>
      <c r="D69" s="3345"/>
      <c r="E69" s="3345"/>
      <c r="F69" s="3345"/>
      <c r="G69" s="3345"/>
      <c r="H69" s="3345"/>
      <c r="I69" s="3345"/>
      <c r="J69" s="3345"/>
      <c r="K69" s="3345"/>
      <c r="L69" s="3345"/>
      <c r="M69" s="3345"/>
      <c r="N69" s="3345"/>
      <c r="O69" s="3346"/>
      <c r="P69" s="964"/>
      <c r="Q69" s="964"/>
      <c r="R69" s="964"/>
      <c r="S69" s="964"/>
      <c r="T69" s="1688"/>
      <c r="U69" s="964"/>
      <c r="V69" s="964"/>
      <c r="W69" s="964"/>
      <c r="X69" s="964"/>
      <c r="Y69" s="964"/>
      <c r="Z69" s="964"/>
      <c r="AA69" s="964"/>
    </row>
    <row r="70" spans="1:27" ht="27" hidden="1" customHeight="1">
      <c r="A70" s="1602"/>
      <c r="B70" s="1796">
        <f t="shared" si="35"/>
        <v>5</v>
      </c>
      <c r="C70" s="3344" t="s">
        <v>5296</v>
      </c>
      <c r="D70" s="3345"/>
      <c r="E70" s="3345"/>
      <c r="F70" s="3345"/>
      <c r="G70" s="3345"/>
      <c r="H70" s="3345"/>
      <c r="I70" s="3345"/>
      <c r="J70" s="3345"/>
      <c r="K70" s="3345"/>
      <c r="L70" s="3345"/>
      <c r="M70" s="3345"/>
      <c r="N70" s="3345"/>
      <c r="O70" s="3346"/>
      <c r="P70" s="964"/>
      <c r="Q70" s="964"/>
      <c r="R70" s="964"/>
      <c r="S70" s="964"/>
      <c r="T70" s="1688"/>
      <c r="U70" s="964"/>
      <c r="V70" s="964"/>
      <c r="W70" s="964"/>
      <c r="X70" s="964"/>
      <c r="Y70" s="964"/>
      <c r="Z70" s="964"/>
      <c r="AA70" s="964"/>
    </row>
    <row r="71" spans="1:27" ht="14.25" hidden="1" customHeight="1">
      <c r="A71" s="1602"/>
      <c r="B71" s="1796">
        <f t="shared" si="35"/>
        <v>6</v>
      </c>
      <c r="C71" s="3344" t="s">
        <v>5297</v>
      </c>
      <c r="D71" s="3345"/>
      <c r="E71" s="3345"/>
      <c r="F71" s="3345"/>
      <c r="G71" s="3345"/>
      <c r="H71" s="3345"/>
      <c r="I71" s="3345"/>
      <c r="J71" s="3345"/>
      <c r="K71" s="3345"/>
      <c r="L71" s="3345"/>
      <c r="M71" s="3345"/>
      <c r="N71" s="3345"/>
      <c r="O71" s="3346"/>
      <c r="P71" s="964"/>
      <c r="Q71" s="964"/>
      <c r="R71" s="964"/>
      <c r="S71" s="964"/>
      <c r="T71" s="1688"/>
      <c r="U71" s="964"/>
      <c r="V71" s="964"/>
      <c r="W71" s="964"/>
      <c r="X71" s="964"/>
      <c r="Y71" s="964"/>
      <c r="Z71" s="964"/>
      <c r="AA71" s="964"/>
    </row>
    <row r="72" spans="1:27" ht="14.25" hidden="1" customHeight="1">
      <c r="A72" s="1602"/>
      <c r="B72" s="1796">
        <f t="shared" si="35"/>
        <v>7</v>
      </c>
      <c r="C72" s="3344" t="s">
        <v>5298</v>
      </c>
      <c r="D72" s="3345"/>
      <c r="E72" s="3345"/>
      <c r="F72" s="3345"/>
      <c r="G72" s="3345"/>
      <c r="H72" s="3345"/>
      <c r="I72" s="3345"/>
      <c r="J72" s="3345"/>
      <c r="K72" s="3345"/>
      <c r="L72" s="3345"/>
      <c r="M72" s="3345"/>
      <c r="N72" s="3345"/>
      <c r="O72" s="3346"/>
      <c r="P72" s="964"/>
      <c r="Q72" s="964"/>
      <c r="R72" s="964"/>
      <c r="S72" s="964"/>
      <c r="T72" s="1688"/>
      <c r="U72" s="964"/>
      <c r="V72" s="964"/>
      <c r="W72" s="964"/>
      <c r="X72" s="964"/>
      <c r="Y72" s="964"/>
      <c r="Z72" s="964"/>
      <c r="AA72" s="964"/>
    </row>
    <row r="73" spans="1:27" ht="14.25" hidden="1" customHeight="1">
      <c r="A73" s="1602"/>
      <c r="B73" s="1796">
        <f t="shared" si="35"/>
        <v>8</v>
      </c>
      <c r="C73" s="3344" t="s">
        <v>1242</v>
      </c>
      <c r="D73" s="3345"/>
      <c r="E73" s="3345"/>
      <c r="F73" s="3345"/>
      <c r="G73" s="3345"/>
      <c r="H73" s="3345"/>
      <c r="I73" s="3345"/>
      <c r="J73" s="3345"/>
      <c r="K73" s="3345"/>
      <c r="L73" s="3345"/>
      <c r="M73" s="3345"/>
      <c r="N73" s="3345"/>
      <c r="O73" s="3346"/>
      <c r="P73" s="964"/>
      <c r="Q73" s="964"/>
      <c r="R73" s="964"/>
      <c r="S73" s="964"/>
      <c r="T73" s="1688"/>
      <c r="U73" s="964"/>
      <c r="V73" s="964"/>
      <c r="W73" s="964"/>
      <c r="X73" s="964"/>
      <c r="Y73" s="964"/>
      <c r="Z73" s="964"/>
      <c r="AA73" s="964"/>
    </row>
    <row r="74" spans="1:27" ht="14.25" hidden="1" customHeight="1">
      <c r="A74" s="1602"/>
      <c r="B74" s="1796">
        <f t="shared" si="35"/>
        <v>9</v>
      </c>
      <c r="C74" s="3344" t="s">
        <v>5299</v>
      </c>
      <c r="D74" s="3345"/>
      <c r="E74" s="3345"/>
      <c r="F74" s="3345"/>
      <c r="G74" s="3345"/>
      <c r="H74" s="3345"/>
      <c r="I74" s="3345"/>
      <c r="J74" s="3345"/>
      <c r="K74" s="3345"/>
      <c r="L74" s="3345"/>
      <c r="M74" s="3345"/>
      <c r="N74" s="3345"/>
      <c r="O74" s="3346"/>
      <c r="P74" s="964"/>
      <c r="Q74" s="964"/>
      <c r="R74" s="964"/>
      <c r="S74" s="964"/>
      <c r="T74" s="1688"/>
      <c r="U74" s="964"/>
      <c r="V74" s="964"/>
      <c r="W74" s="964"/>
      <c r="X74" s="964"/>
      <c r="Y74" s="964"/>
      <c r="Z74" s="964"/>
      <c r="AA74" s="964"/>
    </row>
    <row r="75" spans="1:27" ht="14.25" hidden="1" customHeight="1">
      <c r="A75" s="1602"/>
      <c r="B75" s="1797">
        <f t="shared" si="35"/>
        <v>10</v>
      </c>
      <c r="C75" s="3344" t="s">
        <v>5300</v>
      </c>
      <c r="D75" s="3345"/>
      <c r="E75" s="3345"/>
      <c r="F75" s="3345"/>
      <c r="G75" s="3345"/>
      <c r="H75" s="3345"/>
      <c r="I75" s="3345"/>
      <c r="J75" s="3345"/>
      <c r="K75" s="3345"/>
      <c r="L75" s="3345"/>
      <c r="M75" s="3345"/>
      <c r="N75" s="3345"/>
      <c r="O75" s="3346"/>
      <c r="P75" s="964"/>
      <c r="Q75" s="964"/>
      <c r="R75" s="964"/>
      <c r="S75" s="964"/>
      <c r="T75" s="1688"/>
      <c r="U75" s="964"/>
      <c r="V75" s="964"/>
      <c r="W75" s="964"/>
      <c r="X75" s="964"/>
      <c r="Y75" s="964"/>
      <c r="Z75" s="964"/>
      <c r="AA75" s="964"/>
    </row>
    <row r="76" spans="1:27" ht="14.25" hidden="1" customHeight="1">
      <c r="A76" s="1602"/>
      <c r="B76" s="1797">
        <f t="shared" si="35"/>
        <v>11</v>
      </c>
      <c r="C76" s="3344" t="s">
        <v>5301</v>
      </c>
      <c r="D76" s="3345"/>
      <c r="E76" s="3345"/>
      <c r="F76" s="3345"/>
      <c r="G76" s="3345"/>
      <c r="H76" s="3345"/>
      <c r="I76" s="3345"/>
      <c r="J76" s="3345"/>
      <c r="K76" s="3345"/>
      <c r="L76" s="3345"/>
      <c r="M76" s="3345"/>
      <c r="N76" s="3345"/>
      <c r="O76" s="3346"/>
      <c r="P76" s="964"/>
      <c r="Q76" s="964"/>
      <c r="R76" s="964"/>
      <c r="S76" s="964"/>
      <c r="T76" s="1688"/>
      <c r="U76" s="964"/>
      <c r="V76" s="964"/>
      <c r="W76" s="964"/>
      <c r="X76" s="964"/>
      <c r="Y76" s="964"/>
      <c r="Z76" s="964"/>
      <c r="AA76" s="964"/>
    </row>
    <row r="77" spans="1:27" ht="26.85" hidden="1" customHeight="1">
      <c r="A77" s="1602"/>
      <c r="B77" s="1797">
        <f t="shared" si="35"/>
        <v>12</v>
      </c>
      <c r="C77" s="3344" t="s">
        <v>4896</v>
      </c>
      <c r="D77" s="3345"/>
      <c r="E77" s="3345"/>
      <c r="F77" s="3345"/>
      <c r="G77" s="3345"/>
      <c r="H77" s="3345"/>
      <c r="I77" s="3345"/>
      <c r="J77" s="3345"/>
      <c r="K77" s="3345"/>
      <c r="L77" s="3345"/>
      <c r="M77" s="3345"/>
      <c r="N77" s="3345"/>
      <c r="O77" s="3346"/>
      <c r="P77" s="964"/>
      <c r="Q77" s="964"/>
      <c r="R77" s="964"/>
      <c r="S77" s="964"/>
      <c r="T77" s="1688"/>
      <c r="U77" s="964"/>
      <c r="V77" s="964"/>
      <c r="W77" s="964"/>
      <c r="X77" s="964"/>
      <c r="Y77" s="964"/>
      <c r="Z77" s="964"/>
      <c r="AA77" s="964"/>
    </row>
    <row r="78" spans="1:27" ht="30.2" hidden="1" customHeight="1">
      <c r="A78" s="1602"/>
      <c r="B78" s="1797">
        <f t="shared" si="35"/>
        <v>13</v>
      </c>
      <c r="C78" s="3344" t="s">
        <v>4897</v>
      </c>
      <c r="D78" s="3345"/>
      <c r="E78" s="3345"/>
      <c r="F78" s="3345"/>
      <c r="G78" s="3345"/>
      <c r="H78" s="3345"/>
      <c r="I78" s="3345"/>
      <c r="J78" s="3345"/>
      <c r="K78" s="3345"/>
      <c r="L78" s="3345"/>
      <c r="M78" s="3345"/>
      <c r="N78" s="3345"/>
      <c r="O78" s="3346"/>
      <c r="P78" s="964"/>
      <c r="Q78" s="964"/>
      <c r="R78" s="964"/>
      <c r="S78" s="964"/>
      <c r="T78" s="1688"/>
      <c r="U78" s="964"/>
      <c r="V78" s="964"/>
      <c r="W78" s="964"/>
      <c r="X78" s="964"/>
      <c r="Y78" s="964"/>
      <c r="Z78" s="964"/>
      <c r="AA78" s="964"/>
    </row>
    <row r="79" spans="1:27" ht="14.25" hidden="1" customHeight="1">
      <c r="A79" s="1602"/>
      <c r="B79" s="1797">
        <f t="shared" si="35"/>
        <v>14</v>
      </c>
      <c r="C79" s="3344" t="s">
        <v>5302</v>
      </c>
      <c r="D79" s="3345"/>
      <c r="E79" s="3345"/>
      <c r="F79" s="3345"/>
      <c r="G79" s="3345"/>
      <c r="H79" s="3345"/>
      <c r="I79" s="3345"/>
      <c r="J79" s="3345"/>
      <c r="K79" s="3345"/>
      <c r="L79" s="3345"/>
      <c r="M79" s="3345"/>
      <c r="N79" s="3345"/>
      <c r="O79" s="3346"/>
      <c r="P79" s="964"/>
      <c r="Q79" s="964"/>
      <c r="R79" s="964"/>
      <c r="S79" s="964"/>
      <c r="T79" s="1688"/>
      <c r="U79" s="964"/>
      <c r="V79" s="964"/>
      <c r="W79" s="964"/>
      <c r="X79" s="964"/>
      <c r="Y79" s="964"/>
      <c r="Z79" s="964"/>
      <c r="AA79" s="964"/>
    </row>
    <row r="80" spans="1:27" ht="14.25" hidden="1" customHeight="1">
      <c r="A80" s="1602"/>
      <c r="B80" s="1797">
        <f t="shared" si="35"/>
        <v>15</v>
      </c>
      <c r="C80" s="3344" t="s">
        <v>5303</v>
      </c>
      <c r="D80" s="3345"/>
      <c r="E80" s="3345"/>
      <c r="F80" s="3345"/>
      <c r="G80" s="3345"/>
      <c r="H80" s="3345"/>
      <c r="I80" s="3345"/>
      <c r="J80" s="3345"/>
      <c r="K80" s="3345"/>
      <c r="L80" s="3345"/>
      <c r="M80" s="3345"/>
      <c r="N80" s="3345"/>
      <c r="O80" s="3346"/>
      <c r="P80" s="964"/>
      <c r="Q80" s="964"/>
      <c r="R80" s="964"/>
      <c r="S80" s="964"/>
      <c r="T80" s="1688"/>
      <c r="U80" s="964"/>
      <c r="V80" s="964"/>
      <c r="W80" s="964"/>
      <c r="X80" s="964"/>
      <c r="Y80" s="964"/>
      <c r="Z80" s="964"/>
      <c r="AA80" s="964"/>
    </row>
    <row r="81" spans="1:27" ht="44.85" hidden="1" customHeight="1">
      <c r="A81" s="1602"/>
      <c r="B81" s="1797">
        <f t="shared" si="35"/>
        <v>16</v>
      </c>
      <c r="C81" s="3344" t="s">
        <v>4900</v>
      </c>
      <c r="D81" s="3345"/>
      <c r="E81" s="3345"/>
      <c r="F81" s="3345"/>
      <c r="G81" s="3345"/>
      <c r="H81" s="3345"/>
      <c r="I81" s="3345"/>
      <c r="J81" s="3345"/>
      <c r="K81" s="3345"/>
      <c r="L81" s="3345"/>
      <c r="M81" s="3345"/>
      <c r="N81" s="3345"/>
      <c r="O81" s="3346"/>
      <c r="P81" s="964"/>
      <c r="Q81" s="964"/>
      <c r="R81" s="964"/>
      <c r="S81" s="964"/>
      <c r="T81" s="1688"/>
      <c r="U81" s="964"/>
      <c r="V81" s="964"/>
      <c r="W81" s="964"/>
      <c r="X81" s="964"/>
      <c r="Y81" s="964"/>
      <c r="Z81" s="964"/>
      <c r="AA81" s="964"/>
    </row>
    <row r="82" spans="1:27" ht="14.25" hidden="1" customHeight="1">
      <c r="A82" s="1602"/>
      <c r="B82" s="1797">
        <f t="shared" si="35"/>
        <v>17</v>
      </c>
      <c r="C82" s="3344" t="s">
        <v>5304</v>
      </c>
      <c r="D82" s="3345"/>
      <c r="E82" s="3345"/>
      <c r="F82" s="3345"/>
      <c r="G82" s="3345"/>
      <c r="H82" s="3345"/>
      <c r="I82" s="3345"/>
      <c r="J82" s="3345"/>
      <c r="K82" s="3345"/>
      <c r="L82" s="3345"/>
      <c r="M82" s="3345"/>
      <c r="N82" s="3345"/>
      <c r="O82" s="3346"/>
      <c r="P82" s="964"/>
      <c r="Q82" s="964"/>
      <c r="R82" s="964"/>
      <c r="S82" s="964"/>
      <c r="T82" s="1688"/>
      <c r="U82" s="964"/>
      <c r="V82" s="964"/>
      <c r="W82" s="964"/>
      <c r="X82" s="964"/>
      <c r="Y82" s="964"/>
      <c r="Z82" s="964"/>
      <c r="AA82" s="964"/>
    </row>
    <row r="83" spans="1:27" ht="14.25" hidden="1" customHeight="1">
      <c r="A83" s="1602"/>
      <c r="B83" s="1797">
        <f t="shared" si="35"/>
        <v>18</v>
      </c>
      <c r="C83" s="3344" t="s">
        <v>5305</v>
      </c>
      <c r="D83" s="3345"/>
      <c r="E83" s="3345"/>
      <c r="F83" s="3345"/>
      <c r="G83" s="3345"/>
      <c r="H83" s="3345"/>
      <c r="I83" s="3345"/>
      <c r="J83" s="3345"/>
      <c r="K83" s="3345"/>
      <c r="L83" s="3345"/>
      <c r="M83" s="3345"/>
      <c r="N83" s="3345"/>
      <c r="O83" s="3346"/>
      <c r="P83" s="964"/>
      <c r="Q83" s="964"/>
      <c r="R83" s="964"/>
      <c r="S83" s="964"/>
      <c r="T83" s="1688"/>
      <c r="U83" s="964"/>
      <c r="V83" s="964"/>
      <c r="W83" s="964"/>
      <c r="X83" s="964"/>
      <c r="Y83" s="964"/>
      <c r="Z83" s="964"/>
      <c r="AA83" s="964"/>
    </row>
    <row r="84" spans="1:27" ht="14.25" hidden="1" customHeight="1">
      <c r="A84" s="1602"/>
      <c r="B84" s="1797">
        <f t="shared" si="35"/>
        <v>19</v>
      </c>
      <c r="C84" s="3344" t="s">
        <v>5306</v>
      </c>
      <c r="D84" s="3345"/>
      <c r="E84" s="3345"/>
      <c r="F84" s="3345"/>
      <c r="G84" s="3345"/>
      <c r="H84" s="3345"/>
      <c r="I84" s="3345"/>
      <c r="J84" s="3345"/>
      <c r="K84" s="3345"/>
      <c r="L84" s="3345"/>
      <c r="M84" s="3345"/>
      <c r="N84" s="3345"/>
      <c r="O84" s="3346"/>
      <c r="P84" s="964"/>
      <c r="Q84" s="964"/>
      <c r="R84" s="964"/>
      <c r="S84" s="964"/>
      <c r="T84" s="1688"/>
      <c r="U84" s="964"/>
      <c r="V84" s="964"/>
      <c r="W84" s="964"/>
      <c r="X84" s="964"/>
      <c r="Y84" s="964"/>
      <c r="Z84" s="964"/>
      <c r="AA84" s="964"/>
    </row>
    <row r="85" spans="1:27" ht="14.25" hidden="1" customHeight="1">
      <c r="A85" s="1602"/>
      <c r="B85" s="1797">
        <f t="shared" si="35"/>
        <v>20</v>
      </c>
      <c r="C85" s="3344" t="s">
        <v>5307</v>
      </c>
      <c r="D85" s="3345"/>
      <c r="E85" s="3345"/>
      <c r="F85" s="3345"/>
      <c r="G85" s="3345"/>
      <c r="H85" s="3345"/>
      <c r="I85" s="3345"/>
      <c r="J85" s="3345"/>
      <c r="K85" s="3345"/>
      <c r="L85" s="3345"/>
      <c r="M85" s="3345"/>
      <c r="N85" s="3345"/>
      <c r="O85" s="3346"/>
      <c r="P85" s="964"/>
      <c r="Q85" s="964"/>
      <c r="R85" s="964"/>
      <c r="S85" s="964"/>
      <c r="T85" s="1688"/>
      <c r="U85" s="964"/>
      <c r="V85" s="964"/>
      <c r="W85" s="964"/>
      <c r="X85" s="964"/>
      <c r="Y85" s="964"/>
      <c r="Z85" s="964"/>
      <c r="AA85" s="964"/>
    </row>
    <row r="86" spans="1:27" ht="14.25" hidden="1" customHeight="1">
      <c r="A86" s="1602"/>
      <c r="B86" s="1797">
        <f t="shared" si="35"/>
        <v>21</v>
      </c>
      <c r="C86" s="3344" t="s">
        <v>5308</v>
      </c>
      <c r="D86" s="3345"/>
      <c r="E86" s="3345"/>
      <c r="F86" s="3345"/>
      <c r="G86" s="3345"/>
      <c r="H86" s="3345"/>
      <c r="I86" s="3345"/>
      <c r="J86" s="3345"/>
      <c r="K86" s="3345"/>
      <c r="L86" s="3345"/>
      <c r="M86" s="3345"/>
      <c r="N86" s="3345"/>
      <c r="O86" s="3346"/>
      <c r="P86" s="964"/>
      <c r="Q86" s="964"/>
      <c r="R86" s="964"/>
      <c r="S86" s="964"/>
      <c r="T86" s="1688"/>
      <c r="U86" s="964"/>
      <c r="V86" s="964"/>
      <c r="W86" s="964"/>
      <c r="X86" s="964"/>
      <c r="Y86" s="964"/>
      <c r="Z86" s="964"/>
      <c r="AA86" s="964"/>
    </row>
    <row r="87" spans="1:27" ht="14.25" hidden="1" customHeight="1">
      <c r="A87" s="1602"/>
      <c r="B87" s="1797">
        <f t="shared" si="35"/>
        <v>22</v>
      </c>
      <c r="C87" s="3344" t="s">
        <v>1256</v>
      </c>
      <c r="D87" s="3345"/>
      <c r="E87" s="3345"/>
      <c r="F87" s="3345"/>
      <c r="G87" s="3345"/>
      <c r="H87" s="3345"/>
      <c r="I87" s="3345"/>
      <c r="J87" s="3345"/>
      <c r="K87" s="3345"/>
      <c r="L87" s="3345"/>
      <c r="M87" s="3345"/>
      <c r="N87" s="3345"/>
      <c r="O87" s="3346"/>
      <c r="P87" s="964"/>
      <c r="Q87" s="964"/>
      <c r="R87" s="964"/>
      <c r="S87" s="964"/>
      <c r="T87" s="1688"/>
      <c r="U87" s="964"/>
      <c r="V87" s="964"/>
      <c r="W87" s="964"/>
      <c r="X87" s="964"/>
      <c r="Y87" s="964"/>
      <c r="Z87" s="964"/>
      <c r="AA87" s="964"/>
    </row>
    <row r="88" spans="1:27" ht="14.25" hidden="1" customHeight="1">
      <c r="A88" s="1602"/>
      <c r="B88" s="1797">
        <f t="shared" si="35"/>
        <v>23</v>
      </c>
      <c r="C88" s="3344" t="s">
        <v>3509</v>
      </c>
      <c r="D88" s="3345"/>
      <c r="E88" s="3345"/>
      <c r="F88" s="3345"/>
      <c r="G88" s="3345"/>
      <c r="H88" s="3345"/>
      <c r="I88" s="3345"/>
      <c r="J88" s="3345"/>
      <c r="K88" s="3345"/>
      <c r="L88" s="3345"/>
      <c r="M88" s="3345"/>
      <c r="N88" s="3345"/>
      <c r="O88" s="3346"/>
      <c r="P88" s="964"/>
      <c r="Q88" s="964"/>
      <c r="R88" s="964"/>
      <c r="S88" s="964"/>
      <c r="T88" s="1688"/>
      <c r="U88" s="964"/>
      <c r="V88" s="964"/>
      <c r="W88" s="964"/>
      <c r="X88" s="964"/>
      <c r="Y88" s="964"/>
      <c r="Z88" s="964"/>
      <c r="AA88" s="964"/>
    </row>
    <row r="89" spans="1:27" ht="14.25" hidden="1" customHeight="1">
      <c r="A89" s="1602"/>
      <c r="B89" s="1798">
        <f t="shared" si="35"/>
        <v>24</v>
      </c>
      <c r="C89" s="3344" t="s">
        <v>5309</v>
      </c>
      <c r="D89" s="3345"/>
      <c r="E89" s="3345"/>
      <c r="F89" s="3345"/>
      <c r="G89" s="3345"/>
      <c r="H89" s="3345"/>
      <c r="I89" s="3345"/>
      <c r="J89" s="3345"/>
      <c r="K89" s="3345"/>
      <c r="L89" s="3345"/>
      <c r="M89" s="3345"/>
      <c r="N89" s="3345"/>
      <c r="O89" s="3346"/>
      <c r="P89" s="964"/>
      <c r="Q89" s="964"/>
      <c r="R89" s="964"/>
      <c r="S89" s="964"/>
      <c r="T89" s="1688"/>
      <c r="U89" s="964"/>
      <c r="V89" s="964"/>
      <c r="W89" s="964"/>
      <c r="X89" s="964"/>
      <c r="Y89" s="964"/>
      <c r="Z89" s="964"/>
      <c r="AA89" s="964"/>
    </row>
    <row r="90" spans="1:27" ht="27" hidden="1" customHeight="1">
      <c r="A90" s="1602"/>
      <c r="B90" s="1800" t="s">
        <v>4907</v>
      </c>
      <c r="C90" s="3344" t="s">
        <v>5310</v>
      </c>
      <c r="D90" s="3345"/>
      <c r="E90" s="3345"/>
      <c r="F90" s="3345"/>
      <c r="G90" s="3345"/>
      <c r="H90" s="3345"/>
      <c r="I90" s="3345"/>
      <c r="J90" s="3345"/>
      <c r="K90" s="3345"/>
      <c r="L90" s="3345"/>
      <c r="M90" s="3345"/>
      <c r="N90" s="3345"/>
      <c r="O90" s="3346"/>
      <c r="P90" s="964"/>
      <c r="Q90" s="964"/>
      <c r="R90" s="964"/>
      <c r="S90" s="964"/>
      <c r="T90" s="1688"/>
      <c r="U90" s="964"/>
      <c r="V90" s="964"/>
      <c r="W90" s="964"/>
      <c r="X90" s="964"/>
      <c r="Y90" s="964"/>
      <c r="Z90" s="964"/>
      <c r="AA90" s="964"/>
    </row>
    <row r="91" spans="1:27" ht="14.25" hidden="1" customHeight="1">
      <c r="A91" s="1602"/>
      <c r="B91" s="1798">
        <v>35</v>
      </c>
      <c r="C91" s="3344" t="s">
        <v>5311</v>
      </c>
      <c r="D91" s="3345"/>
      <c r="E91" s="3345"/>
      <c r="F91" s="3345"/>
      <c r="G91" s="3345"/>
      <c r="H91" s="3345"/>
      <c r="I91" s="3345"/>
      <c r="J91" s="3345"/>
      <c r="K91" s="3345"/>
      <c r="L91" s="3345"/>
      <c r="M91" s="3345"/>
      <c r="N91" s="3345"/>
      <c r="O91" s="3346"/>
      <c r="P91" s="964"/>
      <c r="Q91" s="964"/>
      <c r="R91" s="964"/>
      <c r="S91" s="964"/>
      <c r="T91" s="1688"/>
      <c r="U91" s="964"/>
      <c r="V91" s="964"/>
      <c r="W91" s="964"/>
      <c r="X91" s="964"/>
      <c r="Y91" s="964"/>
      <c r="Z91" s="964"/>
      <c r="AA91" s="964"/>
    </row>
    <row r="92" spans="1:27" ht="15" hidden="1" customHeight="1" thickBot="1">
      <c r="A92" s="1602"/>
      <c r="B92" s="1799">
        <v>36</v>
      </c>
      <c r="C92" s="3344" t="s">
        <v>5312</v>
      </c>
      <c r="D92" s="3345"/>
      <c r="E92" s="3345"/>
      <c r="F92" s="3345"/>
      <c r="G92" s="3345"/>
      <c r="H92" s="3345"/>
      <c r="I92" s="3345"/>
      <c r="J92" s="3345"/>
      <c r="K92" s="3345"/>
      <c r="L92" s="3345"/>
      <c r="M92" s="3345"/>
      <c r="N92" s="3345"/>
      <c r="O92" s="3346"/>
      <c r="P92" s="964"/>
      <c r="Q92" s="964"/>
      <c r="R92" s="964"/>
      <c r="S92" s="964"/>
      <c r="T92" s="1688"/>
      <c r="U92" s="964"/>
      <c r="V92" s="964"/>
      <c r="W92" s="964"/>
      <c r="X92" s="964"/>
      <c r="Y92" s="964"/>
      <c r="Z92" s="964"/>
      <c r="AA92" s="964"/>
    </row>
    <row r="93" spans="1:27" ht="15.75" hidden="1">
      <c r="A93" s="1602"/>
      <c r="B93" s="885"/>
      <c r="C93" s="885"/>
      <c r="D93" s="885"/>
      <c r="E93" s="885"/>
      <c r="F93" s="885"/>
      <c r="G93" s="885"/>
      <c r="H93" s="885"/>
      <c r="I93" s="885"/>
      <c r="J93" s="885"/>
      <c r="K93" s="885"/>
      <c r="L93" s="885"/>
      <c r="M93" s="885"/>
      <c r="N93" s="885"/>
      <c r="O93" s="885"/>
      <c r="P93" s="885"/>
      <c r="Q93" s="885"/>
      <c r="R93" s="885"/>
      <c r="S93" s="885"/>
      <c r="T93" s="1688"/>
      <c r="U93" s="885"/>
      <c r="V93" s="885"/>
      <c r="W93" s="885"/>
      <c r="X93" s="885"/>
      <c r="Y93" s="885"/>
      <c r="Z93" s="885"/>
      <c r="AA93" s="885"/>
    </row>
    <row r="94" spans="1:27" ht="15.75">
      <c r="A94" s="2004"/>
      <c r="B94" s="990" t="s">
        <v>5313</v>
      </c>
      <c r="C94" s="991"/>
      <c r="D94" s="991"/>
      <c r="E94" s="974"/>
      <c r="F94" s="991"/>
      <c r="G94" s="991"/>
      <c r="H94" s="991"/>
      <c r="I94" s="991"/>
      <c r="J94" s="992"/>
      <c r="K94" s="992"/>
      <c r="L94" s="992"/>
      <c r="M94" s="993"/>
      <c r="N94" s="993"/>
      <c r="O94" s="993"/>
      <c r="P94" s="993"/>
      <c r="Q94" s="993"/>
      <c r="R94" s="993"/>
      <c r="S94" s="993"/>
      <c r="T94" s="1689"/>
      <c r="U94" s="993"/>
      <c r="V94" s="993"/>
      <c r="W94" s="993"/>
      <c r="X94" s="993"/>
      <c r="Y94" s="993"/>
      <c r="Z94" s="993"/>
      <c r="AA94" s="993"/>
    </row>
    <row r="95" spans="1:27" ht="16.5" thickBot="1">
      <c r="A95" s="2004"/>
      <c r="B95" s="885"/>
      <c r="C95" s="885"/>
      <c r="D95" s="885"/>
      <c r="E95" s="885"/>
      <c r="F95" s="885"/>
      <c r="G95" s="885"/>
      <c r="H95" s="885"/>
      <c r="I95" s="885"/>
      <c r="J95" s="885"/>
      <c r="K95" s="885"/>
      <c r="L95" s="885"/>
      <c r="M95" s="885"/>
      <c r="N95" s="885"/>
      <c r="O95" s="885"/>
      <c r="P95" s="885"/>
      <c r="Q95" s="885"/>
      <c r="R95" s="885"/>
      <c r="S95" s="885"/>
      <c r="T95" s="1688"/>
      <c r="U95" s="885"/>
      <c r="V95" s="885"/>
      <c r="W95" s="885"/>
      <c r="X95" s="885"/>
      <c r="Y95" s="885"/>
      <c r="Z95" s="885"/>
      <c r="AA95" s="885"/>
    </row>
    <row r="96" spans="1:27" ht="15" customHeight="1" thickBot="1">
      <c r="A96" s="2004"/>
      <c r="B96" s="3305" t="s">
        <v>5314</v>
      </c>
      <c r="C96" s="3328"/>
      <c r="D96" s="3328"/>
      <c r="E96" s="3328"/>
      <c r="F96" s="3328"/>
      <c r="G96" s="3328"/>
      <c r="H96" s="3328"/>
      <c r="I96" s="3328"/>
      <c r="J96" s="3328"/>
      <c r="K96" s="3328"/>
      <c r="L96" s="3328"/>
      <c r="M96" s="3328"/>
      <c r="N96" s="3328"/>
      <c r="O96" s="3329"/>
      <c r="P96" s="885"/>
      <c r="Q96" s="885"/>
      <c r="R96" s="885"/>
      <c r="S96" s="885"/>
      <c r="T96" s="885"/>
      <c r="U96" s="885"/>
      <c r="V96" s="885"/>
      <c r="W96" s="885"/>
      <c r="X96" s="885"/>
      <c r="Y96" s="885"/>
      <c r="Z96" s="885"/>
      <c r="AA96" s="885"/>
    </row>
    <row r="97"/>
  </sheetData>
  <sheetProtection algorithmName="SHA-512" hashValue="8ESjZqVt0A0ZzNBv7wpu0SDhViLWPY/2AjAWVuyrCEFm/JqcZ5qYNnaC6AmfvD6fwA2Xv8s0r2V2oS+YPS7+Ug==" saltValue="t/3Ls2e38IN3hM0UHFPSOQ==" spinCount="100000" sheet="1" objects="1" scenarios="1"/>
  <mergeCells count="49">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 ref="C70:O70"/>
    <mergeCell ref="C71:O71"/>
    <mergeCell ref="C72:O72"/>
    <mergeCell ref="C73:O73"/>
    <mergeCell ref="B63:O63"/>
    <mergeCell ref="C65:O65"/>
    <mergeCell ref="C66:O66"/>
    <mergeCell ref="C67:O67"/>
    <mergeCell ref="C68:O68"/>
    <mergeCell ref="R3:R4"/>
    <mergeCell ref="B3:C4"/>
    <mergeCell ref="E3:E4"/>
    <mergeCell ref="F3:F4"/>
    <mergeCell ref="G3:I3"/>
    <mergeCell ref="J3:K3"/>
    <mergeCell ref="L3:N3"/>
    <mergeCell ref="O3:O4"/>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s>
  <conditionalFormatting sqref="R22">
    <cfRule type="cellIs" dxfId="210" priority="39" operator="equal">
      <formula>0</formula>
    </cfRule>
  </conditionalFormatting>
  <conditionalFormatting sqref="R23:R26">
    <cfRule type="cellIs" dxfId="209" priority="37" operator="equal">
      <formula>0</formula>
    </cfRule>
  </conditionalFormatting>
  <conditionalFormatting sqref="R18">
    <cfRule type="cellIs" dxfId="208" priority="35" operator="equal">
      <formula>0</formula>
    </cfRule>
  </conditionalFormatting>
  <conditionalFormatting sqref="R12:R15">
    <cfRule type="cellIs" dxfId="207" priority="33" operator="equal">
      <formula>0</formula>
    </cfRule>
  </conditionalFormatting>
  <conditionalFormatting sqref="R7:R10">
    <cfRule type="cellIs" dxfId="206" priority="31" operator="equal">
      <formula>0</formula>
    </cfRule>
  </conditionalFormatting>
  <conditionalFormatting sqref="R28">
    <cfRule type="cellIs" dxfId="205" priority="29" operator="equal">
      <formula>0</formula>
    </cfRule>
  </conditionalFormatting>
  <conditionalFormatting sqref="R30">
    <cfRule type="cellIs" dxfId="204" priority="27" operator="equal">
      <formula>0</formula>
    </cfRule>
  </conditionalFormatting>
  <conditionalFormatting sqref="R34:R35">
    <cfRule type="cellIs" dxfId="203" priority="25" operator="equal">
      <formula>0</formula>
    </cfRule>
  </conditionalFormatting>
  <conditionalFormatting sqref="R39:R49">
    <cfRule type="cellIs" dxfId="202" priority="23" operator="equal">
      <formula>0</formula>
    </cfRule>
  </conditionalFormatting>
  <conditionalFormatting sqref="R52">
    <cfRule type="cellIs" dxfId="201" priority="21" operator="equal">
      <formula>0</formula>
    </cfRule>
  </conditionalFormatting>
  <conditionalFormatting sqref="R39:R49">
    <cfRule type="cellIs" dxfId="200" priority="15"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20"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40"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38"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36"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34"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32"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30"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28"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26"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24"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22" id="{BC30FC7A-B1FB-4274-95FC-EF250B912D3D}">
            <xm:f>Validation!$H$3=1</xm:f>
            <x14:dxf>
              <fill>
                <patternFill>
                  <bgColor theme="2"/>
                </patternFill>
              </fill>
            </x14:dxf>
          </x14:cfRule>
          <xm:sqref>G12:P16 G18:P19 G36:P36 G52:O52 G22:P22 G40:P40 G7:P10 O34:P35 G39:O39 G48:P49 G24:P29 G23:O23 G31:P31 O30:P30 G41:O41 G40:N41 O42 O43:P47</xm:sqref>
        </x14:conditionalFormatting>
        <x14:conditionalFormatting xmlns:xm="http://schemas.microsoft.com/office/excel/2006/main">
          <x14:cfRule type="expression" priority="18" id="{42FFA144-5B93-4D41-9ABD-FF1D26BC852D}">
            <xm:f>Validation!$H$3=1</xm:f>
            <x14:dxf>
              <fill>
                <patternFill>
                  <bgColor theme="2"/>
                </patternFill>
              </fill>
            </x14:dxf>
          </x14:cfRule>
          <xm:sqref>AQ7:AY10 AQ12:AY16 AQ18:AY19 AQ34:AY36 AQ52:AY52 AQ22:AY31 AQ39:AY49</xm:sqref>
        </x14:conditionalFormatting>
        <x14:conditionalFormatting xmlns:xm="http://schemas.microsoft.com/office/excel/2006/main">
          <x14:cfRule type="expression" priority="14" id="{88FDF57D-72C9-4A0B-8246-9BEED17FA1F7}">
            <xm:f>'\Users\MC\Library\Containers\com.microsoft.Excel\Data\Documents\Users\blaenp\OneDrive - Yorkshire Water Services\Documents\BCA7781B\[2018-19-Annual-Performance-Report-tables-updated-29-May-2019 (Locked) .xlsx]Validation'!#REF!=1</xm:f>
            <x14:dxf>
              <fill>
                <patternFill>
                  <bgColor theme="2"/>
                </patternFill>
              </fill>
            </x14:dxf>
          </x14:cfRule>
          <xm:sqref>G34:N35</xm:sqref>
        </x14:conditionalFormatting>
        <x14:conditionalFormatting xmlns:xm="http://schemas.microsoft.com/office/excel/2006/main">
          <x14:cfRule type="expression" priority="9" id="{EE6B82DA-CDC4-4B43-8911-77AD7ADBCACD}">
            <xm:f>'\Users\MC\Library\Containers\com.microsoft.Excel\Data\Documents\Users\blaenp\OneDrive - Yorkshire Water Services\Documents\BCA7781B\[2018-19-Annual-Performance-Report-tables-updated-29-May-2019 (Locked) .xlsx]Validation'!#REF!=1</xm:f>
            <x14:dxf>
              <fill>
                <patternFill>
                  <bgColor theme="2"/>
                </patternFill>
              </fill>
            </x14:dxf>
          </x14:cfRule>
          <xm:sqref>P39</xm:sqref>
        </x14:conditionalFormatting>
        <x14:conditionalFormatting xmlns:xm="http://schemas.microsoft.com/office/excel/2006/main">
          <x14:cfRule type="expression" priority="8" id="{5D3BDAAA-07FB-4EC1-8DF2-CF81371F60DA}">
            <xm:f>'https://www.ofwat.gov.uk/wp-content/uploads/2018/04/[2017-18-APR-excel-tables.xlsx]Validation'!#REF!=1</xm:f>
            <x14:dxf>
              <fill>
                <patternFill>
                  <bgColor theme="2"/>
                </patternFill>
              </fill>
            </x14:dxf>
          </x14:cfRule>
          <xm:sqref>G30:N30</xm:sqref>
        </x14:conditionalFormatting>
        <x14:conditionalFormatting xmlns:xm="http://schemas.microsoft.com/office/excel/2006/main">
          <x14:cfRule type="expression" priority="7" id="{2DB72D60-3C7E-48CA-8EA0-41B27DC046FC}">
            <xm:f>'\Users\MC\Library\Containers\com.microsoft.Excel\Data\Documents\Users\blaenp\OneDrive - Yorkshire Water Services\Documents\BCA7781B\[2018-19-Annual-Performance-Report-tables-updated-29-May-2019 (Locked) .xlsx]Validation'!#REF!=1</xm:f>
            <x14:dxf>
              <fill>
                <patternFill>
                  <bgColor theme="2"/>
                </patternFill>
              </fill>
            </x14:dxf>
          </x14:cfRule>
          <xm:sqref>P42</xm:sqref>
        </x14:conditionalFormatting>
        <x14:conditionalFormatting xmlns:xm="http://schemas.microsoft.com/office/excel/2006/main">
          <x14:cfRule type="expression" priority="6" id="{CB5AD03F-6B4A-4775-9E20-A6CBBCD6814D}">
            <xm:f>'\Users\MC\Library\Containers\com.microsoft.Excel\Data\Documents\Users\blaenp\OneDrive - Yorkshire Water Services\Documents\BCA7781B\[2018-19-Annual-Performance-Report-tables-updated-29-May-2019 (Locked) .xlsx]Validation'!#REF!=1</xm:f>
            <x14:dxf>
              <fill>
                <patternFill>
                  <bgColor theme="2"/>
                </patternFill>
              </fill>
            </x14:dxf>
          </x14:cfRule>
          <xm:sqref>P41</xm:sqref>
        </x14:conditionalFormatting>
        <x14:conditionalFormatting xmlns:xm="http://schemas.microsoft.com/office/excel/2006/main">
          <x14:cfRule type="expression" priority="3" id="{0CE1A4B0-8980-4763-A433-E4113E5F43DA}">
            <xm:f>'\Users\MC\Library\Containers\com.microsoft.Excel\Data\Documents\Users\blaenp\OneDrive - Yorkshire Water Services\Documents\BCA7781B\[2018-19-Annual-Performance-Report-tables-updated-29-May-2019 (Locked) .xlsx]Validation'!#REF!=1</xm:f>
            <x14:dxf>
              <fill>
                <patternFill>
                  <bgColor theme="2"/>
                </patternFill>
              </fill>
            </x14:dxf>
          </x14:cfRule>
          <xm:sqref>P41</xm:sqref>
        </x14:conditionalFormatting>
        <x14:conditionalFormatting xmlns:xm="http://schemas.microsoft.com/office/excel/2006/main">
          <x14:cfRule type="expression" priority="2" id="{D67D3C83-0755-407E-B39A-1B53882CC0B2}">
            <xm:f>'\Users\MC\Library\Containers\com.microsoft.Excel\Data\Documents\Users\blaenp\OneDrive - Yorkshire Water Services\Documents\BCA7781B\[2018-19-Annual-Performance-Report-tables-updated-29-May-2019 (Locked) .xlsx]Validation'!#REF!=1</xm:f>
            <x14:dxf>
              <fill>
                <patternFill>
                  <bgColor theme="2"/>
                </patternFill>
              </fill>
            </x14:dxf>
          </x14:cfRule>
          <xm:sqref>P40</xm:sqref>
        </x14:conditionalFormatting>
        <x14:conditionalFormatting xmlns:xm="http://schemas.microsoft.com/office/excel/2006/main">
          <x14:cfRule type="expression" priority="1" id="{1D4ADD7E-4DC0-46E2-9832-C6FCD076B35D}">
            <xm:f>'T:\01 YW\20 Accounting Seperation\APR Tables 1920\Actuals APR 1920\Tables\Actuals P1-P12\[APR Tables 1920 FINANCE - 230620.xlsx]Validation'!#REF!=1</xm:f>
            <x14:dxf>
              <fill>
                <patternFill>
                  <bgColor theme="2"/>
                </patternFill>
              </fill>
            </x14:dxf>
          </x14:cfRule>
          <xm:sqref>G42:N47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71"/>
  <sheetViews>
    <sheetView workbookViewId="0">
      <selection activeCell="G21" sqref="G21"/>
    </sheetView>
  </sheetViews>
  <sheetFormatPr defaultColWidth="0" defaultRowHeight="14.25" zeroHeight="1"/>
  <cols>
    <col min="1" max="1" width="0.5" style="70" customWidth="1"/>
    <col min="2" max="2" width="5" style="70" customWidth="1"/>
    <col min="3" max="3" width="38" style="70" bestFit="1" customWidth="1"/>
    <col min="4" max="4" width="2.5" style="70" hidden="1" customWidth="1"/>
    <col min="5" max="6" width="5.125" style="70" customWidth="1"/>
    <col min="7" max="11" width="12.5" style="70" customWidth="1"/>
    <col min="12" max="12" width="2.5" style="70" customWidth="1"/>
    <col min="13" max="13" width="21.5" style="70" customWidth="1"/>
    <col min="14" max="14" width="1.5" style="70" customWidth="1"/>
    <col min="15" max="15" width="1.5" style="71" hidden="1" customWidth="1"/>
    <col min="16" max="18" width="8.125" style="70" hidden="1" customWidth="1"/>
    <col min="19" max="19" width="1.5" style="71" hidden="1" customWidth="1"/>
    <col min="20" max="24" width="8.5" style="70" hidden="1" customWidth="1"/>
    <col min="25" max="26" width="0" style="70" hidden="1" customWidth="1"/>
    <col min="27" max="27" width="4.625" style="70" customWidth="1"/>
    <col min="28" max="28" width="38" style="70" bestFit="1" customWidth="1"/>
    <col min="29" max="29" width="2.5" style="70" hidden="1" customWidth="1"/>
    <col min="30" max="31" width="5.125" style="70" customWidth="1"/>
    <col min="32" max="36" width="12.5" style="70" customWidth="1"/>
    <col min="37" max="37" width="2.375" style="70" customWidth="1"/>
    <col min="38" max="16384" width="8.125" style="70" hidden="1"/>
  </cols>
  <sheetData>
    <row r="1" spans="2:36" ht="24" customHeight="1">
      <c r="B1" s="66" t="s">
        <v>33</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5" thickBot="1">
      <c r="B2" s="73" t="s">
        <v>20</v>
      </c>
      <c r="AA2" s="73" t="str">
        <f>+B2</f>
        <v>For the 12 months ended 31 March 2020</v>
      </c>
    </row>
    <row r="3" spans="2:36" ht="15" customHeight="1">
      <c r="B3" s="3057" t="s">
        <v>36</v>
      </c>
      <c r="C3" s="3058"/>
      <c r="D3" s="2985" t="s">
        <v>37</v>
      </c>
      <c r="E3" s="3061" t="s">
        <v>38</v>
      </c>
      <c r="F3" s="3063" t="s">
        <v>39</v>
      </c>
      <c r="G3" s="3065" t="s">
        <v>40</v>
      </c>
      <c r="H3" s="3067" t="s">
        <v>41</v>
      </c>
      <c r="I3" s="3068"/>
      <c r="J3" s="3069"/>
      <c r="K3" s="3070" t="s">
        <v>42</v>
      </c>
      <c r="M3" s="3070" t="s">
        <v>43</v>
      </c>
      <c r="AA3" s="3057" t="s">
        <v>36</v>
      </c>
      <c r="AB3" s="3058"/>
      <c r="AC3" s="2985" t="s">
        <v>37</v>
      </c>
      <c r="AD3" s="3061" t="s">
        <v>38</v>
      </c>
      <c r="AE3" s="3063" t="s">
        <v>39</v>
      </c>
      <c r="AF3" s="3065" t="s">
        <v>40</v>
      </c>
      <c r="AG3" s="3067" t="s">
        <v>41</v>
      </c>
      <c r="AH3" s="3068"/>
      <c r="AI3" s="3069"/>
      <c r="AJ3" s="3070" t="s">
        <v>42</v>
      </c>
    </row>
    <row r="4" spans="2:36" ht="54.75" thickBot="1">
      <c r="B4" s="3059"/>
      <c r="C4" s="3060"/>
      <c r="D4" s="2986"/>
      <c r="E4" s="3062"/>
      <c r="F4" s="3064"/>
      <c r="G4" s="3066"/>
      <c r="H4" s="2997" t="s">
        <v>44</v>
      </c>
      <c r="I4" s="78" t="s">
        <v>45</v>
      </c>
      <c r="J4" s="2998" t="s">
        <v>46</v>
      </c>
      <c r="K4" s="3071"/>
      <c r="M4" s="3071"/>
      <c r="P4" s="3072" t="s">
        <v>47</v>
      </c>
      <c r="Q4" s="3072"/>
      <c r="R4" s="3072"/>
      <c r="AA4" s="3059"/>
      <c r="AB4" s="3060"/>
      <c r="AC4" s="2986"/>
      <c r="AD4" s="3062"/>
      <c r="AE4" s="3064"/>
      <c r="AF4" s="3066"/>
      <c r="AG4" s="2997" t="s">
        <v>44</v>
      </c>
      <c r="AH4" s="78" t="s">
        <v>45</v>
      </c>
      <c r="AI4" s="2998" t="s">
        <v>46</v>
      </c>
      <c r="AJ4" s="3071"/>
    </row>
    <row r="5" spans="2:36" ht="15" thickBot="1">
      <c r="P5" s="164" t="s">
        <v>48</v>
      </c>
      <c r="Q5" s="127"/>
      <c r="R5" s="127"/>
    </row>
    <row r="6" spans="2:36">
      <c r="B6" s="86" t="s">
        <v>49</v>
      </c>
      <c r="C6" s="117" t="s">
        <v>50</v>
      </c>
      <c r="D6" s="117"/>
      <c r="E6" s="88" t="s">
        <v>51</v>
      </c>
      <c r="F6" s="89">
        <v>3</v>
      </c>
      <c r="G6" s="469">
        <v>1063.3889999999999</v>
      </c>
      <c r="H6" s="413">
        <v>8.4280000000000008</v>
      </c>
      <c r="I6" s="424">
        <v>14.603999999999999</v>
      </c>
      <c r="J6" s="190">
        <f xml:space="preserve"> H6 - I6</f>
        <v>-6.1759999999999984</v>
      </c>
      <c r="K6" s="196">
        <f xml:space="preserve"> G6 + J6</f>
        <v>1057.213</v>
      </c>
      <c r="M6" s="24">
        <f t="shared" ref="M6:M8" si="0" xml:space="preserve"> IF( SUM( O6:S6 ) = 0, 0, $P$5 )</f>
        <v>0</v>
      </c>
      <c r="P6" s="93">
        <f xml:space="preserve"> IF( ISNUMBER( G6 ), 0, 1 )</f>
        <v>0</v>
      </c>
      <c r="Q6" s="93">
        <f t="shared" ref="Q6:R8" si="1" xml:space="preserve"> IF( ISNUMBER( H6 ), 0, 1 )</f>
        <v>0</v>
      </c>
      <c r="R6" s="93">
        <f t="shared" si="1"/>
        <v>0</v>
      </c>
      <c r="AA6" s="86" t="s">
        <v>49</v>
      </c>
      <c r="AB6" s="117" t="s">
        <v>50</v>
      </c>
      <c r="AC6" s="117"/>
      <c r="AD6" s="88" t="s">
        <v>51</v>
      </c>
      <c r="AE6" s="89">
        <v>3</v>
      </c>
      <c r="AF6" s="2515" t="s">
        <v>52</v>
      </c>
      <c r="AG6" s="2516" t="s">
        <v>53</v>
      </c>
      <c r="AH6" s="2517" t="s">
        <v>54</v>
      </c>
      <c r="AI6" s="190" t="s">
        <v>55</v>
      </c>
      <c r="AJ6" s="196" t="s">
        <v>56</v>
      </c>
    </row>
    <row r="7" spans="2:36">
      <c r="B7" s="94" t="s">
        <v>57</v>
      </c>
      <c r="C7" s="87" t="s">
        <v>58</v>
      </c>
      <c r="D7" s="87"/>
      <c r="E7" s="95" t="s">
        <v>51</v>
      </c>
      <c r="F7" s="96">
        <v>3</v>
      </c>
      <c r="G7" s="470">
        <v>-860.87900000000002</v>
      </c>
      <c r="H7" s="411">
        <v>-15.714</v>
      </c>
      <c r="I7" s="412">
        <v>-12.756</v>
      </c>
      <c r="J7" s="191">
        <f xml:space="preserve"> H7 - I7</f>
        <v>-2.9580000000000002</v>
      </c>
      <c r="K7" s="197">
        <f t="shared" ref="K7:K22" si="2" xml:space="preserve"> G7 + J7</f>
        <v>-863.83699999999999</v>
      </c>
      <c r="M7" s="24">
        <f t="shared" si="0"/>
        <v>0</v>
      </c>
      <c r="P7" s="93">
        <f t="shared" ref="P7:P8" si="3" xml:space="preserve"> IF( ISNUMBER( G7 ), 0, 1 )</f>
        <v>0</v>
      </c>
      <c r="Q7" s="93">
        <f t="shared" si="1"/>
        <v>0</v>
      </c>
      <c r="R7" s="93">
        <f t="shared" si="1"/>
        <v>0</v>
      </c>
      <c r="AA7" s="94" t="s">
        <v>57</v>
      </c>
      <c r="AB7" s="87" t="s">
        <v>58</v>
      </c>
      <c r="AC7" s="87"/>
      <c r="AD7" s="95" t="s">
        <v>51</v>
      </c>
      <c r="AE7" s="96">
        <v>3</v>
      </c>
      <c r="AF7" s="2518" t="s">
        <v>59</v>
      </c>
      <c r="AG7" s="2519" t="s">
        <v>60</v>
      </c>
      <c r="AH7" s="2520" t="s">
        <v>61</v>
      </c>
      <c r="AI7" s="191" t="s">
        <v>62</v>
      </c>
      <c r="AJ7" s="197" t="s">
        <v>63</v>
      </c>
    </row>
    <row r="8" spans="2:36">
      <c r="B8" s="94" t="s">
        <v>64</v>
      </c>
      <c r="C8" s="87" t="s">
        <v>65</v>
      </c>
      <c r="D8" s="87"/>
      <c r="E8" s="95" t="s">
        <v>51</v>
      </c>
      <c r="F8" s="96">
        <v>3</v>
      </c>
      <c r="G8" s="470">
        <v>7.7869999999999999</v>
      </c>
      <c r="H8" s="411">
        <v>0</v>
      </c>
      <c r="I8" s="412">
        <v>0</v>
      </c>
      <c r="J8" s="191">
        <f xml:space="preserve"> H8 - I8</f>
        <v>0</v>
      </c>
      <c r="K8" s="197">
        <f t="shared" si="2"/>
        <v>7.7869999999999999</v>
      </c>
      <c r="M8" s="24">
        <f t="shared" si="0"/>
        <v>0</v>
      </c>
      <c r="P8" s="93">
        <f t="shared" si="3"/>
        <v>0</v>
      </c>
      <c r="Q8" s="93">
        <f t="shared" si="1"/>
        <v>0</v>
      </c>
      <c r="R8" s="93">
        <f t="shared" si="1"/>
        <v>0</v>
      </c>
      <c r="AA8" s="94" t="s">
        <v>64</v>
      </c>
      <c r="AB8" s="87" t="s">
        <v>65</v>
      </c>
      <c r="AC8" s="87"/>
      <c r="AD8" s="95" t="s">
        <v>51</v>
      </c>
      <c r="AE8" s="96">
        <v>3</v>
      </c>
      <c r="AF8" s="2518" t="s">
        <v>66</v>
      </c>
      <c r="AG8" s="2519" t="s">
        <v>67</v>
      </c>
      <c r="AH8" s="2520" t="s">
        <v>68</v>
      </c>
      <c r="AI8" s="191" t="s">
        <v>69</v>
      </c>
      <c r="AJ8" s="197" t="s">
        <v>70</v>
      </c>
    </row>
    <row r="9" spans="2:36" ht="15" thickBot="1">
      <c r="B9" s="101" t="s">
        <v>71</v>
      </c>
      <c r="C9" s="102" t="s">
        <v>72</v>
      </c>
      <c r="D9" s="102"/>
      <c r="E9" s="103" t="s">
        <v>51</v>
      </c>
      <c r="F9" s="100">
        <v>3</v>
      </c>
      <c r="G9" s="198">
        <f>SUM( G6:G8 )</f>
        <v>210.29699999999988</v>
      </c>
      <c r="H9" s="193">
        <f>SUM( H6:H8 )</f>
        <v>-7.2859999999999996</v>
      </c>
      <c r="I9" s="194">
        <f>SUM( I6:I8 )</f>
        <v>1.847999999999999</v>
      </c>
      <c r="J9" s="195">
        <f xml:space="preserve"> H9 - I9</f>
        <v>-9.1339999999999986</v>
      </c>
      <c r="K9" s="198">
        <f xml:space="preserve"> G9 + J9</f>
        <v>201.1629999999999</v>
      </c>
      <c r="M9" s="126"/>
      <c r="P9" s="127"/>
      <c r="Q9" s="127"/>
      <c r="R9" s="127"/>
      <c r="AA9" s="101" t="s">
        <v>71</v>
      </c>
      <c r="AB9" s="102" t="s">
        <v>72</v>
      </c>
      <c r="AC9" s="102"/>
      <c r="AD9" s="103" t="s">
        <v>51</v>
      </c>
      <c r="AE9" s="100">
        <v>3</v>
      </c>
      <c r="AF9" s="198" t="s">
        <v>73</v>
      </c>
      <c r="AG9" s="193" t="s">
        <v>74</v>
      </c>
      <c r="AH9" s="194" t="s">
        <v>75</v>
      </c>
      <c r="AI9" s="195" t="s">
        <v>76</v>
      </c>
      <c r="AJ9" s="198" t="s">
        <v>77</v>
      </c>
    </row>
    <row r="10" spans="2:36" ht="15" thickBot="1">
      <c r="M10" s="126"/>
      <c r="P10" s="127"/>
      <c r="Q10" s="127"/>
      <c r="R10" s="127"/>
    </row>
    <row r="11" spans="2:36">
      <c r="B11" s="86" t="s">
        <v>78</v>
      </c>
      <c r="C11" s="117" t="s">
        <v>79</v>
      </c>
      <c r="D11" s="117"/>
      <c r="E11" s="88" t="s">
        <v>51</v>
      </c>
      <c r="F11" s="89">
        <v>3</v>
      </c>
      <c r="G11" s="465">
        <v>2.1379999999999999</v>
      </c>
      <c r="H11" s="413">
        <v>10.907</v>
      </c>
      <c r="I11" s="424">
        <v>0.14000000000000001</v>
      </c>
      <c r="J11" s="190">
        <f xml:space="preserve"> H11 - I11</f>
        <v>10.766999999999999</v>
      </c>
      <c r="K11" s="196">
        <f xml:space="preserve"> G11 + J11</f>
        <v>12.904999999999999</v>
      </c>
      <c r="M11" s="24">
        <f t="shared" ref="M11:M13" si="4" xml:space="preserve"> IF( SUM( O11:S11 ) = 0, 0, $P$5 )</f>
        <v>0</v>
      </c>
      <c r="P11" s="93">
        <f xml:space="preserve"> IF( ISNUMBER( G11 ), 0, 1 )</f>
        <v>0</v>
      </c>
      <c r="Q11" s="93">
        <f t="shared" ref="Q11:R14" si="5" xml:space="preserve"> IF( ISNUMBER( H11 ), 0, 1 )</f>
        <v>0</v>
      </c>
      <c r="R11" s="93">
        <f t="shared" si="5"/>
        <v>0</v>
      </c>
      <c r="AA11" s="86" t="s">
        <v>78</v>
      </c>
      <c r="AB11" s="117" t="s">
        <v>79</v>
      </c>
      <c r="AC11" s="117"/>
      <c r="AD11" s="88" t="s">
        <v>51</v>
      </c>
      <c r="AE11" s="89">
        <v>3</v>
      </c>
      <c r="AF11" s="2521" t="s">
        <v>80</v>
      </c>
      <c r="AG11" s="2516" t="s">
        <v>81</v>
      </c>
      <c r="AH11" s="2517" t="s">
        <v>82</v>
      </c>
      <c r="AI11" s="190" t="s">
        <v>83</v>
      </c>
      <c r="AJ11" s="196" t="s">
        <v>84</v>
      </c>
    </row>
    <row r="12" spans="2:36">
      <c r="B12" s="94" t="s">
        <v>85</v>
      </c>
      <c r="C12" s="87" t="s">
        <v>86</v>
      </c>
      <c r="D12" s="87"/>
      <c r="E12" s="95" t="s">
        <v>51</v>
      </c>
      <c r="F12" s="96">
        <v>3</v>
      </c>
      <c r="G12" s="461">
        <v>50.508000000000003</v>
      </c>
      <c r="H12" s="411">
        <v>0</v>
      </c>
      <c r="I12" s="412">
        <v>0</v>
      </c>
      <c r="J12" s="191">
        <f xml:space="preserve"> H12 - I12</f>
        <v>0</v>
      </c>
      <c r="K12" s="197">
        <f xml:space="preserve"> G12 + J12</f>
        <v>50.508000000000003</v>
      </c>
      <c r="M12" s="24">
        <f t="shared" si="4"/>
        <v>0</v>
      </c>
      <c r="P12" s="93">
        <f t="shared" ref="P12:P14" si="6" xml:space="preserve"> IF( ISNUMBER( G12 ), 0, 1 )</f>
        <v>0</v>
      </c>
      <c r="Q12" s="93">
        <f t="shared" si="5"/>
        <v>0</v>
      </c>
      <c r="R12" s="93">
        <f t="shared" si="5"/>
        <v>0</v>
      </c>
      <c r="AA12" s="94" t="s">
        <v>85</v>
      </c>
      <c r="AB12" s="87" t="s">
        <v>86</v>
      </c>
      <c r="AC12" s="87"/>
      <c r="AD12" s="95" t="s">
        <v>51</v>
      </c>
      <c r="AE12" s="96">
        <v>3</v>
      </c>
      <c r="AF12" s="2522" t="s">
        <v>87</v>
      </c>
      <c r="AG12" s="2519" t="s">
        <v>88</v>
      </c>
      <c r="AH12" s="2520" t="s">
        <v>89</v>
      </c>
      <c r="AI12" s="191" t="s">
        <v>90</v>
      </c>
      <c r="AJ12" s="197" t="s">
        <v>91</v>
      </c>
    </row>
    <row r="13" spans="2:36">
      <c r="B13" s="94" t="s">
        <v>92</v>
      </c>
      <c r="C13" s="87" t="s">
        <v>93</v>
      </c>
      <c r="D13" s="87"/>
      <c r="E13" s="95" t="s">
        <v>51</v>
      </c>
      <c r="F13" s="96">
        <v>3</v>
      </c>
      <c r="G13" s="461">
        <v>-193.00200000000001</v>
      </c>
      <c r="H13" s="411">
        <v>-16.882000000000001</v>
      </c>
      <c r="I13" s="412">
        <v>0</v>
      </c>
      <c r="J13" s="191">
        <f xml:space="preserve"> H13 - I13</f>
        <v>-16.882000000000001</v>
      </c>
      <c r="K13" s="197">
        <f t="shared" si="2"/>
        <v>-209.88400000000001</v>
      </c>
      <c r="M13" s="24">
        <f t="shared" si="4"/>
        <v>0</v>
      </c>
      <c r="P13" s="93">
        <f t="shared" si="6"/>
        <v>0</v>
      </c>
      <c r="Q13" s="93">
        <f t="shared" si="5"/>
        <v>0</v>
      </c>
      <c r="R13" s="93">
        <f t="shared" si="5"/>
        <v>0</v>
      </c>
      <c r="AA13" s="94" t="s">
        <v>92</v>
      </c>
      <c r="AB13" s="87" t="s">
        <v>93</v>
      </c>
      <c r="AC13" s="87"/>
      <c r="AD13" s="95" t="s">
        <v>51</v>
      </c>
      <c r="AE13" s="96">
        <v>3</v>
      </c>
      <c r="AF13" s="2522" t="s">
        <v>94</v>
      </c>
      <c r="AG13" s="2519" t="s">
        <v>95</v>
      </c>
      <c r="AH13" s="2520" t="s">
        <v>96</v>
      </c>
      <c r="AI13" s="191" t="s">
        <v>97</v>
      </c>
      <c r="AJ13" s="197" t="s">
        <v>98</v>
      </c>
    </row>
    <row r="14" spans="2:36">
      <c r="B14" s="94" t="s">
        <v>99</v>
      </c>
      <c r="C14" s="87" t="s">
        <v>100</v>
      </c>
      <c r="D14" s="87"/>
      <c r="E14" s="95" t="s">
        <v>51</v>
      </c>
      <c r="F14" s="96">
        <v>3</v>
      </c>
      <c r="G14" s="461">
        <v>0</v>
      </c>
      <c r="H14" s="411">
        <v>0</v>
      </c>
      <c r="I14" s="412">
        <v>0</v>
      </c>
      <c r="J14" s="191">
        <f xml:space="preserve"> H14 - I14</f>
        <v>0</v>
      </c>
      <c r="K14" s="197">
        <f t="shared" si="2"/>
        <v>0</v>
      </c>
      <c r="M14" s="24">
        <f xml:space="preserve"> IF( SUM( O14:S14 ) = 0, 0, $P$5 )</f>
        <v>0</v>
      </c>
      <c r="P14" s="93">
        <f t="shared" si="6"/>
        <v>0</v>
      </c>
      <c r="Q14" s="93">
        <f t="shared" si="5"/>
        <v>0</v>
      </c>
      <c r="R14" s="93">
        <f t="shared" si="5"/>
        <v>0</v>
      </c>
      <c r="AA14" s="94" t="s">
        <v>99</v>
      </c>
      <c r="AB14" s="87" t="s">
        <v>100</v>
      </c>
      <c r="AC14" s="87"/>
      <c r="AD14" s="95" t="s">
        <v>51</v>
      </c>
      <c r="AE14" s="96">
        <v>3</v>
      </c>
      <c r="AF14" s="2522" t="s">
        <v>101</v>
      </c>
      <c r="AG14" s="2519" t="s">
        <v>102</v>
      </c>
      <c r="AH14" s="2520" t="s">
        <v>103</v>
      </c>
      <c r="AI14" s="191" t="s">
        <v>104</v>
      </c>
      <c r="AJ14" s="197" t="s">
        <v>105</v>
      </c>
    </row>
    <row r="15" spans="2:36" ht="15" thickBot="1">
      <c r="B15" s="101" t="s">
        <v>106</v>
      </c>
      <c r="C15" s="102" t="s">
        <v>107</v>
      </c>
      <c r="D15" s="102"/>
      <c r="E15" s="103" t="s">
        <v>51</v>
      </c>
      <c r="F15" s="100">
        <v>3</v>
      </c>
      <c r="G15" s="195">
        <f xml:space="preserve"> G9 + SUM( G11:G14 )</f>
        <v>69.940999999999889</v>
      </c>
      <c r="H15" s="193">
        <f xml:space="preserve"> H9 + SUM( H11:H14 )</f>
        <v>-13.261000000000001</v>
      </c>
      <c r="I15" s="194">
        <f xml:space="preserve"> I9 + SUM( I11:I14 )</f>
        <v>1.9879999999999991</v>
      </c>
      <c r="J15" s="195">
        <f xml:space="preserve"> H15 - I15</f>
        <v>-15.249000000000001</v>
      </c>
      <c r="K15" s="198">
        <f t="shared" si="2"/>
        <v>54.691999999999886</v>
      </c>
      <c r="M15" s="126"/>
      <c r="P15" s="127"/>
      <c r="Q15" s="127"/>
      <c r="R15" s="127"/>
      <c r="AA15" s="101" t="s">
        <v>106</v>
      </c>
      <c r="AB15" s="102" t="s">
        <v>107</v>
      </c>
      <c r="AC15" s="102"/>
      <c r="AD15" s="103" t="s">
        <v>51</v>
      </c>
      <c r="AE15" s="100">
        <v>3</v>
      </c>
      <c r="AF15" s="195" t="s">
        <v>108</v>
      </c>
      <c r="AG15" s="193" t="s">
        <v>109</v>
      </c>
      <c r="AH15" s="194" t="s">
        <v>110</v>
      </c>
      <c r="AI15" s="195" t="s">
        <v>111</v>
      </c>
      <c r="AJ15" s="198" t="s">
        <v>112</v>
      </c>
    </row>
    <row r="16" spans="2:36" ht="15" thickBot="1">
      <c r="M16" s="126"/>
      <c r="P16" s="127"/>
      <c r="Q16" s="127"/>
      <c r="R16" s="127"/>
    </row>
    <row r="17" spans="2:36">
      <c r="B17" s="86" t="s">
        <v>113</v>
      </c>
      <c r="C17" s="117" t="s">
        <v>114</v>
      </c>
      <c r="D17" s="117"/>
      <c r="E17" s="88" t="s">
        <v>51</v>
      </c>
      <c r="F17" s="89">
        <v>3</v>
      </c>
      <c r="G17" s="469">
        <v>-35.905999999999999</v>
      </c>
      <c r="H17" s="413">
        <v>0</v>
      </c>
      <c r="I17" s="424">
        <v>0</v>
      </c>
      <c r="J17" s="190">
        <f xml:space="preserve"> H17 - I17</f>
        <v>0</v>
      </c>
      <c r="K17" s="199">
        <f t="shared" si="2"/>
        <v>-35.905999999999999</v>
      </c>
      <c r="M17" s="24">
        <f t="shared" ref="M17" si="7" xml:space="preserve"> IF( SUM( O17:S17 ) = 0, 0, $P$5 )</f>
        <v>0</v>
      </c>
      <c r="P17" s="93">
        <f t="shared" ref="P17:R17" si="8" xml:space="preserve"> IF( ISNUMBER( G17 ), 0, 1 )</f>
        <v>0</v>
      </c>
      <c r="Q17" s="93">
        <f t="shared" si="8"/>
        <v>0</v>
      </c>
      <c r="R17" s="93">
        <f t="shared" si="8"/>
        <v>0</v>
      </c>
      <c r="AA17" s="86" t="s">
        <v>113</v>
      </c>
      <c r="AB17" s="117" t="s">
        <v>114</v>
      </c>
      <c r="AC17" s="117"/>
      <c r="AD17" s="88" t="s">
        <v>51</v>
      </c>
      <c r="AE17" s="89">
        <v>3</v>
      </c>
      <c r="AF17" s="2515" t="s">
        <v>115</v>
      </c>
      <c r="AG17" s="2516" t="s">
        <v>116</v>
      </c>
      <c r="AH17" s="2517" t="s">
        <v>117</v>
      </c>
      <c r="AI17" s="190" t="s">
        <v>118</v>
      </c>
      <c r="AJ17" s="199" t="s">
        <v>119</v>
      </c>
    </row>
    <row r="18" spans="2:36" ht="15" thickBot="1">
      <c r="B18" s="101" t="s">
        <v>120</v>
      </c>
      <c r="C18" s="102" t="s">
        <v>121</v>
      </c>
      <c r="D18" s="102"/>
      <c r="E18" s="103" t="s">
        <v>51</v>
      </c>
      <c r="F18" s="100">
        <v>3</v>
      </c>
      <c r="G18" s="198">
        <f xml:space="preserve"> G15 + G17</f>
        <v>34.03499999999989</v>
      </c>
      <c r="H18" s="193">
        <f xml:space="preserve"> H15 + H17</f>
        <v>-13.261000000000001</v>
      </c>
      <c r="I18" s="194">
        <f xml:space="preserve"> I15 + I17</f>
        <v>1.9879999999999991</v>
      </c>
      <c r="J18" s="195">
        <f xml:space="preserve"> H18 - I18</f>
        <v>-15.249000000000001</v>
      </c>
      <c r="K18" s="200">
        <f t="shared" si="2"/>
        <v>18.785999999999888</v>
      </c>
      <c r="M18" s="126"/>
      <c r="P18" s="127"/>
      <c r="Q18" s="127"/>
      <c r="R18" s="127"/>
      <c r="AA18" s="101" t="s">
        <v>120</v>
      </c>
      <c r="AB18" s="102" t="s">
        <v>121</v>
      </c>
      <c r="AC18" s="102"/>
      <c r="AD18" s="103" t="s">
        <v>51</v>
      </c>
      <c r="AE18" s="100">
        <v>3</v>
      </c>
      <c r="AF18" s="198" t="s">
        <v>122</v>
      </c>
      <c r="AG18" s="193" t="s">
        <v>123</v>
      </c>
      <c r="AH18" s="194" t="s">
        <v>124</v>
      </c>
      <c r="AI18" s="195" t="s">
        <v>125</v>
      </c>
      <c r="AJ18" s="200" t="s">
        <v>126</v>
      </c>
    </row>
    <row r="19" spans="2:36" ht="15" thickBot="1">
      <c r="M19" s="126"/>
      <c r="P19" s="127"/>
      <c r="Q19" s="127"/>
      <c r="R19" s="127"/>
    </row>
    <row r="20" spans="2:36">
      <c r="B20" s="86" t="s">
        <v>127</v>
      </c>
      <c r="C20" s="117" t="s">
        <v>128</v>
      </c>
      <c r="D20" s="117"/>
      <c r="E20" s="88" t="s">
        <v>51</v>
      </c>
      <c r="F20" s="89">
        <v>3</v>
      </c>
      <c r="G20" s="196">
        <f>(-1 * G29)</f>
        <v>-14.032</v>
      </c>
      <c r="H20" s="188">
        <f>(-1 * H29)</f>
        <v>0</v>
      </c>
      <c r="I20" s="189">
        <f>(-1 * I29)</f>
        <v>-0.38200000000000001</v>
      </c>
      <c r="J20" s="190">
        <f xml:space="preserve"> H20 - I20</f>
        <v>0.38200000000000001</v>
      </c>
      <c r="K20" s="199">
        <f t="shared" si="2"/>
        <v>-13.65</v>
      </c>
      <c r="M20" s="24">
        <f t="shared" ref="M20:M21" si="9" xml:space="preserve"> IF( SUM( O20:S20 ) = 0, 0, $P$5 )</f>
        <v>0</v>
      </c>
      <c r="P20" s="93">
        <f t="shared" ref="P20:R21" si="10" xml:space="preserve"> IF( ISNUMBER( G20 ), 0, 1 )</f>
        <v>0</v>
      </c>
      <c r="Q20" s="93">
        <f t="shared" si="10"/>
        <v>0</v>
      </c>
      <c r="R20" s="93">
        <f t="shared" si="10"/>
        <v>0</v>
      </c>
      <c r="AA20" s="86" t="s">
        <v>127</v>
      </c>
      <c r="AB20" s="117" t="s">
        <v>128</v>
      </c>
      <c r="AC20" s="117"/>
      <c r="AD20" s="88" t="s">
        <v>51</v>
      </c>
      <c r="AE20" s="89">
        <v>3</v>
      </c>
      <c r="AF20" s="196" t="s">
        <v>129</v>
      </c>
      <c r="AG20" s="188" t="s">
        <v>130</v>
      </c>
      <c r="AH20" s="189" t="s">
        <v>131</v>
      </c>
      <c r="AI20" s="190" t="s">
        <v>132</v>
      </c>
      <c r="AJ20" s="199" t="s">
        <v>133</v>
      </c>
    </row>
    <row r="21" spans="2:36">
      <c r="B21" s="94" t="s">
        <v>134</v>
      </c>
      <c r="C21" s="87" t="s">
        <v>135</v>
      </c>
      <c r="D21" s="87"/>
      <c r="E21" s="95" t="s">
        <v>51</v>
      </c>
      <c r="F21" s="96">
        <v>3</v>
      </c>
      <c r="G21" s="470">
        <v>-21.73</v>
      </c>
      <c r="H21" s="411">
        <v>4.96</v>
      </c>
      <c r="I21" s="412">
        <v>0</v>
      </c>
      <c r="J21" s="191">
        <f xml:space="preserve"> H21 - I21</f>
        <v>4.96</v>
      </c>
      <c r="K21" s="241">
        <f t="shared" si="2"/>
        <v>-16.77</v>
      </c>
      <c r="M21" s="24">
        <f t="shared" si="9"/>
        <v>0</v>
      </c>
      <c r="P21" s="93">
        <f t="shared" si="10"/>
        <v>0</v>
      </c>
      <c r="Q21" s="93">
        <f t="shared" si="10"/>
        <v>0</v>
      </c>
      <c r="R21" s="93">
        <f t="shared" si="10"/>
        <v>0</v>
      </c>
      <c r="AA21" s="94" t="s">
        <v>134</v>
      </c>
      <c r="AB21" s="87" t="s">
        <v>135</v>
      </c>
      <c r="AC21" s="87"/>
      <c r="AD21" s="95" t="s">
        <v>51</v>
      </c>
      <c r="AE21" s="96">
        <v>3</v>
      </c>
      <c r="AF21" s="2518" t="s">
        <v>136</v>
      </c>
      <c r="AG21" s="2519" t="s">
        <v>137</v>
      </c>
      <c r="AH21" s="2520" t="s">
        <v>138</v>
      </c>
      <c r="AI21" s="191" t="s">
        <v>139</v>
      </c>
      <c r="AJ21" s="241" t="s">
        <v>140</v>
      </c>
    </row>
    <row r="22" spans="2:36" ht="15" thickBot="1">
      <c r="B22" s="101" t="s">
        <v>141</v>
      </c>
      <c r="C22" s="102" t="s">
        <v>142</v>
      </c>
      <c r="D22" s="102"/>
      <c r="E22" s="103" t="s">
        <v>51</v>
      </c>
      <c r="F22" s="100">
        <v>3</v>
      </c>
      <c r="G22" s="198">
        <f xml:space="preserve"> G18 + (SUM( G20:G21 ))</f>
        <v>-1.7270000000001104</v>
      </c>
      <c r="H22" s="193">
        <f xml:space="preserve"> H18 + (SUM( H20:H21 ))</f>
        <v>-8.3010000000000019</v>
      </c>
      <c r="I22" s="194">
        <f xml:space="preserve"> I18 + (SUM( I20:I21 ))</f>
        <v>1.605999999999999</v>
      </c>
      <c r="J22" s="195">
        <f xml:space="preserve"> H22 - I22</f>
        <v>-9.907</v>
      </c>
      <c r="K22" s="200">
        <f t="shared" si="2"/>
        <v>-11.63400000000011</v>
      </c>
      <c r="M22" s="126"/>
      <c r="AA22" s="101" t="s">
        <v>141</v>
      </c>
      <c r="AB22" s="102" t="s">
        <v>142</v>
      </c>
      <c r="AC22" s="102"/>
      <c r="AD22" s="103" t="s">
        <v>51</v>
      </c>
      <c r="AE22" s="100">
        <v>3</v>
      </c>
      <c r="AF22" s="198" t="s">
        <v>143</v>
      </c>
      <c r="AG22" s="193" t="s">
        <v>144</v>
      </c>
      <c r="AH22" s="194" t="s">
        <v>145</v>
      </c>
      <c r="AI22" s="195" t="s">
        <v>146</v>
      </c>
      <c r="AJ22" s="200" t="s">
        <v>147</v>
      </c>
    </row>
    <row r="23" spans="2:36" s="110" customFormat="1" ht="15" thickBot="1">
      <c r="C23" s="152"/>
      <c r="D23" s="152"/>
      <c r="H23" s="163"/>
      <c r="J23" s="118"/>
      <c r="K23" s="118"/>
      <c r="L23" s="118"/>
      <c r="M23" s="126"/>
      <c r="N23" s="118"/>
      <c r="O23" s="124"/>
      <c r="P23" s="280"/>
      <c r="S23" s="124"/>
      <c r="AB23" s="152"/>
      <c r="AC23" s="152"/>
      <c r="AG23" s="163"/>
      <c r="AI23" s="118"/>
      <c r="AJ23" s="118"/>
    </row>
    <row r="24" spans="2:36" s="110" customFormat="1" ht="15" thickBot="1">
      <c r="B24" s="593" t="s">
        <v>148</v>
      </c>
      <c r="C24" s="594" t="s">
        <v>149</v>
      </c>
      <c r="D24" s="594"/>
      <c r="E24" s="133" t="s">
        <v>51</v>
      </c>
      <c r="F24" s="134">
        <v>3</v>
      </c>
      <c r="G24" s="426">
        <v>-110.029</v>
      </c>
      <c r="H24" s="450">
        <v>0</v>
      </c>
      <c r="I24" s="458">
        <v>0</v>
      </c>
      <c r="J24" s="247">
        <f xml:space="preserve"> H24 - I24</f>
        <v>0</v>
      </c>
      <c r="K24" s="486">
        <f t="shared" ref="K24" si="11" xml:space="preserve"> G24 + J24</f>
        <v>-110.029</v>
      </c>
      <c r="L24" s="70"/>
      <c r="M24" s="24">
        <f t="shared" ref="M24" si="12" xml:space="preserve"> IF( SUM( O24:S24 ) = 0, 0, $P$5 )</f>
        <v>0</v>
      </c>
      <c r="N24" s="118"/>
      <c r="O24" s="124"/>
      <c r="P24" s="93">
        <f t="shared" ref="P24" si="13" xml:space="preserve"> IF( ISNUMBER( G24 ), 0, 1 )</f>
        <v>0</v>
      </c>
      <c r="Q24" s="93">
        <f t="shared" ref="Q24" si="14" xml:space="preserve"> IF( ISNUMBER( H24 ), 0, 1 )</f>
        <v>0</v>
      </c>
      <c r="R24" s="93">
        <f t="shared" ref="R24" si="15" xml:space="preserve"> IF( ISNUMBER( I24 ), 0, 1 )</f>
        <v>0</v>
      </c>
      <c r="S24" s="124"/>
      <c r="AA24" s="593" t="s">
        <v>148</v>
      </c>
      <c r="AB24" s="594" t="s">
        <v>149</v>
      </c>
      <c r="AC24" s="594"/>
      <c r="AD24" s="133" t="s">
        <v>51</v>
      </c>
      <c r="AE24" s="134">
        <v>3</v>
      </c>
      <c r="AF24" s="2523" t="s">
        <v>150</v>
      </c>
      <c r="AG24" s="2524" t="s">
        <v>151</v>
      </c>
      <c r="AH24" s="2525" t="s">
        <v>152</v>
      </c>
      <c r="AI24" s="247" t="s">
        <v>153</v>
      </c>
      <c r="AJ24" s="486" t="s">
        <v>154</v>
      </c>
    </row>
    <row r="25" spans="2:36" s="110" customFormat="1" ht="15" thickBot="1">
      <c r="C25" s="152"/>
      <c r="D25" s="152"/>
      <c r="H25" s="163"/>
      <c r="J25" s="118"/>
      <c r="K25" s="118"/>
      <c r="L25" s="118"/>
      <c r="M25" s="126"/>
      <c r="N25" s="118"/>
      <c r="O25" s="124"/>
      <c r="P25" s="280"/>
      <c r="S25" s="124"/>
      <c r="AB25" s="152"/>
      <c r="AC25" s="152"/>
      <c r="AG25" s="163"/>
      <c r="AI25" s="118"/>
      <c r="AJ25" s="118"/>
    </row>
    <row r="26" spans="2:36" ht="15" thickBot="1">
      <c r="B26" s="3036" t="s">
        <v>155</v>
      </c>
      <c r="C26" s="83" t="s">
        <v>156</v>
      </c>
      <c r="D26" s="1505"/>
      <c r="M26" s="126"/>
      <c r="AA26" s="3036" t="s">
        <v>155</v>
      </c>
      <c r="AB26" s="83" t="s">
        <v>156</v>
      </c>
      <c r="AC26" s="1505"/>
    </row>
    <row r="27" spans="2:36">
      <c r="B27" s="86" t="s">
        <v>157</v>
      </c>
      <c r="C27" s="117" t="s">
        <v>158</v>
      </c>
      <c r="D27" s="117"/>
      <c r="E27" s="88" t="s">
        <v>51</v>
      </c>
      <c r="F27" s="89">
        <v>3</v>
      </c>
      <c r="G27" s="465">
        <v>15.276</v>
      </c>
      <c r="H27" s="413">
        <v>0</v>
      </c>
      <c r="I27" s="424">
        <v>0.38200000000000001</v>
      </c>
      <c r="J27" s="190">
        <f xml:space="preserve"> H27 - I27</f>
        <v>-0.38200000000000001</v>
      </c>
      <c r="K27" s="196">
        <f xml:space="preserve"> G27 + J27</f>
        <v>14.894</v>
      </c>
      <c r="M27" s="24">
        <f t="shared" ref="M27:M28" si="16" xml:space="preserve"> IF( SUM( O27:S27 ) = 0, 0, $P$5 )</f>
        <v>0</v>
      </c>
      <c r="P27" s="93">
        <f t="shared" ref="P27:R28" si="17" xml:space="preserve"> IF( ISNUMBER( G27 ), 0, 1 )</f>
        <v>0</v>
      </c>
      <c r="Q27" s="93">
        <f t="shared" si="17"/>
        <v>0</v>
      </c>
      <c r="R27" s="93">
        <f t="shared" si="17"/>
        <v>0</v>
      </c>
      <c r="AA27" s="86" t="s">
        <v>157</v>
      </c>
      <c r="AB27" s="117" t="s">
        <v>158</v>
      </c>
      <c r="AC27" s="117"/>
      <c r="AD27" s="88" t="s">
        <v>51</v>
      </c>
      <c r="AE27" s="89">
        <v>3</v>
      </c>
      <c r="AF27" s="2526" t="s">
        <v>159</v>
      </c>
      <c r="AG27" s="2353" t="s">
        <v>160</v>
      </c>
      <c r="AH27" s="2527" t="s">
        <v>161</v>
      </c>
      <c r="AI27" s="2005" t="s">
        <v>162</v>
      </c>
      <c r="AJ27" s="2006" t="s">
        <v>163</v>
      </c>
    </row>
    <row r="28" spans="2:36">
      <c r="B28" s="94" t="s">
        <v>164</v>
      </c>
      <c r="C28" s="87" t="s">
        <v>165</v>
      </c>
      <c r="D28" s="87"/>
      <c r="E28" s="95" t="s">
        <v>51</v>
      </c>
      <c r="F28" s="96">
        <v>3</v>
      </c>
      <c r="G28" s="461">
        <v>-1.244</v>
      </c>
      <c r="H28" s="411">
        <v>0</v>
      </c>
      <c r="I28" s="412">
        <v>0</v>
      </c>
      <c r="J28" s="191">
        <f xml:space="preserve"> H28 - I28</f>
        <v>0</v>
      </c>
      <c r="K28" s="197">
        <f xml:space="preserve"> G28 + J28</f>
        <v>-1.244</v>
      </c>
      <c r="M28" s="24">
        <f t="shared" si="16"/>
        <v>0</v>
      </c>
      <c r="P28" s="93">
        <f t="shared" si="17"/>
        <v>0</v>
      </c>
      <c r="Q28" s="93">
        <f t="shared" si="17"/>
        <v>0</v>
      </c>
      <c r="R28" s="93">
        <f t="shared" si="17"/>
        <v>0</v>
      </c>
      <c r="AA28" s="94" t="s">
        <v>164</v>
      </c>
      <c r="AB28" s="87" t="s">
        <v>165</v>
      </c>
      <c r="AC28" s="87"/>
      <c r="AD28" s="95" t="s">
        <v>51</v>
      </c>
      <c r="AE28" s="96">
        <v>3</v>
      </c>
      <c r="AF28" s="2528" t="s">
        <v>166</v>
      </c>
      <c r="AG28" s="2355" t="s">
        <v>167</v>
      </c>
      <c r="AH28" s="2529" t="s">
        <v>168</v>
      </c>
      <c r="AI28" s="2007" t="s">
        <v>169</v>
      </c>
      <c r="AJ28" s="2008" t="s">
        <v>170</v>
      </c>
    </row>
    <row r="29" spans="2:36" ht="15" thickBot="1">
      <c r="B29" s="101" t="s">
        <v>171</v>
      </c>
      <c r="C29" s="102" t="s">
        <v>128</v>
      </c>
      <c r="D29" s="102"/>
      <c r="E29" s="103" t="s">
        <v>51</v>
      </c>
      <c r="F29" s="100">
        <v>3</v>
      </c>
      <c r="G29" s="195">
        <f>SUM( G27:G28 )</f>
        <v>14.032</v>
      </c>
      <c r="H29" s="1607">
        <f>SUM( H27:H28 )</f>
        <v>0</v>
      </c>
      <c r="I29" s="194">
        <f>SUM( I27:I28 )</f>
        <v>0.38200000000000001</v>
      </c>
      <c r="J29" s="198">
        <f xml:space="preserve"> H29 - I29</f>
        <v>-0.38200000000000001</v>
      </c>
      <c r="K29" s="198">
        <f xml:space="preserve"> G29 + J29</f>
        <v>13.65</v>
      </c>
      <c r="M29" s="126"/>
      <c r="AA29" s="101" t="s">
        <v>171</v>
      </c>
      <c r="AB29" s="102" t="s">
        <v>128</v>
      </c>
      <c r="AC29" s="102"/>
      <c r="AD29" s="103" t="s">
        <v>51</v>
      </c>
      <c r="AE29" s="100">
        <v>3</v>
      </c>
      <c r="AF29" s="2009" t="s">
        <v>172</v>
      </c>
      <c r="AG29" s="2010" t="s">
        <v>173</v>
      </c>
      <c r="AH29" s="2011" t="s">
        <v>174</v>
      </c>
      <c r="AI29" s="2012" t="s">
        <v>175</v>
      </c>
      <c r="AJ29" s="2012" t="s">
        <v>176</v>
      </c>
    </row>
    <row r="30" spans="2:36" s="110" customFormat="1" ht="15" thickBot="1">
      <c r="C30" s="152"/>
      <c r="D30" s="152"/>
      <c r="H30" s="163"/>
      <c r="J30" s="118"/>
      <c r="K30" s="118"/>
      <c r="L30" s="118"/>
      <c r="M30" s="126"/>
      <c r="N30" s="118"/>
      <c r="O30" s="124"/>
      <c r="P30" s="280"/>
      <c r="S30" s="124"/>
      <c r="AB30" s="152"/>
      <c r="AC30" s="152"/>
      <c r="AG30" s="163"/>
      <c r="AI30" s="118"/>
      <c r="AJ30" s="118"/>
    </row>
    <row r="31" spans="2:36" s="110" customFormat="1" ht="15" thickBot="1">
      <c r="C31" s="152"/>
      <c r="D31" s="152"/>
      <c r="G31" s="350" t="s">
        <v>45</v>
      </c>
      <c r="H31" s="163"/>
      <c r="J31" s="118"/>
      <c r="K31" s="118"/>
      <c r="L31" s="118"/>
      <c r="M31" s="126"/>
      <c r="N31" s="118"/>
      <c r="O31" s="124"/>
      <c r="P31" s="280"/>
      <c r="S31" s="124"/>
      <c r="AB31" s="152"/>
      <c r="AC31" s="152"/>
      <c r="AF31" s="350" t="s">
        <v>45</v>
      </c>
      <c r="AG31" s="163"/>
      <c r="AI31" s="118"/>
      <c r="AJ31" s="118"/>
    </row>
    <row r="32" spans="2:36" ht="15" thickBot="1">
      <c r="B32" s="3036" t="s">
        <v>177</v>
      </c>
      <c r="C32" s="83" t="s">
        <v>178</v>
      </c>
      <c r="D32" s="1505"/>
      <c r="M32" s="126"/>
      <c r="AA32" s="3036" t="s">
        <v>177</v>
      </c>
      <c r="AB32" s="83" t="s">
        <v>178</v>
      </c>
      <c r="AC32" s="1505"/>
    </row>
    <row r="33" spans="1:36">
      <c r="B33" s="86" t="s">
        <v>179</v>
      </c>
      <c r="C33" s="117" t="s">
        <v>180</v>
      </c>
      <c r="D33" s="117"/>
      <c r="E33" s="88" t="s">
        <v>51</v>
      </c>
      <c r="F33" s="89">
        <v>3</v>
      </c>
      <c r="G33" s="427">
        <v>0</v>
      </c>
      <c r="M33" s="24">
        <f t="shared" ref="M33:M34" si="18" xml:space="preserve"> IF( SUM( O33:S33 ) = 0, 0, $P$5 )</f>
        <v>0</v>
      </c>
      <c r="P33" s="93">
        <f t="shared" ref="P33:P34" si="19" xml:space="preserve"> IF( ISNUMBER( G33 ), 0, 1 )</f>
        <v>0</v>
      </c>
      <c r="Q33" s="127"/>
      <c r="R33" s="127"/>
      <c r="AA33" s="86" t="s">
        <v>179</v>
      </c>
      <c r="AB33" s="117" t="s">
        <v>180</v>
      </c>
      <c r="AC33" s="117"/>
      <c r="AD33" s="88" t="s">
        <v>51</v>
      </c>
      <c r="AE33" s="89">
        <v>3</v>
      </c>
      <c r="AF33" s="2354" t="s">
        <v>181</v>
      </c>
    </row>
    <row r="34" spans="1:36">
      <c r="B34" s="94" t="s">
        <v>182</v>
      </c>
      <c r="C34" s="87" t="s">
        <v>183</v>
      </c>
      <c r="D34" s="87"/>
      <c r="E34" s="95" t="s">
        <v>51</v>
      </c>
      <c r="F34" s="96">
        <v>3</v>
      </c>
      <c r="G34" s="2981">
        <v>-5.1070000000000002</v>
      </c>
      <c r="M34" s="24">
        <f t="shared" si="18"/>
        <v>0</v>
      </c>
      <c r="P34" s="93">
        <f t="shared" si="19"/>
        <v>0</v>
      </c>
      <c r="Q34" s="127"/>
      <c r="R34" s="127"/>
      <c r="AA34" s="94" t="s">
        <v>182</v>
      </c>
      <c r="AB34" s="87" t="s">
        <v>183</v>
      </c>
      <c r="AC34" s="87"/>
      <c r="AD34" s="95" t="s">
        <v>51</v>
      </c>
      <c r="AE34" s="96">
        <v>3</v>
      </c>
      <c r="AF34" s="2356" t="s">
        <v>184</v>
      </c>
    </row>
    <row r="35" spans="1:36">
      <c r="B35" s="94" t="s">
        <v>185</v>
      </c>
      <c r="C35" s="219" t="s">
        <v>186</v>
      </c>
      <c r="D35" s="219"/>
      <c r="E35" s="95" t="s">
        <v>51</v>
      </c>
      <c r="F35" s="96">
        <v>3</v>
      </c>
      <c r="G35" s="2982">
        <v>-9.4969999999999999</v>
      </c>
      <c r="M35" s="24">
        <f t="shared" ref="M35" si="20" xml:space="preserve"> IF( SUM( O35:S35 ) = 0, 0, $P$5 )</f>
        <v>0</v>
      </c>
      <c r="P35" s="93">
        <f t="shared" ref="P35" si="21" xml:space="preserve"> IF( ISNUMBER( G35 ), 0, 1 )</f>
        <v>0</v>
      </c>
      <c r="Q35" s="127"/>
      <c r="R35" s="127"/>
      <c r="AA35" s="94" t="s">
        <v>185</v>
      </c>
      <c r="AB35" s="219" t="s">
        <v>186</v>
      </c>
      <c r="AC35" s="219"/>
      <c r="AD35" s="95" t="s">
        <v>51</v>
      </c>
      <c r="AE35" s="96">
        <v>3</v>
      </c>
      <c r="AF35" s="2530" t="s">
        <v>187</v>
      </c>
    </row>
    <row r="36" spans="1:36" ht="15" thickBot="1">
      <c r="B36" s="101" t="s">
        <v>188</v>
      </c>
      <c r="C36" s="102" t="s">
        <v>50</v>
      </c>
      <c r="D36" s="102"/>
      <c r="E36" s="103" t="s">
        <v>51</v>
      </c>
      <c r="F36" s="100">
        <v>3</v>
      </c>
      <c r="G36" s="200">
        <f>SUM( G33:G35 )</f>
        <v>-14.603999999999999</v>
      </c>
      <c r="M36" s="126"/>
      <c r="AA36" s="101" t="s">
        <v>188</v>
      </c>
      <c r="AB36" s="102" t="s">
        <v>50</v>
      </c>
      <c r="AC36" s="102"/>
      <c r="AD36" s="103" t="s">
        <v>51</v>
      </c>
      <c r="AE36" s="100">
        <v>3</v>
      </c>
      <c r="AF36" s="2013" t="s">
        <v>189</v>
      </c>
    </row>
    <row r="37" spans="1:36" s="163" customFormat="1" ht="12">
      <c r="B37" s="141"/>
      <c r="C37" s="142"/>
      <c r="D37" s="142"/>
      <c r="J37" s="126"/>
      <c r="K37" s="126"/>
      <c r="L37" s="126"/>
      <c r="M37" s="126"/>
      <c r="N37" s="126"/>
      <c r="O37" s="119"/>
      <c r="P37" s="203"/>
      <c r="S37" s="119"/>
      <c r="AA37" s="141"/>
      <c r="AB37" s="142"/>
      <c r="AC37" s="142"/>
      <c r="AI37" s="126"/>
      <c r="AJ37" s="126"/>
    </row>
    <row r="38" spans="1:36" s="163" customFormat="1" ht="12">
      <c r="B38" s="25"/>
      <c r="C38" s="143" t="s">
        <v>190</v>
      </c>
      <c r="D38" s="143"/>
      <c r="J38" s="126"/>
      <c r="K38" s="126"/>
      <c r="L38" s="126"/>
      <c r="M38" s="126"/>
      <c r="N38" s="126"/>
      <c r="O38" s="119"/>
      <c r="P38" s="203"/>
      <c r="S38" s="119"/>
      <c r="AA38" s="143"/>
      <c r="AG38" s="126"/>
      <c r="AH38" s="126"/>
    </row>
    <row r="39" spans="1:36" s="163" customFormat="1" ht="12">
      <c r="B39" s="141"/>
      <c r="C39" s="142"/>
      <c r="D39" s="142"/>
      <c r="J39" s="126"/>
      <c r="K39" s="126"/>
      <c r="L39" s="126"/>
      <c r="M39" s="126"/>
      <c r="N39" s="126"/>
      <c r="O39" s="119"/>
      <c r="P39" s="203"/>
      <c r="S39" s="119"/>
      <c r="AA39" s="142"/>
      <c r="AG39" s="126"/>
      <c r="AH39" s="126"/>
    </row>
    <row r="40" spans="1:36" s="163" customFormat="1" ht="12">
      <c r="B40" s="144"/>
      <c r="C40" s="143" t="s">
        <v>191</v>
      </c>
      <c r="D40" s="143"/>
      <c r="J40" s="126"/>
      <c r="K40" s="126"/>
      <c r="L40" s="126"/>
      <c r="M40" s="126"/>
      <c r="N40" s="126"/>
      <c r="O40" s="119"/>
      <c r="P40" s="203"/>
      <c r="S40" s="119"/>
      <c r="AA40" s="143"/>
      <c r="AG40" s="126"/>
      <c r="AH40" s="126"/>
    </row>
    <row r="41" spans="1:36" s="163" customFormat="1" ht="12">
      <c r="B41" s="145"/>
      <c r="C41" s="143"/>
      <c r="D41" s="143"/>
      <c r="J41" s="126"/>
      <c r="K41" s="126"/>
      <c r="L41" s="126"/>
      <c r="M41" s="126"/>
      <c r="N41" s="126"/>
      <c r="O41" s="119"/>
      <c r="P41" s="203"/>
      <c r="S41" s="119"/>
      <c r="AA41" s="143"/>
      <c r="AG41" s="126"/>
      <c r="AH41" s="126"/>
    </row>
    <row r="42" spans="1:36" s="178" customFormat="1" ht="13.5" thickBot="1">
      <c r="C42" s="179"/>
      <c r="D42" s="179"/>
      <c r="J42" s="130"/>
      <c r="K42" s="130"/>
      <c r="L42" s="130"/>
      <c r="M42" s="126"/>
      <c r="N42" s="126"/>
      <c r="O42" s="119"/>
      <c r="P42" s="302"/>
      <c r="S42" s="119"/>
      <c r="AA42" s="179"/>
      <c r="AG42" s="130"/>
      <c r="AH42" s="130"/>
    </row>
    <row r="43" spans="1:36" s="178" customFormat="1" ht="21" thickBot="1">
      <c r="B43" s="3053" t="s">
        <v>192</v>
      </c>
      <c r="C43" s="147"/>
      <c r="D43" s="147"/>
      <c r="E43" s="148"/>
      <c r="F43" s="148"/>
      <c r="G43" s="148"/>
      <c r="H43" s="148"/>
      <c r="I43" s="148"/>
      <c r="J43" s="148"/>
      <c r="K43" s="154"/>
      <c r="L43" s="130"/>
      <c r="M43" s="126"/>
      <c r="N43" s="126"/>
      <c r="O43" s="119"/>
      <c r="P43" s="302"/>
      <c r="S43" s="119"/>
    </row>
    <row r="44" spans="1:36" s="178" customFormat="1" ht="12.75">
      <c r="C44" s="179"/>
      <c r="D44" s="179"/>
      <c r="J44" s="130"/>
      <c r="K44" s="130"/>
      <c r="L44" s="130"/>
      <c r="M44" s="126"/>
      <c r="N44" s="126"/>
      <c r="O44" s="119"/>
      <c r="P44" s="302"/>
      <c r="S44" s="119"/>
    </row>
    <row r="45" spans="1:36" s="110" customFormat="1" ht="21" hidden="1" thickBot="1">
      <c r="A45" s="1560"/>
      <c r="B45" s="146" t="str">
        <f ca="1" xml:space="preserve"> RIGHT(CELL("filename", $A$1), LEN(CELL("filename", $A$1)) - SEARCH("]", CELL("filename", $A$1)))&amp;" - Line definitions"</f>
        <v>1A - Line definitions</v>
      </c>
      <c r="C45" s="147"/>
      <c r="D45" s="147"/>
      <c r="E45" s="148"/>
      <c r="F45" s="148"/>
      <c r="G45" s="148"/>
      <c r="H45" s="148"/>
      <c r="I45" s="148"/>
      <c r="J45" s="148"/>
      <c r="K45" s="154"/>
      <c r="L45" s="118"/>
      <c r="M45" s="120"/>
      <c r="N45" s="118"/>
      <c r="O45" s="124"/>
      <c r="P45" s="280"/>
      <c r="S45" s="124"/>
    </row>
    <row r="46" spans="1:36" s="110" customFormat="1" ht="15" hidden="1" thickBot="1">
      <c r="A46" s="1560"/>
      <c r="B46" s="74"/>
      <c r="C46" s="155"/>
      <c r="D46" s="155"/>
      <c r="E46" s="74"/>
      <c r="F46" s="74"/>
      <c r="G46" s="74"/>
      <c r="J46" s="118"/>
      <c r="K46" s="118"/>
      <c r="L46" s="118"/>
      <c r="M46" s="120"/>
      <c r="N46" s="118"/>
      <c r="O46" s="124"/>
      <c r="P46" s="280"/>
      <c r="S46" s="124"/>
    </row>
    <row r="47" spans="1:36" s="178" customFormat="1" hidden="1" thickBot="1">
      <c r="A47" s="1561"/>
      <c r="B47" s="287" t="s">
        <v>193</v>
      </c>
      <c r="C47" s="3013" t="s">
        <v>194</v>
      </c>
      <c r="D47" s="3014"/>
      <c r="E47" s="3014"/>
      <c r="F47" s="3014"/>
      <c r="G47" s="3014"/>
      <c r="H47" s="3014"/>
      <c r="I47" s="3014"/>
      <c r="J47" s="3014"/>
      <c r="K47" s="157"/>
      <c r="L47" s="346"/>
      <c r="M47" s="130"/>
      <c r="N47" s="118"/>
      <c r="O47" s="124"/>
      <c r="P47" s="85" t="s">
        <v>195</v>
      </c>
      <c r="S47" s="124"/>
    </row>
    <row r="48" spans="1:36" s="110" customFormat="1" ht="35.450000000000003" hidden="1" customHeight="1">
      <c r="A48" s="1560"/>
      <c r="B48" s="181" t="str">
        <f>B6</f>
        <v>1A.1</v>
      </c>
      <c r="C48" s="3073" t="s">
        <v>196</v>
      </c>
      <c r="D48" s="3073"/>
      <c r="E48" s="3073"/>
      <c r="F48" s="3073"/>
      <c r="G48" s="3073"/>
      <c r="H48" s="3073"/>
      <c r="I48" s="3073"/>
      <c r="J48" s="3073"/>
      <c r="K48" s="3074"/>
      <c r="L48" s="348"/>
      <c r="M48" s="120"/>
      <c r="N48" s="118"/>
      <c r="O48" s="403"/>
      <c r="P48" s="161" t="s">
        <v>197</v>
      </c>
      <c r="S48" s="124"/>
    </row>
    <row r="49" spans="1:19" s="110" customFormat="1" hidden="1">
      <c r="A49" s="1560"/>
      <c r="B49" s="159" t="str">
        <f>B7</f>
        <v>1A.2</v>
      </c>
      <c r="C49" s="3055" t="s">
        <v>198</v>
      </c>
      <c r="D49" s="3055"/>
      <c r="E49" s="3055"/>
      <c r="F49" s="3055"/>
      <c r="G49" s="3055"/>
      <c r="H49" s="3055"/>
      <c r="I49" s="3055"/>
      <c r="J49" s="3055"/>
      <c r="K49" s="3056"/>
      <c r="L49" s="349"/>
      <c r="M49" s="120"/>
      <c r="N49" s="118"/>
      <c r="O49" s="403"/>
      <c r="P49" s="206">
        <v>1</v>
      </c>
      <c r="S49" s="124"/>
    </row>
    <row r="50" spans="1:19" s="110" customFormat="1" ht="25.5" hidden="1">
      <c r="A50" s="1560"/>
      <c r="B50" s="159" t="str">
        <f>B8</f>
        <v>1A.3</v>
      </c>
      <c r="C50" s="3055" t="s">
        <v>199</v>
      </c>
      <c r="D50" s="3055"/>
      <c r="E50" s="3055"/>
      <c r="F50" s="3055"/>
      <c r="G50" s="3055"/>
      <c r="H50" s="3055"/>
      <c r="I50" s="3055"/>
      <c r="J50" s="3055"/>
      <c r="K50" s="3056"/>
      <c r="L50" s="348"/>
      <c r="M50" s="120"/>
      <c r="N50" s="118"/>
      <c r="O50" s="403"/>
      <c r="P50" s="207" t="s">
        <v>197</v>
      </c>
      <c r="S50" s="124"/>
    </row>
    <row r="51" spans="1:19" s="120" customFormat="1" hidden="1">
      <c r="A51" s="1562"/>
      <c r="B51" s="159" t="str">
        <f>B9</f>
        <v>1A.4</v>
      </c>
      <c r="C51" s="3055" t="s">
        <v>200</v>
      </c>
      <c r="D51" s="3055"/>
      <c r="E51" s="3055"/>
      <c r="F51" s="3055"/>
      <c r="G51" s="3055"/>
      <c r="H51" s="3055"/>
      <c r="I51" s="3055"/>
      <c r="J51" s="3055"/>
      <c r="K51" s="3056"/>
      <c r="L51" s="349"/>
      <c r="N51" s="118"/>
      <c r="O51" s="403"/>
      <c r="P51" s="206">
        <v>1</v>
      </c>
      <c r="S51" s="124"/>
    </row>
    <row r="52" spans="1:19" s="120" customFormat="1" ht="127.5" hidden="1">
      <c r="A52" s="1562"/>
      <c r="B52" s="159" t="str">
        <f>B11</f>
        <v>1A.5</v>
      </c>
      <c r="C52" s="3055" t="s">
        <v>201</v>
      </c>
      <c r="D52" s="3055"/>
      <c r="E52" s="3055"/>
      <c r="F52" s="3055"/>
      <c r="G52" s="3055"/>
      <c r="H52" s="3055"/>
      <c r="I52" s="3055"/>
      <c r="J52" s="3055"/>
      <c r="K52" s="3056"/>
      <c r="L52" s="349"/>
      <c r="N52" s="118"/>
      <c r="O52" s="403"/>
      <c r="P52" s="161" t="s">
        <v>202</v>
      </c>
      <c r="S52" s="124"/>
    </row>
    <row r="53" spans="1:19" s="120" customFormat="1" hidden="1">
      <c r="A53" s="1562"/>
      <c r="B53" s="159" t="str">
        <f>B12</f>
        <v>1A.6</v>
      </c>
      <c r="C53" s="3055" t="s">
        <v>203</v>
      </c>
      <c r="D53" s="3055"/>
      <c r="E53" s="3055"/>
      <c r="F53" s="3055"/>
      <c r="G53" s="3055"/>
      <c r="H53" s="3055"/>
      <c r="I53" s="3055"/>
      <c r="J53" s="3055"/>
      <c r="K53" s="3056"/>
      <c r="L53" s="349"/>
      <c r="N53" s="118"/>
      <c r="O53" s="403"/>
      <c r="P53" s="206">
        <v>1</v>
      </c>
      <c r="S53" s="124"/>
    </row>
    <row r="54" spans="1:19" hidden="1">
      <c r="A54" s="1563"/>
      <c r="B54" s="159" t="str">
        <f>B13</f>
        <v>1A.7</v>
      </c>
      <c r="C54" s="3055" t="s">
        <v>204</v>
      </c>
      <c r="D54" s="3055"/>
      <c r="E54" s="3055"/>
      <c r="F54" s="3055"/>
      <c r="G54" s="3055"/>
      <c r="H54" s="3055"/>
      <c r="I54" s="3055"/>
      <c r="J54" s="3055"/>
      <c r="K54" s="3056"/>
      <c r="L54" s="321"/>
      <c r="O54" s="404"/>
      <c r="P54" s="158">
        <v>1</v>
      </c>
    </row>
    <row r="55" spans="1:19" hidden="1">
      <c r="A55" s="1563"/>
      <c r="B55" s="159" t="str">
        <f>B14</f>
        <v>1A.8</v>
      </c>
      <c r="C55" s="3055" t="s">
        <v>205</v>
      </c>
      <c r="D55" s="3055"/>
      <c r="E55" s="3055"/>
      <c r="F55" s="3055"/>
      <c r="G55" s="3055"/>
      <c r="H55" s="3055"/>
      <c r="I55" s="3055"/>
      <c r="J55" s="3055"/>
      <c r="K55" s="3056"/>
      <c r="L55" s="320"/>
      <c r="O55" s="404"/>
      <c r="P55" s="161">
        <v>1</v>
      </c>
    </row>
    <row r="56" spans="1:19" hidden="1">
      <c r="A56" s="1563"/>
      <c r="B56" s="159" t="str">
        <f>B15</f>
        <v>1A.9</v>
      </c>
      <c r="C56" s="3055" t="s">
        <v>206</v>
      </c>
      <c r="D56" s="3055"/>
      <c r="E56" s="3055"/>
      <c r="F56" s="3055"/>
      <c r="G56" s="3055"/>
      <c r="H56" s="3055"/>
      <c r="I56" s="3055"/>
      <c r="J56" s="3055"/>
      <c r="K56" s="3056"/>
      <c r="L56" s="321"/>
      <c r="O56" s="404"/>
      <c r="P56" s="158">
        <v>1</v>
      </c>
    </row>
    <row r="57" spans="1:19" hidden="1">
      <c r="A57" s="1563"/>
      <c r="B57" s="159" t="str">
        <f>B17</f>
        <v>1A.10</v>
      </c>
      <c r="C57" s="3055" t="s">
        <v>207</v>
      </c>
      <c r="D57" s="3055"/>
      <c r="E57" s="3055"/>
      <c r="F57" s="3055"/>
      <c r="G57" s="3055"/>
      <c r="H57" s="3055"/>
      <c r="I57" s="3055"/>
      <c r="J57" s="3055"/>
      <c r="K57" s="3056"/>
      <c r="L57" s="321"/>
      <c r="O57" s="404"/>
      <c r="P57" s="161">
        <v>1</v>
      </c>
    </row>
    <row r="58" spans="1:19" hidden="1">
      <c r="A58" s="1563"/>
      <c r="B58" s="159" t="str">
        <f>B18</f>
        <v>1A.11</v>
      </c>
      <c r="C58" s="3055" t="s">
        <v>208</v>
      </c>
      <c r="D58" s="3055"/>
      <c r="E58" s="3055"/>
      <c r="F58" s="3055"/>
      <c r="G58" s="3055"/>
      <c r="H58" s="3055"/>
      <c r="I58" s="3055"/>
      <c r="J58" s="3055"/>
      <c r="K58" s="3056"/>
      <c r="L58" s="321"/>
      <c r="O58" s="404"/>
      <c r="P58" s="158">
        <v>1</v>
      </c>
    </row>
    <row r="59" spans="1:19" ht="25.5" hidden="1">
      <c r="A59" s="1563"/>
      <c r="B59" s="159" t="str">
        <f>B20</f>
        <v>1A.12</v>
      </c>
      <c r="C59" s="3055" t="s">
        <v>209</v>
      </c>
      <c r="D59" s="3055"/>
      <c r="E59" s="3055"/>
      <c r="F59" s="3055"/>
      <c r="G59" s="3055"/>
      <c r="H59" s="3055"/>
      <c r="I59" s="3055"/>
      <c r="J59" s="3055"/>
      <c r="K59" s="3056"/>
      <c r="L59" s="320"/>
      <c r="O59" s="404"/>
      <c r="P59" s="161" t="s">
        <v>197</v>
      </c>
    </row>
    <row r="60" spans="1:19" hidden="1">
      <c r="A60" s="1563"/>
      <c r="B60" s="159" t="str">
        <f>B21</f>
        <v>1A.13</v>
      </c>
      <c r="C60" s="3055" t="s">
        <v>210</v>
      </c>
      <c r="D60" s="3055"/>
      <c r="E60" s="3055"/>
      <c r="F60" s="3055"/>
      <c r="G60" s="3055"/>
      <c r="H60" s="3055"/>
      <c r="I60" s="3055"/>
      <c r="J60" s="3055"/>
      <c r="K60" s="3056"/>
      <c r="L60" s="321"/>
      <c r="O60" s="404"/>
      <c r="P60" s="158">
        <v>1</v>
      </c>
    </row>
    <row r="61" spans="1:19" ht="14.25" hidden="1" customHeight="1">
      <c r="A61" s="1563"/>
      <c r="B61" s="159" t="str">
        <f>B22</f>
        <v>1A.14</v>
      </c>
      <c r="C61" s="3055" t="s">
        <v>211</v>
      </c>
      <c r="D61" s="3055"/>
      <c r="E61" s="3055"/>
      <c r="F61" s="3055"/>
      <c r="G61" s="3055"/>
      <c r="H61" s="3055"/>
      <c r="I61" s="3055"/>
      <c r="J61" s="3055"/>
      <c r="K61" s="3056"/>
      <c r="L61" s="321"/>
      <c r="O61" s="404"/>
      <c r="P61" s="158">
        <v>1</v>
      </c>
    </row>
    <row r="62" spans="1:19" hidden="1">
      <c r="A62" s="1563"/>
      <c r="B62" s="159" t="str">
        <f>B24</f>
        <v>1A.15</v>
      </c>
      <c r="C62" s="3055" t="s">
        <v>212</v>
      </c>
      <c r="D62" s="3055"/>
      <c r="E62" s="3055"/>
      <c r="F62" s="3055"/>
      <c r="G62" s="3055"/>
      <c r="H62" s="3055"/>
      <c r="I62" s="3055"/>
      <c r="J62" s="3055"/>
      <c r="K62" s="3056"/>
      <c r="L62" s="321"/>
      <c r="O62" s="404"/>
      <c r="P62" s="158">
        <v>1</v>
      </c>
    </row>
    <row r="63" spans="1:19" ht="25.5" hidden="1">
      <c r="A63" s="1563"/>
      <c r="B63" s="159" t="str">
        <f>B27</f>
        <v>1A.16</v>
      </c>
      <c r="C63" s="3055" t="s">
        <v>213</v>
      </c>
      <c r="D63" s="3055"/>
      <c r="E63" s="3055"/>
      <c r="F63" s="3055"/>
      <c r="G63" s="3055"/>
      <c r="H63" s="3055"/>
      <c r="I63" s="3055"/>
      <c r="J63" s="3055"/>
      <c r="K63" s="3056"/>
      <c r="L63" s="321"/>
      <c r="O63" s="404"/>
      <c r="P63" s="161" t="s">
        <v>197</v>
      </c>
    </row>
    <row r="64" spans="1:19" hidden="1">
      <c r="A64" s="1563"/>
      <c r="B64" s="159" t="str">
        <f>B28</f>
        <v>1A.17</v>
      </c>
      <c r="C64" s="3055" t="s">
        <v>214</v>
      </c>
      <c r="D64" s="3055"/>
      <c r="E64" s="3055"/>
      <c r="F64" s="3055"/>
      <c r="G64" s="3055"/>
      <c r="H64" s="3055"/>
      <c r="I64" s="3055"/>
      <c r="J64" s="3055"/>
      <c r="K64" s="3056"/>
      <c r="L64" s="321"/>
      <c r="O64" s="404"/>
      <c r="P64" s="158">
        <v>1</v>
      </c>
    </row>
    <row r="65" spans="1:16" hidden="1">
      <c r="A65" s="1563"/>
      <c r="B65" s="159" t="str">
        <f>B29</f>
        <v>1A.18</v>
      </c>
      <c r="C65" s="3055" t="s">
        <v>215</v>
      </c>
      <c r="D65" s="3055"/>
      <c r="E65" s="3055"/>
      <c r="F65" s="3055"/>
      <c r="G65" s="3055"/>
      <c r="H65" s="3055"/>
      <c r="I65" s="3055"/>
      <c r="J65" s="3055"/>
      <c r="K65" s="3056"/>
      <c r="P65" s="158">
        <v>1</v>
      </c>
    </row>
    <row r="66" spans="1:16" hidden="1">
      <c r="A66" s="1563"/>
      <c r="B66" s="159" t="str">
        <f>B33</f>
        <v>1A.19</v>
      </c>
      <c r="C66" s="3055" t="s">
        <v>216</v>
      </c>
      <c r="D66" s="3055"/>
      <c r="E66" s="3055"/>
      <c r="F66" s="3055"/>
      <c r="G66" s="3055"/>
      <c r="H66" s="3055"/>
      <c r="I66" s="3055"/>
      <c r="J66" s="3055"/>
      <c r="K66" s="3056"/>
      <c r="P66" s="158">
        <v>1</v>
      </c>
    </row>
    <row r="67" spans="1:16" hidden="1">
      <c r="A67" s="1563"/>
      <c r="B67" s="159" t="str">
        <f t="shared" ref="B67:B69" si="22">B34</f>
        <v>1A.20</v>
      </c>
      <c r="C67" s="3055" t="s">
        <v>217</v>
      </c>
      <c r="D67" s="3055"/>
      <c r="E67" s="3055"/>
      <c r="F67" s="3055"/>
      <c r="G67" s="3055"/>
      <c r="H67" s="3055"/>
      <c r="I67" s="3055"/>
      <c r="J67" s="3055"/>
      <c r="K67" s="3056"/>
      <c r="P67" s="158">
        <v>1</v>
      </c>
    </row>
    <row r="68" spans="1:16" hidden="1">
      <c r="A68" s="1563"/>
      <c r="B68" s="159" t="str">
        <f t="shared" si="22"/>
        <v>1A.21</v>
      </c>
      <c r="C68" s="3055" t="s">
        <v>218</v>
      </c>
      <c r="D68" s="3055"/>
      <c r="E68" s="3055"/>
      <c r="F68" s="3055"/>
      <c r="G68" s="3055"/>
      <c r="H68" s="3055"/>
      <c r="I68" s="3055"/>
      <c r="J68" s="3055"/>
      <c r="K68" s="3056"/>
      <c r="P68" s="158">
        <v>1</v>
      </c>
    </row>
    <row r="69" spans="1:16" ht="15" hidden="1" thickBot="1">
      <c r="A69" s="1563"/>
      <c r="B69" s="183" t="str">
        <f t="shared" si="22"/>
        <v>1A.22</v>
      </c>
      <c r="C69" s="3075" t="s">
        <v>219</v>
      </c>
      <c r="D69" s="3075"/>
      <c r="E69" s="3075"/>
      <c r="F69" s="3075"/>
      <c r="G69" s="3075"/>
      <c r="H69" s="3075"/>
      <c r="I69" s="3075"/>
      <c r="J69" s="3075"/>
      <c r="K69" s="3076"/>
      <c r="P69" s="158">
        <v>1</v>
      </c>
    </row>
    <row r="70" spans="1:16" hidden="1">
      <c r="A70" s="1563"/>
    </row>
    <row r="71" spans="1:16" hidden="1">
      <c r="A71" s="1563"/>
    </row>
  </sheetData>
  <sheetProtection algorithmName="SHA-512" hashValue="XfOcX0FJNQvmP6dIktCIDHlZTtjELF6uEb2T1Kpk7nkaXv/dlQBE92X7jc5ParMs2S4xmJ7PQvxQWYgpg0WrWg==" saltValue="Zb1F1Za+JmeTDzsp2XJQEQ==" spinCount="100000" sheet="1" objects="1" scenarios="1"/>
  <mergeCells count="36">
    <mergeCell ref="AJ3:AJ4"/>
    <mergeCell ref="AA3:AB4"/>
    <mergeCell ref="AD3:AD4"/>
    <mergeCell ref="AE3:AE4"/>
    <mergeCell ref="AF3:AF4"/>
    <mergeCell ref="AG3:AI3"/>
    <mergeCell ref="C67:K67"/>
    <mergeCell ref="C68:K68"/>
    <mergeCell ref="C69:K69"/>
    <mergeCell ref="C62:K62"/>
    <mergeCell ref="C63:K63"/>
    <mergeCell ref="C64:K64"/>
    <mergeCell ref="C65:K65"/>
    <mergeCell ref="C66:K66"/>
    <mergeCell ref="C60:K60"/>
    <mergeCell ref="C61:K61"/>
    <mergeCell ref="C54:K54"/>
    <mergeCell ref="C55:K55"/>
    <mergeCell ref="C57:K57"/>
    <mergeCell ref="C58:K58"/>
    <mergeCell ref="C59:K59"/>
    <mergeCell ref="C56:K56"/>
    <mergeCell ref="M3:M4"/>
    <mergeCell ref="P4:R4"/>
    <mergeCell ref="C48:K48"/>
    <mergeCell ref="C49:K49"/>
    <mergeCell ref="C51:K51"/>
    <mergeCell ref="C52:K52"/>
    <mergeCell ref="C53:K53"/>
    <mergeCell ref="C50:K50"/>
    <mergeCell ref="B3:C4"/>
    <mergeCell ref="E3:E4"/>
    <mergeCell ref="F3:F4"/>
    <mergeCell ref="G3:G4"/>
    <mergeCell ref="H3:J3"/>
    <mergeCell ref="K3:K4"/>
  </mergeCells>
  <conditionalFormatting sqref="M6:M8 M20:M21 M17 M11:M14">
    <cfRule type="cellIs" dxfId="1386" priority="8" operator="equal">
      <formula>0</formula>
    </cfRule>
  </conditionalFormatting>
  <conditionalFormatting sqref="M24">
    <cfRule type="cellIs" dxfId="1385" priority="7" operator="equal">
      <formula>0</formula>
    </cfRule>
  </conditionalFormatting>
  <conditionalFormatting sqref="M27">
    <cfRule type="cellIs" dxfId="1384" priority="5" operator="equal">
      <formula>0</formula>
    </cfRule>
  </conditionalFormatting>
  <conditionalFormatting sqref="M28">
    <cfRule type="cellIs" dxfId="1383" priority="4" operator="equal">
      <formula>0</formula>
    </cfRule>
  </conditionalFormatting>
  <conditionalFormatting sqref="M33">
    <cfRule type="cellIs" dxfId="1382" priority="3" operator="equal">
      <formula>0</formula>
    </cfRule>
  </conditionalFormatting>
  <conditionalFormatting sqref="M34">
    <cfRule type="cellIs" dxfId="1381" priority="2" operator="equal">
      <formula>0</formula>
    </cfRule>
  </conditionalFormatting>
  <conditionalFormatting sqref="M35">
    <cfRule type="cellIs" dxfId="138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ignoredErrors>
    <ignoredError sqref="G20:H20" unlockedFormula="1"/>
  </ignoredErrors>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BP86"/>
  <sheetViews>
    <sheetView topLeftCell="C34" zoomScale="70" zoomScaleNormal="70" workbookViewId="0">
      <selection activeCell="S42" sqref="S42"/>
    </sheetView>
  </sheetViews>
  <sheetFormatPr defaultColWidth="0" defaultRowHeight="14.25" zeroHeight="1"/>
  <cols>
    <col min="1" max="1" width="1.125" style="880" customWidth="1"/>
    <col min="2" max="2" width="5.125" style="880" customWidth="1"/>
    <col min="3" max="3" width="84.125" style="880" customWidth="1"/>
    <col min="4" max="4" width="7.5" style="880" hidden="1" customWidth="1"/>
    <col min="5" max="6" width="5.5" style="880" customWidth="1"/>
    <col min="7" max="7" width="11.125" style="880" customWidth="1"/>
    <col min="8" max="20" width="11.5" style="880" customWidth="1"/>
    <col min="21" max="21" width="29.5" style="880" customWidth="1"/>
    <col min="22" max="22" width="1.5" style="880" customWidth="1"/>
    <col min="23" max="23" width="29.5" style="880" customWidth="1"/>
    <col min="24" max="24" width="1.5" style="880" customWidth="1"/>
    <col min="25" max="25" width="1.5" style="1673" hidden="1" customWidth="1"/>
    <col min="26" max="27" width="3.125" style="880" hidden="1" customWidth="1"/>
    <col min="28" max="39" width="3.5" style="880" hidden="1" customWidth="1"/>
    <col min="40" max="40" width="1.5" style="1673" hidden="1" customWidth="1"/>
    <col min="41" max="41" width="11.5" style="880" hidden="1" customWidth="1"/>
    <col min="42" max="42" width="1.5" style="1673" hidden="1" customWidth="1"/>
    <col min="43" max="43" width="13.5" style="880" hidden="1" customWidth="1"/>
    <col min="44" max="44" width="11.125" style="880" hidden="1" customWidth="1"/>
    <col min="45" max="45" width="67.125" style="880" hidden="1" customWidth="1"/>
    <col min="46" max="46" width="1.5" style="71" hidden="1" customWidth="1"/>
    <col min="47" max="47" width="4.5" style="70" customWidth="1"/>
    <col min="48" max="48" width="8.5" style="880" hidden="1" customWidth="1"/>
    <col min="49" max="49" width="5.5" style="880" customWidth="1"/>
    <col min="50" max="50" width="83" style="880" customWidth="1"/>
    <col min="51" max="51" width="0.125" style="880" customWidth="1"/>
    <col min="52" max="53" width="11.5" style="880" customWidth="1"/>
    <col min="54" max="54" width="12.5" style="880" customWidth="1"/>
    <col min="55" max="57" width="13.5" style="880" customWidth="1"/>
    <col min="58" max="58" width="12.5" style="880" customWidth="1"/>
    <col min="59" max="59" width="13.5" style="880" customWidth="1"/>
    <col min="60" max="60" width="12.125" style="880" customWidth="1"/>
    <col min="61" max="61" width="16.125" style="880" customWidth="1"/>
    <col min="62" max="62" width="17.5" style="880" customWidth="1"/>
    <col min="63" max="63" width="17.125" style="880" customWidth="1"/>
    <col min="64" max="64" width="17.5" style="880" customWidth="1"/>
    <col min="65" max="65" width="16.125" style="880" customWidth="1"/>
    <col min="66" max="66" width="17.5" style="880" customWidth="1"/>
    <col min="67" max="67" width="15.5" style="880" customWidth="1"/>
    <col min="68" max="68" width="3.5" style="880" customWidth="1"/>
    <col min="69" max="16384" width="11.125" style="880" hidden="1"/>
  </cols>
  <sheetData>
    <row r="1" spans="1:68" ht="20.25">
      <c r="B1" s="66" t="s">
        <v>5315</v>
      </c>
      <c r="C1" s="66"/>
      <c r="D1" s="66"/>
      <c r="E1" s="66"/>
      <c r="F1" s="66"/>
      <c r="G1" s="66"/>
      <c r="H1" s="66"/>
      <c r="I1" s="66"/>
      <c r="J1" s="66"/>
      <c r="K1" s="66"/>
      <c r="L1" s="66"/>
      <c r="M1" s="66"/>
      <c r="N1" s="66"/>
      <c r="O1" s="66"/>
      <c r="P1" s="66"/>
      <c r="Q1" s="66"/>
      <c r="R1" s="66"/>
      <c r="S1" s="66"/>
      <c r="T1" s="66"/>
      <c r="U1" s="68" t="str">
        <f>Validation!B3</f>
        <v>Yorkshire Water</v>
      </c>
      <c r="V1" s="66"/>
      <c r="W1" s="69" t="s">
        <v>34</v>
      </c>
      <c r="Y1" s="71"/>
      <c r="Z1" s="192"/>
      <c r="AA1" s="192"/>
      <c r="AB1" s="70"/>
      <c r="AC1" s="70"/>
      <c r="AD1" s="70"/>
      <c r="AE1" s="70"/>
      <c r="AF1" s="70"/>
      <c r="AG1" s="70"/>
      <c r="AH1" s="70"/>
      <c r="AI1" s="70"/>
      <c r="AJ1" s="70"/>
      <c r="AK1" s="70"/>
      <c r="AL1" s="70"/>
      <c r="AM1" s="70"/>
      <c r="AN1" s="71"/>
      <c r="AT1" s="1673"/>
      <c r="AU1" s="880"/>
      <c r="AW1" s="66" t="s">
        <v>5315</v>
      </c>
      <c r="AX1" s="66"/>
      <c r="AY1" s="66"/>
      <c r="AZ1" s="66"/>
      <c r="BA1" s="66"/>
      <c r="BB1" s="66"/>
      <c r="BC1" s="66"/>
      <c r="BD1" s="66"/>
      <c r="BE1" s="66"/>
      <c r="BF1" s="66"/>
      <c r="BG1" s="66"/>
      <c r="BH1" s="66"/>
      <c r="BI1" s="66"/>
      <c r="BJ1" s="66"/>
      <c r="BK1" s="66"/>
      <c r="BL1" s="66"/>
      <c r="BM1" s="66"/>
      <c r="BN1" s="66"/>
      <c r="BO1" s="66"/>
    </row>
    <row r="2" spans="1:68" s="1428" customFormat="1" ht="18" thickBot="1">
      <c r="B2" s="73" t="str">
        <f>'4K'!B2</f>
        <v>For the 12 months ended 31 March 2020</v>
      </c>
      <c r="C2" s="1438"/>
      <c r="D2" s="1438"/>
      <c r="U2" s="1439"/>
      <c r="V2" s="1430"/>
      <c r="W2" s="1430"/>
      <c r="Y2" s="1440"/>
      <c r="Z2" s="1699"/>
      <c r="AA2" s="1699"/>
      <c r="AB2" s="1430"/>
      <c r="AC2" s="1430"/>
      <c r="AD2" s="1430"/>
      <c r="AE2" s="1430"/>
      <c r="AF2" s="1430"/>
      <c r="AG2" s="1430"/>
      <c r="AH2" s="1430"/>
      <c r="AI2" s="1430"/>
      <c r="AJ2" s="1430"/>
      <c r="AK2" s="1430"/>
      <c r="AL2" s="1430"/>
      <c r="AM2" s="1430"/>
      <c r="AN2" s="1440"/>
      <c r="AP2" s="1686"/>
      <c r="AT2" s="1686"/>
      <c r="AW2" s="73" t="str">
        <f>+B2</f>
        <v>For the 12 months ended 31 March 2020</v>
      </c>
      <c r="AX2" s="1438"/>
      <c r="AY2" s="1438"/>
    </row>
    <row r="3" spans="1:68" s="192" customFormat="1" ht="15" customHeight="1" thickBot="1">
      <c r="A3" s="880"/>
      <c r="B3" s="3324" t="s">
        <v>36</v>
      </c>
      <c r="C3" s="3325"/>
      <c r="D3" s="3386" t="s">
        <v>3098</v>
      </c>
      <c r="E3" s="3386" t="s">
        <v>38</v>
      </c>
      <c r="F3" s="3389" t="s">
        <v>39</v>
      </c>
      <c r="G3" s="3392" t="s">
        <v>5316</v>
      </c>
      <c r="H3" s="3393"/>
      <c r="I3" s="3393"/>
      <c r="J3" s="3393"/>
      <c r="K3" s="3393"/>
      <c r="L3" s="3393"/>
      <c r="M3" s="3393"/>
      <c r="N3" s="3392" t="s">
        <v>5317</v>
      </c>
      <c r="O3" s="3393"/>
      <c r="P3" s="3393"/>
      <c r="Q3" s="3393"/>
      <c r="R3" s="3393"/>
      <c r="S3" s="3393"/>
      <c r="T3" s="3394"/>
      <c r="U3" s="3070" t="s">
        <v>4567</v>
      </c>
      <c r="V3" s="70"/>
      <c r="W3" s="3070" t="s">
        <v>43</v>
      </c>
      <c r="Y3" s="71"/>
      <c r="AB3" s="76" t="s">
        <v>47</v>
      </c>
      <c r="AC3" s="678"/>
      <c r="AD3" s="678"/>
      <c r="AE3" s="678"/>
      <c r="AF3" s="678"/>
      <c r="AG3" s="678"/>
      <c r="AH3" s="678"/>
      <c r="AI3" s="678"/>
      <c r="AJ3" s="678"/>
      <c r="AK3" s="678"/>
      <c r="AL3" s="678"/>
      <c r="AM3" s="2004"/>
      <c r="AN3" s="71"/>
      <c r="AO3" s="93" t="s">
        <v>26</v>
      </c>
      <c r="AP3" s="71"/>
      <c r="AQ3" s="76" t="s">
        <v>904</v>
      </c>
      <c r="AR3" s="77"/>
      <c r="AS3" s="77"/>
      <c r="AT3" s="71"/>
      <c r="AW3" s="996" t="s">
        <v>36</v>
      </c>
      <c r="AX3" s="997"/>
      <c r="AY3" s="998" t="s">
        <v>3098</v>
      </c>
      <c r="AZ3" s="998" t="s">
        <v>38</v>
      </c>
      <c r="BA3" s="998" t="s">
        <v>39</v>
      </c>
      <c r="BB3" s="3363" t="s">
        <v>5316</v>
      </c>
      <c r="BC3" s="3364"/>
      <c r="BD3" s="3364"/>
      <c r="BE3" s="3364"/>
      <c r="BF3" s="3364"/>
      <c r="BG3" s="3364"/>
      <c r="BH3" s="3364"/>
      <c r="BI3" s="3363" t="s">
        <v>5317</v>
      </c>
      <c r="BJ3" s="3364"/>
      <c r="BK3" s="3364"/>
      <c r="BL3" s="3364"/>
      <c r="BM3" s="3364"/>
      <c r="BN3" s="3364"/>
      <c r="BO3" s="3365"/>
    </row>
    <row r="4" spans="1:68" s="192" customFormat="1" ht="15" customHeight="1" thickBot="1">
      <c r="A4" s="880"/>
      <c r="B4" s="3384"/>
      <c r="C4" s="3385"/>
      <c r="D4" s="3387"/>
      <c r="E4" s="3387"/>
      <c r="F4" s="3390"/>
      <c r="G4" s="3088" t="s">
        <v>907</v>
      </c>
      <c r="H4" s="3090"/>
      <c r="I4" s="3088" t="s">
        <v>3250</v>
      </c>
      <c r="J4" s="3089"/>
      <c r="K4" s="3089"/>
      <c r="L4" s="3090"/>
      <c r="M4" s="3070" t="s">
        <v>710</v>
      </c>
      <c r="N4" s="3088" t="s">
        <v>907</v>
      </c>
      <c r="O4" s="3090"/>
      <c r="P4" s="3088" t="s">
        <v>3250</v>
      </c>
      <c r="Q4" s="3089"/>
      <c r="R4" s="3089"/>
      <c r="S4" s="3090"/>
      <c r="T4" s="3070" t="s">
        <v>710</v>
      </c>
      <c r="U4" s="3096"/>
      <c r="V4" s="70"/>
      <c r="W4" s="3096"/>
      <c r="Y4" s="71"/>
      <c r="AB4" s="633"/>
      <c r="AC4" s="2004"/>
      <c r="AD4" s="2004"/>
      <c r="AE4" s="2004"/>
      <c r="AF4" s="2004"/>
      <c r="AG4" s="2004"/>
      <c r="AH4" s="2004"/>
      <c r="AI4" s="2004"/>
      <c r="AJ4" s="2004"/>
      <c r="AK4" s="2004"/>
      <c r="AL4" s="2004"/>
      <c r="AM4" s="2004"/>
      <c r="AN4" s="71"/>
      <c r="AP4" s="71"/>
      <c r="AT4" s="71"/>
      <c r="AW4" s="880"/>
      <c r="AX4" s="880"/>
      <c r="AY4" s="880"/>
      <c r="AZ4" s="880"/>
      <c r="BA4" s="880"/>
      <c r="BB4" s="3366" t="s">
        <v>907</v>
      </c>
      <c r="BC4" s="3367"/>
      <c r="BD4" s="3368" t="s">
        <v>3250</v>
      </c>
      <c r="BE4" s="3369"/>
      <c r="BF4" s="3369"/>
      <c r="BG4" s="3369"/>
      <c r="BH4" s="3370" t="s">
        <v>710</v>
      </c>
      <c r="BI4" s="3366" t="s">
        <v>907</v>
      </c>
      <c r="BJ4" s="3367"/>
      <c r="BK4" s="3368" t="s">
        <v>3250</v>
      </c>
      <c r="BL4" s="3369"/>
      <c r="BM4" s="3369"/>
      <c r="BN4" s="3369"/>
      <c r="BO4" s="3370" t="s">
        <v>710</v>
      </c>
    </row>
    <row r="5" spans="1:68" s="192" customFormat="1" ht="27.75" thickBot="1">
      <c r="A5" s="880"/>
      <c r="B5" s="3326"/>
      <c r="C5" s="3327"/>
      <c r="D5" s="3388"/>
      <c r="E5" s="3388"/>
      <c r="F5" s="3391"/>
      <c r="G5" s="1386" t="s">
        <v>3251</v>
      </c>
      <c r="H5" s="372" t="s">
        <v>3252</v>
      </c>
      <c r="I5" s="2997" t="s">
        <v>3253</v>
      </c>
      <c r="J5" s="78" t="s">
        <v>3254</v>
      </c>
      <c r="K5" s="78" t="s">
        <v>3255</v>
      </c>
      <c r="L5" s="2998" t="s">
        <v>3256</v>
      </c>
      <c r="M5" s="3071"/>
      <c r="N5" s="1386" t="s">
        <v>3251</v>
      </c>
      <c r="O5" s="372" t="s">
        <v>3252</v>
      </c>
      <c r="P5" s="2997" t="s">
        <v>3253</v>
      </c>
      <c r="Q5" s="78" t="s">
        <v>3254</v>
      </c>
      <c r="R5" s="78" t="s">
        <v>3255</v>
      </c>
      <c r="S5" s="2998" t="s">
        <v>3256</v>
      </c>
      <c r="T5" s="3071"/>
      <c r="U5" s="3071"/>
      <c r="V5" s="70"/>
      <c r="W5" s="3071"/>
      <c r="Y5" s="71"/>
      <c r="AB5" s="85" t="s">
        <v>48</v>
      </c>
      <c r="AC5" s="85"/>
      <c r="AD5" s="85"/>
      <c r="AE5" s="85"/>
      <c r="AF5" s="85"/>
      <c r="AG5" s="85"/>
      <c r="AH5" s="85"/>
      <c r="AI5" s="85"/>
      <c r="AJ5" s="85"/>
      <c r="AK5" s="85"/>
      <c r="AL5" s="85"/>
      <c r="AM5" s="85"/>
      <c r="AN5" s="71"/>
      <c r="AP5" s="71"/>
      <c r="AT5" s="71"/>
      <c r="AW5" s="880"/>
      <c r="AX5" s="880"/>
      <c r="AY5" s="880"/>
      <c r="AZ5" s="880"/>
      <c r="BA5" s="880"/>
      <c r="BB5" s="186" t="s">
        <v>3251</v>
      </c>
      <c r="BC5" s="187" t="s">
        <v>3252</v>
      </c>
      <c r="BD5" s="1606" t="s">
        <v>3253</v>
      </c>
      <c r="BE5" s="3021" t="s">
        <v>3254</v>
      </c>
      <c r="BF5" s="3021" t="s">
        <v>3255</v>
      </c>
      <c r="BG5" s="882" t="s">
        <v>3256</v>
      </c>
      <c r="BH5" s="3371"/>
      <c r="BI5" s="186" t="s">
        <v>3251</v>
      </c>
      <c r="BJ5" s="187" t="s">
        <v>3252</v>
      </c>
      <c r="BK5" s="1606" t="s">
        <v>3253</v>
      </c>
      <c r="BL5" s="3021" t="s">
        <v>3254</v>
      </c>
      <c r="BM5" s="3021" t="s">
        <v>3255</v>
      </c>
      <c r="BN5" s="882" t="s">
        <v>3256</v>
      </c>
      <c r="BO5" s="3371"/>
    </row>
    <row r="6" spans="1:68" s="192" customFormat="1" ht="15" thickBot="1">
      <c r="A6" s="880"/>
      <c r="B6" s="1024"/>
      <c r="C6" s="1025"/>
      <c r="D6" s="1025"/>
      <c r="E6" s="1026"/>
      <c r="F6" s="1027"/>
      <c r="G6" s="1573" t="e">
        <f>IF('4J'!G12=0,(IF(ROUND(G5,3)=ROUND('4J'!#REF!+'4J'!#REF!+'4J'!#REF!,3),0,1)),0)</f>
        <v>#VALUE!</v>
      </c>
      <c r="H6" s="1573" t="e">
        <f>IF('4J'!H12=0,(IF(ROUND(H5,3)=ROUND('4J'!#REF!+'4J'!#REF!+'4J'!#REF!,3),0,1)),0)</f>
        <v>#VALUE!</v>
      </c>
      <c r="I6" s="1573" t="e">
        <f>IF('4J'!I12=0,(IF(ROUND(I5,3)=ROUND('4J'!#REF!+'4J'!#REF!+'4J'!#REF!,3),0,1)),0)</f>
        <v>#VALUE!</v>
      </c>
      <c r="J6" s="1573" t="e">
        <f>IF('4J'!J12=0,(IF(ROUND(J5,3)=ROUND('4J'!#REF!+'4J'!#REF!+'4J'!#REF!,3),0,1)),0)</f>
        <v>#VALUE!</v>
      </c>
      <c r="K6" s="1573" t="e">
        <f>IF('4J'!K12=0,(IF(ROUND(K5,3)=ROUND('4J'!#REF!+'4J'!#REF!+'4J'!#REF!,3),0,1)),0)</f>
        <v>#VALUE!</v>
      </c>
      <c r="L6" s="1573" t="e">
        <f>IF('4J'!L12=0,(IF(ROUND(L5,3)=ROUND('4J'!#REF!+'4J'!#REF!+'4J'!#REF!,3),0,1)),0)</f>
        <v>#VALUE!</v>
      </c>
      <c r="M6" s="1573" t="e">
        <f>IF('4J'!M12=0,(IF(ROUND(M5,3)=ROUND('4J'!#REF!+'4J'!#REF!+'4J'!#REF!,3),0,1)),0)</f>
        <v>#REF!</v>
      </c>
      <c r="N6" s="1027"/>
      <c r="O6" s="1027"/>
      <c r="P6" s="1027"/>
      <c r="Q6" s="1027"/>
      <c r="R6" s="1027"/>
      <c r="S6" s="1027"/>
      <c r="T6" s="1027"/>
      <c r="U6" s="1027"/>
      <c r="V6" s="1027"/>
      <c r="W6" s="1027"/>
      <c r="X6" s="1028"/>
      <c r="Y6" s="71"/>
      <c r="AB6" s="1028"/>
      <c r="AC6" s="1028"/>
      <c r="AD6" s="1028"/>
      <c r="AE6" s="1028"/>
      <c r="AF6" s="1028"/>
      <c r="AG6" s="1028"/>
      <c r="AH6" s="1028"/>
      <c r="AI6" s="1028"/>
      <c r="AJ6" s="1028"/>
      <c r="AK6" s="1028"/>
      <c r="AL6" s="1028"/>
      <c r="AM6" s="1028"/>
      <c r="AN6" s="71"/>
      <c r="AP6" s="124"/>
      <c r="AQ6" s="112"/>
      <c r="AR6" s="112"/>
      <c r="AS6" s="139"/>
      <c r="AT6" s="71"/>
      <c r="AU6" s="126"/>
    </row>
    <row r="7" spans="1:68" s="192" customFormat="1" ht="15" thickBot="1">
      <c r="A7" s="880"/>
      <c r="B7" s="3034" t="s">
        <v>155</v>
      </c>
      <c r="C7" s="999" t="s">
        <v>5318</v>
      </c>
      <c r="D7" s="880"/>
      <c r="E7" s="880"/>
      <c r="F7" s="880"/>
      <c r="G7" s="880"/>
      <c r="H7" s="880"/>
      <c r="I7" s="880"/>
      <c r="J7" s="880"/>
      <c r="K7" s="880"/>
      <c r="L7" s="880"/>
      <c r="M7" s="880"/>
      <c r="N7" s="880"/>
      <c r="O7" s="880"/>
      <c r="P7" s="880"/>
      <c r="Q7" s="880"/>
      <c r="R7" s="880"/>
      <c r="S7" s="880"/>
      <c r="T7" s="880"/>
      <c r="U7" s="880"/>
      <c r="V7" s="70"/>
      <c r="W7" s="70"/>
      <c r="Y7" s="71"/>
      <c r="AB7" s="85"/>
      <c r="AC7" s="85"/>
      <c r="AD7" s="85"/>
      <c r="AE7" s="85"/>
      <c r="AF7" s="85"/>
      <c r="AG7" s="85"/>
      <c r="AH7" s="85"/>
      <c r="AI7" s="85"/>
      <c r="AJ7" s="85"/>
      <c r="AK7" s="85"/>
      <c r="AL7" s="85"/>
      <c r="AM7" s="85"/>
      <c r="AN7" s="71"/>
      <c r="AP7" s="71"/>
      <c r="AT7" s="71"/>
      <c r="AW7" s="3034" t="s">
        <v>155</v>
      </c>
      <c r="AX7" s="2797" t="s">
        <v>5318</v>
      </c>
      <c r="AY7" s="880"/>
      <c r="AZ7" s="880"/>
      <c r="BA7" s="880"/>
      <c r="BB7" s="880"/>
      <c r="BC7" s="880"/>
      <c r="BD7" s="880"/>
      <c r="BE7" s="880"/>
      <c r="BF7" s="880"/>
      <c r="BG7" s="880"/>
      <c r="BH7" s="880"/>
      <c r="BI7" s="880"/>
      <c r="BJ7" s="880"/>
      <c r="BK7" s="880"/>
      <c r="BL7" s="880"/>
      <c r="BM7" s="880"/>
      <c r="BN7" s="880"/>
      <c r="BO7" s="880"/>
    </row>
    <row r="8" spans="1:68" s="192" customFormat="1" ht="408">
      <c r="A8" s="880"/>
      <c r="B8" s="1000" t="s">
        <v>5319</v>
      </c>
      <c r="C8" s="1755" t="s">
        <v>5320</v>
      </c>
      <c r="D8" s="1132"/>
      <c r="E8" s="1002" t="s">
        <v>51</v>
      </c>
      <c r="F8" s="1003">
        <v>3</v>
      </c>
      <c r="G8" s="1005">
        <v>0</v>
      </c>
      <c r="H8" s="1574">
        <v>2.9260000000000002</v>
      </c>
      <c r="I8" s="1452">
        <v>0</v>
      </c>
      <c r="J8" s="1441">
        <v>0</v>
      </c>
      <c r="K8" s="1446">
        <v>0</v>
      </c>
      <c r="L8" s="1441">
        <v>0</v>
      </c>
      <c r="M8" s="199">
        <f>SUM(G8:L8)</f>
        <v>2.9260000000000002</v>
      </c>
      <c r="N8" s="1005">
        <v>0</v>
      </c>
      <c r="O8" s="1574">
        <v>8.1649999999999991</v>
      </c>
      <c r="P8" s="1452">
        <v>0</v>
      </c>
      <c r="Q8" s="1441">
        <v>0</v>
      </c>
      <c r="R8" s="1446">
        <v>0</v>
      </c>
      <c r="S8" s="1441">
        <v>0</v>
      </c>
      <c r="T8" s="199">
        <f t="shared" ref="T8:T45" si="0">SUM(N8:S8)</f>
        <v>8.1649999999999991</v>
      </c>
      <c r="U8" s="1761" t="s">
        <v>5321</v>
      </c>
      <c r="V8" s="70"/>
      <c r="W8" s="897">
        <f t="shared" ref="W8:W29" si="1" xml:space="preserve"> IF( SUM( Y8:AN8 ) = 0, 0, $AB$5 )</f>
        <v>0</v>
      </c>
      <c r="Y8" s="71"/>
      <c r="AA8" s="93">
        <f t="shared" ref="AA8:AA29" si="2" xml:space="preserve"> IF( ISNUMBER( G8 ), 0, 1 )</f>
        <v>0</v>
      </c>
      <c r="AB8" s="93">
        <f t="shared" ref="AB8:AB29" si="3" xml:space="preserve"> IF( ISNUMBER( H8 ), 0, 1 )</f>
        <v>0</v>
      </c>
      <c r="AC8" s="93">
        <f t="shared" ref="AC8:AC29" si="4" xml:space="preserve"> IF( ISNUMBER( I8 ), 0, 1 )</f>
        <v>0</v>
      </c>
      <c r="AD8" s="93">
        <f t="shared" ref="AD8:AD29" si="5" xml:space="preserve"> IF( ISNUMBER( J8 ), 0, 1 )</f>
        <v>0</v>
      </c>
      <c r="AE8" s="93">
        <f t="shared" ref="AE8:AE29" si="6" xml:space="preserve"> IF( ISNUMBER( K8 ), 0, 1 )</f>
        <v>0</v>
      </c>
      <c r="AF8" s="93">
        <f t="shared" ref="AF8:AF29" si="7" xml:space="preserve"> IF( ISNUMBER( L8 ), 0, 1 )</f>
        <v>0</v>
      </c>
      <c r="AG8" s="85"/>
      <c r="AH8" s="93">
        <f t="shared" ref="AH8:AH29" si="8" xml:space="preserve"> IF( ISNUMBER( N8 ), 0, 1 )</f>
        <v>0</v>
      </c>
      <c r="AI8" s="93">
        <f t="shared" ref="AI8:AI29" si="9" xml:space="preserve"> IF( ISNUMBER( O8 ), 0, 1 )</f>
        <v>0</v>
      </c>
      <c r="AJ8" s="93">
        <f t="shared" ref="AJ8:AJ29" si="10" xml:space="preserve"> IF( ISNUMBER( P8 ), 0, 1 )</f>
        <v>0</v>
      </c>
      <c r="AK8" s="93">
        <f t="shared" ref="AK8:AK29" si="11" xml:space="preserve"> IF( ISNUMBER( Q8 ), 0, 1 )</f>
        <v>0</v>
      </c>
      <c r="AL8" s="93">
        <f t="shared" ref="AL8:AL29" si="12" xml:space="preserve"> IF( ISNUMBER( R8 ), 0, 1 )</f>
        <v>0</v>
      </c>
      <c r="AM8" s="93">
        <f t="shared" ref="AM8:AM29" si="13" xml:space="preserve"> IF( ISNUMBER( S8 ), 0, 1 )</f>
        <v>0</v>
      </c>
      <c r="AN8" s="71"/>
      <c r="AP8" s="71"/>
      <c r="AT8" s="71"/>
      <c r="AW8" s="1000" t="s">
        <v>5319</v>
      </c>
      <c r="AX8" s="2798" t="s">
        <v>5320</v>
      </c>
      <c r="AY8" s="2799"/>
      <c r="AZ8" s="1002" t="s">
        <v>51</v>
      </c>
      <c r="BA8" s="1003">
        <v>3</v>
      </c>
      <c r="BB8" s="2800" t="s">
        <v>5322</v>
      </c>
      <c r="BC8" s="2801" t="s">
        <v>5323</v>
      </c>
      <c r="BD8" s="2802" t="s">
        <v>5324</v>
      </c>
      <c r="BE8" s="2803" t="s">
        <v>5325</v>
      </c>
      <c r="BF8" s="2804" t="s">
        <v>5326</v>
      </c>
      <c r="BG8" s="2803" t="s">
        <v>5327</v>
      </c>
      <c r="BH8" s="199" t="s">
        <v>5328</v>
      </c>
      <c r="BI8" s="2800" t="s">
        <v>5329</v>
      </c>
      <c r="BJ8" s="2801" t="s">
        <v>5330</v>
      </c>
      <c r="BK8" s="2803" t="s">
        <v>5331</v>
      </c>
      <c r="BL8" s="2804" t="s">
        <v>5332</v>
      </c>
      <c r="BM8" s="2802" t="s">
        <v>5333</v>
      </c>
      <c r="BN8" s="2803" t="s">
        <v>5334</v>
      </c>
      <c r="BO8" s="199" t="s">
        <v>5335</v>
      </c>
    </row>
    <row r="9" spans="1:68" s="192" customFormat="1" ht="204">
      <c r="A9" s="880"/>
      <c r="B9" s="1006" t="s">
        <v>5336</v>
      </c>
      <c r="C9" s="1001" t="s">
        <v>5337</v>
      </c>
      <c r="D9" s="1610"/>
      <c r="E9" s="2003" t="s">
        <v>51</v>
      </c>
      <c r="F9" s="1007">
        <v>3</v>
      </c>
      <c r="G9" s="1008">
        <v>0</v>
      </c>
      <c r="H9" s="1575">
        <v>0.69599999999999995</v>
      </c>
      <c r="I9" s="1453">
        <v>0</v>
      </c>
      <c r="J9" s="1442">
        <v>0</v>
      </c>
      <c r="K9" s="1447">
        <v>0</v>
      </c>
      <c r="L9" s="1442">
        <v>0</v>
      </c>
      <c r="M9" s="241">
        <f t="shared" ref="M9:M45" si="14">SUM(G9:L9)</f>
        <v>0.69599999999999995</v>
      </c>
      <c r="N9" s="1008">
        <v>0</v>
      </c>
      <c r="O9" s="1575">
        <v>2.1970000000000001</v>
      </c>
      <c r="P9" s="1453">
        <v>0</v>
      </c>
      <c r="Q9" s="1442">
        <v>0</v>
      </c>
      <c r="R9" s="1447">
        <v>0</v>
      </c>
      <c r="S9" s="1442">
        <v>0</v>
      </c>
      <c r="T9" s="398">
        <f t="shared" si="0"/>
        <v>2.1970000000000001</v>
      </c>
      <c r="U9" s="1762" t="s">
        <v>5338</v>
      </c>
      <c r="V9" s="70"/>
      <c r="W9" s="897">
        <f t="shared" si="1"/>
        <v>0</v>
      </c>
      <c r="Y9" s="71"/>
      <c r="AA9" s="93">
        <f t="shared" si="2"/>
        <v>0</v>
      </c>
      <c r="AB9" s="93">
        <f t="shared" si="3"/>
        <v>0</v>
      </c>
      <c r="AC9" s="93">
        <f t="shared" si="4"/>
        <v>0</v>
      </c>
      <c r="AD9" s="93">
        <f t="shared" si="5"/>
        <v>0</v>
      </c>
      <c r="AE9" s="93">
        <f t="shared" si="6"/>
        <v>0</v>
      </c>
      <c r="AF9" s="93">
        <f t="shared" si="7"/>
        <v>0</v>
      </c>
      <c r="AG9" s="85"/>
      <c r="AH9" s="93">
        <f t="shared" si="8"/>
        <v>0</v>
      </c>
      <c r="AI9" s="93">
        <f t="shared" si="9"/>
        <v>0</v>
      </c>
      <c r="AJ9" s="93">
        <f t="shared" si="10"/>
        <v>0</v>
      </c>
      <c r="AK9" s="93">
        <f t="shared" si="11"/>
        <v>0</v>
      </c>
      <c r="AL9" s="93">
        <f t="shared" si="12"/>
        <v>0</v>
      </c>
      <c r="AM9" s="93">
        <f t="shared" si="13"/>
        <v>0</v>
      </c>
      <c r="AN9" s="71"/>
      <c r="AP9" s="71"/>
      <c r="AT9" s="71"/>
      <c r="AW9" s="1006" t="s">
        <v>5336</v>
      </c>
      <c r="AX9" s="2798" t="s">
        <v>5337</v>
      </c>
      <c r="AY9" s="2805"/>
      <c r="AZ9" s="2003" t="s">
        <v>51</v>
      </c>
      <c r="BA9" s="1007">
        <v>3</v>
      </c>
      <c r="BB9" s="2806" t="s">
        <v>5339</v>
      </c>
      <c r="BC9" s="2807" t="s">
        <v>5340</v>
      </c>
      <c r="BD9" s="2808" t="s">
        <v>5341</v>
      </c>
      <c r="BE9" s="2809" t="s">
        <v>5342</v>
      </c>
      <c r="BF9" s="2810" t="s">
        <v>5343</v>
      </c>
      <c r="BG9" s="2809" t="s">
        <v>5344</v>
      </c>
      <c r="BH9" s="2095" t="s">
        <v>5345</v>
      </c>
      <c r="BI9" s="2806" t="s">
        <v>5346</v>
      </c>
      <c r="BJ9" s="2807" t="s">
        <v>5347</v>
      </c>
      <c r="BK9" s="2809" t="s">
        <v>5348</v>
      </c>
      <c r="BL9" s="2810" t="s">
        <v>5349</v>
      </c>
      <c r="BM9" s="2808" t="s">
        <v>5350</v>
      </c>
      <c r="BN9" s="2809" t="s">
        <v>5351</v>
      </c>
      <c r="BO9" s="2015" t="s">
        <v>5352</v>
      </c>
      <c r="BP9" s="2144"/>
    </row>
    <row r="10" spans="1:68" s="192" customFormat="1">
      <c r="A10" s="880"/>
      <c r="B10" s="1006" t="s">
        <v>5353</v>
      </c>
      <c r="C10" s="2483" t="s">
        <v>5354</v>
      </c>
      <c r="D10" s="1610"/>
      <c r="E10" s="2003" t="s">
        <v>51</v>
      </c>
      <c r="F10" s="1007">
        <v>3</v>
      </c>
      <c r="G10" s="1008">
        <v>0</v>
      </c>
      <c r="H10" s="1575">
        <v>7.3999999999999996E-2</v>
      </c>
      <c r="I10" s="1453">
        <v>0</v>
      </c>
      <c r="J10" s="1442">
        <v>0</v>
      </c>
      <c r="K10" s="1447">
        <v>0</v>
      </c>
      <c r="L10" s="1442">
        <v>0</v>
      </c>
      <c r="M10" s="241">
        <f t="shared" si="14"/>
        <v>7.3999999999999996E-2</v>
      </c>
      <c r="N10" s="1008">
        <v>0</v>
      </c>
      <c r="O10" s="1575">
        <v>0.35</v>
      </c>
      <c r="P10" s="1453">
        <v>0</v>
      </c>
      <c r="Q10" s="1442">
        <v>0</v>
      </c>
      <c r="R10" s="1447">
        <v>0</v>
      </c>
      <c r="S10" s="1442">
        <v>0</v>
      </c>
      <c r="T10" s="398">
        <f t="shared" si="0"/>
        <v>0.35</v>
      </c>
      <c r="U10" s="1762"/>
      <c r="V10" s="70"/>
      <c r="W10" s="897">
        <f t="shared" ref="W10" si="15" xml:space="preserve"> IF( SUM( Y10:AN10 ) = 0, 0, $AB$5 )</f>
        <v>0</v>
      </c>
      <c r="Y10" s="71"/>
      <c r="AA10" s="93">
        <f t="shared" ref="AA10" si="16" xml:space="preserve"> IF( ISNUMBER( G10 ), 0, 1 )</f>
        <v>0</v>
      </c>
      <c r="AB10" s="93">
        <f t="shared" ref="AB10" si="17" xml:space="preserve"> IF( ISNUMBER( H10 ), 0, 1 )</f>
        <v>0</v>
      </c>
      <c r="AC10" s="93">
        <f t="shared" ref="AC10" si="18" xml:space="preserve"> IF( ISNUMBER( I10 ), 0, 1 )</f>
        <v>0</v>
      </c>
      <c r="AD10" s="93">
        <f t="shared" ref="AD10" si="19" xml:space="preserve"> IF( ISNUMBER( J10 ), 0, 1 )</f>
        <v>0</v>
      </c>
      <c r="AE10" s="93">
        <f t="shared" ref="AE10" si="20" xml:space="preserve"> IF( ISNUMBER( K10 ), 0, 1 )</f>
        <v>0</v>
      </c>
      <c r="AF10" s="93">
        <f t="shared" ref="AF10" si="21" xml:space="preserve"> IF( ISNUMBER( L10 ), 0, 1 )</f>
        <v>0</v>
      </c>
      <c r="AG10" s="85"/>
      <c r="AH10" s="93">
        <f t="shared" ref="AH10" si="22" xml:space="preserve"> IF( ISNUMBER( N10 ), 0, 1 )</f>
        <v>0</v>
      </c>
      <c r="AI10" s="93">
        <f t="shared" ref="AI10" si="23" xml:space="preserve"> IF( ISNUMBER( O10 ), 0, 1 )</f>
        <v>0</v>
      </c>
      <c r="AJ10" s="93">
        <f t="shared" ref="AJ10" si="24" xml:space="preserve"> IF( ISNUMBER( P10 ), 0, 1 )</f>
        <v>0</v>
      </c>
      <c r="AK10" s="93">
        <f t="shared" ref="AK10" si="25" xml:space="preserve"> IF( ISNUMBER( Q10 ), 0, 1 )</f>
        <v>0</v>
      </c>
      <c r="AL10" s="93">
        <f t="shared" ref="AL10" si="26" xml:space="preserve"> IF( ISNUMBER( R10 ), 0, 1 )</f>
        <v>0</v>
      </c>
      <c r="AM10" s="93">
        <f t="shared" ref="AM10" si="27" xml:space="preserve"> IF( ISNUMBER( S10 ), 0, 1 )</f>
        <v>0</v>
      </c>
      <c r="AN10" s="71"/>
      <c r="AP10" s="71"/>
      <c r="AT10" s="71"/>
      <c r="AW10" s="1006" t="s">
        <v>5353</v>
      </c>
      <c r="AX10" s="2811" t="s">
        <v>5354</v>
      </c>
      <c r="AY10" s="2812"/>
      <c r="AZ10" s="2003" t="s">
        <v>51</v>
      </c>
      <c r="BA10" s="1007">
        <v>3</v>
      </c>
      <c r="BB10" s="2806" t="s">
        <v>5355</v>
      </c>
      <c r="BC10" s="2807" t="s">
        <v>5356</v>
      </c>
      <c r="BD10" s="2808" t="s">
        <v>5357</v>
      </c>
      <c r="BE10" s="2809" t="s">
        <v>5358</v>
      </c>
      <c r="BF10" s="2810" t="s">
        <v>5359</v>
      </c>
      <c r="BG10" s="2809" t="s">
        <v>5360</v>
      </c>
      <c r="BH10" s="2095" t="s">
        <v>5361</v>
      </c>
      <c r="BI10" s="2806" t="s">
        <v>5362</v>
      </c>
      <c r="BJ10" s="2807" t="s">
        <v>5363</v>
      </c>
      <c r="BK10" s="2808" t="s">
        <v>5364</v>
      </c>
      <c r="BL10" s="2809" t="s">
        <v>5365</v>
      </c>
      <c r="BM10" s="2810" t="s">
        <v>5366</v>
      </c>
      <c r="BN10" s="2809" t="s">
        <v>5367</v>
      </c>
      <c r="BO10" s="2095" t="s">
        <v>5368</v>
      </c>
    </row>
    <row r="11" spans="1:68" s="192" customFormat="1">
      <c r="A11" s="880"/>
      <c r="B11" s="1006" t="s">
        <v>5369</v>
      </c>
      <c r="C11" s="2405" t="s">
        <v>5370</v>
      </c>
      <c r="D11" s="1010"/>
      <c r="E11" s="2003" t="s">
        <v>51</v>
      </c>
      <c r="F11" s="1007">
        <v>3</v>
      </c>
      <c r="G11" s="1012">
        <v>0</v>
      </c>
      <c r="H11" s="1575">
        <v>0</v>
      </c>
      <c r="I11" s="1453">
        <v>0</v>
      </c>
      <c r="J11" s="1442">
        <v>0</v>
      </c>
      <c r="K11" s="1447">
        <v>0</v>
      </c>
      <c r="L11" s="1442">
        <v>1E-3</v>
      </c>
      <c r="M11" s="241">
        <f t="shared" si="14"/>
        <v>1E-3</v>
      </c>
      <c r="N11" s="1012">
        <v>0</v>
      </c>
      <c r="O11" s="1575">
        <v>0</v>
      </c>
      <c r="P11" s="1453">
        <v>0</v>
      </c>
      <c r="Q11" s="1442">
        <v>0</v>
      </c>
      <c r="R11" s="1447">
        <v>0</v>
      </c>
      <c r="S11" s="1442">
        <v>1E-3</v>
      </c>
      <c r="T11" s="241">
        <f t="shared" si="0"/>
        <v>1E-3</v>
      </c>
      <c r="U11" s="1763"/>
      <c r="V11" s="70"/>
      <c r="W11" s="897">
        <f t="shared" si="1"/>
        <v>0</v>
      </c>
      <c r="Y11" s="71"/>
      <c r="AA11" s="93">
        <f t="shared" si="2"/>
        <v>0</v>
      </c>
      <c r="AB11" s="93">
        <f t="shared" si="3"/>
        <v>0</v>
      </c>
      <c r="AC11" s="93">
        <f t="shared" si="4"/>
        <v>0</v>
      </c>
      <c r="AD11" s="93">
        <f t="shared" si="5"/>
        <v>0</v>
      </c>
      <c r="AE11" s="93">
        <f t="shared" si="6"/>
        <v>0</v>
      </c>
      <c r="AF11" s="93">
        <f t="shared" si="7"/>
        <v>0</v>
      </c>
      <c r="AG11" s="85"/>
      <c r="AH11" s="93">
        <f t="shared" si="8"/>
        <v>0</v>
      </c>
      <c r="AI11" s="93">
        <f t="shared" si="9"/>
        <v>0</v>
      </c>
      <c r="AJ11" s="93">
        <f t="shared" si="10"/>
        <v>0</v>
      </c>
      <c r="AK11" s="93">
        <f t="shared" si="11"/>
        <v>0</v>
      </c>
      <c r="AL11" s="93">
        <f t="shared" si="12"/>
        <v>0</v>
      </c>
      <c r="AM11" s="93">
        <f t="shared" si="13"/>
        <v>0</v>
      </c>
      <c r="AN11" s="71"/>
      <c r="AP11" s="71"/>
      <c r="AT11" s="71"/>
      <c r="AW11" s="1006" t="s">
        <v>5369</v>
      </c>
      <c r="AX11" s="2813" t="s">
        <v>5370</v>
      </c>
      <c r="AY11" s="2813"/>
      <c r="AZ11" s="2003" t="s">
        <v>51</v>
      </c>
      <c r="BA11" s="1007">
        <v>3</v>
      </c>
      <c r="BB11" s="2814" t="s">
        <v>5371</v>
      </c>
      <c r="BC11" s="2815" t="s">
        <v>5372</v>
      </c>
      <c r="BD11" s="2816" t="s">
        <v>5373</v>
      </c>
      <c r="BE11" s="2817" t="s">
        <v>5374</v>
      </c>
      <c r="BF11" s="2818" t="s">
        <v>5375</v>
      </c>
      <c r="BG11" s="2817" t="s">
        <v>5376</v>
      </c>
      <c r="BH11" s="2095" t="s">
        <v>5377</v>
      </c>
      <c r="BI11" s="2814" t="s">
        <v>5378</v>
      </c>
      <c r="BJ11" s="2815" t="s">
        <v>5379</v>
      </c>
      <c r="BK11" s="2817" t="s">
        <v>5380</v>
      </c>
      <c r="BL11" s="2818" t="s">
        <v>5381</v>
      </c>
      <c r="BM11" s="2816" t="s">
        <v>5382</v>
      </c>
      <c r="BN11" s="2817" t="s">
        <v>5383</v>
      </c>
      <c r="BO11" s="2095" t="s">
        <v>5384</v>
      </c>
    </row>
    <row r="12" spans="1:68" s="192" customFormat="1">
      <c r="A12" s="880"/>
      <c r="B12" s="1006" t="s">
        <v>5385</v>
      </c>
      <c r="C12" s="2405" t="s">
        <v>5386</v>
      </c>
      <c r="D12" s="1010"/>
      <c r="E12" s="2003" t="s">
        <v>51</v>
      </c>
      <c r="F12" s="1007">
        <v>3</v>
      </c>
      <c r="G12" s="1012">
        <v>0</v>
      </c>
      <c r="H12" s="1575">
        <v>0</v>
      </c>
      <c r="I12" s="1453">
        <v>0</v>
      </c>
      <c r="J12" s="1442">
        <v>0</v>
      </c>
      <c r="K12" s="1447">
        <v>0</v>
      </c>
      <c r="L12" s="1442">
        <v>0</v>
      </c>
      <c r="M12" s="241">
        <f t="shared" si="14"/>
        <v>0</v>
      </c>
      <c r="N12" s="1012">
        <v>0</v>
      </c>
      <c r="O12" s="1575">
        <v>0</v>
      </c>
      <c r="P12" s="1453">
        <v>0</v>
      </c>
      <c r="Q12" s="1442">
        <v>0</v>
      </c>
      <c r="R12" s="1447">
        <v>0</v>
      </c>
      <c r="S12" s="1442">
        <v>0</v>
      </c>
      <c r="T12" s="241">
        <f t="shared" si="0"/>
        <v>0</v>
      </c>
      <c r="U12" s="1763"/>
      <c r="V12" s="70"/>
      <c r="W12" s="897">
        <f t="shared" si="1"/>
        <v>0</v>
      </c>
      <c r="Y12" s="71"/>
      <c r="AA12" s="93">
        <f t="shared" si="2"/>
        <v>0</v>
      </c>
      <c r="AB12" s="93">
        <f t="shared" si="3"/>
        <v>0</v>
      </c>
      <c r="AC12" s="93">
        <f t="shared" si="4"/>
        <v>0</v>
      </c>
      <c r="AD12" s="93">
        <f t="shared" si="5"/>
        <v>0</v>
      </c>
      <c r="AE12" s="93">
        <f t="shared" si="6"/>
        <v>0</v>
      </c>
      <c r="AF12" s="93">
        <f t="shared" si="7"/>
        <v>0</v>
      </c>
      <c r="AG12" s="85"/>
      <c r="AH12" s="93">
        <f t="shared" si="8"/>
        <v>0</v>
      </c>
      <c r="AI12" s="93">
        <f t="shared" si="9"/>
        <v>0</v>
      </c>
      <c r="AJ12" s="93">
        <f t="shared" si="10"/>
        <v>0</v>
      </c>
      <c r="AK12" s="93">
        <f t="shared" si="11"/>
        <v>0</v>
      </c>
      <c r="AL12" s="93">
        <f t="shared" si="12"/>
        <v>0</v>
      </c>
      <c r="AM12" s="93">
        <f t="shared" si="13"/>
        <v>0</v>
      </c>
      <c r="AN12" s="71"/>
      <c r="AP12" s="71"/>
      <c r="AT12" s="71"/>
      <c r="AW12" s="1006" t="s">
        <v>5385</v>
      </c>
      <c r="AX12" s="2813" t="s">
        <v>5386</v>
      </c>
      <c r="AY12" s="2813"/>
      <c r="AZ12" s="2003" t="s">
        <v>51</v>
      </c>
      <c r="BA12" s="1007">
        <v>3</v>
      </c>
      <c r="BB12" s="2814" t="s">
        <v>5387</v>
      </c>
      <c r="BC12" s="2815" t="s">
        <v>5388</v>
      </c>
      <c r="BD12" s="2816" t="s">
        <v>5389</v>
      </c>
      <c r="BE12" s="2817" t="s">
        <v>5390</v>
      </c>
      <c r="BF12" s="2818" t="s">
        <v>5391</v>
      </c>
      <c r="BG12" s="2817" t="s">
        <v>5392</v>
      </c>
      <c r="BH12" s="2095" t="s">
        <v>5393</v>
      </c>
      <c r="BI12" s="2814" t="s">
        <v>5394</v>
      </c>
      <c r="BJ12" s="2815" t="s">
        <v>5395</v>
      </c>
      <c r="BK12" s="2817" t="s">
        <v>5396</v>
      </c>
      <c r="BL12" s="2818" t="s">
        <v>5397</v>
      </c>
      <c r="BM12" s="2816" t="s">
        <v>5398</v>
      </c>
      <c r="BN12" s="2817" t="s">
        <v>5399</v>
      </c>
      <c r="BO12" s="2095" t="s">
        <v>5400</v>
      </c>
    </row>
    <row r="13" spans="1:68" s="192" customFormat="1">
      <c r="A13" s="880"/>
      <c r="B13" s="1006" t="s">
        <v>5401</v>
      </c>
      <c r="C13" s="2405" t="s">
        <v>5402</v>
      </c>
      <c r="D13" s="1010"/>
      <c r="E13" s="2003" t="s">
        <v>51</v>
      </c>
      <c r="F13" s="1007">
        <v>3</v>
      </c>
      <c r="G13" s="1012">
        <v>0</v>
      </c>
      <c r="H13" s="1575">
        <v>0</v>
      </c>
      <c r="I13" s="1453">
        <v>0</v>
      </c>
      <c r="J13" s="1442">
        <v>0</v>
      </c>
      <c r="K13" s="1447">
        <v>0</v>
      </c>
      <c r="L13" s="1442">
        <v>0.27700000000000002</v>
      </c>
      <c r="M13" s="241">
        <f t="shared" si="14"/>
        <v>0.27700000000000002</v>
      </c>
      <c r="N13" s="1012">
        <v>0</v>
      </c>
      <c r="O13" s="1575">
        <v>0</v>
      </c>
      <c r="P13" s="1453">
        <v>0</v>
      </c>
      <c r="Q13" s="1442">
        <v>0</v>
      </c>
      <c r="R13" s="1447">
        <v>0</v>
      </c>
      <c r="S13" s="1442">
        <v>0</v>
      </c>
      <c r="T13" s="241">
        <f t="shared" si="0"/>
        <v>0</v>
      </c>
      <c r="U13" s="1763"/>
      <c r="V13" s="70"/>
      <c r="W13" s="897">
        <f t="shared" si="1"/>
        <v>0</v>
      </c>
      <c r="Y13" s="71"/>
      <c r="AA13" s="93">
        <f t="shared" si="2"/>
        <v>0</v>
      </c>
      <c r="AB13" s="93">
        <f t="shared" si="3"/>
        <v>0</v>
      </c>
      <c r="AC13" s="93">
        <f t="shared" si="4"/>
        <v>0</v>
      </c>
      <c r="AD13" s="93">
        <f t="shared" si="5"/>
        <v>0</v>
      </c>
      <c r="AE13" s="93">
        <f t="shared" si="6"/>
        <v>0</v>
      </c>
      <c r="AF13" s="93">
        <f t="shared" si="7"/>
        <v>0</v>
      </c>
      <c r="AG13" s="85"/>
      <c r="AH13" s="93">
        <f t="shared" si="8"/>
        <v>0</v>
      </c>
      <c r="AI13" s="93">
        <f t="shared" si="9"/>
        <v>0</v>
      </c>
      <c r="AJ13" s="93">
        <f t="shared" si="10"/>
        <v>0</v>
      </c>
      <c r="AK13" s="93">
        <f t="shared" si="11"/>
        <v>0</v>
      </c>
      <c r="AL13" s="93">
        <f t="shared" si="12"/>
        <v>0</v>
      </c>
      <c r="AM13" s="93">
        <f t="shared" si="13"/>
        <v>0</v>
      </c>
      <c r="AN13" s="71"/>
      <c r="AP13" s="71"/>
      <c r="AT13" s="71"/>
      <c r="AW13" s="1006" t="s">
        <v>5401</v>
      </c>
      <c r="AX13" s="2813" t="s">
        <v>5402</v>
      </c>
      <c r="AY13" s="2813"/>
      <c r="AZ13" s="2003" t="s">
        <v>51</v>
      </c>
      <c r="BA13" s="1007">
        <v>3</v>
      </c>
      <c r="BB13" s="2814" t="s">
        <v>5403</v>
      </c>
      <c r="BC13" s="2815" t="s">
        <v>5404</v>
      </c>
      <c r="BD13" s="2816" t="s">
        <v>5405</v>
      </c>
      <c r="BE13" s="2817" t="s">
        <v>5406</v>
      </c>
      <c r="BF13" s="2818" t="s">
        <v>5407</v>
      </c>
      <c r="BG13" s="2817" t="s">
        <v>5408</v>
      </c>
      <c r="BH13" s="2095" t="s">
        <v>5409</v>
      </c>
      <c r="BI13" s="2814" t="s">
        <v>5410</v>
      </c>
      <c r="BJ13" s="2815" t="s">
        <v>5411</v>
      </c>
      <c r="BK13" s="2817" t="s">
        <v>5412</v>
      </c>
      <c r="BL13" s="2818" t="s">
        <v>5413</v>
      </c>
      <c r="BM13" s="2816" t="s">
        <v>5414</v>
      </c>
      <c r="BN13" s="2817" t="s">
        <v>5415</v>
      </c>
      <c r="BO13" s="2095" t="s">
        <v>5416</v>
      </c>
    </row>
    <row r="14" spans="1:68" s="192" customFormat="1">
      <c r="A14" s="880"/>
      <c r="B14" s="1006" t="s">
        <v>5417</v>
      </c>
      <c r="C14" s="2405" t="s">
        <v>5418</v>
      </c>
      <c r="D14" s="1010"/>
      <c r="E14" s="2003" t="s">
        <v>51</v>
      </c>
      <c r="F14" s="1007">
        <v>3</v>
      </c>
      <c r="G14" s="1012">
        <v>0</v>
      </c>
      <c r="H14" s="1575">
        <v>0</v>
      </c>
      <c r="I14" s="1453">
        <v>0</v>
      </c>
      <c r="J14" s="1442">
        <v>0</v>
      </c>
      <c r="K14" s="1447">
        <v>0</v>
      </c>
      <c r="L14" s="1442">
        <v>0</v>
      </c>
      <c r="M14" s="241">
        <f t="shared" si="14"/>
        <v>0</v>
      </c>
      <c r="N14" s="1012">
        <v>0</v>
      </c>
      <c r="O14" s="1575">
        <v>0</v>
      </c>
      <c r="P14" s="1453">
        <v>0</v>
      </c>
      <c r="Q14" s="1442">
        <v>0</v>
      </c>
      <c r="R14" s="1447">
        <v>0</v>
      </c>
      <c r="S14" s="1442">
        <v>0</v>
      </c>
      <c r="T14" s="241">
        <f t="shared" si="0"/>
        <v>0</v>
      </c>
      <c r="U14" s="1763"/>
      <c r="V14" s="70"/>
      <c r="W14" s="897">
        <f t="shared" si="1"/>
        <v>0</v>
      </c>
      <c r="Y14" s="71"/>
      <c r="AA14" s="93">
        <f t="shared" si="2"/>
        <v>0</v>
      </c>
      <c r="AB14" s="93">
        <f t="shared" si="3"/>
        <v>0</v>
      </c>
      <c r="AC14" s="93">
        <f t="shared" si="4"/>
        <v>0</v>
      </c>
      <c r="AD14" s="93">
        <f t="shared" si="5"/>
        <v>0</v>
      </c>
      <c r="AE14" s="93">
        <f t="shared" si="6"/>
        <v>0</v>
      </c>
      <c r="AF14" s="93">
        <f t="shared" si="7"/>
        <v>0</v>
      </c>
      <c r="AG14" s="85"/>
      <c r="AH14" s="93">
        <f t="shared" si="8"/>
        <v>0</v>
      </c>
      <c r="AI14" s="93">
        <f t="shared" si="9"/>
        <v>0</v>
      </c>
      <c r="AJ14" s="93">
        <f t="shared" si="10"/>
        <v>0</v>
      </c>
      <c r="AK14" s="93">
        <f t="shared" si="11"/>
        <v>0</v>
      </c>
      <c r="AL14" s="93">
        <f t="shared" si="12"/>
        <v>0</v>
      </c>
      <c r="AM14" s="93">
        <f t="shared" si="13"/>
        <v>0</v>
      </c>
      <c r="AN14" s="71"/>
      <c r="AP14" s="71"/>
      <c r="AT14" s="71"/>
      <c r="AW14" s="1006" t="s">
        <v>5417</v>
      </c>
      <c r="AX14" s="2813" t="s">
        <v>5418</v>
      </c>
      <c r="AY14" s="2813"/>
      <c r="AZ14" s="2003" t="s">
        <v>51</v>
      </c>
      <c r="BA14" s="1007">
        <v>3</v>
      </c>
      <c r="BB14" s="2814" t="s">
        <v>5419</v>
      </c>
      <c r="BC14" s="2815" t="s">
        <v>5420</v>
      </c>
      <c r="BD14" s="2816" t="s">
        <v>5421</v>
      </c>
      <c r="BE14" s="2817" t="s">
        <v>5422</v>
      </c>
      <c r="BF14" s="2818" t="s">
        <v>5423</v>
      </c>
      <c r="BG14" s="2817" t="s">
        <v>5424</v>
      </c>
      <c r="BH14" s="2095" t="s">
        <v>5425</v>
      </c>
      <c r="BI14" s="2814" t="s">
        <v>5426</v>
      </c>
      <c r="BJ14" s="2815" t="s">
        <v>5427</v>
      </c>
      <c r="BK14" s="2817" t="s">
        <v>5428</v>
      </c>
      <c r="BL14" s="2818" t="s">
        <v>5429</v>
      </c>
      <c r="BM14" s="2816" t="s">
        <v>5430</v>
      </c>
      <c r="BN14" s="2817" t="s">
        <v>5431</v>
      </c>
      <c r="BO14" s="2095" t="s">
        <v>5432</v>
      </c>
    </row>
    <row r="15" spans="1:68" s="192" customFormat="1">
      <c r="A15" s="880"/>
      <c r="B15" s="1006" t="s">
        <v>5433</v>
      </c>
      <c r="C15" s="2405" t="s">
        <v>5434</v>
      </c>
      <c r="D15" s="1010"/>
      <c r="E15" s="2003" t="s">
        <v>51</v>
      </c>
      <c r="F15" s="1007">
        <v>3</v>
      </c>
      <c r="G15" s="1012">
        <v>0</v>
      </c>
      <c r="H15" s="1575">
        <v>0</v>
      </c>
      <c r="I15" s="1453">
        <v>0</v>
      </c>
      <c r="J15" s="1442">
        <v>0</v>
      </c>
      <c r="K15" s="1447">
        <v>0</v>
      </c>
      <c r="L15" s="1442">
        <v>0</v>
      </c>
      <c r="M15" s="241">
        <f t="shared" si="14"/>
        <v>0</v>
      </c>
      <c r="N15" s="1012">
        <v>0</v>
      </c>
      <c r="O15" s="1575">
        <v>0</v>
      </c>
      <c r="P15" s="1453">
        <v>0</v>
      </c>
      <c r="Q15" s="1442">
        <v>0</v>
      </c>
      <c r="R15" s="1447">
        <v>0</v>
      </c>
      <c r="S15" s="1442">
        <v>0</v>
      </c>
      <c r="T15" s="241">
        <f t="shared" si="0"/>
        <v>0</v>
      </c>
      <c r="U15" s="1763"/>
      <c r="V15" s="70"/>
      <c r="W15" s="897">
        <f t="shared" si="1"/>
        <v>0</v>
      </c>
      <c r="Y15" s="71"/>
      <c r="AA15" s="93">
        <f t="shared" si="2"/>
        <v>0</v>
      </c>
      <c r="AB15" s="93">
        <f t="shared" si="3"/>
        <v>0</v>
      </c>
      <c r="AC15" s="93">
        <f t="shared" si="4"/>
        <v>0</v>
      </c>
      <c r="AD15" s="93">
        <f t="shared" si="5"/>
        <v>0</v>
      </c>
      <c r="AE15" s="93">
        <f t="shared" si="6"/>
        <v>0</v>
      </c>
      <c r="AF15" s="93">
        <f t="shared" si="7"/>
        <v>0</v>
      </c>
      <c r="AG15" s="85"/>
      <c r="AH15" s="93">
        <f t="shared" si="8"/>
        <v>0</v>
      </c>
      <c r="AI15" s="93">
        <f t="shared" si="9"/>
        <v>0</v>
      </c>
      <c r="AJ15" s="93">
        <f t="shared" si="10"/>
        <v>0</v>
      </c>
      <c r="AK15" s="93">
        <f t="shared" si="11"/>
        <v>0</v>
      </c>
      <c r="AL15" s="93">
        <f t="shared" si="12"/>
        <v>0</v>
      </c>
      <c r="AM15" s="93">
        <f t="shared" si="13"/>
        <v>0</v>
      </c>
      <c r="AN15" s="71"/>
      <c r="AP15" s="71"/>
      <c r="AT15" s="71"/>
      <c r="AW15" s="1006" t="s">
        <v>5433</v>
      </c>
      <c r="AX15" s="2813" t="s">
        <v>5434</v>
      </c>
      <c r="AY15" s="2813"/>
      <c r="AZ15" s="2003" t="s">
        <v>51</v>
      </c>
      <c r="BA15" s="1007">
        <v>3</v>
      </c>
      <c r="BB15" s="2814" t="s">
        <v>5435</v>
      </c>
      <c r="BC15" s="2815" t="s">
        <v>5436</v>
      </c>
      <c r="BD15" s="2816" t="s">
        <v>5437</v>
      </c>
      <c r="BE15" s="2817" t="s">
        <v>5438</v>
      </c>
      <c r="BF15" s="2818" t="s">
        <v>5439</v>
      </c>
      <c r="BG15" s="2817" t="s">
        <v>5440</v>
      </c>
      <c r="BH15" s="2095" t="s">
        <v>5441</v>
      </c>
      <c r="BI15" s="2814" t="s">
        <v>5442</v>
      </c>
      <c r="BJ15" s="2815" t="s">
        <v>5443</v>
      </c>
      <c r="BK15" s="2817" t="s">
        <v>5444</v>
      </c>
      <c r="BL15" s="2818" t="s">
        <v>5445</v>
      </c>
      <c r="BM15" s="2816" t="s">
        <v>5446</v>
      </c>
      <c r="BN15" s="2817" t="s">
        <v>5447</v>
      </c>
      <c r="BO15" s="2095" t="s">
        <v>5448</v>
      </c>
    </row>
    <row r="16" spans="1:68" s="192" customFormat="1">
      <c r="A16" s="880"/>
      <c r="B16" s="1006" t="s">
        <v>5449</v>
      </c>
      <c r="C16" s="2405" t="s">
        <v>5450</v>
      </c>
      <c r="D16" s="1010"/>
      <c r="E16" s="2003" t="s">
        <v>51</v>
      </c>
      <c r="F16" s="1007">
        <v>3</v>
      </c>
      <c r="G16" s="1012">
        <v>0</v>
      </c>
      <c r="H16" s="1575">
        <v>0</v>
      </c>
      <c r="I16" s="1453">
        <v>0</v>
      </c>
      <c r="J16" s="1442">
        <v>0</v>
      </c>
      <c r="K16" s="1447">
        <v>0</v>
      </c>
      <c r="L16" s="1442">
        <v>0</v>
      </c>
      <c r="M16" s="241">
        <f t="shared" si="14"/>
        <v>0</v>
      </c>
      <c r="N16" s="1012">
        <v>0</v>
      </c>
      <c r="O16" s="1575">
        <v>0</v>
      </c>
      <c r="P16" s="1453">
        <v>0</v>
      </c>
      <c r="Q16" s="1442">
        <v>0</v>
      </c>
      <c r="R16" s="1447">
        <v>0</v>
      </c>
      <c r="S16" s="1442">
        <v>0</v>
      </c>
      <c r="T16" s="241">
        <f t="shared" si="0"/>
        <v>0</v>
      </c>
      <c r="U16" s="1763"/>
      <c r="V16" s="70"/>
      <c r="W16" s="897">
        <f t="shared" si="1"/>
        <v>0</v>
      </c>
      <c r="Y16" s="71"/>
      <c r="AA16" s="93">
        <f t="shared" si="2"/>
        <v>0</v>
      </c>
      <c r="AB16" s="93">
        <f t="shared" si="3"/>
        <v>0</v>
      </c>
      <c r="AC16" s="93">
        <f t="shared" si="4"/>
        <v>0</v>
      </c>
      <c r="AD16" s="93">
        <f t="shared" si="5"/>
        <v>0</v>
      </c>
      <c r="AE16" s="93">
        <f t="shared" si="6"/>
        <v>0</v>
      </c>
      <c r="AF16" s="93">
        <f t="shared" si="7"/>
        <v>0</v>
      </c>
      <c r="AG16" s="85"/>
      <c r="AH16" s="93">
        <f t="shared" si="8"/>
        <v>0</v>
      </c>
      <c r="AI16" s="93">
        <f t="shared" si="9"/>
        <v>0</v>
      </c>
      <c r="AJ16" s="93">
        <f t="shared" si="10"/>
        <v>0</v>
      </c>
      <c r="AK16" s="93">
        <f t="shared" si="11"/>
        <v>0</v>
      </c>
      <c r="AL16" s="93">
        <f t="shared" si="12"/>
        <v>0</v>
      </c>
      <c r="AM16" s="93">
        <f t="shared" si="13"/>
        <v>0</v>
      </c>
      <c r="AN16" s="71"/>
      <c r="AP16" s="71"/>
      <c r="AT16" s="71"/>
      <c r="AW16" s="1006" t="s">
        <v>5449</v>
      </c>
      <c r="AX16" s="2813" t="s">
        <v>5450</v>
      </c>
      <c r="AY16" s="2813"/>
      <c r="AZ16" s="2003" t="s">
        <v>51</v>
      </c>
      <c r="BA16" s="1007">
        <v>3</v>
      </c>
      <c r="BB16" s="2814" t="s">
        <v>5451</v>
      </c>
      <c r="BC16" s="2815" t="s">
        <v>5452</v>
      </c>
      <c r="BD16" s="2816" t="s">
        <v>5453</v>
      </c>
      <c r="BE16" s="2817" t="s">
        <v>5454</v>
      </c>
      <c r="BF16" s="2818" t="s">
        <v>5455</v>
      </c>
      <c r="BG16" s="2817" t="s">
        <v>5456</v>
      </c>
      <c r="BH16" s="2095" t="s">
        <v>5457</v>
      </c>
      <c r="BI16" s="2814" t="s">
        <v>5458</v>
      </c>
      <c r="BJ16" s="2815" t="s">
        <v>5459</v>
      </c>
      <c r="BK16" s="2817" t="s">
        <v>5460</v>
      </c>
      <c r="BL16" s="2818" t="s">
        <v>5461</v>
      </c>
      <c r="BM16" s="2816" t="s">
        <v>5462</v>
      </c>
      <c r="BN16" s="2817" t="s">
        <v>5463</v>
      </c>
      <c r="BO16" s="2095" t="s">
        <v>5464</v>
      </c>
    </row>
    <row r="17" spans="1:68" s="192" customFormat="1">
      <c r="A17" s="880"/>
      <c r="B17" s="1006" t="s">
        <v>5465</v>
      </c>
      <c r="C17" s="2405" t="s">
        <v>5466</v>
      </c>
      <c r="D17" s="1010"/>
      <c r="E17" s="2003" t="s">
        <v>51</v>
      </c>
      <c r="F17" s="1007">
        <v>3</v>
      </c>
      <c r="G17" s="1012">
        <v>0</v>
      </c>
      <c r="H17" s="1575">
        <v>0</v>
      </c>
      <c r="I17" s="1453">
        <v>0</v>
      </c>
      <c r="J17" s="1442">
        <v>0</v>
      </c>
      <c r="K17" s="1447">
        <v>0</v>
      </c>
      <c r="L17" s="1442">
        <v>0</v>
      </c>
      <c r="M17" s="241">
        <f t="shared" si="14"/>
        <v>0</v>
      </c>
      <c r="N17" s="1012">
        <v>0</v>
      </c>
      <c r="O17" s="1575">
        <v>0</v>
      </c>
      <c r="P17" s="1453">
        <v>0</v>
      </c>
      <c r="Q17" s="1442">
        <v>0</v>
      </c>
      <c r="R17" s="1447">
        <v>0</v>
      </c>
      <c r="S17" s="1442">
        <v>0</v>
      </c>
      <c r="T17" s="241">
        <f t="shared" si="0"/>
        <v>0</v>
      </c>
      <c r="U17" s="1763"/>
      <c r="V17" s="70"/>
      <c r="W17" s="897">
        <f t="shared" si="1"/>
        <v>0</v>
      </c>
      <c r="Y17" s="71"/>
      <c r="AA17" s="93">
        <f t="shared" si="2"/>
        <v>0</v>
      </c>
      <c r="AB17" s="93">
        <f t="shared" si="3"/>
        <v>0</v>
      </c>
      <c r="AC17" s="93">
        <f t="shared" si="4"/>
        <v>0</v>
      </c>
      <c r="AD17" s="93">
        <f t="shared" si="5"/>
        <v>0</v>
      </c>
      <c r="AE17" s="93">
        <f t="shared" si="6"/>
        <v>0</v>
      </c>
      <c r="AF17" s="93">
        <f t="shared" si="7"/>
        <v>0</v>
      </c>
      <c r="AG17" s="85"/>
      <c r="AH17" s="93">
        <f t="shared" si="8"/>
        <v>0</v>
      </c>
      <c r="AI17" s="93">
        <f t="shared" si="9"/>
        <v>0</v>
      </c>
      <c r="AJ17" s="93">
        <f t="shared" si="10"/>
        <v>0</v>
      </c>
      <c r="AK17" s="93">
        <f t="shared" si="11"/>
        <v>0</v>
      </c>
      <c r="AL17" s="93">
        <f t="shared" si="12"/>
        <v>0</v>
      </c>
      <c r="AM17" s="93">
        <f t="shared" si="13"/>
        <v>0</v>
      </c>
      <c r="AN17" s="71"/>
      <c r="AP17" s="71"/>
      <c r="AT17" s="71"/>
      <c r="AW17" s="1006" t="s">
        <v>5465</v>
      </c>
      <c r="AX17" s="2813" t="s">
        <v>5466</v>
      </c>
      <c r="AY17" s="2813"/>
      <c r="AZ17" s="2003" t="s">
        <v>51</v>
      </c>
      <c r="BA17" s="1007">
        <v>3</v>
      </c>
      <c r="BB17" s="2814" t="s">
        <v>5467</v>
      </c>
      <c r="BC17" s="2815" t="s">
        <v>5468</v>
      </c>
      <c r="BD17" s="2816" t="s">
        <v>5469</v>
      </c>
      <c r="BE17" s="2817" t="s">
        <v>5470</v>
      </c>
      <c r="BF17" s="2818" t="s">
        <v>5471</v>
      </c>
      <c r="BG17" s="2817" t="s">
        <v>5472</v>
      </c>
      <c r="BH17" s="2095" t="s">
        <v>5473</v>
      </c>
      <c r="BI17" s="2814" t="s">
        <v>5474</v>
      </c>
      <c r="BJ17" s="2815" t="s">
        <v>5475</v>
      </c>
      <c r="BK17" s="2817" t="s">
        <v>5476</v>
      </c>
      <c r="BL17" s="2818" t="s">
        <v>5477</v>
      </c>
      <c r="BM17" s="2816" t="s">
        <v>5478</v>
      </c>
      <c r="BN17" s="2817" t="s">
        <v>5479</v>
      </c>
      <c r="BO17" s="2095" t="s">
        <v>5480</v>
      </c>
    </row>
    <row r="18" spans="1:68" s="192" customFormat="1" ht="140.25">
      <c r="A18" s="880"/>
      <c r="B18" s="1006" t="s">
        <v>5481</v>
      </c>
      <c r="C18" s="2405" t="s">
        <v>5482</v>
      </c>
      <c r="D18" s="1010"/>
      <c r="E18" s="2003" t="s">
        <v>51</v>
      </c>
      <c r="F18" s="1007">
        <v>3</v>
      </c>
      <c r="G18" s="1012">
        <v>0</v>
      </c>
      <c r="H18" s="1575">
        <v>0</v>
      </c>
      <c r="I18" s="1453">
        <v>0</v>
      </c>
      <c r="J18" s="1442">
        <v>0</v>
      </c>
      <c r="K18" s="1447">
        <v>0</v>
      </c>
      <c r="L18" s="1442">
        <v>8.0990000000000002</v>
      </c>
      <c r="M18" s="241">
        <f t="shared" si="14"/>
        <v>8.0990000000000002</v>
      </c>
      <c r="N18" s="1012">
        <v>0</v>
      </c>
      <c r="O18" s="1575">
        <v>0</v>
      </c>
      <c r="P18" s="1453">
        <v>0</v>
      </c>
      <c r="Q18" s="1442">
        <v>0</v>
      </c>
      <c r="R18" s="1447">
        <v>0</v>
      </c>
      <c r="S18" s="1442">
        <v>7.883</v>
      </c>
      <c r="T18" s="241">
        <f t="shared" si="0"/>
        <v>7.883</v>
      </c>
      <c r="U18" s="1763" t="s">
        <v>5483</v>
      </c>
      <c r="V18" s="70"/>
      <c r="W18" s="897">
        <f t="shared" si="1"/>
        <v>0</v>
      </c>
      <c r="Y18" s="71"/>
      <c r="AA18" s="93">
        <f t="shared" si="2"/>
        <v>0</v>
      </c>
      <c r="AB18" s="93">
        <f t="shared" si="3"/>
        <v>0</v>
      </c>
      <c r="AC18" s="93">
        <f t="shared" si="4"/>
        <v>0</v>
      </c>
      <c r="AD18" s="93">
        <f t="shared" si="5"/>
        <v>0</v>
      </c>
      <c r="AE18" s="93">
        <f t="shared" si="6"/>
        <v>0</v>
      </c>
      <c r="AF18" s="93">
        <f t="shared" si="7"/>
        <v>0</v>
      </c>
      <c r="AG18" s="85"/>
      <c r="AH18" s="93">
        <f t="shared" si="8"/>
        <v>0</v>
      </c>
      <c r="AI18" s="93">
        <f t="shared" si="9"/>
        <v>0</v>
      </c>
      <c r="AJ18" s="93">
        <f t="shared" si="10"/>
        <v>0</v>
      </c>
      <c r="AK18" s="93">
        <f t="shared" si="11"/>
        <v>0</v>
      </c>
      <c r="AL18" s="93">
        <f t="shared" si="12"/>
        <v>0</v>
      </c>
      <c r="AM18" s="93">
        <f t="shared" si="13"/>
        <v>0</v>
      </c>
      <c r="AN18" s="71"/>
      <c r="AP18" s="71"/>
      <c r="AT18" s="71"/>
      <c r="AW18" s="1006" t="s">
        <v>5481</v>
      </c>
      <c r="AX18" s="2813" t="s">
        <v>5482</v>
      </c>
      <c r="AY18" s="2813"/>
      <c r="AZ18" s="2003" t="s">
        <v>51</v>
      </c>
      <c r="BA18" s="1007">
        <v>3</v>
      </c>
      <c r="BB18" s="2814" t="s">
        <v>5484</v>
      </c>
      <c r="BC18" s="2815" t="s">
        <v>5485</v>
      </c>
      <c r="BD18" s="2816" t="s">
        <v>5486</v>
      </c>
      <c r="BE18" s="2817" t="s">
        <v>5487</v>
      </c>
      <c r="BF18" s="2818" t="s">
        <v>5488</v>
      </c>
      <c r="BG18" s="2817" t="s">
        <v>5489</v>
      </c>
      <c r="BH18" s="2095" t="s">
        <v>5490</v>
      </c>
      <c r="BI18" s="2814" t="s">
        <v>5491</v>
      </c>
      <c r="BJ18" s="2815" t="s">
        <v>5492</v>
      </c>
      <c r="BK18" s="2817" t="s">
        <v>5493</v>
      </c>
      <c r="BL18" s="2818" t="s">
        <v>5494</v>
      </c>
      <c r="BM18" s="2816" t="s">
        <v>5495</v>
      </c>
      <c r="BN18" s="2817" t="s">
        <v>5496</v>
      </c>
      <c r="BO18" s="2095" t="s">
        <v>5497</v>
      </c>
    </row>
    <row r="19" spans="1:68" s="192" customFormat="1" ht="331.5">
      <c r="A19" s="880"/>
      <c r="B19" s="1006" t="s">
        <v>5498</v>
      </c>
      <c r="C19" s="2405" t="s">
        <v>5499</v>
      </c>
      <c r="D19" s="1611"/>
      <c r="E19" s="2003" t="s">
        <v>51</v>
      </c>
      <c r="F19" s="1007">
        <v>3</v>
      </c>
      <c r="G19" s="1012">
        <v>0</v>
      </c>
      <c r="H19" s="1575">
        <v>0</v>
      </c>
      <c r="I19" s="1453">
        <v>0</v>
      </c>
      <c r="J19" s="1442">
        <v>0</v>
      </c>
      <c r="K19" s="1447">
        <v>0</v>
      </c>
      <c r="L19" s="1442">
        <v>7.2670000000000003</v>
      </c>
      <c r="M19" s="241">
        <f t="shared" si="14"/>
        <v>7.2670000000000003</v>
      </c>
      <c r="N19" s="1012">
        <v>0</v>
      </c>
      <c r="O19" s="1575">
        <v>0</v>
      </c>
      <c r="P19" s="1453">
        <v>0</v>
      </c>
      <c r="Q19" s="1442">
        <v>0</v>
      </c>
      <c r="R19" s="1447">
        <v>0</v>
      </c>
      <c r="S19" s="1442">
        <v>8.7080000000000002</v>
      </c>
      <c r="T19" s="241">
        <f t="shared" si="0"/>
        <v>8.7080000000000002</v>
      </c>
      <c r="U19" s="1763" t="s">
        <v>5500</v>
      </c>
      <c r="V19" s="70"/>
      <c r="W19" s="897">
        <f t="shared" si="1"/>
        <v>0</v>
      </c>
      <c r="Y19" s="71"/>
      <c r="AA19" s="93">
        <f t="shared" si="2"/>
        <v>0</v>
      </c>
      <c r="AB19" s="93">
        <f t="shared" si="3"/>
        <v>0</v>
      </c>
      <c r="AC19" s="93">
        <f t="shared" si="4"/>
        <v>0</v>
      </c>
      <c r="AD19" s="93">
        <f t="shared" si="5"/>
        <v>0</v>
      </c>
      <c r="AE19" s="93">
        <f t="shared" si="6"/>
        <v>0</v>
      </c>
      <c r="AF19" s="93">
        <f t="shared" si="7"/>
        <v>0</v>
      </c>
      <c r="AG19" s="85"/>
      <c r="AH19" s="93">
        <f t="shared" si="8"/>
        <v>0</v>
      </c>
      <c r="AI19" s="93">
        <f t="shared" si="9"/>
        <v>0</v>
      </c>
      <c r="AJ19" s="93">
        <f t="shared" si="10"/>
        <v>0</v>
      </c>
      <c r="AK19" s="93">
        <f t="shared" si="11"/>
        <v>0</v>
      </c>
      <c r="AL19" s="93">
        <f t="shared" si="12"/>
        <v>0</v>
      </c>
      <c r="AM19" s="93">
        <f t="shared" si="13"/>
        <v>0</v>
      </c>
      <c r="AN19" s="71"/>
      <c r="AP19" s="71"/>
      <c r="AT19" s="71"/>
      <c r="AW19" s="1006" t="s">
        <v>5498</v>
      </c>
      <c r="AX19" s="2813" t="s">
        <v>5499</v>
      </c>
      <c r="AY19" s="2813"/>
      <c r="AZ19" s="2003" t="s">
        <v>51</v>
      </c>
      <c r="BA19" s="1007">
        <v>3</v>
      </c>
      <c r="BB19" s="2814" t="s">
        <v>5501</v>
      </c>
      <c r="BC19" s="2815" t="s">
        <v>5502</v>
      </c>
      <c r="BD19" s="2816" t="s">
        <v>5503</v>
      </c>
      <c r="BE19" s="2817" t="s">
        <v>5504</v>
      </c>
      <c r="BF19" s="2818" t="s">
        <v>5505</v>
      </c>
      <c r="BG19" s="2817" t="s">
        <v>5506</v>
      </c>
      <c r="BH19" s="2095" t="s">
        <v>5507</v>
      </c>
      <c r="BI19" s="2814" t="s">
        <v>5508</v>
      </c>
      <c r="BJ19" s="2815" t="s">
        <v>5509</v>
      </c>
      <c r="BK19" s="2817" t="s">
        <v>5510</v>
      </c>
      <c r="BL19" s="2818" t="s">
        <v>5511</v>
      </c>
      <c r="BM19" s="2816" t="s">
        <v>5512</v>
      </c>
      <c r="BN19" s="2817" t="s">
        <v>5513</v>
      </c>
      <c r="BO19" s="2095" t="s">
        <v>5514</v>
      </c>
      <c r="BP19" s="2144"/>
    </row>
    <row r="20" spans="1:68" s="192" customFormat="1" ht="409.5">
      <c r="A20" s="880"/>
      <c r="B20" s="1006" t="s">
        <v>5515</v>
      </c>
      <c r="C20" s="2405" t="s">
        <v>5516</v>
      </c>
      <c r="D20" s="1010"/>
      <c r="E20" s="2003" t="s">
        <v>51</v>
      </c>
      <c r="F20" s="1007">
        <v>3</v>
      </c>
      <c r="G20" s="1012">
        <v>0</v>
      </c>
      <c r="H20" s="1575">
        <v>0.01</v>
      </c>
      <c r="I20" s="1453">
        <v>0</v>
      </c>
      <c r="J20" s="1442">
        <v>0</v>
      </c>
      <c r="K20" s="1447">
        <v>6.25</v>
      </c>
      <c r="L20" s="1442">
        <v>-1.4999999999999999E-2</v>
      </c>
      <c r="M20" s="241">
        <f t="shared" si="14"/>
        <v>6.2450000000000001</v>
      </c>
      <c r="N20" s="1012">
        <v>0</v>
      </c>
      <c r="O20" s="1575">
        <v>2.0819999999999999</v>
      </c>
      <c r="P20" s="1453">
        <v>0</v>
      </c>
      <c r="Q20" s="1442">
        <v>0</v>
      </c>
      <c r="R20" s="1447">
        <v>26.550999999999998</v>
      </c>
      <c r="S20" s="1442">
        <v>0</v>
      </c>
      <c r="T20" s="241">
        <f t="shared" si="0"/>
        <v>28.632999999999999</v>
      </c>
      <c r="U20" s="1763" t="s">
        <v>5517</v>
      </c>
      <c r="V20" s="70"/>
      <c r="W20" s="897">
        <f t="shared" si="1"/>
        <v>0</v>
      </c>
      <c r="Y20" s="71"/>
      <c r="AA20" s="93">
        <f t="shared" si="2"/>
        <v>0</v>
      </c>
      <c r="AB20" s="93">
        <f t="shared" si="3"/>
        <v>0</v>
      </c>
      <c r="AC20" s="93">
        <f t="shared" si="4"/>
        <v>0</v>
      </c>
      <c r="AD20" s="93">
        <f t="shared" si="5"/>
        <v>0</v>
      </c>
      <c r="AE20" s="93">
        <f t="shared" si="6"/>
        <v>0</v>
      </c>
      <c r="AF20" s="93">
        <f t="shared" si="7"/>
        <v>0</v>
      </c>
      <c r="AG20" s="85"/>
      <c r="AH20" s="93">
        <f t="shared" si="8"/>
        <v>0</v>
      </c>
      <c r="AI20" s="93">
        <f t="shared" si="9"/>
        <v>0</v>
      </c>
      <c r="AJ20" s="93">
        <f t="shared" si="10"/>
        <v>0</v>
      </c>
      <c r="AK20" s="93">
        <f t="shared" si="11"/>
        <v>0</v>
      </c>
      <c r="AL20" s="93">
        <f t="shared" si="12"/>
        <v>0</v>
      </c>
      <c r="AM20" s="93">
        <f t="shared" si="13"/>
        <v>0</v>
      </c>
      <c r="AN20" s="71"/>
      <c r="AP20" s="71"/>
      <c r="AT20" s="71"/>
      <c r="AW20" s="1006" t="s">
        <v>5515</v>
      </c>
      <c r="AX20" s="2813" t="s">
        <v>5516</v>
      </c>
      <c r="AY20" s="2813"/>
      <c r="AZ20" s="2003" t="s">
        <v>51</v>
      </c>
      <c r="BA20" s="1007">
        <v>3</v>
      </c>
      <c r="BB20" s="2814" t="s">
        <v>5518</v>
      </c>
      <c r="BC20" s="2815" t="s">
        <v>5519</v>
      </c>
      <c r="BD20" s="2816" t="s">
        <v>5520</v>
      </c>
      <c r="BE20" s="2817" t="s">
        <v>5521</v>
      </c>
      <c r="BF20" s="2818" t="s">
        <v>5522</v>
      </c>
      <c r="BG20" s="2817" t="s">
        <v>5523</v>
      </c>
      <c r="BH20" s="2095" t="s">
        <v>5524</v>
      </c>
      <c r="BI20" s="2814" t="s">
        <v>5525</v>
      </c>
      <c r="BJ20" s="2815" t="s">
        <v>5526</v>
      </c>
      <c r="BK20" s="2817" t="s">
        <v>5527</v>
      </c>
      <c r="BL20" s="2818" t="s">
        <v>5528</v>
      </c>
      <c r="BM20" s="2816" t="s">
        <v>5529</v>
      </c>
      <c r="BN20" s="2817" t="s">
        <v>5530</v>
      </c>
      <c r="BO20" s="2095" t="s">
        <v>5531</v>
      </c>
      <c r="BP20" s="2144"/>
    </row>
    <row r="21" spans="1:68" s="192" customFormat="1">
      <c r="A21" s="880"/>
      <c r="B21" s="1006" t="s">
        <v>5532</v>
      </c>
      <c r="C21" s="2405" t="s">
        <v>5533</v>
      </c>
      <c r="D21" s="1010"/>
      <c r="E21" s="2003" t="s">
        <v>51</v>
      </c>
      <c r="F21" s="1007">
        <v>3</v>
      </c>
      <c r="G21" s="1012">
        <v>0</v>
      </c>
      <c r="H21" s="1575">
        <v>0</v>
      </c>
      <c r="I21" s="1453">
        <v>0</v>
      </c>
      <c r="J21" s="1442">
        <v>0</v>
      </c>
      <c r="K21" s="1447">
        <v>0</v>
      </c>
      <c r="L21" s="1442">
        <v>0</v>
      </c>
      <c r="M21" s="241">
        <f t="shared" si="14"/>
        <v>0</v>
      </c>
      <c r="N21" s="1012">
        <v>0</v>
      </c>
      <c r="O21" s="1575">
        <v>0</v>
      </c>
      <c r="P21" s="1453">
        <v>0</v>
      </c>
      <c r="Q21" s="1442">
        <v>0</v>
      </c>
      <c r="R21" s="1447">
        <v>0</v>
      </c>
      <c r="S21" s="1442">
        <v>0</v>
      </c>
      <c r="T21" s="241">
        <f t="shared" si="0"/>
        <v>0</v>
      </c>
      <c r="U21" s="1763"/>
      <c r="V21" s="70"/>
      <c r="W21" s="897">
        <f t="shared" si="1"/>
        <v>0</v>
      </c>
      <c r="Y21" s="71"/>
      <c r="AA21" s="93">
        <f t="shared" si="2"/>
        <v>0</v>
      </c>
      <c r="AB21" s="93">
        <f t="shared" si="3"/>
        <v>0</v>
      </c>
      <c r="AC21" s="93">
        <f t="shared" si="4"/>
        <v>0</v>
      </c>
      <c r="AD21" s="93">
        <f t="shared" si="5"/>
        <v>0</v>
      </c>
      <c r="AE21" s="93">
        <f t="shared" si="6"/>
        <v>0</v>
      </c>
      <c r="AF21" s="93">
        <f t="shared" si="7"/>
        <v>0</v>
      </c>
      <c r="AG21" s="85"/>
      <c r="AH21" s="93">
        <f t="shared" si="8"/>
        <v>0</v>
      </c>
      <c r="AI21" s="93">
        <f t="shared" si="9"/>
        <v>0</v>
      </c>
      <c r="AJ21" s="93">
        <f t="shared" si="10"/>
        <v>0</v>
      </c>
      <c r="AK21" s="93">
        <f t="shared" si="11"/>
        <v>0</v>
      </c>
      <c r="AL21" s="93">
        <f t="shared" si="12"/>
        <v>0</v>
      </c>
      <c r="AM21" s="93">
        <f t="shared" si="13"/>
        <v>0</v>
      </c>
      <c r="AN21" s="71"/>
      <c r="AP21" s="71"/>
      <c r="AT21" s="71"/>
      <c r="AW21" s="1006" t="s">
        <v>5532</v>
      </c>
      <c r="AX21" s="2813" t="s">
        <v>5533</v>
      </c>
      <c r="AY21" s="2813"/>
      <c r="AZ21" s="2003" t="s">
        <v>51</v>
      </c>
      <c r="BA21" s="1007">
        <v>3</v>
      </c>
      <c r="BB21" s="2814" t="s">
        <v>5534</v>
      </c>
      <c r="BC21" s="2815" t="s">
        <v>5535</v>
      </c>
      <c r="BD21" s="2816" t="s">
        <v>5536</v>
      </c>
      <c r="BE21" s="2817" t="s">
        <v>5537</v>
      </c>
      <c r="BF21" s="2818" t="s">
        <v>5538</v>
      </c>
      <c r="BG21" s="2817" t="s">
        <v>5539</v>
      </c>
      <c r="BH21" s="2095" t="s">
        <v>5540</v>
      </c>
      <c r="BI21" s="2814" t="s">
        <v>5541</v>
      </c>
      <c r="BJ21" s="2815" t="s">
        <v>5542</v>
      </c>
      <c r="BK21" s="2817" t="s">
        <v>5543</v>
      </c>
      <c r="BL21" s="2818" t="s">
        <v>5544</v>
      </c>
      <c r="BM21" s="2816" t="s">
        <v>5545</v>
      </c>
      <c r="BN21" s="2817" t="s">
        <v>5546</v>
      </c>
      <c r="BO21" s="2095" t="s">
        <v>5547</v>
      </c>
      <c r="BP21" s="2144"/>
    </row>
    <row r="22" spans="1:68" s="192" customFormat="1" ht="293.25">
      <c r="A22" s="880"/>
      <c r="B22" s="1006" t="s">
        <v>5548</v>
      </c>
      <c r="C22" s="2405" t="s">
        <v>5549</v>
      </c>
      <c r="D22" s="1010"/>
      <c r="E22" s="2003" t="s">
        <v>51</v>
      </c>
      <c r="F22" s="1007">
        <v>3</v>
      </c>
      <c r="G22" s="1012">
        <v>0</v>
      </c>
      <c r="H22" s="1575">
        <v>4.9000000000000002E-2</v>
      </c>
      <c r="I22" s="1453">
        <v>7.0000000000000001E-3</v>
      </c>
      <c r="J22" s="1442">
        <v>1.7999999999999999E-2</v>
      </c>
      <c r="K22" s="1447">
        <v>0.26300000000000001</v>
      </c>
      <c r="L22" s="1442">
        <v>0.753</v>
      </c>
      <c r="M22" s="241">
        <f t="shared" si="14"/>
        <v>1.0900000000000001</v>
      </c>
      <c r="N22" s="1012">
        <v>0</v>
      </c>
      <c r="O22" s="1575">
        <v>9.7000000000000003E-2</v>
      </c>
      <c r="P22" s="1453">
        <v>1.4E-2</v>
      </c>
      <c r="Q22" s="1442">
        <v>3.5999999999999997E-2</v>
      </c>
      <c r="R22" s="1447">
        <v>0.52100000000000002</v>
      </c>
      <c r="S22" s="1442">
        <v>1.492</v>
      </c>
      <c r="T22" s="241">
        <f t="shared" si="0"/>
        <v>2.16</v>
      </c>
      <c r="U22" s="1763" t="s">
        <v>5550</v>
      </c>
      <c r="V22" s="70"/>
      <c r="W22" s="897">
        <f t="shared" si="1"/>
        <v>0</v>
      </c>
      <c r="Y22" s="71"/>
      <c r="AA22" s="93">
        <f t="shared" si="2"/>
        <v>0</v>
      </c>
      <c r="AB22" s="93">
        <f t="shared" si="3"/>
        <v>0</v>
      </c>
      <c r="AC22" s="93">
        <f t="shared" si="4"/>
        <v>0</v>
      </c>
      <c r="AD22" s="93">
        <f t="shared" si="5"/>
        <v>0</v>
      </c>
      <c r="AE22" s="93">
        <f t="shared" si="6"/>
        <v>0</v>
      </c>
      <c r="AF22" s="93">
        <f t="shared" si="7"/>
        <v>0</v>
      </c>
      <c r="AG22" s="85"/>
      <c r="AH22" s="93">
        <f t="shared" si="8"/>
        <v>0</v>
      </c>
      <c r="AI22" s="93">
        <f t="shared" si="9"/>
        <v>0</v>
      </c>
      <c r="AJ22" s="93">
        <f t="shared" si="10"/>
        <v>0</v>
      </c>
      <c r="AK22" s="93">
        <f t="shared" si="11"/>
        <v>0</v>
      </c>
      <c r="AL22" s="93">
        <f t="shared" si="12"/>
        <v>0</v>
      </c>
      <c r="AM22" s="93">
        <f t="shared" si="13"/>
        <v>0</v>
      </c>
      <c r="AN22" s="71"/>
      <c r="AP22" s="71"/>
      <c r="AT22" s="71"/>
      <c r="AW22" s="1006" t="s">
        <v>5548</v>
      </c>
      <c r="AX22" s="2813" t="s">
        <v>5549</v>
      </c>
      <c r="AY22" s="2813"/>
      <c r="AZ22" s="2003" t="s">
        <v>51</v>
      </c>
      <c r="BA22" s="1007">
        <v>3</v>
      </c>
      <c r="BB22" s="2814" t="s">
        <v>5551</v>
      </c>
      <c r="BC22" s="2815" t="s">
        <v>5552</v>
      </c>
      <c r="BD22" s="2816" t="s">
        <v>5553</v>
      </c>
      <c r="BE22" s="2817" t="s">
        <v>5554</v>
      </c>
      <c r="BF22" s="2818" t="s">
        <v>5555</v>
      </c>
      <c r="BG22" s="2817" t="s">
        <v>5556</v>
      </c>
      <c r="BH22" s="2095" t="s">
        <v>5557</v>
      </c>
      <c r="BI22" s="2814" t="s">
        <v>5558</v>
      </c>
      <c r="BJ22" s="2815" t="s">
        <v>5559</v>
      </c>
      <c r="BK22" s="2817" t="s">
        <v>5560</v>
      </c>
      <c r="BL22" s="2818" t="s">
        <v>5561</v>
      </c>
      <c r="BM22" s="2816" t="s">
        <v>5562</v>
      </c>
      <c r="BN22" s="2817" t="s">
        <v>5563</v>
      </c>
      <c r="BO22" s="2095" t="s">
        <v>5564</v>
      </c>
      <c r="BP22" s="2144"/>
    </row>
    <row r="23" spans="1:68" s="192" customFormat="1">
      <c r="A23" s="880"/>
      <c r="B23" s="1006" t="s">
        <v>5565</v>
      </c>
      <c r="C23" s="2405" t="s">
        <v>5566</v>
      </c>
      <c r="D23" s="1010"/>
      <c r="E23" s="2003" t="s">
        <v>51</v>
      </c>
      <c r="F23" s="1007">
        <v>3</v>
      </c>
      <c r="G23" s="1008">
        <v>0</v>
      </c>
      <c r="H23" s="1575">
        <v>0</v>
      </c>
      <c r="I23" s="1453">
        <v>0</v>
      </c>
      <c r="J23" s="1442">
        <v>0</v>
      </c>
      <c r="K23" s="1447">
        <v>0</v>
      </c>
      <c r="L23" s="1442">
        <v>0</v>
      </c>
      <c r="M23" s="241">
        <f t="shared" ref="M23:M24" si="28">SUM(G23:L23)</f>
        <v>0</v>
      </c>
      <c r="N23" s="1008">
        <v>0</v>
      </c>
      <c r="O23" s="1575">
        <v>0</v>
      </c>
      <c r="P23" s="1453">
        <v>0</v>
      </c>
      <c r="Q23" s="1442">
        <v>0</v>
      </c>
      <c r="R23" s="1447">
        <v>0</v>
      </c>
      <c r="S23" s="1442">
        <v>0</v>
      </c>
      <c r="T23" s="398">
        <f t="shared" ref="T23:T24" si="29">SUM(N23:S23)</f>
        <v>0</v>
      </c>
      <c r="U23" s="1763"/>
      <c r="V23" s="70"/>
      <c r="W23" s="897">
        <f t="shared" ref="W23:W24" si="30" xml:space="preserve"> IF( SUM( Y23:AN23 ) = 0, 0, $AB$5 )</f>
        <v>0</v>
      </c>
      <c r="Y23" s="71"/>
      <c r="AA23" s="93">
        <f t="shared" ref="AA23:AA24" si="31" xml:space="preserve"> IF( ISNUMBER( G23 ), 0, 1 )</f>
        <v>0</v>
      </c>
      <c r="AB23" s="93">
        <f t="shared" ref="AB23:AB24" si="32" xml:space="preserve"> IF( ISNUMBER( H23 ), 0, 1 )</f>
        <v>0</v>
      </c>
      <c r="AC23" s="93">
        <f t="shared" ref="AC23:AC24" si="33" xml:space="preserve"> IF( ISNUMBER( I23 ), 0, 1 )</f>
        <v>0</v>
      </c>
      <c r="AD23" s="93">
        <f t="shared" ref="AD23:AD24" si="34" xml:space="preserve"> IF( ISNUMBER( J23 ), 0, 1 )</f>
        <v>0</v>
      </c>
      <c r="AE23" s="93">
        <f t="shared" ref="AE23:AE24" si="35" xml:space="preserve"> IF( ISNUMBER( K23 ), 0, 1 )</f>
        <v>0</v>
      </c>
      <c r="AF23" s="93">
        <f t="shared" ref="AF23:AF24" si="36" xml:space="preserve"> IF( ISNUMBER( L23 ), 0, 1 )</f>
        <v>0</v>
      </c>
      <c r="AG23" s="85"/>
      <c r="AH23" s="93">
        <f t="shared" ref="AH23:AH24" si="37" xml:space="preserve"> IF( ISNUMBER( N23 ), 0, 1 )</f>
        <v>0</v>
      </c>
      <c r="AI23" s="93">
        <f t="shared" ref="AI23:AI24" si="38" xml:space="preserve"> IF( ISNUMBER( O23 ), 0, 1 )</f>
        <v>0</v>
      </c>
      <c r="AJ23" s="93">
        <f t="shared" ref="AJ23:AJ24" si="39" xml:space="preserve"> IF( ISNUMBER( P23 ), 0, 1 )</f>
        <v>0</v>
      </c>
      <c r="AK23" s="93">
        <f t="shared" ref="AK23:AK24" si="40" xml:space="preserve"> IF( ISNUMBER( Q23 ), 0, 1 )</f>
        <v>0</v>
      </c>
      <c r="AL23" s="93">
        <f t="shared" ref="AL23:AL24" si="41" xml:space="preserve"> IF( ISNUMBER( R23 ), 0, 1 )</f>
        <v>0</v>
      </c>
      <c r="AM23" s="93">
        <f t="shared" ref="AM23:AM24" si="42" xml:space="preserve"> IF( ISNUMBER( S23 ), 0, 1 )</f>
        <v>0</v>
      </c>
      <c r="AN23" s="71"/>
      <c r="AP23" s="71"/>
      <c r="AT23" s="71"/>
      <c r="AW23" s="1006" t="s">
        <v>5565</v>
      </c>
      <c r="AX23" s="2813" t="s">
        <v>5566</v>
      </c>
      <c r="AY23" s="2813"/>
      <c r="AZ23" s="2003" t="s">
        <v>51</v>
      </c>
      <c r="BA23" s="1007">
        <v>3</v>
      </c>
      <c r="BB23" s="2806" t="s">
        <v>5567</v>
      </c>
      <c r="BC23" s="2807" t="s">
        <v>5568</v>
      </c>
      <c r="BD23" s="2808" t="s">
        <v>5569</v>
      </c>
      <c r="BE23" s="2809" t="s">
        <v>5570</v>
      </c>
      <c r="BF23" s="2810" t="s">
        <v>5571</v>
      </c>
      <c r="BG23" s="2809" t="s">
        <v>5572</v>
      </c>
      <c r="BH23" s="2095" t="s">
        <v>5573</v>
      </c>
      <c r="BI23" s="2806" t="s">
        <v>5574</v>
      </c>
      <c r="BJ23" s="2807" t="s">
        <v>5575</v>
      </c>
      <c r="BK23" s="2808" t="s">
        <v>5576</v>
      </c>
      <c r="BL23" s="2809" t="s">
        <v>5577</v>
      </c>
      <c r="BM23" s="2810" t="s">
        <v>5578</v>
      </c>
      <c r="BN23" s="2809" t="s">
        <v>5579</v>
      </c>
      <c r="BO23" s="2095" t="s">
        <v>5580</v>
      </c>
      <c r="BP23" s="2144"/>
    </row>
    <row r="24" spans="1:68" s="192" customFormat="1">
      <c r="A24" s="880"/>
      <c r="B24" s="1006" t="s">
        <v>5581</v>
      </c>
      <c r="C24" s="2405" t="s">
        <v>5582</v>
      </c>
      <c r="D24" s="1010"/>
      <c r="E24" s="2003" t="s">
        <v>51</v>
      </c>
      <c r="F24" s="1007">
        <v>3</v>
      </c>
      <c r="G24" s="1008">
        <v>0</v>
      </c>
      <c r="H24" s="1575">
        <v>0</v>
      </c>
      <c r="I24" s="1453">
        <v>0</v>
      </c>
      <c r="J24" s="1442">
        <v>0</v>
      </c>
      <c r="K24" s="1447">
        <v>0</v>
      </c>
      <c r="L24" s="1442">
        <v>0</v>
      </c>
      <c r="M24" s="241">
        <f t="shared" si="28"/>
        <v>0</v>
      </c>
      <c r="N24" s="1008">
        <v>0</v>
      </c>
      <c r="O24" s="1575">
        <v>0</v>
      </c>
      <c r="P24" s="1453">
        <v>0</v>
      </c>
      <c r="Q24" s="1442">
        <v>0</v>
      </c>
      <c r="R24" s="1447">
        <v>0</v>
      </c>
      <c r="S24" s="1442">
        <v>0</v>
      </c>
      <c r="T24" s="398">
        <f t="shared" si="29"/>
        <v>0</v>
      </c>
      <c r="U24" s="1763"/>
      <c r="V24" s="70"/>
      <c r="W24" s="897">
        <f t="shared" si="30"/>
        <v>0</v>
      </c>
      <c r="Y24" s="71"/>
      <c r="AA24" s="93">
        <f t="shared" si="31"/>
        <v>0</v>
      </c>
      <c r="AB24" s="93">
        <f t="shared" si="32"/>
        <v>0</v>
      </c>
      <c r="AC24" s="93">
        <f t="shared" si="33"/>
        <v>0</v>
      </c>
      <c r="AD24" s="93">
        <f t="shared" si="34"/>
        <v>0</v>
      </c>
      <c r="AE24" s="93">
        <f t="shared" si="35"/>
        <v>0</v>
      </c>
      <c r="AF24" s="93">
        <f t="shared" si="36"/>
        <v>0</v>
      </c>
      <c r="AG24" s="85"/>
      <c r="AH24" s="93">
        <f t="shared" si="37"/>
        <v>0</v>
      </c>
      <c r="AI24" s="93">
        <f t="shared" si="38"/>
        <v>0</v>
      </c>
      <c r="AJ24" s="93">
        <f t="shared" si="39"/>
        <v>0</v>
      </c>
      <c r="AK24" s="93">
        <f t="shared" si="40"/>
        <v>0</v>
      </c>
      <c r="AL24" s="93">
        <f t="shared" si="41"/>
        <v>0</v>
      </c>
      <c r="AM24" s="93">
        <f t="shared" si="42"/>
        <v>0</v>
      </c>
      <c r="AN24" s="71"/>
      <c r="AP24" s="71"/>
      <c r="AT24" s="71"/>
      <c r="AW24" s="1006" t="s">
        <v>5581</v>
      </c>
      <c r="AX24" s="2813" t="s">
        <v>5582</v>
      </c>
      <c r="AY24" s="2813"/>
      <c r="AZ24" s="2003" t="s">
        <v>51</v>
      </c>
      <c r="BA24" s="1007">
        <v>3</v>
      </c>
      <c r="BB24" s="2806" t="s">
        <v>5583</v>
      </c>
      <c r="BC24" s="2807" t="s">
        <v>5584</v>
      </c>
      <c r="BD24" s="2808" t="s">
        <v>5585</v>
      </c>
      <c r="BE24" s="2809" t="s">
        <v>5586</v>
      </c>
      <c r="BF24" s="2810" t="s">
        <v>5587</v>
      </c>
      <c r="BG24" s="2809" t="s">
        <v>5588</v>
      </c>
      <c r="BH24" s="2095" t="s">
        <v>5589</v>
      </c>
      <c r="BI24" s="2806" t="s">
        <v>5590</v>
      </c>
      <c r="BJ24" s="2807" t="s">
        <v>5591</v>
      </c>
      <c r="BK24" s="2808" t="s">
        <v>5592</v>
      </c>
      <c r="BL24" s="2809" t="s">
        <v>5593</v>
      </c>
      <c r="BM24" s="2810" t="s">
        <v>5594</v>
      </c>
      <c r="BN24" s="2809" t="s">
        <v>5595</v>
      </c>
      <c r="BO24" s="2095" t="s">
        <v>5596</v>
      </c>
      <c r="BP24" s="2144"/>
    </row>
    <row r="25" spans="1:68" s="192" customFormat="1">
      <c r="A25" s="880"/>
      <c r="B25" s="1006" t="s">
        <v>5597</v>
      </c>
      <c r="C25" s="2405" t="s">
        <v>5598</v>
      </c>
      <c r="D25" s="1611"/>
      <c r="E25" s="2003" t="s">
        <v>51</v>
      </c>
      <c r="F25" s="1007">
        <v>3</v>
      </c>
      <c r="G25" s="1012">
        <v>0</v>
      </c>
      <c r="H25" s="1575">
        <v>0</v>
      </c>
      <c r="I25" s="1453">
        <v>0</v>
      </c>
      <c r="J25" s="1442">
        <v>0</v>
      </c>
      <c r="K25" s="1447">
        <v>0</v>
      </c>
      <c r="L25" s="1442">
        <v>0</v>
      </c>
      <c r="M25" s="241">
        <f t="shared" si="14"/>
        <v>0</v>
      </c>
      <c r="N25" s="1012">
        <v>0</v>
      </c>
      <c r="O25" s="1575">
        <v>0</v>
      </c>
      <c r="P25" s="1453">
        <v>0</v>
      </c>
      <c r="Q25" s="1442">
        <v>0</v>
      </c>
      <c r="R25" s="1447">
        <v>0</v>
      </c>
      <c r="S25" s="1442">
        <v>0</v>
      </c>
      <c r="T25" s="241">
        <f t="shared" si="0"/>
        <v>0</v>
      </c>
      <c r="U25" s="1763"/>
      <c r="V25" s="70"/>
      <c r="W25" s="897">
        <f t="shared" si="1"/>
        <v>0</v>
      </c>
      <c r="Y25" s="71"/>
      <c r="AA25" s="93">
        <f t="shared" si="2"/>
        <v>0</v>
      </c>
      <c r="AB25" s="93">
        <f t="shared" si="3"/>
        <v>0</v>
      </c>
      <c r="AC25" s="93">
        <f t="shared" si="4"/>
        <v>0</v>
      </c>
      <c r="AD25" s="93">
        <f t="shared" si="5"/>
        <v>0</v>
      </c>
      <c r="AE25" s="93">
        <f t="shared" si="6"/>
        <v>0</v>
      </c>
      <c r="AF25" s="93">
        <f t="shared" si="7"/>
        <v>0</v>
      </c>
      <c r="AG25" s="85"/>
      <c r="AH25" s="93">
        <f t="shared" si="8"/>
        <v>0</v>
      </c>
      <c r="AI25" s="93">
        <f t="shared" si="9"/>
        <v>0</v>
      </c>
      <c r="AJ25" s="93">
        <f t="shared" si="10"/>
        <v>0</v>
      </c>
      <c r="AK25" s="93">
        <f t="shared" si="11"/>
        <v>0</v>
      </c>
      <c r="AL25" s="93">
        <f t="shared" si="12"/>
        <v>0</v>
      </c>
      <c r="AM25" s="93">
        <f t="shared" si="13"/>
        <v>0</v>
      </c>
      <c r="AN25" s="71"/>
      <c r="AP25" s="71"/>
      <c r="AT25" s="71"/>
      <c r="AW25" s="1006" t="s">
        <v>5597</v>
      </c>
      <c r="AX25" s="2819" t="s">
        <v>5598</v>
      </c>
      <c r="AY25" s="2820"/>
      <c r="AZ25" s="2003" t="s">
        <v>51</v>
      </c>
      <c r="BA25" s="1007">
        <v>3</v>
      </c>
      <c r="BB25" s="2814" t="s">
        <v>5599</v>
      </c>
      <c r="BC25" s="2815" t="s">
        <v>5600</v>
      </c>
      <c r="BD25" s="2816" t="s">
        <v>5601</v>
      </c>
      <c r="BE25" s="2817" t="s">
        <v>5602</v>
      </c>
      <c r="BF25" s="2818" t="s">
        <v>5603</v>
      </c>
      <c r="BG25" s="2817" t="s">
        <v>5604</v>
      </c>
      <c r="BH25" s="2095" t="s">
        <v>5605</v>
      </c>
      <c r="BI25" s="2814" t="s">
        <v>5606</v>
      </c>
      <c r="BJ25" s="2815" t="s">
        <v>5607</v>
      </c>
      <c r="BK25" s="2817" t="s">
        <v>5608</v>
      </c>
      <c r="BL25" s="2818" t="s">
        <v>5609</v>
      </c>
      <c r="BM25" s="2816" t="s">
        <v>5610</v>
      </c>
      <c r="BN25" s="2817" t="s">
        <v>5611</v>
      </c>
      <c r="BO25" s="2095" t="s">
        <v>5612</v>
      </c>
      <c r="BP25" s="2144"/>
    </row>
    <row r="26" spans="1:68" s="192" customFormat="1">
      <c r="A26" s="880"/>
      <c r="B26" s="1006" t="s">
        <v>5613</v>
      </c>
      <c r="C26" s="2405" t="s">
        <v>5614</v>
      </c>
      <c r="D26" s="1010"/>
      <c r="E26" s="2003" t="s">
        <v>51</v>
      </c>
      <c r="F26" s="1007">
        <v>3</v>
      </c>
      <c r="G26" s="1012">
        <v>0</v>
      </c>
      <c r="H26" s="1575">
        <v>0</v>
      </c>
      <c r="I26" s="1453">
        <v>0</v>
      </c>
      <c r="J26" s="1442">
        <v>0</v>
      </c>
      <c r="K26" s="1447">
        <v>0.27300000000000002</v>
      </c>
      <c r="L26" s="1442">
        <v>0</v>
      </c>
      <c r="M26" s="241">
        <f t="shared" si="14"/>
        <v>0.27300000000000002</v>
      </c>
      <c r="N26" s="1012">
        <v>0</v>
      </c>
      <c r="O26" s="1575">
        <v>0</v>
      </c>
      <c r="P26" s="1453">
        <v>0</v>
      </c>
      <c r="Q26" s="1442">
        <v>0</v>
      </c>
      <c r="R26" s="1447">
        <v>0.27500000000000002</v>
      </c>
      <c r="S26" s="1442">
        <v>0</v>
      </c>
      <c r="T26" s="241">
        <f t="shared" si="0"/>
        <v>0.27500000000000002</v>
      </c>
      <c r="U26" s="1763"/>
      <c r="V26" s="70"/>
      <c r="W26" s="897">
        <f t="shared" si="1"/>
        <v>0</v>
      </c>
      <c r="Y26" s="71"/>
      <c r="AA26" s="93">
        <f t="shared" si="2"/>
        <v>0</v>
      </c>
      <c r="AB26" s="93">
        <f t="shared" si="3"/>
        <v>0</v>
      </c>
      <c r="AC26" s="93">
        <f t="shared" si="4"/>
        <v>0</v>
      </c>
      <c r="AD26" s="93">
        <f t="shared" si="5"/>
        <v>0</v>
      </c>
      <c r="AE26" s="93">
        <f t="shared" si="6"/>
        <v>0</v>
      </c>
      <c r="AF26" s="93">
        <f t="shared" si="7"/>
        <v>0</v>
      </c>
      <c r="AG26" s="85"/>
      <c r="AH26" s="93">
        <f t="shared" si="8"/>
        <v>0</v>
      </c>
      <c r="AI26" s="93">
        <f t="shared" si="9"/>
        <v>0</v>
      </c>
      <c r="AJ26" s="93">
        <f t="shared" si="10"/>
        <v>0</v>
      </c>
      <c r="AK26" s="93">
        <f t="shared" si="11"/>
        <v>0</v>
      </c>
      <c r="AL26" s="93">
        <f t="shared" si="12"/>
        <v>0</v>
      </c>
      <c r="AM26" s="93">
        <f t="shared" si="13"/>
        <v>0</v>
      </c>
      <c r="AN26" s="71"/>
      <c r="AP26" s="71"/>
      <c r="AT26" s="71"/>
      <c r="AW26" s="1006" t="s">
        <v>5613</v>
      </c>
      <c r="AX26" s="2819" t="s">
        <v>5614</v>
      </c>
      <c r="AY26" s="2821"/>
      <c r="AZ26" s="2003" t="s">
        <v>51</v>
      </c>
      <c r="BA26" s="1007">
        <v>3</v>
      </c>
      <c r="BB26" s="2814" t="s">
        <v>5615</v>
      </c>
      <c r="BC26" s="2815" t="s">
        <v>5616</v>
      </c>
      <c r="BD26" s="2816" t="s">
        <v>5617</v>
      </c>
      <c r="BE26" s="2817" t="s">
        <v>5618</v>
      </c>
      <c r="BF26" s="2818" t="s">
        <v>5619</v>
      </c>
      <c r="BG26" s="2817" t="s">
        <v>5620</v>
      </c>
      <c r="BH26" s="241" t="s">
        <v>5621</v>
      </c>
      <c r="BI26" s="2814" t="s">
        <v>5622</v>
      </c>
      <c r="BJ26" s="2815" t="s">
        <v>5623</v>
      </c>
      <c r="BK26" s="2817" t="s">
        <v>5624</v>
      </c>
      <c r="BL26" s="2818" t="s">
        <v>5625</v>
      </c>
      <c r="BM26" s="2816" t="s">
        <v>5626</v>
      </c>
      <c r="BN26" s="2817" t="s">
        <v>5627</v>
      </c>
      <c r="BO26" s="241" t="s">
        <v>5628</v>
      </c>
    </row>
    <row r="27" spans="1:68" s="192" customFormat="1" ht="102">
      <c r="A27" s="880"/>
      <c r="B27" s="1006" t="s">
        <v>5629</v>
      </c>
      <c r="C27" s="2405" t="s">
        <v>5630</v>
      </c>
      <c r="D27" s="1010"/>
      <c r="E27" s="2003" t="s">
        <v>51</v>
      </c>
      <c r="F27" s="1007">
        <v>3</v>
      </c>
      <c r="G27" s="1012">
        <v>0</v>
      </c>
      <c r="H27" s="1575">
        <v>0</v>
      </c>
      <c r="I27" s="1453">
        <v>0</v>
      </c>
      <c r="J27" s="1442">
        <v>0</v>
      </c>
      <c r="K27" s="1447">
        <v>0</v>
      </c>
      <c r="L27" s="1442">
        <v>8.39</v>
      </c>
      <c r="M27" s="241">
        <f t="shared" si="14"/>
        <v>8.39</v>
      </c>
      <c r="N27" s="1012">
        <v>0</v>
      </c>
      <c r="O27" s="1575">
        <v>0</v>
      </c>
      <c r="P27" s="1453">
        <v>0</v>
      </c>
      <c r="Q27" s="1442">
        <v>0</v>
      </c>
      <c r="R27" s="1447">
        <v>0</v>
      </c>
      <c r="S27" s="1442">
        <v>8.39</v>
      </c>
      <c r="T27" s="241">
        <f t="shared" si="0"/>
        <v>8.39</v>
      </c>
      <c r="U27" s="1763" t="s">
        <v>5631</v>
      </c>
      <c r="V27" s="70"/>
      <c r="W27" s="897">
        <f t="shared" si="1"/>
        <v>0</v>
      </c>
      <c r="Y27" s="71"/>
      <c r="AA27" s="93">
        <f t="shared" si="2"/>
        <v>0</v>
      </c>
      <c r="AB27" s="93">
        <f t="shared" si="3"/>
        <v>0</v>
      </c>
      <c r="AC27" s="93">
        <f t="shared" si="4"/>
        <v>0</v>
      </c>
      <c r="AD27" s="93">
        <f t="shared" si="5"/>
        <v>0</v>
      </c>
      <c r="AE27" s="93">
        <f t="shared" si="6"/>
        <v>0</v>
      </c>
      <c r="AF27" s="93">
        <f t="shared" si="7"/>
        <v>0</v>
      </c>
      <c r="AG27" s="85"/>
      <c r="AH27" s="93">
        <f t="shared" si="8"/>
        <v>0</v>
      </c>
      <c r="AI27" s="93">
        <f t="shared" si="9"/>
        <v>0</v>
      </c>
      <c r="AJ27" s="93">
        <f t="shared" si="10"/>
        <v>0</v>
      </c>
      <c r="AK27" s="93">
        <f t="shared" si="11"/>
        <v>0</v>
      </c>
      <c r="AL27" s="93">
        <f t="shared" si="12"/>
        <v>0</v>
      </c>
      <c r="AM27" s="93">
        <f t="shared" si="13"/>
        <v>0</v>
      </c>
      <c r="AN27" s="71"/>
      <c r="AP27" s="71"/>
      <c r="AT27" s="71"/>
      <c r="AW27" s="1006" t="s">
        <v>5629</v>
      </c>
      <c r="AX27" s="2819" t="s">
        <v>5630</v>
      </c>
      <c r="AY27" s="2821"/>
      <c r="AZ27" s="2003" t="s">
        <v>51</v>
      </c>
      <c r="BA27" s="1007">
        <v>3</v>
      </c>
      <c r="BB27" s="2814" t="s">
        <v>5632</v>
      </c>
      <c r="BC27" s="2815" t="s">
        <v>5633</v>
      </c>
      <c r="BD27" s="2816" t="s">
        <v>5634</v>
      </c>
      <c r="BE27" s="2817" t="s">
        <v>5635</v>
      </c>
      <c r="BF27" s="2818" t="s">
        <v>5636</v>
      </c>
      <c r="BG27" s="2817" t="s">
        <v>5637</v>
      </c>
      <c r="BH27" s="241" t="s">
        <v>5638</v>
      </c>
      <c r="BI27" s="2814" t="s">
        <v>5639</v>
      </c>
      <c r="BJ27" s="2815" t="s">
        <v>5640</v>
      </c>
      <c r="BK27" s="2817" t="s">
        <v>5641</v>
      </c>
      <c r="BL27" s="2818" t="s">
        <v>5642</v>
      </c>
      <c r="BM27" s="2816" t="s">
        <v>5643</v>
      </c>
      <c r="BN27" s="2817" t="s">
        <v>5644</v>
      </c>
      <c r="BO27" s="241" t="s">
        <v>5645</v>
      </c>
    </row>
    <row r="28" spans="1:68" s="192" customFormat="1">
      <c r="A28" s="880"/>
      <c r="B28" s="1006" t="s">
        <v>5646</v>
      </c>
      <c r="C28" s="1010" t="s">
        <v>5647</v>
      </c>
      <c r="D28" s="1010"/>
      <c r="E28" s="2003" t="s">
        <v>51</v>
      </c>
      <c r="F28" s="1007">
        <v>3</v>
      </c>
      <c r="G28" s="1012">
        <v>0</v>
      </c>
      <c r="H28" s="1575">
        <v>0</v>
      </c>
      <c r="I28" s="1453">
        <v>0</v>
      </c>
      <c r="J28" s="1442">
        <v>0</v>
      </c>
      <c r="K28" s="1447">
        <v>0</v>
      </c>
      <c r="L28" s="1442">
        <v>0</v>
      </c>
      <c r="M28" s="241">
        <f t="shared" si="14"/>
        <v>0</v>
      </c>
      <c r="N28" s="1012">
        <v>0</v>
      </c>
      <c r="O28" s="1575">
        <v>0</v>
      </c>
      <c r="P28" s="1453">
        <v>0</v>
      </c>
      <c r="Q28" s="1442">
        <v>0</v>
      </c>
      <c r="R28" s="1447">
        <v>0</v>
      </c>
      <c r="S28" s="1442">
        <v>0</v>
      </c>
      <c r="T28" s="241">
        <f t="shared" si="0"/>
        <v>0</v>
      </c>
      <c r="U28" s="1763"/>
      <c r="V28" s="70"/>
      <c r="W28" s="897">
        <f t="shared" si="1"/>
        <v>0</v>
      </c>
      <c r="Y28" s="71"/>
      <c r="AA28" s="93">
        <f t="shared" si="2"/>
        <v>0</v>
      </c>
      <c r="AB28" s="93">
        <f t="shared" si="3"/>
        <v>0</v>
      </c>
      <c r="AC28" s="93">
        <f t="shared" si="4"/>
        <v>0</v>
      </c>
      <c r="AD28" s="93">
        <f t="shared" si="5"/>
        <v>0</v>
      </c>
      <c r="AE28" s="93">
        <f t="shared" si="6"/>
        <v>0</v>
      </c>
      <c r="AF28" s="93">
        <f t="shared" si="7"/>
        <v>0</v>
      </c>
      <c r="AG28" s="85"/>
      <c r="AH28" s="93">
        <f t="shared" si="8"/>
        <v>0</v>
      </c>
      <c r="AI28" s="93">
        <f t="shared" si="9"/>
        <v>0</v>
      </c>
      <c r="AJ28" s="93">
        <f t="shared" si="10"/>
        <v>0</v>
      </c>
      <c r="AK28" s="93">
        <f t="shared" si="11"/>
        <v>0</v>
      </c>
      <c r="AL28" s="93">
        <f t="shared" si="12"/>
        <v>0</v>
      </c>
      <c r="AM28" s="93">
        <f t="shared" si="13"/>
        <v>0</v>
      </c>
      <c r="AN28" s="71"/>
      <c r="AP28" s="71"/>
      <c r="AT28" s="71"/>
      <c r="AW28" s="1006" t="s">
        <v>5646</v>
      </c>
      <c r="AX28" s="2819" t="s">
        <v>5647</v>
      </c>
      <c r="AY28" s="2821"/>
      <c r="AZ28" s="2003" t="s">
        <v>51</v>
      </c>
      <c r="BA28" s="1007">
        <v>3</v>
      </c>
      <c r="BB28" s="2814" t="s">
        <v>5648</v>
      </c>
      <c r="BC28" s="2815" t="s">
        <v>5649</v>
      </c>
      <c r="BD28" s="2816" t="s">
        <v>5650</v>
      </c>
      <c r="BE28" s="2817" t="s">
        <v>5651</v>
      </c>
      <c r="BF28" s="2818" t="s">
        <v>5652</v>
      </c>
      <c r="BG28" s="2817" t="s">
        <v>5653</v>
      </c>
      <c r="BH28" s="241" t="s">
        <v>5654</v>
      </c>
      <c r="BI28" s="2814" t="s">
        <v>5655</v>
      </c>
      <c r="BJ28" s="2815" t="s">
        <v>5656</v>
      </c>
      <c r="BK28" s="2817" t="s">
        <v>5657</v>
      </c>
      <c r="BL28" s="2818" t="s">
        <v>5658</v>
      </c>
      <c r="BM28" s="2816" t="s">
        <v>5659</v>
      </c>
      <c r="BN28" s="2817" t="s">
        <v>5660</v>
      </c>
      <c r="BO28" s="241" t="s">
        <v>5661</v>
      </c>
    </row>
    <row r="29" spans="1:68" s="192" customFormat="1">
      <c r="A29" s="880"/>
      <c r="B29" s="1006" t="s">
        <v>5662</v>
      </c>
      <c r="C29" s="1010" t="s">
        <v>5663</v>
      </c>
      <c r="D29" s="1010"/>
      <c r="E29" s="2003" t="s">
        <v>51</v>
      </c>
      <c r="F29" s="1007">
        <v>3</v>
      </c>
      <c r="G29" s="1012">
        <v>0</v>
      </c>
      <c r="H29" s="1575">
        <v>0</v>
      </c>
      <c r="I29" s="1453">
        <v>0</v>
      </c>
      <c r="J29" s="1442">
        <v>0</v>
      </c>
      <c r="K29" s="1447">
        <v>0</v>
      </c>
      <c r="L29" s="1442">
        <v>0</v>
      </c>
      <c r="M29" s="241">
        <f t="shared" si="14"/>
        <v>0</v>
      </c>
      <c r="N29" s="1012">
        <v>0</v>
      </c>
      <c r="O29" s="1575">
        <v>0</v>
      </c>
      <c r="P29" s="1453">
        <v>0</v>
      </c>
      <c r="Q29" s="1442">
        <v>0</v>
      </c>
      <c r="R29" s="1447">
        <v>0</v>
      </c>
      <c r="S29" s="1442">
        <v>0</v>
      </c>
      <c r="T29" s="241">
        <f t="shared" si="0"/>
        <v>0</v>
      </c>
      <c r="U29" s="1763"/>
      <c r="V29" s="70"/>
      <c r="W29" s="897">
        <f t="shared" si="1"/>
        <v>0</v>
      </c>
      <c r="Y29" s="71"/>
      <c r="AA29" s="93">
        <f t="shared" si="2"/>
        <v>0</v>
      </c>
      <c r="AB29" s="93">
        <f t="shared" si="3"/>
        <v>0</v>
      </c>
      <c r="AC29" s="93">
        <f t="shared" si="4"/>
        <v>0</v>
      </c>
      <c r="AD29" s="93">
        <f t="shared" si="5"/>
        <v>0</v>
      </c>
      <c r="AE29" s="93">
        <f t="shared" si="6"/>
        <v>0</v>
      </c>
      <c r="AF29" s="93">
        <f t="shared" si="7"/>
        <v>0</v>
      </c>
      <c r="AG29" s="85"/>
      <c r="AH29" s="93">
        <f t="shared" si="8"/>
        <v>0</v>
      </c>
      <c r="AI29" s="93">
        <f t="shared" si="9"/>
        <v>0</v>
      </c>
      <c r="AJ29" s="93">
        <f t="shared" si="10"/>
        <v>0</v>
      </c>
      <c r="AK29" s="93">
        <f t="shared" si="11"/>
        <v>0</v>
      </c>
      <c r="AL29" s="93">
        <f t="shared" si="12"/>
        <v>0</v>
      </c>
      <c r="AM29" s="93">
        <f t="shared" si="13"/>
        <v>0</v>
      </c>
      <c r="AN29" s="71"/>
      <c r="AP29" s="71"/>
      <c r="AT29" s="71"/>
      <c r="AW29" s="1006" t="s">
        <v>5662</v>
      </c>
      <c r="AX29" s="2819" t="s">
        <v>5663</v>
      </c>
      <c r="AY29" s="2821"/>
      <c r="AZ29" s="2003" t="s">
        <v>51</v>
      </c>
      <c r="BA29" s="1007">
        <v>3</v>
      </c>
      <c r="BB29" s="2814" t="s">
        <v>5664</v>
      </c>
      <c r="BC29" s="2815" t="s">
        <v>5665</v>
      </c>
      <c r="BD29" s="2816" t="s">
        <v>5666</v>
      </c>
      <c r="BE29" s="2817" t="s">
        <v>5667</v>
      </c>
      <c r="BF29" s="2818" t="s">
        <v>5668</v>
      </c>
      <c r="BG29" s="2817" t="s">
        <v>5669</v>
      </c>
      <c r="BH29" s="241" t="s">
        <v>5670</v>
      </c>
      <c r="BI29" s="2814" t="s">
        <v>5671</v>
      </c>
      <c r="BJ29" s="2815" t="s">
        <v>5672</v>
      </c>
      <c r="BK29" s="2817" t="s">
        <v>5673</v>
      </c>
      <c r="BL29" s="2818" t="s">
        <v>5674</v>
      </c>
      <c r="BM29" s="2816" t="s">
        <v>5675</v>
      </c>
      <c r="BN29" s="2817" t="s">
        <v>5676</v>
      </c>
      <c r="BO29" s="241" t="s">
        <v>5677</v>
      </c>
    </row>
    <row r="30" spans="1:68" s="192" customFormat="1" ht="102">
      <c r="A30" s="880"/>
      <c r="B30" s="1006" t="s">
        <v>5678</v>
      </c>
      <c r="C30" s="1013" t="s">
        <v>5679</v>
      </c>
      <c r="D30" s="1010"/>
      <c r="E30" s="2003" t="s">
        <v>51</v>
      </c>
      <c r="F30" s="1007">
        <v>3</v>
      </c>
      <c r="G30" s="1012">
        <v>0</v>
      </c>
      <c r="H30" s="1575">
        <v>0.16200000000000001</v>
      </c>
      <c r="I30" s="1453">
        <v>0</v>
      </c>
      <c r="J30" s="1442">
        <v>0</v>
      </c>
      <c r="K30" s="1447">
        <v>0</v>
      </c>
      <c r="L30" s="1442">
        <v>0</v>
      </c>
      <c r="M30" s="241">
        <f t="shared" si="14"/>
        <v>0.16200000000000001</v>
      </c>
      <c r="N30" s="1012">
        <v>0</v>
      </c>
      <c r="O30" s="1575">
        <v>1.242</v>
      </c>
      <c r="P30" s="1453">
        <v>0</v>
      </c>
      <c r="Q30" s="1442">
        <v>0</v>
      </c>
      <c r="R30" s="1447">
        <v>0</v>
      </c>
      <c r="S30" s="1442">
        <v>0</v>
      </c>
      <c r="T30" s="241">
        <f t="shared" si="0"/>
        <v>1.242</v>
      </c>
      <c r="U30" s="1763" t="s">
        <v>5680</v>
      </c>
      <c r="V30" s="70"/>
      <c r="W30" s="897">
        <f t="shared" ref="W30:W44" si="43">(IF(SUM(AA30:AN30)=0,IF(Z30=1,AS$30,0),$AB$5))</f>
        <v>0</v>
      </c>
      <c r="Y30" s="71"/>
      <c r="Z30" s="93">
        <f xml:space="preserve"> IF( AND(OR($C30 = "Capital expenditure purpose - WATER additional line 1 [Other categories]",$C30=""), OR( G30 &lt;&gt; 0, H30 &lt;&gt; 0, I30 &lt;&gt; 0, J30 &lt;&gt; 0, K30 &lt;&gt; 0, L30 &lt;&gt; 0, N30 &lt;&gt; 0, O30 &lt;&gt; 0, P30 &lt;&gt; 0, Q30 &lt;&gt; 0, R30 &lt;&gt; 0, S30 &lt;&gt; 0) ), 1, 0 )</f>
        <v>0</v>
      </c>
      <c r="AA30" s="93">
        <f t="shared" ref="AA30:AF30" si="44" xml:space="preserve"> IF(AND($C30="Capital expenditure purpose - WATER additional line 1 [Other categories]",$M30=0), 0, IF( ISNUMBER( G30 ), 0, 1 ))</f>
        <v>0</v>
      </c>
      <c r="AB30" s="93">
        <f t="shared" si="44"/>
        <v>0</v>
      </c>
      <c r="AC30" s="93">
        <f t="shared" si="44"/>
        <v>0</v>
      </c>
      <c r="AD30" s="93">
        <f t="shared" si="44"/>
        <v>0</v>
      </c>
      <c r="AE30" s="93">
        <f t="shared" si="44"/>
        <v>0</v>
      </c>
      <c r="AF30" s="93">
        <f t="shared" si="44"/>
        <v>0</v>
      </c>
      <c r="AG30" s="85"/>
      <c r="AH30" s="93">
        <f t="shared" ref="AH30:AM30" si="45" xml:space="preserve"> IF(AND($C30="Capital expenditure purpose - WATER additional line 1 [Other categories]",$M30=0), 0, IF( ISNUMBER( N30 ), 0, 1 ))</f>
        <v>0</v>
      </c>
      <c r="AI30" s="93">
        <f t="shared" si="45"/>
        <v>0</v>
      </c>
      <c r="AJ30" s="93">
        <f t="shared" si="45"/>
        <v>0</v>
      </c>
      <c r="AK30" s="93">
        <f t="shared" si="45"/>
        <v>0</v>
      </c>
      <c r="AL30" s="93">
        <f t="shared" si="45"/>
        <v>0</v>
      </c>
      <c r="AM30" s="93">
        <f t="shared" si="45"/>
        <v>0</v>
      </c>
      <c r="AN30" s="71"/>
      <c r="AP30" s="71"/>
      <c r="AS30" s="479" t="s">
        <v>4777</v>
      </c>
      <c r="AT30" s="71"/>
      <c r="AW30" s="1006" t="s">
        <v>5678</v>
      </c>
      <c r="AX30" s="2822" t="s">
        <v>5681</v>
      </c>
      <c r="AY30" s="2821"/>
      <c r="AZ30" s="2003" t="s">
        <v>51</v>
      </c>
      <c r="BA30" s="1007">
        <v>3</v>
      </c>
      <c r="BB30" s="2814" t="s">
        <v>5681</v>
      </c>
      <c r="BC30" s="2815" t="s">
        <v>5682</v>
      </c>
      <c r="BD30" s="2816" t="s">
        <v>5683</v>
      </c>
      <c r="BE30" s="2817" t="s">
        <v>5684</v>
      </c>
      <c r="BF30" s="2818" t="s">
        <v>5685</v>
      </c>
      <c r="BG30" s="2817" t="s">
        <v>5686</v>
      </c>
      <c r="BH30" s="241" t="s">
        <v>5687</v>
      </c>
      <c r="BI30" s="2814" t="s">
        <v>5688</v>
      </c>
      <c r="BJ30" s="2815" t="s">
        <v>5689</v>
      </c>
      <c r="BK30" s="2817" t="s">
        <v>5690</v>
      </c>
      <c r="BL30" s="2818" t="s">
        <v>5691</v>
      </c>
      <c r="BM30" s="2816" t="s">
        <v>5692</v>
      </c>
      <c r="BN30" s="2817" t="s">
        <v>5693</v>
      </c>
      <c r="BO30" s="241" t="s">
        <v>5694</v>
      </c>
    </row>
    <row r="31" spans="1:68" s="192" customFormat="1">
      <c r="A31" s="880"/>
      <c r="B31" s="1006" t="s">
        <v>5695</v>
      </c>
      <c r="C31" s="1013" t="s">
        <v>5696</v>
      </c>
      <c r="D31" s="1010"/>
      <c r="E31" s="2003" t="s">
        <v>51</v>
      </c>
      <c r="F31" s="1007">
        <v>3</v>
      </c>
      <c r="G31" s="1012">
        <v>0</v>
      </c>
      <c r="H31" s="1575">
        <v>0</v>
      </c>
      <c r="I31" s="1453">
        <v>0</v>
      </c>
      <c r="J31" s="1442">
        <v>0</v>
      </c>
      <c r="K31" s="1447">
        <v>0</v>
      </c>
      <c r="L31" s="1442">
        <v>0</v>
      </c>
      <c r="M31" s="241">
        <f t="shared" si="14"/>
        <v>0</v>
      </c>
      <c r="N31" s="1012">
        <v>0</v>
      </c>
      <c r="O31" s="1575">
        <v>0</v>
      </c>
      <c r="P31" s="1453">
        <v>0</v>
      </c>
      <c r="Q31" s="1442">
        <v>0</v>
      </c>
      <c r="R31" s="1447">
        <v>0</v>
      </c>
      <c r="S31" s="1442">
        <v>0</v>
      </c>
      <c r="T31" s="241">
        <f t="shared" si="0"/>
        <v>0</v>
      </c>
      <c r="U31" s="1763"/>
      <c r="V31" s="70"/>
      <c r="W31" s="897">
        <f t="shared" si="43"/>
        <v>0</v>
      </c>
      <c r="Y31" s="71"/>
      <c r="Z31" s="93">
        <f xml:space="preserve"> IF( AND(OR($C31 = "Capital expenditure purpose - WATER additional line 2 [Other categories]",$C31=""), OR( G31 &lt;&gt; 0, H31 &lt;&gt; 0, I31 &lt;&gt; 0, J31 &lt;&gt; 0, K31 &lt;&gt; 0, L31 &lt;&gt; 0, N31 &lt;&gt; 0, O31 &lt;&gt; 0, P31 &lt;&gt; 0, Q31 &lt;&gt; 0, R31 &lt;&gt; 0, S31 &lt;&gt; 0) ), 1, 0 )</f>
        <v>0</v>
      </c>
      <c r="AA31" s="93">
        <f t="shared" ref="AA31:AF31" si="46" xml:space="preserve"> IF(AND($C31="Capital expenditure purpose - WATER additional line 2 [Other categories]",$M31=0), 0, IF( ISNUMBER( G31 ), 0, 1 ))</f>
        <v>0</v>
      </c>
      <c r="AB31" s="93">
        <f t="shared" si="46"/>
        <v>0</v>
      </c>
      <c r="AC31" s="93">
        <f t="shared" si="46"/>
        <v>0</v>
      </c>
      <c r="AD31" s="93">
        <f t="shared" si="46"/>
        <v>0</v>
      </c>
      <c r="AE31" s="93">
        <f t="shared" si="46"/>
        <v>0</v>
      </c>
      <c r="AF31" s="93">
        <f t="shared" si="46"/>
        <v>0</v>
      </c>
      <c r="AG31" s="85"/>
      <c r="AH31" s="93">
        <f t="shared" ref="AH31:AM31" si="47" xml:space="preserve"> IF(AND($C31="Capital expenditure purpose - WATER additional line 2 [Other categories]",$M31=0), 0, IF( ISNUMBER( N31 ), 0, 1 ))</f>
        <v>0</v>
      </c>
      <c r="AI31" s="93">
        <f t="shared" si="47"/>
        <v>0</v>
      </c>
      <c r="AJ31" s="93">
        <f t="shared" si="47"/>
        <v>0</v>
      </c>
      <c r="AK31" s="93">
        <f t="shared" si="47"/>
        <v>0</v>
      </c>
      <c r="AL31" s="93">
        <f t="shared" si="47"/>
        <v>0</v>
      </c>
      <c r="AM31" s="93">
        <f t="shared" si="47"/>
        <v>0</v>
      </c>
      <c r="AN31" s="71"/>
      <c r="AP31" s="71"/>
      <c r="AT31" s="71"/>
      <c r="AW31" s="1006" t="s">
        <v>5695</v>
      </c>
      <c r="AX31" s="2822" t="s">
        <v>5697</v>
      </c>
      <c r="AY31" s="2821"/>
      <c r="AZ31" s="2003" t="s">
        <v>51</v>
      </c>
      <c r="BA31" s="1007">
        <v>3</v>
      </c>
      <c r="BB31" s="2814" t="s">
        <v>5697</v>
      </c>
      <c r="BC31" s="2815" t="s">
        <v>5698</v>
      </c>
      <c r="BD31" s="2816" t="s">
        <v>5699</v>
      </c>
      <c r="BE31" s="2817" t="s">
        <v>5700</v>
      </c>
      <c r="BF31" s="2818" t="s">
        <v>5701</v>
      </c>
      <c r="BG31" s="2817" t="s">
        <v>5702</v>
      </c>
      <c r="BH31" s="241" t="s">
        <v>5703</v>
      </c>
      <c r="BI31" s="2814" t="s">
        <v>5704</v>
      </c>
      <c r="BJ31" s="2815" t="s">
        <v>5705</v>
      </c>
      <c r="BK31" s="2817" t="s">
        <v>5706</v>
      </c>
      <c r="BL31" s="2818" t="s">
        <v>5707</v>
      </c>
      <c r="BM31" s="2816" t="s">
        <v>5708</v>
      </c>
      <c r="BN31" s="2817" t="s">
        <v>5709</v>
      </c>
      <c r="BO31" s="241" t="s">
        <v>5710</v>
      </c>
    </row>
    <row r="32" spans="1:68" s="192" customFormat="1" ht="409.5">
      <c r="A32" s="880"/>
      <c r="B32" s="1006" t="s">
        <v>5711</v>
      </c>
      <c r="C32" s="1013" t="s">
        <v>5712</v>
      </c>
      <c r="D32" s="1010"/>
      <c r="E32" s="2003" t="s">
        <v>51</v>
      </c>
      <c r="F32" s="1007">
        <v>3</v>
      </c>
      <c r="G32" s="1012">
        <v>0</v>
      </c>
      <c r="H32" s="1575">
        <v>0</v>
      </c>
      <c r="I32" s="1453">
        <v>0</v>
      </c>
      <c r="J32" s="1442">
        <v>0</v>
      </c>
      <c r="K32" s="1447">
        <v>0</v>
      </c>
      <c r="L32" s="1442">
        <v>46.616999999999997</v>
      </c>
      <c r="M32" s="241">
        <f t="shared" si="14"/>
        <v>46.616999999999997</v>
      </c>
      <c r="N32" s="1012">
        <v>0</v>
      </c>
      <c r="O32" s="1575">
        <v>0</v>
      </c>
      <c r="P32" s="1453">
        <v>0</v>
      </c>
      <c r="Q32" s="1442">
        <v>0</v>
      </c>
      <c r="R32" s="1447">
        <v>0</v>
      </c>
      <c r="S32" s="1442">
        <v>54.828000000000003</v>
      </c>
      <c r="T32" s="241">
        <f t="shared" si="0"/>
        <v>54.828000000000003</v>
      </c>
      <c r="U32" s="1763" t="s">
        <v>5713</v>
      </c>
      <c r="V32" s="70"/>
      <c r="W32" s="897">
        <f t="shared" si="43"/>
        <v>0</v>
      </c>
      <c r="Y32" s="71"/>
      <c r="Z32" s="93">
        <f xml:space="preserve"> IF( AND(OR($C32 = "Capital expenditure purpose - WATER additional line 3 [Other categories]",$C32=""), OR( G32 &lt;&gt; 0, H32 &lt;&gt; 0, I32 &lt;&gt; 0, J32 &lt;&gt; 0, K32 &lt;&gt; 0, L32 &lt;&gt; 0, N32 &lt;&gt; 0, O32 &lt;&gt; 0, P32 &lt;&gt; 0, Q32 &lt;&gt; 0, R32 &lt;&gt; 0, S32 &lt;&gt; 0) ), 1, 0 )</f>
        <v>0</v>
      </c>
      <c r="AA32" s="93">
        <f t="shared" ref="AA32:AF32" si="48" xml:space="preserve"> IF(AND($C32="Capital expenditure purpose - WATER additional line 3 [Other categories]",$M32=0), 0, IF( ISNUMBER( G32 ), 0, 1 ))</f>
        <v>0</v>
      </c>
      <c r="AB32" s="93">
        <f t="shared" si="48"/>
        <v>0</v>
      </c>
      <c r="AC32" s="93">
        <f t="shared" si="48"/>
        <v>0</v>
      </c>
      <c r="AD32" s="93">
        <f t="shared" si="48"/>
        <v>0</v>
      </c>
      <c r="AE32" s="93">
        <f t="shared" si="48"/>
        <v>0</v>
      </c>
      <c r="AF32" s="93">
        <f t="shared" si="48"/>
        <v>0</v>
      </c>
      <c r="AG32" s="85"/>
      <c r="AH32" s="93">
        <f t="shared" ref="AH32:AM32" si="49" xml:space="preserve"> IF(AND($C32="Capital expenditure purpose - WATER additional line 3 [Other categories]",$M32=0), 0, IF( ISNUMBER( N32 ), 0, 1 ))</f>
        <v>0</v>
      </c>
      <c r="AI32" s="93">
        <f t="shared" si="49"/>
        <v>0</v>
      </c>
      <c r="AJ32" s="93">
        <f t="shared" si="49"/>
        <v>0</v>
      </c>
      <c r="AK32" s="93">
        <f t="shared" si="49"/>
        <v>0</v>
      </c>
      <c r="AL32" s="93">
        <f t="shared" si="49"/>
        <v>0</v>
      </c>
      <c r="AM32" s="93">
        <f t="shared" si="49"/>
        <v>0</v>
      </c>
      <c r="AN32" s="71"/>
      <c r="AP32" s="71"/>
      <c r="AT32" s="71"/>
      <c r="AW32" s="1006" t="s">
        <v>5711</v>
      </c>
      <c r="AX32" s="2822" t="s">
        <v>5714</v>
      </c>
      <c r="AY32" s="2821"/>
      <c r="AZ32" s="2003" t="s">
        <v>51</v>
      </c>
      <c r="BA32" s="1007">
        <v>3</v>
      </c>
      <c r="BB32" s="2814" t="s">
        <v>5714</v>
      </c>
      <c r="BC32" s="2815" t="s">
        <v>5715</v>
      </c>
      <c r="BD32" s="2816" t="s">
        <v>5716</v>
      </c>
      <c r="BE32" s="2817" t="s">
        <v>5717</v>
      </c>
      <c r="BF32" s="2818" t="s">
        <v>5718</v>
      </c>
      <c r="BG32" s="2817" t="s">
        <v>5719</v>
      </c>
      <c r="BH32" s="241" t="s">
        <v>5720</v>
      </c>
      <c r="BI32" s="2814" t="s">
        <v>5721</v>
      </c>
      <c r="BJ32" s="2815" t="s">
        <v>5722</v>
      </c>
      <c r="BK32" s="2817" t="s">
        <v>5723</v>
      </c>
      <c r="BL32" s="2818" t="s">
        <v>5724</v>
      </c>
      <c r="BM32" s="2816" t="s">
        <v>5725</v>
      </c>
      <c r="BN32" s="2817" t="s">
        <v>5726</v>
      </c>
      <c r="BO32" s="241" t="s">
        <v>5727</v>
      </c>
    </row>
    <row r="33" spans="1:67" s="192" customFormat="1" ht="114.75">
      <c r="A33" s="880"/>
      <c r="B33" s="1006" t="s">
        <v>5728</v>
      </c>
      <c r="C33" s="1013" t="s">
        <v>5729</v>
      </c>
      <c r="D33" s="1010"/>
      <c r="E33" s="2003" t="s">
        <v>51</v>
      </c>
      <c r="F33" s="1007">
        <v>3</v>
      </c>
      <c r="G33" s="1012">
        <v>0</v>
      </c>
      <c r="H33" s="1575">
        <v>0</v>
      </c>
      <c r="I33" s="1453">
        <v>0</v>
      </c>
      <c r="J33" s="1442">
        <v>0</v>
      </c>
      <c r="K33" s="1447">
        <v>0</v>
      </c>
      <c r="L33" s="1442">
        <v>3.7549999999999999</v>
      </c>
      <c r="M33" s="241">
        <f t="shared" si="14"/>
        <v>3.7549999999999999</v>
      </c>
      <c r="N33" s="1012">
        <v>0</v>
      </c>
      <c r="O33" s="1575">
        <v>0</v>
      </c>
      <c r="P33" s="1453">
        <v>0</v>
      </c>
      <c r="Q33" s="1442">
        <v>0</v>
      </c>
      <c r="R33" s="1447">
        <v>0</v>
      </c>
      <c r="S33" s="1442">
        <v>3.7650000000000001</v>
      </c>
      <c r="T33" s="241">
        <f t="shared" si="0"/>
        <v>3.7650000000000001</v>
      </c>
      <c r="U33" s="1763" t="s">
        <v>5730</v>
      </c>
      <c r="V33" s="70"/>
      <c r="W33" s="897">
        <f t="shared" si="43"/>
        <v>0</v>
      </c>
      <c r="Y33" s="71"/>
      <c r="Z33" s="93">
        <f xml:space="preserve"> IF( AND(OR($C33 = "Capital expenditure purpose - WATER additional line 4 [Other categories]",$C33=""), OR( G33 &lt;&gt; 0, H33 &lt;&gt; 0, I33 &lt;&gt; 0, J33 &lt;&gt; 0, K33 &lt;&gt; 0, L33 &lt;&gt; 0, N33 &lt;&gt; 0, O33 &lt;&gt; 0, P33 &lt;&gt; 0, Q33 &lt;&gt; 0, R33 &lt;&gt; 0, S33 &lt;&gt; 0) ), 1, 0 )</f>
        <v>0</v>
      </c>
      <c r="AA33" s="93">
        <f t="shared" ref="AA33:AF33" si="50" xml:space="preserve"> IF(AND($C33="Capital expenditure purpose - WATER additional line 4 [Other categories]",$M33=0), 0, IF( ISNUMBER( G33 ), 0, 1 ))</f>
        <v>0</v>
      </c>
      <c r="AB33" s="93">
        <f t="shared" si="50"/>
        <v>0</v>
      </c>
      <c r="AC33" s="93">
        <f t="shared" si="50"/>
        <v>0</v>
      </c>
      <c r="AD33" s="93">
        <f t="shared" si="50"/>
        <v>0</v>
      </c>
      <c r="AE33" s="93">
        <f t="shared" si="50"/>
        <v>0</v>
      </c>
      <c r="AF33" s="93">
        <f t="shared" si="50"/>
        <v>0</v>
      </c>
      <c r="AG33" s="85"/>
      <c r="AH33" s="93">
        <f t="shared" ref="AH33:AM33" si="51" xml:space="preserve"> IF(AND($C33="Capital expenditure purpose - WATER additional line 4 [Other categories]",$M33=0), 0, IF( ISNUMBER( N33 ), 0, 1 ))</f>
        <v>0</v>
      </c>
      <c r="AI33" s="93">
        <f t="shared" si="51"/>
        <v>0</v>
      </c>
      <c r="AJ33" s="93">
        <f t="shared" si="51"/>
        <v>0</v>
      </c>
      <c r="AK33" s="93">
        <f t="shared" si="51"/>
        <v>0</v>
      </c>
      <c r="AL33" s="93">
        <f t="shared" si="51"/>
        <v>0</v>
      </c>
      <c r="AM33" s="93">
        <f t="shared" si="51"/>
        <v>0</v>
      </c>
      <c r="AN33" s="71"/>
      <c r="AP33" s="71"/>
      <c r="AT33" s="71"/>
      <c r="AW33" s="1006" t="s">
        <v>5728</v>
      </c>
      <c r="AX33" s="2822" t="s">
        <v>5731</v>
      </c>
      <c r="AY33" s="2821"/>
      <c r="AZ33" s="2003" t="s">
        <v>51</v>
      </c>
      <c r="BA33" s="1007">
        <v>3</v>
      </c>
      <c r="BB33" s="2814" t="s">
        <v>5731</v>
      </c>
      <c r="BC33" s="2815" t="s">
        <v>5732</v>
      </c>
      <c r="BD33" s="2816" t="s">
        <v>5733</v>
      </c>
      <c r="BE33" s="2817" t="s">
        <v>5734</v>
      </c>
      <c r="BF33" s="2818" t="s">
        <v>5735</v>
      </c>
      <c r="BG33" s="2817" t="s">
        <v>5736</v>
      </c>
      <c r="BH33" s="241" t="s">
        <v>5737</v>
      </c>
      <c r="BI33" s="2814" t="s">
        <v>5738</v>
      </c>
      <c r="BJ33" s="2815" t="s">
        <v>5739</v>
      </c>
      <c r="BK33" s="2817" t="s">
        <v>5740</v>
      </c>
      <c r="BL33" s="2818" t="s">
        <v>5741</v>
      </c>
      <c r="BM33" s="2816" t="s">
        <v>5742</v>
      </c>
      <c r="BN33" s="2817" t="s">
        <v>5743</v>
      </c>
      <c r="BO33" s="241" t="s">
        <v>5744</v>
      </c>
    </row>
    <row r="34" spans="1:67" s="192" customFormat="1" ht="76.5">
      <c r="A34" s="880"/>
      <c r="B34" s="1006" t="s">
        <v>5745</v>
      </c>
      <c r="C34" s="1013" t="s">
        <v>5746</v>
      </c>
      <c r="D34" s="1010"/>
      <c r="E34" s="2003" t="s">
        <v>51</v>
      </c>
      <c r="F34" s="1007">
        <v>3</v>
      </c>
      <c r="G34" s="1012">
        <v>0</v>
      </c>
      <c r="H34" s="1575">
        <v>0</v>
      </c>
      <c r="I34" s="1453">
        <v>0</v>
      </c>
      <c r="J34" s="1442">
        <v>0</v>
      </c>
      <c r="K34" s="1447">
        <v>1.012</v>
      </c>
      <c r="L34" s="1442">
        <v>0</v>
      </c>
      <c r="M34" s="241">
        <f t="shared" si="14"/>
        <v>1.012</v>
      </c>
      <c r="N34" s="1012">
        <v>0</v>
      </c>
      <c r="O34" s="1575">
        <v>0</v>
      </c>
      <c r="P34" s="1453">
        <v>0</v>
      </c>
      <c r="Q34" s="1442">
        <v>0</v>
      </c>
      <c r="R34" s="1447">
        <v>1.012</v>
      </c>
      <c r="S34" s="1442">
        <v>6.2E-2</v>
      </c>
      <c r="T34" s="241">
        <f t="shared" si="0"/>
        <v>1.0740000000000001</v>
      </c>
      <c r="U34" s="1763" t="s">
        <v>5747</v>
      </c>
      <c r="V34" s="70"/>
      <c r="W34" s="897">
        <f t="shared" si="43"/>
        <v>0</v>
      </c>
      <c r="Y34" s="71"/>
      <c r="Z34" s="93">
        <f xml:space="preserve"> IF( AND(OR($C34 = "Capital expenditure purpose - WATER additional line 5 [Other categories]",$C34=""), OR( G34 &lt;&gt; 0, H34 &lt;&gt; 0, I34 &lt;&gt; 0, J34 &lt;&gt; 0, K34 &lt;&gt; 0, L34 &lt;&gt; 0, N34 &lt;&gt; 0, O34 &lt;&gt; 0, P34 &lt;&gt; 0, Q34 &lt;&gt; 0, R34 &lt;&gt; 0, S34 &lt;&gt; 0) ), 1, 0 )</f>
        <v>0</v>
      </c>
      <c r="AA34" s="93">
        <f t="shared" ref="AA34:AF34" si="52" xml:space="preserve"> IF(AND($C34="Capital expenditure purpose - WATER additional line 5 [Other categories]",$M34=0), 0, IF( ISNUMBER( G34 ), 0, 1 ))</f>
        <v>0</v>
      </c>
      <c r="AB34" s="93">
        <f t="shared" si="52"/>
        <v>0</v>
      </c>
      <c r="AC34" s="93">
        <f t="shared" si="52"/>
        <v>0</v>
      </c>
      <c r="AD34" s="93">
        <f t="shared" si="52"/>
        <v>0</v>
      </c>
      <c r="AE34" s="93">
        <f t="shared" si="52"/>
        <v>0</v>
      </c>
      <c r="AF34" s="93">
        <f t="shared" si="52"/>
        <v>0</v>
      </c>
      <c r="AG34" s="85"/>
      <c r="AH34" s="93">
        <f t="shared" ref="AH34:AM34" si="53" xml:space="preserve"> IF(AND($C34="Capital expenditure purpose - WATER additional line 5 [Other categories]",$M34=0), 0, IF( ISNUMBER( N34 ), 0, 1 ))</f>
        <v>0</v>
      </c>
      <c r="AI34" s="93">
        <f t="shared" si="53"/>
        <v>0</v>
      </c>
      <c r="AJ34" s="93">
        <f t="shared" si="53"/>
        <v>0</v>
      </c>
      <c r="AK34" s="93">
        <f t="shared" si="53"/>
        <v>0</v>
      </c>
      <c r="AL34" s="93">
        <f t="shared" si="53"/>
        <v>0</v>
      </c>
      <c r="AM34" s="93">
        <f t="shared" si="53"/>
        <v>0</v>
      </c>
      <c r="AN34" s="71"/>
      <c r="AP34" s="71"/>
      <c r="AT34" s="71"/>
      <c r="AW34" s="1006" t="s">
        <v>5745</v>
      </c>
      <c r="AX34" s="2822" t="s">
        <v>5748</v>
      </c>
      <c r="AY34" s="2821"/>
      <c r="AZ34" s="2003" t="s">
        <v>51</v>
      </c>
      <c r="BA34" s="1007">
        <v>3</v>
      </c>
      <c r="BB34" s="2814" t="s">
        <v>5748</v>
      </c>
      <c r="BC34" s="2815" t="s">
        <v>5749</v>
      </c>
      <c r="BD34" s="2816" t="s">
        <v>5750</v>
      </c>
      <c r="BE34" s="2817" t="s">
        <v>5751</v>
      </c>
      <c r="BF34" s="2818" t="s">
        <v>5752</v>
      </c>
      <c r="BG34" s="2817" t="s">
        <v>5753</v>
      </c>
      <c r="BH34" s="241" t="s">
        <v>5754</v>
      </c>
      <c r="BI34" s="2814" t="s">
        <v>5755</v>
      </c>
      <c r="BJ34" s="2815" t="s">
        <v>5756</v>
      </c>
      <c r="BK34" s="2817" t="s">
        <v>5757</v>
      </c>
      <c r="BL34" s="2818" t="s">
        <v>5758</v>
      </c>
      <c r="BM34" s="2816" t="s">
        <v>5759</v>
      </c>
      <c r="BN34" s="2817" t="s">
        <v>5760</v>
      </c>
      <c r="BO34" s="241" t="s">
        <v>5761</v>
      </c>
    </row>
    <row r="35" spans="1:67" s="192" customFormat="1" ht="204">
      <c r="A35" s="880"/>
      <c r="B35" s="1006" t="s">
        <v>5762</v>
      </c>
      <c r="C35" s="1013" t="s">
        <v>1163</v>
      </c>
      <c r="D35" s="1010"/>
      <c r="E35" s="2003" t="s">
        <v>51</v>
      </c>
      <c r="F35" s="1007">
        <v>3</v>
      </c>
      <c r="G35" s="1012">
        <v>0</v>
      </c>
      <c r="H35" s="1575">
        <v>0</v>
      </c>
      <c r="I35" s="1453">
        <v>0</v>
      </c>
      <c r="J35" s="1442">
        <v>0</v>
      </c>
      <c r="K35" s="1447">
        <v>0</v>
      </c>
      <c r="L35" s="1442">
        <v>4.4180000000000001</v>
      </c>
      <c r="M35" s="241">
        <f t="shared" si="14"/>
        <v>4.4180000000000001</v>
      </c>
      <c r="N35" s="1012">
        <v>0</v>
      </c>
      <c r="O35" s="1575">
        <v>0</v>
      </c>
      <c r="P35" s="1453">
        <v>0</v>
      </c>
      <c r="Q35" s="1442">
        <v>0</v>
      </c>
      <c r="R35" s="1447">
        <v>0</v>
      </c>
      <c r="S35" s="1442">
        <v>0</v>
      </c>
      <c r="T35" s="241">
        <f t="shared" si="0"/>
        <v>0</v>
      </c>
      <c r="U35" s="1763" t="s">
        <v>5763</v>
      </c>
      <c r="V35" s="70"/>
      <c r="W35" s="897">
        <f t="shared" si="43"/>
        <v>0</v>
      </c>
      <c r="Y35" s="71"/>
      <c r="Z35" s="93">
        <f xml:space="preserve"> IF( AND(OR($C35 = "Capital expenditure purpose - WATER additional line 6 [Other categories]",$C35=""), OR( G35 &lt;&gt; 0, H35 &lt;&gt; 0, I35 &lt;&gt; 0, J35 &lt;&gt; 0, K35 &lt;&gt; 0, L35 &lt;&gt; 0, N35 &lt;&gt; 0, O35 &lt;&gt; 0, P35 &lt;&gt; 0, Q35 &lt;&gt; 0, R35 &lt;&gt; 0, S35 &lt;&gt; 0) ), 1, 0 )</f>
        <v>0</v>
      </c>
      <c r="AA35" s="93">
        <f t="shared" ref="AA35:AF35" si="54" xml:space="preserve"> IF(AND($C35="Capital expenditure purpose - WATER additional line 6 [Other categories]",$M35=0), 0, IF( ISNUMBER( G35 ), 0, 1 ))</f>
        <v>0</v>
      </c>
      <c r="AB35" s="93">
        <f t="shared" si="54"/>
        <v>0</v>
      </c>
      <c r="AC35" s="93">
        <f t="shared" si="54"/>
        <v>0</v>
      </c>
      <c r="AD35" s="93">
        <f t="shared" si="54"/>
        <v>0</v>
      </c>
      <c r="AE35" s="93">
        <f t="shared" si="54"/>
        <v>0</v>
      </c>
      <c r="AF35" s="93">
        <f t="shared" si="54"/>
        <v>0</v>
      </c>
      <c r="AG35" s="85"/>
      <c r="AH35" s="93">
        <f t="shared" ref="AH35:AM35" si="55" xml:space="preserve"> IF(AND($C35="Capital expenditure purpose - WATER additional line 6 [Other categories]",$M35=0), 0, IF( ISNUMBER( N35 ), 0, 1 ))</f>
        <v>0</v>
      </c>
      <c r="AI35" s="93">
        <f t="shared" si="55"/>
        <v>0</v>
      </c>
      <c r="AJ35" s="93">
        <f t="shared" si="55"/>
        <v>0</v>
      </c>
      <c r="AK35" s="93">
        <f t="shared" si="55"/>
        <v>0</v>
      </c>
      <c r="AL35" s="93">
        <f t="shared" si="55"/>
        <v>0</v>
      </c>
      <c r="AM35" s="93">
        <f t="shared" si="55"/>
        <v>0</v>
      </c>
      <c r="AN35" s="71"/>
      <c r="AP35" s="71"/>
      <c r="AT35" s="71"/>
      <c r="AW35" s="1006" t="s">
        <v>5762</v>
      </c>
      <c r="AX35" s="2822" t="s">
        <v>5764</v>
      </c>
      <c r="AY35" s="2821"/>
      <c r="AZ35" s="2003" t="s">
        <v>51</v>
      </c>
      <c r="BA35" s="1007">
        <v>3</v>
      </c>
      <c r="BB35" s="2814" t="s">
        <v>5764</v>
      </c>
      <c r="BC35" s="2815" t="s">
        <v>5765</v>
      </c>
      <c r="BD35" s="2816" t="s">
        <v>5766</v>
      </c>
      <c r="BE35" s="2817" t="s">
        <v>5767</v>
      </c>
      <c r="BF35" s="2818" t="s">
        <v>5768</v>
      </c>
      <c r="BG35" s="2817" t="s">
        <v>5769</v>
      </c>
      <c r="BH35" s="241" t="s">
        <v>5770</v>
      </c>
      <c r="BI35" s="2814" t="s">
        <v>5771</v>
      </c>
      <c r="BJ35" s="2815" t="s">
        <v>5772</v>
      </c>
      <c r="BK35" s="2817" t="s">
        <v>5773</v>
      </c>
      <c r="BL35" s="2818" t="s">
        <v>5774</v>
      </c>
      <c r="BM35" s="2816" t="s">
        <v>5775</v>
      </c>
      <c r="BN35" s="2817" t="s">
        <v>5776</v>
      </c>
      <c r="BO35" s="241" t="s">
        <v>5777</v>
      </c>
    </row>
    <row r="36" spans="1:67" s="192" customFormat="1" ht="102">
      <c r="A36" s="880"/>
      <c r="B36" s="1006" t="s">
        <v>5778</v>
      </c>
      <c r="C36" s="1013" t="s">
        <v>5779</v>
      </c>
      <c r="D36" s="1010"/>
      <c r="E36" s="2003" t="s">
        <v>51</v>
      </c>
      <c r="F36" s="1007">
        <v>3</v>
      </c>
      <c r="G36" s="1012">
        <v>0</v>
      </c>
      <c r="H36" s="1575">
        <v>0.114</v>
      </c>
      <c r="I36" s="1453">
        <v>0</v>
      </c>
      <c r="J36" s="1442">
        <v>0</v>
      </c>
      <c r="K36" s="1447">
        <v>0.753</v>
      </c>
      <c r="L36" s="1442">
        <v>0</v>
      </c>
      <c r="M36" s="241">
        <f t="shared" si="14"/>
        <v>0.86699999999999999</v>
      </c>
      <c r="N36" s="1012">
        <v>0</v>
      </c>
      <c r="O36" s="1575">
        <v>0</v>
      </c>
      <c r="P36" s="1453">
        <v>0</v>
      </c>
      <c r="Q36" s="1442">
        <v>0</v>
      </c>
      <c r="R36" s="1447">
        <v>0</v>
      </c>
      <c r="S36" s="1442">
        <v>0</v>
      </c>
      <c r="T36" s="241">
        <f t="shared" si="0"/>
        <v>0</v>
      </c>
      <c r="U36" s="1763" t="s">
        <v>5780</v>
      </c>
      <c r="V36" s="70"/>
      <c r="W36" s="897">
        <f t="shared" si="43"/>
        <v>0</v>
      </c>
      <c r="Y36" s="71"/>
      <c r="Z36" s="93">
        <f xml:space="preserve"> IF( AND(OR($C36 = "Capital expenditure purpose - WATER additional line 7 [Other categories]",$C36=""), OR( G36 &lt;&gt; 0, H36 &lt;&gt; 0, I36 &lt;&gt; 0, J36 &lt;&gt; 0, K36 &lt;&gt; 0, L36 &lt;&gt; 0, N36 &lt;&gt; 0, O36 &lt;&gt; 0, P36 &lt;&gt; 0, Q36 &lt;&gt; 0, R36 &lt;&gt; 0, S36 &lt;&gt; 0) ), 1, 0 )</f>
        <v>0</v>
      </c>
      <c r="AA36" s="93">
        <f t="shared" ref="AA36:AF36" si="56" xml:space="preserve"> IF(AND($C36="Capital expenditure purpose - WATER additional line 7 [Other categories]",$M36=0), 0, IF( ISNUMBER( G36 ), 0, 1 ))</f>
        <v>0</v>
      </c>
      <c r="AB36" s="93">
        <f t="shared" si="56"/>
        <v>0</v>
      </c>
      <c r="AC36" s="93">
        <f t="shared" si="56"/>
        <v>0</v>
      </c>
      <c r="AD36" s="93">
        <f t="shared" si="56"/>
        <v>0</v>
      </c>
      <c r="AE36" s="93">
        <f t="shared" si="56"/>
        <v>0</v>
      </c>
      <c r="AF36" s="93">
        <f t="shared" si="56"/>
        <v>0</v>
      </c>
      <c r="AG36" s="85"/>
      <c r="AH36" s="93">
        <f t="shared" ref="AH36:AM36" si="57" xml:space="preserve"> IF(AND($C36="Capital expenditure purpose - WATER additional line 7 [Other categories]",$M36=0), 0, IF( ISNUMBER( N36 ), 0, 1 ))</f>
        <v>0</v>
      </c>
      <c r="AI36" s="93">
        <f t="shared" si="57"/>
        <v>0</v>
      </c>
      <c r="AJ36" s="93">
        <f t="shared" si="57"/>
        <v>0</v>
      </c>
      <c r="AK36" s="93">
        <f t="shared" si="57"/>
        <v>0</v>
      </c>
      <c r="AL36" s="93">
        <f t="shared" si="57"/>
        <v>0</v>
      </c>
      <c r="AM36" s="93">
        <f t="shared" si="57"/>
        <v>0</v>
      </c>
      <c r="AN36" s="71"/>
      <c r="AP36" s="71"/>
      <c r="AT36" s="71"/>
      <c r="AW36" s="1006" t="s">
        <v>5778</v>
      </c>
      <c r="AX36" s="2822" t="s">
        <v>5781</v>
      </c>
      <c r="AY36" s="2821"/>
      <c r="AZ36" s="2003" t="s">
        <v>51</v>
      </c>
      <c r="BA36" s="1007">
        <v>3</v>
      </c>
      <c r="BB36" s="2814" t="s">
        <v>5781</v>
      </c>
      <c r="BC36" s="2815" t="s">
        <v>5782</v>
      </c>
      <c r="BD36" s="2816" t="s">
        <v>5783</v>
      </c>
      <c r="BE36" s="2817" t="s">
        <v>5784</v>
      </c>
      <c r="BF36" s="2818" t="s">
        <v>5785</v>
      </c>
      <c r="BG36" s="2817" t="s">
        <v>5786</v>
      </c>
      <c r="BH36" s="241" t="s">
        <v>5787</v>
      </c>
      <c r="BI36" s="2814" t="s">
        <v>5788</v>
      </c>
      <c r="BJ36" s="2815" t="s">
        <v>5789</v>
      </c>
      <c r="BK36" s="2817" t="s">
        <v>5790</v>
      </c>
      <c r="BL36" s="2818" t="s">
        <v>5791</v>
      </c>
      <c r="BM36" s="2816" t="s">
        <v>5792</v>
      </c>
      <c r="BN36" s="2817" t="s">
        <v>5793</v>
      </c>
      <c r="BO36" s="241" t="s">
        <v>5794</v>
      </c>
    </row>
    <row r="37" spans="1:67" s="192" customFormat="1">
      <c r="A37" s="880"/>
      <c r="B37" s="1006" t="s">
        <v>5795</v>
      </c>
      <c r="C37" s="1013" t="s">
        <v>5796</v>
      </c>
      <c r="D37" s="1010"/>
      <c r="E37" s="2003" t="s">
        <v>51</v>
      </c>
      <c r="F37" s="1007">
        <v>3</v>
      </c>
      <c r="G37" s="1012">
        <v>0</v>
      </c>
      <c r="H37" s="1575">
        <v>0</v>
      </c>
      <c r="I37" s="1453">
        <v>0</v>
      </c>
      <c r="J37" s="1442">
        <v>0</v>
      </c>
      <c r="K37" s="1447">
        <v>0</v>
      </c>
      <c r="L37" s="1442">
        <v>0</v>
      </c>
      <c r="M37" s="241">
        <f t="shared" si="14"/>
        <v>0</v>
      </c>
      <c r="N37" s="1012">
        <v>0</v>
      </c>
      <c r="O37" s="1575">
        <v>0</v>
      </c>
      <c r="P37" s="1453">
        <v>0</v>
      </c>
      <c r="Q37" s="1442">
        <v>0</v>
      </c>
      <c r="R37" s="1447">
        <v>0</v>
      </c>
      <c r="S37" s="1442">
        <v>0</v>
      </c>
      <c r="T37" s="241">
        <f t="shared" si="0"/>
        <v>0</v>
      </c>
      <c r="U37" s="1763"/>
      <c r="V37" s="70"/>
      <c r="W37" s="897">
        <f t="shared" si="43"/>
        <v>0</v>
      </c>
      <c r="Y37" s="71"/>
      <c r="Z37" s="93">
        <f xml:space="preserve"> IF( AND(OR($C37 = "Capital expenditure purpose - WATER additional line 8 [Other categories]",$C37=""), OR( G37 &lt;&gt; 0, H37 &lt;&gt; 0, I37 &lt;&gt; 0, J37 &lt;&gt; 0, K37 &lt;&gt; 0, L37 &lt;&gt; 0, N37 &lt;&gt; 0, O37 &lt;&gt; 0, P37 &lt;&gt; 0, Q37 &lt;&gt; 0, R37 &lt;&gt; 0, S37 &lt;&gt; 0) ), 1, 0 )</f>
        <v>0</v>
      </c>
      <c r="AA37" s="93">
        <f t="shared" ref="AA37:AF37" si="58" xml:space="preserve"> IF(AND($C37="Capital expenditure purpose - WATER additional line 8 [Other categories]",$M37=0), 0, IF( ISNUMBER( G37 ), 0, 1 ))</f>
        <v>0</v>
      </c>
      <c r="AB37" s="93">
        <f t="shared" si="58"/>
        <v>0</v>
      </c>
      <c r="AC37" s="93">
        <f t="shared" si="58"/>
        <v>0</v>
      </c>
      <c r="AD37" s="93">
        <f t="shared" si="58"/>
        <v>0</v>
      </c>
      <c r="AE37" s="93">
        <f t="shared" si="58"/>
        <v>0</v>
      </c>
      <c r="AF37" s="93">
        <f t="shared" si="58"/>
        <v>0</v>
      </c>
      <c r="AG37" s="85"/>
      <c r="AH37" s="93">
        <f t="shared" ref="AH37:AM37" si="59" xml:space="preserve"> IF(AND($C37="Capital expenditure purpose - WATER additional line 8 [Other categories]",$M37=0), 0, IF( ISNUMBER( N37 ), 0, 1 ))</f>
        <v>0</v>
      </c>
      <c r="AI37" s="93">
        <f t="shared" si="59"/>
        <v>0</v>
      </c>
      <c r="AJ37" s="93">
        <f t="shared" si="59"/>
        <v>0</v>
      </c>
      <c r="AK37" s="93">
        <f t="shared" si="59"/>
        <v>0</v>
      </c>
      <c r="AL37" s="93">
        <f t="shared" si="59"/>
        <v>0</v>
      </c>
      <c r="AM37" s="93">
        <f t="shared" si="59"/>
        <v>0</v>
      </c>
      <c r="AN37" s="71"/>
      <c r="AP37" s="71"/>
      <c r="AT37" s="71"/>
      <c r="AW37" s="1006" t="s">
        <v>5795</v>
      </c>
      <c r="AX37" s="2822" t="s">
        <v>5797</v>
      </c>
      <c r="AY37" s="2821"/>
      <c r="AZ37" s="2003" t="s">
        <v>51</v>
      </c>
      <c r="BA37" s="1007">
        <v>3</v>
      </c>
      <c r="BB37" s="2814" t="s">
        <v>5797</v>
      </c>
      <c r="BC37" s="2815" t="s">
        <v>5798</v>
      </c>
      <c r="BD37" s="2816" t="s">
        <v>5799</v>
      </c>
      <c r="BE37" s="2817" t="s">
        <v>5800</v>
      </c>
      <c r="BF37" s="2818" t="s">
        <v>5801</v>
      </c>
      <c r="BG37" s="2817" t="s">
        <v>5802</v>
      </c>
      <c r="BH37" s="241" t="s">
        <v>5803</v>
      </c>
      <c r="BI37" s="2814" t="s">
        <v>5804</v>
      </c>
      <c r="BJ37" s="2815" t="s">
        <v>5805</v>
      </c>
      <c r="BK37" s="2817" t="s">
        <v>5806</v>
      </c>
      <c r="BL37" s="2818" t="s">
        <v>5807</v>
      </c>
      <c r="BM37" s="2816" t="s">
        <v>5808</v>
      </c>
      <c r="BN37" s="2817" t="s">
        <v>5809</v>
      </c>
      <c r="BO37" s="241" t="s">
        <v>5810</v>
      </c>
    </row>
    <row r="38" spans="1:67" s="192" customFormat="1">
      <c r="A38" s="880"/>
      <c r="B38" s="1006" t="s">
        <v>5811</v>
      </c>
      <c r="C38" s="1013" t="s">
        <v>5812</v>
      </c>
      <c r="D38" s="1010"/>
      <c r="E38" s="2003" t="s">
        <v>51</v>
      </c>
      <c r="F38" s="1007">
        <v>3</v>
      </c>
      <c r="G38" s="1012">
        <v>0</v>
      </c>
      <c r="H38" s="1575">
        <v>0</v>
      </c>
      <c r="I38" s="1453">
        <v>0</v>
      </c>
      <c r="J38" s="1442">
        <v>0</v>
      </c>
      <c r="K38" s="1447">
        <v>0</v>
      </c>
      <c r="L38" s="1442">
        <v>0</v>
      </c>
      <c r="M38" s="241">
        <f t="shared" si="14"/>
        <v>0</v>
      </c>
      <c r="N38" s="1012">
        <v>0</v>
      </c>
      <c r="O38" s="1575">
        <v>0</v>
      </c>
      <c r="P38" s="1453">
        <v>0</v>
      </c>
      <c r="Q38" s="1442">
        <v>0</v>
      </c>
      <c r="R38" s="1447">
        <v>0</v>
      </c>
      <c r="S38" s="1442">
        <v>0</v>
      </c>
      <c r="T38" s="241">
        <f t="shared" si="0"/>
        <v>0</v>
      </c>
      <c r="U38" s="1763"/>
      <c r="V38" s="70"/>
      <c r="W38" s="897">
        <f t="shared" si="43"/>
        <v>0</v>
      </c>
      <c r="Y38" s="71"/>
      <c r="Z38" s="93">
        <f xml:space="preserve"> IF( AND(OR($C38 = "Capital expenditure purpose - WATER additional line 9 [Other categories]",$C38=""), OR( G38 &lt;&gt; 0, H38 &lt;&gt; 0, I38 &lt;&gt; 0, J38 &lt;&gt; 0, K38 &lt;&gt; 0, L38 &lt;&gt; 0, N38 &lt;&gt; 0, O38 &lt;&gt; 0, P38 &lt;&gt; 0, Q38 &lt;&gt; 0, R38 &lt;&gt; 0, S38 &lt;&gt; 0) ), 1, 0 )</f>
        <v>0</v>
      </c>
      <c r="AA38" s="93">
        <f t="shared" ref="AA38:AF38" si="60" xml:space="preserve"> IF(AND($C38="Capital expenditure purpose - WATER additional line 9 [Other categories]",$M38=0), 0, IF( ISNUMBER( G38 ), 0, 1 ))</f>
        <v>0</v>
      </c>
      <c r="AB38" s="93">
        <f t="shared" si="60"/>
        <v>0</v>
      </c>
      <c r="AC38" s="93">
        <f t="shared" si="60"/>
        <v>0</v>
      </c>
      <c r="AD38" s="93">
        <f t="shared" si="60"/>
        <v>0</v>
      </c>
      <c r="AE38" s="93">
        <f t="shared" si="60"/>
        <v>0</v>
      </c>
      <c r="AF38" s="93">
        <f t="shared" si="60"/>
        <v>0</v>
      </c>
      <c r="AG38" s="85"/>
      <c r="AH38" s="93">
        <f t="shared" ref="AH38:AM38" si="61" xml:space="preserve"> IF(AND($C38="Capital expenditure purpose - WATER additional line 9 [Other categories]",$M38=0), 0, IF( ISNUMBER( N38 ), 0, 1 ))</f>
        <v>0</v>
      </c>
      <c r="AI38" s="93">
        <f t="shared" si="61"/>
        <v>0</v>
      </c>
      <c r="AJ38" s="93">
        <f t="shared" si="61"/>
        <v>0</v>
      </c>
      <c r="AK38" s="93">
        <f t="shared" si="61"/>
        <v>0</v>
      </c>
      <c r="AL38" s="93">
        <f t="shared" si="61"/>
        <v>0</v>
      </c>
      <c r="AM38" s="93">
        <f t="shared" si="61"/>
        <v>0</v>
      </c>
      <c r="AN38" s="71"/>
      <c r="AP38" s="71"/>
      <c r="AT38" s="71"/>
      <c r="AW38" s="1006" t="s">
        <v>5811</v>
      </c>
      <c r="AX38" s="2822" t="s">
        <v>5813</v>
      </c>
      <c r="AY38" s="2821"/>
      <c r="AZ38" s="2003" t="s">
        <v>51</v>
      </c>
      <c r="BA38" s="1007">
        <v>3</v>
      </c>
      <c r="BB38" s="2814" t="s">
        <v>5813</v>
      </c>
      <c r="BC38" s="2815" t="s">
        <v>5814</v>
      </c>
      <c r="BD38" s="2816" t="s">
        <v>5815</v>
      </c>
      <c r="BE38" s="2817" t="s">
        <v>5816</v>
      </c>
      <c r="BF38" s="2818" t="s">
        <v>5817</v>
      </c>
      <c r="BG38" s="2817" t="s">
        <v>5818</v>
      </c>
      <c r="BH38" s="241" t="s">
        <v>5819</v>
      </c>
      <c r="BI38" s="2814" t="s">
        <v>5820</v>
      </c>
      <c r="BJ38" s="2815" t="s">
        <v>5821</v>
      </c>
      <c r="BK38" s="2817" t="s">
        <v>5822</v>
      </c>
      <c r="BL38" s="2818" t="s">
        <v>5823</v>
      </c>
      <c r="BM38" s="2816" t="s">
        <v>5824</v>
      </c>
      <c r="BN38" s="2817" t="s">
        <v>5825</v>
      </c>
      <c r="BO38" s="241" t="s">
        <v>5826</v>
      </c>
    </row>
    <row r="39" spans="1:67" s="192" customFormat="1">
      <c r="A39" s="880"/>
      <c r="B39" s="1006" t="s">
        <v>5827</v>
      </c>
      <c r="C39" s="1013" t="s">
        <v>5828</v>
      </c>
      <c r="D39" s="1135"/>
      <c r="E39" s="2003" t="s">
        <v>51</v>
      </c>
      <c r="F39" s="1007">
        <v>3</v>
      </c>
      <c r="G39" s="1012">
        <v>0</v>
      </c>
      <c r="H39" s="1575">
        <v>0</v>
      </c>
      <c r="I39" s="1453">
        <v>0</v>
      </c>
      <c r="J39" s="1442">
        <v>0</v>
      </c>
      <c r="K39" s="1447">
        <v>0</v>
      </c>
      <c r="L39" s="1442">
        <v>0</v>
      </c>
      <c r="M39" s="241">
        <f t="shared" si="14"/>
        <v>0</v>
      </c>
      <c r="N39" s="1012">
        <v>0</v>
      </c>
      <c r="O39" s="1575">
        <v>0</v>
      </c>
      <c r="P39" s="1453">
        <v>0</v>
      </c>
      <c r="Q39" s="1442">
        <v>0</v>
      </c>
      <c r="R39" s="1447">
        <v>0</v>
      </c>
      <c r="S39" s="1442">
        <v>0</v>
      </c>
      <c r="T39" s="241">
        <f t="shared" ref="T39:T43" si="62">SUM(N39:S39)</f>
        <v>0</v>
      </c>
      <c r="U39" s="1763"/>
      <c r="V39" s="70"/>
      <c r="W39" s="897">
        <f t="shared" si="43"/>
        <v>0</v>
      </c>
      <c r="Y39" s="71"/>
      <c r="Z39" s="93">
        <f xml:space="preserve"> IF( AND(OR($C39 = "Capital expenditure purpose - WATER additional line 10 [Other categories]",$C39=""), OR( G39 &lt;&gt; 0, H39 &lt;&gt; 0, I39 &lt;&gt; 0, J39 &lt;&gt; 0, K39 &lt;&gt; 0, L39 &lt;&gt; 0, N39 &lt;&gt; 0, O39 &lt;&gt; 0, P39 &lt;&gt; 0, Q39 &lt;&gt; 0, R39 &lt;&gt; 0, S39 &lt;&gt; 0) ), 1, 0 )</f>
        <v>0</v>
      </c>
      <c r="AA39" s="93">
        <f t="shared" ref="AA39:AF39" si="63" xml:space="preserve"> IF(AND($C39="Capital expenditure purpose - WATER additional line 10 [Other categories]",$M39=0), 0, IF( ISNUMBER( G39 ), 0, 1 ))</f>
        <v>0</v>
      </c>
      <c r="AB39" s="93">
        <f t="shared" si="63"/>
        <v>0</v>
      </c>
      <c r="AC39" s="93">
        <f t="shared" si="63"/>
        <v>0</v>
      </c>
      <c r="AD39" s="93">
        <f t="shared" si="63"/>
        <v>0</v>
      </c>
      <c r="AE39" s="93">
        <f t="shared" si="63"/>
        <v>0</v>
      </c>
      <c r="AF39" s="93">
        <f t="shared" si="63"/>
        <v>0</v>
      </c>
      <c r="AG39" s="85"/>
      <c r="AH39" s="93">
        <f t="shared" ref="AH39:AM39" si="64" xml:space="preserve"> IF(AND($C39="Capital expenditure purpose - WATER additional line 10 [Other categories]",$M39=0), 0, IF( ISNUMBER( N39 ), 0, 1 ))</f>
        <v>0</v>
      </c>
      <c r="AI39" s="93">
        <f t="shared" si="64"/>
        <v>0</v>
      </c>
      <c r="AJ39" s="93">
        <f t="shared" si="64"/>
        <v>0</v>
      </c>
      <c r="AK39" s="93">
        <f t="shared" si="64"/>
        <v>0</v>
      </c>
      <c r="AL39" s="93">
        <f t="shared" si="64"/>
        <v>0</v>
      </c>
      <c r="AM39" s="93">
        <f t="shared" si="64"/>
        <v>0</v>
      </c>
      <c r="AN39" s="71"/>
      <c r="AP39" s="71"/>
      <c r="AT39" s="71"/>
      <c r="AW39" s="1006" t="s">
        <v>5827</v>
      </c>
      <c r="AX39" s="2822" t="s">
        <v>5829</v>
      </c>
      <c r="AY39" s="2823"/>
      <c r="AZ39" s="2003" t="s">
        <v>51</v>
      </c>
      <c r="BA39" s="1007">
        <v>3</v>
      </c>
      <c r="BB39" s="2824" t="s">
        <v>5829</v>
      </c>
      <c r="BC39" s="2825" t="s">
        <v>5830</v>
      </c>
      <c r="BD39" s="2826" t="s">
        <v>5831</v>
      </c>
      <c r="BE39" s="2827" t="s">
        <v>5832</v>
      </c>
      <c r="BF39" s="2828" t="s">
        <v>5833</v>
      </c>
      <c r="BG39" s="2827" t="s">
        <v>5834</v>
      </c>
      <c r="BH39" s="241" t="s">
        <v>5835</v>
      </c>
      <c r="BI39" s="2824" t="s">
        <v>5836</v>
      </c>
      <c r="BJ39" s="2825" t="s">
        <v>5837</v>
      </c>
      <c r="BK39" s="2827" t="s">
        <v>5838</v>
      </c>
      <c r="BL39" s="2828" t="s">
        <v>5839</v>
      </c>
      <c r="BM39" s="2826" t="s">
        <v>5840</v>
      </c>
      <c r="BN39" s="2827" t="s">
        <v>5841</v>
      </c>
      <c r="BO39" s="241" t="s">
        <v>5842</v>
      </c>
    </row>
    <row r="40" spans="1:67" s="192" customFormat="1">
      <c r="A40" s="880"/>
      <c r="B40" s="1006" t="s">
        <v>5843</v>
      </c>
      <c r="C40" s="1013" t="s">
        <v>5844</v>
      </c>
      <c r="D40" s="1135"/>
      <c r="E40" s="2003" t="s">
        <v>51</v>
      </c>
      <c r="F40" s="1007">
        <v>3</v>
      </c>
      <c r="G40" s="1012">
        <v>0</v>
      </c>
      <c r="H40" s="1575">
        <v>0</v>
      </c>
      <c r="I40" s="1453">
        <v>0</v>
      </c>
      <c r="J40" s="1442">
        <v>0</v>
      </c>
      <c r="K40" s="1447">
        <v>0</v>
      </c>
      <c r="L40" s="1442">
        <v>0</v>
      </c>
      <c r="M40" s="241">
        <f t="shared" si="14"/>
        <v>0</v>
      </c>
      <c r="N40" s="1012">
        <v>0</v>
      </c>
      <c r="O40" s="1575">
        <v>0</v>
      </c>
      <c r="P40" s="1453">
        <v>0</v>
      </c>
      <c r="Q40" s="1442">
        <v>0</v>
      </c>
      <c r="R40" s="1447">
        <v>0</v>
      </c>
      <c r="S40" s="1442">
        <v>0</v>
      </c>
      <c r="T40" s="241">
        <f t="shared" si="62"/>
        <v>0</v>
      </c>
      <c r="U40" s="1763"/>
      <c r="V40" s="70"/>
      <c r="W40" s="897">
        <f t="shared" si="43"/>
        <v>0</v>
      </c>
      <c r="Y40" s="71"/>
      <c r="Z40" s="93">
        <f xml:space="preserve"> IF( AND(OR($C40 = "Capital expenditure purpose - WATER additional line 11 [Other categories]",$C40=""), OR( G40 &lt;&gt; 0, H40 &lt;&gt; 0, I40 &lt;&gt; 0, J40 &lt;&gt; 0, K40 &lt;&gt; 0, L40 &lt;&gt; 0, N40 &lt;&gt; 0, O40 &lt;&gt; 0, P40 &lt;&gt; 0, Q40 &lt;&gt; 0, R40 &lt;&gt; 0, S40 &lt;&gt; 0) ), 1, 0 )</f>
        <v>0</v>
      </c>
      <c r="AA40" s="93">
        <f t="shared" ref="AA40:AF40" si="65" xml:space="preserve"> IF(AND($C40="Capital expenditure purpose - WATER additional line 11 [Other categories]",$M40=0), 0, IF( ISNUMBER( G40 ), 0, 1 ))</f>
        <v>0</v>
      </c>
      <c r="AB40" s="93">
        <f t="shared" si="65"/>
        <v>0</v>
      </c>
      <c r="AC40" s="93">
        <f t="shared" si="65"/>
        <v>0</v>
      </c>
      <c r="AD40" s="93">
        <f t="shared" si="65"/>
        <v>0</v>
      </c>
      <c r="AE40" s="93">
        <f t="shared" si="65"/>
        <v>0</v>
      </c>
      <c r="AF40" s="93">
        <f t="shared" si="65"/>
        <v>0</v>
      </c>
      <c r="AG40" s="85"/>
      <c r="AH40" s="93">
        <f t="shared" ref="AH40:AM40" si="66" xml:space="preserve"> IF(AND($C40="Capital expenditure purpose - WATER additional line 11 [Other categories]",$M40=0), 0, IF( ISNUMBER( N40 ), 0, 1 ))</f>
        <v>0</v>
      </c>
      <c r="AI40" s="93">
        <f t="shared" si="66"/>
        <v>0</v>
      </c>
      <c r="AJ40" s="93">
        <f t="shared" si="66"/>
        <v>0</v>
      </c>
      <c r="AK40" s="93">
        <f t="shared" si="66"/>
        <v>0</v>
      </c>
      <c r="AL40" s="93">
        <f t="shared" si="66"/>
        <v>0</v>
      </c>
      <c r="AM40" s="93">
        <f t="shared" si="66"/>
        <v>0</v>
      </c>
      <c r="AN40" s="71"/>
      <c r="AP40" s="71"/>
      <c r="AT40" s="71"/>
      <c r="AW40" s="1006" t="s">
        <v>5843</v>
      </c>
      <c r="AX40" s="2822" t="s">
        <v>5845</v>
      </c>
      <c r="AY40" s="2823"/>
      <c r="AZ40" s="2003" t="s">
        <v>51</v>
      </c>
      <c r="BA40" s="1007">
        <v>3</v>
      </c>
      <c r="BB40" s="2824" t="s">
        <v>5845</v>
      </c>
      <c r="BC40" s="2825" t="s">
        <v>5846</v>
      </c>
      <c r="BD40" s="2826" t="s">
        <v>5847</v>
      </c>
      <c r="BE40" s="2827" t="s">
        <v>5848</v>
      </c>
      <c r="BF40" s="2828" t="s">
        <v>5849</v>
      </c>
      <c r="BG40" s="2827" t="s">
        <v>5850</v>
      </c>
      <c r="BH40" s="241" t="s">
        <v>5851</v>
      </c>
      <c r="BI40" s="2824" t="s">
        <v>5852</v>
      </c>
      <c r="BJ40" s="2825" t="s">
        <v>5853</v>
      </c>
      <c r="BK40" s="2827" t="s">
        <v>5854</v>
      </c>
      <c r="BL40" s="2828" t="s">
        <v>5855</v>
      </c>
      <c r="BM40" s="2826" t="s">
        <v>5856</v>
      </c>
      <c r="BN40" s="2827" t="s">
        <v>5857</v>
      </c>
      <c r="BO40" s="241" t="s">
        <v>5858</v>
      </c>
    </row>
    <row r="41" spans="1:67" s="192" customFormat="1">
      <c r="A41" s="880"/>
      <c r="B41" s="1006" t="s">
        <v>5859</v>
      </c>
      <c r="C41" s="1013" t="s">
        <v>5860</v>
      </c>
      <c r="D41" s="1135"/>
      <c r="E41" s="2003" t="s">
        <v>51</v>
      </c>
      <c r="F41" s="1007">
        <v>3</v>
      </c>
      <c r="G41" s="1012">
        <v>0</v>
      </c>
      <c r="H41" s="1575">
        <v>0</v>
      </c>
      <c r="I41" s="1453">
        <v>0</v>
      </c>
      <c r="J41" s="1442">
        <v>0</v>
      </c>
      <c r="K41" s="1447">
        <v>0</v>
      </c>
      <c r="L41" s="1442">
        <v>0</v>
      </c>
      <c r="M41" s="241">
        <f t="shared" si="14"/>
        <v>0</v>
      </c>
      <c r="N41" s="1012">
        <v>0</v>
      </c>
      <c r="O41" s="1575">
        <v>0</v>
      </c>
      <c r="P41" s="1453">
        <v>0</v>
      </c>
      <c r="Q41" s="1442">
        <v>0</v>
      </c>
      <c r="R41" s="1447">
        <v>0</v>
      </c>
      <c r="S41" s="1442">
        <v>0</v>
      </c>
      <c r="T41" s="241">
        <f t="shared" si="62"/>
        <v>0</v>
      </c>
      <c r="U41" s="1763"/>
      <c r="V41" s="70"/>
      <c r="W41" s="897">
        <f t="shared" si="43"/>
        <v>0</v>
      </c>
      <c r="Y41" s="71"/>
      <c r="Z41" s="93">
        <f xml:space="preserve"> IF( AND(OR($C41 = "Capital expenditure purpose - WATER additional line 12 [Other categories]",$C41=""), OR( G41 &lt;&gt; 0, H41 &lt;&gt; 0, I41 &lt;&gt; 0, J41 &lt;&gt; 0, K41 &lt;&gt; 0, L41 &lt;&gt; 0, N41 &lt;&gt; 0, O41 &lt;&gt; 0, P41 &lt;&gt; 0, Q41 &lt;&gt; 0, R41 &lt;&gt; 0, S41 &lt;&gt; 0) ), 1, 0 )</f>
        <v>0</v>
      </c>
      <c r="AA41" s="93">
        <f t="shared" ref="AA41:AF41" si="67" xml:space="preserve"> IF(AND($C41="Capital expenditure purpose - WATER additional line 12 [Other categories]",$M41=0), 0, IF( ISNUMBER( G41 ), 0, 1 ))</f>
        <v>0</v>
      </c>
      <c r="AB41" s="93">
        <f t="shared" si="67"/>
        <v>0</v>
      </c>
      <c r="AC41" s="93">
        <f t="shared" si="67"/>
        <v>0</v>
      </c>
      <c r="AD41" s="93">
        <f t="shared" si="67"/>
        <v>0</v>
      </c>
      <c r="AE41" s="93">
        <f t="shared" si="67"/>
        <v>0</v>
      </c>
      <c r="AF41" s="93">
        <f t="shared" si="67"/>
        <v>0</v>
      </c>
      <c r="AG41" s="85"/>
      <c r="AH41" s="93">
        <f t="shared" ref="AH41:AM41" si="68" xml:space="preserve"> IF(AND($C41="Capital expenditure purpose - WATER additional line 12 [Other categories]",$M41=0), 0, IF( ISNUMBER( N41 ), 0, 1 ))</f>
        <v>0</v>
      </c>
      <c r="AI41" s="93">
        <f t="shared" si="68"/>
        <v>0</v>
      </c>
      <c r="AJ41" s="93">
        <f t="shared" si="68"/>
        <v>0</v>
      </c>
      <c r="AK41" s="93">
        <f t="shared" si="68"/>
        <v>0</v>
      </c>
      <c r="AL41" s="93">
        <f t="shared" si="68"/>
        <v>0</v>
      </c>
      <c r="AM41" s="93">
        <f t="shared" si="68"/>
        <v>0</v>
      </c>
      <c r="AN41" s="71"/>
      <c r="AP41" s="71"/>
      <c r="AT41" s="71"/>
      <c r="AW41" s="1006" t="s">
        <v>5859</v>
      </c>
      <c r="AX41" s="2822" t="s">
        <v>5861</v>
      </c>
      <c r="AY41" s="2823"/>
      <c r="AZ41" s="2003" t="s">
        <v>51</v>
      </c>
      <c r="BA41" s="1007">
        <v>3</v>
      </c>
      <c r="BB41" s="2824" t="s">
        <v>5861</v>
      </c>
      <c r="BC41" s="2825" t="s">
        <v>5862</v>
      </c>
      <c r="BD41" s="2826" t="s">
        <v>5863</v>
      </c>
      <c r="BE41" s="2827" t="s">
        <v>5864</v>
      </c>
      <c r="BF41" s="2828" t="s">
        <v>5865</v>
      </c>
      <c r="BG41" s="2827" t="s">
        <v>5866</v>
      </c>
      <c r="BH41" s="241" t="s">
        <v>5867</v>
      </c>
      <c r="BI41" s="2824" t="s">
        <v>5868</v>
      </c>
      <c r="BJ41" s="2825" t="s">
        <v>5869</v>
      </c>
      <c r="BK41" s="2827" t="s">
        <v>5870</v>
      </c>
      <c r="BL41" s="2828" t="s">
        <v>5871</v>
      </c>
      <c r="BM41" s="2826" t="s">
        <v>5872</v>
      </c>
      <c r="BN41" s="2827" t="s">
        <v>5873</v>
      </c>
      <c r="BO41" s="241" t="s">
        <v>5874</v>
      </c>
    </row>
    <row r="42" spans="1:67" s="192" customFormat="1">
      <c r="A42" s="880"/>
      <c r="B42" s="1006" t="s">
        <v>5875</v>
      </c>
      <c r="C42" s="1013" t="s">
        <v>5876</v>
      </c>
      <c r="D42" s="1135"/>
      <c r="E42" s="2003" t="s">
        <v>51</v>
      </c>
      <c r="F42" s="1007">
        <v>3</v>
      </c>
      <c r="G42" s="1012">
        <v>0</v>
      </c>
      <c r="H42" s="1575">
        <v>0</v>
      </c>
      <c r="I42" s="1453">
        <v>0</v>
      </c>
      <c r="J42" s="1442">
        <v>0</v>
      </c>
      <c r="K42" s="1447">
        <v>0</v>
      </c>
      <c r="L42" s="1442">
        <v>0</v>
      </c>
      <c r="M42" s="241">
        <f t="shared" si="14"/>
        <v>0</v>
      </c>
      <c r="N42" s="1012">
        <v>0</v>
      </c>
      <c r="O42" s="1575">
        <v>0</v>
      </c>
      <c r="P42" s="1453">
        <v>0</v>
      </c>
      <c r="Q42" s="1442">
        <v>0</v>
      </c>
      <c r="R42" s="1447">
        <v>0</v>
      </c>
      <c r="S42" s="1442">
        <v>0</v>
      </c>
      <c r="T42" s="241">
        <f t="shared" si="62"/>
        <v>0</v>
      </c>
      <c r="U42" s="1763"/>
      <c r="V42" s="70"/>
      <c r="W42" s="897">
        <f t="shared" si="43"/>
        <v>0</v>
      </c>
      <c r="Y42" s="71"/>
      <c r="Z42" s="93">
        <f xml:space="preserve"> IF( AND(OR($C42 = "Capital expenditure purpose - WATER additional line 13 [Other categories]",$C42=""), OR( G42 &lt;&gt; 0, H42 &lt;&gt; 0, I42 &lt;&gt; 0, J42 &lt;&gt; 0, K42 &lt;&gt; 0, L42 &lt;&gt; 0, N42 &lt;&gt; 0, O42 &lt;&gt; 0, P42 &lt;&gt; 0, Q42 &lt;&gt; 0, R42 &lt;&gt; 0, S42 &lt;&gt; 0) ), 1, 0 )</f>
        <v>0</v>
      </c>
      <c r="AA42" s="93">
        <f t="shared" ref="AA42:AF42" si="69" xml:space="preserve"> IF(AND($C42="Capital expenditure purpose - WATER additional line 13 [Other categories]",$M42=0), 0, IF( ISNUMBER( G42 ), 0, 1 ))</f>
        <v>0</v>
      </c>
      <c r="AB42" s="93">
        <f t="shared" si="69"/>
        <v>0</v>
      </c>
      <c r="AC42" s="93">
        <f t="shared" si="69"/>
        <v>0</v>
      </c>
      <c r="AD42" s="93">
        <f t="shared" si="69"/>
        <v>0</v>
      </c>
      <c r="AE42" s="93">
        <f t="shared" si="69"/>
        <v>0</v>
      </c>
      <c r="AF42" s="93">
        <f t="shared" si="69"/>
        <v>0</v>
      </c>
      <c r="AG42" s="85"/>
      <c r="AH42" s="93">
        <f t="shared" ref="AH42:AM42" si="70" xml:space="preserve"> IF(AND($C42="Capital expenditure purpose - WATER additional line 13 [Other categories]",$M42=0), 0, IF( ISNUMBER( N42 ), 0, 1 ))</f>
        <v>0</v>
      </c>
      <c r="AI42" s="93">
        <f t="shared" si="70"/>
        <v>0</v>
      </c>
      <c r="AJ42" s="93">
        <f t="shared" si="70"/>
        <v>0</v>
      </c>
      <c r="AK42" s="93">
        <f t="shared" si="70"/>
        <v>0</v>
      </c>
      <c r="AL42" s="93">
        <f t="shared" si="70"/>
        <v>0</v>
      </c>
      <c r="AM42" s="93">
        <f t="shared" si="70"/>
        <v>0</v>
      </c>
      <c r="AN42" s="71"/>
      <c r="AP42" s="71"/>
      <c r="AT42" s="71"/>
      <c r="AW42" s="1006" t="s">
        <v>5875</v>
      </c>
      <c r="AX42" s="2822" t="s">
        <v>5877</v>
      </c>
      <c r="AY42" s="2823"/>
      <c r="AZ42" s="2003" t="s">
        <v>51</v>
      </c>
      <c r="BA42" s="1007">
        <v>3</v>
      </c>
      <c r="BB42" s="2824" t="s">
        <v>5877</v>
      </c>
      <c r="BC42" s="2825" t="s">
        <v>5878</v>
      </c>
      <c r="BD42" s="2826" t="s">
        <v>5879</v>
      </c>
      <c r="BE42" s="2827" t="s">
        <v>5880</v>
      </c>
      <c r="BF42" s="2828" t="s">
        <v>5881</v>
      </c>
      <c r="BG42" s="2827" t="s">
        <v>5882</v>
      </c>
      <c r="BH42" s="241" t="s">
        <v>5883</v>
      </c>
      <c r="BI42" s="2824" t="s">
        <v>5884</v>
      </c>
      <c r="BJ42" s="2825" t="s">
        <v>5885</v>
      </c>
      <c r="BK42" s="2827" t="s">
        <v>5886</v>
      </c>
      <c r="BL42" s="2828" t="s">
        <v>5887</v>
      </c>
      <c r="BM42" s="2826" t="s">
        <v>5888</v>
      </c>
      <c r="BN42" s="2827" t="s">
        <v>5889</v>
      </c>
      <c r="BO42" s="241" t="s">
        <v>5890</v>
      </c>
    </row>
    <row r="43" spans="1:67" s="192" customFormat="1">
      <c r="A43" s="880"/>
      <c r="B43" s="1006" t="s">
        <v>5891</v>
      </c>
      <c r="C43" s="1013" t="s">
        <v>5892</v>
      </c>
      <c r="D43" s="1135"/>
      <c r="E43" s="2003" t="s">
        <v>51</v>
      </c>
      <c r="F43" s="1007">
        <v>3</v>
      </c>
      <c r="G43" s="1012">
        <v>0</v>
      </c>
      <c r="H43" s="1575">
        <v>0</v>
      </c>
      <c r="I43" s="1453">
        <v>0</v>
      </c>
      <c r="J43" s="1442">
        <v>0</v>
      </c>
      <c r="K43" s="1447">
        <v>0</v>
      </c>
      <c r="L43" s="1442">
        <v>0</v>
      </c>
      <c r="M43" s="241">
        <f t="shared" si="14"/>
        <v>0</v>
      </c>
      <c r="N43" s="1012">
        <v>0</v>
      </c>
      <c r="O43" s="1575">
        <v>0</v>
      </c>
      <c r="P43" s="1453">
        <v>0</v>
      </c>
      <c r="Q43" s="1442">
        <v>0</v>
      </c>
      <c r="R43" s="1447">
        <v>0</v>
      </c>
      <c r="S43" s="1442">
        <v>0</v>
      </c>
      <c r="T43" s="241">
        <f t="shared" si="62"/>
        <v>0</v>
      </c>
      <c r="U43" s="1763"/>
      <c r="V43" s="70"/>
      <c r="W43" s="897">
        <f t="shared" si="43"/>
        <v>0</v>
      </c>
      <c r="Y43" s="71"/>
      <c r="Z43" s="93">
        <f xml:space="preserve"> IF( AND(OR($C43 = "Capital expenditure purpose - WATER additional line 14 [Other categories]",$C43=""), OR( G43 &lt;&gt; 0, H43 &lt;&gt; 0, I43 &lt;&gt; 0, J43 &lt;&gt; 0, K43 &lt;&gt; 0, L43 &lt;&gt; 0, N43 &lt;&gt; 0, O43 &lt;&gt; 0, P43 &lt;&gt; 0, Q43 &lt;&gt; 0, R43 &lt;&gt; 0, S43 &lt;&gt; 0) ), 1, 0 )</f>
        <v>0</v>
      </c>
      <c r="AA43" s="93">
        <f t="shared" ref="AA43:AF43" si="71" xml:space="preserve"> IF(AND($C43="Capital expenditure purpose - WATER additional line 14 [Other categories]",$M43=0), 0, IF( ISNUMBER( G43 ), 0, 1 ))</f>
        <v>0</v>
      </c>
      <c r="AB43" s="93">
        <f t="shared" si="71"/>
        <v>0</v>
      </c>
      <c r="AC43" s="93">
        <f t="shared" si="71"/>
        <v>0</v>
      </c>
      <c r="AD43" s="93">
        <f t="shared" si="71"/>
        <v>0</v>
      </c>
      <c r="AE43" s="93">
        <f t="shared" si="71"/>
        <v>0</v>
      </c>
      <c r="AF43" s="93">
        <f t="shared" si="71"/>
        <v>0</v>
      </c>
      <c r="AG43" s="85"/>
      <c r="AH43" s="93">
        <f t="shared" ref="AH43:AM43" si="72" xml:space="preserve"> IF(AND($C43="Capital expenditure purpose - WATER additional line 14 [Other categories]",$M43=0), 0, IF( ISNUMBER( N43 ), 0, 1 ))</f>
        <v>0</v>
      </c>
      <c r="AI43" s="93">
        <f t="shared" si="72"/>
        <v>0</v>
      </c>
      <c r="AJ43" s="93">
        <f t="shared" si="72"/>
        <v>0</v>
      </c>
      <c r="AK43" s="93">
        <f t="shared" si="72"/>
        <v>0</v>
      </c>
      <c r="AL43" s="93">
        <f t="shared" si="72"/>
        <v>0</v>
      </c>
      <c r="AM43" s="93">
        <f t="shared" si="72"/>
        <v>0</v>
      </c>
      <c r="AN43" s="71"/>
      <c r="AP43" s="71"/>
      <c r="AT43" s="71"/>
      <c r="AW43" s="1006" t="s">
        <v>5891</v>
      </c>
      <c r="AX43" s="2822" t="s">
        <v>5893</v>
      </c>
      <c r="AY43" s="2823"/>
      <c r="AZ43" s="2003" t="s">
        <v>51</v>
      </c>
      <c r="BA43" s="1007">
        <v>3</v>
      </c>
      <c r="BB43" s="2824" t="s">
        <v>5893</v>
      </c>
      <c r="BC43" s="2825" t="s">
        <v>5894</v>
      </c>
      <c r="BD43" s="2826" t="s">
        <v>5895</v>
      </c>
      <c r="BE43" s="2827" t="s">
        <v>5896</v>
      </c>
      <c r="BF43" s="2828" t="s">
        <v>5897</v>
      </c>
      <c r="BG43" s="2827" t="s">
        <v>5898</v>
      </c>
      <c r="BH43" s="241" t="s">
        <v>5899</v>
      </c>
      <c r="BI43" s="2824" t="s">
        <v>5900</v>
      </c>
      <c r="BJ43" s="2825" t="s">
        <v>5901</v>
      </c>
      <c r="BK43" s="2827" t="s">
        <v>5902</v>
      </c>
      <c r="BL43" s="2828" t="s">
        <v>5903</v>
      </c>
      <c r="BM43" s="2826" t="s">
        <v>5904</v>
      </c>
      <c r="BN43" s="2827" t="s">
        <v>5905</v>
      </c>
      <c r="BO43" s="241" t="s">
        <v>5906</v>
      </c>
    </row>
    <row r="44" spans="1:67" s="192" customFormat="1" ht="15" thickBot="1">
      <c r="A44" s="880"/>
      <c r="B44" s="1006" t="s">
        <v>5907</v>
      </c>
      <c r="C44" s="1015" t="s">
        <v>5908</v>
      </c>
      <c r="D44" s="1115"/>
      <c r="E44" s="1016" t="s">
        <v>51</v>
      </c>
      <c r="F44" s="1017">
        <v>3</v>
      </c>
      <c r="G44" s="1444">
        <v>0</v>
      </c>
      <c r="H44" s="1576">
        <v>0</v>
      </c>
      <c r="I44" s="1454">
        <v>0</v>
      </c>
      <c r="J44" s="1451">
        <v>0</v>
      </c>
      <c r="K44" s="1448">
        <v>0</v>
      </c>
      <c r="L44" s="1443">
        <v>0</v>
      </c>
      <c r="M44" s="241">
        <f t="shared" si="14"/>
        <v>0</v>
      </c>
      <c r="N44" s="1444">
        <v>0</v>
      </c>
      <c r="O44" s="1576">
        <v>0</v>
      </c>
      <c r="P44" s="1454">
        <v>0</v>
      </c>
      <c r="Q44" s="1451">
        <v>0</v>
      </c>
      <c r="R44" s="1448">
        <v>0</v>
      </c>
      <c r="S44" s="1443">
        <v>0</v>
      </c>
      <c r="T44" s="241">
        <f t="shared" si="0"/>
        <v>0</v>
      </c>
      <c r="U44" s="1764"/>
      <c r="V44" s="70"/>
      <c r="W44" s="897">
        <f t="shared" si="43"/>
        <v>0</v>
      </c>
      <c r="Y44" s="71"/>
      <c r="Z44" s="93">
        <f xml:space="preserve"> IF( AND(OR($C44 = "Capital expenditure purpose - WATER additional line 15 [Other categories]",$C44=""), OR( G44 &lt;&gt; 0, H44 &lt;&gt; 0, I44 &lt;&gt; 0, J44 &lt;&gt; 0, K44 &lt;&gt; 0, L44 &lt;&gt; 0, N44 &lt;&gt; 0, O44 &lt;&gt; 0, P44 &lt;&gt; 0, Q44 &lt;&gt; 0, R44 &lt;&gt; 0, S44 &lt;&gt; 0) ), 1, 0 )</f>
        <v>0</v>
      </c>
      <c r="AA44" s="93">
        <f t="shared" ref="AA44:AF44" si="73" xml:space="preserve"> IF(AND($C44="Capital expenditure purpose - WATER additional line 15 [Other categories]",$M44=0), 0, IF( ISNUMBER( G44 ), 0, 1 ))</f>
        <v>0</v>
      </c>
      <c r="AB44" s="93">
        <f t="shared" si="73"/>
        <v>0</v>
      </c>
      <c r="AC44" s="93">
        <f t="shared" si="73"/>
        <v>0</v>
      </c>
      <c r="AD44" s="93">
        <f t="shared" si="73"/>
        <v>0</v>
      </c>
      <c r="AE44" s="93">
        <f t="shared" si="73"/>
        <v>0</v>
      </c>
      <c r="AF44" s="93">
        <f t="shared" si="73"/>
        <v>0</v>
      </c>
      <c r="AG44" s="85"/>
      <c r="AH44" s="93">
        <f t="shared" ref="AH44:AM44" si="74" xml:space="preserve"> IF(AND($C44="Capital expenditure purpose - WATER additional line 15 [Other categories]",$M44=0), 0, IF( ISNUMBER( N44 ), 0, 1 ))</f>
        <v>0</v>
      </c>
      <c r="AI44" s="93">
        <f t="shared" si="74"/>
        <v>0</v>
      </c>
      <c r="AJ44" s="93">
        <f t="shared" si="74"/>
        <v>0</v>
      </c>
      <c r="AK44" s="93">
        <f t="shared" si="74"/>
        <v>0</v>
      </c>
      <c r="AL44" s="93">
        <f t="shared" si="74"/>
        <v>0</v>
      </c>
      <c r="AM44" s="93">
        <f t="shared" si="74"/>
        <v>0</v>
      </c>
      <c r="AN44" s="71"/>
      <c r="AP44" s="71"/>
      <c r="AT44" s="71"/>
      <c r="AW44" s="1006" t="s">
        <v>5907</v>
      </c>
      <c r="AX44" s="2829" t="s">
        <v>5909</v>
      </c>
      <c r="AY44" s="2830"/>
      <c r="AZ44" s="1016" t="s">
        <v>51</v>
      </c>
      <c r="BA44" s="1017">
        <v>3</v>
      </c>
      <c r="BB44" s="2831" t="s">
        <v>5909</v>
      </c>
      <c r="BC44" s="2832" t="s">
        <v>5910</v>
      </c>
      <c r="BD44" s="2833" t="s">
        <v>5911</v>
      </c>
      <c r="BE44" s="2834" t="s">
        <v>5912</v>
      </c>
      <c r="BF44" s="2835" t="s">
        <v>5913</v>
      </c>
      <c r="BG44" s="2827" t="s">
        <v>5914</v>
      </c>
      <c r="BH44" s="241" t="s">
        <v>5915</v>
      </c>
      <c r="BI44" s="2831" t="s">
        <v>5916</v>
      </c>
      <c r="BJ44" s="2832" t="s">
        <v>5917</v>
      </c>
      <c r="BK44" s="2834" t="s">
        <v>5918</v>
      </c>
      <c r="BL44" s="2835" t="s">
        <v>5919</v>
      </c>
      <c r="BM44" s="2833" t="s">
        <v>5920</v>
      </c>
      <c r="BN44" s="2827" t="s">
        <v>5921</v>
      </c>
      <c r="BO44" s="241" t="s">
        <v>5922</v>
      </c>
    </row>
    <row r="45" spans="1:67" s="192" customFormat="1" ht="24.75" customHeight="1" thickBot="1">
      <c r="A45" s="880"/>
      <c r="B45" s="1019" t="s">
        <v>5923</v>
      </c>
      <c r="C45" s="1020" t="s">
        <v>5924</v>
      </c>
      <c r="D45" s="1021"/>
      <c r="E45" s="1016" t="s">
        <v>51</v>
      </c>
      <c r="F45" s="1017">
        <v>3</v>
      </c>
      <c r="G45" s="1913">
        <f t="shared" ref="G45:L45" si="75">SUM(G8:G44)</f>
        <v>0</v>
      </c>
      <c r="H45" s="1914">
        <f t="shared" si="75"/>
        <v>4.0309999999999997</v>
      </c>
      <c r="I45" s="1915">
        <f t="shared" si="75"/>
        <v>7.0000000000000001E-3</v>
      </c>
      <c r="J45" s="1916">
        <f t="shared" si="75"/>
        <v>1.7999999999999999E-2</v>
      </c>
      <c r="K45" s="1917">
        <f t="shared" si="75"/>
        <v>8.5510000000000002</v>
      </c>
      <c r="L45" s="1915">
        <f t="shared" si="75"/>
        <v>79.561999999999998</v>
      </c>
      <c r="M45" s="200">
        <f t="shared" si="14"/>
        <v>92.168999999999997</v>
      </c>
      <c r="N45" s="1913">
        <f t="shared" ref="N45:S45" si="76">SUM(N8:N44)</f>
        <v>0</v>
      </c>
      <c r="O45" s="1914">
        <f t="shared" si="76"/>
        <v>14.132999999999996</v>
      </c>
      <c r="P45" s="1916">
        <f t="shared" si="76"/>
        <v>1.4E-2</v>
      </c>
      <c r="Q45" s="1917">
        <f t="shared" si="76"/>
        <v>3.5999999999999997E-2</v>
      </c>
      <c r="R45" s="1915">
        <f t="shared" si="76"/>
        <v>28.358999999999998</v>
      </c>
      <c r="S45" s="1915">
        <f t="shared" si="76"/>
        <v>85.129000000000005</v>
      </c>
      <c r="T45" s="200">
        <f t="shared" si="0"/>
        <v>127.67099999999999</v>
      </c>
      <c r="U45" s="1918"/>
      <c r="V45" s="70"/>
      <c r="W45" s="1370">
        <f>IF(SUM(AN45:AP45)&lt;&gt;0,$AS$45,IF(SUM(AN46:AP47)=0,0,$AS$46))</f>
        <v>0</v>
      </c>
      <c r="Y45" s="71"/>
      <c r="AB45" s="70"/>
      <c r="AC45" s="70"/>
      <c r="AD45" s="70"/>
      <c r="AE45" s="70"/>
      <c r="AF45" s="70"/>
      <c r="AG45" s="85"/>
      <c r="AH45" s="70"/>
      <c r="AI45" s="70"/>
      <c r="AJ45" s="70"/>
      <c r="AK45" s="70"/>
      <c r="AL45" s="70"/>
      <c r="AM45" s="70"/>
      <c r="AN45" s="71"/>
      <c r="AO45" s="93">
        <f xml:space="preserve"> IF( (AQ45 - AR45) = 0, 0, 1 )</f>
        <v>0</v>
      </c>
      <c r="AP45" s="124"/>
      <c r="AQ45" s="112">
        <f>ROUND(M45,3)</f>
        <v>92.168999999999997</v>
      </c>
      <c r="AR45" s="112">
        <f xml:space="preserve"> ROUND( ('4D'!M23+'4D'!M24+'4D'!M25), 3 )</f>
        <v>92.168999999999997</v>
      </c>
      <c r="AS45" s="139" t="s">
        <v>5925</v>
      </c>
      <c r="AT45" s="71"/>
      <c r="AW45" s="1019" t="s">
        <v>5923</v>
      </c>
      <c r="AX45" s="2836" t="s">
        <v>5924</v>
      </c>
      <c r="AY45" s="2837"/>
      <c r="AZ45" s="1016" t="s">
        <v>51</v>
      </c>
      <c r="BA45" s="1017">
        <v>3</v>
      </c>
      <c r="BB45" s="1913" t="s">
        <v>5926</v>
      </c>
      <c r="BC45" s="1914" t="s">
        <v>5927</v>
      </c>
      <c r="BD45" s="1915" t="s">
        <v>5928</v>
      </c>
      <c r="BE45" s="1916" t="s">
        <v>5929</v>
      </c>
      <c r="BF45" s="1917" t="s">
        <v>5930</v>
      </c>
      <c r="BG45" s="1915" t="s">
        <v>5931</v>
      </c>
      <c r="BH45" s="200" t="s">
        <v>5932</v>
      </c>
      <c r="BI45" s="1913" t="s">
        <v>5933</v>
      </c>
      <c r="BJ45" s="1914" t="s">
        <v>5934</v>
      </c>
      <c r="BK45" s="1916" t="s">
        <v>5935</v>
      </c>
      <c r="BL45" s="1917" t="s">
        <v>5936</v>
      </c>
      <c r="BM45" s="1915" t="s">
        <v>5937</v>
      </c>
      <c r="BN45" s="1915" t="s">
        <v>5938</v>
      </c>
      <c r="BO45" s="200" t="s">
        <v>5939</v>
      </c>
    </row>
    <row r="46" spans="1:67" s="192" customFormat="1">
      <c r="A46" s="880"/>
      <c r="B46" s="1024"/>
      <c r="C46" s="1025"/>
      <c r="D46" s="1025"/>
      <c r="E46" s="1026"/>
      <c r="F46" s="1027"/>
      <c r="G46" s="1573">
        <f>IF('4J'!G49=0,(IF(ROUND(G45,3)=ROUND('4J'!G24+'4J'!G25+'4J'!G26,3),0,1)),0)</f>
        <v>0</v>
      </c>
      <c r="H46" s="1573">
        <f>IF('4J'!H49=0,(IF(ROUND(H45,3)=ROUND('4J'!H24+'4J'!H25+'4J'!H26,3),0,1)),0)</f>
        <v>0</v>
      </c>
      <c r="I46" s="1573">
        <f>IF('4J'!I49=0,(IF(ROUND(I45,3)=ROUND('4J'!I24+'4J'!I25+'4J'!I26,3),0,1)),0)</f>
        <v>0</v>
      </c>
      <c r="J46" s="1573">
        <f>IF('4J'!J49=0,(IF(ROUND(J45,3)=ROUND('4J'!J24+'4J'!J25+'4J'!J26,3),0,1)),0)</f>
        <v>0</v>
      </c>
      <c r="K46" s="1573">
        <f>IF('4J'!K49=0,(IF(ROUND(K45,3)=ROUND('4J'!K24+'4J'!K25+'4J'!K26,3),0,1)),0)</f>
        <v>0</v>
      </c>
      <c r="L46" s="1573">
        <f>IF('4J'!L49=0,(IF(ROUND(L45,3)=ROUND('4J'!L24+'4J'!L25+'4J'!L26,3),0,1)),0)</f>
        <v>0</v>
      </c>
      <c r="M46" s="1573">
        <f>IF('4J'!M49=0,(IF(ROUND(M45,3)=ROUND('4J'!M24+'4J'!M25+'4J'!M26,3),0,1)),0)</f>
        <v>0</v>
      </c>
      <c r="N46" s="1027"/>
      <c r="O46" s="1027"/>
      <c r="P46" s="1027"/>
      <c r="Q46" s="1027"/>
      <c r="R46" s="1027"/>
      <c r="S46" s="1027"/>
      <c r="T46" s="1027"/>
      <c r="U46" s="1027"/>
      <c r="V46" s="1027"/>
      <c r="W46" s="1027"/>
      <c r="X46" s="1028"/>
      <c r="Y46" s="71"/>
      <c r="AB46" s="1028"/>
      <c r="AC46" s="1028"/>
      <c r="AD46" s="1028"/>
      <c r="AE46" s="1028"/>
      <c r="AF46" s="1028"/>
      <c r="AG46" s="1028"/>
      <c r="AH46" s="1028"/>
      <c r="AI46" s="1028"/>
      <c r="AJ46" s="1028"/>
      <c r="AK46" s="1028"/>
      <c r="AL46" s="1028"/>
      <c r="AM46" s="1028"/>
      <c r="AN46" s="71"/>
      <c r="AO46" s="93">
        <f xml:space="preserve"> IF( (AQ46 - AR46) = 0, 0, 1 )</f>
        <v>0</v>
      </c>
      <c r="AP46" s="124"/>
      <c r="AQ46" s="112">
        <f>IF(AR46=0,0,ROUND(M45,3))</f>
        <v>0</v>
      </c>
      <c r="AR46" s="112">
        <f xml:space="preserve"> IF('4J'!M49 = 0,ROUND( ('4J'!M24+'4J'!M25+'4J'!M26), 3 ),0)</f>
        <v>0</v>
      </c>
      <c r="AS46" s="139" t="s">
        <v>5940</v>
      </c>
      <c r="AT46" s="71"/>
      <c r="AU46" s="126"/>
    </row>
    <row r="47" spans="1:67" s="192" customFormat="1">
      <c r="A47" s="880"/>
      <c r="B47" s="3314" t="s">
        <v>243</v>
      </c>
      <c r="C47" s="3314"/>
      <c r="D47" s="1025"/>
      <c r="E47" s="1026"/>
      <c r="F47" s="1027"/>
      <c r="G47" s="1027"/>
      <c r="H47" s="1027"/>
      <c r="I47" s="1027"/>
      <c r="J47" s="1027"/>
      <c r="K47" s="1027"/>
      <c r="L47" s="1027"/>
      <c r="M47" s="1027"/>
      <c r="N47" s="1027"/>
      <c r="O47" s="1027"/>
      <c r="P47" s="1027"/>
      <c r="Q47" s="1027"/>
      <c r="R47" s="1027"/>
      <c r="S47" s="1027"/>
      <c r="T47" s="1027"/>
      <c r="U47" s="1027"/>
      <c r="V47" s="1027"/>
      <c r="W47" s="1027"/>
      <c r="X47" s="1028"/>
      <c r="Y47" s="1683"/>
      <c r="Z47" s="1028"/>
      <c r="AA47" s="1028"/>
      <c r="AB47" s="1028"/>
      <c r="AC47" s="1028"/>
      <c r="AD47" s="1028"/>
      <c r="AE47" s="1028"/>
      <c r="AF47" s="1028"/>
      <c r="AG47" s="1028"/>
      <c r="AH47" s="1028"/>
      <c r="AI47" s="1028"/>
      <c r="AJ47" s="1028"/>
      <c r="AK47" s="1028"/>
      <c r="AL47" s="1028"/>
      <c r="AM47" s="1028"/>
      <c r="AN47" s="71"/>
      <c r="AO47" s="93">
        <f xml:space="preserve"> IF(  M46 = 0, 0, 1 )</f>
        <v>0</v>
      </c>
      <c r="AP47" s="124"/>
      <c r="AQ47" s="1028"/>
      <c r="AR47" s="1028"/>
      <c r="AS47" s="139"/>
      <c r="AT47" s="71"/>
      <c r="AU47" s="126"/>
    </row>
    <row r="48" spans="1:67" s="1033" customFormat="1">
      <c r="A48" s="1030"/>
      <c r="B48" s="1024"/>
      <c r="C48" s="1031"/>
      <c r="D48" s="1025"/>
      <c r="E48" s="1026"/>
      <c r="F48" s="1027"/>
      <c r="G48" s="1027"/>
      <c r="H48" s="1027"/>
      <c r="I48" s="1027"/>
      <c r="J48" s="1027"/>
      <c r="K48" s="1027"/>
      <c r="L48" s="1027"/>
      <c r="M48" s="1027"/>
      <c r="N48" s="1027"/>
      <c r="O48" s="1027"/>
      <c r="P48" s="1027"/>
      <c r="Q48" s="1027"/>
      <c r="R48" s="1027"/>
      <c r="S48" s="1027"/>
      <c r="T48" s="1027"/>
      <c r="U48" s="1027"/>
      <c r="V48" s="1027"/>
      <c r="W48" s="1027"/>
      <c r="X48" s="1032"/>
      <c r="Y48" s="1684"/>
      <c r="Z48" s="1032"/>
      <c r="AA48" s="1032"/>
      <c r="AB48" s="1032"/>
      <c r="AC48" s="1032"/>
      <c r="AD48" s="1032"/>
      <c r="AE48" s="1032"/>
      <c r="AF48" s="1032"/>
      <c r="AG48" s="1032"/>
      <c r="AH48" s="1032"/>
      <c r="AI48" s="1032"/>
      <c r="AJ48" s="1032"/>
      <c r="AK48" s="1032"/>
      <c r="AL48" s="1032"/>
      <c r="AM48" s="1032"/>
      <c r="AN48" s="1684"/>
      <c r="AO48" s="1032"/>
      <c r="AP48" s="1684"/>
      <c r="AQ48" s="1032"/>
      <c r="AR48" s="1032"/>
      <c r="AS48" s="1029"/>
      <c r="AT48" s="1674"/>
      <c r="AU48" s="126"/>
    </row>
    <row r="49" spans="1:47" s="163" customFormat="1" ht="12">
      <c r="B49" s="958"/>
      <c r="C49" s="959" t="s">
        <v>190</v>
      </c>
      <c r="D49" s="959"/>
      <c r="Y49" s="1675"/>
      <c r="Z49" s="318"/>
      <c r="AA49" s="318"/>
      <c r="AN49" s="1675"/>
      <c r="AP49" s="1675"/>
      <c r="AT49" s="119"/>
      <c r="AU49" s="126"/>
    </row>
    <row r="50" spans="1:47" s="163" customFormat="1" ht="12">
      <c r="B50" s="956"/>
      <c r="C50" s="957"/>
      <c r="D50" s="957"/>
      <c r="Y50" s="1675"/>
      <c r="Z50" s="318"/>
      <c r="AA50" s="318"/>
      <c r="AN50" s="1675"/>
      <c r="AP50" s="1675"/>
      <c r="AT50" s="119"/>
      <c r="AU50" s="126"/>
    </row>
    <row r="51" spans="1:47" s="163" customFormat="1" ht="12">
      <c r="B51" s="960"/>
      <c r="C51" s="959" t="s">
        <v>191</v>
      </c>
      <c r="D51" s="959"/>
      <c r="Y51" s="1675"/>
      <c r="Z51" s="318"/>
      <c r="AA51" s="318"/>
      <c r="AN51" s="1675"/>
      <c r="AP51" s="1675"/>
      <c r="AT51" s="119"/>
      <c r="AU51" s="126"/>
    </row>
    <row r="52" spans="1:47" s="110" customFormat="1">
      <c r="C52" s="152"/>
      <c r="D52" s="152"/>
      <c r="Y52" s="1676"/>
      <c r="Z52" s="286"/>
      <c r="AA52" s="286"/>
      <c r="AN52" s="1676"/>
      <c r="AP52" s="1676"/>
      <c r="AT52" s="119"/>
      <c r="AU52" s="126"/>
    </row>
    <row r="53" spans="1:47" s="110" customFormat="1" ht="15" thickBot="1">
      <c r="C53" s="152"/>
      <c r="D53" s="152"/>
      <c r="Y53" s="1676"/>
      <c r="Z53" s="286"/>
      <c r="AA53" s="286"/>
      <c r="AN53" s="1676"/>
      <c r="AP53" s="1676"/>
      <c r="AT53" s="119"/>
      <c r="AU53" s="126"/>
    </row>
    <row r="54" spans="1:47" s="110" customFormat="1" ht="16.5" thickBot="1">
      <c r="B54" s="3031" t="str">
        <f>'4K'!B61</f>
        <v>Please refer to RAG 4.08 - Guideline for the table definitions in the annual performance report for the reporting year 2019-20</v>
      </c>
      <c r="C54" s="3032"/>
      <c r="D54" s="3032"/>
      <c r="E54" s="3032"/>
      <c r="F54" s="3032"/>
      <c r="G54" s="3032"/>
      <c r="H54" s="3032"/>
      <c r="I54" s="3032"/>
      <c r="J54" s="3032"/>
      <c r="K54" s="3032"/>
      <c r="L54" s="3032"/>
      <c r="M54" s="3032"/>
      <c r="N54" s="3032"/>
      <c r="O54" s="3033"/>
      <c r="Y54" s="1676"/>
      <c r="Z54" s="286"/>
      <c r="AA54" s="286"/>
      <c r="AN54" s="1676"/>
      <c r="AP54" s="1676"/>
      <c r="AT54" s="119"/>
      <c r="AU54" s="126"/>
    </row>
    <row r="55" spans="1:47" s="110" customFormat="1" ht="15" thickBot="1">
      <c r="C55" s="152"/>
      <c r="D55" s="152"/>
      <c r="Y55" s="1676"/>
      <c r="Z55" s="286"/>
      <c r="AA55" s="286"/>
      <c r="AN55" s="1676"/>
      <c r="AP55" s="1676"/>
      <c r="AT55" s="119"/>
      <c r="AU55" s="126"/>
    </row>
    <row r="56" spans="1:47" s="110" customFormat="1" ht="16.5" hidden="1" thickBot="1">
      <c r="A56" s="1560"/>
      <c r="B56" s="3395" t="str">
        <f ca="1" xml:space="preserve"> RIGHT(CELL("filename", $A$1), LEN(CELL("filename", $A$1)) - SEARCH("]", CELL("filename", $A$1)))&amp;" - Line definitions"</f>
        <v>4L - Line definitions</v>
      </c>
      <c r="C56" s="3396"/>
      <c r="D56" s="3396"/>
      <c r="E56" s="3396"/>
      <c r="F56" s="3396"/>
      <c r="G56" s="3396"/>
      <c r="H56" s="3396"/>
      <c r="I56" s="3396"/>
      <c r="J56" s="3396"/>
      <c r="K56" s="3396"/>
      <c r="L56" s="3396"/>
      <c r="M56" s="3396"/>
      <c r="N56" s="3396"/>
      <c r="O56" s="3397"/>
      <c r="Y56" s="1676"/>
      <c r="Z56" s="286"/>
      <c r="AA56" s="286"/>
      <c r="AN56" s="1676"/>
      <c r="AP56" s="1676"/>
      <c r="AS56" s="964"/>
      <c r="AT56" s="1687"/>
      <c r="AU56" s="126"/>
    </row>
    <row r="57" spans="1:47" s="110" customFormat="1" ht="15" hidden="1" thickBot="1">
      <c r="A57" s="1560"/>
      <c r="B57" s="880"/>
      <c r="C57" s="1034"/>
      <c r="D57" s="1034"/>
      <c r="E57" s="880"/>
      <c r="F57" s="880"/>
      <c r="G57" s="880"/>
      <c r="H57" s="880"/>
      <c r="I57" s="880"/>
      <c r="J57" s="880"/>
      <c r="K57" s="880"/>
      <c r="L57" s="880"/>
      <c r="M57" s="880"/>
      <c r="N57" s="880"/>
      <c r="O57" s="880"/>
      <c r="P57" s="880"/>
      <c r="Q57" s="880"/>
      <c r="R57" s="880"/>
      <c r="S57" s="880"/>
      <c r="T57" s="880"/>
      <c r="U57" s="880"/>
      <c r="V57" s="880"/>
      <c r="W57" s="880"/>
      <c r="X57" s="880"/>
      <c r="Y57" s="1673"/>
      <c r="Z57" s="880"/>
      <c r="AA57" s="880"/>
      <c r="AB57" s="880"/>
      <c r="AC57" s="880"/>
      <c r="AD57" s="880"/>
      <c r="AE57" s="880"/>
      <c r="AF57" s="880"/>
      <c r="AG57" s="880"/>
      <c r="AH57" s="880"/>
      <c r="AI57" s="880"/>
      <c r="AJ57" s="880"/>
      <c r="AK57" s="880"/>
      <c r="AL57" s="880"/>
      <c r="AM57" s="880"/>
      <c r="AN57" s="1673"/>
      <c r="AO57" s="880"/>
      <c r="AP57" s="1673"/>
      <c r="AQ57" s="880"/>
      <c r="AR57" s="880"/>
      <c r="AT57" s="1687"/>
      <c r="AU57" s="126"/>
    </row>
    <row r="58" spans="1:47" s="178" customFormat="1" ht="15" hidden="1" thickBot="1">
      <c r="A58" s="1561"/>
      <c r="B58" s="1035" t="s">
        <v>193</v>
      </c>
      <c r="C58" s="3398" t="s">
        <v>194</v>
      </c>
      <c r="D58" s="3399"/>
      <c r="E58" s="3399"/>
      <c r="F58" s="3399"/>
      <c r="G58" s="3399"/>
      <c r="H58" s="3399"/>
      <c r="I58" s="3399"/>
      <c r="J58" s="3399"/>
      <c r="K58" s="3399"/>
      <c r="L58" s="3399"/>
      <c r="M58" s="3399"/>
      <c r="N58" s="3399"/>
      <c r="O58" s="3400"/>
      <c r="P58" s="880"/>
      <c r="Q58" s="880"/>
      <c r="R58" s="880"/>
      <c r="S58" s="880"/>
      <c r="T58" s="880"/>
      <c r="U58" s="880"/>
      <c r="V58" s="880"/>
      <c r="W58" s="880"/>
      <c r="X58" s="880"/>
      <c r="Y58" s="1673"/>
      <c r="Z58" s="880"/>
      <c r="AA58" s="880"/>
      <c r="AB58" s="1036"/>
      <c r="AC58" s="1036"/>
      <c r="AD58" s="1036"/>
      <c r="AE58" s="1036"/>
      <c r="AF58" s="1036"/>
      <c r="AG58" s="1036"/>
      <c r="AH58" s="1036"/>
      <c r="AI58" s="1036"/>
      <c r="AJ58" s="1036"/>
      <c r="AK58" s="1036"/>
      <c r="AL58" s="1036"/>
      <c r="AM58" s="1036"/>
      <c r="AN58" s="1678"/>
      <c r="AO58" s="1036"/>
      <c r="AP58" s="1678"/>
      <c r="AQ58" s="1036"/>
      <c r="AR58" s="1036"/>
      <c r="AS58" s="1036"/>
      <c r="AT58" s="1687"/>
      <c r="AU58" s="120"/>
    </row>
    <row r="59" spans="1:47" s="110" customFormat="1" hidden="1">
      <c r="A59" s="1560"/>
      <c r="B59" s="1037">
        <v>1</v>
      </c>
      <c r="C59" s="3372" t="s">
        <v>5941</v>
      </c>
      <c r="D59" s="3373"/>
      <c r="E59" s="3373"/>
      <c r="F59" s="3373"/>
      <c r="G59" s="3373"/>
      <c r="H59" s="3373"/>
      <c r="I59" s="3373"/>
      <c r="J59" s="3373"/>
      <c r="K59" s="3373"/>
      <c r="L59" s="3373"/>
      <c r="M59" s="3373"/>
      <c r="N59" s="3373"/>
      <c r="O59" s="3374"/>
      <c r="Y59" s="1676"/>
      <c r="Z59" s="286"/>
      <c r="AA59" s="286"/>
      <c r="AB59" s="1038"/>
      <c r="AC59" s="1038"/>
      <c r="AD59" s="1038"/>
      <c r="AE59" s="1038"/>
      <c r="AF59" s="1038"/>
      <c r="AG59" s="1038"/>
      <c r="AH59" s="1038"/>
      <c r="AI59" s="1038"/>
      <c r="AJ59" s="1038"/>
      <c r="AK59" s="1038"/>
      <c r="AL59" s="1038"/>
      <c r="AM59" s="1038"/>
      <c r="AN59" s="1685"/>
      <c r="AO59" s="1038"/>
      <c r="AP59" s="1685"/>
      <c r="AQ59" s="1038"/>
      <c r="AR59" s="1038"/>
      <c r="AS59" s="1039"/>
      <c r="AT59" s="1687"/>
      <c r="AU59" s="120"/>
    </row>
    <row r="60" spans="1:47" s="110" customFormat="1" hidden="1">
      <c r="A60" s="1560"/>
      <c r="B60" s="1040">
        <f>+B59+1</f>
        <v>2</v>
      </c>
      <c r="C60" s="3372" t="s">
        <v>5942</v>
      </c>
      <c r="D60" s="3373"/>
      <c r="E60" s="3373"/>
      <c r="F60" s="3373"/>
      <c r="G60" s="3373"/>
      <c r="H60" s="3373"/>
      <c r="I60" s="3373"/>
      <c r="J60" s="3373"/>
      <c r="K60" s="3373"/>
      <c r="L60" s="3373"/>
      <c r="M60" s="3373"/>
      <c r="N60" s="3373"/>
      <c r="O60" s="3374"/>
      <c r="Y60" s="1676"/>
      <c r="Z60" s="286"/>
      <c r="AA60" s="286"/>
      <c r="AB60" s="1038"/>
      <c r="AC60" s="1038"/>
      <c r="AD60" s="1038"/>
      <c r="AE60" s="1038"/>
      <c r="AF60" s="1038"/>
      <c r="AG60" s="1038"/>
      <c r="AH60" s="1038"/>
      <c r="AI60" s="1038"/>
      <c r="AJ60" s="1038"/>
      <c r="AK60" s="1038"/>
      <c r="AL60" s="1038"/>
      <c r="AM60" s="1038"/>
      <c r="AN60" s="1685"/>
      <c r="AO60" s="1038"/>
      <c r="AP60" s="1685"/>
      <c r="AQ60" s="1038"/>
      <c r="AR60" s="1038"/>
      <c r="AS60" s="1039"/>
      <c r="AT60" s="1687"/>
      <c r="AU60" s="120"/>
    </row>
    <row r="61" spans="1:47" s="110" customFormat="1" hidden="1">
      <c r="A61" s="1560"/>
      <c r="B61" s="1040">
        <f t="shared" ref="B61:B80" si="77">+B60+1</f>
        <v>3</v>
      </c>
      <c r="C61" s="3372" t="s">
        <v>5943</v>
      </c>
      <c r="D61" s="3373"/>
      <c r="E61" s="3373"/>
      <c r="F61" s="3373"/>
      <c r="G61" s="3373"/>
      <c r="H61" s="3373"/>
      <c r="I61" s="3373"/>
      <c r="J61" s="3373"/>
      <c r="K61" s="3373"/>
      <c r="L61" s="3373"/>
      <c r="M61" s="3373"/>
      <c r="N61" s="3373"/>
      <c r="O61" s="3374"/>
      <c r="Y61" s="1676"/>
      <c r="Z61" s="286"/>
      <c r="AA61" s="286"/>
      <c r="AB61" s="1038"/>
      <c r="AC61" s="1038"/>
      <c r="AD61" s="1038"/>
      <c r="AE61" s="1038"/>
      <c r="AF61" s="1038"/>
      <c r="AG61" s="1038"/>
      <c r="AH61" s="1038"/>
      <c r="AI61" s="1038"/>
      <c r="AJ61" s="1038"/>
      <c r="AK61" s="1038"/>
      <c r="AL61" s="1038"/>
      <c r="AM61" s="1038"/>
      <c r="AN61" s="1685"/>
      <c r="AO61" s="1038"/>
      <c r="AP61" s="1685"/>
      <c r="AQ61" s="1038"/>
      <c r="AR61" s="1038"/>
      <c r="AS61" s="1039"/>
      <c r="AT61" s="1687"/>
      <c r="AU61" s="120"/>
    </row>
    <row r="62" spans="1:47" s="110" customFormat="1" hidden="1">
      <c r="A62" s="1560"/>
      <c r="B62" s="1040">
        <f t="shared" si="77"/>
        <v>4</v>
      </c>
      <c r="C62" s="3372" t="s">
        <v>5944</v>
      </c>
      <c r="D62" s="3373"/>
      <c r="E62" s="3373"/>
      <c r="F62" s="3373"/>
      <c r="G62" s="3373"/>
      <c r="H62" s="3373"/>
      <c r="I62" s="3373"/>
      <c r="J62" s="3373"/>
      <c r="K62" s="3373"/>
      <c r="L62" s="3373"/>
      <c r="M62" s="3373"/>
      <c r="N62" s="3373"/>
      <c r="O62" s="3374"/>
      <c r="Y62" s="1676"/>
      <c r="Z62" s="286"/>
      <c r="AA62" s="286"/>
      <c r="AB62" s="1038"/>
      <c r="AC62" s="1038"/>
      <c r="AD62" s="1038"/>
      <c r="AE62" s="1038"/>
      <c r="AF62" s="1038"/>
      <c r="AG62" s="1038"/>
      <c r="AH62" s="1038"/>
      <c r="AI62" s="1038"/>
      <c r="AJ62" s="1038"/>
      <c r="AK62" s="1038"/>
      <c r="AL62" s="1038"/>
      <c r="AM62" s="1038"/>
      <c r="AN62" s="1685"/>
      <c r="AO62" s="1038"/>
      <c r="AP62" s="1685"/>
      <c r="AQ62" s="1038"/>
      <c r="AR62" s="1038"/>
      <c r="AS62" s="1039"/>
      <c r="AT62" s="1687"/>
      <c r="AU62" s="120"/>
    </row>
    <row r="63" spans="1:47" s="110" customFormat="1" hidden="1">
      <c r="A63" s="1560"/>
      <c r="B63" s="1040">
        <f t="shared" si="77"/>
        <v>5</v>
      </c>
      <c r="C63" s="3372" t="s">
        <v>5945</v>
      </c>
      <c r="D63" s="3373"/>
      <c r="E63" s="3373"/>
      <c r="F63" s="3373"/>
      <c r="G63" s="3373"/>
      <c r="H63" s="3373"/>
      <c r="I63" s="3373"/>
      <c r="J63" s="3373"/>
      <c r="K63" s="3373"/>
      <c r="L63" s="3373"/>
      <c r="M63" s="3373"/>
      <c r="N63" s="3373"/>
      <c r="O63" s="3374"/>
      <c r="Y63" s="1676"/>
      <c r="Z63" s="286"/>
      <c r="AA63" s="286"/>
      <c r="AB63" s="1038"/>
      <c r="AC63" s="1038"/>
      <c r="AD63" s="1038"/>
      <c r="AE63" s="1038"/>
      <c r="AF63" s="1038"/>
      <c r="AG63" s="1038"/>
      <c r="AH63" s="1038"/>
      <c r="AI63" s="1038"/>
      <c r="AJ63" s="1038"/>
      <c r="AK63" s="1038"/>
      <c r="AL63" s="1038"/>
      <c r="AM63" s="1038"/>
      <c r="AN63" s="1685"/>
      <c r="AO63" s="1038"/>
      <c r="AP63" s="1685"/>
      <c r="AQ63" s="1038"/>
      <c r="AR63" s="1038"/>
      <c r="AS63" s="1039"/>
      <c r="AT63" s="1687"/>
      <c r="AU63" s="120"/>
    </row>
    <row r="64" spans="1:47" s="110" customFormat="1" ht="40.700000000000003" hidden="1" customHeight="1">
      <c r="A64" s="1560"/>
      <c r="B64" s="1040">
        <f t="shared" si="77"/>
        <v>6</v>
      </c>
      <c r="C64" s="3372" t="s">
        <v>5946</v>
      </c>
      <c r="D64" s="3373"/>
      <c r="E64" s="3373"/>
      <c r="F64" s="3373"/>
      <c r="G64" s="3373"/>
      <c r="H64" s="3373"/>
      <c r="I64" s="3373"/>
      <c r="J64" s="3373"/>
      <c r="K64" s="3373"/>
      <c r="L64" s="3373"/>
      <c r="M64" s="3373"/>
      <c r="N64" s="3373"/>
      <c r="O64" s="3374"/>
      <c r="Y64" s="1676"/>
      <c r="Z64" s="286"/>
      <c r="AA64" s="286"/>
      <c r="AB64" s="1038"/>
      <c r="AC64" s="1038"/>
      <c r="AD64" s="1038"/>
      <c r="AE64" s="1038"/>
      <c r="AF64" s="1038"/>
      <c r="AG64" s="1038"/>
      <c r="AH64" s="1038"/>
      <c r="AI64" s="1038"/>
      <c r="AJ64" s="1038"/>
      <c r="AK64" s="1038"/>
      <c r="AL64" s="1038"/>
      <c r="AM64" s="1038"/>
      <c r="AN64" s="1685"/>
      <c r="AO64" s="1038"/>
      <c r="AP64" s="1685"/>
      <c r="AQ64" s="1038"/>
      <c r="AR64" s="1038"/>
      <c r="AS64" s="1039"/>
      <c r="AT64" s="1687"/>
      <c r="AU64" s="120"/>
    </row>
    <row r="65" spans="1:47" s="110" customFormat="1" ht="24" hidden="1" customHeight="1">
      <c r="A65" s="1560"/>
      <c r="B65" s="1040">
        <f t="shared" si="77"/>
        <v>7</v>
      </c>
      <c r="C65" s="3372" t="s">
        <v>5947</v>
      </c>
      <c r="D65" s="3373"/>
      <c r="E65" s="3373"/>
      <c r="F65" s="3373"/>
      <c r="G65" s="3373"/>
      <c r="H65" s="3373"/>
      <c r="I65" s="3373"/>
      <c r="J65" s="3373"/>
      <c r="K65" s="3373"/>
      <c r="L65" s="3373"/>
      <c r="M65" s="3373"/>
      <c r="N65" s="3373"/>
      <c r="O65" s="3374"/>
      <c r="Y65" s="1676"/>
      <c r="Z65" s="286"/>
      <c r="AA65" s="286"/>
      <c r="AB65" s="1038"/>
      <c r="AC65" s="1038"/>
      <c r="AD65" s="1038"/>
      <c r="AE65" s="1038"/>
      <c r="AF65" s="1038"/>
      <c r="AG65" s="1038"/>
      <c r="AH65" s="1038"/>
      <c r="AI65" s="1038"/>
      <c r="AJ65" s="1038"/>
      <c r="AK65" s="1038"/>
      <c r="AL65" s="1038"/>
      <c r="AM65" s="1038"/>
      <c r="AN65" s="1685"/>
      <c r="AO65" s="1038"/>
      <c r="AP65" s="1685"/>
      <c r="AQ65" s="1038"/>
      <c r="AR65" s="1038"/>
      <c r="AS65" s="1039"/>
      <c r="AT65" s="1687"/>
      <c r="AU65" s="120"/>
    </row>
    <row r="66" spans="1:47" s="110" customFormat="1" ht="24" hidden="1" customHeight="1">
      <c r="A66" s="1560"/>
      <c r="B66" s="1040">
        <f t="shared" si="77"/>
        <v>8</v>
      </c>
      <c r="C66" s="3372" t="s">
        <v>5948</v>
      </c>
      <c r="D66" s="3373"/>
      <c r="E66" s="3373"/>
      <c r="F66" s="3373"/>
      <c r="G66" s="3373"/>
      <c r="H66" s="3373"/>
      <c r="I66" s="3373"/>
      <c r="J66" s="3373"/>
      <c r="K66" s="3373"/>
      <c r="L66" s="3373"/>
      <c r="M66" s="3373"/>
      <c r="N66" s="3373"/>
      <c r="O66" s="3374"/>
      <c r="Y66" s="1676"/>
      <c r="Z66" s="286"/>
      <c r="AA66" s="286"/>
      <c r="AB66" s="1038"/>
      <c r="AC66" s="1038"/>
      <c r="AD66" s="1038"/>
      <c r="AE66" s="1038"/>
      <c r="AF66" s="1038"/>
      <c r="AG66" s="1038"/>
      <c r="AH66" s="1038"/>
      <c r="AI66" s="1038"/>
      <c r="AJ66" s="1038"/>
      <c r="AK66" s="1038"/>
      <c r="AL66" s="1038"/>
      <c r="AM66" s="1038"/>
      <c r="AN66" s="1685"/>
      <c r="AO66" s="1038"/>
      <c r="AP66" s="1685"/>
      <c r="AQ66" s="1038"/>
      <c r="AR66" s="1038"/>
      <c r="AS66" s="1039"/>
      <c r="AT66" s="1687"/>
      <c r="AU66" s="120"/>
    </row>
    <row r="67" spans="1:47" s="110" customFormat="1" ht="24" hidden="1" customHeight="1">
      <c r="A67" s="1560"/>
      <c r="B67" s="1040">
        <f t="shared" si="77"/>
        <v>9</v>
      </c>
      <c r="C67" s="3372" t="s">
        <v>5949</v>
      </c>
      <c r="D67" s="3373"/>
      <c r="E67" s="3373"/>
      <c r="F67" s="3373"/>
      <c r="G67" s="3373"/>
      <c r="H67" s="3373"/>
      <c r="I67" s="3373"/>
      <c r="J67" s="3373"/>
      <c r="K67" s="3373"/>
      <c r="L67" s="3373"/>
      <c r="M67" s="3373"/>
      <c r="N67" s="3373"/>
      <c r="O67" s="3374"/>
      <c r="Y67" s="1676"/>
      <c r="Z67" s="286"/>
      <c r="AA67" s="286"/>
      <c r="AB67" s="1038"/>
      <c r="AC67" s="1038"/>
      <c r="AD67" s="1038"/>
      <c r="AE67" s="1038"/>
      <c r="AF67" s="1038"/>
      <c r="AG67" s="1038"/>
      <c r="AH67" s="1038"/>
      <c r="AI67" s="1038"/>
      <c r="AJ67" s="1038"/>
      <c r="AK67" s="1038"/>
      <c r="AL67" s="1038"/>
      <c r="AM67" s="1038"/>
      <c r="AN67" s="1685"/>
      <c r="AO67" s="1038"/>
      <c r="AP67" s="1685"/>
      <c r="AQ67" s="1038"/>
      <c r="AR67" s="1038"/>
      <c r="AS67" s="1039"/>
      <c r="AT67" s="1687"/>
      <c r="AU67" s="120"/>
    </row>
    <row r="68" spans="1:47" s="110" customFormat="1" ht="24" hidden="1" customHeight="1">
      <c r="A68" s="1560"/>
      <c r="B68" s="1040">
        <f t="shared" si="77"/>
        <v>10</v>
      </c>
      <c r="C68" s="3372" t="s">
        <v>5950</v>
      </c>
      <c r="D68" s="3373"/>
      <c r="E68" s="3373"/>
      <c r="F68" s="3373"/>
      <c r="G68" s="3373"/>
      <c r="H68" s="3373"/>
      <c r="I68" s="3373"/>
      <c r="J68" s="3373"/>
      <c r="K68" s="3373"/>
      <c r="L68" s="3373"/>
      <c r="M68" s="3373"/>
      <c r="N68" s="3373"/>
      <c r="O68" s="3374"/>
      <c r="Y68" s="1676"/>
      <c r="Z68" s="286"/>
      <c r="AA68" s="286"/>
      <c r="AB68" s="1038"/>
      <c r="AC68" s="1038"/>
      <c r="AD68" s="1038"/>
      <c r="AE68" s="1038"/>
      <c r="AF68" s="1038"/>
      <c r="AG68" s="1038"/>
      <c r="AH68" s="1038"/>
      <c r="AI68" s="1038"/>
      <c r="AJ68" s="1038"/>
      <c r="AK68" s="1038"/>
      <c r="AL68" s="1038"/>
      <c r="AM68" s="1038"/>
      <c r="AN68" s="1685"/>
      <c r="AO68" s="1038"/>
      <c r="AP68" s="1685"/>
      <c r="AQ68" s="1038"/>
      <c r="AR68" s="1038"/>
      <c r="AS68" s="1039"/>
      <c r="AT68" s="1687"/>
      <c r="AU68" s="120"/>
    </row>
    <row r="69" spans="1:47" s="110" customFormat="1" ht="31.7" hidden="1" customHeight="1">
      <c r="A69" s="1560"/>
      <c r="B69" s="1040">
        <f t="shared" si="77"/>
        <v>11</v>
      </c>
      <c r="C69" s="3372" t="s">
        <v>5951</v>
      </c>
      <c r="D69" s="3373"/>
      <c r="E69" s="3373"/>
      <c r="F69" s="3373"/>
      <c r="G69" s="3373"/>
      <c r="H69" s="3373"/>
      <c r="I69" s="3373"/>
      <c r="J69" s="3373"/>
      <c r="K69" s="3373"/>
      <c r="L69" s="3373"/>
      <c r="M69" s="3373"/>
      <c r="N69" s="3373"/>
      <c r="O69" s="3374"/>
      <c r="Y69" s="1676"/>
      <c r="Z69" s="286"/>
      <c r="AA69" s="286"/>
      <c r="AB69" s="1038"/>
      <c r="AC69" s="1038"/>
      <c r="AD69" s="1038"/>
      <c r="AE69" s="1038"/>
      <c r="AF69" s="1038"/>
      <c r="AG69" s="1038"/>
      <c r="AH69" s="1038"/>
      <c r="AI69" s="1038"/>
      <c r="AJ69" s="1038"/>
      <c r="AK69" s="1038"/>
      <c r="AL69" s="1038"/>
      <c r="AM69" s="1038"/>
      <c r="AN69" s="1685"/>
      <c r="AO69" s="1038"/>
      <c r="AP69" s="1685"/>
      <c r="AQ69" s="1038"/>
      <c r="AR69" s="1038"/>
      <c r="AS69" s="1039"/>
      <c r="AT69" s="1687"/>
      <c r="AU69" s="120"/>
    </row>
    <row r="70" spans="1:47" s="110" customFormat="1" ht="15" hidden="1" customHeight="1">
      <c r="A70" s="1560"/>
      <c r="B70" s="1040">
        <f t="shared" si="77"/>
        <v>12</v>
      </c>
      <c r="C70" s="3372" t="s">
        <v>5952</v>
      </c>
      <c r="D70" s="3373"/>
      <c r="E70" s="3373"/>
      <c r="F70" s="3373"/>
      <c r="G70" s="3373"/>
      <c r="H70" s="3373"/>
      <c r="I70" s="3373"/>
      <c r="J70" s="3373"/>
      <c r="K70" s="3373"/>
      <c r="L70" s="3373"/>
      <c r="M70" s="3373"/>
      <c r="N70" s="3373"/>
      <c r="O70" s="3374"/>
      <c r="Y70" s="1676"/>
      <c r="Z70" s="286"/>
      <c r="AA70" s="286"/>
      <c r="AB70" s="1038"/>
      <c r="AC70" s="1038"/>
      <c r="AD70" s="1038"/>
      <c r="AE70" s="1038"/>
      <c r="AF70" s="1038"/>
      <c r="AG70" s="1038"/>
      <c r="AH70" s="1038"/>
      <c r="AI70" s="1038"/>
      <c r="AJ70" s="1038"/>
      <c r="AK70" s="1038"/>
      <c r="AL70" s="1038"/>
      <c r="AM70" s="1038"/>
      <c r="AN70" s="1685"/>
      <c r="AO70" s="1038"/>
      <c r="AP70" s="1685"/>
      <c r="AQ70" s="1038"/>
      <c r="AR70" s="1038"/>
      <c r="AS70" s="1039"/>
      <c r="AT70" s="1687"/>
      <c r="AU70" s="120"/>
    </row>
    <row r="71" spans="1:47" hidden="1">
      <c r="A71" s="1692"/>
      <c r="B71" s="1040">
        <f>+B70+1</f>
        <v>13</v>
      </c>
      <c r="C71" s="3372" t="s">
        <v>5953</v>
      </c>
      <c r="D71" s="3373"/>
      <c r="E71" s="3373"/>
      <c r="F71" s="3373"/>
      <c r="G71" s="3373"/>
      <c r="H71" s="3373"/>
      <c r="I71" s="3373"/>
      <c r="J71" s="3373"/>
      <c r="K71" s="3373"/>
      <c r="L71" s="3373"/>
      <c r="M71" s="3373"/>
      <c r="N71" s="3373"/>
      <c r="O71" s="3374"/>
      <c r="P71" s="110"/>
      <c r="Q71" s="110"/>
      <c r="R71" s="110"/>
      <c r="S71" s="110"/>
      <c r="T71" s="110"/>
      <c r="U71" s="110"/>
      <c r="V71" s="110"/>
      <c r="W71" s="110"/>
      <c r="X71" s="110"/>
      <c r="Y71" s="1676"/>
      <c r="Z71" s="286"/>
      <c r="AA71" s="286"/>
      <c r="AB71" s="1038"/>
      <c r="AC71" s="1038"/>
      <c r="AD71" s="1038"/>
      <c r="AE71" s="1038"/>
      <c r="AF71" s="1038"/>
      <c r="AG71" s="1038"/>
      <c r="AH71" s="1038"/>
      <c r="AI71" s="1038"/>
      <c r="AJ71" s="1038"/>
      <c r="AK71" s="1038"/>
      <c r="AL71" s="1038"/>
      <c r="AM71" s="1038"/>
      <c r="AN71" s="1685"/>
      <c r="AO71" s="1038"/>
      <c r="AP71" s="1685"/>
      <c r="AQ71" s="1038"/>
      <c r="AR71" s="1038"/>
      <c r="AS71" s="1039"/>
      <c r="AT71" s="1687"/>
    </row>
    <row r="72" spans="1:47" s="110" customFormat="1" hidden="1">
      <c r="A72" s="1560"/>
      <c r="B72" s="1040">
        <f t="shared" si="77"/>
        <v>14</v>
      </c>
      <c r="C72" s="3372" t="s">
        <v>5954</v>
      </c>
      <c r="D72" s="3373"/>
      <c r="E72" s="3373"/>
      <c r="F72" s="3373"/>
      <c r="G72" s="3373"/>
      <c r="H72" s="3373"/>
      <c r="I72" s="3373"/>
      <c r="J72" s="3373"/>
      <c r="K72" s="3373"/>
      <c r="L72" s="3373"/>
      <c r="M72" s="3373"/>
      <c r="N72" s="3373"/>
      <c r="O72" s="3374"/>
      <c r="Y72" s="1676"/>
      <c r="Z72" s="286"/>
      <c r="AA72" s="286"/>
      <c r="AB72" s="1038"/>
      <c r="AC72" s="1038"/>
      <c r="AD72" s="1038"/>
      <c r="AE72" s="1038"/>
      <c r="AF72" s="1038"/>
      <c r="AG72" s="1038"/>
      <c r="AH72" s="1038"/>
      <c r="AI72" s="1038"/>
      <c r="AJ72" s="1038"/>
      <c r="AK72" s="1038"/>
      <c r="AL72" s="1038"/>
      <c r="AM72" s="1038"/>
      <c r="AN72" s="1685"/>
      <c r="AO72" s="1038"/>
      <c r="AP72" s="1685"/>
      <c r="AQ72" s="1038"/>
      <c r="AR72" s="1038"/>
      <c r="AS72" s="1039"/>
      <c r="AT72" s="1687"/>
      <c r="AU72" s="120"/>
    </row>
    <row r="73" spans="1:47" ht="36" hidden="1" customHeight="1">
      <c r="A73" s="1692"/>
      <c r="B73" s="1040">
        <f t="shared" si="77"/>
        <v>15</v>
      </c>
      <c r="C73" s="3372" t="s">
        <v>5955</v>
      </c>
      <c r="D73" s="3373"/>
      <c r="E73" s="3373"/>
      <c r="F73" s="3373"/>
      <c r="G73" s="3373"/>
      <c r="H73" s="3373"/>
      <c r="I73" s="3373"/>
      <c r="J73" s="3373"/>
      <c r="K73" s="3373"/>
      <c r="L73" s="3373"/>
      <c r="M73" s="3373"/>
      <c r="N73" s="3373"/>
      <c r="O73" s="3374"/>
      <c r="P73" s="110"/>
      <c r="Q73" s="110"/>
      <c r="R73" s="110"/>
      <c r="S73" s="110"/>
      <c r="T73" s="110"/>
      <c r="U73" s="110"/>
      <c r="V73" s="110"/>
      <c r="W73" s="110"/>
      <c r="X73" s="110"/>
      <c r="Y73" s="1676"/>
      <c r="Z73" s="286"/>
      <c r="AA73" s="286"/>
      <c r="AB73" s="1038"/>
      <c r="AC73" s="1038"/>
      <c r="AD73" s="1038"/>
      <c r="AE73" s="1038"/>
      <c r="AF73" s="1038"/>
      <c r="AG73" s="1038"/>
      <c r="AH73" s="1038"/>
      <c r="AI73" s="1038"/>
      <c r="AJ73" s="1038"/>
      <c r="AK73" s="1038"/>
      <c r="AL73" s="1038"/>
      <c r="AM73" s="1038"/>
      <c r="AN73" s="1685"/>
      <c r="AO73" s="1038"/>
      <c r="AP73" s="1685"/>
      <c r="AQ73" s="1038"/>
      <c r="AR73" s="1038"/>
      <c r="AS73" s="1039"/>
      <c r="AT73" s="1687"/>
    </row>
    <row r="74" spans="1:47" ht="36" hidden="1" customHeight="1">
      <c r="A74" s="1692"/>
      <c r="B74" s="1040">
        <f t="shared" si="77"/>
        <v>16</v>
      </c>
      <c r="C74" s="3372" t="s">
        <v>5956</v>
      </c>
      <c r="D74" s="3373"/>
      <c r="E74" s="3373"/>
      <c r="F74" s="3373"/>
      <c r="G74" s="3373"/>
      <c r="H74" s="3373"/>
      <c r="I74" s="3373"/>
      <c r="J74" s="3373"/>
      <c r="K74" s="3373"/>
      <c r="L74" s="3373"/>
      <c r="M74" s="3373"/>
      <c r="N74" s="3373"/>
      <c r="O74" s="3374"/>
      <c r="P74" s="110"/>
      <c r="Q74" s="110"/>
      <c r="R74" s="110"/>
      <c r="S74" s="110"/>
      <c r="T74" s="110"/>
      <c r="U74" s="110"/>
      <c r="V74" s="110"/>
      <c r="W74" s="110"/>
      <c r="X74" s="110"/>
      <c r="Y74" s="1676"/>
      <c r="Z74" s="286"/>
      <c r="AA74" s="286"/>
      <c r="AB74" s="1038"/>
      <c r="AC74" s="1038"/>
      <c r="AD74" s="1038"/>
      <c r="AE74" s="1038"/>
      <c r="AF74" s="1038"/>
      <c r="AG74" s="1038"/>
      <c r="AH74" s="1038"/>
      <c r="AI74" s="1038"/>
      <c r="AJ74" s="1038"/>
      <c r="AK74" s="1038"/>
      <c r="AL74" s="1038"/>
      <c r="AM74" s="1038"/>
      <c r="AN74" s="1685"/>
      <c r="AO74" s="1038"/>
      <c r="AP74" s="1685"/>
      <c r="AQ74" s="1038"/>
      <c r="AR74" s="1038"/>
      <c r="AS74" s="1039"/>
      <c r="AT74" s="1687"/>
    </row>
    <row r="75" spans="1:47" ht="36" hidden="1" customHeight="1">
      <c r="A75" s="1692"/>
      <c r="B75" s="1040">
        <f t="shared" si="77"/>
        <v>17</v>
      </c>
      <c r="C75" s="3372" t="s">
        <v>5957</v>
      </c>
      <c r="D75" s="3373"/>
      <c r="E75" s="3373"/>
      <c r="F75" s="3373"/>
      <c r="G75" s="3373"/>
      <c r="H75" s="3373"/>
      <c r="I75" s="3373"/>
      <c r="J75" s="3373"/>
      <c r="K75" s="3373"/>
      <c r="L75" s="3373"/>
      <c r="M75" s="3373"/>
      <c r="N75" s="3373"/>
      <c r="O75" s="3374"/>
      <c r="P75" s="110"/>
      <c r="Q75" s="110"/>
      <c r="R75" s="110"/>
      <c r="S75" s="110"/>
      <c r="T75" s="110"/>
      <c r="U75" s="110"/>
      <c r="V75" s="110"/>
      <c r="W75" s="110"/>
      <c r="X75" s="110"/>
      <c r="Y75" s="1676"/>
      <c r="Z75" s="286"/>
      <c r="AA75" s="286"/>
      <c r="AB75" s="1038"/>
      <c r="AC75" s="1038"/>
      <c r="AD75" s="1038"/>
      <c r="AE75" s="1038"/>
      <c r="AF75" s="1038"/>
      <c r="AG75" s="1038"/>
      <c r="AH75" s="1038"/>
      <c r="AI75" s="1038"/>
      <c r="AJ75" s="1038"/>
      <c r="AK75" s="1038"/>
      <c r="AL75" s="1038"/>
      <c r="AM75" s="1038"/>
      <c r="AN75" s="1685"/>
      <c r="AO75" s="1038"/>
      <c r="AP75" s="1685"/>
      <c r="AQ75" s="1038"/>
      <c r="AR75" s="1038"/>
      <c r="AS75" s="1039"/>
      <c r="AT75" s="1687"/>
    </row>
    <row r="76" spans="1:47" hidden="1">
      <c r="A76" s="1692"/>
      <c r="B76" s="1040">
        <f t="shared" si="77"/>
        <v>18</v>
      </c>
      <c r="C76" s="3372" t="s">
        <v>5958</v>
      </c>
      <c r="D76" s="3373"/>
      <c r="E76" s="3373"/>
      <c r="F76" s="3373"/>
      <c r="G76" s="3373"/>
      <c r="H76" s="3373"/>
      <c r="I76" s="3373"/>
      <c r="J76" s="3373"/>
      <c r="K76" s="3373"/>
      <c r="L76" s="3373"/>
      <c r="M76" s="3373"/>
      <c r="N76" s="3373"/>
      <c r="O76" s="3374"/>
      <c r="P76" s="110"/>
      <c r="Q76" s="110"/>
      <c r="R76" s="110"/>
      <c r="S76" s="110"/>
      <c r="T76" s="110"/>
      <c r="U76" s="110"/>
      <c r="V76" s="110"/>
      <c r="W76" s="110"/>
      <c r="X76" s="110"/>
      <c r="Y76" s="1676"/>
      <c r="Z76" s="286"/>
      <c r="AA76" s="286"/>
      <c r="AB76" s="1038"/>
      <c r="AC76" s="1038"/>
      <c r="AD76" s="1038"/>
      <c r="AE76" s="1038"/>
      <c r="AF76" s="1038"/>
      <c r="AG76" s="1038"/>
      <c r="AH76" s="1038"/>
      <c r="AI76" s="1038"/>
      <c r="AJ76" s="1038"/>
      <c r="AK76" s="1038"/>
      <c r="AL76" s="1038"/>
      <c r="AM76" s="1038"/>
      <c r="AN76" s="1685"/>
      <c r="AO76" s="1038"/>
      <c r="AP76" s="1685"/>
      <c r="AQ76" s="1038"/>
      <c r="AR76" s="1038"/>
      <c r="AS76" s="1039"/>
      <c r="AT76" s="1687"/>
    </row>
    <row r="77" spans="1:47" hidden="1">
      <c r="A77" s="1692"/>
      <c r="B77" s="1040">
        <f t="shared" si="77"/>
        <v>19</v>
      </c>
      <c r="C77" s="3372" t="s">
        <v>5959</v>
      </c>
      <c r="D77" s="3373"/>
      <c r="E77" s="3373"/>
      <c r="F77" s="3373"/>
      <c r="G77" s="3373"/>
      <c r="H77" s="3373"/>
      <c r="I77" s="3373"/>
      <c r="J77" s="3373"/>
      <c r="K77" s="3373"/>
      <c r="L77" s="3373"/>
      <c r="M77" s="3373"/>
      <c r="N77" s="3373"/>
      <c r="O77" s="3374"/>
      <c r="P77" s="110"/>
      <c r="Q77" s="110"/>
      <c r="R77" s="110"/>
      <c r="S77" s="110"/>
      <c r="T77" s="110"/>
      <c r="U77" s="110"/>
      <c r="V77" s="110"/>
      <c r="W77" s="110"/>
      <c r="X77" s="110"/>
      <c r="Y77" s="1676"/>
      <c r="Z77" s="286"/>
      <c r="AA77" s="286"/>
      <c r="AB77" s="1038"/>
      <c r="AC77" s="1038"/>
      <c r="AD77" s="1038"/>
      <c r="AE77" s="1038"/>
      <c r="AF77" s="1038"/>
      <c r="AG77" s="1038"/>
      <c r="AH77" s="1038"/>
      <c r="AI77" s="1038"/>
      <c r="AJ77" s="1038"/>
      <c r="AK77" s="1038"/>
      <c r="AL77" s="1038"/>
      <c r="AM77" s="1038"/>
      <c r="AN77" s="1685"/>
      <c r="AO77" s="1038"/>
      <c r="AP77" s="1685"/>
      <c r="AQ77" s="1038"/>
      <c r="AR77" s="1038"/>
      <c r="AS77" s="1039"/>
      <c r="AT77" s="1687"/>
    </row>
    <row r="78" spans="1:47" hidden="1">
      <c r="A78" s="1692"/>
      <c r="B78" s="1040">
        <f t="shared" si="77"/>
        <v>20</v>
      </c>
      <c r="C78" s="3372" t="s">
        <v>5960</v>
      </c>
      <c r="D78" s="3373"/>
      <c r="E78" s="3373"/>
      <c r="F78" s="3373"/>
      <c r="G78" s="3373"/>
      <c r="H78" s="3373"/>
      <c r="I78" s="3373"/>
      <c r="J78" s="3373"/>
      <c r="K78" s="3373"/>
      <c r="L78" s="3373"/>
      <c r="M78" s="3373"/>
      <c r="N78" s="3373"/>
      <c r="O78" s="3374"/>
      <c r="P78" s="110"/>
      <c r="Q78" s="110"/>
      <c r="R78" s="110"/>
      <c r="S78" s="110"/>
      <c r="T78" s="110"/>
      <c r="U78" s="110"/>
      <c r="V78" s="110"/>
      <c r="W78" s="110"/>
      <c r="X78" s="110"/>
      <c r="Y78" s="1676"/>
      <c r="Z78" s="286"/>
      <c r="AA78" s="286"/>
      <c r="AB78" s="1038"/>
      <c r="AC78" s="1038"/>
      <c r="AD78" s="1038"/>
      <c r="AE78" s="1038"/>
      <c r="AF78" s="1038"/>
      <c r="AG78" s="1038"/>
      <c r="AH78" s="1038"/>
      <c r="AI78" s="1038"/>
      <c r="AJ78" s="1038"/>
      <c r="AK78" s="1038"/>
      <c r="AL78" s="1038"/>
      <c r="AM78" s="1038"/>
      <c r="AN78" s="1685"/>
      <c r="AO78" s="1038"/>
      <c r="AP78" s="1685"/>
      <c r="AQ78" s="1038"/>
      <c r="AR78" s="1038"/>
      <c r="AS78" s="1039"/>
      <c r="AT78" s="1687"/>
    </row>
    <row r="79" spans="1:47" ht="14.25" hidden="1" customHeight="1">
      <c r="A79" s="1692"/>
      <c r="B79" s="1040">
        <f t="shared" si="77"/>
        <v>21</v>
      </c>
      <c r="C79" s="3372" t="s">
        <v>5961</v>
      </c>
      <c r="D79" s="3373"/>
      <c r="E79" s="3373"/>
      <c r="F79" s="3373"/>
      <c r="G79" s="3373"/>
      <c r="H79" s="3373"/>
      <c r="I79" s="3373"/>
      <c r="J79" s="3373"/>
      <c r="K79" s="3373"/>
      <c r="L79" s="3373"/>
      <c r="M79" s="3373"/>
      <c r="N79" s="3373"/>
      <c r="O79" s="3374"/>
      <c r="P79" s="110"/>
      <c r="Q79" s="110"/>
      <c r="R79" s="110"/>
      <c r="S79" s="110"/>
      <c r="T79" s="110"/>
      <c r="U79" s="110"/>
      <c r="V79" s="110"/>
      <c r="W79" s="110"/>
      <c r="X79" s="110"/>
      <c r="Y79" s="1676"/>
      <c r="Z79" s="286"/>
      <c r="AA79" s="286"/>
      <c r="AB79" s="1038"/>
      <c r="AC79" s="1038"/>
      <c r="AD79" s="1038"/>
      <c r="AE79" s="1038"/>
      <c r="AF79" s="1038"/>
      <c r="AG79" s="1038"/>
      <c r="AH79" s="1038"/>
      <c r="AI79" s="1038"/>
      <c r="AJ79" s="1038"/>
      <c r="AK79" s="1038"/>
      <c r="AL79" s="1038"/>
      <c r="AM79" s="1038"/>
      <c r="AN79" s="1685"/>
      <c r="AO79" s="1038"/>
      <c r="AP79" s="1685"/>
      <c r="AQ79" s="1038"/>
      <c r="AR79" s="1038"/>
      <c r="AS79" s="1039"/>
      <c r="AT79" s="1687"/>
    </row>
    <row r="80" spans="1:47" ht="14.25" hidden="1" customHeight="1">
      <c r="A80" s="1692"/>
      <c r="B80" s="1040">
        <f t="shared" si="77"/>
        <v>22</v>
      </c>
      <c r="C80" s="3372" t="s">
        <v>5962</v>
      </c>
      <c r="D80" s="3373"/>
      <c r="E80" s="3373"/>
      <c r="F80" s="3373"/>
      <c r="G80" s="3373"/>
      <c r="H80" s="3373"/>
      <c r="I80" s="3373"/>
      <c r="J80" s="3373"/>
      <c r="K80" s="3373"/>
      <c r="L80" s="3373"/>
      <c r="M80" s="3373"/>
      <c r="N80" s="3373"/>
      <c r="O80" s="3374"/>
      <c r="P80" s="110"/>
      <c r="Q80" s="110"/>
      <c r="R80" s="110"/>
      <c r="S80" s="110"/>
      <c r="T80" s="110"/>
      <c r="U80" s="110"/>
      <c r="V80" s="110"/>
      <c r="W80" s="110"/>
      <c r="X80" s="110"/>
      <c r="Y80" s="1676"/>
      <c r="Z80" s="286"/>
      <c r="AA80" s="286"/>
      <c r="AB80" s="1038"/>
      <c r="AC80" s="1038"/>
      <c r="AD80" s="1038"/>
      <c r="AE80" s="1038"/>
      <c r="AF80" s="1038"/>
      <c r="AG80" s="1038"/>
      <c r="AH80" s="1038"/>
      <c r="AI80" s="1038"/>
      <c r="AJ80" s="1038"/>
      <c r="AK80" s="1038"/>
      <c r="AL80" s="1038"/>
      <c r="AM80" s="1038"/>
      <c r="AN80" s="1685"/>
      <c r="AO80" s="1038"/>
      <c r="AP80" s="1685"/>
      <c r="AQ80" s="1038"/>
      <c r="AR80" s="1038"/>
      <c r="AS80" s="1039"/>
      <c r="AT80" s="1687"/>
    </row>
    <row r="81" spans="1:46" hidden="1">
      <c r="A81" s="1692"/>
      <c r="B81" s="1041" t="s">
        <v>5963</v>
      </c>
      <c r="C81" s="3372" t="s">
        <v>5964</v>
      </c>
      <c r="D81" s="3373"/>
      <c r="E81" s="3373"/>
      <c r="F81" s="3373"/>
      <c r="G81" s="3373"/>
      <c r="H81" s="3373"/>
      <c r="I81" s="3373"/>
      <c r="J81" s="3373"/>
      <c r="K81" s="3373"/>
      <c r="L81" s="3373"/>
      <c r="M81" s="3373"/>
      <c r="N81" s="3373"/>
      <c r="O81" s="3374"/>
      <c r="P81" s="110"/>
      <c r="Q81" s="110"/>
      <c r="R81" s="110"/>
      <c r="S81" s="110"/>
      <c r="T81" s="110"/>
      <c r="U81" s="110"/>
      <c r="V81" s="110"/>
      <c r="W81" s="110"/>
      <c r="X81" s="110"/>
      <c r="Y81" s="1676"/>
      <c r="Z81" s="286"/>
      <c r="AA81" s="286"/>
      <c r="AB81" s="1042"/>
      <c r="AC81" s="1042"/>
      <c r="AD81" s="1042"/>
      <c r="AE81" s="1042"/>
      <c r="AF81" s="1042"/>
      <c r="AG81" s="1042"/>
      <c r="AH81" s="1042"/>
      <c r="AI81" s="1042"/>
      <c r="AJ81" s="1042"/>
      <c r="AK81" s="1042"/>
      <c r="AL81" s="1042"/>
      <c r="AM81" s="1042"/>
      <c r="AN81" s="1685"/>
      <c r="AO81" s="1042"/>
      <c r="AP81" s="1685"/>
      <c r="AQ81" s="1042"/>
      <c r="AR81" s="1042"/>
      <c r="AS81" s="1039"/>
      <c r="AT81" s="1687"/>
    </row>
    <row r="82" spans="1:46" ht="25.5" hidden="1" customHeight="1" thickBot="1">
      <c r="A82" s="1692"/>
      <c r="B82" s="1043">
        <v>38</v>
      </c>
      <c r="C82" s="3381" t="s">
        <v>5965</v>
      </c>
      <c r="D82" s="3382"/>
      <c r="E82" s="3382"/>
      <c r="F82" s="3382"/>
      <c r="G82" s="3382"/>
      <c r="H82" s="3382"/>
      <c r="I82" s="3382"/>
      <c r="J82" s="3382"/>
      <c r="K82" s="3382"/>
      <c r="L82" s="3382"/>
      <c r="M82" s="3382"/>
      <c r="N82" s="3382"/>
      <c r="O82" s="3383"/>
      <c r="P82" s="110"/>
      <c r="Q82" s="110"/>
      <c r="R82" s="110"/>
      <c r="S82" s="110"/>
      <c r="T82" s="110"/>
      <c r="U82" s="110"/>
      <c r="V82" s="110"/>
      <c r="W82" s="110"/>
      <c r="X82" s="110"/>
      <c r="Y82" s="1676"/>
      <c r="Z82" s="286"/>
      <c r="AA82" s="286"/>
      <c r="AB82" s="1038"/>
      <c r="AC82" s="1038"/>
      <c r="AD82" s="1038"/>
      <c r="AE82" s="1038"/>
      <c r="AF82" s="1038"/>
      <c r="AG82" s="1038"/>
      <c r="AH82" s="1038"/>
      <c r="AI82" s="1038"/>
      <c r="AJ82" s="1038"/>
      <c r="AK82" s="1038"/>
      <c r="AL82" s="1038"/>
      <c r="AM82" s="1038"/>
      <c r="AN82" s="1685"/>
      <c r="AO82" s="1038"/>
      <c r="AP82" s="1685"/>
      <c r="AQ82" s="1038"/>
      <c r="AR82" s="1038"/>
    </row>
    <row r="83" spans="1:46" ht="15" hidden="1" thickBot="1">
      <c r="A83" s="1692"/>
      <c r="C83" s="956"/>
      <c r="D83" s="956"/>
      <c r="E83" s="956"/>
      <c r="F83" s="956"/>
      <c r="G83" s="956"/>
      <c r="H83" s="956"/>
      <c r="I83" s="956"/>
      <c r="J83" s="956"/>
      <c r="K83" s="956"/>
      <c r="L83" s="956"/>
      <c r="M83" s="956"/>
      <c r="N83" s="956"/>
      <c r="O83" s="956"/>
      <c r="P83" s="110"/>
      <c r="Q83" s="110"/>
      <c r="R83" s="110"/>
      <c r="S83" s="110"/>
      <c r="T83" s="110"/>
      <c r="U83" s="110"/>
      <c r="V83" s="110"/>
      <c r="W83" s="110"/>
      <c r="X83" s="110"/>
      <c r="Y83" s="1676"/>
      <c r="Z83" s="286"/>
      <c r="AA83" s="286"/>
    </row>
    <row r="84" spans="1:46" ht="16.5" thickBot="1">
      <c r="B84" s="3375" t="s">
        <v>5966</v>
      </c>
      <c r="C84" s="3376"/>
      <c r="D84" s="3376"/>
      <c r="E84" s="3376"/>
      <c r="F84" s="3376"/>
      <c r="G84" s="3376"/>
      <c r="H84" s="3376"/>
      <c r="I84" s="3376"/>
      <c r="J84" s="3376"/>
      <c r="K84" s="3376"/>
      <c r="L84" s="3376"/>
      <c r="M84" s="3376"/>
      <c r="N84" s="3376"/>
      <c r="O84" s="3377"/>
      <c r="P84" s="110"/>
      <c r="Q84" s="110"/>
      <c r="R84" s="110"/>
      <c r="S84" s="110"/>
      <c r="T84" s="110"/>
      <c r="U84" s="110"/>
      <c r="V84" s="110"/>
      <c r="W84" s="110"/>
      <c r="X84" s="110"/>
      <c r="Y84" s="1676"/>
      <c r="Z84" s="286"/>
      <c r="AA84" s="286"/>
    </row>
    <row r="85" spans="1:46" ht="27.75" customHeight="1" thickBot="1">
      <c r="B85" s="3378" t="s">
        <v>5967</v>
      </c>
      <c r="C85" s="3379"/>
      <c r="D85" s="3379"/>
      <c r="E85" s="3379"/>
      <c r="F85" s="3379"/>
      <c r="G85" s="3379"/>
      <c r="H85" s="3379"/>
      <c r="I85" s="3379"/>
      <c r="J85" s="3379"/>
      <c r="K85" s="3379"/>
      <c r="L85" s="3379"/>
      <c r="M85" s="3379"/>
      <c r="N85" s="3379"/>
      <c r="O85" s="3380"/>
      <c r="P85" s="110"/>
      <c r="Q85" s="110"/>
      <c r="R85" s="110"/>
      <c r="S85" s="110"/>
      <c r="T85" s="110"/>
      <c r="U85" s="110"/>
      <c r="V85" s="110"/>
      <c r="W85" s="110"/>
      <c r="X85" s="110"/>
      <c r="Y85" s="1676"/>
      <c r="Z85" s="286"/>
      <c r="AA85" s="286"/>
    </row>
    <row r="86" spans="1:46"/>
  </sheetData>
  <sheetProtection algorithmName="SHA-512" hashValue="U9OwtGGMNmNRhSwPOBsHCGNY8mXRedeLnwDSA1h/Ux4OgTAUjrZER9EAh4hTRSqhCHH2DriLQppnW3Iz/yiEgg==" saltValue="f9C37RCGGpU2FYRbVces3w==" spinCount="100000" sheet="1" objects="1" scenarios="1"/>
  <mergeCells count="51">
    <mergeCell ref="B3:C5"/>
    <mergeCell ref="D3:D5"/>
    <mergeCell ref="E3:E5"/>
    <mergeCell ref="F3:F5"/>
    <mergeCell ref="C62:O62"/>
    <mergeCell ref="G3:M3"/>
    <mergeCell ref="N3:T3"/>
    <mergeCell ref="B47:C47"/>
    <mergeCell ref="B56:O56"/>
    <mergeCell ref="C58:O58"/>
    <mergeCell ref="C59:O59"/>
    <mergeCell ref="C60:O60"/>
    <mergeCell ref="C61:O61"/>
    <mergeCell ref="U3:U5"/>
    <mergeCell ref="W3:W5"/>
    <mergeCell ref="G4:H4"/>
    <mergeCell ref="I4:L4"/>
    <mergeCell ref="M4:M5"/>
    <mergeCell ref="N4:O4"/>
    <mergeCell ref="P4:S4"/>
    <mergeCell ref="T4:T5"/>
    <mergeCell ref="B84:O84"/>
    <mergeCell ref="B85:O85"/>
    <mergeCell ref="C77:O77"/>
    <mergeCell ref="C78:O78"/>
    <mergeCell ref="C79:O79"/>
    <mergeCell ref="C80:O80"/>
    <mergeCell ref="C81:O81"/>
    <mergeCell ref="C82:O82"/>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B3:BH3"/>
    <mergeCell ref="BI3:BO3"/>
    <mergeCell ref="BB4:BC4"/>
    <mergeCell ref="BD4:BG4"/>
    <mergeCell ref="BH4:BH5"/>
    <mergeCell ref="BI4:BJ4"/>
    <mergeCell ref="BK4:BN4"/>
    <mergeCell ref="BO4:BO5"/>
  </mergeCells>
  <conditionalFormatting sqref="W11:W22 W25:W44">
    <cfRule type="cellIs" dxfId="179" priority="9" operator="equal">
      <formula>$AS$30</formula>
    </cfRule>
  </conditionalFormatting>
  <conditionalFormatting sqref="W8:W9 W11:W22 W25:W44">
    <cfRule type="cellIs" dxfId="178" priority="7" operator="equal">
      <formula>0</formula>
    </cfRule>
  </conditionalFormatting>
  <conditionalFormatting sqref="W45">
    <cfRule type="cellIs" dxfId="177" priority="5" operator="equal">
      <formula>0</formula>
    </cfRule>
  </conditionalFormatting>
  <conditionalFormatting sqref="W10">
    <cfRule type="cellIs" dxfId="176" priority="3" operator="equal">
      <formula>0</formula>
    </cfRule>
  </conditionalFormatting>
  <conditionalFormatting sqref="W23:W24">
    <cfRule type="cellIs" dxfId="17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CA96"/>
  <sheetViews>
    <sheetView zoomScale="60" zoomScaleNormal="60" workbookViewId="0">
      <selection activeCell="J24" sqref="J24"/>
    </sheetView>
  </sheetViews>
  <sheetFormatPr defaultColWidth="0" defaultRowHeight="14.25" zeroHeight="1"/>
  <cols>
    <col min="1" max="1" width="0.5" customWidth="1"/>
    <col min="2" max="2" width="8.5" customWidth="1"/>
    <col min="3" max="3" width="66.125" customWidth="1"/>
    <col min="4" max="4" width="1.125" hidden="1" customWidth="1"/>
    <col min="5" max="6" width="8.5" customWidth="1"/>
    <col min="7" max="7" width="11.5" customWidth="1"/>
    <col min="8" max="8" width="11.125" customWidth="1"/>
    <col min="9" max="24" width="10.5" customWidth="1"/>
    <col min="25" max="25" width="29.5" customWidth="1"/>
    <col min="26" max="26" width="1.5" customWidth="1"/>
    <col min="27" max="27" width="34" style="880" customWidth="1"/>
    <col min="28" max="28" width="1.5" style="880" customWidth="1"/>
    <col min="29" max="29" width="1.125" style="1673" hidden="1" customWidth="1"/>
    <col min="30" max="30" width="5.125" style="880" hidden="1" customWidth="1"/>
    <col min="31" max="47" width="4" style="880" hidden="1" customWidth="1"/>
    <col min="48" max="48" width="1.125" style="1673" hidden="1" customWidth="1"/>
    <col min="49" max="49" width="12.125" hidden="1" customWidth="1"/>
    <col min="50" max="50" width="1.125" style="1665" hidden="1" customWidth="1"/>
    <col min="51" max="52" width="0" hidden="1" customWidth="1"/>
    <col min="53" max="53" width="67.5" hidden="1" customWidth="1"/>
    <col min="54" max="54" width="1.125" style="1665" hidden="1" customWidth="1"/>
    <col min="55" max="56" width="8.5" customWidth="1"/>
    <col min="57" max="57" width="62.125" bestFit="1" customWidth="1"/>
    <col min="58" max="58" width="0.625" customWidth="1"/>
    <col min="59" max="60" width="8.5" customWidth="1"/>
    <col min="61" max="61" width="10.5" bestFit="1" customWidth="1"/>
    <col min="62" max="62" width="13.125" bestFit="1" customWidth="1"/>
    <col min="63" max="63" width="11.125" bestFit="1" customWidth="1"/>
    <col min="64" max="64" width="12.125" bestFit="1" customWidth="1"/>
    <col min="65" max="65" width="11.5" bestFit="1" customWidth="1"/>
    <col min="66" max="67" width="12.125" bestFit="1" customWidth="1"/>
    <col min="68" max="68" width="12.5" bestFit="1" customWidth="1"/>
    <col min="69" max="69" width="10.5" bestFit="1" customWidth="1"/>
    <col min="70" max="70" width="14.5" bestFit="1" customWidth="1"/>
    <col min="71" max="71" width="16.5" bestFit="1" customWidth="1"/>
    <col min="72" max="72" width="15" bestFit="1" customWidth="1"/>
    <col min="73" max="76" width="15.5" bestFit="1" customWidth="1"/>
    <col min="77" max="77" width="16.125" bestFit="1" customWidth="1"/>
    <col min="78" max="78" width="14.125" bestFit="1" customWidth="1"/>
    <col min="79" max="79" width="3.125" customWidth="1"/>
    <col min="80" max="16384" width="8.5" hidden="1"/>
  </cols>
  <sheetData>
    <row r="1" spans="1:78" ht="20.25">
      <c r="A1" s="1044"/>
      <c r="B1" s="1045" t="s">
        <v>5968</v>
      </c>
      <c r="C1" s="1046"/>
      <c r="D1" s="1047"/>
      <c r="E1" s="68"/>
      <c r="F1" s="68"/>
      <c r="G1" s="68"/>
      <c r="H1" s="68"/>
      <c r="I1" s="68"/>
      <c r="J1" s="68"/>
      <c r="K1" s="68"/>
      <c r="L1" s="68"/>
      <c r="M1" s="68"/>
      <c r="N1" s="68"/>
      <c r="O1" s="68"/>
      <c r="P1" s="68"/>
      <c r="Q1" s="68"/>
      <c r="R1" s="68"/>
      <c r="S1" s="68"/>
      <c r="T1" s="68"/>
      <c r="U1" s="68"/>
      <c r="V1" s="68"/>
      <c r="W1" s="68"/>
      <c r="X1" s="68"/>
      <c r="Y1" s="68" t="str">
        <f>Validation!B3</f>
        <v>Yorkshire Water</v>
      </c>
      <c r="Z1" s="68"/>
      <c r="AA1" s="69" t="s">
        <v>34</v>
      </c>
      <c r="AC1" s="71"/>
      <c r="AD1" s="192"/>
      <c r="AE1" s="70"/>
      <c r="AF1" s="70"/>
      <c r="AG1" s="70"/>
      <c r="AH1" s="70"/>
      <c r="AI1" s="70"/>
      <c r="AJ1" s="70"/>
      <c r="AK1" s="70"/>
      <c r="AL1" s="70"/>
      <c r="AM1" s="192"/>
      <c r="AN1" s="70"/>
      <c r="AO1" s="70"/>
      <c r="AP1" s="70"/>
      <c r="AQ1" s="70"/>
      <c r="AR1" s="70"/>
      <c r="AS1" s="70"/>
      <c r="AT1" s="70"/>
      <c r="AU1" s="70"/>
      <c r="AV1" s="71"/>
      <c r="AW1" s="2004"/>
      <c r="AY1" s="2004"/>
      <c r="AZ1" s="2004"/>
      <c r="BA1" s="2004"/>
      <c r="BC1" s="2004"/>
      <c r="BD1" s="1045" t="s">
        <v>5968</v>
      </c>
      <c r="BE1" s="1046"/>
      <c r="BF1" s="1047"/>
      <c r="BG1" s="68"/>
      <c r="BH1" s="68"/>
      <c r="BI1" s="68"/>
      <c r="BJ1" s="68"/>
      <c r="BK1" s="68"/>
      <c r="BL1" s="68"/>
      <c r="BM1" s="68"/>
      <c r="BN1" s="68"/>
      <c r="BO1" s="68"/>
      <c r="BP1" s="68"/>
      <c r="BQ1" s="68"/>
      <c r="BR1" s="68"/>
      <c r="BS1" s="68"/>
      <c r="BT1" s="68"/>
      <c r="BU1" s="68"/>
      <c r="BV1" s="68"/>
      <c r="BW1" s="68"/>
      <c r="BX1" s="68"/>
      <c r="BY1" s="68"/>
      <c r="BZ1" s="68"/>
    </row>
    <row r="2" spans="1:78" ht="16.5" thickBot="1">
      <c r="A2" s="995"/>
      <c r="B2" s="73" t="str">
        <f>'4L'!B2</f>
        <v>For the 12 months ended 31 March 2020</v>
      </c>
      <c r="C2" s="1048"/>
      <c r="D2" s="1048"/>
      <c r="E2" s="995"/>
      <c r="F2" s="995"/>
      <c r="G2" s="995"/>
      <c r="H2" s="995"/>
      <c r="I2" s="995"/>
      <c r="J2" s="995"/>
      <c r="K2" s="995"/>
      <c r="L2" s="995"/>
      <c r="M2" s="995"/>
      <c r="N2" s="995"/>
      <c r="O2" s="995"/>
      <c r="P2" s="2004"/>
      <c r="Q2" s="2004"/>
      <c r="R2" s="2004"/>
      <c r="S2" s="2004"/>
      <c r="T2" s="2004"/>
      <c r="U2" s="2004"/>
      <c r="V2" s="2004"/>
      <c r="W2" s="2004"/>
      <c r="X2" s="2004"/>
      <c r="Y2" s="995"/>
      <c r="Z2" s="2004"/>
      <c r="AA2" s="70"/>
      <c r="AC2" s="71"/>
      <c r="AD2" s="192"/>
      <c r="AE2" s="70"/>
      <c r="AF2" s="70"/>
      <c r="AG2" s="70"/>
      <c r="AH2" s="70"/>
      <c r="AI2" s="70"/>
      <c r="AJ2" s="70"/>
      <c r="AK2" s="70"/>
      <c r="AL2" s="70"/>
      <c r="AM2" s="192"/>
      <c r="AN2" s="70"/>
      <c r="AO2" s="70"/>
      <c r="AP2" s="70"/>
      <c r="AQ2" s="70"/>
      <c r="AR2" s="70"/>
      <c r="AS2" s="70"/>
      <c r="AT2" s="70"/>
      <c r="AU2" s="70"/>
      <c r="AV2" s="71"/>
      <c r="AW2" s="2004"/>
      <c r="AY2" s="2004"/>
      <c r="AZ2" s="2004"/>
      <c r="BA2" s="2004"/>
      <c r="BC2" s="2004"/>
      <c r="BD2" s="73" t="str">
        <f>+B2</f>
        <v>For the 12 months ended 31 March 2020</v>
      </c>
      <c r="BE2" s="1048"/>
      <c r="BF2" s="1048"/>
      <c r="BG2" s="2838"/>
      <c r="BH2" s="2838"/>
      <c r="BI2" s="2838"/>
      <c r="BJ2" s="2838"/>
      <c r="BK2" s="2838"/>
      <c r="BL2" s="2838"/>
      <c r="BM2" s="2838"/>
      <c r="BN2" s="2838"/>
      <c r="BO2" s="2838"/>
      <c r="BP2" s="2838"/>
      <c r="BQ2" s="2838"/>
      <c r="BR2" s="2839"/>
      <c r="BS2" s="2839"/>
      <c r="BT2" s="2839"/>
      <c r="BU2" s="2839"/>
      <c r="BV2" s="2839"/>
      <c r="BW2" s="2839"/>
      <c r="BX2" s="2839"/>
      <c r="BY2" s="2839"/>
      <c r="BZ2" s="2839"/>
    </row>
    <row r="3" spans="1:78" ht="16.5" thickBot="1">
      <c r="A3" s="1049"/>
      <c r="B3" s="3324" t="s">
        <v>36</v>
      </c>
      <c r="C3" s="3325"/>
      <c r="D3" s="3386" t="s">
        <v>3098</v>
      </c>
      <c r="E3" s="3386" t="s">
        <v>38</v>
      </c>
      <c r="F3" s="3389" t="s">
        <v>39</v>
      </c>
      <c r="G3" s="3437" t="s">
        <v>5316</v>
      </c>
      <c r="H3" s="3438"/>
      <c r="I3" s="3438"/>
      <c r="J3" s="3393"/>
      <c r="K3" s="3393"/>
      <c r="L3" s="3393"/>
      <c r="M3" s="3393"/>
      <c r="N3" s="3393"/>
      <c r="O3" s="3439"/>
      <c r="P3" s="3392" t="s">
        <v>5317</v>
      </c>
      <c r="Q3" s="3393"/>
      <c r="R3" s="3393"/>
      <c r="S3" s="3393"/>
      <c r="T3" s="3393"/>
      <c r="U3" s="3393"/>
      <c r="V3" s="3393"/>
      <c r="W3" s="3393"/>
      <c r="X3" s="3438"/>
      <c r="Y3" s="3440" t="s">
        <v>4567</v>
      </c>
      <c r="Z3" s="2004"/>
      <c r="AA3" s="3070" t="s">
        <v>43</v>
      </c>
      <c r="AB3" s="192"/>
      <c r="AC3" s="71"/>
      <c r="AD3" s="77"/>
      <c r="AE3" s="76" t="s">
        <v>47</v>
      </c>
      <c r="AF3" s="76"/>
      <c r="AG3" s="76"/>
      <c r="AH3" s="76"/>
      <c r="AI3" s="76"/>
      <c r="AJ3" s="76"/>
      <c r="AK3" s="678"/>
      <c r="AL3" s="678"/>
      <c r="AM3" s="678"/>
      <c r="AN3" s="678"/>
      <c r="AO3" s="678"/>
      <c r="AP3" s="678"/>
      <c r="AQ3" s="678"/>
      <c r="AR3" s="678"/>
      <c r="AS3" s="678"/>
      <c r="AT3" s="678"/>
      <c r="AU3" s="678"/>
      <c r="AV3" s="71"/>
      <c r="AW3" s="2004"/>
      <c r="AY3" s="2004"/>
      <c r="AZ3" s="2004"/>
      <c r="BA3" s="2004"/>
      <c r="BC3" s="2004"/>
      <c r="BD3" s="1050" t="s">
        <v>193</v>
      </c>
      <c r="BE3" s="997" t="s">
        <v>4916</v>
      </c>
      <c r="BF3" s="997" t="s">
        <v>3098</v>
      </c>
      <c r="BG3" s="998" t="s">
        <v>38</v>
      </c>
      <c r="BH3" s="1321" t="s">
        <v>39</v>
      </c>
      <c r="BI3" s="3401" t="s">
        <v>5316</v>
      </c>
      <c r="BJ3" s="3402"/>
      <c r="BK3" s="3402"/>
      <c r="BL3" s="3364"/>
      <c r="BM3" s="3364"/>
      <c r="BN3" s="3364"/>
      <c r="BO3" s="3364"/>
      <c r="BP3" s="3364"/>
      <c r="BQ3" s="3403"/>
      <c r="BR3" s="3363" t="s">
        <v>5317</v>
      </c>
      <c r="BS3" s="3364"/>
      <c r="BT3" s="3364"/>
      <c r="BU3" s="3364"/>
      <c r="BV3" s="3364"/>
      <c r="BW3" s="3364"/>
      <c r="BX3" s="3364"/>
      <c r="BY3" s="3364"/>
      <c r="BZ3" s="3402"/>
    </row>
    <row r="4" spans="1:78" ht="28.5" customHeight="1">
      <c r="A4" s="1052"/>
      <c r="B4" s="3384"/>
      <c r="C4" s="3385"/>
      <c r="D4" s="3387"/>
      <c r="E4" s="3387"/>
      <c r="F4" s="3390"/>
      <c r="G4" s="3261" t="s">
        <v>5969</v>
      </c>
      <c r="H4" s="3262"/>
      <c r="I4" s="3283"/>
      <c r="J4" s="3282" t="s">
        <v>5970</v>
      </c>
      <c r="K4" s="3283"/>
      <c r="L4" s="3282" t="s">
        <v>911</v>
      </c>
      <c r="M4" s="3262"/>
      <c r="N4" s="3283"/>
      <c r="O4" s="3070" t="s">
        <v>710</v>
      </c>
      <c r="P4" s="3261" t="s">
        <v>5969</v>
      </c>
      <c r="Q4" s="3262"/>
      <c r="R4" s="3283"/>
      <c r="S4" s="3282" t="s">
        <v>5970</v>
      </c>
      <c r="T4" s="3283"/>
      <c r="U4" s="3282" t="s">
        <v>911</v>
      </c>
      <c r="V4" s="3262"/>
      <c r="W4" s="3283"/>
      <c r="X4" s="3070" t="s">
        <v>710</v>
      </c>
      <c r="Y4" s="3441"/>
      <c r="Z4" s="2004"/>
      <c r="AA4" s="3096"/>
      <c r="AB4" s="192"/>
      <c r="AC4" s="71"/>
      <c r="AD4" s="192"/>
      <c r="AE4" s="633"/>
      <c r="AF4" s="633"/>
      <c r="AG4" s="633"/>
      <c r="AH4" s="633"/>
      <c r="AI4" s="633"/>
      <c r="AJ4" s="633"/>
      <c r="AK4" s="2004"/>
      <c r="AL4" s="2004"/>
      <c r="AM4" s="644"/>
      <c r="AN4" s="2004"/>
      <c r="AO4" s="2004"/>
      <c r="AP4" s="2004"/>
      <c r="AQ4" s="2004"/>
      <c r="AR4" s="2004"/>
      <c r="AS4" s="2004"/>
      <c r="AT4" s="2004"/>
      <c r="AU4" s="2004"/>
      <c r="AV4" s="71"/>
      <c r="AW4" s="2004"/>
      <c r="AY4" s="2004"/>
      <c r="AZ4" s="2004"/>
      <c r="BA4" s="2004"/>
      <c r="BC4" s="2004"/>
      <c r="BD4" s="1053"/>
      <c r="BE4" s="1053"/>
      <c r="BF4" s="1054"/>
      <c r="BG4" s="1055"/>
      <c r="BH4" s="1055"/>
      <c r="BI4" s="3404" t="s">
        <v>5969</v>
      </c>
      <c r="BJ4" s="3405"/>
      <c r="BK4" s="3406"/>
      <c r="BL4" s="3330" t="s">
        <v>5970</v>
      </c>
      <c r="BM4" s="3334"/>
      <c r="BN4" s="3407" t="s">
        <v>911</v>
      </c>
      <c r="BO4" s="3408"/>
      <c r="BP4" s="3409"/>
      <c r="BQ4" s="3070" t="s">
        <v>710</v>
      </c>
      <c r="BR4" s="3407" t="s">
        <v>5969</v>
      </c>
      <c r="BS4" s="3408"/>
      <c r="BT4" s="3411"/>
      <c r="BU4" s="3412" t="s">
        <v>5970</v>
      </c>
      <c r="BV4" s="3407"/>
      <c r="BW4" s="3257" t="s">
        <v>911</v>
      </c>
      <c r="BX4" s="3408"/>
      <c r="BY4" s="3409"/>
      <c r="BZ4" s="3413" t="s">
        <v>710</v>
      </c>
    </row>
    <row r="5" spans="1:78" ht="41.25" thickBot="1">
      <c r="A5" s="1056"/>
      <c r="B5" s="3326"/>
      <c r="C5" s="3327"/>
      <c r="D5" s="3388"/>
      <c r="E5" s="3388"/>
      <c r="F5" s="3391"/>
      <c r="G5" s="211" t="s">
        <v>3521</v>
      </c>
      <c r="H5" s="212" t="s">
        <v>3522</v>
      </c>
      <c r="I5" s="213" t="s">
        <v>3523</v>
      </c>
      <c r="J5" s="214" t="s">
        <v>3524</v>
      </c>
      <c r="K5" s="213" t="s">
        <v>4917</v>
      </c>
      <c r="L5" s="214" t="s">
        <v>3526</v>
      </c>
      <c r="M5" s="212" t="s">
        <v>3527</v>
      </c>
      <c r="N5" s="213" t="s">
        <v>3528</v>
      </c>
      <c r="O5" s="3427"/>
      <c r="P5" s="211" t="s">
        <v>3521</v>
      </c>
      <c r="Q5" s="212" t="s">
        <v>3522</v>
      </c>
      <c r="R5" s="213" t="s">
        <v>3523</v>
      </c>
      <c r="S5" s="214" t="s">
        <v>3524</v>
      </c>
      <c r="T5" s="213" t="s">
        <v>4917</v>
      </c>
      <c r="U5" s="214" t="s">
        <v>3526</v>
      </c>
      <c r="V5" s="212" t="s">
        <v>3527</v>
      </c>
      <c r="W5" s="213" t="s">
        <v>3528</v>
      </c>
      <c r="X5" s="3427"/>
      <c r="Y5" s="3442"/>
      <c r="Z5" s="2004"/>
      <c r="AA5" s="3071"/>
      <c r="AB5" s="192"/>
      <c r="AC5" s="71"/>
      <c r="AD5" s="192"/>
      <c r="AE5" s="85" t="s">
        <v>48</v>
      </c>
      <c r="AF5" s="85"/>
      <c r="AG5" s="85"/>
      <c r="AH5" s="85"/>
      <c r="AI5" s="85"/>
      <c r="AJ5" s="85"/>
      <c r="AK5" s="85"/>
      <c r="AL5" s="85"/>
      <c r="AM5" s="164"/>
      <c r="AN5" s="85"/>
      <c r="AO5" s="85"/>
      <c r="AP5" s="85"/>
      <c r="AQ5" s="85"/>
      <c r="AR5" s="85"/>
      <c r="AS5" s="85"/>
      <c r="AT5" s="85"/>
      <c r="AU5" s="85"/>
      <c r="AV5" s="71"/>
      <c r="AW5" s="93" t="s">
        <v>26</v>
      </c>
      <c r="AX5" s="71"/>
      <c r="AY5" s="76" t="s">
        <v>904</v>
      </c>
      <c r="AZ5" s="2987"/>
      <c r="BA5" s="2987"/>
      <c r="BB5" s="71"/>
      <c r="BC5" s="2004"/>
      <c r="BD5" s="1057"/>
      <c r="BE5" s="2840"/>
      <c r="BF5" s="2841"/>
      <c r="BG5" s="880"/>
      <c r="BH5" s="880"/>
      <c r="BI5" s="1580" t="s">
        <v>3521</v>
      </c>
      <c r="BJ5" s="1581" t="s">
        <v>3522</v>
      </c>
      <c r="BK5" s="1581" t="s">
        <v>3523</v>
      </c>
      <c r="BL5" s="1581" t="s">
        <v>3524</v>
      </c>
      <c r="BM5" s="1581" t="s">
        <v>4917</v>
      </c>
      <c r="BN5" s="1581" t="s">
        <v>3526</v>
      </c>
      <c r="BO5" s="1581" t="s">
        <v>3527</v>
      </c>
      <c r="BP5" s="1582" t="s">
        <v>3528</v>
      </c>
      <c r="BQ5" s="3410"/>
      <c r="BR5" s="1583" t="s">
        <v>3521</v>
      </c>
      <c r="BS5" s="1581" t="s">
        <v>3522</v>
      </c>
      <c r="BT5" s="1581" t="s">
        <v>3523</v>
      </c>
      <c r="BU5" s="1059" t="s">
        <v>3524</v>
      </c>
      <c r="BV5" s="1581" t="s">
        <v>4917</v>
      </c>
      <c r="BW5" s="1581" t="s">
        <v>3526</v>
      </c>
      <c r="BX5" s="1581" t="s">
        <v>3527</v>
      </c>
      <c r="BY5" s="1582" t="s">
        <v>3528</v>
      </c>
      <c r="BZ5" s="3414"/>
    </row>
    <row r="6" spans="1:78" ht="16.5" thickBot="1">
      <c r="A6" s="1056"/>
      <c r="B6" s="1690"/>
      <c r="C6" s="1058"/>
      <c r="D6" s="1058"/>
      <c r="E6" s="880"/>
      <c r="F6" s="880"/>
      <c r="G6" s="880"/>
      <c r="H6" s="880"/>
      <c r="I6" s="880"/>
      <c r="J6" s="880"/>
      <c r="K6" s="880"/>
      <c r="L6" s="880"/>
      <c r="M6" s="880"/>
      <c r="N6" s="880"/>
      <c r="O6" s="880"/>
      <c r="P6" s="880"/>
      <c r="Q6" s="880"/>
      <c r="R6" s="880"/>
      <c r="S6" s="880"/>
      <c r="T6" s="880"/>
      <c r="U6" s="880"/>
      <c r="V6" s="880"/>
      <c r="W6" s="880"/>
      <c r="X6" s="880"/>
      <c r="Y6" s="880"/>
      <c r="Z6" s="880"/>
      <c r="AB6" s="192"/>
      <c r="AC6" s="71"/>
      <c r="AD6" s="192"/>
      <c r="AE6" s="85"/>
      <c r="AF6" s="85"/>
      <c r="AG6" s="85"/>
      <c r="AH6" s="85"/>
      <c r="AI6" s="85"/>
      <c r="AJ6" s="85"/>
      <c r="AK6" s="85"/>
      <c r="AL6" s="85"/>
      <c r="AM6" s="164"/>
      <c r="AN6" s="85"/>
      <c r="AO6" s="85"/>
      <c r="AP6" s="85"/>
      <c r="AQ6" s="85"/>
      <c r="AR6" s="85"/>
      <c r="AS6" s="85"/>
      <c r="AT6" s="85"/>
      <c r="AU6" s="85"/>
      <c r="AV6" s="71"/>
      <c r="AW6" s="93"/>
      <c r="AX6" s="71"/>
      <c r="AY6" s="76"/>
      <c r="AZ6" s="2987"/>
      <c r="BA6" s="2987"/>
      <c r="BB6" s="71"/>
      <c r="BC6" s="2004"/>
      <c r="BD6" s="1690"/>
      <c r="BE6" s="2841"/>
      <c r="BF6" s="2841"/>
      <c r="BG6" s="880"/>
      <c r="BH6" s="880"/>
      <c r="BI6" s="880"/>
      <c r="BJ6" s="880"/>
      <c r="BK6" s="880"/>
      <c r="BL6" s="880"/>
      <c r="BM6" s="880"/>
      <c r="BN6" s="880"/>
      <c r="BO6" s="880"/>
      <c r="BP6" s="880"/>
      <c r="BQ6" s="880"/>
      <c r="BR6" s="880"/>
      <c r="BS6" s="880"/>
      <c r="BT6" s="880"/>
      <c r="BU6" s="880"/>
      <c r="BV6" s="880"/>
      <c r="BW6" s="880"/>
      <c r="BX6" s="880"/>
      <c r="BY6" s="880"/>
      <c r="BZ6" s="2842"/>
    </row>
    <row r="7" spans="1:78" ht="16.5" thickBot="1">
      <c r="A7" s="1056"/>
      <c r="B7" s="3034" t="s">
        <v>155</v>
      </c>
      <c r="C7" s="1060" t="s">
        <v>5971</v>
      </c>
      <c r="D7" s="1058"/>
      <c r="E7" s="880"/>
      <c r="F7" s="880"/>
      <c r="G7" s="880"/>
      <c r="H7" s="880"/>
      <c r="I7" s="880"/>
      <c r="J7" s="880"/>
      <c r="K7" s="880"/>
      <c r="L7" s="880"/>
      <c r="M7" s="880"/>
      <c r="N7" s="880"/>
      <c r="O7" s="880"/>
      <c r="P7" s="880"/>
      <c r="Q7" s="880"/>
      <c r="R7" s="880"/>
      <c r="S7" s="880"/>
      <c r="T7" s="880"/>
      <c r="U7" s="880"/>
      <c r="V7" s="880"/>
      <c r="W7" s="880"/>
      <c r="X7" s="880"/>
      <c r="Y7" s="2004"/>
      <c r="Z7" s="2004"/>
      <c r="AA7" s="70"/>
      <c r="AB7" s="192"/>
      <c r="AC7" s="71"/>
      <c r="AD7" s="192"/>
      <c r="AE7" s="85"/>
      <c r="AF7" s="85"/>
      <c r="AG7" s="85"/>
      <c r="AH7" s="85"/>
      <c r="AI7" s="85"/>
      <c r="AJ7" s="85"/>
      <c r="AK7" s="85"/>
      <c r="AL7" s="85"/>
      <c r="AM7" s="164"/>
      <c r="AN7" s="85"/>
      <c r="AO7" s="85"/>
      <c r="AP7" s="85"/>
      <c r="AQ7" s="85"/>
      <c r="AR7" s="85"/>
      <c r="AS7" s="85"/>
      <c r="AT7" s="85"/>
      <c r="AU7" s="85"/>
      <c r="AV7" s="71"/>
      <c r="AW7" s="2004"/>
      <c r="AY7" s="2004"/>
      <c r="AZ7" s="2004"/>
      <c r="BA7" s="2004"/>
      <c r="BC7" s="2004"/>
      <c r="BD7" s="3034" t="s">
        <v>155</v>
      </c>
      <c r="BE7" s="2843" t="s">
        <v>5971</v>
      </c>
      <c r="BF7" s="2841"/>
      <c r="BG7" s="880"/>
      <c r="BH7" s="880"/>
      <c r="BI7" s="880"/>
      <c r="BJ7" s="880"/>
      <c r="BK7" s="880"/>
      <c r="BL7" s="880"/>
      <c r="BM7" s="880"/>
      <c r="BN7" s="880"/>
      <c r="BO7" s="880"/>
      <c r="BP7" s="880"/>
      <c r="BQ7" s="880"/>
      <c r="BR7" s="880"/>
      <c r="BS7" s="880"/>
      <c r="BT7" s="880"/>
      <c r="BU7" s="880"/>
      <c r="BV7" s="880"/>
      <c r="BW7" s="880"/>
      <c r="BX7" s="880"/>
      <c r="BY7" s="880"/>
      <c r="BZ7" s="880"/>
    </row>
    <row r="8" spans="1:78" ht="140.25">
      <c r="A8" s="995"/>
      <c r="B8" s="1000" t="s">
        <v>5972</v>
      </c>
      <c r="C8" s="117" t="s">
        <v>5973</v>
      </c>
      <c r="D8" s="117"/>
      <c r="E8" s="88" t="s">
        <v>51</v>
      </c>
      <c r="F8" s="89">
        <v>3</v>
      </c>
      <c r="G8" s="1085">
        <v>0.01</v>
      </c>
      <c r="H8" s="1456">
        <v>1.0999999999999999E-2</v>
      </c>
      <c r="I8" s="1462">
        <v>5.0000000000000001E-3</v>
      </c>
      <c r="J8" s="1061">
        <v>0</v>
      </c>
      <c r="K8" s="1462">
        <v>0</v>
      </c>
      <c r="L8" s="1577">
        <v>0</v>
      </c>
      <c r="M8" s="1459">
        <v>0</v>
      </c>
      <c r="N8" s="1462">
        <v>0</v>
      </c>
      <c r="O8" s="1062">
        <f t="shared" ref="O8:O52" si="0">+SUM(G8:N8)</f>
        <v>2.5999999999999999E-2</v>
      </c>
      <c r="P8" s="1085">
        <v>0</v>
      </c>
      <c r="Q8" s="1456">
        <v>0</v>
      </c>
      <c r="R8" s="1462">
        <v>0</v>
      </c>
      <c r="S8" s="1061">
        <v>0</v>
      </c>
      <c r="T8" s="1462">
        <v>0</v>
      </c>
      <c r="U8" s="1577">
        <v>0</v>
      </c>
      <c r="V8" s="1459">
        <v>0</v>
      </c>
      <c r="W8" s="1462">
        <v>0</v>
      </c>
      <c r="X8" s="1062">
        <f t="shared" ref="X8:X52" si="1">+SUM(P8:W8)</f>
        <v>0</v>
      </c>
      <c r="Y8" s="1765" t="s">
        <v>5974</v>
      </c>
      <c r="Z8" s="2004"/>
      <c r="AA8" s="897">
        <f xml:space="preserve"> IF( SUM( AC8:AV8 ) = 0, 0, $AE$5 )</f>
        <v>0</v>
      </c>
      <c r="AB8" s="192"/>
      <c r="AC8" s="71"/>
      <c r="AD8" s="192"/>
      <c r="AE8" s="93">
        <f>IF(Validation!$H$3=1,0,IF(ISNUMBER(G8),0,1))</f>
        <v>0</v>
      </c>
      <c r="AF8" s="93">
        <f>IF(Validation!$H$3=1,0,IF(ISNUMBER(H8),0,1))</f>
        <v>0</v>
      </c>
      <c r="AG8" s="93">
        <f>IF(Validation!$H$3=1,0,IF(ISNUMBER(I8),0,1))</f>
        <v>0</v>
      </c>
      <c r="AH8" s="93">
        <f>IF(Validation!$H$3=1,0,IF(ISNUMBER(J8),0,1))</f>
        <v>0</v>
      </c>
      <c r="AI8" s="93">
        <f>IF(Validation!$H$3=1,0,IF(ISNUMBER(K8),0,1))</f>
        <v>0</v>
      </c>
      <c r="AJ8" s="93">
        <f>IF(Validation!$H$3=1,0,IF(ISNUMBER(L8),0,1))</f>
        <v>0</v>
      </c>
      <c r="AK8" s="93">
        <f>IF(Validation!$H$3=1,0,IF(ISNUMBER(M8),0,1))</f>
        <v>0</v>
      </c>
      <c r="AL8" s="93">
        <f>IF(Validation!$H$3=1,0,IF(ISNUMBER(N8),0,1))</f>
        <v>0</v>
      </c>
      <c r="AM8" s="127"/>
      <c r="AN8" s="93">
        <f>IF(Validation!$H$3=1,0,IF(ISNUMBER(P8),0,1))</f>
        <v>0</v>
      </c>
      <c r="AO8" s="93">
        <f>IF(Validation!$H$3=1,0,IF(ISNUMBER(Q8),0,1))</f>
        <v>0</v>
      </c>
      <c r="AP8" s="93">
        <f>IF(Validation!$H$3=1,0,IF(ISNUMBER(R8),0,1))</f>
        <v>0</v>
      </c>
      <c r="AQ8" s="93">
        <f>IF(Validation!$H$3=1,0,IF(ISNUMBER(S8),0,1))</f>
        <v>0</v>
      </c>
      <c r="AR8" s="93">
        <f>IF(Validation!$H$3=1,0,IF(ISNUMBER(T8),0,1))</f>
        <v>0</v>
      </c>
      <c r="AS8" s="93">
        <f>IF(Validation!$H$3=1,0,IF(ISNUMBER(U8),0,1))</f>
        <v>0</v>
      </c>
      <c r="AT8" s="93">
        <f>IF(Validation!$H$3=1,0,IF(ISNUMBER(V8),0,1))</f>
        <v>0</v>
      </c>
      <c r="AU8" s="93">
        <f>IF(Validation!$H$3=1,0,IF(ISNUMBER(W8),0,1))</f>
        <v>0</v>
      </c>
      <c r="AV8" s="71"/>
      <c r="AW8" s="2004"/>
      <c r="AY8" s="2004"/>
      <c r="AZ8" s="2004"/>
      <c r="BA8" s="2004"/>
      <c r="BC8" s="2004"/>
      <c r="BD8" s="1000" t="s">
        <v>5972</v>
      </c>
      <c r="BE8" s="117" t="s">
        <v>5973</v>
      </c>
      <c r="BF8" s="117"/>
      <c r="BG8" s="88" t="s">
        <v>51</v>
      </c>
      <c r="BH8" s="89">
        <v>3</v>
      </c>
      <c r="BI8" s="2844" t="s">
        <v>5975</v>
      </c>
      <c r="BJ8" s="2845" t="s">
        <v>5976</v>
      </c>
      <c r="BK8" s="2846" t="s">
        <v>5977</v>
      </c>
      <c r="BL8" s="2847" t="s">
        <v>5978</v>
      </c>
      <c r="BM8" s="2845" t="s">
        <v>5979</v>
      </c>
      <c r="BN8" s="2845" t="s">
        <v>5980</v>
      </c>
      <c r="BO8" s="2848" t="s">
        <v>5981</v>
      </c>
      <c r="BP8" s="2846" t="s">
        <v>5982</v>
      </c>
      <c r="BQ8" s="2145" t="s">
        <v>5983</v>
      </c>
      <c r="BR8" s="2849" t="s">
        <v>5984</v>
      </c>
      <c r="BS8" s="2845" t="s">
        <v>5985</v>
      </c>
      <c r="BT8" s="2846" t="s">
        <v>5986</v>
      </c>
      <c r="BU8" s="2847" t="s">
        <v>5987</v>
      </c>
      <c r="BV8" s="2845" t="s">
        <v>5988</v>
      </c>
      <c r="BW8" s="2845" t="s">
        <v>5989</v>
      </c>
      <c r="BX8" s="2848" t="s">
        <v>5990</v>
      </c>
      <c r="BY8" s="2846" t="s">
        <v>5991</v>
      </c>
      <c r="BZ8" s="2145" t="s">
        <v>5992</v>
      </c>
    </row>
    <row r="9" spans="1:78" ht="114.75">
      <c r="A9" s="995"/>
      <c r="B9" s="1006" t="s">
        <v>5993</v>
      </c>
      <c r="C9" s="1010" t="s">
        <v>5994</v>
      </c>
      <c r="D9" s="1010"/>
      <c r="E9" s="2003" t="s">
        <v>51</v>
      </c>
      <c r="F9" s="1007">
        <v>3</v>
      </c>
      <c r="G9" s="1090">
        <v>0</v>
      </c>
      <c r="H9" s="1457">
        <v>0</v>
      </c>
      <c r="I9" s="1463">
        <v>0</v>
      </c>
      <c r="J9" s="1063">
        <v>0.01</v>
      </c>
      <c r="K9" s="1463">
        <v>0</v>
      </c>
      <c r="L9" s="1578">
        <v>0</v>
      </c>
      <c r="M9" s="1460">
        <v>0</v>
      </c>
      <c r="N9" s="1463">
        <v>0</v>
      </c>
      <c r="O9" s="241">
        <f t="shared" si="0"/>
        <v>0.01</v>
      </c>
      <c r="P9" s="1090">
        <v>0</v>
      </c>
      <c r="Q9" s="1457">
        <v>0</v>
      </c>
      <c r="R9" s="1463">
        <v>0</v>
      </c>
      <c r="S9" s="1063">
        <v>0</v>
      </c>
      <c r="T9" s="1463">
        <v>0</v>
      </c>
      <c r="U9" s="1578">
        <v>0</v>
      </c>
      <c r="V9" s="1460">
        <v>0</v>
      </c>
      <c r="W9" s="1463">
        <v>0</v>
      </c>
      <c r="X9" s="241">
        <f t="shared" si="1"/>
        <v>0</v>
      </c>
      <c r="Y9" s="1766" t="s">
        <v>5995</v>
      </c>
      <c r="Z9" s="2004"/>
      <c r="AA9" s="897">
        <f t="shared" ref="AA9:AA35" si="2" xml:space="preserve"> IF( SUM( AC9:AV9 ) = 0, 0, $AE$5 )</f>
        <v>0</v>
      </c>
      <c r="AB9" s="192"/>
      <c r="AC9" s="71"/>
      <c r="AD9" s="192"/>
      <c r="AE9" s="93">
        <f>IF(Validation!$H$3=1,0,IF(ISNUMBER(G9),0,1))</f>
        <v>0</v>
      </c>
      <c r="AF9" s="93">
        <f>IF(Validation!$H$3=1,0,IF(ISNUMBER(H9),0,1))</f>
        <v>0</v>
      </c>
      <c r="AG9" s="93">
        <f>IF(Validation!$H$3=1,0,IF(ISNUMBER(I9),0,1))</f>
        <v>0</v>
      </c>
      <c r="AH9" s="93">
        <f>IF(Validation!$H$3=1,0,IF(ISNUMBER(J9),0,1))</f>
        <v>0</v>
      </c>
      <c r="AI9" s="93">
        <f>IF(Validation!$H$3=1,0,IF(ISNUMBER(K9),0,1))</f>
        <v>0</v>
      </c>
      <c r="AJ9" s="93">
        <f>IF(Validation!$H$3=1,0,IF(ISNUMBER(L9),0,1))</f>
        <v>0</v>
      </c>
      <c r="AK9" s="93">
        <f>IF(Validation!$H$3=1,0,IF(ISNUMBER(M9),0,1))</f>
        <v>0</v>
      </c>
      <c r="AL9" s="93">
        <f>IF(Validation!$H$3=1,0,IF(ISNUMBER(N9),0,1))</f>
        <v>0</v>
      </c>
      <c r="AM9" s="127"/>
      <c r="AN9" s="93">
        <f>IF(Validation!$H$3=1,0,IF(ISNUMBER(P9),0,1))</f>
        <v>0</v>
      </c>
      <c r="AO9" s="93">
        <f>IF(Validation!$H$3=1,0,IF(ISNUMBER(Q9),0,1))</f>
        <v>0</v>
      </c>
      <c r="AP9" s="93">
        <f>IF(Validation!$H$3=1,0,IF(ISNUMBER(R9),0,1))</f>
        <v>0</v>
      </c>
      <c r="AQ9" s="93">
        <f>IF(Validation!$H$3=1,0,IF(ISNUMBER(S9),0,1))</f>
        <v>0</v>
      </c>
      <c r="AR9" s="93">
        <f>IF(Validation!$H$3=1,0,IF(ISNUMBER(T9),0,1))</f>
        <v>0</v>
      </c>
      <c r="AS9" s="93">
        <f>IF(Validation!$H$3=1,0,IF(ISNUMBER(U9),0,1))</f>
        <v>0</v>
      </c>
      <c r="AT9" s="93">
        <f>IF(Validation!$H$3=1,0,IF(ISNUMBER(V9),0,1))</f>
        <v>0</v>
      </c>
      <c r="AU9" s="93">
        <f>IF(Validation!$H$3=1,0,IF(ISNUMBER(W9),0,1))</f>
        <v>0</v>
      </c>
      <c r="AV9" s="71"/>
      <c r="AW9" s="2004"/>
      <c r="AY9" s="2004"/>
      <c r="AZ9" s="2004"/>
      <c r="BA9" s="2004"/>
      <c r="BC9" s="2004"/>
      <c r="BD9" s="1006" t="s">
        <v>5993</v>
      </c>
      <c r="BE9" s="2819" t="s">
        <v>5994</v>
      </c>
      <c r="BF9" s="2819"/>
      <c r="BG9" s="2003" t="s">
        <v>51</v>
      </c>
      <c r="BH9" s="1007">
        <v>3</v>
      </c>
      <c r="BI9" s="2850" t="s">
        <v>5996</v>
      </c>
      <c r="BJ9" s="2851" t="s">
        <v>5997</v>
      </c>
      <c r="BK9" s="2852" t="s">
        <v>5998</v>
      </c>
      <c r="BL9" s="2853" t="s">
        <v>5999</v>
      </c>
      <c r="BM9" s="2851" t="s">
        <v>6000</v>
      </c>
      <c r="BN9" s="2851" t="s">
        <v>6001</v>
      </c>
      <c r="BO9" s="2854" t="s">
        <v>6002</v>
      </c>
      <c r="BP9" s="2852" t="s">
        <v>6003</v>
      </c>
      <c r="BQ9" s="2095" t="s">
        <v>6004</v>
      </c>
      <c r="BR9" s="2855" t="s">
        <v>6005</v>
      </c>
      <c r="BS9" s="2851" t="s">
        <v>6006</v>
      </c>
      <c r="BT9" s="2852" t="s">
        <v>6007</v>
      </c>
      <c r="BU9" s="2853" t="s">
        <v>6008</v>
      </c>
      <c r="BV9" s="2851" t="s">
        <v>6009</v>
      </c>
      <c r="BW9" s="2851" t="s">
        <v>6010</v>
      </c>
      <c r="BX9" s="2854" t="s">
        <v>6011</v>
      </c>
      <c r="BY9" s="2852" t="s">
        <v>6012</v>
      </c>
      <c r="BZ9" s="2095" t="s">
        <v>6013</v>
      </c>
    </row>
    <row r="10" spans="1:78" ht="15.75">
      <c r="A10" s="995"/>
      <c r="B10" s="1006" t="s">
        <v>6014</v>
      </c>
      <c r="C10" s="1010" t="s">
        <v>6015</v>
      </c>
      <c r="D10" s="1010"/>
      <c r="E10" s="2003" t="s">
        <v>51</v>
      </c>
      <c r="F10" s="1007">
        <v>3</v>
      </c>
      <c r="G10" s="1090">
        <v>0</v>
      </c>
      <c r="H10" s="1457">
        <v>0</v>
      </c>
      <c r="I10" s="1463">
        <v>0</v>
      </c>
      <c r="J10" s="1063">
        <v>0</v>
      </c>
      <c r="K10" s="1463">
        <v>0</v>
      </c>
      <c r="L10" s="1578">
        <v>0</v>
      </c>
      <c r="M10" s="1460">
        <v>0</v>
      </c>
      <c r="N10" s="1463">
        <v>0</v>
      </c>
      <c r="O10" s="241">
        <f t="shared" si="0"/>
        <v>0</v>
      </c>
      <c r="P10" s="1090">
        <v>0</v>
      </c>
      <c r="Q10" s="1457">
        <v>0</v>
      </c>
      <c r="R10" s="1463">
        <v>0</v>
      </c>
      <c r="S10" s="1063">
        <v>0</v>
      </c>
      <c r="T10" s="1463">
        <v>0</v>
      </c>
      <c r="U10" s="1578">
        <v>0</v>
      </c>
      <c r="V10" s="1460">
        <v>0</v>
      </c>
      <c r="W10" s="1463">
        <v>0</v>
      </c>
      <c r="X10" s="241">
        <f t="shared" si="1"/>
        <v>0</v>
      </c>
      <c r="Y10" s="1766"/>
      <c r="Z10" s="2004"/>
      <c r="AA10" s="897">
        <f t="shared" si="2"/>
        <v>0</v>
      </c>
      <c r="AB10" s="192"/>
      <c r="AC10" s="71"/>
      <c r="AD10" s="192"/>
      <c r="AE10" s="93">
        <f>IF(Validation!$H$3=1,0,IF(ISNUMBER(G10),0,1))</f>
        <v>0</v>
      </c>
      <c r="AF10" s="93">
        <f>IF(Validation!$H$3=1,0,IF(ISNUMBER(H10),0,1))</f>
        <v>0</v>
      </c>
      <c r="AG10" s="93">
        <f>IF(Validation!$H$3=1,0,IF(ISNUMBER(I10),0,1))</f>
        <v>0</v>
      </c>
      <c r="AH10" s="93">
        <f>IF(Validation!$H$3=1,0,IF(ISNUMBER(J10),0,1))</f>
        <v>0</v>
      </c>
      <c r="AI10" s="93">
        <f>IF(Validation!$H$3=1,0,IF(ISNUMBER(K10),0,1))</f>
        <v>0</v>
      </c>
      <c r="AJ10" s="93">
        <f>IF(Validation!$H$3=1,0,IF(ISNUMBER(L10),0,1))</f>
        <v>0</v>
      </c>
      <c r="AK10" s="93">
        <f>IF(Validation!$H$3=1,0,IF(ISNUMBER(M10),0,1))</f>
        <v>0</v>
      </c>
      <c r="AL10" s="93">
        <f>IF(Validation!$H$3=1,0,IF(ISNUMBER(N10),0,1))</f>
        <v>0</v>
      </c>
      <c r="AM10" s="127"/>
      <c r="AN10" s="93">
        <f>IF(Validation!$H$3=1,0,IF(ISNUMBER(P10),0,1))</f>
        <v>0</v>
      </c>
      <c r="AO10" s="93">
        <f>IF(Validation!$H$3=1,0,IF(ISNUMBER(Q10),0,1))</f>
        <v>0</v>
      </c>
      <c r="AP10" s="93">
        <f>IF(Validation!$H$3=1,0,IF(ISNUMBER(R10),0,1))</f>
        <v>0</v>
      </c>
      <c r="AQ10" s="93">
        <f>IF(Validation!$H$3=1,0,IF(ISNUMBER(S10),0,1))</f>
        <v>0</v>
      </c>
      <c r="AR10" s="93">
        <f>IF(Validation!$H$3=1,0,IF(ISNUMBER(T10),0,1))</f>
        <v>0</v>
      </c>
      <c r="AS10" s="93">
        <f>IF(Validation!$H$3=1,0,IF(ISNUMBER(U10),0,1))</f>
        <v>0</v>
      </c>
      <c r="AT10" s="93">
        <f>IF(Validation!$H$3=1,0,IF(ISNUMBER(V10),0,1))</f>
        <v>0</v>
      </c>
      <c r="AU10" s="93">
        <f>IF(Validation!$H$3=1,0,IF(ISNUMBER(W10),0,1))</f>
        <v>0</v>
      </c>
      <c r="AV10" s="71"/>
      <c r="AW10" s="2004"/>
      <c r="AY10" s="2004"/>
      <c r="AZ10" s="2004"/>
      <c r="BA10" s="2004"/>
      <c r="BC10" s="2004"/>
      <c r="BD10" s="1006" t="s">
        <v>6014</v>
      </c>
      <c r="BE10" s="2819" t="s">
        <v>6015</v>
      </c>
      <c r="BF10" s="2819"/>
      <c r="BG10" s="2003" t="s">
        <v>51</v>
      </c>
      <c r="BH10" s="1007">
        <v>3</v>
      </c>
      <c r="BI10" s="2850" t="s">
        <v>6016</v>
      </c>
      <c r="BJ10" s="2851" t="s">
        <v>6017</v>
      </c>
      <c r="BK10" s="2852" t="s">
        <v>6018</v>
      </c>
      <c r="BL10" s="2853" t="s">
        <v>6019</v>
      </c>
      <c r="BM10" s="2851" t="s">
        <v>6020</v>
      </c>
      <c r="BN10" s="2851" t="s">
        <v>6021</v>
      </c>
      <c r="BO10" s="2854" t="s">
        <v>6022</v>
      </c>
      <c r="BP10" s="2852" t="s">
        <v>6023</v>
      </c>
      <c r="BQ10" s="2095" t="s">
        <v>6024</v>
      </c>
      <c r="BR10" s="2855" t="s">
        <v>6025</v>
      </c>
      <c r="BS10" s="2851" t="s">
        <v>6026</v>
      </c>
      <c r="BT10" s="2852" t="s">
        <v>6027</v>
      </c>
      <c r="BU10" s="2853" t="s">
        <v>6028</v>
      </c>
      <c r="BV10" s="2851" t="s">
        <v>6029</v>
      </c>
      <c r="BW10" s="2851" t="s">
        <v>6030</v>
      </c>
      <c r="BX10" s="2854" t="s">
        <v>6031</v>
      </c>
      <c r="BY10" s="2852" t="s">
        <v>6032</v>
      </c>
      <c r="BZ10" s="2095" t="s">
        <v>6033</v>
      </c>
    </row>
    <row r="11" spans="1:78" ht="15.75">
      <c r="A11" s="995"/>
      <c r="B11" s="1006" t="s">
        <v>6034</v>
      </c>
      <c r="C11" s="1010" t="s">
        <v>6035</v>
      </c>
      <c r="D11" s="1010"/>
      <c r="E11" s="2003" t="s">
        <v>51</v>
      </c>
      <c r="F11" s="1007">
        <v>3</v>
      </c>
      <c r="G11" s="1090">
        <v>0</v>
      </c>
      <c r="H11" s="1457">
        <v>0</v>
      </c>
      <c r="I11" s="1463">
        <v>0</v>
      </c>
      <c r="J11" s="1063">
        <v>0</v>
      </c>
      <c r="K11" s="1463">
        <v>0</v>
      </c>
      <c r="L11" s="1578">
        <v>0</v>
      </c>
      <c r="M11" s="1460">
        <v>0</v>
      </c>
      <c r="N11" s="1463">
        <v>0</v>
      </c>
      <c r="O11" s="241">
        <f t="shared" si="0"/>
        <v>0</v>
      </c>
      <c r="P11" s="1090">
        <v>0</v>
      </c>
      <c r="Q11" s="1457">
        <v>0</v>
      </c>
      <c r="R11" s="1463">
        <v>0</v>
      </c>
      <c r="S11" s="1063">
        <v>0</v>
      </c>
      <c r="T11" s="1463">
        <v>0</v>
      </c>
      <c r="U11" s="1578">
        <v>0</v>
      </c>
      <c r="V11" s="1460">
        <v>0</v>
      </c>
      <c r="W11" s="1463">
        <v>0</v>
      </c>
      <c r="X11" s="241">
        <f t="shared" si="1"/>
        <v>0</v>
      </c>
      <c r="Y11" s="1766"/>
      <c r="Z11" s="2004"/>
      <c r="AA11" s="897">
        <f t="shared" si="2"/>
        <v>0</v>
      </c>
      <c r="AB11" s="192"/>
      <c r="AC11" s="71"/>
      <c r="AD11" s="192"/>
      <c r="AE11" s="93">
        <f>IF(Validation!$H$3=1,0,IF(ISNUMBER(G11),0,1))</f>
        <v>0</v>
      </c>
      <c r="AF11" s="93">
        <f>IF(Validation!$H$3=1,0,IF(ISNUMBER(H11),0,1))</f>
        <v>0</v>
      </c>
      <c r="AG11" s="93">
        <f>IF(Validation!$H$3=1,0,IF(ISNUMBER(I11),0,1))</f>
        <v>0</v>
      </c>
      <c r="AH11" s="93">
        <f>IF(Validation!$H$3=1,0,IF(ISNUMBER(J11),0,1))</f>
        <v>0</v>
      </c>
      <c r="AI11" s="93">
        <f>IF(Validation!$H$3=1,0,IF(ISNUMBER(K11),0,1))</f>
        <v>0</v>
      </c>
      <c r="AJ11" s="93">
        <f>IF(Validation!$H$3=1,0,IF(ISNUMBER(L11),0,1))</f>
        <v>0</v>
      </c>
      <c r="AK11" s="93">
        <f>IF(Validation!$H$3=1,0,IF(ISNUMBER(M11),0,1))</f>
        <v>0</v>
      </c>
      <c r="AL11" s="93">
        <f>IF(Validation!$H$3=1,0,IF(ISNUMBER(N11),0,1))</f>
        <v>0</v>
      </c>
      <c r="AM11" s="127"/>
      <c r="AN11" s="93">
        <f>IF(Validation!$H$3=1,0,IF(ISNUMBER(P11),0,1))</f>
        <v>0</v>
      </c>
      <c r="AO11" s="93">
        <f>IF(Validation!$H$3=1,0,IF(ISNUMBER(Q11),0,1))</f>
        <v>0</v>
      </c>
      <c r="AP11" s="93">
        <f>IF(Validation!$H$3=1,0,IF(ISNUMBER(R11),0,1))</f>
        <v>0</v>
      </c>
      <c r="AQ11" s="93">
        <f>IF(Validation!$H$3=1,0,IF(ISNUMBER(S11),0,1))</f>
        <v>0</v>
      </c>
      <c r="AR11" s="93">
        <f>IF(Validation!$H$3=1,0,IF(ISNUMBER(T11),0,1))</f>
        <v>0</v>
      </c>
      <c r="AS11" s="93">
        <f>IF(Validation!$H$3=1,0,IF(ISNUMBER(U11),0,1))</f>
        <v>0</v>
      </c>
      <c r="AT11" s="93">
        <f>IF(Validation!$H$3=1,0,IF(ISNUMBER(V11),0,1))</f>
        <v>0</v>
      </c>
      <c r="AU11" s="93">
        <f>IF(Validation!$H$3=1,0,IF(ISNUMBER(W11),0,1))</f>
        <v>0</v>
      </c>
      <c r="AV11" s="71"/>
      <c r="AW11" s="2004"/>
      <c r="AY11" s="2004"/>
      <c r="AZ11" s="2004"/>
      <c r="BA11" s="2004"/>
      <c r="BC11" s="2004"/>
      <c r="BD11" s="1006" t="s">
        <v>6034</v>
      </c>
      <c r="BE11" s="2819" t="s">
        <v>6035</v>
      </c>
      <c r="BF11" s="2819"/>
      <c r="BG11" s="2003" t="s">
        <v>51</v>
      </c>
      <c r="BH11" s="1007">
        <v>3</v>
      </c>
      <c r="BI11" s="2850" t="s">
        <v>6036</v>
      </c>
      <c r="BJ11" s="2851" t="s">
        <v>6037</v>
      </c>
      <c r="BK11" s="2852" t="s">
        <v>6038</v>
      </c>
      <c r="BL11" s="2853" t="s">
        <v>6039</v>
      </c>
      <c r="BM11" s="2851" t="s">
        <v>6040</v>
      </c>
      <c r="BN11" s="2851" t="s">
        <v>6041</v>
      </c>
      <c r="BO11" s="2854" t="s">
        <v>6042</v>
      </c>
      <c r="BP11" s="2852" t="s">
        <v>6043</v>
      </c>
      <c r="BQ11" s="2095" t="s">
        <v>6044</v>
      </c>
      <c r="BR11" s="2855" t="s">
        <v>6045</v>
      </c>
      <c r="BS11" s="2851" t="s">
        <v>6046</v>
      </c>
      <c r="BT11" s="2852" t="s">
        <v>6047</v>
      </c>
      <c r="BU11" s="2853" t="s">
        <v>6048</v>
      </c>
      <c r="BV11" s="2851" t="s">
        <v>6049</v>
      </c>
      <c r="BW11" s="2851" t="s">
        <v>6050</v>
      </c>
      <c r="BX11" s="2854" t="s">
        <v>6051</v>
      </c>
      <c r="BY11" s="2852" t="s">
        <v>6052</v>
      </c>
      <c r="BZ11" s="2095" t="s">
        <v>6053</v>
      </c>
    </row>
    <row r="12" spans="1:78" ht="15.75">
      <c r="A12" s="995"/>
      <c r="B12" s="1006" t="s">
        <v>6054</v>
      </c>
      <c r="C12" s="1010" t="s">
        <v>6055</v>
      </c>
      <c r="D12" s="1010"/>
      <c r="E12" s="2003" t="s">
        <v>51</v>
      </c>
      <c r="F12" s="1007">
        <v>3</v>
      </c>
      <c r="G12" s="1090">
        <v>0</v>
      </c>
      <c r="H12" s="1457">
        <v>0</v>
      </c>
      <c r="I12" s="1463">
        <v>0</v>
      </c>
      <c r="J12" s="1063">
        <v>0</v>
      </c>
      <c r="K12" s="1463">
        <v>0</v>
      </c>
      <c r="L12" s="1578">
        <v>0</v>
      </c>
      <c r="M12" s="1460">
        <v>0</v>
      </c>
      <c r="N12" s="1463">
        <v>0</v>
      </c>
      <c r="O12" s="241">
        <f t="shared" si="0"/>
        <v>0</v>
      </c>
      <c r="P12" s="1090">
        <v>0</v>
      </c>
      <c r="Q12" s="1457">
        <v>0</v>
      </c>
      <c r="R12" s="1463">
        <v>0</v>
      </c>
      <c r="S12" s="1063">
        <v>0</v>
      </c>
      <c r="T12" s="1463">
        <v>0</v>
      </c>
      <c r="U12" s="1578">
        <v>0</v>
      </c>
      <c r="V12" s="1460">
        <v>0</v>
      </c>
      <c r="W12" s="1463">
        <v>0</v>
      </c>
      <c r="X12" s="241">
        <f t="shared" si="1"/>
        <v>0</v>
      </c>
      <c r="Y12" s="1766"/>
      <c r="Z12" s="2004"/>
      <c r="AA12" s="897">
        <f t="shared" si="2"/>
        <v>0</v>
      </c>
      <c r="AB12" s="192"/>
      <c r="AC12" s="71"/>
      <c r="AD12" s="192"/>
      <c r="AE12" s="93">
        <f>IF(Validation!$H$3=1,0,IF(ISNUMBER(G12),0,1))</f>
        <v>0</v>
      </c>
      <c r="AF12" s="93">
        <f>IF(Validation!$H$3=1,0,IF(ISNUMBER(H12),0,1))</f>
        <v>0</v>
      </c>
      <c r="AG12" s="93">
        <f>IF(Validation!$H$3=1,0,IF(ISNUMBER(I12),0,1))</f>
        <v>0</v>
      </c>
      <c r="AH12" s="93">
        <f>IF(Validation!$H$3=1,0,IF(ISNUMBER(J12),0,1))</f>
        <v>0</v>
      </c>
      <c r="AI12" s="93">
        <f>IF(Validation!$H$3=1,0,IF(ISNUMBER(K12),0,1))</f>
        <v>0</v>
      </c>
      <c r="AJ12" s="93">
        <f>IF(Validation!$H$3=1,0,IF(ISNUMBER(L12),0,1))</f>
        <v>0</v>
      </c>
      <c r="AK12" s="93">
        <f>IF(Validation!$H$3=1,0,IF(ISNUMBER(M12),0,1))</f>
        <v>0</v>
      </c>
      <c r="AL12" s="93">
        <f>IF(Validation!$H$3=1,0,IF(ISNUMBER(N12),0,1))</f>
        <v>0</v>
      </c>
      <c r="AM12" s="127"/>
      <c r="AN12" s="93">
        <f>IF(Validation!$H$3=1,0,IF(ISNUMBER(P12),0,1))</f>
        <v>0</v>
      </c>
      <c r="AO12" s="93">
        <f>IF(Validation!$H$3=1,0,IF(ISNUMBER(Q12),0,1))</f>
        <v>0</v>
      </c>
      <c r="AP12" s="93">
        <f>IF(Validation!$H$3=1,0,IF(ISNUMBER(R12),0,1))</f>
        <v>0</v>
      </c>
      <c r="AQ12" s="93">
        <f>IF(Validation!$H$3=1,0,IF(ISNUMBER(S12),0,1))</f>
        <v>0</v>
      </c>
      <c r="AR12" s="93">
        <f>IF(Validation!$H$3=1,0,IF(ISNUMBER(T12),0,1))</f>
        <v>0</v>
      </c>
      <c r="AS12" s="93">
        <f>IF(Validation!$H$3=1,0,IF(ISNUMBER(U12),0,1))</f>
        <v>0</v>
      </c>
      <c r="AT12" s="93">
        <f>IF(Validation!$H$3=1,0,IF(ISNUMBER(V12),0,1))</f>
        <v>0</v>
      </c>
      <c r="AU12" s="93">
        <f>IF(Validation!$H$3=1,0,IF(ISNUMBER(W12),0,1))</f>
        <v>0</v>
      </c>
      <c r="AV12" s="71"/>
      <c r="AW12" s="2004"/>
      <c r="AY12" s="2004"/>
      <c r="AZ12" s="2004"/>
      <c r="BA12" s="2004"/>
      <c r="BC12" s="2004"/>
      <c r="BD12" s="1006" t="s">
        <v>6054</v>
      </c>
      <c r="BE12" s="2819" t="s">
        <v>6055</v>
      </c>
      <c r="BF12" s="2819"/>
      <c r="BG12" s="2003" t="s">
        <v>51</v>
      </c>
      <c r="BH12" s="1007">
        <v>3</v>
      </c>
      <c r="BI12" s="2850" t="s">
        <v>6056</v>
      </c>
      <c r="BJ12" s="2851" t="s">
        <v>6057</v>
      </c>
      <c r="BK12" s="2852" t="s">
        <v>6058</v>
      </c>
      <c r="BL12" s="2853" t="s">
        <v>6059</v>
      </c>
      <c r="BM12" s="2851" t="s">
        <v>6060</v>
      </c>
      <c r="BN12" s="2851" t="s">
        <v>6061</v>
      </c>
      <c r="BO12" s="2854" t="s">
        <v>6062</v>
      </c>
      <c r="BP12" s="2852" t="s">
        <v>6063</v>
      </c>
      <c r="BQ12" s="2095" t="s">
        <v>6064</v>
      </c>
      <c r="BR12" s="2855" t="s">
        <v>6065</v>
      </c>
      <c r="BS12" s="2851" t="s">
        <v>6066</v>
      </c>
      <c r="BT12" s="2852" t="s">
        <v>6067</v>
      </c>
      <c r="BU12" s="2853" t="s">
        <v>6068</v>
      </c>
      <c r="BV12" s="2851" t="s">
        <v>6069</v>
      </c>
      <c r="BW12" s="2851" t="s">
        <v>6070</v>
      </c>
      <c r="BX12" s="2854" t="s">
        <v>6071</v>
      </c>
      <c r="BY12" s="2852" t="s">
        <v>6072</v>
      </c>
      <c r="BZ12" s="2095" t="s">
        <v>6073</v>
      </c>
    </row>
    <row r="13" spans="1:78" ht="331.5">
      <c r="A13" s="995"/>
      <c r="B13" s="1006" t="s">
        <v>6074</v>
      </c>
      <c r="C13" s="1010" t="s">
        <v>6075</v>
      </c>
      <c r="D13" s="1010"/>
      <c r="E13" s="2003" t="s">
        <v>51</v>
      </c>
      <c r="F13" s="1007">
        <v>3</v>
      </c>
      <c r="G13" s="1090">
        <v>0</v>
      </c>
      <c r="H13" s="1457">
        <v>0</v>
      </c>
      <c r="I13" s="1463">
        <v>0</v>
      </c>
      <c r="J13" s="1063">
        <v>1.5529999999999999</v>
      </c>
      <c r="K13" s="1463">
        <v>0</v>
      </c>
      <c r="L13" s="1578">
        <v>0</v>
      </c>
      <c r="M13" s="1460">
        <v>0</v>
      </c>
      <c r="N13" s="1463">
        <v>0</v>
      </c>
      <c r="O13" s="241">
        <f t="shared" si="0"/>
        <v>1.5529999999999999</v>
      </c>
      <c r="P13" s="1090">
        <v>0</v>
      </c>
      <c r="Q13" s="1457">
        <v>0</v>
      </c>
      <c r="R13" s="1463">
        <v>0</v>
      </c>
      <c r="S13" s="1063">
        <v>1.821</v>
      </c>
      <c r="T13" s="1463">
        <v>0</v>
      </c>
      <c r="U13" s="1578">
        <v>0</v>
      </c>
      <c r="V13" s="1460">
        <v>0</v>
      </c>
      <c r="W13" s="1463">
        <v>0</v>
      </c>
      <c r="X13" s="241">
        <f t="shared" si="1"/>
        <v>1.821</v>
      </c>
      <c r="Y13" s="1766" t="s">
        <v>6076</v>
      </c>
      <c r="Z13" s="2004"/>
      <c r="AA13" s="897">
        <f t="shared" si="2"/>
        <v>0</v>
      </c>
      <c r="AB13" s="192"/>
      <c r="AC13" s="71"/>
      <c r="AD13" s="192"/>
      <c r="AE13" s="93">
        <f>IF(Validation!$H$3=1,0,IF(ISNUMBER(G13),0,1))</f>
        <v>0</v>
      </c>
      <c r="AF13" s="93">
        <f>IF(Validation!$H$3=1,0,IF(ISNUMBER(H13),0,1))</f>
        <v>0</v>
      </c>
      <c r="AG13" s="93">
        <f>IF(Validation!$H$3=1,0,IF(ISNUMBER(I13),0,1))</f>
        <v>0</v>
      </c>
      <c r="AH13" s="93">
        <f>IF(Validation!$H$3=1,0,IF(ISNUMBER(J13),0,1))</f>
        <v>0</v>
      </c>
      <c r="AI13" s="93">
        <f>IF(Validation!$H$3=1,0,IF(ISNUMBER(K13),0,1))</f>
        <v>0</v>
      </c>
      <c r="AJ13" s="93">
        <f>IF(Validation!$H$3=1,0,IF(ISNUMBER(L13),0,1))</f>
        <v>0</v>
      </c>
      <c r="AK13" s="93">
        <f>IF(Validation!$H$3=1,0,IF(ISNUMBER(M13),0,1))</f>
        <v>0</v>
      </c>
      <c r="AL13" s="93">
        <f>IF(Validation!$H$3=1,0,IF(ISNUMBER(N13),0,1))</f>
        <v>0</v>
      </c>
      <c r="AM13" s="127"/>
      <c r="AN13" s="93">
        <f>IF(Validation!$H$3=1,0,IF(ISNUMBER(P13),0,1))</f>
        <v>0</v>
      </c>
      <c r="AO13" s="93">
        <f>IF(Validation!$H$3=1,0,IF(ISNUMBER(Q13),0,1))</f>
        <v>0</v>
      </c>
      <c r="AP13" s="93">
        <f>IF(Validation!$H$3=1,0,IF(ISNUMBER(R13),0,1))</f>
        <v>0</v>
      </c>
      <c r="AQ13" s="93">
        <f>IF(Validation!$H$3=1,0,IF(ISNUMBER(S13),0,1))</f>
        <v>0</v>
      </c>
      <c r="AR13" s="93">
        <f>IF(Validation!$H$3=1,0,IF(ISNUMBER(T13),0,1))</f>
        <v>0</v>
      </c>
      <c r="AS13" s="93">
        <f>IF(Validation!$H$3=1,0,IF(ISNUMBER(U13),0,1))</f>
        <v>0</v>
      </c>
      <c r="AT13" s="93">
        <f>IF(Validation!$H$3=1,0,IF(ISNUMBER(V13),0,1))</f>
        <v>0</v>
      </c>
      <c r="AU13" s="93">
        <f>IF(Validation!$H$3=1,0,IF(ISNUMBER(W13),0,1))</f>
        <v>0</v>
      </c>
      <c r="AV13" s="71"/>
      <c r="AW13" s="2004"/>
      <c r="AY13" s="2004"/>
      <c r="AZ13" s="2004"/>
      <c r="BA13" s="2004"/>
      <c r="BC13" s="2004"/>
      <c r="BD13" s="1006" t="s">
        <v>6074</v>
      </c>
      <c r="BE13" s="2819" t="s">
        <v>6075</v>
      </c>
      <c r="BF13" s="2819"/>
      <c r="BG13" s="2003" t="s">
        <v>51</v>
      </c>
      <c r="BH13" s="1007">
        <v>3</v>
      </c>
      <c r="BI13" s="2850" t="s">
        <v>6077</v>
      </c>
      <c r="BJ13" s="2851" t="s">
        <v>6078</v>
      </c>
      <c r="BK13" s="2852" t="s">
        <v>6079</v>
      </c>
      <c r="BL13" s="2853" t="s">
        <v>6080</v>
      </c>
      <c r="BM13" s="2851" t="s">
        <v>6081</v>
      </c>
      <c r="BN13" s="2851" t="s">
        <v>6082</v>
      </c>
      <c r="BO13" s="2854" t="s">
        <v>6083</v>
      </c>
      <c r="BP13" s="2852" t="s">
        <v>6084</v>
      </c>
      <c r="BQ13" s="2095" t="s">
        <v>6085</v>
      </c>
      <c r="BR13" s="2855" t="s">
        <v>6086</v>
      </c>
      <c r="BS13" s="2851" t="s">
        <v>6087</v>
      </c>
      <c r="BT13" s="2852" t="s">
        <v>6088</v>
      </c>
      <c r="BU13" s="2853" t="s">
        <v>6089</v>
      </c>
      <c r="BV13" s="2851" t="s">
        <v>6090</v>
      </c>
      <c r="BW13" s="2851" t="s">
        <v>6091</v>
      </c>
      <c r="BX13" s="2854" t="s">
        <v>6092</v>
      </c>
      <c r="BY13" s="2852" t="s">
        <v>6093</v>
      </c>
      <c r="BZ13" s="2095" t="s">
        <v>6094</v>
      </c>
    </row>
    <row r="14" spans="1:78" ht="191.25">
      <c r="A14" s="995"/>
      <c r="B14" s="1006" t="s">
        <v>6095</v>
      </c>
      <c r="C14" s="1010" t="s">
        <v>6096</v>
      </c>
      <c r="D14" s="1010"/>
      <c r="E14" s="2003" t="s">
        <v>51</v>
      </c>
      <c r="F14" s="1007">
        <v>3</v>
      </c>
      <c r="G14" s="1090">
        <v>0</v>
      </c>
      <c r="H14" s="1457">
        <v>0</v>
      </c>
      <c r="I14" s="1463">
        <v>0</v>
      </c>
      <c r="J14" s="1063">
        <v>0.30499999999999999</v>
      </c>
      <c r="K14" s="1463">
        <v>0</v>
      </c>
      <c r="L14" s="1578">
        <v>0</v>
      </c>
      <c r="M14" s="1460">
        <v>0</v>
      </c>
      <c r="N14" s="1463">
        <v>0</v>
      </c>
      <c r="O14" s="241">
        <f t="shared" si="0"/>
        <v>0.30499999999999999</v>
      </c>
      <c r="P14" s="1090">
        <v>0</v>
      </c>
      <c r="Q14" s="1457">
        <v>0</v>
      </c>
      <c r="R14" s="1463">
        <v>0</v>
      </c>
      <c r="S14" s="1063">
        <v>0</v>
      </c>
      <c r="T14" s="1463">
        <v>0</v>
      </c>
      <c r="U14" s="1578">
        <v>0</v>
      </c>
      <c r="V14" s="1460">
        <v>0</v>
      </c>
      <c r="W14" s="1463">
        <v>0</v>
      </c>
      <c r="X14" s="241">
        <f t="shared" si="1"/>
        <v>0</v>
      </c>
      <c r="Y14" s="1766" t="s">
        <v>6097</v>
      </c>
      <c r="Z14" s="2004"/>
      <c r="AA14" s="897">
        <f t="shared" si="2"/>
        <v>0</v>
      </c>
      <c r="AB14" s="192"/>
      <c r="AC14" s="71"/>
      <c r="AD14" s="192"/>
      <c r="AE14" s="93">
        <f>IF(Validation!$H$3=1,0,IF(ISNUMBER(G14),0,1))</f>
        <v>0</v>
      </c>
      <c r="AF14" s="93">
        <f>IF(Validation!$H$3=1,0,IF(ISNUMBER(H14),0,1))</f>
        <v>0</v>
      </c>
      <c r="AG14" s="93">
        <f>IF(Validation!$H$3=1,0,IF(ISNUMBER(I14),0,1))</f>
        <v>0</v>
      </c>
      <c r="AH14" s="93">
        <f>IF(Validation!$H$3=1,0,IF(ISNUMBER(J14),0,1))</f>
        <v>0</v>
      </c>
      <c r="AI14" s="93">
        <f>IF(Validation!$H$3=1,0,IF(ISNUMBER(K14),0,1))</f>
        <v>0</v>
      </c>
      <c r="AJ14" s="93">
        <f>IF(Validation!$H$3=1,0,IF(ISNUMBER(L14),0,1))</f>
        <v>0</v>
      </c>
      <c r="AK14" s="93">
        <f>IF(Validation!$H$3=1,0,IF(ISNUMBER(M14),0,1))</f>
        <v>0</v>
      </c>
      <c r="AL14" s="93">
        <f>IF(Validation!$H$3=1,0,IF(ISNUMBER(N14),0,1))</f>
        <v>0</v>
      </c>
      <c r="AM14" s="127"/>
      <c r="AN14" s="93">
        <f>IF(Validation!$H$3=1,0,IF(ISNUMBER(P14),0,1))</f>
        <v>0</v>
      </c>
      <c r="AO14" s="93">
        <f>IF(Validation!$H$3=1,0,IF(ISNUMBER(Q14),0,1))</f>
        <v>0</v>
      </c>
      <c r="AP14" s="93">
        <f>IF(Validation!$H$3=1,0,IF(ISNUMBER(R14),0,1))</f>
        <v>0</v>
      </c>
      <c r="AQ14" s="93">
        <f>IF(Validation!$H$3=1,0,IF(ISNUMBER(S14),0,1))</f>
        <v>0</v>
      </c>
      <c r="AR14" s="93">
        <f>IF(Validation!$H$3=1,0,IF(ISNUMBER(T14),0,1))</f>
        <v>0</v>
      </c>
      <c r="AS14" s="93">
        <f>IF(Validation!$H$3=1,0,IF(ISNUMBER(U14),0,1))</f>
        <v>0</v>
      </c>
      <c r="AT14" s="93">
        <f>IF(Validation!$H$3=1,0,IF(ISNUMBER(V14),0,1))</f>
        <v>0</v>
      </c>
      <c r="AU14" s="93">
        <f>IF(Validation!$H$3=1,0,IF(ISNUMBER(W14),0,1))</f>
        <v>0</v>
      </c>
      <c r="AV14" s="71"/>
      <c r="AW14" s="2004"/>
      <c r="AY14" s="2004"/>
      <c r="AZ14" s="2004"/>
      <c r="BA14" s="2004"/>
      <c r="BC14" s="2004"/>
      <c r="BD14" s="1006" t="s">
        <v>6095</v>
      </c>
      <c r="BE14" s="2819" t="s">
        <v>6096</v>
      </c>
      <c r="BF14" s="2819"/>
      <c r="BG14" s="2003" t="s">
        <v>51</v>
      </c>
      <c r="BH14" s="1007">
        <v>3</v>
      </c>
      <c r="BI14" s="2850" t="s">
        <v>6098</v>
      </c>
      <c r="BJ14" s="2851" t="s">
        <v>6099</v>
      </c>
      <c r="BK14" s="2852" t="s">
        <v>6100</v>
      </c>
      <c r="BL14" s="2853" t="s">
        <v>6101</v>
      </c>
      <c r="BM14" s="2851" t="s">
        <v>6102</v>
      </c>
      <c r="BN14" s="2851" t="s">
        <v>6103</v>
      </c>
      <c r="BO14" s="2854" t="s">
        <v>6104</v>
      </c>
      <c r="BP14" s="2852" t="s">
        <v>6105</v>
      </c>
      <c r="BQ14" s="2095" t="s">
        <v>6106</v>
      </c>
      <c r="BR14" s="2855" t="s">
        <v>6107</v>
      </c>
      <c r="BS14" s="2851" t="s">
        <v>6108</v>
      </c>
      <c r="BT14" s="2852" t="s">
        <v>6109</v>
      </c>
      <c r="BU14" s="2853" t="s">
        <v>6110</v>
      </c>
      <c r="BV14" s="2851" t="s">
        <v>6111</v>
      </c>
      <c r="BW14" s="2851" t="s">
        <v>6112</v>
      </c>
      <c r="BX14" s="2854" t="s">
        <v>6113</v>
      </c>
      <c r="BY14" s="2852" t="s">
        <v>6114</v>
      </c>
      <c r="BZ14" s="2095" t="s">
        <v>6115</v>
      </c>
    </row>
    <row r="15" spans="1:78" ht="15.75">
      <c r="A15" s="995"/>
      <c r="B15" s="1006" t="s">
        <v>6116</v>
      </c>
      <c r="C15" s="1010" t="s">
        <v>6117</v>
      </c>
      <c r="D15" s="1010"/>
      <c r="E15" s="2003" t="s">
        <v>51</v>
      </c>
      <c r="F15" s="1007">
        <v>3</v>
      </c>
      <c r="G15" s="1090">
        <v>0</v>
      </c>
      <c r="H15" s="1457">
        <v>0</v>
      </c>
      <c r="I15" s="1463">
        <v>0</v>
      </c>
      <c r="J15" s="1063">
        <v>0</v>
      </c>
      <c r="K15" s="1463">
        <v>0</v>
      </c>
      <c r="L15" s="1578">
        <v>0</v>
      </c>
      <c r="M15" s="1460">
        <v>0</v>
      </c>
      <c r="N15" s="1463">
        <v>0</v>
      </c>
      <c r="O15" s="241">
        <f t="shared" si="0"/>
        <v>0</v>
      </c>
      <c r="P15" s="1090">
        <v>0</v>
      </c>
      <c r="Q15" s="1457">
        <v>0</v>
      </c>
      <c r="R15" s="1463">
        <v>0</v>
      </c>
      <c r="S15" s="1063">
        <v>0</v>
      </c>
      <c r="T15" s="1463">
        <v>0</v>
      </c>
      <c r="U15" s="1578">
        <v>0</v>
      </c>
      <c r="V15" s="1460">
        <v>0</v>
      </c>
      <c r="W15" s="1463">
        <v>0</v>
      </c>
      <c r="X15" s="241">
        <f t="shared" si="1"/>
        <v>0</v>
      </c>
      <c r="Y15" s="1766"/>
      <c r="Z15" s="2004"/>
      <c r="AA15" s="897">
        <f t="shared" si="2"/>
        <v>0</v>
      </c>
      <c r="AB15" s="192"/>
      <c r="AC15" s="71"/>
      <c r="AD15" s="192"/>
      <c r="AE15" s="93">
        <f>IF(Validation!$H$3=1,0,IF(ISNUMBER(G15),0,1))</f>
        <v>0</v>
      </c>
      <c r="AF15" s="93">
        <f>IF(Validation!$H$3=1,0,IF(ISNUMBER(H15),0,1))</f>
        <v>0</v>
      </c>
      <c r="AG15" s="93">
        <f>IF(Validation!$H$3=1,0,IF(ISNUMBER(I15),0,1))</f>
        <v>0</v>
      </c>
      <c r="AH15" s="93">
        <f>IF(Validation!$H$3=1,0,IF(ISNUMBER(J15),0,1))</f>
        <v>0</v>
      </c>
      <c r="AI15" s="93">
        <f>IF(Validation!$H$3=1,0,IF(ISNUMBER(K15),0,1))</f>
        <v>0</v>
      </c>
      <c r="AJ15" s="93">
        <f>IF(Validation!$H$3=1,0,IF(ISNUMBER(L15),0,1))</f>
        <v>0</v>
      </c>
      <c r="AK15" s="93">
        <f>IF(Validation!$H$3=1,0,IF(ISNUMBER(M15),0,1))</f>
        <v>0</v>
      </c>
      <c r="AL15" s="93">
        <f>IF(Validation!$H$3=1,0,IF(ISNUMBER(N15),0,1))</f>
        <v>0</v>
      </c>
      <c r="AM15" s="127"/>
      <c r="AN15" s="93">
        <f>IF(Validation!$H$3=1,0,IF(ISNUMBER(P15),0,1))</f>
        <v>0</v>
      </c>
      <c r="AO15" s="93">
        <f>IF(Validation!$H$3=1,0,IF(ISNUMBER(Q15),0,1))</f>
        <v>0</v>
      </c>
      <c r="AP15" s="93">
        <f>IF(Validation!$H$3=1,0,IF(ISNUMBER(R15),0,1))</f>
        <v>0</v>
      </c>
      <c r="AQ15" s="93">
        <f>IF(Validation!$H$3=1,0,IF(ISNUMBER(S15),0,1))</f>
        <v>0</v>
      </c>
      <c r="AR15" s="93">
        <f>IF(Validation!$H$3=1,0,IF(ISNUMBER(T15),0,1))</f>
        <v>0</v>
      </c>
      <c r="AS15" s="93">
        <f>IF(Validation!$H$3=1,0,IF(ISNUMBER(U15),0,1))</f>
        <v>0</v>
      </c>
      <c r="AT15" s="93">
        <f>IF(Validation!$H$3=1,0,IF(ISNUMBER(V15),0,1))</f>
        <v>0</v>
      </c>
      <c r="AU15" s="93">
        <f>IF(Validation!$H$3=1,0,IF(ISNUMBER(W15),0,1))</f>
        <v>0</v>
      </c>
      <c r="AV15" s="71"/>
      <c r="AW15" s="2004"/>
      <c r="AY15" s="2004"/>
      <c r="AZ15" s="2004"/>
      <c r="BA15" s="2004"/>
      <c r="BC15" s="2004"/>
      <c r="BD15" s="1006" t="s">
        <v>6116</v>
      </c>
      <c r="BE15" s="2819" t="s">
        <v>6117</v>
      </c>
      <c r="BF15" s="2819"/>
      <c r="BG15" s="2003" t="s">
        <v>51</v>
      </c>
      <c r="BH15" s="1007">
        <v>3</v>
      </c>
      <c r="BI15" s="2850" t="s">
        <v>6118</v>
      </c>
      <c r="BJ15" s="2851" t="s">
        <v>6119</v>
      </c>
      <c r="BK15" s="2852" t="s">
        <v>6120</v>
      </c>
      <c r="BL15" s="2853" t="s">
        <v>6121</v>
      </c>
      <c r="BM15" s="2851" t="s">
        <v>6122</v>
      </c>
      <c r="BN15" s="2851" t="s">
        <v>6123</v>
      </c>
      <c r="BO15" s="2854" t="s">
        <v>6124</v>
      </c>
      <c r="BP15" s="2852" t="s">
        <v>6125</v>
      </c>
      <c r="BQ15" s="2095" t="s">
        <v>6126</v>
      </c>
      <c r="BR15" s="2855" t="s">
        <v>6127</v>
      </c>
      <c r="BS15" s="2851" t="s">
        <v>6128</v>
      </c>
      <c r="BT15" s="2852" t="s">
        <v>6129</v>
      </c>
      <c r="BU15" s="2853" t="s">
        <v>6130</v>
      </c>
      <c r="BV15" s="2851" t="s">
        <v>6131</v>
      </c>
      <c r="BW15" s="2851" t="s">
        <v>6132</v>
      </c>
      <c r="BX15" s="2854" t="s">
        <v>6133</v>
      </c>
      <c r="BY15" s="2852" t="s">
        <v>6134</v>
      </c>
      <c r="BZ15" s="2095" t="s">
        <v>6135</v>
      </c>
    </row>
    <row r="16" spans="1:78" ht="15.75">
      <c r="A16" s="995"/>
      <c r="B16" s="1006" t="s">
        <v>6136</v>
      </c>
      <c r="C16" s="1010" t="s">
        <v>6137</v>
      </c>
      <c r="D16" s="1010"/>
      <c r="E16" s="2003" t="s">
        <v>51</v>
      </c>
      <c r="F16" s="1007">
        <v>3</v>
      </c>
      <c r="G16" s="1090">
        <v>0</v>
      </c>
      <c r="H16" s="1457">
        <v>0</v>
      </c>
      <c r="I16" s="1463">
        <v>0</v>
      </c>
      <c r="J16" s="1063">
        <v>0</v>
      </c>
      <c r="K16" s="1463">
        <v>0</v>
      </c>
      <c r="L16" s="1578">
        <v>0</v>
      </c>
      <c r="M16" s="1460">
        <v>0</v>
      </c>
      <c r="N16" s="1463">
        <v>0</v>
      </c>
      <c r="O16" s="241">
        <f t="shared" si="0"/>
        <v>0</v>
      </c>
      <c r="P16" s="1090">
        <v>0</v>
      </c>
      <c r="Q16" s="1457">
        <v>0</v>
      </c>
      <c r="R16" s="1463">
        <v>0</v>
      </c>
      <c r="S16" s="1063">
        <v>0</v>
      </c>
      <c r="T16" s="1463">
        <v>0</v>
      </c>
      <c r="U16" s="1578">
        <v>0</v>
      </c>
      <c r="V16" s="1460">
        <v>0</v>
      </c>
      <c r="W16" s="1463">
        <v>0</v>
      </c>
      <c r="X16" s="241">
        <f t="shared" si="1"/>
        <v>0</v>
      </c>
      <c r="Y16" s="1766"/>
      <c r="Z16" s="2004"/>
      <c r="AA16" s="897">
        <f t="shared" si="2"/>
        <v>0</v>
      </c>
      <c r="AB16" s="192"/>
      <c r="AC16" s="71"/>
      <c r="AD16" s="192"/>
      <c r="AE16" s="93">
        <f>IF(Validation!$H$3=1,0,IF(ISNUMBER(G16),0,1))</f>
        <v>0</v>
      </c>
      <c r="AF16" s="93">
        <f>IF(Validation!$H$3=1,0,IF(ISNUMBER(H16),0,1))</f>
        <v>0</v>
      </c>
      <c r="AG16" s="93">
        <f>IF(Validation!$H$3=1,0,IF(ISNUMBER(I16),0,1))</f>
        <v>0</v>
      </c>
      <c r="AH16" s="93">
        <f>IF(Validation!$H$3=1,0,IF(ISNUMBER(J16),0,1))</f>
        <v>0</v>
      </c>
      <c r="AI16" s="93">
        <f>IF(Validation!$H$3=1,0,IF(ISNUMBER(K16),0,1))</f>
        <v>0</v>
      </c>
      <c r="AJ16" s="93">
        <f>IF(Validation!$H$3=1,0,IF(ISNUMBER(L16),0,1))</f>
        <v>0</v>
      </c>
      <c r="AK16" s="93">
        <f>IF(Validation!$H$3=1,0,IF(ISNUMBER(M16),0,1))</f>
        <v>0</v>
      </c>
      <c r="AL16" s="93">
        <f>IF(Validation!$H$3=1,0,IF(ISNUMBER(N16),0,1))</f>
        <v>0</v>
      </c>
      <c r="AM16" s="127"/>
      <c r="AN16" s="93">
        <f>IF(Validation!$H$3=1,0,IF(ISNUMBER(P16),0,1))</f>
        <v>0</v>
      </c>
      <c r="AO16" s="93">
        <f>IF(Validation!$H$3=1,0,IF(ISNUMBER(Q16),0,1))</f>
        <v>0</v>
      </c>
      <c r="AP16" s="93">
        <f>IF(Validation!$H$3=1,0,IF(ISNUMBER(R16),0,1))</f>
        <v>0</v>
      </c>
      <c r="AQ16" s="93">
        <f>IF(Validation!$H$3=1,0,IF(ISNUMBER(S16),0,1))</f>
        <v>0</v>
      </c>
      <c r="AR16" s="93">
        <f>IF(Validation!$H$3=1,0,IF(ISNUMBER(T16),0,1))</f>
        <v>0</v>
      </c>
      <c r="AS16" s="93">
        <f>IF(Validation!$H$3=1,0,IF(ISNUMBER(U16),0,1))</f>
        <v>0</v>
      </c>
      <c r="AT16" s="93">
        <f>IF(Validation!$H$3=1,0,IF(ISNUMBER(V16),0,1))</f>
        <v>0</v>
      </c>
      <c r="AU16" s="93">
        <f>IF(Validation!$H$3=1,0,IF(ISNUMBER(W16),0,1))</f>
        <v>0</v>
      </c>
      <c r="AV16" s="71"/>
      <c r="AW16" s="2004"/>
      <c r="AY16" s="2004"/>
      <c r="AZ16" s="2004"/>
      <c r="BA16" s="2004"/>
      <c r="BC16" s="2004"/>
      <c r="BD16" s="1006" t="s">
        <v>6136</v>
      </c>
      <c r="BE16" s="2819" t="s">
        <v>6137</v>
      </c>
      <c r="BF16" s="2819"/>
      <c r="BG16" s="2003" t="s">
        <v>51</v>
      </c>
      <c r="BH16" s="1007">
        <v>3</v>
      </c>
      <c r="BI16" s="2850" t="s">
        <v>6138</v>
      </c>
      <c r="BJ16" s="2851" t="s">
        <v>6139</v>
      </c>
      <c r="BK16" s="2852" t="s">
        <v>6140</v>
      </c>
      <c r="BL16" s="2853" t="s">
        <v>6141</v>
      </c>
      <c r="BM16" s="2851" t="s">
        <v>6142</v>
      </c>
      <c r="BN16" s="2851" t="s">
        <v>6143</v>
      </c>
      <c r="BO16" s="2854" t="s">
        <v>6144</v>
      </c>
      <c r="BP16" s="2852" t="s">
        <v>6145</v>
      </c>
      <c r="BQ16" s="2095" t="s">
        <v>6146</v>
      </c>
      <c r="BR16" s="2855" t="s">
        <v>6147</v>
      </c>
      <c r="BS16" s="2851" t="s">
        <v>6148</v>
      </c>
      <c r="BT16" s="2852" t="s">
        <v>6149</v>
      </c>
      <c r="BU16" s="2853" t="s">
        <v>6150</v>
      </c>
      <c r="BV16" s="2851" t="s">
        <v>6151</v>
      </c>
      <c r="BW16" s="2851" t="s">
        <v>6152</v>
      </c>
      <c r="BX16" s="2854" t="s">
        <v>6153</v>
      </c>
      <c r="BY16" s="2852" t="s">
        <v>6154</v>
      </c>
      <c r="BZ16" s="2095" t="s">
        <v>6155</v>
      </c>
    </row>
    <row r="17" spans="1:78" ht="15.75">
      <c r="A17" s="995"/>
      <c r="B17" s="1006" t="s">
        <v>6156</v>
      </c>
      <c r="C17" s="1010" t="s">
        <v>6157</v>
      </c>
      <c r="D17" s="1010"/>
      <c r="E17" s="2003" t="s">
        <v>51</v>
      </c>
      <c r="F17" s="1007">
        <v>3</v>
      </c>
      <c r="G17" s="1090">
        <v>0</v>
      </c>
      <c r="H17" s="1457">
        <v>0</v>
      </c>
      <c r="I17" s="1463">
        <v>0</v>
      </c>
      <c r="J17" s="1063">
        <v>0</v>
      </c>
      <c r="K17" s="1463">
        <v>0</v>
      </c>
      <c r="L17" s="1578">
        <v>0</v>
      </c>
      <c r="M17" s="1460">
        <v>0</v>
      </c>
      <c r="N17" s="1463">
        <v>0</v>
      </c>
      <c r="O17" s="241">
        <f t="shared" si="0"/>
        <v>0</v>
      </c>
      <c r="P17" s="1090">
        <v>0</v>
      </c>
      <c r="Q17" s="1457">
        <v>0</v>
      </c>
      <c r="R17" s="1463">
        <v>0</v>
      </c>
      <c r="S17" s="1063">
        <v>0</v>
      </c>
      <c r="T17" s="1463">
        <v>0</v>
      </c>
      <c r="U17" s="1578">
        <v>0</v>
      </c>
      <c r="V17" s="1460">
        <v>0</v>
      </c>
      <c r="W17" s="1463">
        <v>0</v>
      </c>
      <c r="X17" s="241">
        <f t="shared" si="1"/>
        <v>0</v>
      </c>
      <c r="Y17" s="1766"/>
      <c r="Z17" s="2004"/>
      <c r="AA17" s="897">
        <f t="shared" si="2"/>
        <v>0</v>
      </c>
      <c r="AB17" s="192"/>
      <c r="AC17" s="71"/>
      <c r="AD17" s="192"/>
      <c r="AE17" s="93">
        <f>IF(Validation!$H$3=1,0,IF(ISNUMBER(G17),0,1))</f>
        <v>0</v>
      </c>
      <c r="AF17" s="93">
        <f>IF(Validation!$H$3=1,0,IF(ISNUMBER(H17),0,1))</f>
        <v>0</v>
      </c>
      <c r="AG17" s="93">
        <f>IF(Validation!$H$3=1,0,IF(ISNUMBER(I17),0,1))</f>
        <v>0</v>
      </c>
      <c r="AH17" s="93">
        <f>IF(Validation!$H$3=1,0,IF(ISNUMBER(J17),0,1))</f>
        <v>0</v>
      </c>
      <c r="AI17" s="93">
        <f>IF(Validation!$H$3=1,0,IF(ISNUMBER(K17),0,1))</f>
        <v>0</v>
      </c>
      <c r="AJ17" s="93">
        <f>IF(Validation!$H$3=1,0,IF(ISNUMBER(L17),0,1))</f>
        <v>0</v>
      </c>
      <c r="AK17" s="93">
        <f>IF(Validation!$H$3=1,0,IF(ISNUMBER(M17),0,1))</f>
        <v>0</v>
      </c>
      <c r="AL17" s="93">
        <f>IF(Validation!$H$3=1,0,IF(ISNUMBER(N17),0,1))</f>
        <v>0</v>
      </c>
      <c r="AM17" s="127"/>
      <c r="AN17" s="93">
        <f>IF(Validation!$H$3=1,0,IF(ISNUMBER(P17),0,1))</f>
        <v>0</v>
      </c>
      <c r="AO17" s="93">
        <f>IF(Validation!$H$3=1,0,IF(ISNUMBER(Q17),0,1))</f>
        <v>0</v>
      </c>
      <c r="AP17" s="93">
        <f>IF(Validation!$H$3=1,0,IF(ISNUMBER(R17),0,1))</f>
        <v>0</v>
      </c>
      <c r="AQ17" s="93">
        <f>IF(Validation!$H$3=1,0,IF(ISNUMBER(S17),0,1))</f>
        <v>0</v>
      </c>
      <c r="AR17" s="93">
        <f>IF(Validation!$H$3=1,0,IF(ISNUMBER(T17),0,1))</f>
        <v>0</v>
      </c>
      <c r="AS17" s="93">
        <f>IF(Validation!$H$3=1,0,IF(ISNUMBER(U17),0,1))</f>
        <v>0</v>
      </c>
      <c r="AT17" s="93">
        <f>IF(Validation!$H$3=1,0,IF(ISNUMBER(V17),0,1))</f>
        <v>0</v>
      </c>
      <c r="AU17" s="93">
        <f>IF(Validation!$H$3=1,0,IF(ISNUMBER(W17),0,1))</f>
        <v>0</v>
      </c>
      <c r="AV17" s="71"/>
      <c r="AW17" s="2004"/>
      <c r="AY17" s="2004"/>
      <c r="AZ17" s="2004"/>
      <c r="BA17" s="2004"/>
      <c r="BC17" s="2004"/>
      <c r="BD17" s="1006" t="s">
        <v>6156</v>
      </c>
      <c r="BE17" s="2819" t="s">
        <v>6157</v>
      </c>
      <c r="BF17" s="2819"/>
      <c r="BG17" s="2003" t="s">
        <v>51</v>
      </c>
      <c r="BH17" s="1007">
        <v>3</v>
      </c>
      <c r="BI17" s="2850" t="s">
        <v>6158</v>
      </c>
      <c r="BJ17" s="2851" t="s">
        <v>6159</v>
      </c>
      <c r="BK17" s="2852" t="s">
        <v>6160</v>
      </c>
      <c r="BL17" s="2853" t="s">
        <v>6161</v>
      </c>
      <c r="BM17" s="2851" t="s">
        <v>6162</v>
      </c>
      <c r="BN17" s="2851" t="s">
        <v>6163</v>
      </c>
      <c r="BO17" s="2854" t="s">
        <v>6164</v>
      </c>
      <c r="BP17" s="2852" t="s">
        <v>6165</v>
      </c>
      <c r="BQ17" s="2095" t="s">
        <v>6166</v>
      </c>
      <c r="BR17" s="2855" t="s">
        <v>6167</v>
      </c>
      <c r="BS17" s="2851" t="s">
        <v>6168</v>
      </c>
      <c r="BT17" s="2852" t="s">
        <v>6169</v>
      </c>
      <c r="BU17" s="2853" t="s">
        <v>6170</v>
      </c>
      <c r="BV17" s="2851" t="s">
        <v>6171</v>
      </c>
      <c r="BW17" s="2851" t="s">
        <v>6172</v>
      </c>
      <c r="BX17" s="2854" t="s">
        <v>6173</v>
      </c>
      <c r="BY17" s="2852" t="s">
        <v>6174</v>
      </c>
      <c r="BZ17" s="2095" t="s">
        <v>6175</v>
      </c>
    </row>
    <row r="18" spans="1:78" ht="102">
      <c r="A18" s="995"/>
      <c r="B18" s="1006" t="s">
        <v>6176</v>
      </c>
      <c r="C18" s="1010" t="s">
        <v>6177</v>
      </c>
      <c r="D18" s="1010"/>
      <c r="E18" s="2003" t="s">
        <v>51</v>
      </c>
      <c r="F18" s="1007">
        <v>3</v>
      </c>
      <c r="G18" s="1090">
        <v>1.246</v>
      </c>
      <c r="H18" s="1457">
        <v>1.3740000000000001</v>
      </c>
      <c r="I18" s="1463">
        <v>0.57499999999999996</v>
      </c>
      <c r="J18" s="1063">
        <v>1.6E-2</v>
      </c>
      <c r="K18" s="1463">
        <v>0</v>
      </c>
      <c r="L18" s="1578">
        <v>0</v>
      </c>
      <c r="M18" s="1460">
        <v>0</v>
      </c>
      <c r="N18" s="1463">
        <v>0</v>
      </c>
      <c r="O18" s="241">
        <f t="shared" si="0"/>
        <v>3.2110000000000003</v>
      </c>
      <c r="P18" s="1090">
        <v>1.6060000000000001</v>
      </c>
      <c r="Q18" s="1457">
        <v>1.77</v>
      </c>
      <c r="R18" s="1463">
        <v>0.74099999999999999</v>
      </c>
      <c r="S18" s="1063">
        <v>0</v>
      </c>
      <c r="T18" s="1463">
        <v>0</v>
      </c>
      <c r="U18" s="1578">
        <v>0</v>
      </c>
      <c r="V18" s="1460">
        <v>0</v>
      </c>
      <c r="W18" s="1463">
        <v>0</v>
      </c>
      <c r="X18" s="241">
        <f t="shared" si="1"/>
        <v>4.117</v>
      </c>
      <c r="Y18" s="1766" t="s">
        <v>6178</v>
      </c>
      <c r="Z18" s="2004"/>
      <c r="AA18" s="897">
        <f t="shared" si="2"/>
        <v>0</v>
      </c>
      <c r="AB18" s="192"/>
      <c r="AC18" s="71"/>
      <c r="AD18" s="192"/>
      <c r="AE18" s="93">
        <f>IF(Validation!$H$3=1,0,IF(ISNUMBER(G18),0,1))</f>
        <v>0</v>
      </c>
      <c r="AF18" s="93">
        <f>IF(Validation!$H$3=1,0,IF(ISNUMBER(H18),0,1))</f>
        <v>0</v>
      </c>
      <c r="AG18" s="93">
        <f>IF(Validation!$H$3=1,0,IF(ISNUMBER(I18),0,1))</f>
        <v>0</v>
      </c>
      <c r="AH18" s="93">
        <f>IF(Validation!$H$3=1,0,IF(ISNUMBER(J18),0,1))</f>
        <v>0</v>
      </c>
      <c r="AI18" s="93">
        <f>IF(Validation!$H$3=1,0,IF(ISNUMBER(K18),0,1))</f>
        <v>0</v>
      </c>
      <c r="AJ18" s="93">
        <f>IF(Validation!$H$3=1,0,IF(ISNUMBER(L18),0,1))</f>
        <v>0</v>
      </c>
      <c r="AK18" s="93">
        <f>IF(Validation!$H$3=1,0,IF(ISNUMBER(M18),0,1))</f>
        <v>0</v>
      </c>
      <c r="AL18" s="93">
        <f>IF(Validation!$H$3=1,0,IF(ISNUMBER(N18),0,1))</f>
        <v>0</v>
      </c>
      <c r="AM18" s="127"/>
      <c r="AN18" s="93">
        <f>IF(Validation!$H$3=1,0,IF(ISNUMBER(P18),0,1))</f>
        <v>0</v>
      </c>
      <c r="AO18" s="93">
        <f>IF(Validation!$H$3=1,0,IF(ISNUMBER(Q18),0,1))</f>
        <v>0</v>
      </c>
      <c r="AP18" s="93">
        <f>IF(Validation!$H$3=1,0,IF(ISNUMBER(R18),0,1))</f>
        <v>0</v>
      </c>
      <c r="AQ18" s="93">
        <f>IF(Validation!$H$3=1,0,IF(ISNUMBER(S18),0,1))</f>
        <v>0</v>
      </c>
      <c r="AR18" s="93">
        <f>IF(Validation!$H$3=1,0,IF(ISNUMBER(T18),0,1))</f>
        <v>0</v>
      </c>
      <c r="AS18" s="93">
        <f>IF(Validation!$H$3=1,0,IF(ISNUMBER(U18),0,1))</f>
        <v>0</v>
      </c>
      <c r="AT18" s="93">
        <f>IF(Validation!$H$3=1,0,IF(ISNUMBER(V18),0,1))</f>
        <v>0</v>
      </c>
      <c r="AU18" s="93">
        <f>IF(Validation!$H$3=1,0,IF(ISNUMBER(W18),0,1))</f>
        <v>0</v>
      </c>
      <c r="AV18" s="71"/>
      <c r="AW18" s="2004"/>
      <c r="AY18" s="2004"/>
      <c r="AZ18" s="2004"/>
      <c r="BA18" s="2004"/>
      <c r="BC18" s="2004"/>
      <c r="BD18" s="1006" t="s">
        <v>6176</v>
      </c>
      <c r="BE18" s="2819" t="s">
        <v>6177</v>
      </c>
      <c r="BF18" s="2819"/>
      <c r="BG18" s="2003" t="s">
        <v>51</v>
      </c>
      <c r="BH18" s="1007">
        <v>3</v>
      </c>
      <c r="BI18" s="2850" t="s">
        <v>6179</v>
      </c>
      <c r="BJ18" s="2851" t="s">
        <v>6180</v>
      </c>
      <c r="BK18" s="2852" t="s">
        <v>6181</v>
      </c>
      <c r="BL18" s="2853" t="s">
        <v>6182</v>
      </c>
      <c r="BM18" s="2851" t="s">
        <v>6183</v>
      </c>
      <c r="BN18" s="2851" t="s">
        <v>6184</v>
      </c>
      <c r="BO18" s="2854" t="s">
        <v>6185</v>
      </c>
      <c r="BP18" s="2852" t="s">
        <v>6186</v>
      </c>
      <c r="BQ18" s="2095" t="s">
        <v>6187</v>
      </c>
      <c r="BR18" s="2855" t="s">
        <v>6188</v>
      </c>
      <c r="BS18" s="2851" t="s">
        <v>6189</v>
      </c>
      <c r="BT18" s="2852" t="s">
        <v>6190</v>
      </c>
      <c r="BU18" s="2853" t="s">
        <v>6191</v>
      </c>
      <c r="BV18" s="2851" t="s">
        <v>6192</v>
      </c>
      <c r="BW18" s="2851" t="s">
        <v>6193</v>
      </c>
      <c r="BX18" s="2854" t="s">
        <v>6194</v>
      </c>
      <c r="BY18" s="2852" t="s">
        <v>6195</v>
      </c>
      <c r="BZ18" s="2095" t="s">
        <v>6196</v>
      </c>
    </row>
    <row r="19" spans="1:78" ht="63.75">
      <c r="A19" s="995"/>
      <c r="B19" s="1006" t="s">
        <v>6197</v>
      </c>
      <c r="C19" s="1010" t="s">
        <v>6198</v>
      </c>
      <c r="D19" s="1010"/>
      <c r="E19" s="2003" t="s">
        <v>51</v>
      </c>
      <c r="F19" s="1007">
        <v>3</v>
      </c>
      <c r="G19" s="1090">
        <v>0</v>
      </c>
      <c r="H19" s="1457">
        <v>0</v>
      </c>
      <c r="I19" s="1463">
        <v>0</v>
      </c>
      <c r="J19" s="1063">
        <v>0.36299999999999999</v>
      </c>
      <c r="K19" s="1463">
        <v>0</v>
      </c>
      <c r="L19" s="1578">
        <v>0</v>
      </c>
      <c r="M19" s="1460">
        <v>0</v>
      </c>
      <c r="N19" s="1463">
        <v>0</v>
      </c>
      <c r="O19" s="241">
        <f t="shared" si="0"/>
        <v>0.36299999999999999</v>
      </c>
      <c r="P19" s="1090">
        <v>0</v>
      </c>
      <c r="Q19" s="1457">
        <v>0</v>
      </c>
      <c r="R19" s="1463">
        <v>0</v>
      </c>
      <c r="S19" s="1063">
        <v>0.90100000000000002</v>
      </c>
      <c r="T19" s="1463">
        <v>0</v>
      </c>
      <c r="U19" s="1578">
        <v>0</v>
      </c>
      <c r="V19" s="1460">
        <v>0</v>
      </c>
      <c r="W19" s="1463">
        <v>0</v>
      </c>
      <c r="X19" s="241">
        <f t="shared" si="1"/>
        <v>0.90100000000000002</v>
      </c>
      <c r="Y19" s="1766" t="s">
        <v>6199</v>
      </c>
      <c r="Z19" s="2004"/>
      <c r="AA19" s="897">
        <f t="shared" si="2"/>
        <v>0</v>
      </c>
      <c r="AB19" s="192"/>
      <c r="AC19" s="71"/>
      <c r="AD19" s="192"/>
      <c r="AE19" s="93">
        <f>IF(Validation!$H$3=1,0,IF(ISNUMBER(G19),0,1))</f>
        <v>0</v>
      </c>
      <c r="AF19" s="93">
        <f>IF(Validation!$H$3=1,0,IF(ISNUMBER(H19),0,1))</f>
        <v>0</v>
      </c>
      <c r="AG19" s="93">
        <f>IF(Validation!$H$3=1,0,IF(ISNUMBER(I19),0,1))</f>
        <v>0</v>
      </c>
      <c r="AH19" s="93">
        <f>IF(Validation!$H$3=1,0,IF(ISNUMBER(J19),0,1))</f>
        <v>0</v>
      </c>
      <c r="AI19" s="93">
        <f>IF(Validation!$H$3=1,0,IF(ISNUMBER(K19),0,1))</f>
        <v>0</v>
      </c>
      <c r="AJ19" s="93">
        <f>IF(Validation!$H$3=1,0,IF(ISNUMBER(L19),0,1))</f>
        <v>0</v>
      </c>
      <c r="AK19" s="93">
        <f>IF(Validation!$H$3=1,0,IF(ISNUMBER(M19),0,1))</f>
        <v>0</v>
      </c>
      <c r="AL19" s="93">
        <f>IF(Validation!$H$3=1,0,IF(ISNUMBER(N19),0,1))</f>
        <v>0</v>
      </c>
      <c r="AM19" s="127"/>
      <c r="AN19" s="93">
        <f>IF(Validation!$H$3=1,0,IF(ISNUMBER(P19),0,1))</f>
        <v>0</v>
      </c>
      <c r="AO19" s="93">
        <f>IF(Validation!$H$3=1,0,IF(ISNUMBER(Q19),0,1))</f>
        <v>0</v>
      </c>
      <c r="AP19" s="93">
        <f>IF(Validation!$H$3=1,0,IF(ISNUMBER(R19),0,1))</f>
        <v>0</v>
      </c>
      <c r="AQ19" s="93">
        <f>IF(Validation!$H$3=1,0,IF(ISNUMBER(S19),0,1))</f>
        <v>0</v>
      </c>
      <c r="AR19" s="93">
        <f>IF(Validation!$H$3=1,0,IF(ISNUMBER(T19),0,1))</f>
        <v>0</v>
      </c>
      <c r="AS19" s="93">
        <f>IF(Validation!$H$3=1,0,IF(ISNUMBER(U19),0,1))</f>
        <v>0</v>
      </c>
      <c r="AT19" s="93">
        <f>IF(Validation!$H$3=1,0,IF(ISNUMBER(V19),0,1))</f>
        <v>0</v>
      </c>
      <c r="AU19" s="93">
        <f>IF(Validation!$H$3=1,0,IF(ISNUMBER(W19),0,1))</f>
        <v>0</v>
      </c>
      <c r="AV19" s="71"/>
      <c r="AW19" s="2004"/>
      <c r="AY19" s="2004"/>
      <c r="AZ19" s="2004"/>
      <c r="BA19" s="2004"/>
      <c r="BC19" s="2004"/>
      <c r="BD19" s="1006" t="s">
        <v>6197</v>
      </c>
      <c r="BE19" s="2819" t="s">
        <v>6198</v>
      </c>
      <c r="BF19" s="2819"/>
      <c r="BG19" s="2003" t="s">
        <v>51</v>
      </c>
      <c r="BH19" s="1007">
        <v>3</v>
      </c>
      <c r="BI19" s="2850" t="s">
        <v>6200</v>
      </c>
      <c r="BJ19" s="2851" t="s">
        <v>6201</v>
      </c>
      <c r="BK19" s="2852" t="s">
        <v>6202</v>
      </c>
      <c r="BL19" s="2853" t="s">
        <v>6203</v>
      </c>
      <c r="BM19" s="2851" t="s">
        <v>6204</v>
      </c>
      <c r="BN19" s="2851" t="s">
        <v>6205</v>
      </c>
      <c r="BO19" s="2854" t="s">
        <v>6206</v>
      </c>
      <c r="BP19" s="2852" t="s">
        <v>6207</v>
      </c>
      <c r="BQ19" s="2095" t="s">
        <v>6208</v>
      </c>
      <c r="BR19" s="2855" t="s">
        <v>6209</v>
      </c>
      <c r="BS19" s="2851" t="s">
        <v>6210</v>
      </c>
      <c r="BT19" s="2852" t="s">
        <v>6211</v>
      </c>
      <c r="BU19" s="2853" t="s">
        <v>6212</v>
      </c>
      <c r="BV19" s="2851" t="s">
        <v>6213</v>
      </c>
      <c r="BW19" s="2851" t="s">
        <v>6214</v>
      </c>
      <c r="BX19" s="2854" t="s">
        <v>6215</v>
      </c>
      <c r="BY19" s="2852" t="s">
        <v>6216</v>
      </c>
      <c r="BZ19" s="2095" t="s">
        <v>6217</v>
      </c>
    </row>
    <row r="20" spans="1:78" ht="15.75">
      <c r="A20" s="995"/>
      <c r="B20" s="1006" t="s">
        <v>6218</v>
      </c>
      <c r="C20" s="1010" t="s">
        <v>6219</v>
      </c>
      <c r="D20" s="1010"/>
      <c r="E20" s="2003" t="s">
        <v>51</v>
      </c>
      <c r="F20" s="1007">
        <v>3</v>
      </c>
      <c r="G20" s="1090">
        <v>0</v>
      </c>
      <c r="H20" s="1457">
        <v>0</v>
      </c>
      <c r="I20" s="1463">
        <v>0</v>
      </c>
      <c r="J20" s="1063">
        <v>0</v>
      </c>
      <c r="K20" s="1463">
        <v>0</v>
      </c>
      <c r="L20" s="1578">
        <v>0</v>
      </c>
      <c r="M20" s="1460">
        <v>0</v>
      </c>
      <c r="N20" s="1463">
        <v>0</v>
      </c>
      <c r="O20" s="241">
        <f t="shared" si="0"/>
        <v>0</v>
      </c>
      <c r="P20" s="1090">
        <v>0</v>
      </c>
      <c r="Q20" s="1457">
        <v>0</v>
      </c>
      <c r="R20" s="1463">
        <v>0</v>
      </c>
      <c r="S20" s="1063">
        <v>0</v>
      </c>
      <c r="T20" s="1463">
        <v>0</v>
      </c>
      <c r="U20" s="1578">
        <v>0</v>
      </c>
      <c r="V20" s="1460">
        <v>0</v>
      </c>
      <c r="W20" s="1463">
        <v>0</v>
      </c>
      <c r="X20" s="241">
        <f t="shared" si="1"/>
        <v>0</v>
      </c>
      <c r="Y20" s="1766"/>
      <c r="Z20" s="2004"/>
      <c r="AA20" s="897">
        <f t="shared" si="2"/>
        <v>0</v>
      </c>
      <c r="AB20" s="192"/>
      <c r="AC20" s="71"/>
      <c r="AD20" s="192"/>
      <c r="AE20" s="93">
        <f>IF(Validation!$H$3=1,0,IF(ISNUMBER(G20),0,1))</f>
        <v>0</v>
      </c>
      <c r="AF20" s="93">
        <f>IF(Validation!$H$3=1,0,IF(ISNUMBER(H20),0,1))</f>
        <v>0</v>
      </c>
      <c r="AG20" s="93">
        <f>IF(Validation!$H$3=1,0,IF(ISNUMBER(I20),0,1))</f>
        <v>0</v>
      </c>
      <c r="AH20" s="93">
        <f>IF(Validation!$H$3=1,0,IF(ISNUMBER(J20),0,1))</f>
        <v>0</v>
      </c>
      <c r="AI20" s="93">
        <f>IF(Validation!$H$3=1,0,IF(ISNUMBER(K20),0,1))</f>
        <v>0</v>
      </c>
      <c r="AJ20" s="93">
        <f>IF(Validation!$H$3=1,0,IF(ISNUMBER(L20),0,1))</f>
        <v>0</v>
      </c>
      <c r="AK20" s="93">
        <f>IF(Validation!$H$3=1,0,IF(ISNUMBER(M20),0,1))</f>
        <v>0</v>
      </c>
      <c r="AL20" s="93">
        <f>IF(Validation!$H$3=1,0,IF(ISNUMBER(N20),0,1))</f>
        <v>0</v>
      </c>
      <c r="AM20" s="127"/>
      <c r="AN20" s="93">
        <f>IF(Validation!$H$3=1,0,IF(ISNUMBER(P20),0,1))</f>
        <v>0</v>
      </c>
      <c r="AO20" s="93">
        <f>IF(Validation!$H$3=1,0,IF(ISNUMBER(Q20),0,1))</f>
        <v>0</v>
      </c>
      <c r="AP20" s="93">
        <f>IF(Validation!$H$3=1,0,IF(ISNUMBER(R20),0,1))</f>
        <v>0</v>
      </c>
      <c r="AQ20" s="93">
        <f>IF(Validation!$H$3=1,0,IF(ISNUMBER(S20),0,1))</f>
        <v>0</v>
      </c>
      <c r="AR20" s="93">
        <f>IF(Validation!$H$3=1,0,IF(ISNUMBER(T20),0,1))</f>
        <v>0</v>
      </c>
      <c r="AS20" s="93">
        <f>IF(Validation!$H$3=1,0,IF(ISNUMBER(U20),0,1))</f>
        <v>0</v>
      </c>
      <c r="AT20" s="93">
        <f>IF(Validation!$H$3=1,0,IF(ISNUMBER(V20),0,1))</f>
        <v>0</v>
      </c>
      <c r="AU20" s="93">
        <f>IF(Validation!$H$3=1,0,IF(ISNUMBER(W20),0,1))</f>
        <v>0</v>
      </c>
      <c r="AV20" s="71"/>
      <c r="AW20" s="2004"/>
      <c r="AY20" s="2004"/>
      <c r="AZ20" s="2004"/>
      <c r="BA20" s="2004"/>
      <c r="BC20" s="2004"/>
      <c r="BD20" s="1006" t="s">
        <v>6218</v>
      </c>
      <c r="BE20" s="2819" t="s">
        <v>6219</v>
      </c>
      <c r="BF20" s="2819"/>
      <c r="BG20" s="2003" t="s">
        <v>51</v>
      </c>
      <c r="BH20" s="1007">
        <v>3</v>
      </c>
      <c r="BI20" s="2850" t="s">
        <v>6220</v>
      </c>
      <c r="BJ20" s="2851" t="s">
        <v>6221</v>
      </c>
      <c r="BK20" s="2852" t="s">
        <v>6222</v>
      </c>
      <c r="BL20" s="2853" t="s">
        <v>6223</v>
      </c>
      <c r="BM20" s="2851" t="s">
        <v>6224</v>
      </c>
      <c r="BN20" s="2851" t="s">
        <v>6225</v>
      </c>
      <c r="BO20" s="2854" t="s">
        <v>6226</v>
      </c>
      <c r="BP20" s="2852" t="s">
        <v>6227</v>
      </c>
      <c r="BQ20" s="2095" t="s">
        <v>6228</v>
      </c>
      <c r="BR20" s="2855" t="s">
        <v>6229</v>
      </c>
      <c r="BS20" s="2851" t="s">
        <v>6230</v>
      </c>
      <c r="BT20" s="2852" t="s">
        <v>6231</v>
      </c>
      <c r="BU20" s="2853" t="s">
        <v>6232</v>
      </c>
      <c r="BV20" s="2851" t="s">
        <v>6233</v>
      </c>
      <c r="BW20" s="2851" t="s">
        <v>6234</v>
      </c>
      <c r="BX20" s="2854" t="s">
        <v>6235</v>
      </c>
      <c r="BY20" s="2852" t="s">
        <v>6236</v>
      </c>
      <c r="BZ20" s="2095" t="s">
        <v>6237</v>
      </c>
    </row>
    <row r="21" spans="1:78" ht="15.75">
      <c r="A21" s="995"/>
      <c r="B21" s="1006" t="s">
        <v>6238</v>
      </c>
      <c r="C21" s="1010" t="s">
        <v>6239</v>
      </c>
      <c r="D21" s="1010"/>
      <c r="E21" s="2003" t="s">
        <v>51</v>
      </c>
      <c r="F21" s="1007">
        <v>3</v>
      </c>
      <c r="G21" s="1090">
        <v>0</v>
      </c>
      <c r="H21" s="1457">
        <v>0</v>
      </c>
      <c r="I21" s="1463">
        <v>0</v>
      </c>
      <c r="J21" s="1063">
        <v>0</v>
      </c>
      <c r="K21" s="1463">
        <v>0</v>
      </c>
      <c r="L21" s="1578">
        <v>0</v>
      </c>
      <c r="M21" s="1460">
        <v>0</v>
      </c>
      <c r="N21" s="1463">
        <v>0</v>
      </c>
      <c r="O21" s="241">
        <f t="shared" si="0"/>
        <v>0</v>
      </c>
      <c r="P21" s="1090">
        <v>0</v>
      </c>
      <c r="Q21" s="1457">
        <v>0</v>
      </c>
      <c r="R21" s="1463">
        <v>0</v>
      </c>
      <c r="S21" s="1063">
        <v>0</v>
      </c>
      <c r="T21" s="1463">
        <v>0</v>
      </c>
      <c r="U21" s="1578">
        <v>0</v>
      </c>
      <c r="V21" s="1460">
        <v>0</v>
      </c>
      <c r="W21" s="1463">
        <v>0</v>
      </c>
      <c r="X21" s="241">
        <f t="shared" si="1"/>
        <v>0</v>
      </c>
      <c r="Y21" s="1766"/>
      <c r="Z21" s="2004"/>
      <c r="AA21" s="897">
        <f t="shared" si="2"/>
        <v>0</v>
      </c>
      <c r="AB21" s="192"/>
      <c r="AC21" s="71"/>
      <c r="AD21" s="192"/>
      <c r="AE21" s="93">
        <f>IF(Validation!$H$3=1,0,IF(ISNUMBER(G21),0,1))</f>
        <v>0</v>
      </c>
      <c r="AF21" s="93">
        <f>IF(Validation!$H$3=1,0,IF(ISNUMBER(H21),0,1))</f>
        <v>0</v>
      </c>
      <c r="AG21" s="93">
        <f>IF(Validation!$H$3=1,0,IF(ISNUMBER(I21),0,1))</f>
        <v>0</v>
      </c>
      <c r="AH21" s="93">
        <f>IF(Validation!$H$3=1,0,IF(ISNUMBER(J21),0,1))</f>
        <v>0</v>
      </c>
      <c r="AI21" s="93">
        <f>IF(Validation!$H$3=1,0,IF(ISNUMBER(K21),0,1))</f>
        <v>0</v>
      </c>
      <c r="AJ21" s="93">
        <f>IF(Validation!$H$3=1,0,IF(ISNUMBER(L21),0,1))</f>
        <v>0</v>
      </c>
      <c r="AK21" s="93">
        <f>IF(Validation!$H$3=1,0,IF(ISNUMBER(M21),0,1))</f>
        <v>0</v>
      </c>
      <c r="AL21" s="93">
        <f>IF(Validation!$H$3=1,0,IF(ISNUMBER(N21),0,1))</f>
        <v>0</v>
      </c>
      <c r="AM21" s="127"/>
      <c r="AN21" s="93">
        <f>IF(Validation!$H$3=1,0,IF(ISNUMBER(P21),0,1))</f>
        <v>0</v>
      </c>
      <c r="AO21" s="93">
        <f>IF(Validation!$H$3=1,0,IF(ISNUMBER(Q21),0,1))</f>
        <v>0</v>
      </c>
      <c r="AP21" s="93">
        <f>IF(Validation!$H$3=1,0,IF(ISNUMBER(R21),0,1))</f>
        <v>0</v>
      </c>
      <c r="AQ21" s="93">
        <f>IF(Validation!$H$3=1,0,IF(ISNUMBER(S21),0,1))</f>
        <v>0</v>
      </c>
      <c r="AR21" s="93">
        <f>IF(Validation!$H$3=1,0,IF(ISNUMBER(T21),0,1))</f>
        <v>0</v>
      </c>
      <c r="AS21" s="93">
        <f>IF(Validation!$H$3=1,0,IF(ISNUMBER(U21),0,1))</f>
        <v>0</v>
      </c>
      <c r="AT21" s="93">
        <f>IF(Validation!$H$3=1,0,IF(ISNUMBER(V21),0,1))</f>
        <v>0</v>
      </c>
      <c r="AU21" s="93">
        <f>IF(Validation!$H$3=1,0,IF(ISNUMBER(W21),0,1))</f>
        <v>0</v>
      </c>
      <c r="AV21" s="71"/>
      <c r="AW21" s="2004"/>
      <c r="AY21" s="2004"/>
      <c r="AZ21" s="2004"/>
      <c r="BA21" s="2004"/>
      <c r="BC21" s="2004"/>
      <c r="BD21" s="1006" t="s">
        <v>6238</v>
      </c>
      <c r="BE21" s="2819" t="s">
        <v>6239</v>
      </c>
      <c r="BF21" s="2819"/>
      <c r="BG21" s="2003" t="s">
        <v>51</v>
      </c>
      <c r="BH21" s="1007">
        <v>3</v>
      </c>
      <c r="BI21" s="2850" t="s">
        <v>6240</v>
      </c>
      <c r="BJ21" s="2851" t="s">
        <v>6241</v>
      </c>
      <c r="BK21" s="2852" t="s">
        <v>6242</v>
      </c>
      <c r="BL21" s="2853" t="s">
        <v>6243</v>
      </c>
      <c r="BM21" s="2851" t="s">
        <v>6244</v>
      </c>
      <c r="BN21" s="2851" t="s">
        <v>6245</v>
      </c>
      <c r="BO21" s="2854" t="s">
        <v>6246</v>
      </c>
      <c r="BP21" s="2852" t="s">
        <v>6247</v>
      </c>
      <c r="BQ21" s="2095" t="s">
        <v>6248</v>
      </c>
      <c r="BR21" s="2855" t="s">
        <v>6249</v>
      </c>
      <c r="BS21" s="2851" t="s">
        <v>6250</v>
      </c>
      <c r="BT21" s="2852" t="s">
        <v>6251</v>
      </c>
      <c r="BU21" s="2853" t="s">
        <v>6252</v>
      </c>
      <c r="BV21" s="2851" t="s">
        <v>6253</v>
      </c>
      <c r="BW21" s="2851" t="s">
        <v>6254</v>
      </c>
      <c r="BX21" s="2854" t="s">
        <v>6255</v>
      </c>
      <c r="BY21" s="2852" t="s">
        <v>6256</v>
      </c>
      <c r="BZ21" s="2095" t="s">
        <v>6257</v>
      </c>
    </row>
    <row r="22" spans="1:78" ht="229.5">
      <c r="A22" s="995"/>
      <c r="B22" s="1006" t="s">
        <v>6258</v>
      </c>
      <c r="C22" s="1010" t="s">
        <v>5598</v>
      </c>
      <c r="D22" s="1010"/>
      <c r="E22" s="2003" t="s">
        <v>51</v>
      </c>
      <c r="F22" s="1007">
        <v>3</v>
      </c>
      <c r="G22" s="1090">
        <v>3.0000000000000001E-3</v>
      </c>
      <c r="H22" s="1457">
        <v>4.0000000000000001E-3</v>
      </c>
      <c r="I22" s="1463">
        <v>1E-3</v>
      </c>
      <c r="J22" s="1063">
        <v>0.249</v>
      </c>
      <c r="K22" s="1463">
        <v>0</v>
      </c>
      <c r="L22" s="1578">
        <v>0</v>
      </c>
      <c r="M22" s="1460">
        <v>0</v>
      </c>
      <c r="N22" s="1463">
        <v>0</v>
      </c>
      <c r="O22" s="241">
        <f t="shared" si="0"/>
        <v>0.25700000000000001</v>
      </c>
      <c r="P22" s="1090">
        <v>0</v>
      </c>
      <c r="Q22" s="1457">
        <v>0</v>
      </c>
      <c r="R22" s="1463">
        <v>0</v>
      </c>
      <c r="S22" s="1063">
        <v>0</v>
      </c>
      <c r="T22" s="1463">
        <v>0</v>
      </c>
      <c r="U22" s="1578">
        <v>0</v>
      </c>
      <c r="V22" s="1460">
        <v>0</v>
      </c>
      <c r="W22" s="1463">
        <v>0</v>
      </c>
      <c r="X22" s="241">
        <f t="shared" si="1"/>
        <v>0</v>
      </c>
      <c r="Y22" s="1766" t="s">
        <v>6259</v>
      </c>
      <c r="Z22" s="2004"/>
      <c r="AA22" s="897">
        <f t="shared" si="2"/>
        <v>0</v>
      </c>
      <c r="AB22" s="192"/>
      <c r="AC22" s="71"/>
      <c r="AD22" s="192"/>
      <c r="AE22" s="93">
        <f>IF(Validation!$H$3=1,0,IF(ISNUMBER(G22),0,1))</f>
        <v>0</v>
      </c>
      <c r="AF22" s="93">
        <f>IF(Validation!$H$3=1,0,IF(ISNUMBER(H22),0,1))</f>
        <v>0</v>
      </c>
      <c r="AG22" s="93">
        <f>IF(Validation!$H$3=1,0,IF(ISNUMBER(I22),0,1))</f>
        <v>0</v>
      </c>
      <c r="AH22" s="93">
        <f>IF(Validation!$H$3=1,0,IF(ISNUMBER(J22),0,1))</f>
        <v>0</v>
      </c>
      <c r="AI22" s="93">
        <f>IF(Validation!$H$3=1,0,IF(ISNUMBER(K22),0,1))</f>
        <v>0</v>
      </c>
      <c r="AJ22" s="93">
        <f>IF(Validation!$H$3=1,0,IF(ISNUMBER(L22),0,1))</f>
        <v>0</v>
      </c>
      <c r="AK22" s="93">
        <f>IF(Validation!$H$3=1,0,IF(ISNUMBER(M22),0,1))</f>
        <v>0</v>
      </c>
      <c r="AL22" s="93">
        <f>IF(Validation!$H$3=1,0,IF(ISNUMBER(N22),0,1))</f>
        <v>0</v>
      </c>
      <c r="AM22" s="127"/>
      <c r="AN22" s="93">
        <f>IF(Validation!$H$3=1,0,IF(ISNUMBER(P22),0,1))</f>
        <v>0</v>
      </c>
      <c r="AO22" s="93">
        <f>IF(Validation!$H$3=1,0,IF(ISNUMBER(Q22),0,1))</f>
        <v>0</v>
      </c>
      <c r="AP22" s="93">
        <f>IF(Validation!$H$3=1,0,IF(ISNUMBER(R22),0,1))</f>
        <v>0</v>
      </c>
      <c r="AQ22" s="93">
        <f>IF(Validation!$H$3=1,0,IF(ISNUMBER(S22),0,1))</f>
        <v>0</v>
      </c>
      <c r="AR22" s="93">
        <f>IF(Validation!$H$3=1,0,IF(ISNUMBER(T22),0,1))</f>
        <v>0</v>
      </c>
      <c r="AS22" s="93">
        <f>IF(Validation!$H$3=1,0,IF(ISNUMBER(U22),0,1))</f>
        <v>0</v>
      </c>
      <c r="AT22" s="93">
        <f>IF(Validation!$H$3=1,0,IF(ISNUMBER(V22),0,1))</f>
        <v>0</v>
      </c>
      <c r="AU22" s="93">
        <f>IF(Validation!$H$3=1,0,IF(ISNUMBER(W22),0,1))</f>
        <v>0</v>
      </c>
      <c r="AV22" s="71"/>
      <c r="AW22" s="2004"/>
      <c r="AY22" s="2004"/>
      <c r="AZ22" s="2004"/>
      <c r="BA22" s="2004"/>
      <c r="BC22" s="2004"/>
      <c r="BD22" s="1006" t="s">
        <v>6258</v>
      </c>
      <c r="BE22" s="2819" t="s">
        <v>5598</v>
      </c>
      <c r="BF22" s="2819"/>
      <c r="BG22" s="2003" t="s">
        <v>51</v>
      </c>
      <c r="BH22" s="1007">
        <v>3</v>
      </c>
      <c r="BI22" s="2850" t="s">
        <v>6260</v>
      </c>
      <c r="BJ22" s="2851" t="s">
        <v>6261</v>
      </c>
      <c r="BK22" s="2852" t="s">
        <v>6262</v>
      </c>
      <c r="BL22" s="2853" t="s">
        <v>6263</v>
      </c>
      <c r="BM22" s="2851" t="s">
        <v>6264</v>
      </c>
      <c r="BN22" s="2851" t="s">
        <v>6265</v>
      </c>
      <c r="BO22" s="2854" t="s">
        <v>6266</v>
      </c>
      <c r="BP22" s="2852" t="s">
        <v>6267</v>
      </c>
      <c r="BQ22" s="2095" t="s">
        <v>6268</v>
      </c>
      <c r="BR22" s="2855" t="s">
        <v>6269</v>
      </c>
      <c r="BS22" s="2851" t="s">
        <v>6270</v>
      </c>
      <c r="BT22" s="2852" t="s">
        <v>6271</v>
      </c>
      <c r="BU22" s="2853" t="s">
        <v>6272</v>
      </c>
      <c r="BV22" s="2851" t="s">
        <v>6273</v>
      </c>
      <c r="BW22" s="2851" t="s">
        <v>6274</v>
      </c>
      <c r="BX22" s="2854" t="s">
        <v>6275</v>
      </c>
      <c r="BY22" s="2852" t="s">
        <v>6276</v>
      </c>
      <c r="BZ22" s="2095" t="s">
        <v>6277</v>
      </c>
    </row>
    <row r="23" spans="1:78" ht="15.75">
      <c r="A23" s="995"/>
      <c r="B23" s="1006" t="s">
        <v>6278</v>
      </c>
      <c r="C23" s="1010" t="s">
        <v>6279</v>
      </c>
      <c r="D23" s="1010"/>
      <c r="E23" s="2003" t="s">
        <v>51</v>
      </c>
      <c r="F23" s="1007">
        <v>3</v>
      </c>
      <c r="G23" s="1090">
        <v>0</v>
      </c>
      <c r="H23" s="1457">
        <v>0</v>
      </c>
      <c r="I23" s="1463">
        <v>0</v>
      </c>
      <c r="J23" s="1063">
        <v>0</v>
      </c>
      <c r="K23" s="1463">
        <v>0</v>
      </c>
      <c r="L23" s="1578">
        <v>0</v>
      </c>
      <c r="M23" s="1460">
        <v>0</v>
      </c>
      <c r="N23" s="1463">
        <v>0</v>
      </c>
      <c r="O23" s="241">
        <f t="shared" si="0"/>
        <v>0</v>
      </c>
      <c r="P23" s="1090">
        <v>0</v>
      </c>
      <c r="Q23" s="1457">
        <v>0</v>
      </c>
      <c r="R23" s="1463">
        <v>0</v>
      </c>
      <c r="S23" s="1063">
        <v>0</v>
      </c>
      <c r="T23" s="1463">
        <v>0</v>
      </c>
      <c r="U23" s="1578">
        <v>0</v>
      </c>
      <c r="V23" s="1460">
        <v>0</v>
      </c>
      <c r="W23" s="1463">
        <v>0</v>
      </c>
      <c r="X23" s="241">
        <f t="shared" si="1"/>
        <v>0</v>
      </c>
      <c r="Y23" s="1766"/>
      <c r="Z23" s="2004"/>
      <c r="AA23" s="897">
        <f t="shared" si="2"/>
        <v>0</v>
      </c>
      <c r="AB23" s="192"/>
      <c r="AC23" s="71"/>
      <c r="AD23" s="192"/>
      <c r="AE23" s="93">
        <f>IF(Validation!$H$3=1,0,IF(ISNUMBER(G23),0,1))</f>
        <v>0</v>
      </c>
      <c r="AF23" s="93">
        <f>IF(Validation!$H$3=1,0,IF(ISNUMBER(H23),0,1))</f>
        <v>0</v>
      </c>
      <c r="AG23" s="93">
        <f>IF(Validation!$H$3=1,0,IF(ISNUMBER(I23),0,1))</f>
        <v>0</v>
      </c>
      <c r="AH23" s="93">
        <f>IF(Validation!$H$3=1,0,IF(ISNUMBER(J23),0,1))</f>
        <v>0</v>
      </c>
      <c r="AI23" s="93">
        <f>IF(Validation!$H$3=1,0,IF(ISNUMBER(K23),0,1))</f>
        <v>0</v>
      </c>
      <c r="AJ23" s="93">
        <f>IF(Validation!$H$3=1,0,IF(ISNUMBER(L23),0,1))</f>
        <v>0</v>
      </c>
      <c r="AK23" s="93">
        <f>IF(Validation!$H$3=1,0,IF(ISNUMBER(M23),0,1))</f>
        <v>0</v>
      </c>
      <c r="AL23" s="93">
        <f>IF(Validation!$H$3=1,0,IF(ISNUMBER(N23),0,1))</f>
        <v>0</v>
      </c>
      <c r="AM23" s="127"/>
      <c r="AN23" s="93">
        <f>IF(Validation!$H$3=1,0,IF(ISNUMBER(P23),0,1))</f>
        <v>0</v>
      </c>
      <c r="AO23" s="93">
        <f>IF(Validation!$H$3=1,0,IF(ISNUMBER(Q23),0,1))</f>
        <v>0</v>
      </c>
      <c r="AP23" s="93">
        <f>IF(Validation!$H$3=1,0,IF(ISNUMBER(R23),0,1))</f>
        <v>0</v>
      </c>
      <c r="AQ23" s="93">
        <f>IF(Validation!$H$3=1,0,IF(ISNUMBER(S23),0,1))</f>
        <v>0</v>
      </c>
      <c r="AR23" s="93">
        <f>IF(Validation!$H$3=1,0,IF(ISNUMBER(T23),0,1))</f>
        <v>0</v>
      </c>
      <c r="AS23" s="93">
        <f>IF(Validation!$H$3=1,0,IF(ISNUMBER(U23),0,1))</f>
        <v>0</v>
      </c>
      <c r="AT23" s="93">
        <f>IF(Validation!$H$3=1,0,IF(ISNUMBER(V23),0,1))</f>
        <v>0</v>
      </c>
      <c r="AU23" s="93">
        <f>IF(Validation!$H$3=1,0,IF(ISNUMBER(W23),0,1))</f>
        <v>0</v>
      </c>
      <c r="AV23" s="71"/>
      <c r="AW23" s="2004"/>
      <c r="AY23" s="2004"/>
      <c r="AZ23" s="2004"/>
      <c r="BA23" s="2004"/>
      <c r="BC23" s="2004"/>
      <c r="BD23" s="1006" t="s">
        <v>6278</v>
      </c>
      <c r="BE23" s="2819" t="s">
        <v>6279</v>
      </c>
      <c r="BF23" s="2819"/>
      <c r="BG23" s="2003" t="s">
        <v>51</v>
      </c>
      <c r="BH23" s="1007">
        <v>3</v>
      </c>
      <c r="BI23" s="2850" t="s">
        <v>6280</v>
      </c>
      <c r="BJ23" s="2851" t="s">
        <v>6281</v>
      </c>
      <c r="BK23" s="2852" t="s">
        <v>6282</v>
      </c>
      <c r="BL23" s="2853" t="s">
        <v>6283</v>
      </c>
      <c r="BM23" s="2851" t="s">
        <v>6284</v>
      </c>
      <c r="BN23" s="2851" t="s">
        <v>6285</v>
      </c>
      <c r="BO23" s="2854" t="s">
        <v>6286</v>
      </c>
      <c r="BP23" s="2852" t="s">
        <v>6287</v>
      </c>
      <c r="BQ23" s="2095" t="s">
        <v>6288</v>
      </c>
      <c r="BR23" s="2855" t="s">
        <v>6289</v>
      </c>
      <c r="BS23" s="2851" t="s">
        <v>6290</v>
      </c>
      <c r="BT23" s="2852" t="s">
        <v>6291</v>
      </c>
      <c r="BU23" s="2853" t="s">
        <v>6292</v>
      </c>
      <c r="BV23" s="2851" t="s">
        <v>6293</v>
      </c>
      <c r="BW23" s="2851" t="s">
        <v>6294</v>
      </c>
      <c r="BX23" s="2854" t="s">
        <v>6295</v>
      </c>
      <c r="BY23" s="2852" t="s">
        <v>6296</v>
      </c>
      <c r="BZ23" s="2095" t="s">
        <v>6297</v>
      </c>
    </row>
    <row r="24" spans="1:78" ht="153">
      <c r="A24" s="995"/>
      <c r="B24" s="1006" t="s">
        <v>6298</v>
      </c>
      <c r="C24" s="1010" t="s">
        <v>6299</v>
      </c>
      <c r="D24" s="1010"/>
      <c r="E24" s="2003" t="s">
        <v>51</v>
      </c>
      <c r="F24" s="1007">
        <v>3</v>
      </c>
      <c r="G24" s="1090">
        <v>0</v>
      </c>
      <c r="H24" s="1457">
        <v>0</v>
      </c>
      <c r="I24" s="1463">
        <v>0</v>
      </c>
      <c r="J24" s="1063">
        <v>2.7010000000000001</v>
      </c>
      <c r="K24" s="1463">
        <v>0</v>
      </c>
      <c r="L24" s="1578">
        <v>0</v>
      </c>
      <c r="M24" s="1460">
        <v>0</v>
      </c>
      <c r="N24" s="1463">
        <v>0</v>
      </c>
      <c r="O24" s="241">
        <f t="shared" si="0"/>
        <v>2.7010000000000001</v>
      </c>
      <c r="P24" s="1090">
        <v>0</v>
      </c>
      <c r="Q24" s="1457">
        <v>0</v>
      </c>
      <c r="R24" s="1463">
        <v>0</v>
      </c>
      <c r="S24" s="1063">
        <v>12.863</v>
      </c>
      <c r="T24" s="1463">
        <v>0</v>
      </c>
      <c r="U24" s="1578">
        <v>0</v>
      </c>
      <c r="V24" s="1460">
        <v>0</v>
      </c>
      <c r="W24" s="1463">
        <v>0</v>
      </c>
      <c r="X24" s="241">
        <f t="shared" si="1"/>
        <v>12.863</v>
      </c>
      <c r="Y24" s="1766" t="s">
        <v>6300</v>
      </c>
      <c r="Z24" s="2004"/>
      <c r="AA24" s="897">
        <f t="shared" si="2"/>
        <v>0</v>
      </c>
      <c r="AB24" s="192"/>
      <c r="AC24" s="71"/>
      <c r="AD24" s="192"/>
      <c r="AE24" s="93">
        <f>IF(Validation!$H$3=1,0,IF(ISNUMBER(G24),0,1))</f>
        <v>0</v>
      </c>
      <c r="AF24" s="93">
        <f>IF(Validation!$H$3=1,0,IF(ISNUMBER(H24),0,1))</f>
        <v>0</v>
      </c>
      <c r="AG24" s="93">
        <f>IF(Validation!$H$3=1,0,IF(ISNUMBER(I24),0,1))</f>
        <v>0</v>
      </c>
      <c r="AH24" s="93">
        <f>IF(Validation!$H$3=1,0,IF(ISNUMBER(J24),0,1))</f>
        <v>0</v>
      </c>
      <c r="AI24" s="93">
        <f>IF(Validation!$H$3=1,0,IF(ISNUMBER(K24),0,1))</f>
        <v>0</v>
      </c>
      <c r="AJ24" s="93">
        <f>IF(Validation!$H$3=1,0,IF(ISNUMBER(L24),0,1))</f>
        <v>0</v>
      </c>
      <c r="AK24" s="93">
        <f>IF(Validation!$H$3=1,0,IF(ISNUMBER(M24),0,1))</f>
        <v>0</v>
      </c>
      <c r="AL24" s="93">
        <f>IF(Validation!$H$3=1,0,IF(ISNUMBER(N24),0,1))</f>
        <v>0</v>
      </c>
      <c r="AM24" s="127"/>
      <c r="AN24" s="93">
        <f>IF(Validation!$H$3=1,0,IF(ISNUMBER(P24),0,1))</f>
        <v>0</v>
      </c>
      <c r="AO24" s="93">
        <f>IF(Validation!$H$3=1,0,IF(ISNUMBER(Q24),0,1))</f>
        <v>0</v>
      </c>
      <c r="AP24" s="93">
        <f>IF(Validation!$H$3=1,0,IF(ISNUMBER(R24),0,1))</f>
        <v>0</v>
      </c>
      <c r="AQ24" s="93">
        <f>IF(Validation!$H$3=1,0,IF(ISNUMBER(S24),0,1))</f>
        <v>0</v>
      </c>
      <c r="AR24" s="93">
        <f>IF(Validation!$H$3=1,0,IF(ISNUMBER(T24),0,1))</f>
        <v>0</v>
      </c>
      <c r="AS24" s="93">
        <f>IF(Validation!$H$3=1,0,IF(ISNUMBER(U24),0,1))</f>
        <v>0</v>
      </c>
      <c r="AT24" s="93">
        <f>IF(Validation!$H$3=1,0,IF(ISNUMBER(V24),0,1))</f>
        <v>0</v>
      </c>
      <c r="AU24" s="93">
        <f>IF(Validation!$H$3=1,0,IF(ISNUMBER(W24),0,1))</f>
        <v>0</v>
      </c>
      <c r="AV24" s="71"/>
      <c r="AW24" s="2004"/>
      <c r="AY24" s="2004"/>
      <c r="AZ24" s="2004"/>
      <c r="BA24" s="2004"/>
      <c r="BC24" s="2004"/>
      <c r="BD24" s="1006" t="s">
        <v>6298</v>
      </c>
      <c r="BE24" s="2819" t="s">
        <v>6299</v>
      </c>
      <c r="BF24" s="2819"/>
      <c r="BG24" s="2003" t="s">
        <v>51</v>
      </c>
      <c r="BH24" s="1007">
        <v>3</v>
      </c>
      <c r="BI24" s="2850" t="s">
        <v>6301</v>
      </c>
      <c r="BJ24" s="2851" t="s">
        <v>6302</v>
      </c>
      <c r="BK24" s="2852" t="s">
        <v>6303</v>
      </c>
      <c r="BL24" s="2853" t="s">
        <v>6304</v>
      </c>
      <c r="BM24" s="2851" t="s">
        <v>6305</v>
      </c>
      <c r="BN24" s="2851" t="s">
        <v>6306</v>
      </c>
      <c r="BO24" s="2854" t="s">
        <v>6307</v>
      </c>
      <c r="BP24" s="2852" t="s">
        <v>6308</v>
      </c>
      <c r="BQ24" s="2095" t="s">
        <v>6309</v>
      </c>
      <c r="BR24" s="2855" t="s">
        <v>6310</v>
      </c>
      <c r="BS24" s="2851" t="s">
        <v>6311</v>
      </c>
      <c r="BT24" s="2852" t="s">
        <v>6312</v>
      </c>
      <c r="BU24" s="2853" t="s">
        <v>6313</v>
      </c>
      <c r="BV24" s="2851" t="s">
        <v>6314</v>
      </c>
      <c r="BW24" s="2851" t="s">
        <v>6315</v>
      </c>
      <c r="BX24" s="2854" t="s">
        <v>6316</v>
      </c>
      <c r="BY24" s="2852" t="s">
        <v>6317</v>
      </c>
      <c r="BZ24" s="2095" t="s">
        <v>6318</v>
      </c>
    </row>
    <row r="25" spans="1:78" ht="409.5">
      <c r="A25" s="995"/>
      <c r="B25" s="1006" t="s">
        <v>6319</v>
      </c>
      <c r="C25" s="1010" t="s">
        <v>6320</v>
      </c>
      <c r="D25" s="1010"/>
      <c r="E25" s="2003" t="s">
        <v>51</v>
      </c>
      <c r="F25" s="1007">
        <v>3</v>
      </c>
      <c r="G25" s="1090">
        <v>0</v>
      </c>
      <c r="H25" s="1457">
        <v>0</v>
      </c>
      <c r="I25" s="1463">
        <v>0</v>
      </c>
      <c r="J25" s="1063">
        <v>15.391999999999999</v>
      </c>
      <c r="K25" s="1463">
        <v>0</v>
      </c>
      <c r="L25" s="1578">
        <v>0</v>
      </c>
      <c r="M25" s="1460">
        <v>0</v>
      </c>
      <c r="N25" s="1463">
        <v>0</v>
      </c>
      <c r="O25" s="241">
        <f t="shared" si="0"/>
        <v>15.391999999999999</v>
      </c>
      <c r="P25" s="1090">
        <v>0</v>
      </c>
      <c r="Q25" s="1457">
        <v>0</v>
      </c>
      <c r="R25" s="1463">
        <v>0</v>
      </c>
      <c r="S25" s="1063">
        <v>40.872999999999998</v>
      </c>
      <c r="T25" s="1463">
        <v>0</v>
      </c>
      <c r="U25" s="1578">
        <v>0</v>
      </c>
      <c r="V25" s="1460">
        <v>0</v>
      </c>
      <c r="W25" s="1463">
        <v>0</v>
      </c>
      <c r="X25" s="241">
        <f t="shared" si="1"/>
        <v>40.872999999999998</v>
      </c>
      <c r="Y25" s="1766" t="s">
        <v>6321</v>
      </c>
      <c r="Z25" s="2004"/>
      <c r="AA25" s="897">
        <f t="shared" si="2"/>
        <v>0</v>
      </c>
      <c r="AB25" s="192"/>
      <c r="AC25" s="71"/>
      <c r="AD25" s="192"/>
      <c r="AE25" s="93">
        <f>IF(Validation!$H$3=1,0,IF(ISNUMBER(G25),0,1))</f>
        <v>0</v>
      </c>
      <c r="AF25" s="93">
        <f>IF(Validation!$H$3=1,0,IF(ISNUMBER(H25),0,1))</f>
        <v>0</v>
      </c>
      <c r="AG25" s="93">
        <f>IF(Validation!$H$3=1,0,IF(ISNUMBER(I25),0,1))</f>
        <v>0</v>
      </c>
      <c r="AH25" s="93">
        <f>IF(Validation!$H$3=1,0,IF(ISNUMBER(J25),0,1))</f>
        <v>0</v>
      </c>
      <c r="AI25" s="93">
        <f>IF(Validation!$H$3=1,0,IF(ISNUMBER(K25),0,1))</f>
        <v>0</v>
      </c>
      <c r="AJ25" s="93">
        <f>IF(Validation!$H$3=1,0,IF(ISNUMBER(L25),0,1))</f>
        <v>0</v>
      </c>
      <c r="AK25" s="93">
        <f>IF(Validation!$H$3=1,0,IF(ISNUMBER(M25),0,1))</f>
        <v>0</v>
      </c>
      <c r="AL25" s="93">
        <f>IF(Validation!$H$3=1,0,IF(ISNUMBER(N25),0,1))</f>
        <v>0</v>
      </c>
      <c r="AM25" s="127"/>
      <c r="AN25" s="93">
        <f>IF(Validation!$H$3=1,0,IF(ISNUMBER(P25),0,1))</f>
        <v>0</v>
      </c>
      <c r="AO25" s="93">
        <f>IF(Validation!$H$3=1,0,IF(ISNUMBER(Q25),0,1))</f>
        <v>0</v>
      </c>
      <c r="AP25" s="93">
        <f>IF(Validation!$H$3=1,0,IF(ISNUMBER(R25),0,1))</f>
        <v>0</v>
      </c>
      <c r="AQ25" s="93">
        <f>IF(Validation!$H$3=1,0,IF(ISNUMBER(S25),0,1))</f>
        <v>0</v>
      </c>
      <c r="AR25" s="93">
        <f>IF(Validation!$H$3=1,0,IF(ISNUMBER(T25),0,1))</f>
        <v>0</v>
      </c>
      <c r="AS25" s="93">
        <f>IF(Validation!$H$3=1,0,IF(ISNUMBER(U25),0,1))</f>
        <v>0</v>
      </c>
      <c r="AT25" s="93">
        <f>IF(Validation!$H$3=1,0,IF(ISNUMBER(V25),0,1))</f>
        <v>0</v>
      </c>
      <c r="AU25" s="93">
        <f>IF(Validation!$H$3=1,0,IF(ISNUMBER(W25),0,1))</f>
        <v>0</v>
      </c>
      <c r="AV25" s="71"/>
      <c r="AW25" s="2004"/>
      <c r="AY25" s="2004"/>
      <c r="AZ25" s="2004"/>
      <c r="BA25" s="2004"/>
      <c r="BC25" s="2004"/>
      <c r="BD25" s="1006" t="s">
        <v>6319</v>
      </c>
      <c r="BE25" s="2819" t="s">
        <v>6320</v>
      </c>
      <c r="BF25" s="2819"/>
      <c r="BG25" s="2003" t="s">
        <v>51</v>
      </c>
      <c r="BH25" s="1007">
        <v>3</v>
      </c>
      <c r="BI25" s="2850" t="s">
        <v>6322</v>
      </c>
      <c r="BJ25" s="2851" t="s">
        <v>6323</v>
      </c>
      <c r="BK25" s="2852" t="s">
        <v>6324</v>
      </c>
      <c r="BL25" s="2853" t="s">
        <v>6325</v>
      </c>
      <c r="BM25" s="2851" t="s">
        <v>6326</v>
      </c>
      <c r="BN25" s="2851" t="s">
        <v>6327</v>
      </c>
      <c r="BO25" s="2854" t="s">
        <v>6328</v>
      </c>
      <c r="BP25" s="2852" t="s">
        <v>6329</v>
      </c>
      <c r="BQ25" s="2095" t="s">
        <v>6330</v>
      </c>
      <c r="BR25" s="2855" t="s">
        <v>6331</v>
      </c>
      <c r="BS25" s="2851" t="s">
        <v>6332</v>
      </c>
      <c r="BT25" s="2852" t="s">
        <v>6333</v>
      </c>
      <c r="BU25" s="2853" t="s">
        <v>6334</v>
      </c>
      <c r="BV25" s="2851" t="s">
        <v>6335</v>
      </c>
      <c r="BW25" s="2851" t="s">
        <v>6336</v>
      </c>
      <c r="BX25" s="2854" t="s">
        <v>6337</v>
      </c>
      <c r="BY25" s="2852" t="s">
        <v>6338</v>
      </c>
      <c r="BZ25" s="2095" t="s">
        <v>6339</v>
      </c>
    </row>
    <row r="26" spans="1:78" ht="409.5">
      <c r="A26" s="995"/>
      <c r="B26" s="1006" t="s">
        <v>6340</v>
      </c>
      <c r="C26" s="1010" t="s">
        <v>6341</v>
      </c>
      <c r="D26" s="1010"/>
      <c r="E26" s="2003" t="s">
        <v>51</v>
      </c>
      <c r="F26" s="1007">
        <v>3</v>
      </c>
      <c r="G26" s="1090">
        <v>7.0000000000000001E-3</v>
      </c>
      <c r="H26" s="1457">
        <v>8.0000000000000002E-3</v>
      </c>
      <c r="I26" s="1463">
        <v>3.0000000000000001E-3</v>
      </c>
      <c r="J26" s="1063">
        <v>9.5500000000000007</v>
      </c>
      <c r="K26" s="1463">
        <v>0</v>
      </c>
      <c r="L26" s="1578">
        <v>0</v>
      </c>
      <c r="M26" s="1460">
        <v>2.1139999999999999</v>
      </c>
      <c r="N26" s="1463">
        <v>0</v>
      </c>
      <c r="O26" s="241">
        <f t="shared" si="0"/>
        <v>11.682000000000002</v>
      </c>
      <c r="P26" s="1090">
        <v>0.16400000000000001</v>
      </c>
      <c r="Q26" s="1457">
        <v>0.18099999999999999</v>
      </c>
      <c r="R26" s="1463">
        <v>7.5999999999999998E-2</v>
      </c>
      <c r="S26" s="1063">
        <v>65.334000000000003</v>
      </c>
      <c r="T26" s="1463">
        <v>0</v>
      </c>
      <c r="U26" s="1578">
        <v>0</v>
      </c>
      <c r="V26" s="1460">
        <v>7.2619999999999996</v>
      </c>
      <c r="W26" s="1463">
        <v>0</v>
      </c>
      <c r="X26" s="241">
        <f t="shared" si="1"/>
        <v>73.01700000000001</v>
      </c>
      <c r="Y26" s="1766" t="s">
        <v>6342</v>
      </c>
      <c r="Z26" s="2004"/>
      <c r="AA26" s="897">
        <f t="shared" si="2"/>
        <v>0</v>
      </c>
      <c r="AB26" s="192"/>
      <c r="AC26" s="71"/>
      <c r="AD26" s="192"/>
      <c r="AE26" s="93">
        <f>IF(Validation!$H$3=1,0,IF(ISNUMBER(G26),0,1))</f>
        <v>0</v>
      </c>
      <c r="AF26" s="93">
        <f>IF(Validation!$H$3=1,0,IF(ISNUMBER(H26),0,1))</f>
        <v>0</v>
      </c>
      <c r="AG26" s="93">
        <f>IF(Validation!$H$3=1,0,IF(ISNUMBER(I26),0,1))</f>
        <v>0</v>
      </c>
      <c r="AH26" s="93">
        <f>IF(Validation!$H$3=1,0,IF(ISNUMBER(J26),0,1))</f>
        <v>0</v>
      </c>
      <c r="AI26" s="93">
        <f>IF(Validation!$H$3=1,0,IF(ISNUMBER(K26),0,1))</f>
        <v>0</v>
      </c>
      <c r="AJ26" s="93">
        <f>IF(Validation!$H$3=1,0,IF(ISNUMBER(L26),0,1))</f>
        <v>0</v>
      </c>
      <c r="AK26" s="93">
        <f>IF(Validation!$H$3=1,0,IF(ISNUMBER(M26),0,1))</f>
        <v>0</v>
      </c>
      <c r="AL26" s="93">
        <f>IF(Validation!$H$3=1,0,IF(ISNUMBER(N26),0,1))</f>
        <v>0</v>
      </c>
      <c r="AM26" s="127"/>
      <c r="AN26" s="93">
        <f>IF(Validation!$H$3=1,0,IF(ISNUMBER(P26),0,1))</f>
        <v>0</v>
      </c>
      <c r="AO26" s="93">
        <f>IF(Validation!$H$3=1,0,IF(ISNUMBER(Q26),0,1))</f>
        <v>0</v>
      </c>
      <c r="AP26" s="93">
        <f>IF(Validation!$H$3=1,0,IF(ISNUMBER(R26),0,1))</f>
        <v>0</v>
      </c>
      <c r="AQ26" s="93">
        <f>IF(Validation!$H$3=1,0,IF(ISNUMBER(S26),0,1))</f>
        <v>0</v>
      </c>
      <c r="AR26" s="93">
        <f>IF(Validation!$H$3=1,0,IF(ISNUMBER(T26),0,1))</f>
        <v>0</v>
      </c>
      <c r="AS26" s="93">
        <f>IF(Validation!$H$3=1,0,IF(ISNUMBER(U26),0,1))</f>
        <v>0</v>
      </c>
      <c r="AT26" s="93">
        <f>IF(Validation!$H$3=1,0,IF(ISNUMBER(V26),0,1))</f>
        <v>0</v>
      </c>
      <c r="AU26" s="93">
        <f>IF(Validation!$H$3=1,0,IF(ISNUMBER(W26),0,1))</f>
        <v>0</v>
      </c>
      <c r="AV26" s="71"/>
      <c r="AW26" s="2004"/>
      <c r="AY26" s="2004"/>
      <c r="AZ26" s="2004"/>
      <c r="BA26" s="2004"/>
      <c r="BC26" s="2004"/>
      <c r="BD26" s="1006" t="s">
        <v>6340</v>
      </c>
      <c r="BE26" s="2819" t="s">
        <v>6341</v>
      </c>
      <c r="BF26" s="2819"/>
      <c r="BG26" s="2003" t="s">
        <v>51</v>
      </c>
      <c r="BH26" s="1007">
        <v>3</v>
      </c>
      <c r="BI26" s="2850" t="s">
        <v>6343</v>
      </c>
      <c r="BJ26" s="2851" t="s">
        <v>6344</v>
      </c>
      <c r="BK26" s="2852" t="s">
        <v>6345</v>
      </c>
      <c r="BL26" s="2853" t="s">
        <v>6346</v>
      </c>
      <c r="BM26" s="2851" t="s">
        <v>6347</v>
      </c>
      <c r="BN26" s="2851" t="s">
        <v>6348</v>
      </c>
      <c r="BO26" s="2854" t="s">
        <v>6349</v>
      </c>
      <c r="BP26" s="2852" t="s">
        <v>6350</v>
      </c>
      <c r="BQ26" s="2095" t="s">
        <v>6351</v>
      </c>
      <c r="BR26" s="2855" t="s">
        <v>6352</v>
      </c>
      <c r="BS26" s="2851" t="s">
        <v>6353</v>
      </c>
      <c r="BT26" s="2852" t="s">
        <v>6354</v>
      </c>
      <c r="BU26" s="2853" t="s">
        <v>6355</v>
      </c>
      <c r="BV26" s="2851" t="s">
        <v>6356</v>
      </c>
      <c r="BW26" s="2851" t="s">
        <v>6357</v>
      </c>
      <c r="BX26" s="2854" t="s">
        <v>6358</v>
      </c>
      <c r="BY26" s="2852" t="s">
        <v>6359</v>
      </c>
      <c r="BZ26" s="2095" t="s">
        <v>6360</v>
      </c>
    </row>
    <row r="27" spans="1:78" ht="15.75">
      <c r="A27" s="995"/>
      <c r="B27" s="1006" t="s">
        <v>6361</v>
      </c>
      <c r="C27" s="1010" t="s">
        <v>6362</v>
      </c>
      <c r="D27" s="1010"/>
      <c r="E27" s="2003" t="s">
        <v>51</v>
      </c>
      <c r="F27" s="1007">
        <v>3</v>
      </c>
      <c r="G27" s="1090">
        <v>0</v>
      </c>
      <c r="H27" s="1457">
        <v>0</v>
      </c>
      <c r="I27" s="1463">
        <v>0</v>
      </c>
      <c r="J27" s="1063">
        <v>0</v>
      </c>
      <c r="K27" s="1463">
        <v>0</v>
      </c>
      <c r="L27" s="1578">
        <v>0</v>
      </c>
      <c r="M27" s="1460">
        <v>0</v>
      </c>
      <c r="N27" s="1463">
        <v>0</v>
      </c>
      <c r="O27" s="241">
        <f t="shared" si="0"/>
        <v>0</v>
      </c>
      <c r="P27" s="1090">
        <v>0</v>
      </c>
      <c r="Q27" s="1457">
        <v>0</v>
      </c>
      <c r="R27" s="1463">
        <v>0</v>
      </c>
      <c r="S27" s="1063">
        <v>0</v>
      </c>
      <c r="T27" s="1463">
        <v>0</v>
      </c>
      <c r="U27" s="1578">
        <v>0</v>
      </c>
      <c r="V27" s="1460">
        <v>0</v>
      </c>
      <c r="W27" s="1463">
        <v>0</v>
      </c>
      <c r="X27" s="241">
        <f t="shared" si="1"/>
        <v>0</v>
      </c>
      <c r="Y27" s="1766"/>
      <c r="Z27" s="2004"/>
      <c r="AA27" s="897">
        <f t="shared" si="2"/>
        <v>0</v>
      </c>
      <c r="AB27" s="192"/>
      <c r="AC27" s="71"/>
      <c r="AD27" s="192"/>
      <c r="AE27" s="93">
        <f>IF(Validation!$H$3=1,0,IF(ISNUMBER(G27),0,1))</f>
        <v>0</v>
      </c>
      <c r="AF27" s="93">
        <f>IF(Validation!$H$3=1,0,IF(ISNUMBER(H27),0,1))</f>
        <v>0</v>
      </c>
      <c r="AG27" s="93">
        <f>IF(Validation!$H$3=1,0,IF(ISNUMBER(I27),0,1))</f>
        <v>0</v>
      </c>
      <c r="AH27" s="93">
        <f>IF(Validation!$H$3=1,0,IF(ISNUMBER(J27),0,1))</f>
        <v>0</v>
      </c>
      <c r="AI27" s="93">
        <f>IF(Validation!$H$3=1,0,IF(ISNUMBER(K27),0,1))</f>
        <v>0</v>
      </c>
      <c r="AJ27" s="93">
        <f>IF(Validation!$H$3=1,0,IF(ISNUMBER(L27),0,1))</f>
        <v>0</v>
      </c>
      <c r="AK27" s="93">
        <f>IF(Validation!$H$3=1,0,IF(ISNUMBER(M27),0,1))</f>
        <v>0</v>
      </c>
      <c r="AL27" s="93">
        <f>IF(Validation!$H$3=1,0,IF(ISNUMBER(N27),0,1))</f>
        <v>0</v>
      </c>
      <c r="AM27" s="127"/>
      <c r="AN27" s="93">
        <f>IF(Validation!$H$3=1,0,IF(ISNUMBER(P27),0,1))</f>
        <v>0</v>
      </c>
      <c r="AO27" s="93">
        <f>IF(Validation!$H$3=1,0,IF(ISNUMBER(Q27),0,1))</f>
        <v>0</v>
      </c>
      <c r="AP27" s="93">
        <f>IF(Validation!$H$3=1,0,IF(ISNUMBER(R27),0,1))</f>
        <v>0</v>
      </c>
      <c r="AQ27" s="93">
        <f>IF(Validation!$H$3=1,0,IF(ISNUMBER(S27),0,1))</f>
        <v>0</v>
      </c>
      <c r="AR27" s="93">
        <f>IF(Validation!$H$3=1,0,IF(ISNUMBER(T27),0,1))</f>
        <v>0</v>
      </c>
      <c r="AS27" s="93">
        <f>IF(Validation!$H$3=1,0,IF(ISNUMBER(U27),0,1))</f>
        <v>0</v>
      </c>
      <c r="AT27" s="93">
        <f>IF(Validation!$H$3=1,0,IF(ISNUMBER(V27),0,1))</f>
        <v>0</v>
      </c>
      <c r="AU27" s="93">
        <f>IF(Validation!$H$3=1,0,IF(ISNUMBER(W27),0,1))</f>
        <v>0</v>
      </c>
      <c r="AV27" s="71"/>
      <c r="AW27" s="2004"/>
      <c r="AY27" s="2004"/>
      <c r="AZ27" s="2004"/>
      <c r="BA27" s="2004"/>
      <c r="BC27" s="2004"/>
      <c r="BD27" s="1006" t="s">
        <v>6361</v>
      </c>
      <c r="BE27" s="2819" t="s">
        <v>6362</v>
      </c>
      <c r="BF27" s="2819"/>
      <c r="BG27" s="2003" t="s">
        <v>51</v>
      </c>
      <c r="BH27" s="1007">
        <v>3</v>
      </c>
      <c r="BI27" s="2850" t="s">
        <v>6363</v>
      </c>
      <c r="BJ27" s="2851" t="s">
        <v>6364</v>
      </c>
      <c r="BK27" s="2852" t="s">
        <v>6365</v>
      </c>
      <c r="BL27" s="2853" t="s">
        <v>6366</v>
      </c>
      <c r="BM27" s="2851" t="s">
        <v>6367</v>
      </c>
      <c r="BN27" s="2851" t="s">
        <v>6368</v>
      </c>
      <c r="BO27" s="2854" t="s">
        <v>6369</v>
      </c>
      <c r="BP27" s="2852" t="s">
        <v>6370</v>
      </c>
      <c r="BQ27" s="2095" t="s">
        <v>6371</v>
      </c>
      <c r="BR27" s="2855" t="s">
        <v>6372</v>
      </c>
      <c r="BS27" s="2851" t="s">
        <v>6373</v>
      </c>
      <c r="BT27" s="2852" t="s">
        <v>6374</v>
      </c>
      <c r="BU27" s="2853" t="s">
        <v>6375</v>
      </c>
      <c r="BV27" s="2851" t="s">
        <v>6376</v>
      </c>
      <c r="BW27" s="2851" t="s">
        <v>6377</v>
      </c>
      <c r="BX27" s="2854" t="s">
        <v>6378</v>
      </c>
      <c r="BY27" s="2852" t="s">
        <v>6379</v>
      </c>
      <c r="BZ27" s="2095" t="s">
        <v>6380</v>
      </c>
    </row>
    <row r="28" spans="1:78" ht="15.75">
      <c r="A28" s="995"/>
      <c r="B28" s="1006" t="s">
        <v>6381</v>
      </c>
      <c r="C28" s="1010" t="s">
        <v>6382</v>
      </c>
      <c r="D28" s="1010"/>
      <c r="E28" s="2003" t="s">
        <v>51</v>
      </c>
      <c r="F28" s="1007">
        <v>3</v>
      </c>
      <c r="G28" s="1090">
        <v>0</v>
      </c>
      <c r="H28" s="1457">
        <v>0</v>
      </c>
      <c r="I28" s="1463">
        <v>0</v>
      </c>
      <c r="J28" s="1063">
        <v>0</v>
      </c>
      <c r="K28" s="1463">
        <v>0</v>
      </c>
      <c r="L28" s="1578">
        <v>0</v>
      </c>
      <c r="M28" s="1460">
        <v>0</v>
      </c>
      <c r="N28" s="1463">
        <v>0</v>
      </c>
      <c r="O28" s="241">
        <f t="shared" si="0"/>
        <v>0</v>
      </c>
      <c r="P28" s="1090">
        <v>0</v>
      </c>
      <c r="Q28" s="1457">
        <v>0</v>
      </c>
      <c r="R28" s="1463">
        <v>0</v>
      </c>
      <c r="S28" s="1063">
        <v>0</v>
      </c>
      <c r="T28" s="1463">
        <v>0</v>
      </c>
      <c r="U28" s="1578">
        <v>0</v>
      </c>
      <c r="V28" s="1460">
        <v>0</v>
      </c>
      <c r="W28" s="1463">
        <v>0</v>
      </c>
      <c r="X28" s="241">
        <f t="shared" si="1"/>
        <v>0</v>
      </c>
      <c r="Y28" s="1766"/>
      <c r="Z28" s="2004"/>
      <c r="AA28" s="897">
        <f t="shared" si="2"/>
        <v>0</v>
      </c>
      <c r="AB28" s="192"/>
      <c r="AC28" s="71"/>
      <c r="AD28" s="192"/>
      <c r="AE28" s="93">
        <f>IF(Validation!$H$3=1,0,IF(ISNUMBER(G28),0,1))</f>
        <v>0</v>
      </c>
      <c r="AF28" s="93">
        <f>IF(Validation!$H$3=1,0,IF(ISNUMBER(H28),0,1))</f>
        <v>0</v>
      </c>
      <c r="AG28" s="93">
        <f>IF(Validation!$H$3=1,0,IF(ISNUMBER(I28),0,1))</f>
        <v>0</v>
      </c>
      <c r="AH28" s="93">
        <f>IF(Validation!$H$3=1,0,IF(ISNUMBER(J28),0,1))</f>
        <v>0</v>
      </c>
      <c r="AI28" s="93">
        <f>IF(Validation!$H$3=1,0,IF(ISNUMBER(K28),0,1))</f>
        <v>0</v>
      </c>
      <c r="AJ28" s="93">
        <f>IF(Validation!$H$3=1,0,IF(ISNUMBER(L28),0,1))</f>
        <v>0</v>
      </c>
      <c r="AK28" s="93">
        <f>IF(Validation!$H$3=1,0,IF(ISNUMBER(M28),0,1))</f>
        <v>0</v>
      </c>
      <c r="AL28" s="93">
        <f>IF(Validation!$H$3=1,0,IF(ISNUMBER(N28),0,1))</f>
        <v>0</v>
      </c>
      <c r="AM28" s="127"/>
      <c r="AN28" s="93">
        <f>IF(Validation!$H$3=1,0,IF(ISNUMBER(P28),0,1))</f>
        <v>0</v>
      </c>
      <c r="AO28" s="93">
        <f>IF(Validation!$H$3=1,0,IF(ISNUMBER(Q28),0,1))</f>
        <v>0</v>
      </c>
      <c r="AP28" s="93">
        <f>IF(Validation!$H$3=1,0,IF(ISNUMBER(R28),0,1))</f>
        <v>0</v>
      </c>
      <c r="AQ28" s="93">
        <f>IF(Validation!$H$3=1,0,IF(ISNUMBER(S28),0,1))</f>
        <v>0</v>
      </c>
      <c r="AR28" s="93">
        <f>IF(Validation!$H$3=1,0,IF(ISNUMBER(T28),0,1))</f>
        <v>0</v>
      </c>
      <c r="AS28" s="93">
        <f>IF(Validation!$H$3=1,0,IF(ISNUMBER(U28),0,1))</f>
        <v>0</v>
      </c>
      <c r="AT28" s="93">
        <f>IF(Validation!$H$3=1,0,IF(ISNUMBER(V28),0,1))</f>
        <v>0</v>
      </c>
      <c r="AU28" s="93">
        <f>IF(Validation!$H$3=1,0,IF(ISNUMBER(W28),0,1))</f>
        <v>0</v>
      </c>
      <c r="AV28" s="71"/>
      <c r="AW28" s="2004"/>
      <c r="AY28" s="2004"/>
      <c r="AZ28" s="2004"/>
      <c r="BA28" s="2004"/>
      <c r="BC28" s="2004"/>
      <c r="BD28" s="1006" t="s">
        <v>6381</v>
      </c>
      <c r="BE28" s="2819" t="s">
        <v>6382</v>
      </c>
      <c r="BF28" s="2819"/>
      <c r="BG28" s="2003" t="s">
        <v>51</v>
      </c>
      <c r="BH28" s="1007">
        <v>3</v>
      </c>
      <c r="BI28" s="2850" t="s">
        <v>6383</v>
      </c>
      <c r="BJ28" s="2851" t="s">
        <v>6384</v>
      </c>
      <c r="BK28" s="2852" t="s">
        <v>6385</v>
      </c>
      <c r="BL28" s="2853" t="s">
        <v>6386</v>
      </c>
      <c r="BM28" s="2851" t="s">
        <v>6387</v>
      </c>
      <c r="BN28" s="2851" t="s">
        <v>6388</v>
      </c>
      <c r="BO28" s="2854" t="s">
        <v>6389</v>
      </c>
      <c r="BP28" s="2852" t="s">
        <v>6390</v>
      </c>
      <c r="BQ28" s="2095" t="s">
        <v>6391</v>
      </c>
      <c r="BR28" s="2855" t="s">
        <v>6392</v>
      </c>
      <c r="BS28" s="2851" t="s">
        <v>6393</v>
      </c>
      <c r="BT28" s="2852" t="s">
        <v>6394</v>
      </c>
      <c r="BU28" s="2853" t="s">
        <v>6395</v>
      </c>
      <c r="BV28" s="2851" t="s">
        <v>6396</v>
      </c>
      <c r="BW28" s="2851" t="s">
        <v>6397</v>
      </c>
      <c r="BX28" s="2854" t="s">
        <v>6398</v>
      </c>
      <c r="BY28" s="2852" t="s">
        <v>6399</v>
      </c>
      <c r="BZ28" s="2095" t="s">
        <v>6400</v>
      </c>
    </row>
    <row r="29" spans="1:78" ht="15.75">
      <c r="A29" s="995"/>
      <c r="B29" s="1006" t="s">
        <v>6401</v>
      </c>
      <c r="C29" s="1010" t="s">
        <v>6402</v>
      </c>
      <c r="D29" s="1010"/>
      <c r="E29" s="2003" t="s">
        <v>51</v>
      </c>
      <c r="F29" s="1007">
        <v>3</v>
      </c>
      <c r="G29" s="1090">
        <v>0</v>
      </c>
      <c r="H29" s="1457">
        <v>0</v>
      </c>
      <c r="I29" s="1463">
        <v>0</v>
      </c>
      <c r="J29" s="1063">
        <v>0</v>
      </c>
      <c r="K29" s="1463">
        <v>0</v>
      </c>
      <c r="L29" s="1578">
        <v>0</v>
      </c>
      <c r="M29" s="1460">
        <v>0</v>
      </c>
      <c r="N29" s="1463">
        <v>0</v>
      </c>
      <c r="O29" s="241">
        <f t="shared" si="0"/>
        <v>0</v>
      </c>
      <c r="P29" s="1090">
        <v>0</v>
      </c>
      <c r="Q29" s="1457">
        <v>0</v>
      </c>
      <c r="R29" s="1463">
        <v>0</v>
      </c>
      <c r="S29" s="1063">
        <v>0</v>
      </c>
      <c r="T29" s="1463">
        <v>0</v>
      </c>
      <c r="U29" s="1578">
        <v>0</v>
      </c>
      <c r="V29" s="1460">
        <v>0</v>
      </c>
      <c r="W29" s="1463">
        <v>0</v>
      </c>
      <c r="X29" s="241">
        <f t="shared" si="1"/>
        <v>0</v>
      </c>
      <c r="Y29" s="1766"/>
      <c r="Z29" s="2004"/>
      <c r="AA29" s="897">
        <f t="shared" si="2"/>
        <v>0</v>
      </c>
      <c r="AB29" s="192"/>
      <c r="AC29" s="71"/>
      <c r="AD29" s="192"/>
      <c r="AE29" s="93">
        <f>IF(Validation!$H$3=1,0,IF(ISNUMBER(G29),0,1))</f>
        <v>0</v>
      </c>
      <c r="AF29" s="93">
        <f>IF(Validation!$H$3=1,0,IF(ISNUMBER(H29),0,1))</f>
        <v>0</v>
      </c>
      <c r="AG29" s="93">
        <f>IF(Validation!$H$3=1,0,IF(ISNUMBER(I29),0,1))</f>
        <v>0</v>
      </c>
      <c r="AH29" s="93">
        <f>IF(Validation!$H$3=1,0,IF(ISNUMBER(J29),0,1))</f>
        <v>0</v>
      </c>
      <c r="AI29" s="93">
        <f>IF(Validation!$H$3=1,0,IF(ISNUMBER(K29),0,1))</f>
        <v>0</v>
      </c>
      <c r="AJ29" s="93">
        <f>IF(Validation!$H$3=1,0,IF(ISNUMBER(L29),0,1))</f>
        <v>0</v>
      </c>
      <c r="AK29" s="93">
        <f>IF(Validation!$H$3=1,0,IF(ISNUMBER(M29),0,1))</f>
        <v>0</v>
      </c>
      <c r="AL29" s="93">
        <f>IF(Validation!$H$3=1,0,IF(ISNUMBER(N29),0,1))</f>
        <v>0</v>
      </c>
      <c r="AM29" s="127"/>
      <c r="AN29" s="93">
        <f>IF(Validation!$H$3=1,0,IF(ISNUMBER(P29),0,1))</f>
        <v>0</v>
      </c>
      <c r="AO29" s="93">
        <f>IF(Validation!$H$3=1,0,IF(ISNUMBER(Q29),0,1))</f>
        <v>0</v>
      </c>
      <c r="AP29" s="93">
        <f>IF(Validation!$H$3=1,0,IF(ISNUMBER(R29),0,1))</f>
        <v>0</v>
      </c>
      <c r="AQ29" s="93">
        <f>IF(Validation!$H$3=1,0,IF(ISNUMBER(S29),0,1))</f>
        <v>0</v>
      </c>
      <c r="AR29" s="93">
        <f>IF(Validation!$H$3=1,0,IF(ISNUMBER(T29),0,1))</f>
        <v>0</v>
      </c>
      <c r="AS29" s="93">
        <f>IF(Validation!$H$3=1,0,IF(ISNUMBER(U29),0,1))</f>
        <v>0</v>
      </c>
      <c r="AT29" s="93">
        <f>IF(Validation!$H$3=1,0,IF(ISNUMBER(V29),0,1))</f>
        <v>0</v>
      </c>
      <c r="AU29" s="93">
        <f>IF(Validation!$H$3=1,0,IF(ISNUMBER(W29),0,1))</f>
        <v>0</v>
      </c>
      <c r="AV29" s="71"/>
      <c r="AW29" s="2004"/>
      <c r="AY29" s="2004"/>
      <c r="AZ29" s="2004"/>
      <c r="BA29" s="2004"/>
      <c r="BC29" s="2004"/>
      <c r="BD29" s="1006" t="s">
        <v>6401</v>
      </c>
      <c r="BE29" s="2819" t="s">
        <v>6402</v>
      </c>
      <c r="BF29" s="2819"/>
      <c r="BG29" s="2003" t="s">
        <v>51</v>
      </c>
      <c r="BH29" s="1007">
        <v>3</v>
      </c>
      <c r="BI29" s="2850" t="s">
        <v>6403</v>
      </c>
      <c r="BJ29" s="2851" t="s">
        <v>6404</v>
      </c>
      <c r="BK29" s="2852" t="s">
        <v>6405</v>
      </c>
      <c r="BL29" s="2853" t="s">
        <v>6406</v>
      </c>
      <c r="BM29" s="2851" t="s">
        <v>6407</v>
      </c>
      <c r="BN29" s="2851" t="s">
        <v>6408</v>
      </c>
      <c r="BO29" s="2854" t="s">
        <v>6409</v>
      </c>
      <c r="BP29" s="2852" t="s">
        <v>6410</v>
      </c>
      <c r="BQ29" s="2095" t="s">
        <v>6411</v>
      </c>
      <c r="BR29" s="2855" t="s">
        <v>6412</v>
      </c>
      <c r="BS29" s="2851" t="s">
        <v>6413</v>
      </c>
      <c r="BT29" s="2852" t="s">
        <v>6414</v>
      </c>
      <c r="BU29" s="2853" t="s">
        <v>6415</v>
      </c>
      <c r="BV29" s="2851" t="s">
        <v>6416</v>
      </c>
      <c r="BW29" s="2851" t="s">
        <v>6417</v>
      </c>
      <c r="BX29" s="2854" t="s">
        <v>6418</v>
      </c>
      <c r="BY29" s="2852" t="s">
        <v>6419</v>
      </c>
      <c r="BZ29" s="2095" t="s">
        <v>6420</v>
      </c>
    </row>
    <row r="30" spans="1:78" ht="15.75">
      <c r="A30" s="995"/>
      <c r="B30" s="1006" t="s">
        <v>6421</v>
      </c>
      <c r="C30" s="1010" t="s">
        <v>6422</v>
      </c>
      <c r="D30" s="1010"/>
      <c r="E30" s="2003" t="s">
        <v>51</v>
      </c>
      <c r="F30" s="1007">
        <v>3</v>
      </c>
      <c r="G30" s="1090">
        <v>0</v>
      </c>
      <c r="H30" s="1457">
        <v>0</v>
      </c>
      <c r="I30" s="1463">
        <v>0</v>
      </c>
      <c r="J30" s="1063">
        <v>0</v>
      </c>
      <c r="K30" s="1463">
        <v>0</v>
      </c>
      <c r="L30" s="1578">
        <v>0</v>
      </c>
      <c r="M30" s="1460">
        <v>0</v>
      </c>
      <c r="N30" s="1463">
        <v>0</v>
      </c>
      <c r="O30" s="241">
        <f t="shared" si="0"/>
        <v>0</v>
      </c>
      <c r="P30" s="1090">
        <v>0</v>
      </c>
      <c r="Q30" s="1457">
        <v>0</v>
      </c>
      <c r="R30" s="1463">
        <v>0</v>
      </c>
      <c r="S30" s="1063">
        <v>0</v>
      </c>
      <c r="T30" s="1463">
        <v>0</v>
      </c>
      <c r="U30" s="1578">
        <v>0</v>
      </c>
      <c r="V30" s="1460">
        <v>0</v>
      </c>
      <c r="W30" s="1463">
        <v>0</v>
      </c>
      <c r="X30" s="241">
        <f t="shared" si="1"/>
        <v>0</v>
      </c>
      <c r="Y30" s="1766"/>
      <c r="Z30" s="2004"/>
      <c r="AA30" s="897">
        <f t="shared" si="2"/>
        <v>0</v>
      </c>
      <c r="AB30" s="192"/>
      <c r="AC30" s="71"/>
      <c r="AD30" s="192"/>
      <c r="AE30" s="93">
        <f>IF(Validation!$H$3=1,0,IF(ISNUMBER(G30),0,1))</f>
        <v>0</v>
      </c>
      <c r="AF30" s="93">
        <f>IF(Validation!$H$3=1,0,IF(ISNUMBER(H30),0,1))</f>
        <v>0</v>
      </c>
      <c r="AG30" s="93">
        <f>IF(Validation!$H$3=1,0,IF(ISNUMBER(I30),0,1))</f>
        <v>0</v>
      </c>
      <c r="AH30" s="93">
        <f>IF(Validation!$H$3=1,0,IF(ISNUMBER(J30),0,1))</f>
        <v>0</v>
      </c>
      <c r="AI30" s="93">
        <f>IF(Validation!$H$3=1,0,IF(ISNUMBER(K30),0,1))</f>
        <v>0</v>
      </c>
      <c r="AJ30" s="93">
        <f>IF(Validation!$H$3=1,0,IF(ISNUMBER(L30),0,1))</f>
        <v>0</v>
      </c>
      <c r="AK30" s="93">
        <f>IF(Validation!$H$3=1,0,IF(ISNUMBER(M30),0,1))</f>
        <v>0</v>
      </c>
      <c r="AL30" s="93">
        <f>IF(Validation!$H$3=1,0,IF(ISNUMBER(N30),0,1))</f>
        <v>0</v>
      </c>
      <c r="AM30" s="127"/>
      <c r="AN30" s="93">
        <f>IF(Validation!$H$3=1,0,IF(ISNUMBER(P30),0,1))</f>
        <v>0</v>
      </c>
      <c r="AO30" s="93">
        <f>IF(Validation!$H$3=1,0,IF(ISNUMBER(Q30),0,1))</f>
        <v>0</v>
      </c>
      <c r="AP30" s="93">
        <f>IF(Validation!$H$3=1,0,IF(ISNUMBER(R30),0,1))</f>
        <v>0</v>
      </c>
      <c r="AQ30" s="93">
        <f>IF(Validation!$H$3=1,0,IF(ISNUMBER(S30),0,1))</f>
        <v>0</v>
      </c>
      <c r="AR30" s="93">
        <f>IF(Validation!$H$3=1,0,IF(ISNUMBER(T30),0,1))</f>
        <v>0</v>
      </c>
      <c r="AS30" s="93">
        <f>IF(Validation!$H$3=1,0,IF(ISNUMBER(U30),0,1))</f>
        <v>0</v>
      </c>
      <c r="AT30" s="93">
        <f>IF(Validation!$H$3=1,0,IF(ISNUMBER(V30),0,1))</f>
        <v>0</v>
      </c>
      <c r="AU30" s="93">
        <f>IF(Validation!$H$3=1,0,IF(ISNUMBER(W30),0,1))</f>
        <v>0</v>
      </c>
      <c r="AV30" s="71"/>
      <c r="AW30" s="2004"/>
      <c r="AY30" s="2004"/>
      <c r="AZ30" s="2004"/>
      <c r="BA30" s="2004"/>
      <c r="BC30" s="2004"/>
      <c r="BD30" s="1006" t="s">
        <v>6421</v>
      </c>
      <c r="BE30" s="2819" t="s">
        <v>6422</v>
      </c>
      <c r="BF30" s="2819"/>
      <c r="BG30" s="2003" t="s">
        <v>51</v>
      </c>
      <c r="BH30" s="1007">
        <v>3</v>
      </c>
      <c r="BI30" s="2850" t="s">
        <v>6423</v>
      </c>
      <c r="BJ30" s="2851" t="s">
        <v>6424</v>
      </c>
      <c r="BK30" s="2852" t="s">
        <v>6425</v>
      </c>
      <c r="BL30" s="2853" t="s">
        <v>6426</v>
      </c>
      <c r="BM30" s="2851" t="s">
        <v>6427</v>
      </c>
      <c r="BN30" s="2851" t="s">
        <v>6428</v>
      </c>
      <c r="BO30" s="2854" t="s">
        <v>6429</v>
      </c>
      <c r="BP30" s="2852" t="s">
        <v>6430</v>
      </c>
      <c r="BQ30" s="2095" t="s">
        <v>6431</v>
      </c>
      <c r="BR30" s="2855" t="s">
        <v>6432</v>
      </c>
      <c r="BS30" s="2851" t="s">
        <v>6433</v>
      </c>
      <c r="BT30" s="2852" t="s">
        <v>6434</v>
      </c>
      <c r="BU30" s="2853" t="s">
        <v>6435</v>
      </c>
      <c r="BV30" s="2851" t="s">
        <v>6436</v>
      </c>
      <c r="BW30" s="2851" t="s">
        <v>6437</v>
      </c>
      <c r="BX30" s="2854" t="s">
        <v>6438</v>
      </c>
      <c r="BY30" s="2852" t="s">
        <v>6439</v>
      </c>
      <c r="BZ30" s="2095" t="s">
        <v>6440</v>
      </c>
    </row>
    <row r="31" spans="1:78" ht="229.5">
      <c r="A31" s="995"/>
      <c r="B31" s="1006" t="s">
        <v>6441</v>
      </c>
      <c r="C31" s="1010" t="s">
        <v>6442</v>
      </c>
      <c r="D31" s="1010"/>
      <c r="E31" s="2003" t="s">
        <v>51</v>
      </c>
      <c r="F31" s="1007">
        <v>3</v>
      </c>
      <c r="G31" s="1090">
        <v>1.2809999999999999</v>
      </c>
      <c r="H31" s="1457">
        <v>1.4119999999999999</v>
      </c>
      <c r="I31" s="1463">
        <v>0.59099999999999997</v>
      </c>
      <c r="J31" s="1063">
        <v>0</v>
      </c>
      <c r="K31" s="1463">
        <v>0</v>
      </c>
      <c r="L31" s="1578">
        <v>0</v>
      </c>
      <c r="M31" s="1460">
        <v>0</v>
      </c>
      <c r="N31" s="1463">
        <v>0</v>
      </c>
      <c r="O31" s="241">
        <f t="shared" si="0"/>
        <v>3.2839999999999998</v>
      </c>
      <c r="P31" s="1090">
        <v>0.48299999999999998</v>
      </c>
      <c r="Q31" s="1457">
        <v>0.53300000000000003</v>
      </c>
      <c r="R31" s="1463">
        <v>0.223</v>
      </c>
      <c r="S31" s="1063">
        <v>0</v>
      </c>
      <c r="T31" s="1463">
        <v>0</v>
      </c>
      <c r="U31" s="1578">
        <v>0</v>
      </c>
      <c r="V31" s="1460">
        <v>0</v>
      </c>
      <c r="W31" s="1463">
        <v>0</v>
      </c>
      <c r="X31" s="241">
        <f t="shared" si="1"/>
        <v>1.2390000000000001</v>
      </c>
      <c r="Y31" s="1766" t="s">
        <v>6443</v>
      </c>
      <c r="Z31" s="2004"/>
      <c r="AA31" s="897">
        <f t="shared" si="2"/>
        <v>0</v>
      </c>
      <c r="AB31" s="192"/>
      <c r="AC31" s="71"/>
      <c r="AD31" s="192"/>
      <c r="AE31" s="93">
        <f>IF(Validation!$H$3=1,0,IF(ISNUMBER(G31),0,1))</f>
        <v>0</v>
      </c>
      <c r="AF31" s="93">
        <f>IF(Validation!$H$3=1,0,IF(ISNUMBER(H31),0,1))</f>
        <v>0</v>
      </c>
      <c r="AG31" s="93">
        <f>IF(Validation!$H$3=1,0,IF(ISNUMBER(I31),0,1))</f>
        <v>0</v>
      </c>
      <c r="AH31" s="93">
        <f>IF(Validation!$H$3=1,0,IF(ISNUMBER(J31),0,1))</f>
        <v>0</v>
      </c>
      <c r="AI31" s="93">
        <f>IF(Validation!$H$3=1,0,IF(ISNUMBER(K31),0,1))</f>
        <v>0</v>
      </c>
      <c r="AJ31" s="93">
        <f>IF(Validation!$H$3=1,0,IF(ISNUMBER(L31),0,1))</f>
        <v>0</v>
      </c>
      <c r="AK31" s="93">
        <f>IF(Validation!$H$3=1,0,IF(ISNUMBER(M31),0,1))</f>
        <v>0</v>
      </c>
      <c r="AL31" s="93">
        <f>IF(Validation!$H$3=1,0,IF(ISNUMBER(N31),0,1))</f>
        <v>0</v>
      </c>
      <c r="AM31" s="127"/>
      <c r="AN31" s="93">
        <f>IF(Validation!$H$3=1,0,IF(ISNUMBER(P31),0,1))</f>
        <v>0</v>
      </c>
      <c r="AO31" s="93">
        <f>IF(Validation!$H$3=1,0,IF(ISNUMBER(Q31),0,1))</f>
        <v>0</v>
      </c>
      <c r="AP31" s="93">
        <f>IF(Validation!$H$3=1,0,IF(ISNUMBER(R31),0,1))</f>
        <v>0</v>
      </c>
      <c r="AQ31" s="93">
        <f>IF(Validation!$H$3=1,0,IF(ISNUMBER(S31),0,1))</f>
        <v>0</v>
      </c>
      <c r="AR31" s="93">
        <f>IF(Validation!$H$3=1,0,IF(ISNUMBER(T31),0,1))</f>
        <v>0</v>
      </c>
      <c r="AS31" s="93">
        <f>IF(Validation!$H$3=1,0,IF(ISNUMBER(U31),0,1))</f>
        <v>0</v>
      </c>
      <c r="AT31" s="93">
        <f>IF(Validation!$H$3=1,0,IF(ISNUMBER(V31),0,1))</f>
        <v>0</v>
      </c>
      <c r="AU31" s="93">
        <f>IF(Validation!$H$3=1,0,IF(ISNUMBER(W31),0,1))</f>
        <v>0</v>
      </c>
      <c r="AV31" s="71"/>
      <c r="AW31" s="2004"/>
      <c r="AY31" s="2004"/>
      <c r="AZ31" s="2004"/>
      <c r="BA31" s="2004"/>
      <c r="BC31" s="2004"/>
      <c r="BD31" s="1006" t="s">
        <v>6441</v>
      </c>
      <c r="BE31" s="2819" t="s">
        <v>6442</v>
      </c>
      <c r="BF31" s="2819"/>
      <c r="BG31" s="2003" t="s">
        <v>51</v>
      </c>
      <c r="BH31" s="1007">
        <v>3</v>
      </c>
      <c r="BI31" s="2850" t="s">
        <v>6444</v>
      </c>
      <c r="BJ31" s="2851" t="s">
        <v>6445</v>
      </c>
      <c r="BK31" s="2852" t="s">
        <v>6446</v>
      </c>
      <c r="BL31" s="2853" t="s">
        <v>6447</v>
      </c>
      <c r="BM31" s="2851" t="s">
        <v>6448</v>
      </c>
      <c r="BN31" s="2851" t="s">
        <v>6449</v>
      </c>
      <c r="BO31" s="2854" t="s">
        <v>6450</v>
      </c>
      <c r="BP31" s="2852" t="s">
        <v>6451</v>
      </c>
      <c r="BQ31" s="2095" t="s">
        <v>6452</v>
      </c>
      <c r="BR31" s="2855" t="s">
        <v>6453</v>
      </c>
      <c r="BS31" s="2851" t="s">
        <v>6454</v>
      </c>
      <c r="BT31" s="2852" t="s">
        <v>6455</v>
      </c>
      <c r="BU31" s="2853" t="s">
        <v>6456</v>
      </c>
      <c r="BV31" s="2851" t="s">
        <v>6457</v>
      </c>
      <c r="BW31" s="2851" t="s">
        <v>6458</v>
      </c>
      <c r="BX31" s="2854" t="s">
        <v>6459</v>
      </c>
      <c r="BY31" s="2852" t="s">
        <v>6460</v>
      </c>
      <c r="BZ31" s="2095" t="s">
        <v>6461</v>
      </c>
    </row>
    <row r="32" spans="1:78" ht="63.75">
      <c r="A32" s="995"/>
      <c r="B32" s="1006" t="s">
        <v>6462</v>
      </c>
      <c r="C32" s="1010" t="s">
        <v>6463</v>
      </c>
      <c r="D32" s="1010"/>
      <c r="E32" s="2003" t="s">
        <v>51</v>
      </c>
      <c r="F32" s="1007">
        <v>3</v>
      </c>
      <c r="G32" s="1090">
        <v>0</v>
      </c>
      <c r="H32" s="1457">
        <v>0</v>
      </c>
      <c r="I32" s="1463">
        <v>0</v>
      </c>
      <c r="J32" s="1063">
        <v>0.89700000000000002</v>
      </c>
      <c r="K32" s="1463">
        <v>0</v>
      </c>
      <c r="L32" s="1578">
        <v>0</v>
      </c>
      <c r="M32" s="1460">
        <v>0</v>
      </c>
      <c r="N32" s="1463">
        <v>0</v>
      </c>
      <c r="O32" s="241">
        <f t="shared" si="0"/>
        <v>0.89700000000000002</v>
      </c>
      <c r="P32" s="1090">
        <v>0</v>
      </c>
      <c r="Q32" s="1457">
        <v>0</v>
      </c>
      <c r="R32" s="1463">
        <v>0</v>
      </c>
      <c r="S32" s="1063">
        <v>0.57899999999999996</v>
      </c>
      <c r="T32" s="1463">
        <v>0</v>
      </c>
      <c r="U32" s="1578">
        <v>0</v>
      </c>
      <c r="V32" s="1460">
        <v>0</v>
      </c>
      <c r="W32" s="1463">
        <v>0</v>
      </c>
      <c r="X32" s="241">
        <f t="shared" si="1"/>
        <v>0.57899999999999996</v>
      </c>
      <c r="Y32" s="1766" t="s">
        <v>6464</v>
      </c>
      <c r="Z32" s="2004"/>
      <c r="AA32" s="897">
        <f t="shared" si="2"/>
        <v>0</v>
      </c>
      <c r="AB32" s="192"/>
      <c r="AC32" s="71"/>
      <c r="AD32" s="192"/>
      <c r="AE32" s="93">
        <f>IF(Validation!$H$3=1,0,IF(ISNUMBER(G32),0,1))</f>
        <v>0</v>
      </c>
      <c r="AF32" s="93">
        <f>IF(Validation!$H$3=1,0,IF(ISNUMBER(H32),0,1))</f>
        <v>0</v>
      </c>
      <c r="AG32" s="93">
        <f>IF(Validation!$H$3=1,0,IF(ISNUMBER(I32),0,1))</f>
        <v>0</v>
      </c>
      <c r="AH32" s="93">
        <f>IF(Validation!$H$3=1,0,IF(ISNUMBER(J32),0,1))</f>
        <v>0</v>
      </c>
      <c r="AI32" s="93">
        <f>IF(Validation!$H$3=1,0,IF(ISNUMBER(K32),0,1))</f>
        <v>0</v>
      </c>
      <c r="AJ32" s="93">
        <f>IF(Validation!$H$3=1,0,IF(ISNUMBER(L32),0,1))</f>
        <v>0</v>
      </c>
      <c r="AK32" s="93">
        <f>IF(Validation!$H$3=1,0,IF(ISNUMBER(M32),0,1))</f>
        <v>0</v>
      </c>
      <c r="AL32" s="93">
        <f>IF(Validation!$H$3=1,0,IF(ISNUMBER(N32),0,1))</f>
        <v>0</v>
      </c>
      <c r="AM32" s="127"/>
      <c r="AN32" s="93">
        <f>IF(Validation!$H$3=1,0,IF(ISNUMBER(P32),0,1))</f>
        <v>0</v>
      </c>
      <c r="AO32" s="93">
        <f>IF(Validation!$H$3=1,0,IF(ISNUMBER(Q32),0,1))</f>
        <v>0</v>
      </c>
      <c r="AP32" s="93">
        <f>IF(Validation!$H$3=1,0,IF(ISNUMBER(R32),0,1))</f>
        <v>0</v>
      </c>
      <c r="AQ32" s="93">
        <f>IF(Validation!$H$3=1,0,IF(ISNUMBER(S32),0,1))</f>
        <v>0</v>
      </c>
      <c r="AR32" s="93">
        <f>IF(Validation!$H$3=1,0,IF(ISNUMBER(T32),0,1))</f>
        <v>0</v>
      </c>
      <c r="AS32" s="93">
        <f>IF(Validation!$H$3=1,0,IF(ISNUMBER(U32),0,1))</f>
        <v>0</v>
      </c>
      <c r="AT32" s="93">
        <f>IF(Validation!$H$3=1,0,IF(ISNUMBER(V32),0,1))</f>
        <v>0</v>
      </c>
      <c r="AU32" s="93">
        <f>IF(Validation!$H$3=1,0,IF(ISNUMBER(W32),0,1))</f>
        <v>0</v>
      </c>
      <c r="AV32" s="71"/>
      <c r="AW32" s="2004"/>
      <c r="AY32" s="2004"/>
      <c r="AZ32" s="2004"/>
      <c r="BA32" s="2004"/>
      <c r="BC32" s="2004"/>
      <c r="BD32" s="1006" t="s">
        <v>6462</v>
      </c>
      <c r="BE32" s="2819" t="s">
        <v>6463</v>
      </c>
      <c r="BF32" s="2819"/>
      <c r="BG32" s="2003" t="s">
        <v>51</v>
      </c>
      <c r="BH32" s="1007">
        <v>3</v>
      </c>
      <c r="BI32" s="2850" t="s">
        <v>6465</v>
      </c>
      <c r="BJ32" s="2851" t="s">
        <v>6466</v>
      </c>
      <c r="BK32" s="2852" t="s">
        <v>6467</v>
      </c>
      <c r="BL32" s="2853" t="s">
        <v>6468</v>
      </c>
      <c r="BM32" s="2851" t="s">
        <v>6469</v>
      </c>
      <c r="BN32" s="2851" t="s">
        <v>6470</v>
      </c>
      <c r="BO32" s="2854" t="s">
        <v>6471</v>
      </c>
      <c r="BP32" s="2852" t="s">
        <v>6472</v>
      </c>
      <c r="BQ32" s="2095" t="s">
        <v>6473</v>
      </c>
      <c r="BR32" s="2855" t="s">
        <v>6474</v>
      </c>
      <c r="BS32" s="2851" t="s">
        <v>6475</v>
      </c>
      <c r="BT32" s="2852" t="s">
        <v>6476</v>
      </c>
      <c r="BU32" s="2853" t="s">
        <v>6477</v>
      </c>
      <c r="BV32" s="2851" t="s">
        <v>6478</v>
      </c>
      <c r="BW32" s="2851" t="s">
        <v>6479</v>
      </c>
      <c r="BX32" s="2854" t="s">
        <v>6480</v>
      </c>
      <c r="BY32" s="2852" t="s">
        <v>6481</v>
      </c>
      <c r="BZ32" s="2095" t="s">
        <v>6482</v>
      </c>
    </row>
    <row r="33" spans="1:79" ht="15.75">
      <c r="A33" s="995"/>
      <c r="B33" s="1006" t="s">
        <v>6483</v>
      </c>
      <c r="C33" s="1010" t="s">
        <v>5533</v>
      </c>
      <c r="D33" s="1010"/>
      <c r="E33" s="2003" t="s">
        <v>51</v>
      </c>
      <c r="F33" s="1007">
        <v>3</v>
      </c>
      <c r="G33" s="1090">
        <v>0</v>
      </c>
      <c r="H33" s="1457">
        <v>0</v>
      </c>
      <c r="I33" s="1463">
        <v>0</v>
      </c>
      <c r="J33" s="1063">
        <v>0</v>
      </c>
      <c r="K33" s="1463">
        <v>0</v>
      </c>
      <c r="L33" s="1578">
        <v>0</v>
      </c>
      <c r="M33" s="1460">
        <v>0</v>
      </c>
      <c r="N33" s="1463">
        <v>0</v>
      </c>
      <c r="O33" s="241">
        <f t="shared" si="0"/>
        <v>0</v>
      </c>
      <c r="P33" s="1090">
        <v>0</v>
      </c>
      <c r="Q33" s="1457">
        <v>0</v>
      </c>
      <c r="R33" s="1463">
        <v>0</v>
      </c>
      <c r="S33" s="1063">
        <v>0</v>
      </c>
      <c r="T33" s="1463">
        <v>0</v>
      </c>
      <c r="U33" s="1578">
        <v>0</v>
      </c>
      <c r="V33" s="1460">
        <v>0</v>
      </c>
      <c r="W33" s="1463">
        <v>0</v>
      </c>
      <c r="X33" s="241">
        <f t="shared" si="1"/>
        <v>0</v>
      </c>
      <c r="Y33" s="1766"/>
      <c r="Z33" s="2004"/>
      <c r="AA33" s="897">
        <f t="shared" si="2"/>
        <v>0</v>
      </c>
      <c r="AB33" s="192"/>
      <c r="AC33" s="71"/>
      <c r="AD33" s="192"/>
      <c r="AE33" s="93">
        <f>IF(Validation!$H$3=1,0,IF(ISNUMBER(G33),0,1))</f>
        <v>0</v>
      </c>
      <c r="AF33" s="93">
        <f>IF(Validation!$H$3=1,0,IF(ISNUMBER(H33),0,1))</f>
        <v>0</v>
      </c>
      <c r="AG33" s="93">
        <f>IF(Validation!$H$3=1,0,IF(ISNUMBER(I33),0,1))</f>
        <v>0</v>
      </c>
      <c r="AH33" s="93">
        <f>IF(Validation!$H$3=1,0,IF(ISNUMBER(J33),0,1))</f>
        <v>0</v>
      </c>
      <c r="AI33" s="93">
        <f>IF(Validation!$H$3=1,0,IF(ISNUMBER(K33),0,1))</f>
        <v>0</v>
      </c>
      <c r="AJ33" s="93">
        <f>IF(Validation!$H$3=1,0,IF(ISNUMBER(L33),0,1))</f>
        <v>0</v>
      </c>
      <c r="AK33" s="93">
        <f>IF(Validation!$H$3=1,0,IF(ISNUMBER(M33),0,1))</f>
        <v>0</v>
      </c>
      <c r="AL33" s="93">
        <f>IF(Validation!$H$3=1,0,IF(ISNUMBER(N33),0,1))</f>
        <v>0</v>
      </c>
      <c r="AM33" s="127"/>
      <c r="AN33" s="93">
        <f>IF(Validation!$H$3=1,0,IF(ISNUMBER(P33),0,1))</f>
        <v>0</v>
      </c>
      <c r="AO33" s="93">
        <f>IF(Validation!$H$3=1,0,IF(ISNUMBER(Q33),0,1))</f>
        <v>0</v>
      </c>
      <c r="AP33" s="93">
        <f>IF(Validation!$H$3=1,0,IF(ISNUMBER(R33),0,1))</f>
        <v>0</v>
      </c>
      <c r="AQ33" s="93">
        <f>IF(Validation!$H$3=1,0,IF(ISNUMBER(S33),0,1))</f>
        <v>0</v>
      </c>
      <c r="AR33" s="93">
        <f>IF(Validation!$H$3=1,0,IF(ISNUMBER(T33),0,1))</f>
        <v>0</v>
      </c>
      <c r="AS33" s="93">
        <f>IF(Validation!$H$3=1,0,IF(ISNUMBER(U33),0,1))</f>
        <v>0</v>
      </c>
      <c r="AT33" s="93">
        <f>IF(Validation!$H$3=1,0,IF(ISNUMBER(V33),0,1))</f>
        <v>0</v>
      </c>
      <c r="AU33" s="93">
        <f>IF(Validation!$H$3=1,0,IF(ISNUMBER(W33),0,1))</f>
        <v>0</v>
      </c>
      <c r="AV33" s="71"/>
      <c r="AW33" s="2004"/>
      <c r="AY33" s="2004"/>
      <c r="AZ33" s="2004"/>
      <c r="BA33" s="2004"/>
      <c r="BC33" s="2004"/>
      <c r="BD33" s="1006" t="s">
        <v>6483</v>
      </c>
      <c r="BE33" s="2819" t="s">
        <v>5533</v>
      </c>
      <c r="BF33" s="2819"/>
      <c r="BG33" s="2003" t="s">
        <v>51</v>
      </c>
      <c r="BH33" s="1007">
        <v>3</v>
      </c>
      <c r="BI33" s="2850" t="s">
        <v>6484</v>
      </c>
      <c r="BJ33" s="2851" t="s">
        <v>6485</v>
      </c>
      <c r="BK33" s="2852" t="s">
        <v>6486</v>
      </c>
      <c r="BL33" s="2853" t="s">
        <v>6487</v>
      </c>
      <c r="BM33" s="2851" t="s">
        <v>6488</v>
      </c>
      <c r="BN33" s="2851" t="s">
        <v>6489</v>
      </c>
      <c r="BO33" s="2854" t="s">
        <v>6490</v>
      </c>
      <c r="BP33" s="2852" t="s">
        <v>6491</v>
      </c>
      <c r="BQ33" s="2095" t="s">
        <v>6492</v>
      </c>
      <c r="BR33" s="2855" t="s">
        <v>6493</v>
      </c>
      <c r="BS33" s="2851" t="s">
        <v>6494</v>
      </c>
      <c r="BT33" s="2852" t="s">
        <v>6495</v>
      </c>
      <c r="BU33" s="2853" t="s">
        <v>6496</v>
      </c>
      <c r="BV33" s="2851" t="s">
        <v>6497</v>
      </c>
      <c r="BW33" s="2851" t="s">
        <v>6498</v>
      </c>
      <c r="BX33" s="2854" t="s">
        <v>6499</v>
      </c>
      <c r="BY33" s="2852" t="s">
        <v>6500</v>
      </c>
      <c r="BZ33" s="2095" t="s">
        <v>6501</v>
      </c>
      <c r="CA33" s="2004"/>
    </row>
    <row r="34" spans="1:79" ht="242.25">
      <c r="A34" s="995"/>
      <c r="B34" s="1006" t="s">
        <v>6502</v>
      </c>
      <c r="C34" s="1010" t="s">
        <v>5549</v>
      </c>
      <c r="D34" s="1010"/>
      <c r="E34" s="2003" t="s">
        <v>51</v>
      </c>
      <c r="F34" s="1007">
        <v>3</v>
      </c>
      <c r="G34" s="1090">
        <v>0.314</v>
      </c>
      <c r="H34" s="1457">
        <v>0.29199999999999998</v>
      </c>
      <c r="I34" s="1463">
        <v>0.23599999999999999</v>
      </c>
      <c r="J34" s="1063">
        <v>0.60499999999999998</v>
      </c>
      <c r="K34" s="1463">
        <v>1.0999999999999999E-2</v>
      </c>
      <c r="L34" s="1578">
        <v>2.7E-2</v>
      </c>
      <c r="M34" s="1460">
        <v>0.17899999999999999</v>
      </c>
      <c r="N34" s="1463">
        <v>5.0000000000000001E-3</v>
      </c>
      <c r="O34" s="241">
        <f t="shared" si="0"/>
        <v>1.6689999999999998</v>
      </c>
      <c r="P34" s="1090">
        <v>0.93200000000000005</v>
      </c>
      <c r="Q34" s="1457">
        <v>0.86599999999999999</v>
      </c>
      <c r="R34" s="1463">
        <v>0.7</v>
      </c>
      <c r="S34" s="1063">
        <v>1.792</v>
      </c>
      <c r="T34" s="1463">
        <v>3.3000000000000002E-2</v>
      </c>
      <c r="U34" s="1578">
        <v>8.1000000000000003E-2</v>
      </c>
      <c r="V34" s="1460">
        <v>0.53100000000000003</v>
      </c>
      <c r="W34" s="1463">
        <v>1.4E-2</v>
      </c>
      <c r="X34" s="241">
        <f t="shared" si="1"/>
        <v>4.9490000000000007</v>
      </c>
      <c r="Y34" s="1766" t="s">
        <v>6503</v>
      </c>
      <c r="Z34" s="2004"/>
      <c r="AA34" s="897">
        <f t="shared" si="2"/>
        <v>0</v>
      </c>
      <c r="AB34" s="192"/>
      <c r="AC34" s="71"/>
      <c r="AD34" s="192"/>
      <c r="AE34" s="93">
        <f>IF(Validation!$H$3=1,0,IF(ISNUMBER(G34),0,1))</f>
        <v>0</v>
      </c>
      <c r="AF34" s="93">
        <f>IF(Validation!$H$3=1,0,IF(ISNUMBER(H34),0,1))</f>
        <v>0</v>
      </c>
      <c r="AG34" s="93">
        <f>IF(Validation!$H$3=1,0,IF(ISNUMBER(I34),0,1))</f>
        <v>0</v>
      </c>
      <c r="AH34" s="93">
        <f>IF(Validation!$H$3=1,0,IF(ISNUMBER(J34),0,1))</f>
        <v>0</v>
      </c>
      <c r="AI34" s="93">
        <f>IF(Validation!$H$3=1,0,IF(ISNUMBER(K34),0,1))</f>
        <v>0</v>
      </c>
      <c r="AJ34" s="93">
        <f>IF(Validation!$H$3=1,0,IF(ISNUMBER(L34),0,1))</f>
        <v>0</v>
      </c>
      <c r="AK34" s="93">
        <f>IF(Validation!$H$3=1,0,IF(ISNUMBER(M34),0,1))</f>
        <v>0</v>
      </c>
      <c r="AL34" s="93">
        <f>IF(Validation!$H$3=1,0,IF(ISNUMBER(N34),0,1))</f>
        <v>0</v>
      </c>
      <c r="AM34" s="127"/>
      <c r="AN34" s="93">
        <f>IF(Validation!$H$3=1,0,IF(ISNUMBER(P34),0,1))</f>
        <v>0</v>
      </c>
      <c r="AO34" s="93">
        <f>IF(Validation!$H$3=1,0,IF(ISNUMBER(Q34),0,1))</f>
        <v>0</v>
      </c>
      <c r="AP34" s="93">
        <f>IF(Validation!$H$3=1,0,IF(ISNUMBER(R34),0,1))</f>
        <v>0</v>
      </c>
      <c r="AQ34" s="93">
        <f>IF(Validation!$H$3=1,0,IF(ISNUMBER(S34),0,1))</f>
        <v>0</v>
      </c>
      <c r="AR34" s="93">
        <f>IF(Validation!$H$3=1,0,IF(ISNUMBER(T34),0,1))</f>
        <v>0</v>
      </c>
      <c r="AS34" s="93">
        <f>IF(Validation!$H$3=1,0,IF(ISNUMBER(U34),0,1))</f>
        <v>0</v>
      </c>
      <c r="AT34" s="93">
        <f>IF(Validation!$H$3=1,0,IF(ISNUMBER(V34),0,1))</f>
        <v>0</v>
      </c>
      <c r="AU34" s="93">
        <f>IF(Validation!$H$3=1,0,IF(ISNUMBER(W34),0,1))</f>
        <v>0</v>
      </c>
      <c r="AV34" s="71"/>
      <c r="AW34" s="2004"/>
      <c r="AY34" s="2004"/>
      <c r="AZ34" s="2004"/>
      <c r="BA34" s="2004"/>
      <c r="BC34" s="2004"/>
      <c r="BD34" s="1006" t="s">
        <v>6502</v>
      </c>
      <c r="BE34" s="2819" t="s">
        <v>5549</v>
      </c>
      <c r="BF34" s="2819"/>
      <c r="BG34" s="2003" t="s">
        <v>51</v>
      </c>
      <c r="BH34" s="1007">
        <v>3</v>
      </c>
      <c r="BI34" s="2850" t="s">
        <v>6504</v>
      </c>
      <c r="BJ34" s="2851" t="s">
        <v>6505</v>
      </c>
      <c r="BK34" s="2852" t="s">
        <v>6506</v>
      </c>
      <c r="BL34" s="2853" t="s">
        <v>6507</v>
      </c>
      <c r="BM34" s="2851" t="s">
        <v>6508</v>
      </c>
      <c r="BN34" s="2851" t="s">
        <v>6509</v>
      </c>
      <c r="BO34" s="2854" t="s">
        <v>6510</v>
      </c>
      <c r="BP34" s="2852" t="s">
        <v>6511</v>
      </c>
      <c r="BQ34" s="2095" t="s">
        <v>6512</v>
      </c>
      <c r="BR34" s="2855" t="s">
        <v>6513</v>
      </c>
      <c r="BS34" s="2851" t="s">
        <v>6514</v>
      </c>
      <c r="BT34" s="2852" t="s">
        <v>6515</v>
      </c>
      <c r="BU34" s="2853" t="s">
        <v>6516</v>
      </c>
      <c r="BV34" s="2851" t="s">
        <v>6517</v>
      </c>
      <c r="BW34" s="2851" t="s">
        <v>6518</v>
      </c>
      <c r="BX34" s="2854" t="s">
        <v>6519</v>
      </c>
      <c r="BY34" s="2852" t="s">
        <v>6520</v>
      </c>
      <c r="BZ34" s="2095" t="s">
        <v>6521</v>
      </c>
      <c r="CA34" s="2004"/>
    </row>
    <row r="35" spans="1:79" ht="331.5">
      <c r="A35" s="995"/>
      <c r="B35" s="1006" t="s">
        <v>6522</v>
      </c>
      <c r="C35" s="1010" t="s">
        <v>6523</v>
      </c>
      <c r="D35" s="1010"/>
      <c r="E35" s="2003" t="s">
        <v>51</v>
      </c>
      <c r="F35" s="1007">
        <v>3</v>
      </c>
      <c r="G35" s="1090">
        <v>2.1349999999999998</v>
      </c>
      <c r="H35" s="1457">
        <v>2.3530000000000002</v>
      </c>
      <c r="I35" s="1463">
        <v>0.98499999999999999</v>
      </c>
      <c r="J35" s="1063">
        <v>0</v>
      </c>
      <c r="K35" s="1463">
        <v>0</v>
      </c>
      <c r="L35" s="1578">
        <v>0</v>
      </c>
      <c r="M35" s="1460">
        <v>0</v>
      </c>
      <c r="N35" s="1463">
        <v>0</v>
      </c>
      <c r="O35" s="241">
        <f t="shared" si="0"/>
        <v>5.4729999999999999</v>
      </c>
      <c r="P35" s="1090">
        <v>2.83</v>
      </c>
      <c r="Q35" s="1457">
        <v>3.12</v>
      </c>
      <c r="R35" s="1463">
        <v>1.306</v>
      </c>
      <c r="S35" s="1063">
        <v>0</v>
      </c>
      <c r="T35" s="1463">
        <v>0</v>
      </c>
      <c r="U35" s="1578">
        <v>0</v>
      </c>
      <c r="V35" s="1460">
        <v>0</v>
      </c>
      <c r="W35" s="1463">
        <v>0</v>
      </c>
      <c r="X35" s="241">
        <f t="shared" si="1"/>
        <v>7.2560000000000002</v>
      </c>
      <c r="Y35" s="1766" t="s">
        <v>6524</v>
      </c>
      <c r="Z35" s="2004"/>
      <c r="AA35" s="897">
        <f t="shared" si="2"/>
        <v>0</v>
      </c>
      <c r="AB35" s="192"/>
      <c r="AC35" s="71"/>
      <c r="AD35" s="192"/>
      <c r="AE35" s="93">
        <f>IF(Validation!$H$3=1,0,IF(ISNUMBER(G35),0,1))</f>
        <v>0</v>
      </c>
      <c r="AF35" s="93">
        <f>IF(Validation!$H$3=1,0,IF(ISNUMBER(H35),0,1))</f>
        <v>0</v>
      </c>
      <c r="AG35" s="93">
        <f>IF(Validation!$H$3=1,0,IF(ISNUMBER(I35),0,1))</f>
        <v>0</v>
      </c>
      <c r="AH35" s="93">
        <f>IF(Validation!$H$3=1,0,IF(ISNUMBER(J35),0,1))</f>
        <v>0</v>
      </c>
      <c r="AI35" s="93">
        <f>IF(Validation!$H$3=1,0,IF(ISNUMBER(K35),0,1))</f>
        <v>0</v>
      </c>
      <c r="AJ35" s="93">
        <f>IF(Validation!$H$3=1,0,IF(ISNUMBER(L35),0,1))</f>
        <v>0</v>
      </c>
      <c r="AK35" s="93">
        <f>IF(Validation!$H$3=1,0,IF(ISNUMBER(M35),0,1))</f>
        <v>0</v>
      </c>
      <c r="AL35" s="93">
        <f>IF(Validation!$H$3=1,0,IF(ISNUMBER(N35),0,1))</f>
        <v>0</v>
      </c>
      <c r="AM35" s="127"/>
      <c r="AN35" s="93">
        <f>IF(Validation!$H$3=1,0,IF(ISNUMBER(P35),0,1))</f>
        <v>0</v>
      </c>
      <c r="AO35" s="93">
        <f>IF(Validation!$H$3=1,0,IF(ISNUMBER(Q35),0,1))</f>
        <v>0</v>
      </c>
      <c r="AP35" s="93">
        <f>IF(Validation!$H$3=1,0,IF(ISNUMBER(R35),0,1))</f>
        <v>0</v>
      </c>
      <c r="AQ35" s="93">
        <f>IF(Validation!$H$3=1,0,IF(ISNUMBER(S35),0,1))</f>
        <v>0</v>
      </c>
      <c r="AR35" s="93">
        <f>IF(Validation!$H$3=1,0,IF(ISNUMBER(T35),0,1))</f>
        <v>0</v>
      </c>
      <c r="AS35" s="93">
        <f>IF(Validation!$H$3=1,0,IF(ISNUMBER(U35),0,1))</f>
        <v>0</v>
      </c>
      <c r="AT35" s="93">
        <f>IF(Validation!$H$3=1,0,IF(ISNUMBER(V35),0,1))</f>
        <v>0</v>
      </c>
      <c r="AU35" s="93">
        <f>IF(Validation!$H$3=1,0,IF(ISNUMBER(W35),0,1))</f>
        <v>0</v>
      </c>
      <c r="AV35" s="71"/>
      <c r="AW35" s="2004"/>
      <c r="AY35" s="2004"/>
      <c r="AZ35" s="2004"/>
      <c r="BA35" s="2004"/>
      <c r="BC35" s="2004"/>
      <c r="BD35" s="1006" t="s">
        <v>6522</v>
      </c>
      <c r="BE35" s="2819" t="s">
        <v>6523</v>
      </c>
      <c r="BF35" s="2819"/>
      <c r="BG35" s="2003" t="s">
        <v>51</v>
      </c>
      <c r="BH35" s="1007">
        <v>3</v>
      </c>
      <c r="BI35" s="2850" t="s">
        <v>6525</v>
      </c>
      <c r="BJ35" s="2851" t="s">
        <v>6526</v>
      </c>
      <c r="BK35" s="2852" t="s">
        <v>6527</v>
      </c>
      <c r="BL35" s="2853" t="s">
        <v>6528</v>
      </c>
      <c r="BM35" s="2851" t="s">
        <v>6529</v>
      </c>
      <c r="BN35" s="2851" t="s">
        <v>6530</v>
      </c>
      <c r="BO35" s="2854" t="s">
        <v>6531</v>
      </c>
      <c r="BP35" s="2852" t="s">
        <v>6532</v>
      </c>
      <c r="BQ35" s="2095" t="s">
        <v>6533</v>
      </c>
      <c r="BR35" s="2855" t="s">
        <v>6534</v>
      </c>
      <c r="BS35" s="2851" t="s">
        <v>6535</v>
      </c>
      <c r="BT35" s="2852" t="s">
        <v>6536</v>
      </c>
      <c r="BU35" s="2853" t="s">
        <v>6537</v>
      </c>
      <c r="BV35" s="2851" t="s">
        <v>6538</v>
      </c>
      <c r="BW35" s="2851" t="s">
        <v>6539</v>
      </c>
      <c r="BX35" s="2854" t="s">
        <v>6540</v>
      </c>
      <c r="BY35" s="2852" t="s">
        <v>6541</v>
      </c>
      <c r="BZ35" s="2095" t="s">
        <v>6542</v>
      </c>
      <c r="CA35" s="2004"/>
    </row>
    <row r="36" spans="1:79" s="2004" customFormat="1" ht="318.75">
      <c r="A36" s="995"/>
      <c r="B36" s="1006" t="s">
        <v>6543</v>
      </c>
      <c r="C36" s="2405" t="s">
        <v>6544</v>
      </c>
      <c r="D36" s="1010"/>
      <c r="E36" s="2003" t="s">
        <v>51</v>
      </c>
      <c r="F36" s="1007">
        <v>3</v>
      </c>
      <c r="G36" s="1090">
        <v>2.9620000000000002</v>
      </c>
      <c r="H36" s="1457">
        <v>3.266</v>
      </c>
      <c r="I36" s="1463">
        <v>1.367</v>
      </c>
      <c r="J36" s="1063">
        <v>0</v>
      </c>
      <c r="K36" s="1463">
        <v>0</v>
      </c>
      <c r="L36" s="1578">
        <v>0</v>
      </c>
      <c r="M36" s="1460">
        <v>0</v>
      </c>
      <c r="N36" s="1463">
        <v>0</v>
      </c>
      <c r="O36" s="241">
        <f t="shared" si="0"/>
        <v>7.5949999999999998</v>
      </c>
      <c r="P36" s="1090">
        <v>5.6319999999999997</v>
      </c>
      <c r="Q36" s="1457">
        <v>6.2089999999999996</v>
      </c>
      <c r="R36" s="1463">
        <v>2.5990000000000002</v>
      </c>
      <c r="S36" s="1063">
        <v>0</v>
      </c>
      <c r="T36" s="1463">
        <v>0</v>
      </c>
      <c r="U36" s="1578">
        <v>0</v>
      </c>
      <c r="V36" s="1460">
        <v>0</v>
      </c>
      <c r="W36" s="1463">
        <v>0</v>
      </c>
      <c r="X36" s="241">
        <f t="shared" si="1"/>
        <v>14.44</v>
      </c>
      <c r="Y36" s="1767" t="s">
        <v>6545</v>
      </c>
      <c r="AA36" s="897">
        <f t="shared" ref="AA36" si="3" xml:space="preserve"> IF( SUM( AC36:AV36 ) = 0, 0, $AE$5 )</f>
        <v>0</v>
      </c>
      <c r="AB36" s="192"/>
      <c r="AC36" s="71"/>
      <c r="AD36" s="192"/>
      <c r="AE36" s="93">
        <f>IF(Validation!$H$3=1,0,IF(ISNUMBER(G36),0,1))</f>
        <v>0</v>
      </c>
      <c r="AF36" s="93">
        <f>IF(Validation!$H$3=1,0,IF(ISNUMBER(H36),0,1))</f>
        <v>0</v>
      </c>
      <c r="AG36" s="93">
        <f>IF(Validation!$H$3=1,0,IF(ISNUMBER(I36),0,1))</f>
        <v>0</v>
      </c>
      <c r="AH36" s="93">
        <f>IF(Validation!$H$3=1,0,IF(ISNUMBER(J36),0,1))</f>
        <v>0</v>
      </c>
      <c r="AI36" s="93">
        <f>IF(Validation!$H$3=1,0,IF(ISNUMBER(K36),0,1))</f>
        <v>0</v>
      </c>
      <c r="AJ36" s="93">
        <f>IF(Validation!$H$3=1,0,IF(ISNUMBER(L36),0,1))</f>
        <v>0</v>
      </c>
      <c r="AK36" s="93">
        <f>IF(Validation!$H$3=1,0,IF(ISNUMBER(M36),0,1))</f>
        <v>0</v>
      </c>
      <c r="AL36" s="93">
        <f>IF(Validation!$H$3=1,0,IF(ISNUMBER(N36),0,1))</f>
        <v>0</v>
      </c>
      <c r="AM36" s="127"/>
      <c r="AN36" s="93">
        <f>IF(Validation!$H$3=1,0,IF(ISNUMBER(P36),0,1))</f>
        <v>0</v>
      </c>
      <c r="AO36" s="93">
        <f>IF(Validation!$H$3=1,0,IF(ISNUMBER(Q36),0,1))</f>
        <v>0</v>
      </c>
      <c r="AP36" s="93">
        <f>IF(Validation!$H$3=1,0,IF(ISNUMBER(R36),0,1))</f>
        <v>0</v>
      </c>
      <c r="AQ36" s="93">
        <f>IF(Validation!$H$3=1,0,IF(ISNUMBER(S36),0,1))</f>
        <v>0</v>
      </c>
      <c r="AR36" s="93">
        <f>IF(Validation!$H$3=1,0,IF(ISNUMBER(T36),0,1))</f>
        <v>0</v>
      </c>
      <c r="AS36" s="93">
        <f>IF(Validation!$H$3=1,0,IF(ISNUMBER(U36),0,1))</f>
        <v>0</v>
      </c>
      <c r="AT36" s="93">
        <f>IF(Validation!$H$3=1,0,IF(ISNUMBER(V36),0,1))</f>
        <v>0</v>
      </c>
      <c r="AU36" s="93">
        <f>IF(Validation!$H$3=1,0,IF(ISNUMBER(W36),0,1))</f>
        <v>0</v>
      </c>
      <c r="AV36" s="71"/>
      <c r="AX36" s="1665"/>
      <c r="BB36" s="1665"/>
      <c r="BD36" s="1006" t="s">
        <v>6543</v>
      </c>
      <c r="BE36" s="2813" t="s">
        <v>6544</v>
      </c>
      <c r="BF36" s="2813"/>
      <c r="BG36" s="2003" t="s">
        <v>51</v>
      </c>
      <c r="BH36" s="1007">
        <v>3</v>
      </c>
      <c r="BI36" s="2850" t="s">
        <v>6546</v>
      </c>
      <c r="BJ36" s="2851" t="s">
        <v>6547</v>
      </c>
      <c r="BK36" s="2852" t="s">
        <v>6548</v>
      </c>
      <c r="BL36" s="2853" t="s">
        <v>6549</v>
      </c>
      <c r="BM36" s="2851" t="s">
        <v>6550</v>
      </c>
      <c r="BN36" s="2851" t="s">
        <v>6551</v>
      </c>
      <c r="BO36" s="2854" t="s">
        <v>6552</v>
      </c>
      <c r="BP36" s="2852" t="s">
        <v>6553</v>
      </c>
      <c r="BQ36" s="2095" t="s">
        <v>6554</v>
      </c>
      <c r="BR36" s="2855" t="s">
        <v>6555</v>
      </c>
      <c r="BS36" s="2851" t="s">
        <v>6556</v>
      </c>
      <c r="BT36" s="2852" t="s">
        <v>6557</v>
      </c>
      <c r="BU36" s="2853" t="s">
        <v>6558</v>
      </c>
      <c r="BV36" s="2851" t="s">
        <v>6559</v>
      </c>
      <c r="BW36" s="2851" t="s">
        <v>6560</v>
      </c>
      <c r="BX36" s="2854" t="s">
        <v>6561</v>
      </c>
      <c r="BY36" s="2852" t="s">
        <v>6562</v>
      </c>
      <c r="BZ36" s="2095" t="s">
        <v>6563</v>
      </c>
      <c r="CA36" s="1659"/>
    </row>
    <row r="37" spans="1:79" ht="15.75">
      <c r="A37" s="995"/>
      <c r="B37" s="1006" t="s">
        <v>6564</v>
      </c>
      <c r="C37" s="1064" t="s">
        <v>6565</v>
      </c>
      <c r="D37" s="1010"/>
      <c r="E37" s="2003" t="s">
        <v>51</v>
      </c>
      <c r="F37" s="1007">
        <v>3</v>
      </c>
      <c r="G37" s="1090">
        <v>0</v>
      </c>
      <c r="H37" s="1457">
        <v>0</v>
      </c>
      <c r="I37" s="1463">
        <v>0</v>
      </c>
      <c r="J37" s="1063">
        <v>0</v>
      </c>
      <c r="K37" s="1463">
        <v>0</v>
      </c>
      <c r="L37" s="1578">
        <v>0</v>
      </c>
      <c r="M37" s="1460">
        <v>0</v>
      </c>
      <c r="N37" s="1463">
        <v>0</v>
      </c>
      <c r="O37" s="241">
        <f t="shared" si="0"/>
        <v>0</v>
      </c>
      <c r="P37" s="1090">
        <v>0</v>
      </c>
      <c r="Q37" s="1457">
        <v>0</v>
      </c>
      <c r="R37" s="1463">
        <v>0</v>
      </c>
      <c r="S37" s="1063">
        <v>0</v>
      </c>
      <c r="T37" s="1463">
        <v>0</v>
      </c>
      <c r="U37" s="1578">
        <v>0</v>
      </c>
      <c r="V37" s="1460">
        <v>0</v>
      </c>
      <c r="W37" s="1463">
        <v>0</v>
      </c>
      <c r="X37" s="241">
        <f t="shared" si="1"/>
        <v>0</v>
      </c>
      <c r="Y37" s="1767"/>
      <c r="Z37" s="2004"/>
      <c r="AA37" s="897">
        <f t="shared" ref="AA37:AA51" si="4">(IF(SUM(AE37:AV37)=0,IF(AD37=1,BA$37,0),$AE$5))</f>
        <v>0</v>
      </c>
      <c r="AB37" s="192"/>
      <c r="AC37" s="71"/>
      <c r="AD37" s="93">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3">
        <f t="shared" ref="AE37:AL37" si="5" xml:space="preserve"> IF(AND($C37="Capital expenditure purpose - WASTEWATER additional line 1 [Other categories]",$O37=0), 0, IF( ISNUMBER( G37 ), 0, 1 ))</f>
        <v>0</v>
      </c>
      <c r="AF37" s="93">
        <f t="shared" si="5"/>
        <v>0</v>
      </c>
      <c r="AG37" s="93">
        <f t="shared" si="5"/>
        <v>0</v>
      </c>
      <c r="AH37" s="93">
        <f t="shared" si="5"/>
        <v>0</v>
      </c>
      <c r="AI37" s="93">
        <f t="shared" si="5"/>
        <v>0</v>
      </c>
      <c r="AJ37" s="93">
        <f t="shared" si="5"/>
        <v>0</v>
      </c>
      <c r="AK37" s="93">
        <f t="shared" si="5"/>
        <v>0</v>
      </c>
      <c r="AL37" s="93">
        <f t="shared" si="5"/>
        <v>0</v>
      </c>
      <c r="AM37" s="127"/>
      <c r="AN37" s="93">
        <f t="shared" ref="AN37:AU37" si="6" xml:space="preserve"> IF(AND($C37="Capital expenditure purpose - WASTEWATER additional line 1 [Other categories]",$O37=0), 0, IF( ISNUMBER( P37 ), 0, 1 ))</f>
        <v>0</v>
      </c>
      <c r="AO37" s="93">
        <f t="shared" si="6"/>
        <v>0</v>
      </c>
      <c r="AP37" s="93">
        <f t="shared" si="6"/>
        <v>0</v>
      </c>
      <c r="AQ37" s="93">
        <f t="shared" si="6"/>
        <v>0</v>
      </c>
      <c r="AR37" s="93">
        <f t="shared" si="6"/>
        <v>0</v>
      </c>
      <c r="AS37" s="93">
        <f t="shared" si="6"/>
        <v>0</v>
      </c>
      <c r="AT37" s="93">
        <f t="shared" si="6"/>
        <v>0</v>
      </c>
      <c r="AU37" s="93">
        <f t="shared" si="6"/>
        <v>0</v>
      </c>
      <c r="AV37" s="71"/>
      <c r="AW37" s="2004"/>
      <c r="AY37" s="2004"/>
      <c r="AZ37" s="2004"/>
      <c r="BA37" s="479" t="s">
        <v>4777</v>
      </c>
      <c r="BC37" s="2004"/>
      <c r="BD37" s="1006" t="s">
        <v>6543</v>
      </c>
      <c r="BE37" s="2856" t="s">
        <v>6566</v>
      </c>
      <c r="BF37" s="2819"/>
      <c r="BG37" s="2003" t="s">
        <v>51</v>
      </c>
      <c r="BH37" s="1007">
        <v>3</v>
      </c>
      <c r="BI37" s="2857" t="s">
        <v>6566</v>
      </c>
      <c r="BJ37" s="2858" t="s">
        <v>6567</v>
      </c>
      <c r="BK37" s="2859" t="s">
        <v>6568</v>
      </c>
      <c r="BL37" s="2860" t="s">
        <v>6569</v>
      </c>
      <c r="BM37" s="2858" t="s">
        <v>6570</v>
      </c>
      <c r="BN37" s="2858" t="s">
        <v>6571</v>
      </c>
      <c r="BO37" s="2861" t="s">
        <v>6572</v>
      </c>
      <c r="BP37" s="2859" t="s">
        <v>6573</v>
      </c>
      <c r="BQ37" s="2095" t="s">
        <v>6574</v>
      </c>
      <c r="BR37" s="2862" t="s">
        <v>6575</v>
      </c>
      <c r="BS37" s="2858" t="s">
        <v>6576</v>
      </c>
      <c r="BT37" s="2859" t="s">
        <v>6577</v>
      </c>
      <c r="BU37" s="2860" t="s">
        <v>6578</v>
      </c>
      <c r="BV37" s="2858" t="s">
        <v>6579</v>
      </c>
      <c r="BW37" s="2858" t="s">
        <v>6580</v>
      </c>
      <c r="BX37" s="2861" t="s">
        <v>6581</v>
      </c>
      <c r="BY37" s="2859" t="s">
        <v>6582</v>
      </c>
      <c r="BZ37" s="2095" t="s">
        <v>6583</v>
      </c>
      <c r="CA37" s="2004"/>
    </row>
    <row r="38" spans="1:79" ht="15.75">
      <c r="A38" s="995"/>
      <c r="B38" s="1006" t="s">
        <v>6584</v>
      </c>
      <c r="C38" s="1064" t="s">
        <v>6585</v>
      </c>
      <c r="D38" s="1010"/>
      <c r="E38" s="2003" t="s">
        <v>51</v>
      </c>
      <c r="F38" s="1007">
        <v>3</v>
      </c>
      <c r="G38" s="1090">
        <v>0</v>
      </c>
      <c r="H38" s="1457">
        <v>0</v>
      </c>
      <c r="I38" s="1463">
        <v>0</v>
      </c>
      <c r="J38" s="1063">
        <v>0</v>
      </c>
      <c r="K38" s="1463">
        <v>0</v>
      </c>
      <c r="L38" s="1578">
        <v>0</v>
      </c>
      <c r="M38" s="1460">
        <v>0</v>
      </c>
      <c r="N38" s="1463">
        <v>0</v>
      </c>
      <c r="O38" s="241">
        <f t="shared" si="0"/>
        <v>0</v>
      </c>
      <c r="P38" s="1090">
        <v>0</v>
      </c>
      <c r="Q38" s="1457">
        <v>0</v>
      </c>
      <c r="R38" s="1463">
        <v>0</v>
      </c>
      <c r="S38" s="1063">
        <v>0</v>
      </c>
      <c r="T38" s="1463">
        <v>0</v>
      </c>
      <c r="U38" s="1578">
        <v>0</v>
      </c>
      <c r="V38" s="1460">
        <v>0</v>
      </c>
      <c r="W38" s="1463">
        <v>0</v>
      </c>
      <c r="X38" s="241">
        <f t="shared" si="1"/>
        <v>0</v>
      </c>
      <c r="Y38" s="1767"/>
      <c r="Z38" s="2004"/>
      <c r="AA38" s="897">
        <f t="shared" si="4"/>
        <v>0</v>
      </c>
      <c r="AB38" s="192"/>
      <c r="AC38" s="71"/>
      <c r="AD38" s="93">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3">
        <f t="shared" ref="AE38:AL38" si="7" xml:space="preserve"> IF(AND($C38="Capital expenditure purpose - WASTEWATER additional line 2 [Other categories]",$O38=0), 0, IF( ISNUMBER( G38 ), 0, 1 ))</f>
        <v>0</v>
      </c>
      <c r="AF38" s="93">
        <f t="shared" si="7"/>
        <v>0</v>
      </c>
      <c r="AG38" s="93">
        <f t="shared" si="7"/>
        <v>0</v>
      </c>
      <c r="AH38" s="93">
        <f t="shared" si="7"/>
        <v>0</v>
      </c>
      <c r="AI38" s="93">
        <f t="shared" si="7"/>
        <v>0</v>
      </c>
      <c r="AJ38" s="93">
        <f t="shared" si="7"/>
        <v>0</v>
      </c>
      <c r="AK38" s="93">
        <f t="shared" si="7"/>
        <v>0</v>
      </c>
      <c r="AL38" s="93">
        <f t="shared" si="7"/>
        <v>0</v>
      </c>
      <c r="AM38" s="127"/>
      <c r="AN38" s="93">
        <f t="shared" ref="AN38:AU38" si="8" xml:space="preserve"> IF(AND($C38="Capital expenditure purpose - WASTEWATER additional line 2 [Other categories]",$O38=0), 0, IF( ISNUMBER( P38 ), 0, 1 ))</f>
        <v>0</v>
      </c>
      <c r="AO38" s="93">
        <f t="shared" si="8"/>
        <v>0</v>
      </c>
      <c r="AP38" s="93">
        <f t="shared" si="8"/>
        <v>0</v>
      </c>
      <c r="AQ38" s="93">
        <f t="shared" si="8"/>
        <v>0</v>
      </c>
      <c r="AR38" s="93">
        <f t="shared" si="8"/>
        <v>0</v>
      </c>
      <c r="AS38" s="93">
        <f t="shared" si="8"/>
        <v>0</v>
      </c>
      <c r="AT38" s="93">
        <f t="shared" si="8"/>
        <v>0</v>
      </c>
      <c r="AU38" s="93">
        <f t="shared" si="8"/>
        <v>0</v>
      </c>
      <c r="AV38" s="71"/>
      <c r="AW38" s="2004"/>
      <c r="AY38" s="2004"/>
      <c r="AZ38" s="2004"/>
      <c r="BA38" s="2004"/>
      <c r="BC38" s="2004"/>
      <c r="BD38" s="1006" t="s">
        <v>6564</v>
      </c>
      <c r="BE38" s="2856" t="s">
        <v>6586</v>
      </c>
      <c r="BF38" s="2819"/>
      <c r="BG38" s="2003" t="s">
        <v>51</v>
      </c>
      <c r="BH38" s="1007">
        <v>3</v>
      </c>
      <c r="BI38" s="2857" t="s">
        <v>6586</v>
      </c>
      <c r="BJ38" s="2858" t="s">
        <v>6587</v>
      </c>
      <c r="BK38" s="2859" t="s">
        <v>6588</v>
      </c>
      <c r="BL38" s="2860" t="s">
        <v>6589</v>
      </c>
      <c r="BM38" s="2858" t="s">
        <v>6590</v>
      </c>
      <c r="BN38" s="2858" t="s">
        <v>6591</v>
      </c>
      <c r="BO38" s="2861" t="s">
        <v>6592</v>
      </c>
      <c r="BP38" s="2859" t="s">
        <v>6593</v>
      </c>
      <c r="BQ38" s="2095" t="s">
        <v>6594</v>
      </c>
      <c r="BR38" s="2862" t="s">
        <v>6595</v>
      </c>
      <c r="BS38" s="2858" t="s">
        <v>6596</v>
      </c>
      <c r="BT38" s="2859" t="s">
        <v>6597</v>
      </c>
      <c r="BU38" s="2860" t="s">
        <v>6598</v>
      </c>
      <c r="BV38" s="2858" t="s">
        <v>6599</v>
      </c>
      <c r="BW38" s="2858" t="s">
        <v>6600</v>
      </c>
      <c r="BX38" s="2861" t="s">
        <v>6601</v>
      </c>
      <c r="BY38" s="2859" t="s">
        <v>6602</v>
      </c>
      <c r="BZ38" s="2095" t="s">
        <v>6603</v>
      </c>
      <c r="CA38" s="2004"/>
    </row>
    <row r="39" spans="1:79" ht="15.75">
      <c r="A39" s="995"/>
      <c r="B39" s="1006" t="s">
        <v>6604</v>
      </c>
      <c r="C39" s="1064" t="s">
        <v>6605</v>
      </c>
      <c r="D39" s="1010"/>
      <c r="E39" s="2003" t="s">
        <v>51</v>
      </c>
      <c r="F39" s="1007">
        <v>3</v>
      </c>
      <c r="G39" s="1090">
        <v>0</v>
      </c>
      <c r="H39" s="1457">
        <v>0</v>
      </c>
      <c r="I39" s="1463">
        <v>0</v>
      </c>
      <c r="J39" s="1063">
        <v>0</v>
      </c>
      <c r="K39" s="1463">
        <v>0</v>
      </c>
      <c r="L39" s="1578">
        <v>0</v>
      </c>
      <c r="M39" s="1460">
        <v>0</v>
      </c>
      <c r="N39" s="1463">
        <v>0</v>
      </c>
      <c r="O39" s="241">
        <f t="shared" si="0"/>
        <v>0</v>
      </c>
      <c r="P39" s="1090">
        <v>0</v>
      </c>
      <c r="Q39" s="1457">
        <v>0</v>
      </c>
      <c r="R39" s="1463">
        <v>0</v>
      </c>
      <c r="S39" s="1063">
        <v>0</v>
      </c>
      <c r="T39" s="1463">
        <v>0</v>
      </c>
      <c r="U39" s="1578">
        <v>0</v>
      </c>
      <c r="V39" s="1460">
        <v>0</v>
      </c>
      <c r="W39" s="1463">
        <v>0</v>
      </c>
      <c r="X39" s="241">
        <f t="shared" si="1"/>
        <v>0</v>
      </c>
      <c r="Y39" s="1767"/>
      <c r="Z39" s="2004"/>
      <c r="AA39" s="897">
        <f t="shared" si="4"/>
        <v>0</v>
      </c>
      <c r="AB39" s="192"/>
      <c r="AC39" s="71"/>
      <c r="AD39" s="93">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3">
        <f t="shared" ref="AE39:AL39" si="9" xml:space="preserve"> IF(AND($C39="Capital expenditure purpose - WASTEWATER additional line 3 [Other categories]",$O39=0), 0, IF( ISNUMBER( G39 ), 0, 1 ))</f>
        <v>0</v>
      </c>
      <c r="AF39" s="93">
        <f t="shared" si="9"/>
        <v>0</v>
      </c>
      <c r="AG39" s="93">
        <f t="shared" si="9"/>
        <v>0</v>
      </c>
      <c r="AH39" s="93">
        <f t="shared" si="9"/>
        <v>0</v>
      </c>
      <c r="AI39" s="93">
        <f t="shared" si="9"/>
        <v>0</v>
      </c>
      <c r="AJ39" s="93">
        <f t="shared" si="9"/>
        <v>0</v>
      </c>
      <c r="AK39" s="93">
        <f t="shared" si="9"/>
        <v>0</v>
      </c>
      <c r="AL39" s="93">
        <f t="shared" si="9"/>
        <v>0</v>
      </c>
      <c r="AM39" s="127"/>
      <c r="AN39" s="93">
        <f t="shared" ref="AN39:AU39" si="10" xml:space="preserve"> IF(AND($C39="Capital expenditure purpose - WASTEWATER additional line 3 [Other categories]",$O39=0), 0, IF( ISNUMBER( P39 ), 0, 1 ))</f>
        <v>0</v>
      </c>
      <c r="AO39" s="93">
        <f t="shared" si="10"/>
        <v>0</v>
      </c>
      <c r="AP39" s="93">
        <f t="shared" si="10"/>
        <v>0</v>
      </c>
      <c r="AQ39" s="93">
        <f t="shared" si="10"/>
        <v>0</v>
      </c>
      <c r="AR39" s="93">
        <f t="shared" si="10"/>
        <v>0</v>
      </c>
      <c r="AS39" s="93">
        <f t="shared" si="10"/>
        <v>0</v>
      </c>
      <c r="AT39" s="93">
        <f t="shared" si="10"/>
        <v>0</v>
      </c>
      <c r="AU39" s="93">
        <f t="shared" si="10"/>
        <v>0</v>
      </c>
      <c r="AV39" s="71"/>
      <c r="AW39" s="2004"/>
      <c r="AY39" s="2004"/>
      <c r="AZ39" s="2004"/>
      <c r="BA39" s="2004"/>
      <c r="BC39" s="2004"/>
      <c r="BD39" s="1006" t="s">
        <v>6584</v>
      </c>
      <c r="BE39" s="2856" t="s">
        <v>6606</v>
      </c>
      <c r="BF39" s="2819"/>
      <c r="BG39" s="2003" t="s">
        <v>51</v>
      </c>
      <c r="BH39" s="1007">
        <v>3</v>
      </c>
      <c r="BI39" s="2857" t="s">
        <v>6606</v>
      </c>
      <c r="BJ39" s="2858" t="s">
        <v>6607</v>
      </c>
      <c r="BK39" s="2859" t="s">
        <v>6608</v>
      </c>
      <c r="BL39" s="2860" t="s">
        <v>6609</v>
      </c>
      <c r="BM39" s="2858" t="s">
        <v>6610</v>
      </c>
      <c r="BN39" s="2858" t="s">
        <v>6611</v>
      </c>
      <c r="BO39" s="2861" t="s">
        <v>6612</v>
      </c>
      <c r="BP39" s="2859" t="s">
        <v>6613</v>
      </c>
      <c r="BQ39" s="2095" t="s">
        <v>6614</v>
      </c>
      <c r="BR39" s="2862" t="s">
        <v>6615</v>
      </c>
      <c r="BS39" s="2858" t="s">
        <v>6616</v>
      </c>
      <c r="BT39" s="2859" t="s">
        <v>6617</v>
      </c>
      <c r="BU39" s="2860" t="s">
        <v>6618</v>
      </c>
      <c r="BV39" s="2858" t="s">
        <v>6619</v>
      </c>
      <c r="BW39" s="2858" t="s">
        <v>6620</v>
      </c>
      <c r="BX39" s="2861" t="s">
        <v>6621</v>
      </c>
      <c r="BY39" s="2859" t="s">
        <v>6622</v>
      </c>
      <c r="BZ39" s="2095" t="s">
        <v>6623</v>
      </c>
      <c r="CA39" s="2004"/>
    </row>
    <row r="40" spans="1:79" ht="15.75">
      <c r="A40" s="995"/>
      <c r="B40" s="1006" t="s">
        <v>6624</v>
      </c>
      <c r="C40" s="1064" t="s">
        <v>6625</v>
      </c>
      <c r="D40" s="1010"/>
      <c r="E40" s="2003" t="s">
        <v>51</v>
      </c>
      <c r="F40" s="1007">
        <v>3</v>
      </c>
      <c r="G40" s="1090">
        <v>1.6E-2</v>
      </c>
      <c r="H40" s="1457">
        <v>1.7000000000000001E-2</v>
      </c>
      <c r="I40" s="1463">
        <v>7.0000000000000001E-3</v>
      </c>
      <c r="J40" s="1063">
        <v>-2.8000000000000001E-2</v>
      </c>
      <c r="K40" s="1463">
        <v>0</v>
      </c>
      <c r="L40" s="1578">
        <v>0</v>
      </c>
      <c r="M40" s="1460">
        <v>0</v>
      </c>
      <c r="N40" s="1463">
        <v>0</v>
      </c>
      <c r="O40" s="241">
        <f t="shared" si="0"/>
        <v>1.2E-2</v>
      </c>
      <c r="P40" s="1090">
        <v>0</v>
      </c>
      <c r="Q40" s="1457">
        <v>0</v>
      </c>
      <c r="R40" s="1463">
        <v>0</v>
      </c>
      <c r="S40" s="1063">
        <v>0</v>
      </c>
      <c r="T40" s="1463">
        <v>0</v>
      </c>
      <c r="U40" s="1578">
        <v>0</v>
      </c>
      <c r="V40" s="1460">
        <v>0</v>
      </c>
      <c r="W40" s="1463">
        <v>0</v>
      </c>
      <c r="X40" s="241">
        <f t="shared" si="1"/>
        <v>0</v>
      </c>
      <c r="Y40" s="1767"/>
      <c r="Z40" s="2004"/>
      <c r="AA40" s="897">
        <f t="shared" si="4"/>
        <v>0</v>
      </c>
      <c r="AB40" s="192"/>
      <c r="AC40" s="71"/>
      <c r="AD40" s="93">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3">
        <f t="shared" ref="AE40:AL40" si="11" xml:space="preserve"> IF(AND($C40="Capital expenditure purpose - WASTEWATER additional line 4 [Other categories]",$O40=0), 0, IF( ISNUMBER( G40 ), 0, 1 ))</f>
        <v>0</v>
      </c>
      <c r="AF40" s="93">
        <f t="shared" si="11"/>
        <v>0</v>
      </c>
      <c r="AG40" s="93">
        <f t="shared" si="11"/>
        <v>0</v>
      </c>
      <c r="AH40" s="93">
        <f t="shared" si="11"/>
        <v>0</v>
      </c>
      <c r="AI40" s="93">
        <f t="shared" si="11"/>
        <v>0</v>
      </c>
      <c r="AJ40" s="93">
        <f t="shared" si="11"/>
        <v>0</v>
      </c>
      <c r="AK40" s="93">
        <f t="shared" si="11"/>
        <v>0</v>
      </c>
      <c r="AL40" s="93">
        <f t="shared" si="11"/>
        <v>0</v>
      </c>
      <c r="AM40" s="127"/>
      <c r="AN40" s="93">
        <f t="shared" ref="AN40:AU40" si="12" xml:space="preserve"> IF(AND($C40="Capital expenditure purpose - WASTEWATER additional line 4 [Other categories]",$O40=0), 0, IF( ISNUMBER( P40 ), 0, 1 ))</f>
        <v>0</v>
      </c>
      <c r="AO40" s="93">
        <f t="shared" si="12"/>
        <v>0</v>
      </c>
      <c r="AP40" s="93">
        <f t="shared" si="12"/>
        <v>0</v>
      </c>
      <c r="AQ40" s="93">
        <f t="shared" si="12"/>
        <v>0</v>
      </c>
      <c r="AR40" s="93">
        <f t="shared" si="12"/>
        <v>0</v>
      </c>
      <c r="AS40" s="93">
        <f t="shared" si="12"/>
        <v>0</v>
      </c>
      <c r="AT40" s="93">
        <f t="shared" si="12"/>
        <v>0</v>
      </c>
      <c r="AU40" s="93">
        <f t="shared" si="12"/>
        <v>0</v>
      </c>
      <c r="AV40" s="71"/>
      <c r="AW40" s="2004"/>
      <c r="AY40" s="2004"/>
      <c r="AZ40" s="2004"/>
      <c r="BA40" s="2004"/>
      <c r="BC40" s="2004"/>
      <c r="BD40" s="1006" t="s">
        <v>6604</v>
      </c>
      <c r="BE40" s="2856" t="s">
        <v>6626</v>
      </c>
      <c r="BF40" s="2819"/>
      <c r="BG40" s="2003" t="s">
        <v>51</v>
      </c>
      <c r="BH40" s="1007">
        <v>3</v>
      </c>
      <c r="BI40" s="2857" t="s">
        <v>6626</v>
      </c>
      <c r="BJ40" s="2858" t="s">
        <v>6627</v>
      </c>
      <c r="BK40" s="2859" t="s">
        <v>6628</v>
      </c>
      <c r="BL40" s="2860" t="s">
        <v>6629</v>
      </c>
      <c r="BM40" s="2858" t="s">
        <v>6630</v>
      </c>
      <c r="BN40" s="2858" t="s">
        <v>6631</v>
      </c>
      <c r="BO40" s="2861" t="s">
        <v>6632</v>
      </c>
      <c r="BP40" s="2859" t="s">
        <v>6633</v>
      </c>
      <c r="BQ40" s="2095" t="s">
        <v>6634</v>
      </c>
      <c r="BR40" s="2862" t="s">
        <v>6635</v>
      </c>
      <c r="BS40" s="2858" t="s">
        <v>6636</v>
      </c>
      <c r="BT40" s="2859" t="s">
        <v>6637</v>
      </c>
      <c r="BU40" s="2860" t="s">
        <v>6638</v>
      </c>
      <c r="BV40" s="2858" t="s">
        <v>6639</v>
      </c>
      <c r="BW40" s="2858" t="s">
        <v>6640</v>
      </c>
      <c r="BX40" s="2861" t="s">
        <v>6641</v>
      </c>
      <c r="BY40" s="2859" t="s">
        <v>6642</v>
      </c>
      <c r="BZ40" s="2095" t="s">
        <v>6643</v>
      </c>
      <c r="CA40" s="2004"/>
    </row>
    <row r="41" spans="1:79" ht="15.75">
      <c r="A41" s="995"/>
      <c r="B41" s="1006" t="s">
        <v>6644</v>
      </c>
      <c r="C41" s="1064" t="s">
        <v>5696</v>
      </c>
      <c r="D41" s="1010"/>
      <c r="E41" s="2003" t="s">
        <v>51</v>
      </c>
      <c r="F41" s="1007">
        <v>3</v>
      </c>
      <c r="G41" s="1090">
        <v>0</v>
      </c>
      <c r="H41" s="1457">
        <v>0</v>
      </c>
      <c r="I41" s="1463">
        <v>0</v>
      </c>
      <c r="J41" s="1063">
        <v>0</v>
      </c>
      <c r="K41" s="1463">
        <v>0</v>
      </c>
      <c r="L41" s="1578">
        <v>0</v>
      </c>
      <c r="M41" s="1460">
        <v>0</v>
      </c>
      <c r="N41" s="1463">
        <v>0</v>
      </c>
      <c r="O41" s="241">
        <f t="shared" si="0"/>
        <v>0</v>
      </c>
      <c r="P41" s="1090">
        <v>0</v>
      </c>
      <c r="Q41" s="1457">
        <v>0</v>
      </c>
      <c r="R41" s="1463">
        <v>0</v>
      </c>
      <c r="S41" s="1063">
        <v>0</v>
      </c>
      <c r="T41" s="1463">
        <v>0</v>
      </c>
      <c r="U41" s="1578">
        <v>0</v>
      </c>
      <c r="V41" s="1460">
        <v>0</v>
      </c>
      <c r="W41" s="1463">
        <v>0</v>
      </c>
      <c r="X41" s="241">
        <f t="shared" si="1"/>
        <v>0</v>
      </c>
      <c r="Y41" s="1767"/>
      <c r="Z41" s="2004"/>
      <c r="AA41" s="897">
        <f t="shared" si="4"/>
        <v>0</v>
      </c>
      <c r="AB41" s="192"/>
      <c r="AC41" s="71"/>
      <c r="AD41" s="93">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3">
        <f t="shared" ref="AE41:AL41" si="13" xml:space="preserve"> IF(AND($C41="Capital expenditure purpose - WASTEWATER additional line 5 [Other categories]",$O41=0), 0, IF( ISNUMBER( G41 ), 0, 1 ))</f>
        <v>0</v>
      </c>
      <c r="AF41" s="93">
        <f t="shared" si="13"/>
        <v>0</v>
      </c>
      <c r="AG41" s="93">
        <f t="shared" si="13"/>
        <v>0</v>
      </c>
      <c r="AH41" s="93">
        <f t="shared" si="13"/>
        <v>0</v>
      </c>
      <c r="AI41" s="93">
        <f t="shared" si="13"/>
        <v>0</v>
      </c>
      <c r="AJ41" s="93">
        <f t="shared" si="13"/>
        <v>0</v>
      </c>
      <c r="AK41" s="93">
        <f t="shared" si="13"/>
        <v>0</v>
      </c>
      <c r="AL41" s="93">
        <f t="shared" si="13"/>
        <v>0</v>
      </c>
      <c r="AM41" s="127"/>
      <c r="AN41" s="93">
        <f t="shared" ref="AN41:AU41" si="14" xml:space="preserve"> IF(AND($C41="Capital expenditure purpose - WASTEWATER additional line 5 [Other categories]",$O41=0), 0, IF( ISNUMBER( P41 ), 0, 1 ))</f>
        <v>0</v>
      </c>
      <c r="AO41" s="93">
        <f t="shared" si="14"/>
        <v>0</v>
      </c>
      <c r="AP41" s="93">
        <f t="shared" si="14"/>
        <v>0</v>
      </c>
      <c r="AQ41" s="93">
        <f t="shared" si="14"/>
        <v>0</v>
      </c>
      <c r="AR41" s="93">
        <f t="shared" si="14"/>
        <v>0</v>
      </c>
      <c r="AS41" s="93">
        <f t="shared" si="14"/>
        <v>0</v>
      </c>
      <c r="AT41" s="93">
        <f t="shared" si="14"/>
        <v>0</v>
      </c>
      <c r="AU41" s="93">
        <f t="shared" si="14"/>
        <v>0</v>
      </c>
      <c r="AV41" s="71"/>
      <c r="AW41" s="2004"/>
      <c r="AY41" s="2004"/>
      <c r="AZ41" s="2004"/>
      <c r="BA41" s="2004"/>
      <c r="BC41" s="2004"/>
      <c r="BD41" s="1006" t="s">
        <v>6624</v>
      </c>
      <c r="BE41" s="2856" t="s">
        <v>6645</v>
      </c>
      <c r="BF41" s="2819"/>
      <c r="BG41" s="2003" t="s">
        <v>51</v>
      </c>
      <c r="BH41" s="1007">
        <v>3</v>
      </c>
      <c r="BI41" s="2857" t="s">
        <v>6645</v>
      </c>
      <c r="BJ41" s="2858" t="s">
        <v>6646</v>
      </c>
      <c r="BK41" s="2859" t="s">
        <v>6647</v>
      </c>
      <c r="BL41" s="2860" t="s">
        <v>6648</v>
      </c>
      <c r="BM41" s="2858" t="s">
        <v>6649</v>
      </c>
      <c r="BN41" s="2858" t="s">
        <v>6650</v>
      </c>
      <c r="BO41" s="2861" t="s">
        <v>6651</v>
      </c>
      <c r="BP41" s="2859" t="s">
        <v>6652</v>
      </c>
      <c r="BQ41" s="2095" t="s">
        <v>6653</v>
      </c>
      <c r="BR41" s="2862" t="s">
        <v>6654</v>
      </c>
      <c r="BS41" s="2858" t="s">
        <v>6655</v>
      </c>
      <c r="BT41" s="2859" t="s">
        <v>6656</v>
      </c>
      <c r="BU41" s="2860" t="s">
        <v>6657</v>
      </c>
      <c r="BV41" s="2858" t="s">
        <v>6658</v>
      </c>
      <c r="BW41" s="2858" t="s">
        <v>6659</v>
      </c>
      <c r="BX41" s="2861" t="s">
        <v>6660</v>
      </c>
      <c r="BY41" s="2859" t="s">
        <v>6661</v>
      </c>
      <c r="BZ41" s="2095" t="s">
        <v>6662</v>
      </c>
      <c r="CA41" s="2004"/>
    </row>
    <row r="42" spans="1:79" ht="409.5">
      <c r="A42" s="995"/>
      <c r="B42" s="1006" t="s">
        <v>6663</v>
      </c>
      <c r="C42" s="1064" t="s">
        <v>6664</v>
      </c>
      <c r="D42" s="1010"/>
      <c r="E42" s="2003" t="s">
        <v>51</v>
      </c>
      <c r="F42" s="1007">
        <v>3</v>
      </c>
      <c r="G42" s="1090">
        <v>10.385999999999999</v>
      </c>
      <c r="H42" s="1457">
        <v>11.452</v>
      </c>
      <c r="I42" s="1463">
        <v>4.7939999999999996</v>
      </c>
      <c r="J42" s="1063">
        <v>0</v>
      </c>
      <c r="K42" s="1463">
        <v>0</v>
      </c>
      <c r="L42" s="1578">
        <v>0</v>
      </c>
      <c r="M42" s="1460">
        <v>0</v>
      </c>
      <c r="N42" s="1463">
        <v>0</v>
      </c>
      <c r="O42" s="241">
        <f t="shared" si="0"/>
        <v>26.632000000000001</v>
      </c>
      <c r="P42" s="1090">
        <v>11.731999999999999</v>
      </c>
      <c r="Q42" s="1457">
        <v>12.935</v>
      </c>
      <c r="R42" s="1463">
        <v>5.415</v>
      </c>
      <c r="S42" s="1063">
        <v>0</v>
      </c>
      <c r="T42" s="1463">
        <v>0</v>
      </c>
      <c r="U42" s="1578">
        <v>0</v>
      </c>
      <c r="V42" s="1460">
        <v>0</v>
      </c>
      <c r="W42" s="1463">
        <v>0</v>
      </c>
      <c r="X42" s="241">
        <f t="shared" si="1"/>
        <v>30.082000000000001</v>
      </c>
      <c r="Y42" s="1767" t="s">
        <v>6665</v>
      </c>
      <c r="Z42" s="2004"/>
      <c r="AA42" s="897">
        <f t="shared" si="4"/>
        <v>0</v>
      </c>
      <c r="AB42" s="192"/>
      <c r="AC42" s="71"/>
      <c r="AD42" s="93">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3">
        <f t="shared" ref="AE42:AL42" si="15" xml:space="preserve"> IF(AND($C42="Capital expenditure purpose - WASTEWATER additional line 6 [Other categories]",$O42=0), 0, IF( ISNUMBER( G42 ), 0, 1 ))</f>
        <v>0</v>
      </c>
      <c r="AF42" s="93">
        <f t="shared" si="15"/>
        <v>0</v>
      </c>
      <c r="AG42" s="93">
        <f t="shared" si="15"/>
        <v>0</v>
      </c>
      <c r="AH42" s="93">
        <f t="shared" si="15"/>
        <v>0</v>
      </c>
      <c r="AI42" s="93">
        <f t="shared" si="15"/>
        <v>0</v>
      </c>
      <c r="AJ42" s="93">
        <f t="shared" si="15"/>
        <v>0</v>
      </c>
      <c r="AK42" s="93">
        <f t="shared" si="15"/>
        <v>0</v>
      </c>
      <c r="AL42" s="93">
        <f t="shared" si="15"/>
        <v>0</v>
      </c>
      <c r="AM42" s="127"/>
      <c r="AN42" s="93">
        <f t="shared" ref="AN42:AU42" si="16" xml:space="preserve"> IF(AND($C42="Capital expenditure purpose - WASTEWATER additional line 6 [Other categories]",$O42=0), 0, IF( ISNUMBER( P42 ), 0, 1 ))</f>
        <v>0</v>
      </c>
      <c r="AO42" s="93">
        <f t="shared" si="16"/>
        <v>0</v>
      </c>
      <c r="AP42" s="93">
        <f t="shared" si="16"/>
        <v>0</v>
      </c>
      <c r="AQ42" s="93">
        <f t="shared" si="16"/>
        <v>0</v>
      </c>
      <c r="AR42" s="93">
        <f t="shared" si="16"/>
        <v>0</v>
      </c>
      <c r="AS42" s="93">
        <f t="shared" si="16"/>
        <v>0</v>
      </c>
      <c r="AT42" s="93">
        <f t="shared" si="16"/>
        <v>0</v>
      </c>
      <c r="AU42" s="93">
        <f t="shared" si="16"/>
        <v>0</v>
      </c>
      <c r="AV42" s="71"/>
      <c r="AW42" s="2004"/>
      <c r="AY42" s="2004"/>
      <c r="AZ42" s="2004"/>
      <c r="BA42" s="2004"/>
      <c r="BC42" s="2004"/>
      <c r="BD42" s="1006" t="s">
        <v>6644</v>
      </c>
      <c r="BE42" s="2856" t="s">
        <v>6666</v>
      </c>
      <c r="BF42" s="2819"/>
      <c r="BG42" s="2003" t="s">
        <v>51</v>
      </c>
      <c r="BH42" s="1007">
        <v>3</v>
      </c>
      <c r="BI42" s="2857" t="s">
        <v>6666</v>
      </c>
      <c r="BJ42" s="2858" t="s">
        <v>6667</v>
      </c>
      <c r="BK42" s="2859" t="s">
        <v>6668</v>
      </c>
      <c r="BL42" s="2860" t="s">
        <v>6669</v>
      </c>
      <c r="BM42" s="2858" t="s">
        <v>6670</v>
      </c>
      <c r="BN42" s="2858" t="s">
        <v>6671</v>
      </c>
      <c r="BO42" s="2861" t="s">
        <v>6672</v>
      </c>
      <c r="BP42" s="2859" t="s">
        <v>6673</v>
      </c>
      <c r="BQ42" s="2095" t="s">
        <v>6674</v>
      </c>
      <c r="BR42" s="2862" t="s">
        <v>6675</v>
      </c>
      <c r="BS42" s="2858" t="s">
        <v>6676</v>
      </c>
      <c r="BT42" s="2859" t="s">
        <v>6677</v>
      </c>
      <c r="BU42" s="2860" t="s">
        <v>6678</v>
      </c>
      <c r="BV42" s="2858" t="s">
        <v>6679</v>
      </c>
      <c r="BW42" s="2858" t="s">
        <v>6680</v>
      </c>
      <c r="BX42" s="2861" t="s">
        <v>6681</v>
      </c>
      <c r="BY42" s="2859" t="s">
        <v>6682</v>
      </c>
      <c r="BZ42" s="2095" t="s">
        <v>6683</v>
      </c>
      <c r="CA42" s="2004"/>
    </row>
    <row r="43" spans="1:79" ht="395.25">
      <c r="A43" s="995"/>
      <c r="B43" s="1006" t="s">
        <v>6684</v>
      </c>
      <c r="C43" s="1064" t="s">
        <v>6685</v>
      </c>
      <c r="D43" s="1010"/>
      <c r="E43" s="2003" t="s">
        <v>51</v>
      </c>
      <c r="F43" s="1007">
        <v>3</v>
      </c>
      <c r="G43" s="1090">
        <v>9.9629999999999992</v>
      </c>
      <c r="H43" s="1457">
        <v>10.984</v>
      </c>
      <c r="I43" s="1463">
        <v>4.5979999999999999</v>
      </c>
      <c r="J43" s="1063">
        <v>0</v>
      </c>
      <c r="K43" s="1463">
        <v>0</v>
      </c>
      <c r="L43" s="1578">
        <v>0</v>
      </c>
      <c r="M43" s="1460">
        <v>0</v>
      </c>
      <c r="N43" s="1463">
        <v>0</v>
      </c>
      <c r="O43" s="241">
        <f t="shared" si="0"/>
        <v>25.544999999999998</v>
      </c>
      <c r="P43" s="1090">
        <v>16.277000000000001</v>
      </c>
      <c r="Q43" s="1457">
        <v>17.946000000000002</v>
      </c>
      <c r="R43" s="1463">
        <v>7.5119999999999996</v>
      </c>
      <c r="S43" s="1063">
        <v>0</v>
      </c>
      <c r="T43" s="1463">
        <v>0</v>
      </c>
      <c r="U43" s="1578">
        <v>0</v>
      </c>
      <c r="V43" s="1460">
        <v>0</v>
      </c>
      <c r="W43" s="1463">
        <v>0</v>
      </c>
      <c r="X43" s="241">
        <f t="shared" si="1"/>
        <v>41.734999999999999</v>
      </c>
      <c r="Y43" s="1767" t="s">
        <v>6686</v>
      </c>
      <c r="Z43" s="2004"/>
      <c r="AA43" s="897">
        <f t="shared" si="4"/>
        <v>0</v>
      </c>
      <c r="AB43" s="192"/>
      <c r="AC43" s="71"/>
      <c r="AD43" s="93">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3">
        <f t="shared" ref="AE43:AL43" si="17" xml:space="preserve"> IF(AND($C43="Capital expenditure purpose - WASTEWATER additional line 7 [Other categories]",$O43=0), 0, IF( ISNUMBER( G43 ), 0, 1 ))</f>
        <v>0</v>
      </c>
      <c r="AF43" s="93">
        <f t="shared" si="17"/>
        <v>0</v>
      </c>
      <c r="AG43" s="93">
        <f t="shared" si="17"/>
        <v>0</v>
      </c>
      <c r="AH43" s="93">
        <f t="shared" si="17"/>
        <v>0</v>
      </c>
      <c r="AI43" s="93">
        <f t="shared" si="17"/>
        <v>0</v>
      </c>
      <c r="AJ43" s="93">
        <f t="shared" si="17"/>
        <v>0</v>
      </c>
      <c r="AK43" s="93">
        <f t="shared" si="17"/>
        <v>0</v>
      </c>
      <c r="AL43" s="93">
        <f t="shared" si="17"/>
        <v>0</v>
      </c>
      <c r="AM43" s="127"/>
      <c r="AN43" s="93">
        <f t="shared" ref="AN43:AU43" si="18" xml:space="preserve"> IF(AND($C43="Capital expenditure purpose - WASTEWATER additional line 7 [Other categories]",$O43=0), 0, IF( ISNUMBER( P43 ), 0, 1 ))</f>
        <v>0</v>
      </c>
      <c r="AO43" s="93">
        <f t="shared" si="18"/>
        <v>0</v>
      </c>
      <c r="AP43" s="93">
        <f t="shared" si="18"/>
        <v>0</v>
      </c>
      <c r="AQ43" s="93">
        <f t="shared" si="18"/>
        <v>0</v>
      </c>
      <c r="AR43" s="93">
        <f t="shared" si="18"/>
        <v>0</v>
      </c>
      <c r="AS43" s="93">
        <f t="shared" si="18"/>
        <v>0</v>
      </c>
      <c r="AT43" s="93">
        <f t="shared" si="18"/>
        <v>0</v>
      </c>
      <c r="AU43" s="93">
        <f t="shared" si="18"/>
        <v>0</v>
      </c>
      <c r="AV43" s="71"/>
      <c r="AW43" s="2004"/>
      <c r="AY43" s="2004"/>
      <c r="AZ43" s="2004"/>
      <c r="BA43" s="2004"/>
      <c r="BC43" s="2004"/>
      <c r="BD43" s="1006" t="s">
        <v>6663</v>
      </c>
      <c r="BE43" s="2856" t="s">
        <v>6687</v>
      </c>
      <c r="BF43" s="2819"/>
      <c r="BG43" s="2003" t="s">
        <v>51</v>
      </c>
      <c r="BH43" s="1007">
        <v>3</v>
      </c>
      <c r="BI43" s="2857" t="s">
        <v>6687</v>
      </c>
      <c r="BJ43" s="2858" t="s">
        <v>6688</v>
      </c>
      <c r="BK43" s="2859" t="s">
        <v>6689</v>
      </c>
      <c r="BL43" s="2860" t="s">
        <v>6690</v>
      </c>
      <c r="BM43" s="2858" t="s">
        <v>6691</v>
      </c>
      <c r="BN43" s="2858" t="s">
        <v>6692</v>
      </c>
      <c r="BO43" s="2861" t="s">
        <v>6693</v>
      </c>
      <c r="BP43" s="2859" t="s">
        <v>6694</v>
      </c>
      <c r="BQ43" s="2095" t="s">
        <v>6695</v>
      </c>
      <c r="BR43" s="2862" t="s">
        <v>6696</v>
      </c>
      <c r="BS43" s="2858" t="s">
        <v>6697</v>
      </c>
      <c r="BT43" s="2859" t="s">
        <v>6698</v>
      </c>
      <c r="BU43" s="2860" t="s">
        <v>6699</v>
      </c>
      <c r="BV43" s="2858" t="s">
        <v>6700</v>
      </c>
      <c r="BW43" s="2858" t="s">
        <v>6701</v>
      </c>
      <c r="BX43" s="2861" t="s">
        <v>6702</v>
      </c>
      <c r="BY43" s="2859" t="s">
        <v>6703</v>
      </c>
      <c r="BZ43" s="2095" t="s">
        <v>6704</v>
      </c>
      <c r="CA43" s="2004"/>
    </row>
    <row r="44" spans="1:79" ht="63.75">
      <c r="A44" s="995"/>
      <c r="B44" s="1006" t="s">
        <v>6705</v>
      </c>
      <c r="C44" s="1064" t="s">
        <v>1163</v>
      </c>
      <c r="D44" s="1010"/>
      <c r="E44" s="2003" t="s">
        <v>51</v>
      </c>
      <c r="F44" s="1007">
        <v>3</v>
      </c>
      <c r="G44" s="1090">
        <v>1.079</v>
      </c>
      <c r="H44" s="1457">
        <v>1.19</v>
      </c>
      <c r="I44" s="1463">
        <v>0.498</v>
      </c>
      <c r="J44" s="1063">
        <v>0</v>
      </c>
      <c r="K44" s="1463">
        <v>0</v>
      </c>
      <c r="L44" s="1578">
        <v>0</v>
      </c>
      <c r="M44" s="1460">
        <v>0</v>
      </c>
      <c r="N44" s="1463">
        <v>0</v>
      </c>
      <c r="O44" s="241">
        <f t="shared" si="0"/>
        <v>2.7670000000000003</v>
      </c>
      <c r="P44" s="1090">
        <v>0</v>
      </c>
      <c r="Q44" s="1457">
        <v>0</v>
      </c>
      <c r="R44" s="1463">
        <v>0</v>
      </c>
      <c r="S44" s="1063">
        <v>0</v>
      </c>
      <c r="T44" s="1463">
        <v>0</v>
      </c>
      <c r="U44" s="1578">
        <v>0</v>
      </c>
      <c r="V44" s="1460">
        <v>0</v>
      </c>
      <c r="W44" s="1463">
        <v>0</v>
      </c>
      <c r="X44" s="241">
        <f t="shared" si="1"/>
        <v>0</v>
      </c>
      <c r="Y44" s="1767" t="s">
        <v>6706</v>
      </c>
      <c r="Z44" s="2004"/>
      <c r="AA44" s="897">
        <f t="shared" si="4"/>
        <v>0</v>
      </c>
      <c r="AB44" s="192"/>
      <c r="AC44" s="71"/>
      <c r="AD44" s="93">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3">
        <f t="shared" ref="AE44:AL44" si="19" xml:space="preserve"> IF(AND($C44="Capital expenditure purpose - WASTEWATER additional line 8 [Other categories]",$O44=0), 0, IF( ISNUMBER( G44 ), 0, 1 ))</f>
        <v>0</v>
      </c>
      <c r="AF44" s="93">
        <f t="shared" si="19"/>
        <v>0</v>
      </c>
      <c r="AG44" s="93">
        <f t="shared" si="19"/>
        <v>0</v>
      </c>
      <c r="AH44" s="93">
        <f t="shared" si="19"/>
        <v>0</v>
      </c>
      <c r="AI44" s="93">
        <f t="shared" si="19"/>
        <v>0</v>
      </c>
      <c r="AJ44" s="93">
        <f t="shared" si="19"/>
        <v>0</v>
      </c>
      <c r="AK44" s="93">
        <f t="shared" si="19"/>
        <v>0</v>
      </c>
      <c r="AL44" s="93">
        <f t="shared" si="19"/>
        <v>0</v>
      </c>
      <c r="AM44" s="127"/>
      <c r="AN44" s="93">
        <f t="shared" ref="AN44:AU44" si="20" xml:space="preserve"> IF(AND($C44="Capital expenditure purpose - WASTEWATER additional line 8 [Other categories]",$O44=0), 0, IF( ISNUMBER( P44 ), 0, 1 ))</f>
        <v>0</v>
      </c>
      <c r="AO44" s="93">
        <f t="shared" si="20"/>
        <v>0</v>
      </c>
      <c r="AP44" s="93">
        <f t="shared" si="20"/>
        <v>0</v>
      </c>
      <c r="AQ44" s="93">
        <f t="shared" si="20"/>
        <v>0</v>
      </c>
      <c r="AR44" s="93">
        <f t="shared" si="20"/>
        <v>0</v>
      </c>
      <c r="AS44" s="93">
        <f t="shared" si="20"/>
        <v>0</v>
      </c>
      <c r="AT44" s="93">
        <f t="shared" si="20"/>
        <v>0</v>
      </c>
      <c r="AU44" s="93">
        <f t="shared" si="20"/>
        <v>0</v>
      </c>
      <c r="AV44" s="71"/>
      <c r="AW44" s="2004"/>
      <c r="AY44" s="2004"/>
      <c r="AZ44" s="2004"/>
      <c r="BA44" s="2004"/>
      <c r="BC44" s="2004"/>
      <c r="BD44" s="1006" t="s">
        <v>6684</v>
      </c>
      <c r="BE44" s="2856" t="s">
        <v>6707</v>
      </c>
      <c r="BF44" s="2819"/>
      <c r="BG44" s="2003" t="s">
        <v>51</v>
      </c>
      <c r="BH44" s="1007">
        <v>3</v>
      </c>
      <c r="BI44" s="2857" t="s">
        <v>6707</v>
      </c>
      <c r="BJ44" s="2858" t="s">
        <v>6708</v>
      </c>
      <c r="BK44" s="2859" t="s">
        <v>6709</v>
      </c>
      <c r="BL44" s="2860" t="s">
        <v>6710</v>
      </c>
      <c r="BM44" s="2858" t="s">
        <v>6711</v>
      </c>
      <c r="BN44" s="2858" t="s">
        <v>6712</v>
      </c>
      <c r="BO44" s="2861" t="s">
        <v>6713</v>
      </c>
      <c r="BP44" s="2859" t="s">
        <v>6714</v>
      </c>
      <c r="BQ44" s="2095" t="s">
        <v>6715</v>
      </c>
      <c r="BR44" s="2862" t="s">
        <v>6716</v>
      </c>
      <c r="BS44" s="2858" t="s">
        <v>6717</v>
      </c>
      <c r="BT44" s="2859" t="s">
        <v>6718</v>
      </c>
      <c r="BU44" s="2860" t="s">
        <v>6719</v>
      </c>
      <c r="BV44" s="2858" t="s">
        <v>6720</v>
      </c>
      <c r="BW44" s="2858" t="s">
        <v>6721</v>
      </c>
      <c r="BX44" s="2861" t="s">
        <v>6722</v>
      </c>
      <c r="BY44" s="2859" t="s">
        <v>6723</v>
      </c>
      <c r="BZ44" s="2095" t="s">
        <v>6724</v>
      </c>
      <c r="CA44" s="2004"/>
    </row>
    <row r="45" spans="1:79" ht="153">
      <c r="A45" s="995"/>
      <c r="B45" s="1006" t="s">
        <v>6725</v>
      </c>
      <c r="C45" s="1012" t="s">
        <v>5779</v>
      </c>
      <c r="D45" s="1010"/>
      <c r="E45" s="2003" t="s">
        <v>51</v>
      </c>
      <c r="F45" s="1007">
        <v>3</v>
      </c>
      <c r="G45" s="1090">
        <v>0</v>
      </c>
      <c r="H45" s="1457">
        <v>0</v>
      </c>
      <c r="I45" s="1463">
        <v>0</v>
      </c>
      <c r="J45" s="1063">
        <v>4.0419999999999998</v>
      </c>
      <c r="K45" s="1463">
        <v>0</v>
      </c>
      <c r="L45" s="1578">
        <v>0</v>
      </c>
      <c r="M45" s="1460">
        <v>1E-3</v>
      </c>
      <c r="N45" s="1463">
        <v>0</v>
      </c>
      <c r="O45" s="241">
        <f t="shared" si="0"/>
        <v>4.0430000000000001</v>
      </c>
      <c r="P45" s="1090">
        <v>0</v>
      </c>
      <c r="Q45" s="1457">
        <v>0</v>
      </c>
      <c r="R45" s="1463">
        <v>0</v>
      </c>
      <c r="S45" s="1063">
        <v>0</v>
      </c>
      <c r="T45" s="1463">
        <v>0</v>
      </c>
      <c r="U45" s="1578">
        <v>0</v>
      </c>
      <c r="V45" s="1460">
        <v>0</v>
      </c>
      <c r="W45" s="1463">
        <v>0</v>
      </c>
      <c r="X45" s="241">
        <f t="shared" si="1"/>
        <v>0</v>
      </c>
      <c r="Y45" s="1767" t="s">
        <v>6726</v>
      </c>
      <c r="Z45" s="2004"/>
      <c r="AA45" s="897">
        <f t="shared" si="4"/>
        <v>0</v>
      </c>
      <c r="AB45" s="192"/>
      <c r="AC45" s="71"/>
      <c r="AD45" s="93">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3">
        <f t="shared" ref="AE45:AL45" si="21" xml:space="preserve"> IF(AND($C45="Capital expenditure purpose - WASTEWATER additional line 9 [Other categories]",$O45=0), 0, IF( ISNUMBER( G45 ), 0, 1 ))</f>
        <v>0</v>
      </c>
      <c r="AF45" s="93">
        <f t="shared" si="21"/>
        <v>0</v>
      </c>
      <c r="AG45" s="93">
        <f t="shared" si="21"/>
        <v>0</v>
      </c>
      <c r="AH45" s="93">
        <f t="shared" si="21"/>
        <v>0</v>
      </c>
      <c r="AI45" s="93">
        <f t="shared" si="21"/>
        <v>0</v>
      </c>
      <c r="AJ45" s="93">
        <f t="shared" si="21"/>
        <v>0</v>
      </c>
      <c r="AK45" s="93">
        <f t="shared" si="21"/>
        <v>0</v>
      </c>
      <c r="AL45" s="93">
        <f t="shared" si="21"/>
        <v>0</v>
      </c>
      <c r="AM45" s="127"/>
      <c r="AN45" s="93">
        <f t="shared" ref="AN45:AU45" si="22" xml:space="preserve"> IF(AND($C45="Capital expenditure purpose - WASTEWATER additional line 9 [Other categories]",$O45=0), 0, IF( ISNUMBER( P45 ), 0, 1 ))</f>
        <v>0</v>
      </c>
      <c r="AO45" s="93">
        <f t="shared" si="22"/>
        <v>0</v>
      </c>
      <c r="AP45" s="93">
        <f t="shared" si="22"/>
        <v>0</v>
      </c>
      <c r="AQ45" s="93">
        <f t="shared" si="22"/>
        <v>0</v>
      </c>
      <c r="AR45" s="93">
        <f t="shared" si="22"/>
        <v>0</v>
      </c>
      <c r="AS45" s="93">
        <f t="shared" si="22"/>
        <v>0</v>
      </c>
      <c r="AT45" s="93">
        <f t="shared" si="22"/>
        <v>0</v>
      </c>
      <c r="AU45" s="93">
        <f t="shared" si="22"/>
        <v>0</v>
      </c>
      <c r="AV45" s="71"/>
      <c r="AW45" s="2004"/>
      <c r="AY45" s="2004"/>
      <c r="AZ45" s="2004"/>
      <c r="BA45" s="2004"/>
      <c r="BC45" s="2004"/>
      <c r="BD45" s="1006" t="s">
        <v>6705</v>
      </c>
      <c r="BE45" s="2856" t="s">
        <v>6727</v>
      </c>
      <c r="BF45" s="2819"/>
      <c r="BG45" s="2003" t="s">
        <v>51</v>
      </c>
      <c r="BH45" s="1007">
        <v>3</v>
      </c>
      <c r="BI45" s="2857" t="s">
        <v>6727</v>
      </c>
      <c r="BJ45" s="2858" t="s">
        <v>6728</v>
      </c>
      <c r="BK45" s="2859" t="s">
        <v>6729</v>
      </c>
      <c r="BL45" s="2860" t="s">
        <v>6730</v>
      </c>
      <c r="BM45" s="2858" t="s">
        <v>6731</v>
      </c>
      <c r="BN45" s="2858" t="s">
        <v>6732</v>
      </c>
      <c r="BO45" s="2861" t="s">
        <v>6733</v>
      </c>
      <c r="BP45" s="2859" t="s">
        <v>6734</v>
      </c>
      <c r="BQ45" s="2095" t="s">
        <v>6735</v>
      </c>
      <c r="BR45" s="2862" t="s">
        <v>6736</v>
      </c>
      <c r="BS45" s="2858" t="s">
        <v>6737</v>
      </c>
      <c r="BT45" s="2859" t="s">
        <v>6738</v>
      </c>
      <c r="BU45" s="2860" t="s">
        <v>6739</v>
      </c>
      <c r="BV45" s="2858" t="s">
        <v>6740</v>
      </c>
      <c r="BW45" s="2858" t="s">
        <v>6741</v>
      </c>
      <c r="BX45" s="2861" t="s">
        <v>6742</v>
      </c>
      <c r="BY45" s="2859" t="s">
        <v>6743</v>
      </c>
      <c r="BZ45" s="2095" t="s">
        <v>6744</v>
      </c>
      <c r="CA45" s="2004"/>
    </row>
    <row r="46" spans="1:79" ht="15.75">
      <c r="A46" s="995"/>
      <c r="B46" s="1006" t="s">
        <v>6745</v>
      </c>
      <c r="C46" s="1474" t="s">
        <v>6746</v>
      </c>
      <c r="D46" s="1135"/>
      <c r="E46" s="2003" t="s">
        <v>51</v>
      </c>
      <c r="F46" s="1007">
        <v>3</v>
      </c>
      <c r="G46" s="1090">
        <v>0</v>
      </c>
      <c r="H46" s="1457">
        <v>0</v>
      </c>
      <c r="I46" s="1463">
        <v>0</v>
      </c>
      <c r="J46" s="1063">
        <v>0</v>
      </c>
      <c r="K46" s="1463">
        <v>0</v>
      </c>
      <c r="L46" s="1578">
        <v>0</v>
      </c>
      <c r="M46" s="1460">
        <v>0</v>
      </c>
      <c r="N46" s="1463">
        <v>0</v>
      </c>
      <c r="O46" s="241">
        <f t="shared" ref="O46:O50" si="23">+SUM(G46:N46)</f>
        <v>0</v>
      </c>
      <c r="P46" s="1090">
        <v>0</v>
      </c>
      <c r="Q46" s="1457">
        <v>0</v>
      </c>
      <c r="R46" s="1463">
        <v>0</v>
      </c>
      <c r="S46" s="1063">
        <v>0</v>
      </c>
      <c r="T46" s="1463">
        <v>0</v>
      </c>
      <c r="U46" s="1578">
        <v>0</v>
      </c>
      <c r="V46" s="1460">
        <v>0</v>
      </c>
      <c r="W46" s="1463">
        <v>0</v>
      </c>
      <c r="X46" s="241">
        <f t="shared" ref="X46:X50" si="24">+SUM(P46:W46)</f>
        <v>0</v>
      </c>
      <c r="Y46" s="1767"/>
      <c r="Z46" s="2004"/>
      <c r="AA46" s="897">
        <f t="shared" si="4"/>
        <v>0</v>
      </c>
      <c r="AB46" s="192"/>
      <c r="AC46" s="71"/>
      <c r="AD46" s="93">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3">
        <f t="shared" ref="AE46:AL46" si="25" xml:space="preserve"> IF(AND($C46="Capital expenditure purpose - WASTEWATER additional line 10 [Other categories]",$O46=0), 0, IF( ISNUMBER( G46 ), 0, 1 ))</f>
        <v>0</v>
      </c>
      <c r="AF46" s="93">
        <f t="shared" si="25"/>
        <v>0</v>
      </c>
      <c r="AG46" s="93">
        <f t="shared" si="25"/>
        <v>0</v>
      </c>
      <c r="AH46" s="93">
        <f t="shared" si="25"/>
        <v>0</v>
      </c>
      <c r="AI46" s="93">
        <f t="shared" si="25"/>
        <v>0</v>
      </c>
      <c r="AJ46" s="93">
        <f t="shared" si="25"/>
        <v>0</v>
      </c>
      <c r="AK46" s="93">
        <f t="shared" si="25"/>
        <v>0</v>
      </c>
      <c r="AL46" s="93">
        <f t="shared" si="25"/>
        <v>0</v>
      </c>
      <c r="AM46" s="127"/>
      <c r="AN46" s="93">
        <f t="shared" ref="AN46:AU46" si="26" xml:space="preserve"> IF(AND($C46="Capital expenditure purpose - WASTEWATER additional line 10 [Other categories]",$O46=0), 0, IF( ISNUMBER( P46 ), 0, 1 ))</f>
        <v>0</v>
      </c>
      <c r="AO46" s="93">
        <f t="shared" si="26"/>
        <v>0</v>
      </c>
      <c r="AP46" s="93">
        <f t="shared" si="26"/>
        <v>0</v>
      </c>
      <c r="AQ46" s="93">
        <f t="shared" si="26"/>
        <v>0</v>
      </c>
      <c r="AR46" s="93">
        <f t="shared" si="26"/>
        <v>0</v>
      </c>
      <c r="AS46" s="93">
        <f t="shared" si="26"/>
        <v>0</v>
      </c>
      <c r="AT46" s="93">
        <f t="shared" si="26"/>
        <v>0</v>
      </c>
      <c r="AU46" s="93">
        <f t="shared" si="26"/>
        <v>0</v>
      </c>
      <c r="AV46" s="71"/>
      <c r="AW46" s="2004"/>
      <c r="AY46" s="2004"/>
      <c r="AZ46" s="2004"/>
      <c r="BA46" s="2004"/>
      <c r="BC46" s="2004"/>
      <c r="BD46" s="1006" t="s">
        <v>6725</v>
      </c>
      <c r="BE46" s="2863" t="s">
        <v>6747</v>
      </c>
      <c r="BF46" s="2864"/>
      <c r="BG46" s="2003" t="s">
        <v>51</v>
      </c>
      <c r="BH46" s="1007">
        <v>3</v>
      </c>
      <c r="BI46" s="2857" t="s">
        <v>6747</v>
      </c>
      <c r="BJ46" s="2858" t="s">
        <v>6748</v>
      </c>
      <c r="BK46" s="2859" t="s">
        <v>6749</v>
      </c>
      <c r="BL46" s="2860" t="s">
        <v>6750</v>
      </c>
      <c r="BM46" s="2858" t="s">
        <v>6751</v>
      </c>
      <c r="BN46" s="2858" t="s">
        <v>6752</v>
      </c>
      <c r="BO46" s="2861" t="s">
        <v>6753</v>
      </c>
      <c r="BP46" s="2859" t="s">
        <v>6754</v>
      </c>
      <c r="BQ46" s="2095" t="s">
        <v>6755</v>
      </c>
      <c r="BR46" s="2862" t="s">
        <v>6756</v>
      </c>
      <c r="BS46" s="2858" t="s">
        <v>6757</v>
      </c>
      <c r="BT46" s="2859" t="s">
        <v>6758</v>
      </c>
      <c r="BU46" s="2860" t="s">
        <v>6759</v>
      </c>
      <c r="BV46" s="2858" t="s">
        <v>6760</v>
      </c>
      <c r="BW46" s="2858" t="s">
        <v>6761</v>
      </c>
      <c r="BX46" s="2861" t="s">
        <v>6762</v>
      </c>
      <c r="BY46" s="2859" t="s">
        <v>6763</v>
      </c>
      <c r="BZ46" s="2095" t="s">
        <v>6764</v>
      </c>
      <c r="CA46" s="2004"/>
    </row>
    <row r="47" spans="1:79" ht="15.75">
      <c r="A47" s="995"/>
      <c r="B47" s="1006" t="s">
        <v>6765</v>
      </c>
      <c r="C47" s="1474" t="s">
        <v>6766</v>
      </c>
      <c r="D47" s="1135"/>
      <c r="E47" s="2003" t="s">
        <v>51</v>
      </c>
      <c r="F47" s="1007">
        <v>3</v>
      </c>
      <c r="G47" s="1090">
        <v>0</v>
      </c>
      <c r="H47" s="1457">
        <v>0</v>
      </c>
      <c r="I47" s="1463">
        <v>0</v>
      </c>
      <c r="J47" s="1063">
        <v>0</v>
      </c>
      <c r="K47" s="1463">
        <v>0</v>
      </c>
      <c r="L47" s="1578">
        <v>0</v>
      </c>
      <c r="M47" s="1460">
        <v>0</v>
      </c>
      <c r="N47" s="1463">
        <v>0</v>
      </c>
      <c r="O47" s="241">
        <f t="shared" si="23"/>
        <v>0</v>
      </c>
      <c r="P47" s="1090"/>
      <c r="Q47" s="1457"/>
      <c r="R47" s="1463"/>
      <c r="S47" s="1063"/>
      <c r="T47" s="1463"/>
      <c r="U47" s="1578"/>
      <c r="V47" s="1460"/>
      <c r="W47" s="1463"/>
      <c r="X47" s="241">
        <f t="shared" si="24"/>
        <v>0</v>
      </c>
      <c r="Y47" s="1767"/>
      <c r="Z47" s="2004"/>
      <c r="AA47" s="897">
        <f t="shared" si="4"/>
        <v>0</v>
      </c>
      <c r="AB47" s="192"/>
      <c r="AC47" s="71"/>
      <c r="AD47" s="93">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3">
        <f t="shared" ref="AE47:AL47" si="27" xml:space="preserve"> IF(AND($C47="Capital expenditure purpose - WASTEWATER additional line 11 [Other categories]",$O47=0), 0, IF( ISNUMBER( G47 ), 0, 1 ))</f>
        <v>0</v>
      </c>
      <c r="AF47" s="93">
        <f t="shared" si="27"/>
        <v>0</v>
      </c>
      <c r="AG47" s="93">
        <f t="shared" si="27"/>
        <v>0</v>
      </c>
      <c r="AH47" s="93">
        <f t="shared" si="27"/>
        <v>0</v>
      </c>
      <c r="AI47" s="93">
        <f t="shared" si="27"/>
        <v>0</v>
      </c>
      <c r="AJ47" s="93">
        <f t="shared" si="27"/>
        <v>0</v>
      </c>
      <c r="AK47" s="93">
        <f t="shared" si="27"/>
        <v>0</v>
      </c>
      <c r="AL47" s="93">
        <f t="shared" si="27"/>
        <v>0</v>
      </c>
      <c r="AM47" s="127"/>
      <c r="AN47" s="93">
        <f t="shared" ref="AN47:AU47" si="28" xml:space="preserve"> IF(AND($C47="Capital expenditure purpose - WASTEWATER additional line 11 [Other categories]",$O47=0), 0, IF( ISNUMBER( P47 ), 0, 1 ))</f>
        <v>0</v>
      </c>
      <c r="AO47" s="93">
        <f t="shared" si="28"/>
        <v>0</v>
      </c>
      <c r="AP47" s="93">
        <f t="shared" si="28"/>
        <v>0</v>
      </c>
      <c r="AQ47" s="93">
        <f t="shared" si="28"/>
        <v>0</v>
      </c>
      <c r="AR47" s="93">
        <f t="shared" si="28"/>
        <v>0</v>
      </c>
      <c r="AS47" s="93">
        <f t="shared" si="28"/>
        <v>0</v>
      </c>
      <c r="AT47" s="93">
        <f t="shared" si="28"/>
        <v>0</v>
      </c>
      <c r="AU47" s="93">
        <f t="shared" si="28"/>
        <v>0</v>
      </c>
      <c r="AV47" s="71"/>
      <c r="AW47" s="2004"/>
      <c r="AY47" s="2004"/>
      <c r="AZ47" s="2004"/>
      <c r="BA47" s="2004"/>
      <c r="BC47" s="2004"/>
      <c r="BD47" s="1006" t="s">
        <v>6745</v>
      </c>
      <c r="BE47" s="2863" t="s">
        <v>6767</v>
      </c>
      <c r="BF47" s="2864"/>
      <c r="BG47" s="2003" t="s">
        <v>51</v>
      </c>
      <c r="BH47" s="1007">
        <v>3</v>
      </c>
      <c r="BI47" s="2857" t="s">
        <v>6767</v>
      </c>
      <c r="BJ47" s="2858" t="s">
        <v>6768</v>
      </c>
      <c r="BK47" s="2859" t="s">
        <v>6769</v>
      </c>
      <c r="BL47" s="2860" t="s">
        <v>6770</v>
      </c>
      <c r="BM47" s="2858" t="s">
        <v>6771</v>
      </c>
      <c r="BN47" s="2858" t="s">
        <v>6772</v>
      </c>
      <c r="BO47" s="2861" t="s">
        <v>6773</v>
      </c>
      <c r="BP47" s="2859" t="s">
        <v>6774</v>
      </c>
      <c r="BQ47" s="2095" t="s">
        <v>6775</v>
      </c>
      <c r="BR47" s="2862" t="s">
        <v>6776</v>
      </c>
      <c r="BS47" s="2858" t="s">
        <v>6777</v>
      </c>
      <c r="BT47" s="2859" t="s">
        <v>6778</v>
      </c>
      <c r="BU47" s="2860" t="s">
        <v>6779</v>
      </c>
      <c r="BV47" s="2858" t="s">
        <v>6780</v>
      </c>
      <c r="BW47" s="2858" t="s">
        <v>6781</v>
      </c>
      <c r="BX47" s="2861" t="s">
        <v>6782</v>
      </c>
      <c r="BY47" s="2859" t="s">
        <v>6783</v>
      </c>
      <c r="BZ47" s="2095" t="s">
        <v>6784</v>
      </c>
      <c r="CA47" s="2004"/>
    </row>
    <row r="48" spans="1:79" ht="15.75">
      <c r="A48" s="995"/>
      <c r="B48" s="1006" t="s">
        <v>6785</v>
      </c>
      <c r="C48" s="1474" t="s">
        <v>6786</v>
      </c>
      <c r="D48" s="1135"/>
      <c r="E48" s="2003" t="s">
        <v>51</v>
      </c>
      <c r="F48" s="1007">
        <v>3</v>
      </c>
      <c r="G48" s="1090">
        <v>0</v>
      </c>
      <c r="H48" s="1457">
        <v>0</v>
      </c>
      <c r="I48" s="1463">
        <v>0</v>
      </c>
      <c r="J48" s="1063">
        <v>0</v>
      </c>
      <c r="K48" s="1463">
        <v>0</v>
      </c>
      <c r="L48" s="1578">
        <v>0</v>
      </c>
      <c r="M48" s="1460">
        <v>0</v>
      </c>
      <c r="N48" s="1463">
        <v>0</v>
      </c>
      <c r="O48" s="241">
        <f t="shared" si="23"/>
        <v>0</v>
      </c>
      <c r="P48" s="1090"/>
      <c r="Q48" s="1457"/>
      <c r="R48" s="1463"/>
      <c r="S48" s="1063"/>
      <c r="T48" s="1463"/>
      <c r="U48" s="1578"/>
      <c r="V48" s="1460"/>
      <c r="W48" s="1463"/>
      <c r="X48" s="241">
        <f t="shared" si="24"/>
        <v>0</v>
      </c>
      <c r="Y48" s="1767"/>
      <c r="Z48" s="2004"/>
      <c r="AA48" s="897">
        <f t="shared" si="4"/>
        <v>0</v>
      </c>
      <c r="AB48" s="192"/>
      <c r="AC48" s="71"/>
      <c r="AD48" s="93">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3">
        <f t="shared" ref="AE48:AL48" si="29" xml:space="preserve"> IF(AND($C48="Capital expenditure purpose - WASTEWATER additional line 12 [Other categories]",$O48=0), 0, IF( ISNUMBER( G48 ), 0, 1 ))</f>
        <v>0</v>
      </c>
      <c r="AF48" s="93">
        <f t="shared" si="29"/>
        <v>0</v>
      </c>
      <c r="AG48" s="93">
        <f t="shared" si="29"/>
        <v>0</v>
      </c>
      <c r="AH48" s="93">
        <f t="shared" si="29"/>
        <v>0</v>
      </c>
      <c r="AI48" s="93">
        <f t="shared" si="29"/>
        <v>0</v>
      </c>
      <c r="AJ48" s="93">
        <f t="shared" si="29"/>
        <v>0</v>
      </c>
      <c r="AK48" s="93">
        <f t="shared" si="29"/>
        <v>0</v>
      </c>
      <c r="AL48" s="93">
        <f t="shared" si="29"/>
        <v>0</v>
      </c>
      <c r="AM48" s="127"/>
      <c r="AN48" s="93">
        <f t="shared" ref="AN48:AU48" si="30" xml:space="preserve"> IF(AND($C48="Capital expenditure purpose - WASTEWATER additional line 12 [Other categories]",$O48=0), 0, IF( ISNUMBER( P48 ), 0, 1 ))</f>
        <v>0</v>
      </c>
      <c r="AO48" s="93">
        <f t="shared" si="30"/>
        <v>0</v>
      </c>
      <c r="AP48" s="93">
        <f t="shared" si="30"/>
        <v>0</v>
      </c>
      <c r="AQ48" s="93">
        <f t="shared" si="30"/>
        <v>0</v>
      </c>
      <c r="AR48" s="93">
        <f t="shared" si="30"/>
        <v>0</v>
      </c>
      <c r="AS48" s="93">
        <f t="shared" si="30"/>
        <v>0</v>
      </c>
      <c r="AT48" s="93">
        <f t="shared" si="30"/>
        <v>0</v>
      </c>
      <c r="AU48" s="93">
        <f t="shared" si="30"/>
        <v>0</v>
      </c>
      <c r="AV48" s="71"/>
      <c r="AW48" s="2004"/>
      <c r="AY48" s="2004"/>
      <c r="AZ48" s="2004"/>
      <c r="BA48" s="2004"/>
      <c r="BC48" s="2004"/>
      <c r="BD48" s="1006" t="s">
        <v>6765</v>
      </c>
      <c r="BE48" s="2863" t="s">
        <v>6787</v>
      </c>
      <c r="BF48" s="2864"/>
      <c r="BG48" s="2003" t="s">
        <v>51</v>
      </c>
      <c r="BH48" s="1007">
        <v>3</v>
      </c>
      <c r="BI48" s="2857" t="s">
        <v>6787</v>
      </c>
      <c r="BJ48" s="2858" t="s">
        <v>6788</v>
      </c>
      <c r="BK48" s="2859" t="s">
        <v>6789</v>
      </c>
      <c r="BL48" s="2860" t="s">
        <v>6790</v>
      </c>
      <c r="BM48" s="2858" t="s">
        <v>6791</v>
      </c>
      <c r="BN48" s="2858" t="s">
        <v>6792</v>
      </c>
      <c r="BO48" s="2861" t="s">
        <v>6793</v>
      </c>
      <c r="BP48" s="2859" t="s">
        <v>6794</v>
      </c>
      <c r="BQ48" s="2095" t="s">
        <v>6795</v>
      </c>
      <c r="BR48" s="2862" t="s">
        <v>6796</v>
      </c>
      <c r="BS48" s="2858" t="s">
        <v>6797</v>
      </c>
      <c r="BT48" s="2859" t="s">
        <v>6798</v>
      </c>
      <c r="BU48" s="2860" t="s">
        <v>6799</v>
      </c>
      <c r="BV48" s="2858" t="s">
        <v>6800</v>
      </c>
      <c r="BW48" s="2858" t="s">
        <v>6801</v>
      </c>
      <c r="BX48" s="2861" t="s">
        <v>6802</v>
      </c>
      <c r="BY48" s="2859" t="s">
        <v>6803</v>
      </c>
      <c r="BZ48" s="2095" t="s">
        <v>6804</v>
      </c>
      <c r="CA48" s="2004"/>
    </row>
    <row r="49" spans="1:78" ht="15.75">
      <c r="A49" s="995"/>
      <c r="B49" s="1006" t="s">
        <v>6805</v>
      </c>
      <c r="C49" s="1474" t="s">
        <v>6806</v>
      </c>
      <c r="D49" s="1135"/>
      <c r="E49" s="2003" t="s">
        <v>51</v>
      </c>
      <c r="F49" s="1007">
        <v>3</v>
      </c>
      <c r="G49" s="1090">
        <v>0</v>
      </c>
      <c r="H49" s="1457">
        <v>0</v>
      </c>
      <c r="I49" s="1463">
        <v>0</v>
      </c>
      <c r="J49" s="1063">
        <v>0</v>
      </c>
      <c r="K49" s="1463">
        <v>0</v>
      </c>
      <c r="L49" s="1578">
        <v>0</v>
      </c>
      <c r="M49" s="1460">
        <v>0</v>
      </c>
      <c r="N49" s="1463">
        <v>0</v>
      </c>
      <c r="O49" s="241">
        <f t="shared" si="23"/>
        <v>0</v>
      </c>
      <c r="P49" s="1090"/>
      <c r="Q49" s="1457"/>
      <c r="R49" s="1463"/>
      <c r="S49" s="1063"/>
      <c r="T49" s="1463"/>
      <c r="U49" s="1578"/>
      <c r="V49" s="1460"/>
      <c r="W49" s="1463"/>
      <c r="X49" s="241">
        <f t="shared" si="24"/>
        <v>0</v>
      </c>
      <c r="Y49" s="1767"/>
      <c r="Z49" s="2004"/>
      <c r="AA49" s="897">
        <f t="shared" si="4"/>
        <v>0</v>
      </c>
      <c r="AB49" s="192"/>
      <c r="AC49" s="71"/>
      <c r="AD49" s="93">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3">
        <f t="shared" ref="AE49:AL49" si="31" xml:space="preserve"> IF(AND($C49="Capital expenditure purpose - WASTEWATER additional line 13 [Other categories]",$O49=0), 0, IF( ISNUMBER( G49 ), 0, 1 ))</f>
        <v>0</v>
      </c>
      <c r="AF49" s="93">
        <f t="shared" si="31"/>
        <v>0</v>
      </c>
      <c r="AG49" s="93">
        <f t="shared" si="31"/>
        <v>0</v>
      </c>
      <c r="AH49" s="93">
        <f t="shared" si="31"/>
        <v>0</v>
      </c>
      <c r="AI49" s="93">
        <f t="shared" si="31"/>
        <v>0</v>
      </c>
      <c r="AJ49" s="93">
        <f t="shared" si="31"/>
        <v>0</v>
      </c>
      <c r="AK49" s="93">
        <f t="shared" si="31"/>
        <v>0</v>
      </c>
      <c r="AL49" s="93">
        <f t="shared" si="31"/>
        <v>0</v>
      </c>
      <c r="AM49" s="127"/>
      <c r="AN49" s="93">
        <f t="shared" ref="AN49:AU49" si="32" xml:space="preserve"> IF(AND($C49="Capital expenditure purpose - WASTEWATER additional line 13 [Other categories]",$O49=0), 0, IF( ISNUMBER( P49 ), 0, 1 ))</f>
        <v>0</v>
      </c>
      <c r="AO49" s="93">
        <f t="shared" si="32"/>
        <v>0</v>
      </c>
      <c r="AP49" s="93">
        <f t="shared" si="32"/>
        <v>0</v>
      </c>
      <c r="AQ49" s="93">
        <f t="shared" si="32"/>
        <v>0</v>
      </c>
      <c r="AR49" s="93">
        <f t="shared" si="32"/>
        <v>0</v>
      </c>
      <c r="AS49" s="93">
        <f t="shared" si="32"/>
        <v>0</v>
      </c>
      <c r="AT49" s="93">
        <f t="shared" si="32"/>
        <v>0</v>
      </c>
      <c r="AU49" s="93">
        <f t="shared" si="32"/>
        <v>0</v>
      </c>
      <c r="AV49" s="71"/>
      <c r="AW49" s="2004"/>
      <c r="AY49" s="2004"/>
      <c r="AZ49" s="2004"/>
      <c r="BA49" s="2004"/>
      <c r="BC49" s="2004"/>
      <c r="BD49" s="1006" t="s">
        <v>6785</v>
      </c>
      <c r="BE49" s="2863" t="s">
        <v>6807</v>
      </c>
      <c r="BF49" s="2864"/>
      <c r="BG49" s="2003" t="s">
        <v>51</v>
      </c>
      <c r="BH49" s="1007">
        <v>3</v>
      </c>
      <c r="BI49" s="2857" t="s">
        <v>6807</v>
      </c>
      <c r="BJ49" s="2858" t="s">
        <v>6808</v>
      </c>
      <c r="BK49" s="2859" t="s">
        <v>6809</v>
      </c>
      <c r="BL49" s="2860" t="s">
        <v>6810</v>
      </c>
      <c r="BM49" s="2858" t="s">
        <v>6811</v>
      </c>
      <c r="BN49" s="2858" t="s">
        <v>6812</v>
      </c>
      <c r="BO49" s="2861" t="s">
        <v>6813</v>
      </c>
      <c r="BP49" s="2859" t="s">
        <v>6814</v>
      </c>
      <c r="BQ49" s="2095" t="s">
        <v>6815</v>
      </c>
      <c r="BR49" s="2862" t="s">
        <v>6816</v>
      </c>
      <c r="BS49" s="2858" t="s">
        <v>6817</v>
      </c>
      <c r="BT49" s="2859" t="s">
        <v>6818</v>
      </c>
      <c r="BU49" s="2860" t="s">
        <v>6819</v>
      </c>
      <c r="BV49" s="2858" t="s">
        <v>6820</v>
      </c>
      <c r="BW49" s="2858" t="s">
        <v>6821</v>
      </c>
      <c r="BX49" s="2861" t="s">
        <v>6822</v>
      </c>
      <c r="BY49" s="2859" t="s">
        <v>6823</v>
      </c>
      <c r="BZ49" s="2095" t="s">
        <v>6824</v>
      </c>
    </row>
    <row r="50" spans="1:78" ht="15.75">
      <c r="A50" s="995"/>
      <c r="B50" s="1006" t="s">
        <v>6825</v>
      </c>
      <c r="C50" s="1474" t="s">
        <v>6826</v>
      </c>
      <c r="D50" s="1135"/>
      <c r="E50" s="2003" t="s">
        <v>51</v>
      </c>
      <c r="F50" s="1007">
        <v>3</v>
      </c>
      <c r="G50" s="1090">
        <v>0</v>
      </c>
      <c r="H50" s="1457">
        <v>0</v>
      </c>
      <c r="I50" s="1463">
        <v>0</v>
      </c>
      <c r="J50" s="1063">
        <v>0</v>
      </c>
      <c r="K50" s="1463">
        <v>0</v>
      </c>
      <c r="L50" s="1578">
        <v>0</v>
      </c>
      <c r="M50" s="1460">
        <v>0</v>
      </c>
      <c r="N50" s="1463">
        <v>0</v>
      </c>
      <c r="O50" s="241">
        <f t="shared" si="23"/>
        <v>0</v>
      </c>
      <c r="P50" s="1090"/>
      <c r="Q50" s="1457"/>
      <c r="R50" s="1463"/>
      <c r="S50" s="1063"/>
      <c r="T50" s="1463"/>
      <c r="U50" s="1578"/>
      <c r="V50" s="1460"/>
      <c r="W50" s="1463"/>
      <c r="X50" s="241">
        <f t="shared" si="24"/>
        <v>0</v>
      </c>
      <c r="Y50" s="1767"/>
      <c r="Z50" s="2004"/>
      <c r="AA50" s="897">
        <f t="shared" si="4"/>
        <v>0</v>
      </c>
      <c r="AB50" s="192"/>
      <c r="AC50" s="71"/>
      <c r="AD50" s="93">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3">
        <f t="shared" ref="AE50:AL50" si="33" xml:space="preserve"> IF(AND($C50="Capital expenditure purpose - WASTEWATER additional line 14 [Other categories]",$O50=0), 0, IF( ISNUMBER( G50 ), 0, 1 ))</f>
        <v>0</v>
      </c>
      <c r="AF50" s="93">
        <f t="shared" si="33"/>
        <v>0</v>
      </c>
      <c r="AG50" s="93">
        <f t="shared" si="33"/>
        <v>0</v>
      </c>
      <c r="AH50" s="93">
        <f t="shared" si="33"/>
        <v>0</v>
      </c>
      <c r="AI50" s="93">
        <f t="shared" si="33"/>
        <v>0</v>
      </c>
      <c r="AJ50" s="93">
        <f t="shared" si="33"/>
        <v>0</v>
      </c>
      <c r="AK50" s="93">
        <f t="shared" si="33"/>
        <v>0</v>
      </c>
      <c r="AL50" s="93">
        <f t="shared" si="33"/>
        <v>0</v>
      </c>
      <c r="AM50" s="127"/>
      <c r="AN50" s="93">
        <f t="shared" ref="AN50:AU50" si="34" xml:space="preserve"> IF(AND($C50="Capital expenditure purpose - WASTEWATER additional line 14 [Other categories]",$O50=0), 0, IF( ISNUMBER( P50 ), 0, 1 ))</f>
        <v>0</v>
      </c>
      <c r="AO50" s="93">
        <f t="shared" si="34"/>
        <v>0</v>
      </c>
      <c r="AP50" s="93">
        <f t="shared" si="34"/>
        <v>0</v>
      </c>
      <c r="AQ50" s="93">
        <f t="shared" si="34"/>
        <v>0</v>
      </c>
      <c r="AR50" s="93">
        <f t="shared" si="34"/>
        <v>0</v>
      </c>
      <c r="AS50" s="93">
        <f t="shared" si="34"/>
        <v>0</v>
      </c>
      <c r="AT50" s="93">
        <f t="shared" si="34"/>
        <v>0</v>
      </c>
      <c r="AU50" s="93">
        <f t="shared" si="34"/>
        <v>0</v>
      </c>
      <c r="AV50" s="71"/>
      <c r="AW50" s="2004"/>
      <c r="AY50" s="2004"/>
      <c r="AZ50" s="2004"/>
      <c r="BA50" s="2004"/>
      <c r="BC50" s="2004"/>
      <c r="BD50" s="1006" t="s">
        <v>6805</v>
      </c>
      <c r="BE50" s="2863" t="s">
        <v>6827</v>
      </c>
      <c r="BF50" s="2864"/>
      <c r="BG50" s="2003" t="s">
        <v>51</v>
      </c>
      <c r="BH50" s="1007">
        <v>3</v>
      </c>
      <c r="BI50" s="2857" t="s">
        <v>6827</v>
      </c>
      <c r="BJ50" s="2858" t="s">
        <v>6828</v>
      </c>
      <c r="BK50" s="2859" t="s">
        <v>6829</v>
      </c>
      <c r="BL50" s="2860" t="s">
        <v>6830</v>
      </c>
      <c r="BM50" s="2858" t="s">
        <v>6831</v>
      </c>
      <c r="BN50" s="2858" t="s">
        <v>6832</v>
      </c>
      <c r="BO50" s="2861" t="s">
        <v>6833</v>
      </c>
      <c r="BP50" s="2859" t="s">
        <v>6834</v>
      </c>
      <c r="BQ50" s="2095" t="s">
        <v>6835</v>
      </c>
      <c r="BR50" s="2862" t="s">
        <v>6836</v>
      </c>
      <c r="BS50" s="2858" t="s">
        <v>6837</v>
      </c>
      <c r="BT50" s="2859" t="s">
        <v>6838</v>
      </c>
      <c r="BU50" s="2860" t="s">
        <v>6839</v>
      </c>
      <c r="BV50" s="2858" t="s">
        <v>6840</v>
      </c>
      <c r="BW50" s="2858" t="s">
        <v>6841</v>
      </c>
      <c r="BX50" s="2861" t="s">
        <v>6842</v>
      </c>
      <c r="BY50" s="2859" t="s">
        <v>6843</v>
      </c>
      <c r="BZ50" s="2095" t="s">
        <v>6844</v>
      </c>
    </row>
    <row r="51" spans="1:78" ht="16.5" thickBot="1">
      <c r="A51" s="995"/>
      <c r="B51" s="1475" t="s">
        <v>6845</v>
      </c>
      <c r="C51" s="1066" t="s">
        <v>6846</v>
      </c>
      <c r="D51" s="1016"/>
      <c r="E51" s="1016" t="s">
        <v>51</v>
      </c>
      <c r="F51" s="1017">
        <v>3</v>
      </c>
      <c r="G51" s="1455">
        <v>0</v>
      </c>
      <c r="H51" s="1458">
        <v>0</v>
      </c>
      <c r="I51" s="1464">
        <v>0</v>
      </c>
      <c r="J51" s="1067">
        <v>0</v>
      </c>
      <c r="K51" s="1464">
        <v>0</v>
      </c>
      <c r="L51" s="1579">
        <v>0</v>
      </c>
      <c r="M51" s="1461">
        <v>0</v>
      </c>
      <c r="N51" s="1464">
        <v>0</v>
      </c>
      <c r="O51" s="1068">
        <f t="shared" si="0"/>
        <v>0</v>
      </c>
      <c r="P51" s="1455"/>
      <c r="Q51" s="1458"/>
      <c r="R51" s="1464"/>
      <c r="S51" s="1067"/>
      <c r="T51" s="1464"/>
      <c r="U51" s="1579"/>
      <c r="V51" s="1461"/>
      <c r="W51" s="1464"/>
      <c r="X51" s="1068">
        <f t="shared" si="1"/>
        <v>0</v>
      </c>
      <c r="Y51" s="1768"/>
      <c r="Z51" s="2004"/>
      <c r="AA51" s="897">
        <f t="shared" si="4"/>
        <v>0</v>
      </c>
      <c r="AB51" s="192"/>
      <c r="AC51" s="71"/>
      <c r="AD51" s="93">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3">
        <f t="shared" ref="AE51:AL51" si="35" xml:space="preserve"> IF(AND($C51="Capital expenditure purpose - WASTEWATER additional line 15 [Other categories]",$O51=0), 0, IF( ISNUMBER( G51 ), 0, 1 ))</f>
        <v>0</v>
      </c>
      <c r="AF51" s="93">
        <f t="shared" si="35"/>
        <v>0</v>
      </c>
      <c r="AG51" s="93">
        <f t="shared" si="35"/>
        <v>0</v>
      </c>
      <c r="AH51" s="93">
        <f t="shared" si="35"/>
        <v>0</v>
      </c>
      <c r="AI51" s="93">
        <f t="shared" si="35"/>
        <v>0</v>
      </c>
      <c r="AJ51" s="93">
        <f t="shared" si="35"/>
        <v>0</v>
      </c>
      <c r="AK51" s="93">
        <f t="shared" si="35"/>
        <v>0</v>
      </c>
      <c r="AL51" s="93">
        <f t="shared" si="35"/>
        <v>0</v>
      </c>
      <c r="AM51" s="127"/>
      <c r="AN51" s="93">
        <f t="shared" ref="AN51:AU51" si="36" xml:space="preserve"> IF(AND($C51="Capital expenditure purpose - WASTEWATER additional line 15 [Other categories]",$O51=0), 0, IF( ISNUMBER( P51 ), 0, 1 ))</f>
        <v>0</v>
      </c>
      <c r="AO51" s="93">
        <f t="shared" si="36"/>
        <v>0</v>
      </c>
      <c r="AP51" s="93">
        <f t="shared" si="36"/>
        <v>0</v>
      </c>
      <c r="AQ51" s="93">
        <f t="shared" si="36"/>
        <v>0</v>
      </c>
      <c r="AR51" s="93">
        <f t="shared" si="36"/>
        <v>0</v>
      </c>
      <c r="AS51" s="93">
        <f t="shared" si="36"/>
        <v>0</v>
      </c>
      <c r="AT51" s="93">
        <f t="shared" si="36"/>
        <v>0</v>
      </c>
      <c r="AU51" s="93">
        <f t="shared" si="36"/>
        <v>0</v>
      </c>
      <c r="AV51" s="71"/>
      <c r="AW51" s="2004"/>
      <c r="AY51" s="2004"/>
      <c r="AZ51" s="2004"/>
      <c r="BA51" s="2004"/>
      <c r="BC51" s="2004"/>
      <c r="BD51" s="1475" t="s">
        <v>6825</v>
      </c>
      <c r="BE51" s="2865" t="s">
        <v>6847</v>
      </c>
      <c r="BF51" s="1016"/>
      <c r="BG51" s="1016" t="s">
        <v>51</v>
      </c>
      <c r="BH51" s="1017">
        <v>3</v>
      </c>
      <c r="BI51" s="2866" t="s">
        <v>6847</v>
      </c>
      <c r="BJ51" s="2867" t="s">
        <v>6848</v>
      </c>
      <c r="BK51" s="2868" t="s">
        <v>6849</v>
      </c>
      <c r="BL51" s="2869" t="s">
        <v>6850</v>
      </c>
      <c r="BM51" s="2867" t="s">
        <v>6851</v>
      </c>
      <c r="BN51" s="2867" t="s">
        <v>6852</v>
      </c>
      <c r="BO51" s="2870" t="s">
        <v>6853</v>
      </c>
      <c r="BP51" s="2868" t="s">
        <v>6854</v>
      </c>
      <c r="BQ51" s="2146" t="s">
        <v>6855</v>
      </c>
      <c r="BR51" s="2871" t="s">
        <v>6856</v>
      </c>
      <c r="BS51" s="2867" t="s">
        <v>6857</v>
      </c>
      <c r="BT51" s="2868" t="s">
        <v>6858</v>
      </c>
      <c r="BU51" s="2869" t="s">
        <v>6859</v>
      </c>
      <c r="BV51" s="2867" t="s">
        <v>6860</v>
      </c>
      <c r="BW51" s="2867" t="s">
        <v>6861</v>
      </c>
      <c r="BX51" s="2870" t="s">
        <v>6862</v>
      </c>
      <c r="BY51" s="2868" t="s">
        <v>6863</v>
      </c>
      <c r="BZ51" s="2146" t="s">
        <v>6864</v>
      </c>
    </row>
    <row r="52" spans="1:78" ht="23.25" customHeight="1" thickBot="1">
      <c r="A52" s="995"/>
      <c r="B52" s="1019" t="s">
        <v>6865</v>
      </c>
      <c r="C52" s="1020" t="s">
        <v>5924</v>
      </c>
      <c r="D52" s="1016"/>
      <c r="E52" s="1016" t="s">
        <v>51</v>
      </c>
      <c r="F52" s="1017">
        <v>3</v>
      </c>
      <c r="G52" s="1445">
        <f>SUM(G8:G51)</f>
        <v>29.402000000000001</v>
      </c>
      <c r="H52" s="1449">
        <f>SUM(H8:H51)</f>
        <v>32.363</v>
      </c>
      <c r="I52" s="1465">
        <f t="shared" ref="I52:M52" si="37">SUM(I8:I51)</f>
        <v>13.659999999999998</v>
      </c>
      <c r="J52" s="1022">
        <f t="shared" si="37"/>
        <v>35.655000000000001</v>
      </c>
      <c r="K52" s="1465">
        <f t="shared" si="37"/>
        <v>1.0999999999999999E-2</v>
      </c>
      <c r="L52" s="1023">
        <f t="shared" si="37"/>
        <v>2.7E-2</v>
      </c>
      <c r="M52" s="1450">
        <f t="shared" si="37"/>
        <v>2.2939999999999996</v>
      </c>
      <c r="N52" s="1465">
        <f>SUM(N8:N51)</f>
        <v>5.0000000000000001E-3</v>
      </c>
      <c r="O52" s="486">
        <f t="shared" si="0"/>
        <v>113.41699999999999</v>
      </c>
      <c r="P52" s="1022">
        <f>SUM(P8:P51)</f>
        <v>39.655999999999999</v>
      </c>
      <c r="Q52" s="1449">
        <f t="shared" ref="Q52:V52" si="38">SUM(Q8:Q51)</f>
        <v>43.56</v>
      </c>
      <c r="R52" s="1465">
        <f t="shared" si="38"/>
        <v>18.571999999999999</v>
      </c>
      <c r="S52" s="1022">
        <f t="shared" si="38"/>
        <v>124.163</v>
      </c>
      <c r="T52" s="1465">
        <f t="shared" si="38"/>
        <v>3.3000000000000002E-2</v>
      </c>
      <c r="U52" s="1023">
        <f t="shared" si="38"/>
        <v>8.1000000000000003E-2</v>
      </c>
      <c r="V52" s="1450">
        <f t="shared" si="38"/>
        <v>7.7929999999999993</v>
      </c>
      <c r="W52" s="1465">
        <f>SUM(W8:W51)</f>
        <v>1.4E-2</v>
      </c>
      <c r="X52" s="486">
        <f t="shared" si="1"/>
        <v>233.87200000000001</v>
      </c>
      <c r="Y52" s="1768"/>
      <c r="Z52" s="2004"/>
      <c r="AA52" s="1370">
        <f>IF(SUM(AV52:AX52)&lt;&gt;0,$BA$52,IF(SUM(AV53:AX54)=0,0,$BA$53))</f>
        <v>0</v>
      </c>
      <c r="AB52" s="192"/>
      <c r="AC52" s="71"/>
      <c r="AD52" s="192"/>
      <c r="AM52" s="127"/>
      <c r="AV52" s="71"/>
      <c r="AW52" s="93">
        <f xml:space="preserve"> IF( (AY52 - AZ52) = 0, 0, 1 )</f>
        <v>0</v>
      </c>
      <c r="AX52" s="124"/>
      <c r="AY52" s="112">
        <f>ROUND(O52,3)</f>
        <v>113.417</v>
      </c>
      <c r="AZ52" s="112">
        <f xml:space="preserve"> ROUND( ('4E'!O23+'4E'!O24+'4E'!O25), 3 )</f>
        <v>113.417</v>
      </c>
      <c r="BA52" s="139" t="s">
        <v>6866</v>
      </c>
      <c r="BB52" s="71"/>
      <c r="BC52" s="2004"/>
      <c r="BD52" s="1019" t="s">
        <v>6845</v>
      </c>
      <c r="BE52" s="2836" t="s">
        <v>5924</v>
      </c>
      <c r="BF52" s="1016"/>
      <c r="BG52" s="1016" t="s">
        <v>51</v>
      </c>
      <c r="BH52" s="1017">
        <v>3</v>
      </c>
      <c r="BI52" s="1913" t="s">
        <v>6867</v>
      </c>
      <c r="BJ52" s="1917" t="s">
        <v>6868</v>
      </c>
      <c r="BK52" s="1914" t="s">
        <v>6869</v>
      </c>
      <c r="BL52" s="1915" t="s">
        <v>6870</v>
      </c>
      <c r="BM52" s="1917" t="s">
        <v>6871</v>
      </c>
      <c r="BN52" s="1917" t="s">
        <v>6872</v>
      </c>
      <c r="BO52" s="2872" t="s">
        <v>6873</v>
      </c>
      <c r="BP52" s="1914" t="s">
        <v>6874</v>
      </c>
      <c r="BQ52" s="2103" t="s">
        <v>6875</v>
      </c>
      <c r="BR52" s="2873" t="s">
        <v>6876</v>
      </c>
      <c r="BS52" s="1917" t="s">
        <v>6877</v>
      </c>
      <c r="BT52" s="1914" t="s">
        <v>6878</v>
      </c>
      <c r="BU52" s="1915" t="s">
        <v>6879</v>
      </c>
      <c r="BV52" s="1917" t="s">
        <v>6880</v>
      </c>
      <c r="BW52" s="1917" t="s">
        <v>6881</v>
      </c>
      <c r="BX52" s="2872" t="s">
        <v>6882</v>
      </c>
      <c r="BY52" s="1914" t="s">
        <v>6883</v>
      </c>
      <c r="BZ52" s="2103" t="s">
        <v>6884</v>
      </c>
    </row>
    <row r="53" spans="1:78" ht="15.75">
      <c r="A53" s="995"/>
      <c r="B53" s="995"/>
      <c r="C53" s="995"/>
      <c r="D53" s="995"/>
      <c r="E53" s="995"/>
      <c r="F53" s="995"/>
      <c r="G53" s="1573">
        <f>IF('4K'!G49=0,(IF(G52='4K'!G24+'4K'!G25+'4K'!G26,0,1)),0)</f>
        <v>0</v>
      </c>
      <c r="H53" s="1573">
        <f>IF('4K'!H49=0,(IF(H52='4K'!H24+'4K'!H25+'4K'!H26,0,1)),0)</f>
        <v>0</v>
      </c>
      <c r="I53" s="1573">
        <f>IF('4K'!I49=0,(IF(I52='4K'!I24+'4K'!I25+'4K'!I26,0,1)),0)</f>
        <v>0</v>
      </c>
      <c r="J53" s="1573">
        <f>IF('4K'!J49=0,(IF(J52='4K'!J24+'4K'!J25+'4K'!J26,0,1)),0)</f>
        <v>0</v>
      </c>
      <c r="K53" s="1573">
        <f>IF('4K'!K49=0,(IF(K52='4K'!K24+'4K'!K25+'4K'!K26,0,1)),0)</f>
        <v>0</v>
      </c>
      <c r="L53" s="1573">
        <f>IF('4K'!L49=0,(IF(L52='4K'!L24+'4K'!L25+'4K'!L26,0,1)),0)</f>
        <v>0</v>
      </c>
      <c r="M53" s="1573">
        <f>IF('4K'!M49=0,(IF(M52='4K'!M24+'4K'!M25+'4K'!M26,0,1)),0)</f>
        <v>0</v>
      </c>
      <c r="N53" s="1573">
        <f>IF('4K'!N49=0,(IF(N52='4K'!N24+'4K'!N25+'4K'!N26,0,1)),0)</f>
        <v>0</v>
      </c>
      <c r="O53" s="1585">
        <f>SUM(G53:N53)</f>
        <v>0</v>
      </c>
      <c r="P53" s="2004"/>
      <c r="Q53" s="2004"/>
      <c r="R53" s="2004"/>
      <c r="S53" s="2004"/>
      <c r="T53" s="2004"/>
      <c r="U53" s="2004"/>
      <c r="V53" s="2004"/>
      <c r="W53" s="2004"/>
      <c r="X53" s="2004"/>
      <c r="Y53" s="2004"/>
      <c r="Z53" s="2004"/>
      <c r="AA53" s="1027"/>
      <c r="AB53" s="1028"/>
      <c r="AC53" s="71"/>
      <c r="AD53" s="192"/>
      <c r="AJ53" s="1036"/>
      <c r="AK53" s="1036"/>
      <c r="AL53" s="1036"/>
      <c r="AM53" s="1756"/>
      <c r="AN53" s="1036"/>
      <c r="AO53" s="1036"/>
      <c r="AP53" s="1036"/>
      <c r="AQ53" s="1036"/>
      <c r="AR53" s="1036"/>
      <c r="AS53" s="1036"/>
      <c r="AT53" s="1036"/>
      <c r="AU53" s="1036"/>
      <c r="AV53" s="71"/>
      <c r="AW53" s="93">
        <f xml:space="preserve"> IF( (AY53 - AZ53) = 0, 0, 1 )</f>
        <v>0</v>
      </c>
      <c r="AX53" s="124"/>
      <c r="AY53" s="112">
        <f>IF(AZ53=0,0,ROUND(O52,3))</f>
        <v>0</v>
      </c>
      <c r="AZ53" s="112">
        <f xml:space="preserve"> IF('4K'!O49 = 0,ROUND( ('4K'!O24+'4K'!O25+'4K'!O26), 3 ),0)</f>
        <v>0</v>
      </c>
      <c r="BA53" s="139" t="s">
        <v>6885</v>
      </c>
      <c r="BB53" s="71"/>
      <c r="BC53" s="2004"/>
      <c r="BD53" s="479"/>
      <c r="BE53" s="479"/>
      <c r="BF53" s="479"/>
      <c r="BG53" s="479"/>
      <c r="BH53" s="479"/>
      <c r="BI53" s="2104"/>
      <c r="BJ53" s="2104"/>
      <c r="BK53" s="2104"/>
      <c r="BL53" s="2104"/>
      <c r="BM53" s="2104"/>
      <c r="BN53" s="2104"/>
      <c r="BO53" s="2104"/>
      <c r="BP53" s="2104"/>
      <c r="BQ53" s="2104"/>
      <c r="BR53" s="2104"/>
      <c r="BS53" s="2104"/>
      <c r="BT53" s="2104"/>
      <c r="BU53" s="2104"/>
      <c r="BV53" s="2104"/>
      <c r="BW53" s="2104"/>
      <c r="BX53" s="2104"/>
      <c r="BY53" s="2104"/>
      <c r="BZ53" s="2104"/>
    </row>
    <row r="54" spans="1:78" ht="15.75">
      <c r="A54" s="995"/>
      <c r="B54" s="1069" t="s">
        <v>243</v>
      </c>
      <c r="C54" s="3027"/>
      <c r="D54" s="3027"/>
      <c r="E54" s="995"/>
      <c r="F54" s="995"/>
      <c r="G54" s="995"/>
      <c r="H54" s="995"/>
      <c r="I54" s="995"/>
      <c r="J54" s="995"/>
      <c r="K54" s="995"/>
      <c r="L54" s="995"/>
      <c r="M54" s="995"/>
      <c r="N54" s="995"/>
      <c r="O54" s="995"/>
      <c r="P54" s="2004"/>
      <c r="Q54" s="2004"/>
      <c r="R54" s="2004"/>
      <c r="S54" s="2004"/>
      <c r="T54" s="2004"/>
      <c r="U54" s="2004"/>
      <c r="V54" s="2004"/>
      <c r="W54" s="2004"/>
      <c r="X54" s="2004"/>
      <c r="Y54" s="2004"/>
      <c r="Z54" s="2004"/>
      <c r="AA54" s="110"/>
      <c r="AB54" s="110"/>
      <c r="AC54" s="1676"/>
      <c r="AD54" s="286"/>
      <c r="AE54" s="110"/>
      <c r="AF54" s="110"/>
      <c r="AG54" s="110"/>
      <c r="AH54" s="110"/>
      <c r="AI54" s="110"/>
      <c r="AJ54" s="1038"/>
      <c r="AK54" s="1038"/>
      <c r="AL54" s="1038"/>
      <c r="AM54" s="1042"/>
      <c r="AN54" s="1038"/>
      <c r="AO54" s="1038"/>
      <c r="AP54" s="1038"/>
      <c r="AQ54" s="1038"/>
      <c r="AR54" s="1038"/>
      <c r="AS54" s="1038"/>
      <c r="AT54" s="1038"/>
      <c r="AU54" s="1038"/>
      <c r="AV54" s="1685"/>
      <c r="AW54" s="1038"/>
      <c r="AX54" s="1685"/>
      <c r="AY54" s="2004"/>
      <c r="AZ54" s="2004"/>
      <c r="BA54" s="2004"/>
      <c r="BC54" s="2004"/>
      <c r="BD54" s="479"/>
      <c r="BE54" s="479"/>
      <c r="BF54" s="479"/>
      <c r="BG54" s="479"/>
      <c r="BH54" s="479"/>
      <c r="BI54" s="479"/>
      <c r="BJ54" s="479"/>
      <c r="BK54" s="479"/>
      <c r="BL54" s="479"/>
      <c r="BM54" s="479"/>
      <c r="BN54" s="479"/>
      <c r="BO54" s="479"/>
      <c r="BP54" s="479"/>
      <c r="BQ54" s="479"/>
      <c r="BR54" s="479"/>
      <c r="BS54" s="479"/>
      <c r="BT54" s="479"/>
      <c r="BU54" s="479"/>
      <c r="BV54" s="479"/>
      <c r="BW54" s="479"/>
      <c r="BX54" s="479"/>
      <c r="BY54" s="479"/>
      <c r="BZ54" s="479"/>
    </row>
    <row r="55" spans="1:78" ht="15.75">
      <c r="A55" s="995"/>
      <c r="B55" s="1024"/>
      <c r="C55" s="1031"/>
      <c r="D55" s="1031"/>
      <c r="E55" s="995"/>
      <c r="F55" s="995"/>
      <c r="G55" s="995"/>
      <c r="H55" s="995"/>
      <c r="I55" s="995"/>
      <c r="J55" s="995"/>
      <c r="K55" s="995"/>
      <c r="L55" s="995"/>
      <c r="M55" s="995"/>
      <c r="N55" s="995"/>
      <c r="O55" s="995"/>
      <c r="P55" s="2004"/>
      <c r="Q55" s="2004"/>
      <c r="R55" s="2004"/>
      <c r="S55" s="2004"/>
      <c r="T55" s="2004"/>
      <c r="U55" s="2004"/>
      <c r="V55" s="2004"/>
      <c r="W55" s="2004"/>
      <c r="X55" s="2004"/>
      <c r="Y55" s="2004"/>
      <c r="Z55" s="2004"/>
      <c r="AA55" s="110"/>
      <c r="AB55" s="110"/>
      <c r="AC55" s="1676"/>
      <c r="AD55" s="286"/>
      <c r="AE55" s="110"/>
      <c r="AF55" s="110"/>
      <c r="AG55" s="110"/>
      <c r="AH55" s="110"/>
      <c r="AI55" s="110"/>
      <c r="AJ55" s="1038"/>
      <c r="AK55" s="1038"/>
      <c r="AL55" s="1038"/>
      <c r="AM55" s="1042"/>
      <c r="AN55" s="1038"/>
      <c r="AO55" s="1038"/>
      <c r="AP55" s="1038"/>
      <c r="AQ55" s="1038"/>
      <c r="AR55" s="1038"/>
      <c r="AS55" s="1038"/>
      <c r="AT55" s="1038"/>
      <c r="AU55" s="1038"/>
      <c r="AV55" s="1685"/>
      <c r="AW55" s="2004"/>
      <c r="AY55" s="2004"/>
      <c r="AZ55" s="2004"/>
      <c r="BA55" s="2004"/>
      <c r="BC55" s="2004"/>
      <c r="BD55" s="2004"/>
      <c r="BE55" s="2004"/>
      <c r="BF55" s="2004"/>
      <c r="BG55" s="2004"/>
      <c r="BH55" s="2004"/>
      <c r="BI55" s="2004"/>
      <c r="BJ55" s="2004"/>
      <c r="BK55" s="2004"/>
      <c r="BL55" s="2004"/>
      <c r="BM55" s="2004"/>
      <c r="BN55" s="2004"/>
      <c r="BO55" s="2004"/>
      <c r="BP55" s="2004"/>
      <c r="BQ55" s="2004"/>
      <c r="BR55" s="2004"/>
      <c r="BS55" s="2004"/>
      <c r="BT55" s="2004"/>
      <c r="BU55" s="2004"/>
      <c r="BV55" s="2004"/>
      <c r="BW55" s="2004"/>
      <c r="BX55" s="2004"/>
      <c r="BY55" s="2004"/>
      <c r="BZ55" s="2004"/>
    </row>
    <row r="56" spans="1:78" ht="15.75">
      <c r="A56" s="995"/>
      <c r="B56" s="958"/>
      <c r="C56" s="959" t="s">
        <v>190</v>
      </c>
      <c r="D56" s="959"/>
      <c r="E56" s="995"/>
      <c r="F56" s="995"/>
      <c r="G56" s="995"/>
      <c r="H56" s="995"/>
      <c r="I56" s="995"/>
      <c r="J56" s="995"/>
      <c r="K56" s="995"/>
      <c r="L56" s="995"/>
      <c r="M56" s="995"/>
      <c r="N56" s="995"/>
      <c r="O56" s="995"/>
      <c r="P56" s="2004"/>
      <c r="Q56" s="2004"/>
      <c r="R56" s="2004"/>
      <c r="S56" s="2004"/>
      <c r="T56" s="2004"/>
      <c r="U56" s="2004"/>
      <c r="V56" s="2004"/>
      <c r="W56" s="2004"/>
      <c r="X56" s="2004"/>
      <c r="Y56" s="2004"/>
      <c r="Z56" s="2004"/>
      <c r="AA56" s="110"/>
      <c r="AB56" s="110"/>
      <c r="AC56" s="1676"/>
      <c r="AD56" s="286"/>
      <c r="AE56" s="110"/>
      <c r="AF56" s="110"/>
      <c r="AG56" s="110"/>
      <c r="AH56" s="110"/>
      <c r="AI56" s="110"/>
      <c r="AJ56" s="1038"/>
      <c r="AK56" s="1038"/>
      <c r="AL56" s="1038"/>
      <c r="AM56" s="1042"/>
      <c r="AN56" s="1038"/>
      <c r="AO56" s="1038"/>
      <c r="AP56" s="1038"/>
      <c r="AQ56" s="1038"/>
      <c r="AR56" s="1038"/>
      <c r="AS56" s="1038"/>
      <c r="AT56" s="1038"/>
      <c r="AU56" s="1038"/>
      <c r="AV56" s="1685"/>
      <c r="AW56" s="2004"/>
      <c r="AY56" s="2004"/>
      <c r="AZ56" s="2004"/>
      <c r="BA56" s="2004"/>
      <c r="BC56" s="2004"/>
      <c r="BD56" s="2004"/>
      <c r="BE56" s="2004"/>
      <c r="BF56" s="2004"/>
      <c r="BG56" s="2004"/>
      <c r="BH56" s="2004"/>
      <c r="BI56" s="2004"/>
      <c r="BJ56" s="2004"/>
      <c r="BK56" s="2004"/>
      <c r="BL56" s="2004"/>
      <c r="BM56" s="2004"/>
      <c r="BN56" s="2004"/>
      <c r="BO56" s="2004"/>
      <c r="BP56" s="2004"/>
      <c r="BQ56" s="2004"/>
      <c r="BR56" s="2004"/>
      <c r="BS56" s="2004"/>
      <c r="BT56" s="2004"/>
      <c r="BU56" s="2004"/>
      <c r="BV56" s="2004"/>
      <c r="BW56" s="2004"/>
      <c r="BX56" s="2004"/>
      <c r="BY56" s="2004"/>
      <c r="BZ56" s="2004"/>
    </row>
    <row r="57" spans="1:78" ht="15.75">
      <c r="A57" s="995"/>
      <c r="B57" s="956"/>
      <c r="C57" s="957"/>
      <c r="D57" s="957"/>
      <c r="E57" s="995"/>
      <c r="F57" s="995"/>
      <c r="G57" s="995"/>
      <c r="H57" s="995"/>
      <c r="I57" s="995"/>
      <c r="J57" s="995"/>
      <c r="K57" s="995"/>
      <c r="L57" s="995"/>
      <c r="M57" s="995"/>
      <c r="N57" s="995"/>
      <c r="O57" s="995"/>
      <c r="P57" s="2004"/>
      <c r="Q57" s="2004"/>
      <c r="R57" s="2004"/>
      <c r="S57" s="2004"/>
      <c r="T57" s="2004"/>
      <c r="U57" s="2004"/>
      <c r="V57" s="2004"/>
      <c r="W57" s="2004"/>
      <c r="X57" s="2004"/>
      <c r="Y57" s="2004"/>
      <c r="Z57" s="2004"/>
      <c r="AA57" s="110"/>
      <c r="AB57" s="110"/>
      <c r="AC57" s="1676"/>
      <c r="AD57" s="286"/>
      <c r="AE57" s="110"/>
      <c r="AF57" s="110"/>
      <c r="AG57" s="110"/>
      <c r="AH57" s="110"/>
      <c r="AI57" s="110"/>
      <c r="AJ57" s="1038"/>
      <c r="AK57" s="1038"/>
      <c r="AL57" s="1038"/>
      <c r="AM57" s="1042"/>
      <c r="AN57" s="1038"/>
      <c r="AO57" s="1038"/>
      <c r="AP57" s="1038"/>
      <c r="AQ57" s="1038"/>
      <c r="AR57" s="1038"/>
      <c r="AS57" s="1038"/>
      <c r="AT57" s="1038"/>
      <c r="AU57" s="1038"/>
      <c r="AV57" s="1685"/>
      <c r="AW57" s="2004"/>
      <c r="AY57" s="2004"/>
      <c r="AZ57" s="2004"/>
      <c r="BA57" s="2004"/>
      <c r="BC57" s="2004"/>
      <c r="BD57" s="2004"/>
      <c r="BE57" s="2004"/>
      <c r="BF57" s="2004"/>
      <c r="BG57" s="2004"/>
      <c r="BH57" s="2004"/>
      <c r="BI57" s="2004"/>
      <c r="BJ57" s="2004"/>
      <c r="BK57" s="2004"/>
      <c r="BL57" s="2004"/>
      <c r="BM57" s="2004"/>
      <c r="BN57" s="2004"/>
      <c r="BO57" s="2004"/>
      <c r="BP57" s="2004"/>
      <c r="BQ57" s="2004"/>
      <c r="BR57" s="2004"/>
      <c r="BS57" s="2004"/>
      <c r="BT57" s="2004"/>
      <c r="BU57" s="2004"/>
      <c r="BV57" s="2004"/>
      <c r="BW57" s="2004"/>
      <c r="BX57" s="2004"/>
      <c r="BY57" s="2004"/>
      <c r="BZ57" s="2004"/>
    </row>
    <row r="58" spans="1:78" ht="15.75">
      <c r="A58" s="995"/>
      <c r="B58" s="960"/>
      <c r="C58" s="959" t="s">
        <v>5294</v>
      </c>
      <c r="D58" s="959"/>
      <c r="E58" s="995"/>
      <c r="F58" s="995"/>
      <c r="G58" s="995"/>
      <c r="H58" s="995"/>
      <c r="I58" s="995"/>
      <c r="J58" s="995"/>
      <c r="K58" s="995"/>
      <c r="L58" s="995"/>
      <c r="M58" s="995"/>
      <c r="N58" s="995"/>
      <c r="O58" s="995"/>
      <c r="P58" s="2004"/>
      <c r="Q58" s="2004"/>
      <c r="R58" s="2004"/>
      <c r="S58" s="2004"/>
      <c r="T58" s="2004"/>
      <c r="U58" s="2004"/>
      <c r="V58" s="2004"/>
      <c r="W58" s="2004"/>
      <c r="X58" s="2004"/>
      <c r="Y58" s="2004"/>
      <c r="Z58" s="2004"/>
      <c r="AA58" s="110"/>
      <c r="AB58" s="110"/>
      <c r="AC58" s="1676"/>
      <c r="AD58" s="286"/>
      <c r="AE58" s="110"/>
      <c r="AF58" s="110"/>
      <c r="AG58" s="110"/>
      <c r="AH58" s="110"/>
      <c r="AI58" s="110"/>
      <c r="AJ58" s="1038"/>
      <c r="AK58" s="1038"/>
      <c r="AL58" s="1038"/>
      <c r="AM58" s="1042"/>
      <c r="AN58" s="1038"/>
      <c r="AO58" s="1038"/>
      <c r="AP58" s="1038"/>
      <c r="AQ58" s="1038"/>
      <c r="AR58" s="1038"/>
      <c r="AS58" s="1038"/>
      <c r="AT58" s="1038"/>
      <c r="AU58" s="1038"/>
      <c r="AV58" s="1685"/>
      <c r="AW58" s="2004"/>
      <c r="AY58" s="2004"/>
      <c r="AZ58" s="2004"/>
      <c r="BA58" s="2004"/>
      <c r="BC58" s="2004"/>
      <c r="BD58" s="2004"/>
      <c r="BE58" s="2004"/>
      <c r="BF58" s="2004"/>
      <c r="BG58" s="2004"/>
      <c r="BH58" s="2004"/>
      <c r="BI58" s="2004"/>
      <c r="BJ58" s="2004"/>
      <c r="BK58" s="2004"/>
      <c r="BL58" s="2004"/>
      <c r="BM58" s="2004"/>
      <c r="BN58" s="2004"/>
      <c r="BO58" s="2004"/>
      <c r="BP58" s="2004"/>
      <c r="BQ58" s="2004"/>
      <c r="BR58" s="2004"/>
      <c r="BS58" s="2004"/>
      <c r="BT58" s="2004"/>
      <c r="BU58" s="2004"/>
      <c r="BV58" s="2004"/>
      <c r="BW58" s="2004"/>
      <c r="BX58" s="2004"/>
      <c r="BY58" s="2004"/>
      <c r="BZ58" s="2004"/>
    </row>
    <row r="59" spans="1:78" ht="15.75">
      <c r="A59" s="995"/>
      <c r="B59" s="995"/>
      <c r="C59" s="995"/>
      <c r="D59" s="995"/>
      <c r="E59" s="995"/>
      <c r="F59" s="995"/>
      <c r="G59" s="995"/>
      <c r="H59" s="995"/>
      <c r="I59" s="995"/>
      <c r="J59" s="995"/>
      <c r="K59" s="995"/>
      <c r="L59" s="995"/>
      <c r="M59" s="995"/>
      <c r="N59" s="995"/>
      <c r="O59" s="995"/>
      <c r="P59" s="2004"/>
      <c r="Q59" s="2004"/>
      <c r="R59" s="2004"/>
      <c r="S59" s="2004"/>
      <c r="T59" s="2004"/>
      <c r="U59" s="2004"/>
      <c r="V59" s="2004"/>
      <c r="W59" s="2004"/>
      <c r="X59" s="2004"/>
      <c r="Y59" s="2004"/>
      <c r="Z59" s="2004"/>
      <c r="AA59" s="110"/>
      <c r="AB59" s="110"/>
      <c r="AC59" s="1676"/>
      <c r="AD59" s="286"/>
      <c r="AE59" s="110"/>
      <c r="AF59" s="110"/>
      <c r="AG59" s="110"/>
      <c r="AH59" s="110"/>
      <c r="AI59" s="110"/>
      <c r="AJ59" s="1038"/>
      <c r="AK59" s="1038"/>
      <c r="AL59" s="1038"/>
      <c r="AM59" s="1042"/>
      <c r="AN59" s="1038"/>
      <c r="AO59" s="1038"/>
      <c r="AP59" s="1038"/>
      <c r="AQ59" s="1038"/>
      <c r="AR59" s="1038"/>
      <c r="AS59" s="1038"/>
      <c r="AT59" s="1038"/>
      <c r="AU59" s="1038"/>
      <c r="AV59" s="1685"/>
      <c r="AW59" s="2004"/>
      <c r="AY59" s="2004"/>
      <c r="AZ59" s="2004"/>
      <c r="BA59" s="2004"/>
      <c r="BC59" s="2004"/>
      <c r="BD59" s="2004"/>
      <c r="BE59" s="2004"/>
      <c r="BF59" s="2004"/>
      <c r="BG59" s="2004"/>
      <c r="BH59" s="2004"/>
      <c r="BI59" s="2004"/>
      <c r="BJ59" s="2004"/>
      <c r="BK59" s="2004"/>
      <c r="BL59" s="2004"/>
      <c r="BM59" s="2004"/>
      <c r="BN59" s="2004"/>
      <c r="BO59" s="2004"/>
      <c r="BP59" s="2004"/>
      <c r="BQ59" s="2004"/>
      <c r="BR59" s="2004"/>
      <c r="BS59" s="2004"/>
      <c r="BT59" s="2004"/>
      <c r="BU59" s="2004"/>
      <c r="BV59" s="2004"/>
      <c r="BW59" s="2004"/>
      <c r="BX59" s="2004"/>
      <c r="BY59" s="2004"/>
      <c r="BZ59" s="2004"/>
    </row>
    <row r="60" spans="1:78" ht="16.5" thickBot="1">
      <c r="A60" s="995"/>
      <c r="B60" s="995"/>
      <c r="C60" s="995"/>
      <c r="D60" s="995"/>
      <c r="E60" s="995"/>
      <c r="F60" s="995"/>
      <c r="G60" s="995"/>
      <c r="H60" s="995"/>
      <c r="I60" s="995"/>
      <c r="J60" s="995"/>
      <c r="K60" s="995"/>
      <c r="L60" s="995"/>
      <c r="M60" s="995"/>
      <c r="N60" s="995"/>
      <c r="O60" s="995"/>
      <c r="P60" s="2004"/>
      <c r="Q60" s="2004"/>
      <c r="R60" s="2004"/>
      <c r="S60" s="2004"/>
      <c r="T60" s="2004"/>
      <c r="U60" s="2004"/>
      <c r="V60" s="2004"/>
      <c r="W60" s="2004"/>
      <c r="X60" s="2004"/>
      <c r="Y60" s="2004"/>
      <c r="Z60" s="2004"/>
      <c r="AA60" s="110"/>
      <c r="AB60" s="110"/>
      <c r="AC60" s="1676"/>
      <c r="AD60" s="286"/>
      <c r="AE60" s="110"/>
      <c r="AF60" s="110"/>
      <c r="AG60" s="110"/>
      <c r="AH60" s="110"/>
      <c r="AI60" s="110"/>
      <c r="AJ60" s="1038"/>
      <c r="AK60" s="1038"/>
      <c r="AL60" s="1038"/>
      <c r="AM60" s="1042"/>
      <c r="AN60" s="1038"/>
      <c r="AO60" s="1038"/>
      <c r="AP60" s="1038"/>
      <c r="AQ60" s="1038"/>
      <c r="AR60" s="1038"/>
      <c r="AS60" s="1038"/>
      <c r="AT60" s="1038"/>
      <c r="AU60" s="1038"/>
      <c r="AV60" s="1685"/>
      <c r="AW60" s="2004"/>
      <c r="AY60" s="2004"/>
      <c r="AZ60" s="2004"/>
      <c r="BA60" s="2004"/>
      <c r="BC60" s="2004"/>
      <c r="BD60" s="2004"/>
      <c r="BE60" s="2004"/>
      <c r="BF60" s="2004"/>
      <c r="BG60" s="2004"/>
      <c r="BH60" s="2004"/>
      <c r="BI60" s="2004"/>
      <c r="BJ60" s="2004"/>
      <c r="BK60" s="2004"/>
      <c r="BL60" s="2004"/>
      <c r="BM60" s="2004"/>
      <c r="BN60" s="2004"/>
      <c r="BO60" s="2004"/>
      <c r="BP60" s="2004"/>
      <c r="BQ60" s="2004"/>
      <c r="BR60" s="2004"/>
      <c r="BS60" s="2004"/>
      <c r="BT60" s="2004"/>
      <c r="BU60" s="2004"/>
      <c r="BV60" s="2004"/>
      <c r="BW60" s="2004"/>
      <c r="BX60" s="2004"/>
      <c r="BY60" s="2004"/>
      <c r="BZ60" s="2004"/>
    </row>
    <row r="61" spans="1:78" ht="16.5" thickBot="1">
      <c r="A61" s="995"/>
      <c r="B61" s="3031" t="str">
        <f>'4L'!B54</f>
        <v>Please refer to RAG 4.08 - Guideline for the table definitions in the annual performance report for the reporting year 2019-20</v>
      </c>
      <c r="C61" s="3032"/>
      <c r="D61" s="3032"/>
      <c r="E61" s="3032"/>
      <c r="F61" s="3032"/>
      <c r="G61" s="3032"/>
      <c r="H61" s="3032"/>
      <c r="I61" s="3032"/>
      <c r="J61" s="3032"/>
      <c r="K61" s="3032"/>
      <c r="L61" s="3032"/>
      <c r="M61" s="3032"/>
      <c r="N61" s="3032"/>
      <c r="O61" s="3033"/>
      <c r="P61" s="2004"/>
      <c r="Q61" s="2004"/>
      <c r="R61" s="2004"/>
      <c r="S61" s="2004"/>
      <c r="T61" s="2004"/>
      <c r="U61" s="2004"/>
      <c r="V61" s="2004"/>
      <c r="W61" s="2004"/>
      <c r="X61" s="2004"/>
      <c r="Y61" s="2004"/>
      <c r="Z61" s="2004"/>
      <c r="AA61" s="110"/>
      <c r="AB61" s="110"/>
      <c r="AC61" s="1676"/>
      <c r="AD61" s="286"/>
      <c r="AE61" s="110"/>
      <c r="AF61" s="110"/>
      <c r="AG61" s="110"/>
      <c r="AH61" s="110"/>
      <c r="AI61" s="110"/>
      <c r="AJ61" s="1038"/>
      <c r="AK61" s="1038"/>
      <c r="AL61" s="1038"/>
      <c r="AM61" s="1042"/>
      <c r="AN61" s="1038"/>
      <c r="AO61" s="1038"/>
      <c r="AP61" s="1038"/>
      <c r="AQ61" s="1038"/>
      <c r="AR61" s="1038"/>
      <c r="AS61" s="1038"/>
      <c r="AT61" s="1038"/>
      <c r="AU61" s="1038"/>
      <c r="AV61" s="1685"/>
      <c r="AW61" s="2004"/>
      <c r="AY61" s="2004"/>
      <c r="AZ61" s="2004"/>
      <c r="BA61" s="2004"/>
      <c r="BC61" s="2004"/>
      <c r="BD61" s="2004"/>
      <c r="BE61" s="2004"/>
      <c r="BF61" s="2004"/>
      <c r="BG61" s="2004"/>
      <c r="BH61" s="2004"/>
      <c r="BI61" s="2004"/>
      <c r="BJ61" s="2004"/>
      <c r="BK61" s="2004"/>
      <c r="BL61" s="2004"/>
      <c r="BM61" s="2004"/>
      <c r="BN61" s="2004"/>
      <c r="BO61" s="2004"/>
      <c r="BP61" s="2004"/>
      <c r="BQ61" s="2004"/>
      <c r="BR61" s="2004"/>
      <c r="BS61" s="2004"/>
      <c r="BT61" s="2004"/>
      <c r="BU61" s="2004"/>
      <c r="BV61" s="2004"/>
      <c r="BW61" s="2004"/>
      <c r="BX61" s="2004"/>
      <c r="BY61" s="2004"/>
      <c r="BZ61" s="2004"/>
    </row>
    <row r="62" spans="1:78" ht="15.75">
      <c r="A62" s="995"/>
      <c r="B62" s="995"/>
      <c r="C62" s="995"/>
      <c r="D62" s="995"/>
      <c r="E62" s="995"/>
      <c r="F62" s="995"/>
      <c r="G62" s="995"/>
      <c r="H62" s="995"/>
      <c r="I62" s="995"/>
      <c r="J62" s="995"/>
      <c r="K62" s="995"/>
      <c r="L62" s="995"/>
      <c r="M62" s="995"/>
      <c r="N62" s="995"/>
      <c r="O62" s="995"/>
      <c r="P62" s="2004"/>
      <c r="Q62" s="2004"/>
      <c r="R62" s="2004"/>
      <c r="S62" s="2004"/>
      <c r="T62" s="2004"/>
      <c r="U62" s="2004"/>
      <c r="V62" s="2004"/>
      <c r="W62" s="2004"/>
      <c r="X62" s="2004"/>
      <c r="Y62" s="2004"/>
      <c r="Z62" s="2004"/>
      <c r="AA62" s="110"/>
      <c r="AB62" s="110"/>
      <c r="AC62" s="1676"/>
      <c r="AD62" s="286"/>
      <c r="AE62" s="110"/>
      <c r="AF62" s="110"/>
      <c r="AG62" s="110"/>
      <c r="AH62" s="110"/>
      <c r="AI62" s="110"/>
      <c r="AJ62" s="1038"/>
      <c r="AK62" s="1038"/>
      <c r="AL62" s="1038"/>
      <c r="AM62" s="1042"/>
      <c r="AN62" s="1038"/>
      <c r="AO62" s="1038"/>
      <c r="AP62" s="1038"/>
      <c r="AQ62" s="1038"/>
      <c r="AR62" s="1038"/>
      <c r="AS62" s="1038"/>
      <c r="AT62" s="1038"/>
      <c r="AU62" s="1038"/>
      <c r="AV62" s="1685"/>
      <c r="AW62" s="2004"/>
      <c r="AY62" s="2004"/>
      <c r="AZ62" s="2004"/>
      <c r="BA62" s="2004"/>
      <c r="BC62" s="2004"/>
      <c r="BD62" s="2004"/>
      <c r="BE62" s="2004"/>
      <c r="BF62" s="2004"/>
      <c r="BG62" s="2004"/>
      <c r="BH62" s="2004"/>
      <c r="BI62" s="2004"/>
      <c r="BJ62" s="2004"/>
      <c r="BK62" s="2004"/>
      <c r="BL62" s="2004"/>
      <c r="BM62" s="2004"/>
      <c r="BN62" s="2004"/>
      <c r="BO62" s="2004"/>
      <c r="BP62" s="2004"/>
      <c r="BQ62" s="2004"/>
      <c r="BR62" s="2004"/>
      <c r="BS62" s="2004"/>
      <c r="BT62" s="2004"/>
      <c r="BU62" s="2004"/>
      <c r="BV62" s="2004"/>
      <c r="BW62" s="2004"/>
      <c r="BX62" s="2004"/>
      <c r="BY62" s="2004"/>
      <c r="BZ62" s="2004"/>
    </row>
    <row r="63" spans="1:78" ht="16.5" hidden="1" thickBot="1">
      <c r="A63" s="1693"/>
      <c r="B63" s="3428" t="str">
        <f ca="1" xml:space="preserve"> RIGHT(CELL("filename", $A$1), LEN(CELL("filename", $A$1)) - SEARCH("]", CELL("filename", $A$1)))&amp;" - Line definitions"</f>
        <v>4M - Line definitions</v>
      </c>
      <c r="C63" s="3429"/>
      <c r="D63" s="3429"/>
      <c r="E63" s="3429"/>
      <c r="F63" s="3429"/>
      <c r="G63" s="3429"/>
      <c r="H63" s="3429"/>
      <c r="I63" s="3429"/>
      <c r="J63" s="3429"/>
      <c r="K63" s="3429"/>
      <c r="L63" s="3429"/>
      <c r="M63" s="3429"/>
      <c r="N63" s="3429"/>
      <c r="O63" s="3430"/>
      <c r="P63" s="2004"/>
      <c r="Q63" s="2004"/>
      <c r="R63" s="2004"/>
      <c r="S63" s="2004"/>
      <c r="T63" s="2004"/>
      <c r="U63" s="2004"/>
      <c r="V63" s="2004"/>
      <c r="W63" s="2004"/>
      <c r="X63" s="2004"/>
      <c r="Y63" s="2004"/>
      <c r="Z63" s="2004"/>
      <c r="AA63" s="110"/>
      <c r="AB63" s="110"/>
      <c r="AC63" s="1676"/>
      <c r="AD63" s="286"/>
      <c r="AE63" s="110"/>
      <c r="AF63" s="110"/>
      <c r="AG63" s="110"/>
      <c r="AH63" s="110"/>
      <c r="AI63" s="110"/>
      <c r="AJ63" s="1038"/>
      <c r="AK63" s="1038"/>
      <c r="AL63" s="1038"/>
      <c r="AM63" s="1042"/>
      <c r="AN63" s="1038"/>
      <c r="AO63" s="1038"/>
      <c r="AP63" s="1038"/>
      <c r="AQ63" s="1038"/>
      <c r="AR63" s="1038"/>
      <c r="AS63" s="1038"/>
      <c r="AT63" s="1038"/>
      <c r="AU63" s="1038"/>
      <c r="AV63" s="1685"/>
      <c r="AW63" s="2004"/>
      <c r="AY63" s="2004"/>
      <c r="AZ63" s="2004"/>
      <c r="BA63" s="2004"/>
      <c r="BC63" s="2004"/>
      <c r="BD63" s="2004"/>
      <c r="BE63" s="2004"/>
      <c r="BF63" s="2004"/>
      <c r="BG63" s="2004"/>
      <c r="BH63" s="2004"/>
      <c r="BI63" s="2004"/>
      <c r="BJ63" s="2004"/>
      <c r="BK63" s="2004"/>
      <c r="BL63" s="2004"/>
      <c r="BM63" s="2004"/>
      <c r="BN63" s="2004"/>
      <c r="BO63" s="2004"/>
      <c r="BP63" s="2004"/>
      <c r="BQ63" s="2004"/>
      <c r="BR63" s="2004"/>
      <c r="BS63" s="2004"/>
      <c r="BT63" s="2004"/>
      <c r="BU63" s="2004"/>
      <c r="BV63" s="2004"/>
      <c r="BW63" s="2004"/>
      <c r="BX63" s="2004"/>
      <c r="BY63" s="2004"/>
      <c r="BZ63" s="2004"/>
    </row>
    <row r="64" spans="1:78" ht="16.5" hidden="1" thickBot="1">
      <c r="A64" s="1693"/>
      <c r="B64" s="1070"/>
      <c r="C64" s="1070"/>
      <c r="D64" s="1070"/>
      <c r="E64" s="1070"/>
      <c r="F64" s="1071"/>
      <c r="G64" s="1071"/>
      <c r="H64" s="1071"/>
      <c r="I64" s="1071"/>
      <c r="J64" s="1071"/>
      <c r="K64" s="1071"/>
      <c r="L64" s="1071"/>
      <c r="M64" s="1071"/>
      <c r="N64" s="1071"/>
      <c r="O64" s="1071"/>
      <c r="P64" s="2004"/>
      <c r="Q64" s="2004"/>
      <c r="R64" s="2004"/>
      <c r="S64" s="2004"/>
      <c r="T64" s="2004"/>
      <c r="U64" s="2004"/>
      <c r="V64" s="2004"/>
      <c r="W64" s="2004"/>
      <c r="X64" s="2004"/>
      <c r="Y64" s="2004"/>
      <c r="Z64" s="2004"/>
      <c r="AA64" s="110"/>
      <c r="AB64" s="110"/>
      <c r="AC64" s="1676"/>
      <c r="AD64" s="286"/>
      <c r="AE64" s="110"/>
      <c r="AF64" s="110"/>
      <c r="AG64" s="110"/>
      <c r="AH64" s="110"/>
      <c r="AI64" s="110"/>
      <c r="AJ64" s="1038"/>
      <c r="AK64" s="1038"/>
      <c r="AL64" s="1038"/>
      <c r="AM64" s="1042"/>
      <c r="AN64" s="1038"/>
      <c r="AO64" s="1038"/>
      <c r="AP64" s="1038"/>
      <c r="AQ64" s="1038"/>
      <c r="AR64" s="1038"/>
      <c r="AS64" s="1038"/>
      <c r="AT64" s="1038"/>
      <c r="AU64" s="1038"/>
      <c r="AV64" s="1685"/>
      <c r="AW64" s="2004"/>
      <c r="AY64" s="2004"/>
      <c r="AZ64" s="2004"/>
      <c r="BA64" s="2004"/>
      <c r="BC64" s="2004"/>
      <c r="BD64" s="2004"/>
      <c r="BE64" s="2004"/>
      <c r="BF64" s="2004"/>
      <c r="BG64" s="2004"/>
      <c r="BH64" s="2004"/>
      <c r="BI64" s="2004"/>
      <c r="BJ64" s="2004"/>
      <c r="BK64" s="2004"/>
      <c r="BL64" s="2004"/>
      <c r="BM64" s="2004"/>
      <c r="BN64" s="2004"/>
      <c r="BO64" s="2004"/>
      <c r="BP64" s="2004"/>
      <c r="BQ64" s="2004"/>
      <c r="BR64" s="2004"/>
      <c r="BS64" s="2004"/>
      <c r="BT64" s="2004"/>
      <c r="BU64" s="2004"/>
      <c r="BV64" s="2004"/>
      <c r="BW64" s="2004"/>
      <c r="BX64" s="2004"/>
      <c r="BY64" s="2004"/>
      <c r="BZ64" s="2004"/>
    </row>
    <row r="65" spans="1:48" ht="16.5" hidden="1" thickBot="1">
      <c r="A65" s="1693"/>
      <c r="B65" s="1072" t="s">
        <v>193</v>
      </c>
      <c r="C65" s="3431" t="s">
        <v>6886</v>
      </c>
      <c r="D65" s="3431"/>
      <c r="E65" s="3432"/>
      <c r="F65" s="3432"/>
      <c r="G65" s="3432"/>
      <c r="H65" s="3432"/>
      <c r="I65" s="3432"/>
      <c r="J65" s="3432"/>
      <c r="K65" s="3432"/>
      <c r="L65" s="3432"/>
      <c r="M65" s="3432"/>
      <c r="N65" s="3432"/>
      <c r="O65" s="3433"/>
      <c r="P65" s="2004"/>
      <c r="Q65" s="2004"/>
      <c r="R65" s="2004"/>
      <c r="S65" s="2004"/>
      <c r="T65" s="2004"/>
      <c r="U65" s="2004"/>
      <c r="V65" s="2004"/>
      <c r="W65" s="2004"/>
      <c r="X65" s="2004"/>
      <c r="Y65" s="2004"/>
      <c r="Z65" s="2004"/>
      <c r="AA65" s="110"/>
      <c r="AB65" s="110"/>
      <c r="AC65" s="1676"/>
      <c r="AD65" s="286"/>
      <c r="AE65" s="110"/>
      <c r="AF65" s="110"/>
      <c r="AG65" s="110"/>
      <c r="AH65" s="110"/>
      <c r="AI65" s="110"/>
      <c r="AJ65" s="1038"/>
      <c r="AK65" s="1038"/>
      <c r="AL65" s="1038"/>
      <c r="AM65" s="1042"/>
      <c r="AN65" s="1038"/>
      <c r="AO65" s="1038"/>
      <c r="AP65" s="1038"/>
      <c r="AQ65" s="1038"/>
      <c r="AR65" s="1038"/>
      <c r="AS65" s="1038"/>
      <c r="AT65" s="1038"/>
      <c r="AU65" s="1038"/>
      <c r="AV65" s="1685"/>
    </row>
    <row r="66" spans="1:48" ht="15.75" hidden="1">
      <c r="A66" s="1693"/>
      <c r="B66" s="1073">
        <v>1</v>
      </c>
      <c r="C66" s="3434" t="s">
        <v>6887</v>
      </c>
      <c r="D66" s="3435"/>
      <c r="E66" s="3435"/>
      <c r="F66" s="3435"/>
      <c r="G66" s="3435"/>
      <c r="H66" s="3435"/>
      <c r="I66" s="3435"/>
      <c r="J66" s="3435"/>
      <c r="K66" s="3435"/>
      <c r="L66" s="3435"/>
      <c r="M66" s="3435"/>
      <c r="N66" s="3435"/>
      <c r="O66" s="3436"/>
      <c r="P66" s="2004"/>
      <c r="Q66" s="2004"/>
      <c r="R66" s="2004"/>
      <c r="S66" s="2004"/>
      <c r="T66" s="2004"/>
      <c r="U66" s="2004"/>
      <c r="V66" s="2004"/>
      <c r="W66" s="2004"/>
      <c r="X66" s="2004"/>
      <c r="Y66" s="2004"/>
      <c r="Z66" s="2004"/>
      <c r="AA66" s="110"/>
      <c r="AB66" s="110"/>
      <c r="AC66" s="1676"/>
      <c r="AD66" s="286"/>
      <c r="AE66" s="110"/>
      <c r="AF66" s="110"/>
      <c r="AG66" s="110"/>
      <c r="AH66" s="110"/>
      <c r="AI66" s="110"/>
      <c r="AJ66" s="1038"/>
      <c r="AK66" s="1038"/>
      <c r="AL66" s="1038"/>
      <c r="AM66" s="1042"/>
      <c r="AN66" s="1038"/>
      <c r="AO66" s="1038"/>
      <c r="AP66" s="1038"/>
      <c r="AQ66" s="1038"/>
      <c r="AR66" s="1038"/>
      <c r="AS66" s="1038"/>
      <c r="AT66" s="1038"/>
      <c r="AU66" s="1038"/>
      <c r="AV66" s="1685"/>
    </row>
    <row r="67" spans="1:48" ht="15.75" hidden="1">
      <c r="A67" s="1693"/>
      <c r="B67" s="1074">
        <f>+B66+1</f>
        <v>2</v>
      </c>
      <c r="C67" s="3415" t="s">
        <v>6888</v>
      </c>
      <c r="D67" s="3416"/>
      <c r="E67" s="3416"/>
      <c r="F67" s="3416"/>
      <c r="G67" s="3416"/>
      <c r="H67" s="3416"/>
      <c r="I67" s="3416"/>
      <c r="J67" s="3416"/>
      <c r="K67" s="3416"/>
      <c r="L67" s="3416"/>
      <c r="M67" s="3416"/>
      <c r="N67" s="3416"/>
      <c r="O67" s="3417"/>
      <c r="P67" s="2004"/>
      <c r="Q67" s="2004"/>
      <c r="R67" s="2004"/>
      <c r="S67" s="2004"/>
      <c r="T67" s="2004"/>
      <c r="U67" s="2004"/>
      <c r="V67" s="2004"/>
      <c r="W67" s="2004"/>
      <c r="X67" s="2004"/>
      <c r="Y67" s="2004"/>
      <c r="Z67" s="2004"/>
      <c r="AA67" s="110"/>
      <c r="AB67" s="110"/>
      <c r="AC67" s="1676"/>
      <c r="AD67" s="286"/>
      <c r="AE67" s="110"/>
      <c r="AF67" s="110"/>
      <c r="AG67" s="110"/>
      <c r="AH67" s="110"/>
      <c r="AI67" s="110"/>
      <c r="AJ67" s="1038"/>
      <c r="AK67" s="1038"/>
      <c r="AL67" s="1038"/>
      <c r="AM67" s="1042"/>
      <c r="AN67" s="1038"/>
      <c r="AO67" s="1038"/>
      <c r="AP67" s="1038"/>
      <c r="AQ67" s="1038"/>
      <c r="AR67" s="1038"/>
      <c r="AS67" s="1038"/>
      <c r="AT67" s="1038"/>
      <c r="AU67" s="1038"/>
      <c r="AV67" s="1685"/>
    </row>
    <row r="68" spans="1:48" ht="15.75" hidden="1">
      <c r="A68" s="1693"/>
      <c r="B68" s="1074">
        <f t="shared" ref="B68:B93" si="39">+B67+1</f>
        <v>3</v>
      </c>
      <c r="C68" s="3415" t="s">
        <v>6889</v>
      </c>
      <c r="D68" s="3416"/>
      <c r="E68" s="3416"/>
      <c r="F68" s="3416"/>
      <c r="G68" s="3416"/>
      <c r="H68" s="3416"/>
      <c r="I68" s="3416"/>
      <c r="J68" s="3416"/>
      <c r="K68" s="3416"/>
      <c r="L68" s="3416"/>
      <c r="M68" s="3416"/>
      <c r="N68" s="3416"/>
      <c r="O68" s="3417"/>
      <c r="P68" s="2004"/>
      <c r="Q68" s="2004"/>
      <c r="R68" s="2004"/>
      <c r="S68" s="2004"/>
      <c r="T68" s="2004"/>
      <c r="U68" s="2004"/>
      <c r="V68" s="2004"/>
      <c r="W68" s="2004"/>
      <c r="X68" s="2004"/>
      <c r="Y68" s="2004"/>
      <c r="Z68" s="2004"/>
      <c r="AA68" s="110"/>
      <c r="AB68" s="110"/>
      <c r="AC68" s="1676"/>
      <c r="AD68" s="286"/>
      <c r="AE68" s="110"/>
      <c r="AF68" s="110"/>
      <c r="AG68" s="110"/>
      <c r="AH68" s="110"/>
      <c r="AI68" s="110"/>
      <c r="AJ68" s="1038"/>
      <c r="AK68" s="1038"/>
      <c r="AL68" s="1038"/>
      <c r="AM68" s="1042"/>
      <c r="AN68" s="1038"/>
      <c r="AO68" s="1038"/>
      <c r="AP68" s="1038"/>
      <c r="AQ68" s="1038"/>
      <c r="AR68" s="1038"/>
      <c r="AS68" s="1038"/>
      <c r="AT68" s="1038"/>
      <c r="AU68" s="1038"/>
      <c r="AV68" s="1685"/>
    </row>
    <row r="69" spans="1:48" ht="31.7" hidden="1" customHeight="1">
      <c r="A69" s="1693"/>
      <c r="B69" s="1074">
        <f t="shared" si="39"/>
        <v>4</v>
      </c>
      <c r="C69" s="3415" t="s">
        <v>6890</v>
      </c>
      <c r="D69" s="3416"/>
      <c r="E69" s="3416"/>
      <c r="F69" s="3416"/>
      <c r="G69" s="3416"/>
      <c r="H69" s="3416"/>
      <c r="I69" s="3416"/>
      <c r="J69" s="3416"/>
      <c r="K69" s="3416"/>
      <c r="L69" s="3416"/>
      <c r="M69" s="3416"/>
      <c r="N69" s="3416"/>
      <c r="O69" s="3417"/>
      <c r="P69" s="2004"/>
      <c r="Q69" s="2004"/>
      <c r="R69" s="2004"/>
      <c r="S69" s="2004"/>
      <c r="T69" s="2004"/>
      <c r="U69" s="2004"/>
      <c r="V69" s="2004"/>
      <c r="W69" s="2004"/>
      <c r="X69" s="2004"/>
      <c r="Y69" s="2004"/>
      <c r="Z69" s="2004"/>
      <c r="AA69" s="110"/>
      <c r="AB69" s="110"/>
      <c r="AC69" s="1676"/>
      <c r="AD69" s="286"/>
      <c r="AE69" s="110"/>
      <c r="AF69" s="110"/>
      <c r="AG69" s="110"/>
      <c r="AH69" s="110"/>
      <c r="AI69" s="110"/>
      <c r="AJ69" s="1038"/>
      <c r="AK69" s="1038"/>
      <c r="AL69" s="1038"/>
      <c r="AM69" s="1042"/>
      <c r="AN69" s="1038"/>
      <c r="AO69" s="1038"/>
      <c r="AP69" s="1038"/>
      <c r="AQ69" s="1038"/>
      <c r="AR69" s="1038"/>
      <c r="AS69" s="1038"/>
      <c r="AT69" s="1038"/>
      <c r="AU69" s="1038"/>
      <c r="AV69" s="1685"/>
    </row>
    <row r="70" spans="1:48" ht="15.75" hidden="1">
      <c r="A70" s="1693"/>
      <c r="B70" s="1074">
        <f t="shared" si="39"/>
        <v>5</v>
      </c>
      <c r="C70" s="3424" t="s">
        <v>6891</v>
      </c>
      <c r="D70" s="3425"/>
      <c r="E70" s="3425"/>
      <c r="F70" s="3425"/>
      <c r="G70" s="3425"/>
      <c r="H70" s="3425"/>
      <c r="I70" s="3425"/>
      <c r="J70" s="3425"/>
      <c r="K70" s="3425"/>
      <c r="L70" s="3425"/>
      <c r="M70" s="3425"/>
      <c r="N70" s="3425"/>
      <c r="O70" s="3426"/>
      <c r="P70" s="2004"/>
      <c r="Q70" s="2004"/>
      <c r="R70" s="2004"/>
      <c r="S70" s="2004"/>
      <c r="T70" s="2004"/>
      <c r="U70" s="2004"/>
      <c r="V70" s="2004"/>
      <c r="W70" s="2004"/>
      <c r="X70" s="2004"/>
      <c r="Y70" s="2004"/>
      <c r="Z70" s="2004"/>
      <c r="AA70" s="110"/>
      <c r="AB70" s="110"/>
      <c r="AC70" s="1676"/>
      <c r="AD70" s="286"/>
      <c r="AE70" s="110"/>
      <c r="AF70" s="110"/>
      <c r="AG70" s="110"/>
      <c r="AH70" s="110"/>
      <c r="AI70" s="110"/>
      <c r="AJ70" s="1038"/>
      <c r="AK70" s="1038"/>
      <c r="AL70" s="1038"/>
      <c r="AM70" s="1042"/>
      <c r="AN70" s="1038"/>
      <c r="AO70" s="1038"/>
      <c r="AP70" s="1038"/>
      <c r="AQ70" s="1038"/>
      <c r="AR70" s="1038"/>
      <c r="AS70" s="1038"/>
      <c r="AT70" s="1038"/>
      <c r="AU70" s="1038"/>
      <c r="AV70" s="1685"/>
    </row>
    <row r="71" spans="1:48" ht="44.45" hidden="1" customHeight="1">
      <c r="A71" s="1693"/>
      <c r="B71" s="1074">
        <f t="shared" si="39"/>
        <v>6</v>
      </c>
      <c r="C71" s="3415" t="s">
        <v>6892</v>
      </c>
      <c r="D71" s="3416"/>
      <c r="E71" s="3416"/>
      <c r="F71" s="3416"/>
      <c r="G71" s="3416"/>
      <c r="H71" s="3416"/>
      <c r="I71" s="3416"/>
      <c r="J71" s="3416"/>
      <c r="K71" s="3416"/>
      <c r="L71" s="3416"/>
      <c r="M71" s="3416"/>
      <c r="N71" s="3416"/>
      <c r="O71" s="3417"/>
      <c r="P71" s="2004"/>
      <c r="Q71" s="2004"/>
      <c r="R71" s="2004"/>
      <c r="S71" s="2004"/>
      <c r="T71" s="2004"/>
      <c r="U71" s="2004"/>
      <c r="V71" s="2004"/>
      <c r="W71" s="2004"/>
      <c r="X71" s="2004"/>
      <c r="Y71" s="2004"/>
      <c r="Z71" s="2004"/>
      <c r="AA71" s="110"/>
      <c r="AB71" s="110"/>
      <c r="AC71" s="1676"/>
      <c r="AD71" s="286"/>
      <c r="AE71" s="110"/>
      <c r="AF71" s="110"/>
      <c r="AG71" s="110"/>
      <c r="AH71" s="110"/>
      <c r="AI71" s="110"/>
      <c r="AJ71" s="1038"/>
      <c r="AK71" s="1038"/>
      <c r="AL71" s="1038"/>
      <c r="AM71" s="1042"/>
      <c r="AN71" s="1038"/>
      <c r="AO71" s="1038"/>
      <c r="AP71" s="1038"/>
      <c r="AQ71" s="1038"/>
      <c r="AR71" s="1038"/>
      <c r="AS71" s="1038"/>
      <c r="AT71" s="1038"/>
      <c r="AU71" s="1038"/>
      <c r="AV71" s="1685"/>
    </row>
    <row r="72" spans="1:48" ht="15.75" hidden="1">
      <c r="A72" s="1693"/>
      <c r="B72" s="1074">
        <f t="shared" si="39"/>
        <v>7</v>
      </c>
      <c r="C72" s="3415" t="s">
        <v>6893</v>
      </c>
      <c r="D72" s="3416"/>
      <c r="E72" s="3416"/>
      <c r="F72" s="3416"/>
      <c r="G72" s="3416"/>
      <c r="H72" s="3416"/>
      <c r="I72" s="3416"/>
      <c r="J72" s="3416"/>
      <c r="K72" s="3416"/>
      <c r="L72" s="3416"/>
      <c r="M72" s="3416"/>
      <c r="N72" s="3416"/>
      <c r="O72" s="3417"/>
      <c r="P72" s="2004"/>
      <c r="Q72" s="2004"/>
      <c r="R72" s="2004"/>
      <c r="S72" s="2004"/>
      <c r="T72" s="2004"/>
      <c r="U72" s="2004"/>
      <c r="V72" s="2004"/>
      <c r="W72" s="2004"/>
      <c r="X72" s="2004"/>
      <c r="Y72" s="2004"/>
      <c r="Z72" s="2004"/>
      <c r="AA72" s="110"/>
      <c r="AB72" s="110"/>
      <c r="AC72" s="1676"/>
      <c r="AD72" s="286"/>
      <c r="AE72" s="110"/>
      <c r="AF72" s="110"/>
      <c r="AG72" s="110"/>
      <c r="AH72" s="110"/>
      <c r="AI72" s="110"/>
      <c r="AJ72" s="1038"/>
      <c r="AK72" s="1038"/>
      <c r="AL72" s="1038"/>
      <c r="AM72" s="1042"/>
      <c r="AN72" s="1038"/>
      <c r="AO72" s="1038"/>
      <c r="AP72" s="1038"/>
      <c r="AQ72" s="1038"/>
      <c r="AR72" s="1038"/>
      <c r="AS72" s="1038"/>
      <c r="AT72" s="1038"/>
      <c r="AU72" s="1038"/>
      <c r="AV72" s="1685"/>
    </row>
    <row r="73" spans="1:48" ht="15.75" hidden="1">
      <c r="A73" s="1693"/>
      <c r="B73" s="1074">
        <f t="shared" si="39"/>
        <v>8</v>
      </c>
      <c r="C73" s="3415" t="s">
        <v>6894</v>
      </c>
      <c r="D73" s="3416"/>
      <c r="E73" s="3416"/>
      <c r="F73" s="3416"/>
      <c r="G73" s="3416"/>
      <c r="H73" s="3416"/>
      <c r="I73" s="3416"/>
      <c r="J73" s="3416"/>
      <c r="K73" s="3416"/>
      <c r="L73" s="3416"/>
      <c r="M73" s="3416"/>
      <c r="N73" s="3416"/>
      <c r="O73" s="3417"/>
      <c r="P73" s="2004"/>
      <c r="Q73" s="2004"/>
      <c r="R73" s="2004"/>
      <c r="S73" s="2004"/>
      <c r="T73" s="2004"/>
      <c r="U73" s="2004"/>
      <c r="V73" s="2004"/>
      <c r="W73" s="2004"/>
      <c r="X73" s="2004"/>
      <c r="Y73" s="2004"/>
      <c r="Z73" s="2004"/>
      <c r="AA73" s="110"/>
      <c r="AB73" s="110"/>
      <c r="AC73" s="1676"/>
      <c r="AD73" s="286"/>
      <c r="AE73" s="110"/>
      <c r="AF73" s="110"/>
      <c r="AG73" s="110"/>
      <c r="AH73" s="110"/>
      <c r="AI73" s="110"/>
      <c r="AJ73" s="1038"/>
      <c r="AK73" s="1038"/>
      <c r="AL73" s="1038"/>
      <c r="AM73" s="1042"/>
      <c r="AN73" s="1038"/>
      <c r="AO73" s="1038"/>
      <c r="AP73" s="1038"/>
      <c r="AQ73" s="1038"/>
      <c r="AR73" s="1038"/>
      <c r="AS73" s="1038"/>
      <c r="AT73" s="1038"/>
      <c r="AU73" s="1038"/>
      <c r="AV73" s="1685"/>
    </row>
    <row r="74" spans="1:48" ht="15.75" hidden="1">
      <c r="A74" s="1693"/>
      <c r="B74" s="1074">
        <f t="shared" si="39"/>
        <v>9</v>
      </c>
      <c r="C74" s="3424" t="s">
        <v>6895</v>
      </c>
      <c r="D74" s="3425"/>
      <c r="E74" s="3425"/>
      <c r="F74" s="3425"/>
      <c r="G74" s="3425"/>
      <c r="H74" s="3425"/>
      <c r="I74" s="3425"/>
      <c r="J74" s="3425"/>
      <c r="K74" s="3425"/>
      <c r="L74" s="3425"/>
      <c r="M74" s="3425"/>
      <c r="N74" s="3425"/>
      <c r="O74" s="3426"/>
      <c r="P74" s="2004"/>
      <c r="Q74" s="2004"/>
      <c r="R74" s="2004"/>
      <c r="S74" s="2004"/>
      <c r="T74" s="2004"/>
      <c r="U74" s="2004"/>
      <c r="V74" s="2004"/>
      <c r="W74" s="2004"/>
      <c r="X74" s="2004"/>
      <c r="Y74" s="2004"/>
      <c r="Z74" s="2004"/>
      <c r="AA74" s="110"/>
      <c r="AB74" s="110"/>
      <c r="AC74" s="1676"/>
      <c r="AD74" s="286"/>
      <c r="AE74" s="110"/>
      <c r="AF74" s="110"/>
      <c r="AG74" s="110"/>
      <c r="AH74" s="110"/>
      <c r="AI74" s="110"/>
      <c r="AJ74" s="1038"/>
      <c r="AK74" s="1038"/>
      <c r="AL74" s="1038"/>
      <c r="AM74" s="1042"/>
      <c r="AN74" s="1038"/>
      <c r="AO74" s="1038"/>
      <c r="AP74" s="1038"/>
      <c r="AQ74" s="1038"/>
      <c r="AR74" s="1038"/>
      <c r="AS74" s="1038"/>
      <c r="AT74" s="1038"/>
      <c r="AU74" s="1038"/>
      <c r="AV74" s="1685"/>
    </row>
    <row r="75" spans="1:48" ht="15.75" hidden="1">
      <c r="A75" s="1693"/>
      <c r="B75" s="1074">
        <f t="shared" si="39"/>
        <v>10</v>
      </c>
      <c r="C75" s="3424" t="s">
        <v>6896</v>
      </c>
      <c r="D75" s="3425"/>
      <c r="E75" s="3425"/>
      <c r="F75" s="3425"/>
      <c r="G75" s="3425"/>
      <c r="H75" s="3425"/>
      <c r="I75" s="3425"/>
      <c r="J75" s="3425"/>
      <c r="K75" s="3425"/>
      <c r="L75" s="3425"/>
      <c r="M75" s="3425"/>
      <c r="N75" s="3425"/>
      <c r="O75" s="3426"/>
      <c r="P75" s="2004"/>
      <c r="Q75" s="2004"/>
      <c r="R75" s="2004"/>
      <c r="S75" s="2004"/>
      <c r="T75" s="2004"/>
      <c r="U75" s="2004"/>
      <c r="V75" s="2004"/>
      <c r="W75" s="2004"/>
      <c r="X75" s="2004"/>
      <c r="Y75" s="2004"/>
      <c r="Z75" s="2004"/>
      <c r="AA75" s="110"/>
      <c r="AB75" s="110"/>
      <c r="AC75" s="1676"/>
      <c r="AD75" s="286"/>
      <c r="AE75" s="110"/>
      <c r="AF75" s="110"/>
      <c r="AG75" s="110"/>
      <c r="AH75" s="110"/>
      <c r="AI75" s="110"/>
      <c r="AJ75" s="1038"/>
      <c r="AK75" s="1038"/>
      <c r="AL75" s="1038"/>
      <c r="AM75" s="1042"/>
      <c r="AN75" s="1038"/>
      <c r="AO75" s="1038"/>
      <c r="AP75" s="1038"/>
      <c r="AQ75" s="1038"/>
      <c r="AR75" s="1038"/>
      <c r="AS75" s="1038"/>
      <c r="AT75" s="1038"/>
      <c r="AU75" s="1038"/>
      <c r="AV75" s="1685"/>
    </row>
    <row r="76" spans="1:48" ht="29.25" hidden="1" customHeight="1">
      <c r="A76" s="1693"/>
      <c r="B76" s="1074">
        <f t="shared" si="39"/>
        <v>11</v>
      </c>
      <c r="C76" s="3415" t="s">
        <v>6897</v>
      </c>
      <c r="D76" s="3416"/>
      <c r="E76" s="3416"/>
      <c r="F76" s="3416"/>
      <c r="G76" s="3416"/>
      <c r="H76" s="3416"/>
      <c r="I76" s="3416"/>
      <c r="J76" s="3416"/>
      <c r="K76" s="3416"/>
      <c r="L76" s="3416"/>
      <c r="M76" s="3416"/>
      <c r="N76" s="3416"/>
      <c r="O76" s="3417"/>
      <c r="P76" s="2004"/>
      <c r="Q76" s="2004"/>
      <c r="R76" s="2004"/>
      <c r="S76" s="2004"/>
      <c r="T76" s="2004"/>
      <c r="U76" s="2004"/>
      <c r="V76" s="2004"/>
      <c r="W76" s="2004"/>
      <c r="X76" s="2004"/>
      <c r="Y76" s="2004"/>
      <c r="Z76" s="2004"/>
      <c r="AA76" s="110"/>
      <c r="AB76" s="110"/>
      <c r="AC76" s="1676"/>
      <c r="AD76" s="286"/>
      <c r="AE76" s="110"/>
      <c r="AF76" s="110"/>
      <c r="AG76" s="110"/>
      <c r="AH76" s="110"/>
      <c r="AI76" s="110"/>
      <c r="AJ76" s="1042"/>
      <c r="AK76" s="1042"/>
      <c r="AL76" s="1042"/>
      <c r="AM76" s="1042"/>
      <c r="AN76" s="1042"/>
      <c r="AO76" s="1042"/>
      <c r="AP76" s="1042"/>
      <c r="AQ76" s="1042"/>
      <c r="AR76" s="1042"/>
      <c r="AS76" s="1042"/>
      <c r="AT76" s="1042"/>
      <c r="AU76" s="1042"/>
      <c r="AV76" s="1685"/>
    </row>
    <row r="77" spans="1:48" ht="34.5" hidden="1" customHeight="1">
      <c r="A77" s="1693"/>
      <c r="B77" s="1074">
        <f t="shared" si="39"/>
        <v>12</v>
      </c>
      <c r="C77" s="3415" t="s">
        <v>6898</v>
      </c>
      <c r="D77" s="3416"/>
      <c r="E77" s="3416"/>
      <c r="F77" s="3416"/>
      <c r="G77" s="3416"/>
      <c r="H77" s="3416"/>
      <c r="I77" s="3416"/>
      <c r="J77" s="3416"/>
      <c r="K77" s="3416"/>
      <c r="L77" s="3416"/>
      <c r="M77" s="3416"/>
      <c r="N77" s="3416"/>
      <c r="O77" s="3417"/>
      <c r="P77" s="2004"/>
      <c r="Q77" s="2004"/>
      <c r="R77" s="2004"/>
      <c r="S77" s="2004"/>
      <c r="T77" s="2004"/>
      <c r="U77" s="2004"/>
      <c r="V77" s="2004"/>
      <c r="W77" s="2004"/>
      <c r="X77" s="2004"/>
      <c r="Y77" s="2004"/>
      <c r="Z77" s="2004"/>
      <c r="AA77" s="110"/>
      <c r="AB77" s="110"/>
      <c r="AC77" s="1676"/>
      <c r="AD77" s="286"/>
      <c r="AE77" s="110"/>
      <c r="AF77" s="110"/>
      <c r="AG77" s="110"/>
      <c r="AH77" s="110"/>
      <c r="AI77" s="110"/>
      <c r="AJ77" s="1038"/>
      <c r="AK77" s="1038"/>
      <c r="AL77" s="1038"/>
      <c r="AM77" s="1042"/>
      <c r="AN77" s="1038"/>
      <c r="AO77" s="1038"/>
      <c r="AP77" s="1038"/>
      <c r="AQ77" s="1038"/>
      <c r="AR77" s="1038"/>
      <c r="AS77" s="1038"/>
      <c r="AT77" s="1038"/>
      <c r="AU77" s="1038"/>
      <c r="AV77" s="1685"/>
    </row>
    <row r="78" spans="1:48" ht="34.5" hidden="1" customHeight="1">
      <c r="A78" s="1693"/>
      <c r="B78" s="1074">
        <f t="shared" si="39"/>
        <v>13</v>
      </c>
      <c r="C78" s="3424" t="s">
        <v>6899</v>
      </c>
      <c r="D78" s="3425"/>
      <c r="E78" s="3425"/>
      <c r="F78" s="3425"/>
      <c r="G78" s="3425"/>
      <c r="H78" s="3425"/>
      <c r="I78" s="3425"/>
      <c r="J78" s="3425"/>
      <c r="K78" s="3425"/>
      <c r="L78" s="3425"/>
      <c r="M78" s="3425"/>
      <c r="N78" s="3425"/>
      <c r="O78" s="3426"/>
      <c r="P78" s="2004"/>
      <c r="Q78" s="2004"/>
      <c r="R78" s="2004"/>
      <c r="S78" s="2004"/>
      <c r="T78" s="2004"/>
      <c r="U78" s="2004"/>
      <c r="V78" s="2004"/>
      <c r="W78" s="2004"/>
      <c r="X78" s="2004"/>
      <c r="Y78" s="2004"/>
      <c r="Z78" s="2004"/>
      <c r="AA78" s="110"/>
      <c r="AB78" s="110"/>
      <c r="AC78" s="1676"/>
      <c r="AD78" s="286"/>
      <c r="AE78" s="110"/>
      <c r="AF78" s="110"/>
      <c r="AG78" s="110"/>
      <c r="AH78" s="110"/>
      <c r="AI78" s="110"/>
    </row>
    <row r="79" spans="1:48" ht="48.2" hidden="1" customHeight="1">
      <c r="A79" s="1693"/>
      <c r="B79" s="1074">
        <f t="shared" si="39"/>
        <v>14</v>
      </c>
      <c r="C79" s="3415" t="s">
        <v>6900</v>
      </c>
      <c r="D79" s="3416"/>
      <c r="E79" s="3416"/>
      <c r="F79" s="3416"/>
      <c r="G79" s="3416"/>
      <c r="H79" s="3416"/>
      <c r="I79" s="3416"/>
      <c r="J79" s="3416"/>
      <c r="K79" s="3416"/>
      <c r="L79" s="3416"/>
      <c r="M79" s="3416"/>
      <c r="N79" s="3416"/>
      <c r="O79" s="3417"/>
      <c r="P79" s="2051" t="s">
        <v>6901</v>
      </c>
      <c r="Q79" s="2004"/>
      <c r="R79" s="2004"/>
      <c r="S79" s="2004"/>
      <c r="T79" s="2004"/>
      <c r="U79" s="2004"/>
      <c r="V79" s="2004"/>
      <c r="W79" s="2004"/>
      <c r="X79" s="2004"/>
      <c r="Y79" s="2004"/>
      <c r="Z79" s="2004"/>
      <c r="AA79" s="110"/>
      <c r="AB79" s="110"/>
      <c r="AC79" s="1676"/>
      <c r="AD79" s="286"/>
      <c r="AE79" s="110"/>
      <c r="AF79" s="110"/>
      <c r="AG79" s="110"/>
      <c r="AH79" s="110"/>
      <c r="AI79" s="110"/>
    </row>
    <row r="80" spans="1:48" ht="60.75" hidden="1">
      <c r="A80" s="1693"/>
      <c r="B80" s="1074">
        <f t="shared" si="39"/>
        <v>15</v>
      </c>
      <c r="C80" s="3415" t="s">
        <v>6902</v>
      </c>
      <c r="D80" s="3416"/>
      <c r="E80" s="3416"/>
      <c r="F80" s="3416"/>
      <c r="G80" s="3416"/>
      <c r="H80" s="3416"/>
      <c r="I80" s="3416"/>
      <c r="J80" s="3416"/>
      <c r="K80" s="3416"/>
      <c r="L80" s="3416"/>
      <c r="M80" s="3416"/>
      <c r="N80" s="3416"/>
      <c r="O80" s="3417"/>
      <c r="P80" s="2051" t="s">
        <v>6903</v>
      </c>
      <c r="Q80" s="2004"/>
      <c r="R80" s="2004"/>
      <c r="S80" s="2004"/>
      <c r="T80" s="2004"/>
      <c r="U80" s="2004"/>
      <c r="V80" s="2004"/>
      <c r="W80" s="2004"/>
      <c r="X80" s="2004"/>
      <c r="Y80" s="2004"/>
      <c r="Z80" s="2004"/>
      <c r="AA80" s="110"/>
      <c r="AB80" s="110"/>
      <c r="AC80" s="1676"/>
      <c r="AD80" s="286"/>
      <c r="AE80" s="110"/>
      <c r="AF80" s="110"/>
      <c r="AG80" s="110"/>
      <c r="AH80" s="110"/>
      <c r="AI80" s="110"/>
    </row>
    <row r="81" spans="1:54" ht="15.75" hidden="1">
      <c r="A81" s="1693"/>
      <c r="B81" s="1074">
        <f t="shared" si="39"/>
        <v>16</v>
      </c>
      <c r="C81" s="3415" t="s">
        <v>6904</v>
      </c>
      <c r="D81" s="3416"/>
      <c r="E81" s="3416"/>
      <c r="F81" s="3416"/>
      <c r="G81" s="3416"/>
      <c r="H81" s="3416"/>
      <c r="I81" s="3416"/>
      <c r="J81" s="3416"/>
      <c r="K81" s="3416"/>
      <c r="L81" s="3416"/>
      <c r="M81" s="3416"/>
      <c r="N81" s="3416"/>
      <c r="O81" s="3417"/>
      <c r="P81" s="2004"/>
      <c r="Q81" s="2004"/>
      <c r="R81" s="2004"/>
      <c r="S81" s="2004"/>
      <c r="T81" s="2004"/>
      <c r="U81" s="2004"/>
      <c r="V81" s="2004"/>
      <c r="W81" s="2004"/>
      <c r="X81" s="2004"/>
      <c r="Y81" s="2004"/>
      <c r="Z81" s="2004"/>
      <c r="AW81" s="2004"/>
      <c r="AY81" s="2004"/>
      <c r="AZ81" s="2004"/>
      <c r="BA81" s="2004"/>
    </row>
    <row r="82" spans="1:54" ht="28.5" hidden="1" customHeight="1">
      <c r="A82" s="1693"/>
      <c r="B82" s="1074">
        <f t="shared" si="39"/>
        <v>17</v>
      </c>
      <c r="C82" s="3415" t="s">
        <v>6905</v>
      </c>
      <c r="D82" s="3416"/>
      <c r="E82" s="3416"/>
      <c r="F82" s="3416"/>
      <c r="G82" s="3416"/>
      <c r="H82" s="3416"/>
      <c r="I82" s="3416"/>
      <c r="J82" s="3416"/>
      <c r="K82" s="3416"/>
      <c r="L82" s="3416"/>
      <c r="M82" s="3416"/>
      <c r="N82" s="3416"/>
      <c r="O82" s="3417"/>
      <c r="P82" s="2004"/>
      <c r="Q82" s="2004"/>
      <c r="R82" s="2004"/>
      <c r="S82" s="2004"/>
      <c r="T82" s="2004"/>
      <c r="U82" s="2004"/>
      <c r="V82" s="2004"/>
      <c r="W82" s="2004"/>
      <c r="X82" s="2004"/>
      <c r="Y82" s="2004"/>
      <c r="Z82" s="2004"/>
      <c r="AW82" s="2004"/>
      <c r="AY82" s="2004"/>
      <c r="AZ82" s="2004"/>
      <c r="BA82" s="2004"/>
    </row>
    <row r="83" spans="1:54" ht="30.2" hidden="1" customHeight="1">
      <c r="A83" s="1693"/>
      <c r="B83" s="1074">
        <f t="shared" si="39"/>
        <v>18</v>
      </c>
      <c r="C83" s="3415" t="s">
        <v>6906</v>
      </c>
      <c r="D83" s="3416"/>
      <c r="E83" s="3416"/>
      <c r="F83" s="3416"/>
      <c r="G83" s="3416"/>
      <c r="H83" s="3416"/>
      <c r="I83" s="3416"/>
      <c r="J83" s="3416"/>
      <c r="K83" s="3416"/>
      <c r="L83" s="3416"/>
      <c r="M83" s="3416"/>
      <c r="N83" s="3416"/>
      <c r="O83" s="3417"/>
      <c r="P83" s="2004"/>
      <c r="Q83" s="2004"/>
      <c r="R83" s="2004"/>
      <c r="S83" s="2004"/>
      <c r="T83" s="2004"/>
      <c r="U83" s="2004"/>
      <c r="V83" s="2004"/>
      <c r="W83" s="2004"/>
      <c r="X83" s="2004"/>
      <c r="Y83" s="2004"/>
      <c r="Z83" s="2004"/>
      <c r="AW83" s="2004"/>
      <c r="AY83" s="2004"/>
      <c r="AZ83" s="2004"/>
      <c r="BA83" s="2004"/>
    </row>
    <row r="84" spans="1:54" ht="31.7" hidden="1" customHeight="1">
      <c r="A84" s="1693"/>
      <c r="B84" s="1074">
        <f t="shared" si="39"/>
        <v>19</v>
      </c>
      <c r="C84" s="3415" t="s">
        <v>6907</v>
      </c>
      <c r="D84" s="3416"/>
      <c r="E84" s="3416"/>
      <c r="F84" s="3416"/>
      <c r="G84" s="3416"/>
      <c r="H84" s="3416"/>
      <c r="I84" s="3416"/>
      <c r="J84" s="3416"/>
      <c r="K84" s="3416"/>
      <c r="L84" s="3416"/>
      <c r="M84" s="3416"/>
      <c r="N84" s="3416"/>
      <c r="O84" s="3417"/>
      <c r="P84" s="2004"/>
      <c r="Q84" s="2004"/>
      <c r="R84" s="2004"/>
      <c r="S84" s="2004"/>
      <c r="T84" s="2004"/>
      <c r="U84" s="2004"/>
      <c r="V84" s="2004"/>
      <c r="W84" s="2004"/>
      <c r="X84" s="2004"/>
      <c r="Y84" s="2004"/>
      <c r="Z84" s="2004"/>
      <c r="AW84" s="2004"/>
      <c r="AY84" s="2004"/>
      <c r="AZ84" s="2004"/>
      <c r="BA84" s="2004"/>
    </row>
    <row r="85" spans="1:54" ht="29.25" hidden="1" customHeight="1">
      <c r="A85" s="1693"/>
      <c r="B85" s="1074">
        <f t="shared" si="39"/>
        <v>20</v>
      </c>
      <c r="C85" s="3415" t="s">
        <v>6908</v>
      </c>
      <c r="D85" s="3416"/>
      <c r="E85" s="3416"/>
      <c r="F85" s="3416"/>
      <c r="G85" s="3416"/>
      <c r="H85" s="3416"/>
      <c r="I85" s="3416"/>
      <c r="J85" s="3416"/>
      <c r="K85" s="3416"/>
      <c r="L85" s="3416"/>
      <c r="M85" s="3416"/>
      <c r="N85" s="3416"/>
      <c r="O85" s="3417"/>
      <c r="P85" s="2004"/>
      <c r="Q85" s="2004"/>
      <c r="R85" s="2004"/>
      <c r="S85" s="2004"/>
      <c r="T85" s="2004"/>
      <c r="U85" s="2004"/>
      <c r="V85" s="2004"/>
      <c r="W85" s="2004"/>
      <c r="X85" s="2004"/>
      <c r="Y85" s="2004"/>
      <c r="Z85" s="2004"/>
      <c r="AW85" s="2004"/>
      <c r="AY85" s="2004"/>
      <c r="AZ85" s="2004"/>
      <c r="BA85" s="2004"/>
    </row>
    <row r="86" spans="1:54" ht="27" hidden="1" customHeight="1">
      <c r="A86" s="1693"/>
      <c r="B86" s="1074">
        <f t="shared" si="39"/>
        <v>21</v>
      </c>
      <c r="C86" s="3415" t="s">
        <v>6909</v>
      </c>
      <c r="D86" s="3416"/>
      <c r="E86" s="3416"/>
      <c r="F86" s="3416"/>
      <c r="G86" s="3416"/>
      <c r="H86" s="3416"/>
      <c r="I86" s="3416"/>
      <c r="J86" s="3416"/>
      <c r="K86" s="3416"/>
      <c r="L86" s="3416"/>
      <c r="M86" s="3416"/>
      <c r="N86" s="3416"/>
      <c r="O86" s="3417"/>
      <c r="P86" s="2004"/>
      <c r="Q86" s="2004"/>
      <c r="R86" s="2004"/>
      <c r="S86" s="2004"/>
      <c r="T86" s="2004"/>
      <c r="U86" s="2004"/>
      <c r="V86" s="2004"/>
      <c r="W86" s="2004"/>
      <c r="X86" s="2004"/>
      <c r="Y86" s="2004"/>
      <c r="Z86" s="2004"/>
      <c r="AW86" s="2004"/>
      <c r="AY86" s="2004"/>
      <c r="AZ86" s="2004"/>
      <c r="BA86" s="2004"/>
    </row>
    <row r="87" spans="1:54" ht="31.7" hidden="1" customHeight="1">
      <c r="A87" s="1693"/>
      <c r="B87" s="1074">
        <f t="shared" si="39"/>
        <v>22</v>
      </c>
      <c r="C87" s="3415" t="s">
        <v>6910</v>
      </c>
      <c r="D87" s="3416"/>
      <c r="E87" s="3416"/>
      <c r="F87" s="3416"/>
      <c r="G87" s="3416"/>
      <c r="H87" s="3416"/>
      <c r="I87" s="3416"/>
      <c r="J87" s="3416"/>
      <c r="K87" s="3416"/>
      <c r="L87" s="3416"/>
      <c r="M87" s="3416"/>
      <c r="N87" s="3416"/>
      <c r="O87" s="3417"/>
      <c r="P87" s="2004"/>
      <c r="Q87" s="2004"/>
      <c r="R87" s="2004"/>
      <c r="S87" s="2004"/>
      <c r="T87" s="2004"/>
      <c r="U87" s="2004"/>
      <c r="V87" s="2004"/>
      <c r="W87" s="2004"/>
      <c r="X87" s="2004"/>
      <c r="Y87" s="2004"/>
      <c r="Z87" s="2004"/>
      <c r="AW87" s="2004"/>
      <c r="AY87" s="2004"/>
      <c r="AZ87" s="2004"/>
      <c r="BA87" s="2004"/>
    </row>
    <row r="88" spans="1:54" ht="15.75" hidden="1">
      <c r="A88" s="1693"/>
      <c r="B88" s="1074">
        <f t="shared" si="39"/>
        <v>23</v>
      </c>
      <c r="C88" s="3415" t="s">
        <v>6911</v>
      </c>
      <c r="D88" s="3416"/>
      <c r="E88" s="3416"/>
      <c r="F88" s="3416"/>
      <c r="G88" s="3416"/>
      <c r="H88" s="3416"/>
      <c r="I88" s="3416"/>
      <c r="J88" s="3416"/>
      <c r="K88" s="3416"/>
      <c r="L88" s="3416"/>
      <c r="M88" s="3416"/>
      <c r="N88" s="3416"/>
      <c r="O88" s="3417"/>
      <c r="P88" s="2004"/>
      <c r="Q88" s="2004"/>
      <c r="R88" s="2004"/>
      <c r="S88" s="2004"/>
      <c r="T88" s="2004"/>
      <c r="U88" s="2004"/>
      <c r="V88" s="2004"/>
      <c r="W88" s="2004"/>
      <c r="X88" s="2004"/>
      <c r="Y88" s="2004"/>
      <c r="Z88" s="2004"/>
      <c r="AW88" s="2004"/>
      <c r="AY88" s="2004"/>
      <c r="AZ88" s="2004"/>
      <c r="BA88" s="2004"/>
    </row>
    <row r="89" spans="1:54" ht="48.2" hidden="1" customHeight="1">
      <c r="A89" s="1693"/>
      <c r="B89" s="1074">
        <f t="shared" si="39"/>
        <v>24</v>
      </c>
      <c r="C89" s="3415" t="s">
        <v>6912</v>
      </c>
      <c r="D89" s="3416"/>
      <c r="E89" s="3416"/>
      <c r="F89" s="3416"/>
      <c r="G89" s="3416"/>
      <c r="H89" s="3416"/>
      <c r="I89" s="3416"/>
      <c r="J89" s="3416"/>
      <c r="K89" s="3416"/>
      <c r="L89" s="3416"/>
      <c r="M89" s="3416"/>
      <c r="N89" s="3416"/>
      <c r="O89" s="3417"/>
      <c r="P89" s="2051" t="s">
        <v>6903</v>
      </c>
      <c r="Q89" s="2004"/>
      <c r="R89" s="2004"/>
      <c r="S89" s="2004"/>
      <c r="T89" s="2004"/>
      <c r="U89" s="2004"/>
      <c r="V89" s="2004"/>
      <c r="W89" s="2004"/>
      <c r="X89" s="2004"/>
      <c r="Y89" s="2004"/>
      <c r="Z89" s="2004"/>
      <c r="AW89" s="2004"/>
      <c r="AY89" s="2004"/>
      <c r="AZ89" s="2004"/>
      <c r="BA89" s="2004"/>
    </row>
    <row r="90" spans="1:54" ht="28.35" hidden="1" customHeight="1">
      <c r="A90" s="1693"/>
      <c r="B90" s="1074">
        <f t="shared" si="39"/>
        <v>25</v>
      </c>
      <c r="C90" s="3415" t="s">
        <v>6913</v>
      </c>
      <c r="D90" s="3416"/>
      <c r="E90" s="3416"/>
      <c r="F90" s="3416"/>
      <c r="G90" s="3416"/>
      <c r="H90" s="3416"/>
      <c r="I90" s="3416"/>
      <c r="J90" s="3416"/>
      <c r="K90" s="3416"/>
      <c r="L90" s="3416"/>
      <c r="M90" s="3416"/>
      <c r="N90" s="3416"/>
      <c r="O90" s="3417"/>
      <c r="P90" s="2004"/>
      <c r="Q90" s="2004"/>
      <c r="R90" s="2004"/>
      <c r="S90" s="2004"/>
      <c r="T90" s="2004"/>
      <c r="U90" s="2004"/>
      <c r="V90" s="2004"/>
      <c r="W90" s="2004"/>
      <c r="X90" s="2004"/>
      <c r="Y90" s="2004"/>
      <c r="Z90" s="2004"/>
      <c r="AW90" s="2004"/>
      <c r="AY90" s="2004"/>
      <c r="AZ90" s="2004"/>
      <c r="BA90" s="2004"/>
    </row>
    <row r="91" spans="1:54" ht="33" hidden="1" customHeight="1">
      <c r="A91" s="1693"/>
      <c r="B91" s="1074">
        <f t="shared" si="39"/>
        <v>26</v>
      </c>
      <c r="C91" s="3415" t="s">
        <v>6914</v>
      </c>
      <c r="D91" s="3416"/>
      <c r="E91" s="3416"/>
      <c r="F91" s="3416"/>
      <c r="G91" s="3416"/>
      <c r="H91" s="3416"/>
      <c r="I91" s="3416"/>
      <c r="J91" s="3416"/>
      <c r="K91" s="3416"/>
      <c r="L91" s="3416"/>
      <c r="M91" s="3416"/>
      <c r="N91" s="3416"/>
      <c r="O91" s="3417"/>
      <c r="P91" s="2004"/>
      <c r="Q91" s="2004"/>
      <c r="R91" s="2004"/>
      <c r="S91" s="2004"/>
      <c r="T91" s="2004"/>
      <c r="U91" s="2004"/>
      <c r="V91" s="2004"/>
      <c r="W91" s="2004"/>
      <c r="X91" s="2004"/>
      <c r="Y91" s="2004"/>
      <c r="Z91" s="2004"/>
      <c r="AW91" s="2004"/>
      <c r="AY91" s="2004"/>
      <c r="AZ91" s="2004"/>
      <c r="BA91" s="2004"/>
    </row>
    <row r="92" spans="1:54" ht="32.25" hidden="1" customHeight="1">
      <c r="A92" s="1693"/>
      <c r="B92" s="1074">
        <f t="shared" si="39"/>
        <v>27</v>
      </c>
      <c r="C92" s="3415" t="s">
        <v>6915</v>
      </c>
      <c r="D92" s="3416"/>
      <c r="E92" s="3416"/>
      <c r="F92" s="3416"/>
      <c r="G92" s="3416"/>
      <c r="H92" s="3416"/>
      <c r="I92" s="3416"/>
      <c r="J92" s="3416"/>
      <c r="K92" s="3416"/>
      <c r="L92" s="3416"/>
      <c r="M92" s="3416"/>
      <c r="N92" s="3416"/>
      <c r="O92" s="3417"/>
      <c r="P92" s="2004"/>
      <c r="Q92" s="2004"/>
      <c r="R92" s="2004"/>
      <c r="S92" s="2004"/>
      <c r="T92" s="2004"/>
      <c r="U92" s="2004"/>
      <c r="V92" s="2004"/>
      <c r="W92" s="2004"/>
      <c r="X92" s="2004"/>
      <c r="Y92" s="2004"/>
      <c r="Z92" s="2004"/>
      <c r="AW92" s="2004"/>
      <c r="AY92" s="2004"/>
      <c r="AZ92" s="2004"/>
      <c r="BA92" s="2004"/>
    </row>
    <row r="93" spans="1:54" ht="33.75" hidden="1" customHeight="1">
      <c r="A93" s="1693"/>
      <c r="B93" s="1074">
        <f t="shared" si="39"/>
        <v>28</v>
      </c>
      <c r="C93" s="3415" t="s">
        <v>6916</v>
      </c>
      <c r="D93" s="3416"/>
      <c r="E93" s="3416"/>
      <c r="F93" s="3416"/>
      <c r="G93" s="3416"/>
      <c r="H93" s="3416"/>
      <c r="I93" s="3416"/>
      <c r="J93" s="3416"/>
      <c r="K93" s="3416"/>
      <c r="L93" s="3416"/>
      <c r="M93" s="3416"/>
      <c r="N93" s="3416"/>
      <c r="O93" s="3417"/>
      <c r="P93" s="2004"/>
      <c r="Q93" s="2004"/>
      <c r="R93" s="2004"/>
      <c r="S93" s="2004"/>
      <c r="T93" s="2004"/>
      <c r="U93" s="2004"/>
      <c r="V93" s="2004"/>
      <c r="W93" s="2004"/>
      <c r="X93" s="2004"/>
      <c r="Y93" s="2004"/>
      <c r="Z93" s="2004"/>
      <c r="AW93" s="2004"/>
      <c r="AY93" s="2004"/>
      <c r="AZ93" s="2004"/>
      <c r="BA93" s="2004"/>
    </row>
    <row r="94" spans="1:54" s="2004" customFormat="1" ht="33.75" hidden="1" customHeight="1">
      <c r="A94" s="1693"/>
      <c r="B94" s="1074">
        <v>29</v>
      </c>
      <c r="C94" s="3421" t="s">
        <v>6917</v>
      </c>
      <c r="D94" s="3422"/>
      <c r="E94" s="3422"/>
      <c r="F94" s="3422"/>
      <c r="G94" s="3422"/>
      <c r="H94" s="3422"/>
      <c r="I94" s="3422"/>
      <c r="J94" s="3422"/>
      <c r="K94" s="3422"/>
      <c r="L94" s="3422"/>
      <c r="M94" s="3422"/>
      <c r="N94" s="3422"/>
      <c r="O94" s="3423"/>
      <c r="AA94" s="880"/>
      <c r="AB94" s="880"/>
      <c r="AC94" s="1673"/>
      <c r="AD94" s="880"/>
      <c r="AE94" s="880"/>
      <c r="AF94" s="880"/>
      <c r="AG94" s="880"/>
      <c r="AH94" s="880"/>
      <c r="AI94" s="880"/>
      <c r="AJ94" s="880"/>
      <c r="AK94" s="880"/>
      <c r="AL94" s="880"/>
      <c r="AM94" s="880"/>
      <c r="AN94" s="880"/>
      <c r="AO94" s="880"/>
      <c r="AP94" s="880"/>
      <c r="AQ94" s="880"/>
      <c r="AR94" s="880"/>
      <c r="AS94" s="880"/>
      <c r="AT94" s="880"/>
      <c r="AU94" s="880"/>
      <c r="AV94" s="1673"/>
      <c r="AX94" s="1665"/>
      <c r="BB94" s="1665"/>
    </row>
    <row r="95" spans="1:54" ht="33.75" hidden="1" customHeight="1">
      <c r="A95" s="1693"/>
      <c r="B95" s="1074" t="s">
        <v>6918</v>
      </c>
      <c r="C95" s="3415" t="s">
        <v>6919</v>
      </c>
      <c r="D95" s="3416"/>
      <c r="E95" s="3416"/>
      <c r="F95" s="3416"/>
      <c r="G95" s="3416"/>
      <c r="H95" s="3416"/>
      <c r="I95" s="3416"/>
      <c r="J95" s="3416"/>
      <c r="K95" s="3416"/>
      <c r="L95" s="3416"/>
      <c r="M95" s="3416"/>
      <c r="N95" s="3416"/>
      <c r="O95" s="3417"/>
      <c r="P95" s="2004"/>
      <c r="Q95" s="2004"/>
      <c r="R95" s="2004"/>
      <c r="S95" s="2004"/>
      <c r="T95" s="2004"/>
      <c r="U95" s="2004"/>
      <c r="V95" s="2004"/>
      <c r="W95" s="2004"/>
      <c r="X95" s="2004"/>
      <c r="Y95" s="2004"/>
      <c r="Z95" s="2004"/>
      <c r="AW95" s="2004"/>
      <c r="AY95" s="2004"/>
      <c r="AZ95" s="2004"/>
      <c r="BA95" s="2004"/>
    </row>
    <row r="96" spans="1:54" ht="16.5" hidden="1" thickBot="1">
      <c r="A96" s="1693"/>
      <c r="B96" s="1075">
        <v>45</v>
      </c>
      <c r="C96" s="3418" t="s">
        <v>6920</v>
      </c>
      <c r="D96" s="3419"/>
      <c r="E96" s="3419"/>
      <c r="F96" s="3419"/>
      <c r="G96" s="3419"/>
      <c r="H96" s="3419"/>
      <c r="I96" s="3419"/>
      <c r="J96" s="3419"/>
      <c r="K96" s="3419"/>
      <c r="L96" s="3419"/>
      <c r="M96" s="3419"/>
      <c r="N96" s="3419"/>
      <c r="O96" s="3420"/>
      <c r="P96" s="2004"/>
      <c r="Q96" s="2004"/>
      <c r="R96" s="2004"/>
      <c r="S96" s="2004"/>
      <c r="T96" s="2004"/>
      <c r="U96" s="2004"/>
      <c r="V96" s="2004"/>
      <c r="W96" s="2004"/>
      <c r="X96" s="2004"/>
      <c r="Y96" s="2004"/>
      <c r="Z96" s="2004"/>
      <c r="AW96" s="2004"/>
      <c r="AY96" s="2004"/>
      <c r="AZ96" s="2004"/>
      <c r="BA96" s="2004"/>
    </row>
  </sheetData>
  <sheetProtection algorithmName="SHA-512" hashValue="IkNuEgkK4SFDLyA+KceBfVLPxRfJYvwSomwXqCd6M1azxDhCPyUK9ZH56KFIFiT74NxeiTSVufG1JC77qQxGzA==" saltValue="BNbanwmOaeN7Clh8c/a99g==" spinCount="100000" sheet="1" objects="1" scenarios="1"/>
  <mergeCells count="59">
    <mergeCell ref="AA3:AA5"/>
    <mergeCell ref="G4:I4"/>
    <mergeCell ref="J4:K4"/>
    <mergeCell ref="L4:N4"/>
    <mergeCell ref="O4:O5"/>
    <mergeCell ref="P4:R4"/>
    <mergeCell ref="S4:T4"/>
    <mergeCell ref="G3:O3"/>
    <mergeCell ref="P3:X3"/>
    <mergeCell ref="Y3:Y5"/>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C85:O85"/>
    <mergeCell ref="C74:O74"/>
    <mergeCell ref="C75:O75"/>
    <mergeCell ref="C76:O76"/>
    <mergeCell ref="C77:O77"/>
    <mergeCell ref="C78:O78"/>
    <mergeCell ref="C79:O79"/>
    <mergeCell ref="C80:O80"/>
    <mergeCell ref="C81:O81"/>
    <mergeCell ref="C82:O82"/>
    <mergeCell ref="C83:O83"/>
    <mergeCell ref="C84:O84"/>
    <mergeCell ref="C92:O92"/>
    <mergeCell ref="C93:O93"/>
    <mergeCell ref="C95:O95"/>
    <mergeCell ref="C96:O96"/>
    <mergeCell ref="C86:O86"/>
    <mergeCell ref="C87:O87"/>
    <mergeCell ref="C88:O88"/>
    <mergeCell ref="C89:O89"/>
    <mergeCell ref="C90:O90"/>
    <mergeCell ref="C91:O91"/>
    <mergeCell ref="C94:O94"/>
    <mergeCell ref="BI3:BQ3"/>
    <mergeCell ref="BR3:BZ3"/>
    <mergeCell ref="BI4:BK4"/>
    <mergeCell ref="BL4:BM4"/>
    <mergeCell ref="BN4:BP4"/>
    <mergeCell ref="BQ4:BQ5"/>
    <mergeCell ref="BR4:BT4"/>
    <mergeCell ref="BU4:BV4"/>
    <mergeCell ref="BW4:BY4"/>
    <mergeCell ref="BZ4:BZ5"/>
  </mergeCells>
  <conditionalFormatting sqref="AA38">
    <cfRule type="cellIs" dxfId="171" priority="11" operator="equal">
      <formula>$BA$37</formula>
    </cfRule>
  </conditionalFormatting>
  <conditionalFormatting sqref="AA8:AA35 AA37:AA51">
    <cfRule type="cellIs" dxfId="170" priority="8" operator="equal">
      <formula>0</formula>
    </cfRule>
  </conditionalFormatting>
  <conditionalFormatting sqref="AA10:AA35 AA37:AA51">
    <cfRule type="cellIs" dxfId="169" priority="10" operator="equal">
      <formula>$BA$37</formula>
    </cfRule>
  </conditionalFormatting>
  <conditionalFormatting sqref="AA52">
    <cfRule type="cellIs" dxfId="168" priority="5" operator="equal">
      <formula>0</formula>
    </cfRule>
  </conditionalFormatting>
  <conditionalFormatting sqref="AA36">
    <cfRule type="cellIs" dxfId="167" priority="1" operator="equal">
      <formula>0</formula>
    </cfRule>
  </conditionalFormatting>
  <conditionalFormatting sqref="AA36">
    <cfRule type="cellIs" dxfId="166"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V57"/>
  <sheetViews>
    <sheetView workbookViewId="0">
      <selection activeCell="G11" sqref="G11"/>
    </sheetView>
  </sheetViews>
  <sheetFormatPr defaultColWidth="0" defaultRowHeight="14.25" zeroHeight="1"/>
  <cols>
    <col min="1" max="1" width="0.5" customWidth="1"/>
    <col min="2" max="2" width="8.5" customWidth="1"/>
    <col min="3" max="3" width="54.5" customWidth="1"/>
    <col min="4" max="4" width="4.125" hidden="1" customWidth="1"/>
    <col min="5" max="6" width="8.5" customWidth="1"/>
    <col min="7" max="7" width="10.125" customWidth="1"/>
    <col min="8" max="8" width="38.5" customWidth="1"/>
    <col min="9" max="9" width="2.5" customWidth="1"/>
    <col min="10" max="10" width="21.125" customWidth="1"/>
    <col min="11" max="11" width="2.5" customWidth="1"/>
    <col min="12" max="12" width="1.5" style="71" hidden="1" customWidth="1"/>
    <col min="13" max="13" width="8.125" hidden="1" customWidth="1"/>
    <col min="14" max="14" width="1.5" style="71" hidden="1" customWidth="1"/>
    <col min="15" max="15" width="2.5" customWidth="1"/>
    <col min="16" max="16" width="8.5" customWidth="1"/>
    <col min="17" max="17" width="48.5" customWidth="1"/>
    <col min="18" max="18" width="0.5" customWidth="1"/>
    <col min="19" max="20" width="8.5" customWidth="1"/>
    <col min="21" max="21" width="14" bestFit="1" customWidth="1"/>
    <col min="22" max="22" width="2.375" customWidth="1"/>
    <col min="23" max="16384" width="8.5" hidden="1"/>
  </cols>
  <sheetData>
    <row r="1" spans="1:21" ht="20.25">
      <c r="A1" s="995"/>
      <c r="B1" s="66" t="s">
        <v>6921</v>
      </c>
      <c r="C1" s="66"/>
      <c r="D1" s="66"/>
      <c r="E1" s="66"/>
      <c r="F1" s="66"/>
      <c r="G1" s="66"/>
      <c r="H1" s="68" t="str">
        <f>Validation!B3</f>
        <v>Yorkshire Water</v>
      </c>
      <c r="I1" s="66"/>
      <c r="J1" s="69" t="s">
        <v>34</v>
      </c>
      <c r="K1" s="70"/>
      <c r="M1" s="70"/>
      <c r="O1" s="2004"/>
      <c r="P1" s="66" t="s">
        <v>6921</v>
      </c>
      <c r="Q1" s="66"/>
      <c r="R1" s="66"/>
      <c r="S1" s="66"/>
      <c r="T1" s="66"/>
      <c r="U1" s="66"/>
    </row>
    <row r="2" spans="1:21" ht="16.5" thickBot="1">
      <c r="A2" s="995"/>
      <c r="B2" s="73" t="str">
        <f>'4M'!B2</f>
        <v>For the 12 months ended 31 March 2020</v>
      </c>
      <c r="C2" s="995"/>
      <c r="D2" s="995"/>
      <c r="E2" s="995"/>
      <c r="F2" s="995"/>
      <c r="G2" s="995"/>
      <c r="H2" s="995"/>
      <c r="I2" s="995"/>
      <c r="J2" s="70"/>
      <c r="K2" s="70"/>
      <c r="M2" s="70"/>
      <c r="O2" s="2004"/>
      <c r="P2" s="73" t="str">
        <f>+B2</f>
        <v>For the 12 months ended 31 March 2020</v>
      </c>
      <c r="Q2" s="2874"/>
      <c r="R2" s="2874"/>
      <c r="S2" s="2874"/>
      <c r="T2" s="2874"/>
      <c r="U2" s="2874"/>
    </row>
    <row r="3" spans="1:21" ht="16.5" thickBot="1">
      <c r="A3" s="995"/>
      <c r="B3" s="3443" t="s">
        <v>36</v>
      </c>
      <c r="C3" s="3444"/>
      <c r="D3" s="998" t="s">
        <v>3098</v>
      </c>
      <c r="E3" s="998" t="s">
        <v>2310</v>
      </c>
      <c r="F3" s="1051" t="s">
        <v>39</v>
      </c>
      <c r="G3" s="186" t="s">
        <v>3250</v>
      </c>
      <c r="H3" s="2990" t="s">
        <v>4567</v>
      </c>
      <c r="I3" s="1076"/>
      <c r="J3" s="2990" t="s">
        <v>43</v>
      </c>
      <c r="K3" s="70"/>
      <c r="M3" s="633" t="s">
        <v>47</v>
      </c>
      <c r="O3" s="2004"/>
      <c r="P3" s="1050" t="s">
        <v>193</v>
      </c>
      <c r="Q3" s="997" t="s">
        <v>4916</v>
      </c>
      <c r="R3" s="998" t="s">
        <v>3098</v>
      </c>
      <c r="S3" s="998" t="s">
        <v>2310</v>
      </c>
      <c r="T3" s="1051" t="s">
        <v>39</v>
      </c>
      <c r="U3" s="186" t="s">
        <v>3250</v>
      </c>
    </row>
    <row r="4" spans="1:21" ht="16.5" thickBot="1">
      <c r="A4" s="1077"/>
      <c r="B4" s="1078"/>
      <c r="C4" s="1079"/>
      <c r="D4" s="1077"/>
      <c r="E4" s="1077"/>
      <c r="F4" s="1077"/>
      <c r="G4" s="1077"/>
      <c r="H4" s="1077"/>
      <c r="I4" s="1077"/>
      <c r="J4" s="1077"/>
      <c r="K4" s="70"/>
      <c r="M4" s="85" t="s">
        <v>6922</v>
      </c>
      <c r="O4" s="2004"/>
      <c r="P4" s="1078"/>
      <c r="Q4" s="2875"/>
      <c r="R4" s="2876"/>
      <c r="S4" s="2876"/>
      <c r="T4" s="2876"/>
      <c r="U4" s="2876"/>
    </row>
    <row r="5" spans="1:21" s="2004" customFormat="1" ht="16.5" thickBot="1">
      <c r="A5" s="1077"/>
      <c r="B5" s="3034" t="s">
        <v>155</v>
      </c>
      <c r="C5" s="1060" t="s">
        <v>6923</v>
      </c>
      <c r="D5" s="1077"/>
      <c r="E5" s="1077"/>
      <c r="F5" s="1077"/>
      <c r="G5" s="1077"/>
      <c r="H5" s="1077"/>
      <c r="I5" s="1077"/>
      <c r="J5" s="1077"/>
      <c r="K5" s="70"/>
      <c r="L5" s="71"/>
      <c r="M5" s="85"/>
      <c r="N5" s="71"/>
      <c r="P5" s="3037" t="s">
        <v>155</v>
      </c>
      <c r="Q5" s="2877" t="s">
        <v>6923</v>
      </c>
      <c r="R5" s="2876"/>
      <c r="S5" s="2876"/>
      <c r="T5" s="2876"/>
      <c r="U5" s="2876"/>
    </row>
    <row r="6" spans="1:21" ht="15.75">
      <c r="A6" s="1080"/>
      <c r="B6" s="1081" t="s">
        <v>6924</v>
      </c>
      <c r="C6" s="1082" t="s">
        <v>6925</v>
      </c>
      <c r="D6" s="1634"/>
      <c r="E6" s="1083" t="s">
        <v>1655</v>
      </c>
      <c r="F6" s="1084">
        <v>3</v>
      </c>
      <c r="G6" s="1085">
        <v>3211.3820000000001</v>
      </c>
      <c r="H6" s="1769"/>
      <c r="I6" s="1077"/>
      <c r="J6" s="897">
        <f t="shared" ref="J6:J11" si="0" xml:space="preserve"> IF( SUM( L6:N6 ) = 0, 0, $M$4 )</f>
        <v>0</v>
      </c>
      <c r="K6" s="898"/>
      <c r="M6" s="93">
        <f>IF(Validation!$H$3=1,0,IF(ISNUMBER(G6),0,1))</f>
        <v>0</v>
      </c>
      <c r="O6" s="2004"/>
      <c r="P6" s="1081" t="s">
        <v>6924</v>
      </c>
      <c r="Q6" s="1082" t="s">
        <v>6925</v>
      </c>
      <c r="R6" s="1634"/>
      <c r="S6" s="1083" t="s">
        <v>1655</v>
      </c>
      <c r="T6" s="1084">
        <v>3</v>
      </c>
      <c r="U6" s="2878" t="s">
        <v>6926</v>
      </c>
    </row>
    <row r="7" spans="1:21" ht="15.75">
      <c r="A7" s="1080"/>
      <c r="B7" s="1086" t="s">
        <v>6927</v>
      </c>
      <c r="C7" s="1087" t="s">
        <v>6928</v>
      </c>
      <c r="D7" s="1635"/>
      <c r="E7" s="1088" t="s">
        <v>1655</v>
      </c>
      <c r="F7" s="1089">
        <v>3</v>
      </c>
      <c r="G7" s="1090">
        <v>1324.287</v>
      </c>
      <c r="H7" s="1770"/>
      <c r="I7" s="1077"/>
      <c r="J7" s="897">
        <f t="shared" si="0"/>
        <v>0</v>
      </c>
      <c r="K7" s="898"/>
      <c r="M7" s="93">
        <f>IF(Validation!$H$3=1,0,IF(ISNUMBER(G7),0,1))</f>
        <v>0</v>
      </c>
      <c r="O7" s="2004"/>
      <c r="P7" s="1086" t="s">
        <v>6927</v>
      </c>
      <c r="Q7" s="2879" t="s">
        <v>6928</v>
      </c>
      <c r="R7" s="2880"/>
      <c r="S7" s="1088" t="s">
        <v>1655</v>
      </c>
      <c r="T7" s="1089">
        <v>3</v>
      </c>
      <c r="U7" s="2881" t="s">
        <v>6929</v>
      </c>
    </row>
    <row r="8" spans="1:21" ht="15.75">
      <c r="A8" s="1080"/>
      <c r="B8" s="1086" t="s">
        <v>6930</v>
      </c>
      <c r="C8" s="1087" t="s">
        <v>6931</v>
      </c>
      <c r="D8" s="1635"/>
      <c r="E8" s="1088" t="s">
        <v>1655</v>
      </c>
      <c r="F8" s="1089">
        <v>3</v>
      </c>
      <c r="G8" s="1090">
        <v>3293.489</v>
      </c>
      <c r="H8" s="1770"/>
      <c r="I8" s="1077"/>
      <c r="J8" s="897">
        <f t="shared" si="0"/>
        <v>0</v>
      </c>
      <c r="K8" s="898"/>
      <c r="M8" s="93">
        <f>IF(Validation!$H$3=1,0,IF(ISNUMBER(G8),0,1))</f>
        <v>0</v>
      </c>
      <c r="O8" s="2004"/>
      <c r="P8" s="1086" t="s">
        <v>6930</v>
      </c>
      <c r="Q8" s="2879" t="s">
        <v>6931</v>
      </c>
      <c r="R8" s="2880"/>
      <c r="S8" s="1088" t="s">
        <v>1655</v>
      </c>
      <c r="T8" s="1089">
        <v>3</v>
      </c>
      <c r="U8" s="2881" t="s">
        <v>6932</v>
      </c>
    </row>
    <row r="9" spans="1:21" ht="15.75">
      <c r="A9" s="1080"/>
      <c r="B9" s="1086" t="s">
        <v>6933</v>
      </c>
      <c r="C9" s="1087" t="s">
        <v>6934</v>
      </c>
      <c r="D9" s="1635"/>
      <c r="E9" s="1088" t="s">
        <v>1655</v>
      </c>
      <c r="F9" s="1089">
        <v>3</v>
      </c>
      <c r="G9" s="1090">
        <v>5279.88</v>
      </c>
      <c r="H9" s="1770"/>
      <c r="I9" s="1077"/>
      <c r="J9" s="897">
        <f t="shared" si="0"/>
        <v>0</v>
      </c>
      <c r="K9" s="898"/>
      <c r="M9" s="93">
        <f>IF(Validation!$H$3=1,0,IF(ISNUMBER(G9),0,1))</f>
        <v>0</v>
      </c>
      <c r="O9" s="2004"/>
      <c r="P9" s="1086" t="s">
        <v>6933</v>
      </c>
      <c r="Q9" s="2879" t="s">
        <v>6934</v>
      </c>
      <c r="R9" s="2880"/>
      <c r="S9" s="1088" t="s">
        <v>1655</v>
      </c>
      <c r="T9" s="1089">
        <v>3</v>
      </c>
      <c r="U9" s="2881" t="s">
        <v>6935</v>
      </c>
    </row>
    <row r="10" spans="1:21" ht="15.75">
      <c r="A10" s="1080"/>
      <c r="B10" s="1086" t="s">
        <v>6936</v>
      </c>
      <c r="C10" s="1087" t="s">
        <v>6937</v>
      </c>
      <c r="D10" s="1635"/>
      <c r="E10" s="1088" t="s">
        <v>1655</v>
      </c>
      <c r="F10" s="1089">
        <v>3</v>
      </c>
      <c r="G10" s="1090">
        <v>8746.4169999999995</v>
      </c>
      <c r="H10" s="1770"/>
      <c r="I10" s="1077"/>
      <c r="J10" s="897">
        <f t="shared" si="0"/>
        <v>0</v>
      </c>
      <c r="K10" s="898"/>
      <c r="M10" s="93">
        <f>IF(Validation!$H$3=1,0,IF(ISNUMBER(G10),0,1))</f>
        <v>0</v>
      </c>
      <c r="O10" s="2004"/>
      <c r="P10" s="1086" t="s">
        <v>6936</v>
      </c>
      <c r="Q10" s="2879" t="s">
        <v>6937</v>
      </c>
      <c r="R10" s="2880"/>
      <c r="S10" s="1088" t="s">
        <v>1655</v>
      </c>
      <c r="T10" s="1089">
        <v>3</v>
      </c>
      <c r="U10" s="2881" t="s">
        <v>6938</v>
      </c>
    </row>
    <row r="11" spans="1:21" ht="15.75">
      <c r="A11" s="1080"/>
      <c r="B11" s="1086" t="s">
        <v>6939</v>
      </c>
      <c r="C11" s="1087" t="s">
        <v>6940</v>
      </c>
      <c r="D11" s="1635"/>
      <c r="E11" s="1088" t="s">
        <v>1655</v>
      </c>
      <c r="F11" s="1089">
        <v>3</v>
      </c>
      <c r="G11" s="1090">
        <v>2790.7179999999998</v>
      </c>
      <c r="H11" s="1770"/>
      <c r="I11" s="1077"/>
      <c r="J11" s="897">
        <f t="shared" si="0"/>
        <v>0</v>
      </c>
      <c r="K11" s="898"/>
      <c r="M11" s="93">
        <f>IF(Validation!$H$3=1,0,IF(ISNUMBER(G11),0,1))</f>
        <v>0</v>
      </c>
      <c r="O11" s="2004"/>
      <c r="P11" s="1086" t="s">
        <v>6939</v>
      </c>
      <c r="Q11" s="2879" t="s">
        <v>6940</v>
      </c>
      <c r="R11" s="2880"/>
      <c r="S11" s="1088" t="s">
        <v>1655</v>
      </c>
      <c r="T11" s="1089">
        <v>3</v>
      </c>
      <c r="U11" s="2881" t="s">
        <v>6941</v>
      </c>
    </row>
    <row r="12" spans="1:21" s="1659" customFormat="1" ht="16.5" thickBot="1">
      <c r="A12" s="2406"/>
      <c r="B12" s="1301" t="s">
        <v>6942</v>
      </c>
      <c r="C12" s="2407" t="s">
        <v>6943</v>
      </c>
      <c r="D12" s="2408"/>
      <c r="E12" s="2032" t="s">
        <v>1655</v>
      </c>
      <c r="F12" s="1304">
        <v>3</v>
      </c>
      <c r="G12" s="2033">
        <f>+SUM(G6:G11)</f>
        <v>24646.173000000003</v>
      </c>
      <c r="H12" s="2034"/>
      <c r="I12" s="2121"/>
      <c r="J12" s="897"/>
      <c r="K12" s="2409"/>
      <c r="L12" s="2410"/>
      <c r="M12" s="2411"/>
      <c r="N12" s="2410"/>
      <c r="P12" s="1301" t="s">
        <v>6942</v>
      </c>
      <c r="Q12" s="2882" t="s">
        <v>6943</v>
      </c>
      <c r="R12" s="2883"/>
      <c r="S12" s="2032" t="s">
        <v>1655</v>
      </c>
      <c r="T12" s="1304">
        <v>3</v>
      </c>
      <c r="U12" s="2884" t="s">
        <v>6944</v>
      </c>
    </row>
    <row r="13" spans="1:21" s="2004" customFormat="1" ht="16.5" thickBot="1">
      <c r="B13" s="995"/>
      <c r="C13" s="995"/>
      <c r="D13" s="995"/>
      <c r="E13" s="995"/>
      <c r="F13" s="995"/>
      <c r="G13" s="1093"/>
      <c r="H13" s="995"/>
      <c r="I13" s="1077"/>
      <c r="J13" s="1092"/>
      <c r="K13" s="995"/>
      <c r="L13" s="71"/>
      <c r="M13" s="995"/>
      <c r="N13" s="71"/>
      <c r="P13" s="2874"/>
      <c r="Q13" s="2874"/>
      <c r="R13" s="2874"/>
      <c r="S13" s="2874"/>
      <c r="T13" s="2874"/>
      <c r="U13" s="479"/>
    </row>
    <row r="14" spans="1:21" s="2004" customFormat="1" ht="16.5" thickBot="1">
      <c r="B14" s="3034" t="s">
        <v>177</v>
      </c>
      <c r="C14" s="1060" t="s">
        <v>6945</v>
      </c>
      <c r="D14" s="995"/>
      <c r="E14" s="995"/>
      <c r="F14" s="995"/>
      <c r="G14" s="1093"/>
      <c r="H14" s="995"/>
      <c r="I14" s="1077"/>
      <c r="J14" s="1092"/>
      <c r="K14" s="995"/>
      <c r="L14" s="71"/>
      <c r="M14" s="995"/>
      <c r="N14" s="71"/>
      <c r="P14" s="3037" t="s">
        <v>177</v>
      </c>
      <c r="Q14" s="2877" t="s">
        <v>6945</v>
      </c>
      <c r="R14" s="2874"/>
      <c r="S14" s="2874"/>
      <c r="T14" s="2874"/>
      <c r="U14" s="479"/>
    </row>
    <row r="15" spans="1:21" ht="15.75">
      <c r="A15" s="1080"/>
      <c r="B15" s="1086" t="s">
        <v>6946</v>
      </c>
      <c r="C15" s="1087" t="s">
        <v>6947</v>
      </c>
      <c r="D15" s="1636"/>
      <c r="E15" s="1088" t="s">
        <v>1655</v>
      </c>
      <c r="F15" s="1089">
        <v>3</v>
      </c>
      <c r="G15" s="1670">
        <f>SUM('4O'!G18:CH18)</f>
        <v>2979</v>
      </c>
      <c r="H15" s="1770"/>
      <c r="I15" s="1077"/>
      <c r="J15" s="897"/>
      <c r="K15" s="898"/>
      <c r="M15" s="995"/>
      <c r="O15" s="2004"/>
      <c r="P15" s="1293" t="s">
        <v>6946</v>
      </c>
      <c r="Q15" s="2885" t="s">
        <v>6947</v>
      </c>
      <c r="R15" s="2886"/>
      <c r="S15" s="2147" t="s">
        <v>1655</v>
      </c>
      <c r="T15" s="1296">
        <v>3</v>
      </c>
      <c r="U15" s="2878" t="s">
        <v>6948</v>
      </c>
    </row>
    <row r="16" spans="1:21" ht="15.75">
      <c r="A16" s="1080"/>
      <c r="B16" s="1086" t="s">
        <v>6949</v>
      </c>
      <c r="C16" s="1087" t="s">
        <v>6950</v>
      </c>
      <c r="D16" s="1636"/>
      <c r="E16" s="1088" t="s">
        <v>1655</v>
      </c>
      <c r="F16" s="1089">
        <v>3</v>
      </c>
      <c r="G16" s="2039">
        <f>SUM('4O'!G19:CH19)</f>
        <v>1021</v>
      </c>
      <c r="H16" s="1770"/>
      <c r="I16" s="1077"/>
      <c r="J16" s="897">
        <f xml:space="preserve"> IF( SUM( L16:N16 ) = 0, 0, $M$4 )</f>
        <v>0</v>
      </c>
      <c r="K16" s="898"/>
      <c r="M16" s="995"/>
      <c r="O16" s="2004"/>
      <c r="P16" s="1086" t="s">
        <v>6949</v>
      </c>
      <c r="Q16" s="2879" t="s">
        <v>6950</v>
      </c>
      <c r="R16" s="2887"/>
      <c r="S16" s="1088" t="s">
        <v>1655</v>
      </c>
      <c r="T16" s="1089">
        <v>3</v>
      </c>
      <c r="U16" s="2881" t="s">
        <v>6951</v>
      </c>
    </row>
    <row r="17" spans="1:21" s="1659" customFormat="1" ht="16.5" thickBot="1">
      <c r="A17" s="2406"/>
      <c r="B17" s="1086" t="s">
        <v>6952</v>
      </c>
      <c r="C17" s="2412" t="s">
        <v>6953</v>
      </c>
      <c r="D17" s="2413"/>
      <c r="E17" s="1088" t="s">
        <v>1655</v>
      </c>
      <c r="F17" s="1089">
        <v>3</v>
      </c>
      <c r="G17" s="2039">
        <f>SUM('4O'!G20:CH20)</f>
        <v>46652</v>
      </c>
      <c r="H17" s="1770"/>
      <c r="I17" s="2121"/>
      <c r="J17" s="897">
        <f xml:space="preserve"> IF( SUM( L17:N17 ) = 0, 0, $M$4 )</f>
        <v>0</v>
      </c>
      <c r="K17" s="2409"/>
      <c r="L17" s="2410"/>
      <c r="M17" s="2411"/>
      <c r="N17" s="2410"/>
      <c r="P17" s="1301" t="s">
        <v>6952</v>
      </c>
      <c r="Q17" s="2882" t="s">
        <v>6953</v>
      </c>
      <c r="R17" s="2883"/>
      <c r="S17" s="2032" t="s">
        <v>1655</v>
      </c>
      <c r="T17" s="1304">
        <v>3</v>
      </c>
      <c r="U17" s="2881" t="s">
        <v>6954</v>
      </c>
    </row>
    <row r="18" spans="1:21" ht="15.75">
      <c r="A18" s="1080"/>
      <c r="B18" s="2257" t="s">
        <v>6955</v>
      </c>
      <c r="C18" s="2258" t="s">
        <v>6956</v>
      </c>
      <c r="D18" s="2259"/>
      <c r="E18" s="2260" t="s">
        <v>1655</v>
      </c>
      <c r="F18" s="2261">
        <v>3</v>
      </c>
      <c r="G18" s="2262">
        <f>G15+G16+G17</f>
        <v>50652</v>
      </c>
      <c r="H18" s="2263"/>
      <c r="I18" s="1077"/>
      <c r="J18" s="897"/>
      <c r="K18" s="898"/>
      <c r="M18" s="995"/>
      <c r="O18" s="2004"/>
      <c r="P18" s="1086" t="s">
        <v>6955</v>
      </c>
      <c r="Q18" s="2879" t="s">
        <v>6956</v>
      </c>
      <c r="R18" s="2880"/>
      <c r="S18" s="1088" t="s">
        <v>1655</v>
      </c>
      <c r="T18" s="1089">
        <v>3</v>
      </c>
      <c r="U18" s="1501" t="s">
        <v>6957</v>
      </c>
    </row>
    <row r="19" spans="1:21" ht="15.75">
      <c r="A19" s="1080"/>
      <c r="B19" s="1086" t="s">
        <v>6958</v>
      </c>
      <c r="C19" s="1087" t="s">
        <v>6959</v>
      </c>
      <c r="D19" s="1636"/>
      <c r="E19" s="1088" t="s">
        <v>1655</v>
      </c>
      <c r="F19" s="1089">
        <v>3</v>
      </c>
      <c r="G19" s="2039">
        <f>SUM('4O'!G22:CH22)</f>
        <v>6569</v>
      </c>
      <c r="H19" s="1770"/>
      <c r="I19" s="1077"/>
      <c r="J19" s="897">
        <f xml:space="preserve"> IF( SUM( L19:N19 ) = 0, 0, $M$4 )</f>
        <v>0</v>
      </c>
      <c r="K19" s="898"/>
      <c r="M19" s="995"/>
      <c r="O19" s="2004"/>
      <c r="P19" s="1086" t="s">
        <v>6958</v>
      </c>
      <c r="Q19" s="2879" t="s">
        <v>6959</v>
      </c>
      <c r="R19" s="2887"/>
      <c r="S19" s="1088" t="s">
        <v>1655</v>
      </c>
      <c r="T19" s="1089">
        <v>3</v>
      </c>
      <c r="U19" s="2881" t="s">
        <v>6960</v>
      </c>
    </row>
    <row r="20" spans="1:21" s="1659" customFormat="1" ht="16.5" thickBot="1">
      <c r="A20" s="2406"/>
      <c r="B20" s="1086" t="s">
        <v>6961</v>
      </c>
      <c r="C20" s="2412" t="s">
        <v>6962</v>
      </c>
      <c r="D20" s="2414"/>
      <c r="E20" s="1088" t="s">
        <v>1655</v>
      </c>
      <c r="F20" s="1089">
        <v>3</v>
      </c>
      <c r="G20" s="2039">
        <f>+G18+G19</f>
        <v>57221</v>
      </c>
      <c r="H20" s="1770"/>
      <c r="I20" s="2121"/>
      <c r="J20" s="897"/>
      <c r="K20" s="2409"/>
      <c r="L20" s="2410"/>
      <c r="M20" s="2411"/>
      <c r="N20" s="2410"/>
      <c r="P20" s="1466" t="s">
        <v>6961</v>
      </c>
      <c r="Q20" s="2888" t="s">
        <v>6962</v>
      </c>
      <c r="R20" s="2889"/>
      <c r="S20" s="1467" t="s">
        <v>1655</v>
      </c>
      <c r="T20" s="1468">
        <v>3</v>
      </c>
      <c r="U20" s="2890" t="s">
        <v>6963</v>
      </c>
    </row>
    <row r="21" spans="1:21" s="1659" customFormat="1" ht="16.5" thickBot="1">
      <c r="A21" s="2406"/>
      <c r="B21" s="2264" t="s">
        <v>6964</v>
      </c>
      <c r="C21" s="2415" t="s">
        <v>6965</v>
      </c>
      <c r="D21" s="2416"/>
      <c r="E21" s="2265" t="s">
        <v>1655</v>
      </c>
      <c r="F21" s="2266">
        <v>3</v>
      </c>
      <c r="G21" s="2267">
        <f>G12+G20</f>
        <v>81867.17300000001</v>
      </c>
      <c r="H21" s="2268"/>
      <c r="I21" s="2121"/>
      <c r="J21" s="897"/>
      <c r="K21" s="2409"/>
      <c r="L21" s="2410"/>
      <c r="M21" s="2411"/>
      <c r="N21" s="2410"/>
      <c r="P21" s="1469" t="s">
        <v>6964</v>
      </c>
      <c r="Q21" s="2891" t="s">
        <v>6965</v>
      </c>
      <c r="R21" s="2892"/>
      <c r="S21" s="1470" t="s">
        <v>1655</v>
      </c>
      <c r="T21" s="1471">
        <v>3</v>
      </c>
      <c r="U21" s="2893" t="s">
        <v>6966</v>
      </c>
    </row>
    <row r="22" spans="1:21" ht="15.75">
      <c r="A22" s="2004"/>
      <c r="B22" s="995"/>
      <c r="C22" s="995"/>
      <c r="D22" s="995"/>
      <c r="E22" s="995"/>
      <c r="F22" s="995"/>
      <c r="G22" s="1093"/>
      <c r="H22" s="995"/>
      <c r="I22" s="1077"/>
      <c r="J22" s="1092"/>
      <c r="K22" s="995"/>
      <c r="M22" s="995"/>
      <c r="O22" s="2004"/>
      <c r="P22" s="479"/>
      <c r="Q22" s="479"/>
      <c r="R22" s="479"/>
      <c r="S22" s="479"/>
      <c r="T22" s="479"/>
      <c r="U22" s="479"/>
    </row>
    <row r="23" spans="1:21" ht="15.75">
      <c r="A23" s="2004"/>
      <c r="B23" s="3051" t="s">
        <v>243</v>
      </c>
      <c r="C23" s="995"/>
      <c r="D23" s="995"/>
      <c r="E23" s="995"/>
      <c r="F23" s="995"/>
      <c r="G23" s="995"/>
      <c r="H23" s="995"/>
      <c r="I23" s="995"/>
      <c r="J23" s="995"/>
      <c r="K23" s="995"/>
      <c r="M23" s="995"/>
      <c r="O23" s="2004"/>
      <c r="P23" s="479"/>
      <c r="Q23" s="479"/>
      <c r="R23" s="479"/>
      <c r="S23" s="479"/>
      <c r="T23" s="479"/>
      <c r="U23" s="479"/>
    </row>
    <row r="24" spans="1:21" ht="15.75">
      <c r="A24" s="2004"/>
      <c r="B24" s="995"/>
      <c r="C24" s="995"/>
      <c r="D24" s="995"/>
      <c r="E24" s="995"/>
      <c r="F24" s="995"/>
      <c r="G24" s="995"/>
      <c r="H24" s="995"/>
      <c r="I24" s="995"/>
      <c r="J24" s="995"/>
      <c r="K24" s="995"/>
      <c r="M24" s="995"/>
      <c r="O24" s="2004"/>
      <c r="P24" s="2004"/>
      <c r="Q24" s="2004"/>
      <c r="R24" s="2004"/>
      <c r="S24" s="2004"/>
      <c r="T24" s="2004"/>
      <c r="U24" s="2004"/>
    </row>
    <row r="25" spans="1:21">
      <c r="A25" s="2004"/>
      <c r="B25" s="958"/>
      <c r="C25" s="1094" t="s">
        <v>6967</v>
      </c>
      <c r="D25" s="1095"/>
      <c r="E25" s="1095"/>
      <c r="F25" s="1095"/>
      <c r="G25" s="1095"/>
      <c r="H25" s="1095"/>
      <c r="I25" s="1095"/>
      <c r="J25" s="1095"/>
      <c r="K25" s="1095"/>
      <c r="M25" s="1095"/>
      <c r="O25" s="2004"/>
      <c r="P25" s="2004"/>
      <c r="Q25" s="2004"/>
      <c r="R25" s="2004"/>
      <c r="S25" s="2004"/>
      <c r="T25" s="2004"/>
      <c r="U25" s="2004"/>
    </row>
    <row r="26" spans="1:21" ht="15.75">
      <c r="A26" s="2004"/>
      <c r="B26" s="995"/>
      <c r="C26" s="1096"/>
      <c r="D26" s="995"/>
      <c r="E26" s="995"/>
      <c r="F26" s="995"/>
      <c r="G26" s="995"/>
      <c r="H26" s="995"/>
      <c r="I26" s="995"/>
      <c r="J26" s="995"/>
      <c r="K26" s="995"/>
      <c r="L26" s="119"/>
      <c r="M26" s="995"/>
      <c r="N26" s="119"/>
      <c r="O26" s="2004"/>
      <c r="P26" s="2004"/>
      <c r="Q26" s="2004"/>
      <c r="R26" s="2004"/>
      <c r="S26" s="2004"/>
      <c r="T26" s="2004"/>
      <c r="U26" s="2004"/>
    </row>
    <row r="27" spans="1:21" ht="15.75">
      <c r="A27" s="2004"/>
      <c r="B27" s="960"/>
      <c r="C27" s="1096" t="s">
        <v>5294</v>
      </c>
      <c r="D27" s="995"/>
      <c r="E27" s="995"/>
      <c r="F27" s="995"/>
      <c r="G27" s="995"/>
      <c r="H27" s="995"/>
      <c r="I27" s="995"/>
      <c r="J27" s="995"/>
      <c r="K27" s="995"/>
      <c r="L27" s="119"/>
      <c r="M27" s="995"/>
      <c r="N27" s="119"/>
      <c r="O27" s="2004"/>
      <c r="P27" s="2004"/>
      <c r="Q27" s="2004"/>
      <c r="R27" s="2004"/>
      <c r="S27" s="2004"/>
      <c r="T27" s="2004"/>
      <c r="U27" s="2004"/>
    </row>
    <row r="28" spans="1:21" ht="15.75">
      <c r="A28" s="2004"/>
      <c r="B28" s="995"/>
      <c r="C28" s="995"/>
      <c r="D28" s="995"/>
      <c r="E28" s="995"/>
      <c r="F28" s="995"/>
      <c r="G28" s="995"/>
      <c r="H28" s="995"/>
      <c r="I28" s="995"/>
      <c r="J28" s="995"/>
      <c r="K28" s="995"/>
      <c r="L28" s="119"/>
      <c r="M28" s="995"/>
      <c r="N28" s="119"/>
      <c r="O28" s="2004"/>
      <c r="P28" s="2004"/>
      <c r="Q28" s="2004"/>
      <c r="R28" s="2004"/>
      <c r="S28" s="2004"/>
      <c r="T28" s="2004"/>
      <c r="U28" s="2004"/>
    </row>
    <row r="29" spans="1:21" ht="16.5" thickBot="1">
      <c r="A29" s="2004"/>
      <c r="B29" s="995"/>
      <c r="C29" s="995"/>
      <c r="D29" s="995"/>
      <c r="E29" s="995"/>
      <c r="F29" s="995"/>
      <c r="G29" s="995"/>
      <c r="H29" s="995"/>
      <c r="I29" s="995"/>
      <c r="J29" s="995"/>
      <c r="K29" s="995"/>
      <c r="M29" s="995"/>
      <c r="O29" s="2004"/>
      <c r="P29" s="2004"/>
      <c r="Q29" s="2004"/>
      <c r="R29" s="2004"/>
      <c r="S29" s="2004"/>
      <c r="T29" s="2004"/>
      <c r="U29" s="2004"/>
    </row>
    <row r="30" spans="1:21" ht="16.5" thickBot="1">
      <c r="A30" s="2004"/>
      <c r="B30" s="3031" t="str">
        <f>'4M'!B61</f>
        <v>Please refer to RAG 4.08 - Guideline for the table definitions in the annual performance report for the reporting year 2019-20</v>
      </c>
      <c r="C30" s="3046"/>
      <c r="D30" s="3046"/>
      <c r="E30" s="3046"/>
      <c r="F30" s="3046"/>
      <c r="G30" s="3046"/>
      <c r="H30" s="3046"/>
      <c r="I30" s="3046"/>
      <c r="J30" s="3047"/>
      <c r="K30" s="995"/>
      <c r="M30" s="995"/>
      <c r="O30" s="2004"/>
      <c r="P30" s="2004"/>
      <c r="Q30" s="2004"/>
      <c r="R30" s="2004"/>
      <c r="S30" s="2004"/>
      <c r="T30" s="2004"/>
      <c r="U30" s="2004"/>
    </row>
    <row r="31" spans="1:21" ht="15.75">
      <c r="A31" s="2004"/>
      <c r="B31" s="995"/>
      <c r="C31" s="995"/>
      <c r="D31" s="995"/>
      <c r="E31" s="995"/>
      <c r="F31" s="995"/>
      <c r="G31" s="995"/>
      <c r="H31" s="995"/>
      <c r="I31" s="995"/>
      <c r="J31" s="995"/>
      <c r="K31" s="995"/>
      <c r="M31" s="995"/>
      <c r="O31" s="2004"/>
      <c r="P31" s="2004"/>
      <c r="Q31" s="2004"/>
      <c r="R31" s="2004"/>
      <c r="S31" s="2004"/>
      <c r="T31" s="2004"/>
      <c r="U31" s="2004"/>
    </row>
    <row r="32" spans="1:21" ht="15.75">
      <c r="A32" s="2004"/>
      <c r="B32" s="995"/>
      <c r="C32" s="995"/>
      <c r="D32" s="995"/>
      <c r="E32" s="995"/>
      <c r="F32" s="995"/>
      <c r="G32" s="995"/>
      <c r="H32" s="995"/>
      <c r="I32" s="995"/>
      <c r="J32" s="995"/>
      <c r="K32" s="995"/>
      <c r="M32" s="995"/>
      <c r="O32" s="2004"/>
      <c r="P32" s="2004"/>
      <c r="Q32" s="2004"/>
      <c r="R32" s="2004"/>
      <c r="S32" s="2004"/>
      <c r="T32" s="2004"/>
      <c r="U32" s="2004"/>
    </row>
    <row r="33" spans="1:14" ht="15.75">
      <c r="A33" s="2004"/>
      <c r="B33" s="995"/>
      <c r="C33" s="995"/>
      <c r="D33" s="995"/>
      <c r="E33" s="995"/>
      <c r="F33" s="995"/>
      <c r="G33" s="995"/>
      <c r="H33" s="995"/>
      <c r="I33" s="995"/>
      <c r="J33" s="995"/>
      <c r="K33" s="995"/>
      <c r="M33" s="995"/>
    </row>
    <row r="34" spans="1:14">
      <c r="A34" s="2004"/>
      <c r="B34" s="2004" t="s">
        <v>5313</v>
      </c>
      <c r="C34" s="2004"/>
      <c r="D34" s="2004"/>
      <c r="E34" s="2004"/>
      <c r="F34" s="2004"/>
      <c r="G34" s="2004"/>
      <c r="H34" s="2004"/>
      <c r="I34" s="2004"/>
      <c r="J34" s="2004"/>
      <c r="K34" s="2004"/>
      <c r="L34" s="124"/>
      <c r="M34" s="2004"/>
      <c r="N34" s="124"/>
    </row>
    <row r="35" spans="1:14" ht="16.5" thickBot="1">
      <c r="A35" s="2004"/>
      <c r="B35" s="995"/>
      <c r="C35" s="995"/>
      <c r="D35" s="995"/>
      <c r="E35" s="995"/>
      <c r="F35" s="995"/>
      <c r="G35" s="995"/>
      <c r="H35" s="995"/>
      <c r="I35" s="995"/>
      <c r="J35" s="995"/>
      <c r="K35" s="2004"/>
      <c r="L35" s="124"/>
      <c r="M35" s="2004"/>
      <c r="N35" s="124"/>
    </row>
    <row r="36" spans="1:14" ht="324" customHeight="1" thickBot="1">
      <c r="A36" s="2004"/>
      <c r="B36" s="3445" t="s">
        <v>6968</v>
      </c>
      <c r="C36" s="3446"/>
      <c r="D36" s="3446"/>
      <c r="E36" s="3446"/>
      <c r="F36" s="3446"/>
      <c r="G36" s="3446"/>
      <c r="H36" s="3446"/>
      <c r="I36" s="3446"/>
      <c r="J36" s="3447"/>
      <c r="K36" s="2004"/>
      <c r="L36" s="124"/>
      <c r="M36" s="2004"/>
      <c r="N36" s="124"/>
    </row>
    <row r="37" spans="1:14">
      <c r="A37" s="2004"/>
      <c r="B37" s="2004"/>
      <c r="C37" s="2004"/>
      <c r="D37" s="2004"/>
      <c r="E37" s="2004"/>
      <c r="F37" s="2004"/>
      <c r="G37" s="2004"/>
      <c r="H37" s="2004"/>
      <c r="I37" s="2004"/>
      <c r="J37" s="2004"/>
      <c r="K37" s="2004"/>
      <c r="L37" s="124"/>
      <c r="M37" s="2004"/>
      <c r="N37" s="124"/>
    </row>
    <row r="38" spans="1:14" hidden="1">
      <c r="A38" s="2004"/>
      <c r="B38" s="2004"/>
      <c r="C38" s="2004"/>
      <c r="D38" s="2004"/>
      <c r="E38" s="2004"/>
      <c r="F38" s="2004"/>
      <c r="G38" s="2004"/>
      <c r="H38" s="2004"/>
      <c r="I38" s="2004"/>
      <c r="J38" s="2004"/>
      <c r="K38" s="2004"/>
      <c r="L38" s="124"/>
      <c r="M38" s="2004"/>
      <c r="N38" s="124"/>
    </row>
    <row r="39" spans="1:14">
      <c r="A39" s="2004"/>
      <c r="B39" s="2004"/>
      <c r="C39" s="2004"/>
      <c r="D39" s="2004"/>
      <c r="E39" s="2004"/>
      <c r="F39" s="2004"/>
      <c r="G39" s="2004"/>
      <c r="H39" s="2004"/>
      <c r="I39" s="2004"/>
      <c r="J39" s="2004"/>
      <c r="K39" s="2004"/>
      <c r="M39" s="2004"/>
    </row>
    <row r="40" spans="1:14">
      <c r="A40" s="2004"/>
      <c r="B40" s="2004"/>
      <c r="C40" s="2004"/>
      <c r="D40" s="2004"/>
      <c r="E40" s="2004"/>
      <c r="F40" s="2004"/>
      <c r="G40" s="2004"/>
      <c r="H40" s="2004"/>
      <c r="I40" s="2004"/>
      <c r="J40" s="2004"/>
      <c r="K40" s="2004"/>
      <c r="M40" s="2004"/>
    </row>
    <row r="41" spans="1:14">
      <c r="A41" s="2004"/>
      <c r="B41" s="2004"/>
      <c r="C41" s="2004"/>
      <c r="D41" s="2004"/>
      <c r="E41" s="2004"/>
      <c r="F41" s="2004"/>
      <c r="G41" s="2004"/>
      <c r="H41" s="2004"/>
      <c r="I41" s="2004"/>
      <c r="J41" s="2004"/>
      <c r="K41" s="2004"/>
      <c r="M41" s="2004"/>
    </row>
    <row r="42" spans="1:14">
      <c r="A42" s="2004"/>
      <c r="B42" s="2004"/>
      <c r="C42" s="2004"/>
      <c r="D42" s="2004"/>
      <c r="E42" s="2004"/>
      <c r="F42" s="2004"/>
      <c r="G42" s="2004"/>
      <c r="H42" s="2004"/>
      <c r="I42" s="2004"/>
      <c r="J42" s="2004"/>
      <c r="K42" s="2004"/>
      <c r="M42" s="2004"/>
    </row>
    <row r="43" spans="1:14">
      <c r="A43" s="2004"/>
      <c r="B43" s="2004"/>
      <c r="C43" s="2004"/>
      <c r="D43" s="2004"/>
      <c r="E43" s="2004"/>
      <c r="F43" s="2004"/>
      <c r="G43" s="2004"/>
      <c r="H43" s="2004"/>
      <c r="I43" s="2004"/>
      <c r="J43" s="2004"/>
      <c r="K43" s="2004"/>
      <c r="M43" s="2004"/>
    </row>
    <row r="44" spans="1:14">
      <c r="A44" s="2004"/>
      <c r="B44" s="2004"/>
      <c r="C44" s="2004"/>
      <c r="D44" s="2004"/>
      <c r="E44" s="2004"/>
      <c r="F44" s="2004"/>
      <c r="G44" s="2004"/>
      <c r="H44" s="2004"/>
      <c r="I44" s="2004"/>
      <c r="J44" s="2004"/>
      <c r="K44" s="2004"/>
      <c r="M44" s="2004"/>
    </row>
    <row r="45" spans="1:14">
      <c r="A45" s="2004"/>
      <c r="B45" s="2004"/>
      <c r="C45" s="2004"/>
      <c r="D45" s="2004"/>
      <c r="E45" s="2004"/>
      <c r="F45" s="2004"/>
      <c r="G45" s="2004"/>
      <c r="H45" s="2004"/>
      <c r="I45" s="2004"/>
      <c r="J45" s="2004"/>
      <c r="K45" s="2004"/>
      <c r="M45" s="2004"/>
    </row>
    <row r="46" spans="1:14">
      <c r="A46" s="2004"/>
      <c r="B46" s="2004"/>
      <c r="C46" s="2004"/>
      <c r="D46" s="2004"/>
      <c r="E46" s="2004"/>
      <c r="F46" s="2004"/>
      <c r="G46" s="2004"/>
      <c r="H46" s="2004"/>
      <c r="I46" s="2004"/>
      <c r="J46" s="2004"/>
      <c r="K46" s="2004"/>
      <c r="M46" s="2004"/>
    </row>
    <row r="47" spans="1:14">
      <c r="A47" s="2004"/>
      <c r="B47" s="2004"/>
      <c r="C47" s="2004"/>
      <c r="D47" s="2004"/>
      <c r="E47" s="2004"/>
      <c r="F47" s="2004"/>
      <c r="G47" s="2004"/>
      <c r="H47" s="2004"/>
      <c r="I47" s="2004"/>
      <c r="J47" s="2004"/>
      <c r="K47" s="2004"/>
      <c r="M47" s="2004"/>
    </row>
    <row r="48" spans="1:14">
      <c r="A48" s="2004"/>
      <c r="B48" s="2004"/>
      <c r="C48" s="2004"/>
      <c r="D48" s="2004"/>
      <c r="E48" s="2004"/>
      <c r="F48" s="2004"/>
      <c r="G48" s="2004"/>
      <c r="H48" s="2004"/>
      <c r="I48" s="2004"/>
      <c r="J48" s="2004"/>
      <c r="K48" s="2004"/>
      <c r="M48" s="2004"/>
    </row>
    <row r="49"/>
    <row r="50"/>
    <row r="51"/>
    <row r="52"/>
    <row r="53"/>
    <row r="54"/>
    <row r="55"/>
    <row r="56"/>
    <row r="57"/>
  </sheetData>
  <sheetProtection algorithmName="SHA-512" hashValue="zKl5s/h5mytAF6b2H5jd4nHwfjWI7riz3149Wf3Rd11cOAzS626BPfRxRk7+HdT7utjiqIDeIOBADVH5xs8Ghw==" saltValue="tkqP6u4SxQjBIwXi1PiXdQ==" spinCount="100000" sheet="1" objects="1" scenarios="1"/>
  <mergeCells count="2">
    <mergeCell ref="B3:C3"/>
    <mergeCell ref="B36:J36"/>
  </mergeCells>
  <conditionalFormatting sqref="J7:J12 J18:J21">
    <cfRule type="cellIs" dxfId="161" priority="45" operator="equal">
      <formula>0</formula>
    </cfRule>
  </conditionalFormatting>
  <conditionalFormatting sqref="J9:J12">
    <cfRule type="cellIs" dxfId="160" priority="43" operator="equal">
      <formula>0</formula>
    </cfRule>
  </conditionalFormatting>
  <conditionalFormatting sqref="J21">
    <cfRule type="cellIs" dxfId="159" priority="40" operator="equal">
      <formula>0</formula>
    </cfRule>
  </conditionalFormatting>
  <conditionalFormatting sqref="J21">
    <cfRule type="cellIs" dxfId="158" priority="39" operator="equal">
      <formula>0</formula>
    </cfRule>
  </conditionalFormatting>
  <conditionalFormatting sqref="J6:J12">
    <cfRule type="cellIs" dxfId="157" priority="36" operator="equal">
      <formula>0</formula>
    </cfRule>
  </conditionalFormatting>
  <conditionalFormatting sqref="J15 J17">
    <cfRule type="cellIs" dxfId="156" priority="16" operator="equal">
      <formula>0</formula>
    </cfRule>
  </conditionalFormatting>
  <conditionalFormatting sqref="J19">
    <cfRule type="cellIs" dxfId="155" priority="10" operator="equal">
      <formula>0</formula>
    </cfRule>
  </conditionalFormatting>
  <conditionalFormatting sqref="J6:J12 J15 J17:J21">
    <cfRule type="cellIs" dxfId="154" priority="836" operator="equal">
      <formula>#REF!</formula>
    </cfRule>
    <cfRule type="containsText" dxfId="153" priority="837" operator="containsText" text="$P$4">
      <formula>NOT(ISERROR(SEARCH("$P$4",J6)))</formula>
    </cfRule>
  </conditionalFormatting>
  <conditionalFormatting sqref="J16">
    <cfRule type="cellIs" dxfId="152" priority="3" operator="equal">
      <formula>0</formula>
    </cfRule>
  </conditionalFormatting>
  <conditionalFormatting sqref="J16">
    <cfRule type="cellIs" dxfId="151" priority="5" operator="equal">
      <formula>#REF!</formula>
    </cfRule>
    <cfRule type="containsText" dxfId="150" priority="6"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2" id="{62C2FA5B-B4F7-4D6D-91A4-17EEF0D39D42}">
            <xm:f>Validation!$H$3=1</xm:f>
            <x14:dxf>
              <fill>
                <patternFill>
                  <bgColor theme="2"/>
                </patternFill>
              </fill>
            </x14:dxf>
          </x14:cfRule>
          <xm:sqref>G12:H12 G15:H15 U18:U21 U15:U16 G18:H21 H16 G16:G19 H6:H11</xm:sqref>
        </x14:conditionalFormatting>
        <x14:conditionalFormatting xmlns:xm="http://schemas.microsoft.com/office/excel/2006/main">
          <x14:cfRule type="containsText" priority="368"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1"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8"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7"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7"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7"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9"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8"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1"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40" operator="containsText" id="{AD2356BD-30C9-473C-BF82-B5BC6F3F78A0}">
            <xm:f>NOT(ISERROR(SEARCH(#REF!,J6)))</xm:f>
            <xm:f>#REF!</xm:f>
            <x14:dxf>
              <font>
                <color auto="1"/>
              </font>
              <fill>
                <patternFill>
                  <bgColor rgb="FFFF0000"/>
                </patternFill>
              </fill>
            </x14:dxf>
          </x14:cfRule>
          <x14:cfRule type="containsText" priority="841"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9"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4"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7" operator="containsText" id="{C2909C3E-9C3B-4ACE-91BB-1C5CB7EF5E81}">
            <xm:f>NOT(ISERROR(SEARCH(#REF!,J16)))</xm:f>
            <xm:f>#REF!</xm:f>
            <x14:dxf>
              <font>
                <color auto="1"/>
              </font>
              <fill>
                <patternFill>
                  <bgColor rgb="FFFF0000"/>
                </patternFill>
              </fill>
            </x14:dxf>
          </x14:cfRule>
          <x14:cfRule type="containsText" priority="8"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2" id="{5A98ED9F-81D2-4BCB-BBAE-D633E138AEC1}">
            <xm:f>Validation!$H$3=1</xm:f>
            <x14:dxf>
              <fill>
                <patternFill>
                  <bgColor theme="2"/>
                </patternFill>
              </fill>
            </x14:dxf>
          </x14:cfRule>
          <xm:sqref>G19</xm:sqref>
        </x14:conditionalFormatting>
        <x14:conditionalFormatting xmlns:xm="http://schemas.microsoft.com/office/excel/2006/main">
          <x14:cfRule type="expression" priority="1" id="{A9CC5060-7919-4BD9-ABA3-D6CB82F8D15E}">
            <xm:f>'T:\01 YW\20 Accounting Seperation\APR Tables 1920\Actuals APR 1920\Tables\Actuals P1-P12\[APR Tables 1920 FINANCE - 230620.xlsx]Validation'!#REF!=1</xm:f>
            <x14:dxf>
              <fill>
                <patternFill>
                  <bgColor theme="2"/>
                </patternFill>
              </fill>
            </x14:dxf>
          </x14:cfRule>
          <xm:sqref>G6:G11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CJ82"/>
  <sheetViews>
    <sheetView workbookViewId="0">
      <pane xSplit="6" ySplit="3" topLeftCell="G4" activePane="bottomRight" state="frozen"/>
      <selection pane="topRight" activeCell="G1" sqref="G1"/>
      <selection pane="bottomLeft" activeCell="A4" sqref="A4"/>
      <selection pane="bottomRight" activeCell="K22" sqref="K22"/>
    </sheetView>
  </sheetViews>
  <sheetFormatPr defaultColWidth="0" defaultRowHeight="14.25" zeroHeight="1"/>
  <cols>
    <col min="1" max="1" width="0.5" style="1095" customWidth="1"/>
    <col min="2" max="2" width="10.5" style="1095" customWidth="1"/>
    <col min="3" max="3" width="46.5" style="1095" customWidth="1"/>
    <col min="4" max="4" width="9" style="1095" customWidth="1"/>
    <col min="5" max="5" width="8.125" style="1095" customWidth="1"/>
    <col min="6" max="6" width="4.5" style="1095" bestFit="1" customWidth="1"/>
    <col min="7" max="11" width="15.5" style="1095" bestFit="1" customWidth="1"/>
    <col min="12" max="85" width="15.5" style="1095" customWidth="1"/>
    <col min="86" max="86" width="15.5" style="1095" bestFit="1" customWidth="1"/>
    <col min="87" max="87" width="36.5" style="1095" customWidth="1"/>
    <col min="88" max="88" width="10.5" style="1095" customWidth="1"/>
    <col min="89" max="16384" width="10.5" style="1095" hidden="1"/>
  </cols>
  <sheetData>
    <row r="1" spans="1:88" ht="20.25">
      <c r="A1" s="1097"/>
      <c r="B1" s="1047" t="s">
        <v>6969</v>
      </c>
      <c r="C1" s="1098"/>
      <c r="D1" s="66"/>
      <c r="E1" s="66"/>
      <c r="F1" s="66"/>
      <c r="G1" s="66"/>
      <c r="H1" s="66"/>
      <c r="I1" s="66"/>
      <c r="J1" s="66"/>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t="str">
        <f>Validation!B3</f>
        <v>Yorkshire Water</v>
      </c>
      <c r="CJ1" s="1097"/>
    </row>
    <row r="2" spans="1:88" ht="16.5" thickBot="1">
      <c r="A2" s="1099"/>
      <c r="B2" s="73" t="str">
        <f>'4N'!B2</f>
        <v>For the 12 months ended 31 March 2020</v>
      </c>
      <c r="C2" s="1100"/>
      <c r="D2" s="1100"/>
      <c r="E2" s="1100"/>
      <c r="F2" s="1100"/>
      <c r="G2" s="1097"/>
      <c r="H2" s="1097"/>
      <c r="I2" s="1097"/>
      <c r="J2" s="1097"/>
      <c r="K2" s="1097"/>
      <c r="L2" s="1097"/>
      <c r="M2" s="1097"/>
      <c r="N2" s="1097"/>
      <c r="O2" s="1097"/>
      <c r="P2" s="1097"/>
      <c r="Q2" s="1097"/>
      <c r="R2" s="1097"/>
      <c r="S2" s="1097"/>
      <c r="T2" s="1097"/>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c r="AT2" s="1097"/>
      <c r="AU2" s="1097"/>
      <c r="AV2" s="1097"/>
      <c r="AW2" s="1097"/>
      <c r="AX2" s="1097"/>
      <c r="AY2" s="1097"/>
      <c r="AZ2" s="1097"/>
      <c r="BA2" s="1097"/>
      <c r="BB2" s="1097"/>
      <c r="BC2" s="1097"/>
      <c r="BD2" s="1097"/>
      <c r="BE2" s="1097"/>
      <c r="BF2" s="1097"/>
      <c r="BG2" s="1097"/>
      <c r="BH2" s="1097"/>
      <c r="BI2" s="1097"/>
      <c r="BJ2" s="1097"/>
      <c r="BK2" s="1097"/>
      <c r="BL2" s="1097"/>
      <c r="BM2" s="1097"/>
      <c r="BN2" s="1097"/>
      <c r="BO2" s="1097"/>
      <c r="BP2" s="1097"/>
      <c r="BQ2" s="1097"/>
      <c r="BR2" s="1097"/>
      <c r="BS2" s="1097"/>
      <c r="BT2" s="1097"/>
      <c r="BU2" s="1097"/>
      <c r="BV2" s="1097"/>
      <c r="BW2" s="1097"/>
      <c r="BX2" s="1097"/>
      <c r="BY2" s="1097"/>
      <c r="BZ2" s="1097"/>
      <c r="CA2" s="1097"/>
      <c r="CB2" s="1097"/>
      <c r="CC2" s="1097"/>
      <c r="CD2" s="1097"/>
      <c r="CE2" s="1097"/>
      <c r="CF2" s="1097"/>
      <c r="CG2" s="1097"/>
      <c r="CH2" s="1097"/>
      <c r="CI2" s="1097"/>
      <c r="CJ2" s="1097"/>
    </row>
    <row r="3" spans="1:88" s="1103" customFormat="1" ht="15.75" thickBot="1">
      <c r="A3" s="1101"/>
      <c r="B3" s="3452" t="s">
        <v>36</v>
      </c>
      <c r="C3" s="3453"/>
      <c r="D3" s="184" t="s">
        <v>3098</v>
      </c>
      <c r="E3" s="184" t="s">
        <v>38</v>
      </c>
      <c r="F3" s="185" t="s">
        <v>39</v>
      </c>
      <c r="G3" s="2990" t="s">
        <v>6970</v>
      </c>
      <c r="H3" s="2990" t="s">
        <v>6971</v>
      </c>
      <c r="I3" s="2990" t="s">
        <v>6972</v>
      </c>
      <c r="J3" s="2990" t="s">
        <v>6973</v>
      </c>
      <c r="K3" s="2990" t="s">
        <v>6974</v>
      </c>
      <c r="L3" s="2990" t="s">
        <v>6975</v>
      </c>
      <c r="M3" s="2990" t="s">
        <v>6976</v>
      </c>
      <c r="N3" s="2990" t="s">
        <v>6977</v>
      </c>
      <c r="O3" s="2990" t="s">
        <v>6978</v>
      </c>
      <c r="P3" s="2990" t="s">
        <v>6979</v>
      </c>
      <c r="Q3" s="2990" t="s">
        <v>6980</v>
      </c>
      <c r="R3" s="2990" t="s">
        <v>6981</v>
      </c>
      <c r="S3" s="2990" t="s">
        <v>6982</v>
      </c>
      <c r="T3" s="2990" t="s">
        <v>6983</v>
      </c>
      <c r="U3" s="2990" t="s">
        <v>6984</v>
      </c>
      <c r="V3" s="2990" t="s">
        <v>6985</v>
      </c>
      <c r="W3" s="2990" t="s">
        <v>6986</v>
      </c>
      <c r="X3" s="2990" t="s">
        <v>6987</v>
      </c>
      <c r="Y3" s="2990" t="s">
        <v>6988</v>
      </c>
      <c r="Z3" s="2990" t="s">
        <v>6989</v>
      </c>
      <c r="AA3" s="2990" t="s">
        <v>6990</v>
      </c>
      <c r="AB3" s="2990" t="s">
        <v>6991</v>
      </c>
      <c r="AC3" s="2990" t="s">
        <v>6992</v>
      </c>
      <c r="AD3" s="2990" t="s">
        <v>6993</v>
      </c>
      <c r="AE3" s="2990" t="s">
        <v>6994</v>
      </c>
      <c r="AF3" s="2990" t="s">
        <v>6995</v>
      </c>
      <c r="AG3" s="2990" t="s">
        <v>6996</v>
      </c>
      <c r="AH3" s="2990" t="s">
        <v>6997</v>
      </c>
      <c r="AI3" s="2990" t="s">
        <v>6998</v>
      </c>
      <c r="AJ3" s="2990" t="s">
        <v>6999</v>
      </c>
      <c r="AK3" s="2990" t="s">
        <v>7000</v>
      </c>
      <c r="AL3" s="2990" t="s">
        <v>7001</v>
      </c>
      <c r="AM3" s="2990" t="s">
        <v>7002</v>
      </c>
      <c r="AN3" s="2990" t="s">
        <v>7003</v>
      </c>
      <c r="AO3" s="2990" t="s">
        <v>7004</v>
      </c>
      <c r="AP3" s="2990" t="s">
        <v>7005</v>
      </c>
      <c r="AQ3" s="2990" t="s">
        <v>7006</v>
      </c>
      <c r="AR3" s="2990" t="s">
        <v>7007</v>
      </c>
      <c r="AS3" s="2990" t="s">
        <v>7008</v>
      </c>
      <c r="AT3" s="2990" t="s">
        <v>7009</v>
      </c>
      <c r="AU3" s="2990" t="s">
        <v>7010</v>
      </c>
      <c r="AV3" s="2990" t="s">
        <v>7011</v>
      </c>
      <c r="AW3" s="2990" t="s">
        <v>7012</v>
      </c>
      <c r="AX3" s="2990" t="s">
        <v>7013</v>
      </c>
      <c r="AY3" s="2990" t="s">
        <v>7014</v>
      </c>
      <c r="AZ3" s="2990" t="s">
        <v>7015</v>
      </c>
      <c r="BA3" s="2990" t="s">
        <v>7016</v>
      </c>
      <c r="BB3" s="2990" t="s">
        <v>7017</v>
      </c>
      <c r="BC3" s="2990" t="s">
        <v>7018</v>
      </c>
      <c r="BD3" s="2990" t="s">
        <v>7019</v>
      </c>
      <c r="BE3" s="2990" t="s">
        <v>7020</v>
      </c>
      <c r="BF3" s="2990" t="s">
        <v>7021</v>
      </c>
      <c r="BG3" s="2990" t="s">
        <v>7022</v>
      </c>
      <c r="BH3" s="2990" t="s">
        <v>7023</v>
      </c>
      <c r="BI3" s="2990" t="s">
        <v>7024</v>
      </c>
      <c r="BJ3" s="2990" t="s">
        <v>7025</v>
      </c>
      <c r="BK3" s="2990" t="s">
        <v>7026</v>
      </c>
      <c r="BL3" s="2990" t="s">
        <v>7027</v>
      </c>
      <c r="BM3" s="2990" t="s">
        <v>7028</v>
      </c>
      <c r="BN3" s="2990" t="s">
        <v>7029</v>
      </c>
      <c r="BO3" s="2990" t="s">
        <v>7030</v>
      </c>
      <c r="BP3" s="2990" t="s">
        <v>7031</v>
      </c>
      <c r="BQ3" s="2990" t="s">
        <v>7032</v>
      </c>
      <c r="BR3" s="2990" t="s">
        <v>7033</v>
      </c>
      <c r="BS3" s="2990" t="s">
        <v>7034</v>
      </c>
      <c r="BT3" s="2990" t="s">
        <v>7035</v>
      </c>
      <c r="BU3" s="2990" t="s">
        <v>7036</v>
      </c>
      <c r="BV3" s="2990" t="s">
        <v>7037</v>
      </c>
      <c r="BW3" s="2990" t="s">
        <v>7038</v>
      </c>
      <c r="BX3" s="2990" t="s">
        <v>7039</v>
      </c>
      <c r="BY3" s="2990" t="s">
        <v>7040</v>
      </c>
      <c r="BZ3" s="2990" t="s">
        <v>7041</v>
      </c>
      <c r="CA3" s="2990" t="s">
        <v>7042</v>
      </c>
      <c r="CB3" s="2990" t="s">
        <v>7043</v>
      </c>
      <c r="CC3" s="2990" t="s">
        <v>7044</v>
      </c>
      <c r="CD3" s="2990" t="s">
        <v>7045</v>
      </c>
      <c r="CE3" s="2990" t="s">
        <v>7046</v>
      </c>
      <c r="CF3" s="2990" t="s">
        <v>7047</v>
      </c>
      <c r="CG3" s="2990" t="s">
        <v>7048</v>
      </c>
      <c r="CH3" s="2990" t="s">
        <v>7049</v>
      </c>
      <c r="CI3" s="2990" t="s">
        <v>4567</v>
      </c>
      <c r="CJ3" s="1102"/>
    </row>
    <row r="4" spans="1:88" ht="16.5" thickBot="1">
      <c r="A4" s="1099"/>
      <c r="B4" s="1100"/>
      <c r="C4" s="1100"/>
      <c r="D4" s="1100"/>
      <c r="E4" s="1100"/>
      <c r="F4" s="1100"/>
      <c r="G4" s="175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c r="AT4" s="1097"/>
      <c r="AU4" s="1097"/>
      <c r="AV4" s="1097"/>
      <c r="AW4" s="1097"/>
      <c r="AX4" s="1097"/>
      <c r="AY4" s="1097"/>
      <c r="AZ4" s="1097"/>
      <c r="BA4" s="1097"/>
      <c r="BB4" s="1097"/>
      <c r="BC4" s="1097"/>
      <c r="BD4" s="1097"/>
      <c r="BE4" s="1097"/>
      <c r="BF4" s="1097"/>
      <c r="BG4" s="1097"/>
      <c r="BH4" s="1097"/>
      <c r="BI4" s="1097"/>
      <c r="BJ4" s="1097"/>
      <c r="BK4" s="1097"/>
      <c r="BL4" s="1097"/>
      <c r="BM4" s="1097"/>
      <c r="BN4" s="1097"/>
      <c r="BO4" s="1097"/>
      <c r="BP4" s="1097"/>
      <c r="BQ4" s="1097"/>
      <c r="BR4" s="1097"/>
      <c r="BS4" s="1097"/>
      <c r="BT4" s="1097"/>
      <c r="BU4" s="1097"/>
      <c r="BV4" s="1097"/>
      <c r="BW4" s="1097"/>
      <c r="BX4" s="1097"/>
      <c r="BY4" s="1097"/>
      <c r="BZ4" s="1097"/>
      <c r="CA4" s="1097"/>
      <c r="CB4" s="1097"/>
      <c r="CC4" s="1097"/>
      <c r="CD4" s="1097"/>
      <c r="CE4" s="1097"/>
      <c r="CF4" s="1097"/>
      <c r="CG4" s="1097"/>
      <c r="CH4" s="1097"/>
      <c r="CI4" s="1097"/>
      <c r="CJ4" s="1097"/>
    </row>
    <row r="5" spans="1:88" ht="16.5" thickBot="1">
      <c r="A5" s="1099"/>
      <c r="B5" s="3034" t="s">
        <v>155</v>
      </c>
      <c r="C5" s="1060" t="s">
        <v>7050</v>
      </c>
      <c r="D5" s="1104"/>
      <c r="E5" s="1100"/>
      <c r="F5" s="1100"/>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097"/>
      <c r="AG5" s="1097"/>
      <c r="AH5" s="1097"/>
      <c r="AI5" s="1097"/>
      <c r="AJ5" s="1097"/>
      <c r="AK5" s="1097"/>
      <c r="AL5" s="1097"/>
      <c r="AM5" s="1097"/>
      <c r="AN5" s="1097"/>
      <c r="AO5" s="1097"/>
      <c r="AP5" s="1097"/>
      <c r="AQ5" s="1097"/>
      <c r="AR5" s="1097"/>
      <c r="AS5" s="1097"/>
      <c r="AT5" s="1097"/>
      <c r="AU5" s="1097"/>
      <c r="AV5" s="1097"/>
      <c r="AW5" s="1097"/>
      <c r="AX5" s="1097"/>
      <c r="AY5" s="1097"/>
      <c r="AZ5" s="1097"/>
      <c r="BA5" s="1097"/>
      <c r="BB5" s="1097"/>
      <c r="BC5" s="1097"/>
      <c r="BD5" s="1097"/>
      <c r="BE5" s="1097"/>
      <c r="BF5" s="1097"/>
      <c r="BG5" s="1097"/>
      <c r="BH5" s="1097"/>
      <c r="BI5" s="1097"/>
      <c r="BJ5" s="1097"/>
      <c r="BK5" s="1097"/>
      <c r="BL5" s="1097"/>
      <c r="BM5" s="1097"/>
      <c r="BN5" s="1097"/>
      <c r="BO5" s="1097"/>
      <c r="BP5" s="1097"/>
      <c r="BQ5" s="1097"/>
      <c r="BR5" s="1097"/>
      <c r="BS5" s="1097"/>
      <c r="BT5" s="1097"/>
      <c r="BU5" s="1097"/>
      <c r="BV5" s="1097"/>
      <c r="BW5" s="1097"/>
      <c r="BX5" s="1097"/>
      <c r="BY5" s="1097"/>
      <c r="BZ5" s="1097"/>
      <c r="CA5" s="1097"/>
      <c r="CB5" s="1097"/>
      <c r="CC5" s="1097"/>
      <c r="CD5" s="1097"/>
      <c r="CE5" s="1097"/>
      <c r="CF5" s="1097"/>
      <c r="CG5" s="1097"/>
      <c r="CH5" s="1100"/>
      <c r="CI5" s="1097"/>
      <c r="CJ5" s="1097"/>
    </row>
    <row r="6" spans="1:88" ht="38.25">
      <c r="A6" s="1099"/>
      <c r="B6" s="1000" t="s">
        <v>7051</v>
      </c>
      <c r="C6" s="1105" t="s">
        <v>7052</v>
      </c>
      <c r="D6" s="1002" t="s">
        <v>7053</v>
      </c>
      <c r="E6" s="1002" t="s">
        <v>4149</v>
      </c>
      <c r="F6" s="1003">
        <v>0</v>
      </c>
      <c r="G6" s="1123" t="str">
        <f>IF(HLOOKUP($CI$1,LWTW!$A$2:$L$85,COLUMN(B$1),FALSE)="","",HLOOKUP($CI$1,LWTW!$A$2:$L$85,COLUMN(B$1),FALSE))</f>
        <v>ALDWARKE/STW</v>
      </c>
      <c r="H6" s="1123" t="str">
        <f>IF(HLOOKUP($CI$1,LWTW!$A$2:$L$85,COLUMN(C$1),FALSE)="","",HLOOKUP($CI$1,LWTW!$A$2:$L$85,COLUMN(C$1),FALSE))</f>
        <v>BEVERLEY/STW</v>
      </c>
      <c r="I6" s="1123" t="str">
        <f>IF(HLOOKUP($CI$1,LWTW!$A$2:$L$85,COLUMN(D$1),FALSE)="","",HLOOKUP($CI$1,LWTW!$A$2:$L$85,COLUMN(D$1),FALSE))</f>
        <v>BLACKBURN MEADOWS/STW</v>
      </c>
      <c r="J6" s="1123" t="str">
        <f>IF(HLOOKUP($CI$1,LWTW!$A$2:$L$85,COLUMN(E$1),FALSE)="","",HLOOKUP($CI$1,LWTW!$A$2:$L$85,COLUMN(E$1),FALSE))</f>
        <v>BOLTON ON DEARNE/STW</v>
      </c>
      <c r="K6" s="1123" t="str">
        <f>IF(HLOOKUP($CI$1,LWTW!$A$2:$L$85,COLUMN(F$1),FALSE)="","",HLOOKUP($CI$1,LWTW!$A$2:$L$85,COLUMN(F$1),FALSE))</f>
        <v>BRADFORD ESHOLT/NO 2 STW</v>
      </c>
      <c r="L6" s="1123" t="str">
        <f>IF(HLOOKUP($CI$1,LWTW!$A$2:$L$85,COLUMN(G$1),FALSE)="","",HLOOKUP($CI$1,LWTW!$A$2:$L$85,COLUMN(G$1),FALSE))</f>
        <v>BRIDLINGTON STW</v>
      </c>
      <c r="M6" s="1123" t="str">
        <f>IF(HLOOKUP($CI$1,LWTW!$A$2:$L$85,COLUMN(H$1),FALSE)="","",HLOOKUP($CI$1,LWTW!$A$2:$L$85,COLUMN(H$1),FALSE))</f>
        <v>BRIGHOUSE/UPPER STW</v>
      </c>
      <c r="N6" s="1123" t="str">
        <f>IF(HLOOKUP($CI$1,LWTW!$A$2:$L$85,COLUMN(I$1),FALSE)="","",HLOOKUP($CI$1,LWTW!$A$2:$L$85,COLUMN(I$1),FALSE))</f>
        <v>CALDER VALE/STW</v>
      </c>
      <c r="O6" s="1123" t="str">
        <f>IF(HLOOKUP($CI$1,LWTW!$A$2:$L$85,COLUMN(J$1),FALSE)="","",HLOOKUP($CI$1,LWTW!$A$2:$L$85,COLUMN(J$1),FALSE))</f>
        <v>CASTLEFORD/STW</v>
      </c>
      <c r="P6" s="1123" t="str">
        <f>IF(HLOOKUP($CI$1,LWTW!$A$2:$L$85,COLUMN(K$1),FALSE)="","",HLOOKUP($CI$1,LWTW!$A$2:$L$85,COLUMN(K$1),FALSE))</f>
        <v>DENABY/NO 2 STW</v>
      </c>
      <c r="Q6" s="1123" t="str">
        <f>IF(HLOOKUP($CI$1,LWTW!$A$2:$L$85,COLUMN(L$1),FALSE)="","",HLOOKUP($CI$1,LWTW!$A$2:$L$85,COLUMN(L$1),FALSE))</f>
        <v>DEWSBURY/STW</v>
      </c>
      <c r="R6" s="1123" t="str">
        <f>IF(HLOOKUP($CI$1,LWTW!$A$2:$L$85,COLUMN(M$1),FALSE)="","",HLOOKUP($CI$1,LWTW!$A$2:$L$85,COLUMN(M$1),FALSE))</f>
        <v>DOWLEY GAP/STW</v>
      </c>
      <c r="S6" s="1123" t="str">
        <f>IF(HLOOKUP($CI$1,LWTW!$A$2:$L$85,COLUMN(N$1),FALSE)="","",HLOOKUP($CI$1,LWTW!$A$2:$L$85,COLUMN(N$1),FALSE))</f>
        <v>GARFORTH/STW</v>
      </c>
      <c r="T6" s="1123" t="str">
        <f>IF(HLOOKUP($CI$1,LWTW!$A$2:$L$85,COLUMN(O$1),FALSE)="","",HLOOKUP($CI$1,LWTW!$A$2:$L$85,COLUMN(O$1),FALSE))</f>
        <v>HALIFAX/STW</v>
      </c>
      <c r="U6" s="1123" t="str">
        <f>IF(HLOOKUP($CI$1,LWTW!$A$2:$L$85,COLUMN(P$1),FALSE)="","",HLOOKUP($CI$1,LWTW!$A$2:$L$85,COLUMN(P$1),FALSE))</f>
        <v>HARROGATE NORTH/STW</v>
      </c>
      <c r="V6" s="1123" t="str">
        <f>IF(HLOOKUP($CI$1,LWTW!$A$2:$L$85,COLUMN(Q$1),FALSE)="","",HLOOKUP($CI$1,LWTW!$A$2:$L$85,COLUMN(Q$1),FALSE))</f>
        <v>HARROGATE SOUTH/STW</v>
      </c>
      <c r="W6" s="1123" t="str">
        <f>IF(HLOOKUP($CI$1,LWTW!$A$2:$L$85,COLUMN(R$1),FALSE)="","",HLOOKUP($CI$1,LWTW!$A$2:$L$85,COLUMN(R$1),FALSE))</f>
        <v>HUDDERSFIELD STW GROUP</v>
      </c>
      <c r="X6" s="1123" t="str">
        <f>IF(HLOOKUP($CI$1,LWTW!$A$2:$L$85,COLUMN(S$1),FALSE)="","",HLOOKUP($CI$1,LWTW!$A$2:$L$85,COLUMN(S$1),FALSE))</f>
        <v>HULL/STW</v>
      </c>
      <c r="Y6" s="1123" t="str">
        <f>IF(HLOOKUP($CI$1,LWTW!$A$2:$L$85,COLUMN(T$1),FALSE)="","",HLOOKUP($CI$1,LWTW!$A$2:$L$85,COLUMN(T$1),FALSE))</f>
        <v>KEIGHLEY MARLEY/STW</v>
      </c>
      <c r="Z6" s="1123" t="str">
        <f>IF(HLOOKUP($CI$1,LWTW!$A$2:$L$85,COLUMN(U$1),FALSE)="","",HLOOKUP($CI$1,LWTW!$A$2:$L$85,COLUMN(U$1),FALSE))</f>
        <v>KNOSTROP/STW</v>
      </c>
      <c r="AA6" s="1123" t="str">
        <f>IF(HLOOKUP($CI$1,LWTW!$A$2:$L$85,COLUMN(V$1),FALSE)="","",HLOOKUP($CI$1,LWTW!$A$2:$L$85,COLUMN(V$1),FALSE))</f>
        <v>LEMONROYD/STW</v>
      </c>
      <c r="AB6" s="1123" t="str">
        <f>IF(HLOOKUP($CI$1,LWTW!$A$2:$L$85,COLUMN(W$1),FALSE)="","",HLOOKUP($CI$1,LWTW!$A$2:$L$85,COLUMN(W$1),FALSE))</f>
        <v>LUNDWOOD/STW</v>
      </c>
      <c r="AC6" s="1123" t="str">
        <f>IF(HLOOKUP($CI$1,LWTW!$A$2:$L$85,COLUMN(X$1),FALSE)="","",HLOOKUP($CI$1,LWTW!$A$2:$L$85,COLUMN(X$1),FALSE))</f>
        <v>MALTON/STW</v>
      </c>
      <c r="AD6" s="1123" t="str">
        <f>IF(HLOOKUP($CI$1,LWTW!$A$2:$L$85,COLUMN(Y$1),FALSE)="","",HLOOKUP($CI$1,LWTW!$A$2:$L$85,COLUMN(Y$1),FALSE))</f>
        <v>NEILEY/NO 2 STW</v>
      </c>
      <c r="AE6" s="1123" t="str">
        <f>IF(HLOOKUP($CI$1,LWTW!$A$2:$L$85,COLUMN(Z$1),FALSE)="","",HLOOKUP($CI$1,LWTW!$A$2:$L$85,COLUMN(Z$1),FALSE))</f>
        <v>NORMANTON/STW</v>
      </c>
      <c r="AF6" s="1123" t="str">
        <f>IF(HLOOKUP($CI$1,LWTW!$A$2:$L$85,COLUMN(AA$1),FALSE)="","",HLOOKUP($CI$1,LWTW!$A$2:$L$85,COLUMN(AA$1),FALSE))</f>
        <v>OLD WHITTINGTON/STW</v>
      </c>
      <c r="AG6" s="1123" t="str">
        <f>IF(HLOOKUP($CI$1,LWTW!$A$2:$L$85,COLUMN(AB$1),FALSE)="","",HLOOKUP($CI$1,LWTW!$A$2:$L$85,COLUMN(AB$1),FALSE))</f>
        <v>RAWCLIFFE YORK/STW</v>
      </c>
      <c r="AH6" s="1123" t="str">
        <f>IF(HLOOKUP($CI$1,LWTW!$A$2:$L$85,COLUMN(AC$1),FALSE)="","",HLOOKUP($CI$1,LWTW!$A$2:$L$85,COLUMN(AC$1),FALSE))</f>
        <v>SANDALL/STW</v>
      </c>
      <c r="AI6" s="1123" t="str">
        <f>IF(HLOOKUP($CI$1,LWTW!$A$2:$L$85,COLUMN(AD$1),FALSE)="","",HLOOKUP($CI$1,LWTW!$A$2:$L$85,COLUMN(AD$1),FALSE))</f>
        <v>SCARBOROUGH/STW</v>
      </c>
      <c r="AJ6" s="1123" t="str">
        <f>IF(HLOOKUP($CI$1,LWTW!$A$2:$L$85,COLUMN(AE$1),FALSE)="","",HLOOKUP($CI$1,LWTW!$A$2:$L$85,COLUMN(AE$1),FALSE))</f>
        <v>SOUTH ELMSALL/STW</v>
      </c>
      <c r="AK6" s="1123" t="str">
        <f>IF(HLOOKUP($CI$1,LWTW!$A$2:$L$85,COLUMN(AF$1),FALSE)="","",HLOOKUP($CI$1,LWTW!$A$2:$L$85,COLUMN(AF$1),FALSE))</f>
        <v>STAVELEY/STW</v>
      </c>
      <c r="AL6" s="1123" t="str">
        <f>IF(HLOOKUP($CI$1,LWTW!$A$2:$L$85,COLUMN(AG$1),FALSE)="","",HLOOKUP($CI$1,LWTW!$A$2:$L$85,COLUMN(AG$1),FALSE))</f>
        <v>SUTTON/STW</v>
      </c>
      <c r="AM6" s="1123" t="str">
        <f>IF(HLOOKUP($CI$1,LWTW!$A$2:$L$85,COLUMN(AH$1),FALSE)="","",HLOOKUP($CI$1,LWTW!$A$2:$L$85,COLUMN(AH$1),FALSE))</f>
        <v>THORNE/STW</v>
      </c>
      <c r="AN6" s="1123" t="str">
        <f>IF(HLOOKUP($CI$1,LWTW!$A$2:$L$85,COLUMN(AI$1),FALSE)="","",HLOOKUP($CI$1,LWTW!$A$2:$L$85,COLUMN(AI$1),FALSE))</f>
        <v>WOMBWELL/STW</v>
      </c>
      <c r="AO6" s="1123" t="str">
        <f>IF(HLOOKUP($CI$1,LWTW!$A$2:$L$85,COLUMN(AJ$1),FALSE)="","",HLOOKUP($CI$1,LWTW!$A$2:$L$85,COLUMN(AJ$1),FALSE))</f>
        <v>WOODHOUSE MILL/STW</v>
      </c>
      <c r="AP6" s="1123" t="str">
        <f>IF(HLOOKUP($CI$1,LWTW!$A$2:$L$85,COLUMN(AK$1),FALSE)="","",HLOOKUP($CI$1,LWTW!$A$2:$L$85,COLUMN(AK$1),FALSE))</f>
        <v>YORK NABURN/STW</v>
      </c>
      <c r="AQ6" s="1123" t="str">
        <f>IF(HLOOKUP($CI$1,LWTW!$A$2:$L$85,COLUMN(AL$1),FALSE)="","",HLOOKUP($CI$1,LWTW!$A$2:$L$85,COLUMN(AL$1),FALSE))</f>
        <v>BRADFORD ESHOLT/NO 1 STW</v>
      </c>
      <c r="AR6" s="1123" t="str">
        <f>IF(HLOOKUP($CI$1,LWTW!$A$2:$L$85,COLUMN(AM$1),FALSE)="","",HLOOKUP($CI$1,LWTW!$A$2:$L$85,COLUMN(AM$1),FALSE))</f>
        <v>KNOSTROP/H LEVEL STW</v>
      </c>
      <c r="AS6" s="1123" t="str">
        <f>IF(HLOOKUP($CI$1,LWTW!$A$2:$L$85,COLUMN(AN$1),FALSE)="","",HLOOKUP($CI$1,LWTW!$A$2:$L$85,COLUMN(AN$1),FALSE))</f>
        <v>KNOSTROP/L LEVEL STW</v>
      </c>
      <c r="AT6" s="1123" t="str">
        <f>IF(HLOOKUP($CI$1,LWTW!$A$2:$L$85,COLUMN(AO$1),FALSE)="","",HLOOKUP($CI$1,LWTW!$A$2:$L$85,COLUMN(AO$1),FALSE))</f>
        <v>NEILEY/NO 1 STW</v>
      </c>
      <c r="AU6" s="1123" t="str">
        <f>IF(HLOOKUP($CI$1,LWTW!$A$2:$L$85,COLUMN(AP$1),FALSE)="","",HLOOKUP($CI$1,LWTW!$A$2:$L$85,COLUMN(AP$1),FALSE))</f>
        <v>NORTH BIERLEY/STW</v>
      </c>
      <c r="AV6" s="1123" t="str">
        <f>IF(HLOOKUP($CI$1,LWTW!$A$2:$L$85,COLUMN(AQ$1),FALSE)="","",HLOOKUP($CI$1,LWTW!$A$2:$L$85,COLUMN(AQ$1),FALSE))</f>
        <v>NORTHALLERTON/STW</v>
      </c>
      <c r="AW6" s="1123" t="str">
        <f>IF(HLOOKUP($CI$1,LWTW!$A$2:$L$85,COLUMN(AR$1),FALSE)="","",HLOOKUP($CI$1,LWTW!$A$2:$L$85,COLUMN(AR$1),FALSE))</f>
        <v>SALTERHEBBLE</v>
      </c>
      <c r="AX6" s="1123" t="str">
        <f>IF(HLOOKUP($CI$1,LWTW!$A$2:$L$85,COLUMN(AS$1),FALSE)="","",HLOOKUP($CI$1,LWTW!$A$2:$L$85,COLUMN(AS$1),FALSE))</f>
        <v>SELBY/NO.2 STW</v>
      </c>
      <c r="AY6" s="1123" t="str">
        <f>IF(HLOOKUP($CI$1,LWTW!$A$2:$L$85,COLUMN(AT$1),FALSE)="","",HLOOKUP($CI$1,LWTW!$A$2:$L$85,COLUMN(AT$1),FALSE))</f>
        <v>SPENBOROUGH/STW</v>
      </c>
      <c r="AZ6" s="1123" t="str">
        <f>IF(HLOOKUP($CI$1,LWTW!$A$2:$L$85,COLUMN(AU$1),FALSE)="","",HLOOKUP($CI$1,LWTW!$A$2:$L$85,COLUMN(AU$1),FALSE))</f>
        <v>TADCASTER/TRADE STW</v>
      </c>
      <c r="BA6" s="1123" t="str">
        <f>IF(HLOOKUP($CI$1,LWTW!$A$2:$L$85,COLUMN(AV$1),FALSE)="","",HLOOKUP($CI$1,LWTW!$A$2:$L$85,COLUMN(AV$1),FALSE))</f>
        <v>WHITBY/STW</v>
      </c>
      <c r="BB6" s="1123" t="str">
        <f>IF(HLOOKUP($CI$1,LWTW!$A$2:$L$85,COLUMN(AW$1),FALSE)="","",HLOOKUP($CI$1,LWTW!$A$2:$L$85,COLUMN(AW$1),FALSE))</f>
        <v>YORK/NABURN</v>
      </c>
      <c r="BC6" s="1123" t="str">
        <f>IF(HLOOKUP($CI$1,LWTW!$A$2:$L$85,COLUMN(AX$1),FALSE)="","",HLOOKUP($CI$1,LWTW!$A$2:$L$85,COLUMN(AX$1),FALSE))</f>
        <v>DEIGHTON/STW</v>
      </c>
      <c r="BD6" s="1123" t="str">
        <f>IF(HLOOKUP($CI$1,LWTW!$A$2:$L$85,COLUMN(AY$1),FALSE)="","",HLOOKUP($CI$1,LWTW!$A$2:$L$85,COLUMN(AY$1),FALSE))</f>
        <v/>
      </c>
      <c r="BE6" s="1123" t="str">
        <f>IF(HLOOKUP($CI$1,LWTW!$A$2:$L$85,COLUMN(AZ$1),FALSE)="","",HLOOKUP($CI$1,LWTW!$A$2:$L$85,COLUMN(AZ$1),FALSE))</f>
        <v/>
      </c>
      <c r="BF6" s="1123" t="str">
        <f>IF(HLOOKUP($CI$1,LWTW!$A$2:$L$85,COLUMN(BA$1),FALSE)="","",HLOOKUP($CI$1,LWTW!$A$2:$L$85,COLUMN(BA$1),FALSE))</f>
        <v/>
      </c>
      <c r="BG6" s="1123" t="str">
        <f>IF(HLOOKUP($CI$1,LWTW!$A$2:$L$85,COLUMN(BB$1),FALSE)="","",HLOOKUP($CI$1,LWTW!$A$2:$L$85,COLUMN(BB$1),FALSE))</f>
        <v/>
      </c>
      <c r="BH6" s="1123" t="str">
        <f>IF(HLOOKUP($CI$1,LWTW!$A$2:$L$85,COLUMN(BC$1),FALSE)="","",HLOOKUP($CI$1,LWTW!$A$2:$L$85,COLUMN(BC$1),FALSE))</f>
        <v/>
      </c>
      <c r="BI6" s="1123" t="str">
        <f>IF(HLOOKUP($CI$1,LWTW!$A$2:$L$85,COLUMN(BD$1),FALSE)="","",HLOOKUP($CI$1,LWTW!$A$2:$L$85,COLUMN(BD$1),FALSE))</f>
        <v/>
      </c>
      <c r="BJ6" s="1123" t="str">
        <f>IF(HLOOKUP($CI$1,LWTW!$A$2:$L$85,COLUMN(BE$1),FALSE)="","",HLOOKUP($CI$1,LWTW!$A$2:$L$85,COLUMN(BE$1),FALSE))</f>
        <v/>
      </c>
      <c r="BK6" s="1123" t="str">
        <f>IF(HLOOKUP($CI$1,LWTW!$A$2:$L$85,COLUMN(BF$1),FALSE)="","",HLOOKUP($CI$1,LWTW!$A$2:$L$85,COLUMN(BF$1),FALSE))</f>
        <v/>
      </c>
      <c r="BL6" s="1123" t="str">
        <f>IF(HLOOKUP($CI$1,LWTW!$A$2:$L$85,COLUMN(BG$1),FALSE)="","",HLOOKUP($CI$1,LWTW!$A$2:$L$85,COLUMN(BG$1),FALSE))</f>
        <v/>
      </c>
      <c r="BM6" s="1123" t="str">
        <f>IF(HLOOKUP($CI$1,LWTW!$A$2:$L$85,COLUMN(BH$1),FALSE)="","",HLOOKUP($CI$1,LWTW!$A$2:$L$85,COLUMN(BH$1),FALSE))</f>
        <v/>
      </c>
      <c r="BN6" s="1123" t="str">
        <f>IF(HLOOKUP($CI$1,LWTW!$A$2:$L$85,COLUMN(BI$1),FALSE)="","",HLOOKUP($CI$1,LWTW!$A$2:$L$85,COLUMN(BI$1),FALSE))</f>
        <v/>
      </c>
      <c r="BO6" s="1123" t="str">
        <f>IF(HLOOKUP($CI$1,LWTW!$A$2:$L$85,COLUMN(BJ$1),FALSE)="","",HLOOKUP($CI$1,LWTW!$A$2:$L$85,COLUMN(BJ$1),FALSE))</f>
        <v/>
      </c>
      <c r="BP6" s="1123" t="str">
        <f>IF(HLOOKUP($CI$1,LWTW!$A$2:$L$85,COLUMN(BK$1),FALSE)="","",HLOOKUP($CI$1,LWTW!$A$2:$L$85,COLUMN(BK$1),FALSE))</f>
        <v/>
      </c>
      <c r="BQ6" s="1123" t="str">
        <f>IF(HLOOKUP($CI$1,LWTW!$A$2:$L$85,COLUMN(BL$1),FALSE)="","",HLOOKUP($CI$1,LWTW!$A$2:$L$85,COLUMN(BL$1),FALSE))</f>
        <v/>
      </c>
      <c r="BR6" s="1123" t="str">
        <f>IF(HLOOKUP($CI$1,LWTW!$A$2:$L$85,COLUMN(BM$1),FALSE)="","",HLOOKUP($CI$1,LWTW!$A$2:$L$85,COLUMN(BM$1),FALSE))</f>
        <v/>
      </c>
      <c r="BS6" s="1123" t="str">
        <f>IF(HLOOKUP($CI$1,LWTW!$A$2:$L$85,COLUMN(BN$1),FALSE)="","",HLOOKUP($CI$1,LWTW!$A$2:$L$85,COLUMN(BN$1),FALSE))</f>
        <v/>
      </c>
      <c r="BT6" s="1123" t="str">
        <f>IF(HLOOKUP($CI$1,LWTW!$A$2:$L$85,COLUMN(BO$1),FALSE)="","",HLOOKUP($CI$1,LWTW!$A$2:$L$85,COLUMN(BO$1),FALSE))</f>
        <v/>
      </c>
      <c r="BU6" s="1123" t="str">
        <f>IF(HLOOKUP($CI$1,LWTW!$A$2:$L$85,COLUMN(BP$1),FALSE)="","",HLOOKUP($CI$1,LWTW!$A$2:$L$85,COLUMN(BP$1),FALSE))</f>
        <v/>
      </c>
      <c r="BV6" s="1123" t="str">
        <f>IF(HLOOKUP($CI$1,LWTW!$A$2:$L$85,COLUMN(BQ$1),FALSE)="","",HLOOKUP($CI$1,LWTW!$A$2:$L$85,COLUMN(BQ$1),FALSE))</f>
        <v/>
      </c>
      <c r="BW6" s="1123" t="str">
        <f>IF(HLOOKUP($CI$1,LWTW!$A$2:$L$85,COLUMN(BR$1),FALSE)="","",HLOOKUP($CI$1,LWTW!$A$2:$L$85,COLUMN(BR$1),FALSE))</f>
        <v/>
      </c>
      <c r="BX6" s="1123" t="str">
        <f>IF(HLOOKUP($CI$1,LWTW!$A$2:$L$85,COLUMN(BS$1),FALSE)="","",HLOOKUP($CI$1,LWTW!$A$2:$L$85,COLUMN(BS$1),FALSE))</f>
        <v/>
      </c>
      <c r="BY6" s="1123" t="str">
        <f>IF(HLOOKUP($CI$1,LWTW!$A$2:$L$85,COLUMN(BT$1),FALSE)="","",HLOOKUP($CI$1,LWTW!$A$2:$L$85,COLUMN(BT$1),FALSE))</f>
        <v/>
      </c>
      <c r="BZ6" s="1123" t="str">
        <f>IF(HLOOKUP($CI$1,LWTW!$A$2:$L$85,COLUMN(BU$1),FALSE)="","",HLOOKUP($CI$1,LWTW!$A$2:$L$85,COLUMN(BU$1),FALSE))</f>
        <v/>
      </c>
      <c r="CA6" s="1123" t="str">
        <f>IF(HLOOKUP($CI$1,LWTW!$A$2:$L$85,COLUMN(BV$1),FALSE)="","",HLOOKUP($CI$1,LWTW!$A$2:$L$85,COLUMN(BV$1),FALSE))</f>
        <v/>
      </c>
      <c r="CB6" s="1123" t="str">
        <f>IF(HLOOKUP($CI$1,LWTW!$A$2:$L$85,COLUMN(BW$1),FALSE)="","",HLOOKUP($CI$1,LWTW!$A$2:$L$85,COLUMN(BW$1),FALSE))</f>
        <v/>
      </c>
      <c r="CC6" s="1123" t="str">
        <f>IF(HLOOKUP($CI$1,LWTW!$A$2:$L$85,COLUMN(BX$1),FALSE)="","",HLOOKUP($CI$1,LWTW!$A$2:$L$85,COLUMN(BX$1),FALSE))</f>
        <v/>
      </c>
      <c r="CD6" s="1123" t="str">
        <f>IF(HLOOKUP($CI$1,LWTW!$A$2:$L$85,COLUMN(BY$1),FALSE)="","",HLOOKUP($CI$1,LWTW!$A$2:$L$85,COLUMN(BY$1),FALSE))</f>
        <v/>
      </c>
      <c r="CE6" s="1123" t="str">
        <f>IF(HLOOKUP($CI$1,LWTW!$A$2:$L$85,COLUMN(BZ$1),FALSE)="","",HLOOKUP($CI$1,LWTW!$A$2:$L$85,COLUMN(BZ$1),FALSE))</f>
        <v/>
      </c>
      <c r="CF6" s="1123" t="str">
        <f>IF(HLOOKUP($CI$1,LWTW!$A$2:$L$85,COLUMN(CA$1),FALSE)="","",HLOOKUP($CI$1,LWTW!$A$2:$L$85,COLUMN(CA$1),FALSE))</f>
        <v/>
      </c>
      <c r="CG6" s="1123" t="str">
        <f>IF(HLOOKUP($CI$1,LWTW!$A$2:$L$85,COLUMN(CB$1),FALSE)="","",HLOOKUP($CI$1,LWTW!$A$2:$L$85,COLUMN(CB$1),FALSE))</f>
        <v/>
      </c>
      <c r="CH6" s="1123" t="str">
        <f>IF(HLOOKUP($CI$1,LWTW!$A$2:$L$85,COLUMN(CC$1),FALSE)="","",HLOOKUP($CI$1,LWTW!$A$2:$L$85,COLUMN(CC$1),FALSE))</f>
        <v/>
      </c>
      <c r="CI6" s="1106"/>
      <c r="CJ6" s="1097"/>
    </row>
    <row r="7" spans="1:88" ht="15.75">
      <c r="A7" s="1099"/>
      <c r="B7" s="1009" t="s">
        <v>7054</v>
      </c>
      <c r="C7" s="1010" t="s">
        <v>7055</v>
      </c>
      <c r="D7" s="2003" t="s">
        <v>7056</v>
      </c>
      <c r="E7" s="2003" t="s">
        <v>4149</v>
      </c>
      <c r="F7" s="1007">
        <v>0</v>
      </c>
      <c r="G7" s="1107" t="s">
        <v>7057</v>
      </c>
      <c r="H7" s="1107" t="s">
        <v>7058</v>
      </c>
      <c r="I7" s="1107" t="s">
        <v>7057</v>
      </c>
      <c r="J7" s="1107">
        <v>0</v>
      </c>
      <c r="K7" s="1107" t="s">
        <v>7059</v>
      </c>
      <c r="L7" s="1107" t="s">
        <v>7059</v>
      </c>
      <c r="M7" s="1107" t="s">
        <v>7057</v>
      </c>
      <c r="N7" s="1107" t="s">
        <v>7057</v>
      </c>
      <c r="O7" s="1107" t="s">
        <v>7057</v>
      </c>
      <c r="P7" s="1107" t="s">
        <v>7057</v>
      </c>
      <c r="Q7" s="1107" t="s">
        <v>7057</v>
      </c>
      <c r="R7" s="1107" t="s">
        <v>7060</v>
      </c>
      <c r="S7" s="1107" t="s">
        <v>7061</v>
      </c>
      <c r="T7" s="1107">
        <v>0</v>
      </c>
      <c r="U7" s="1107" t="s">
        <v>7060</v>
      </c>
      <c r="V7" s="1107" t="s">
        <v>7057</v>
      </c>
      <c r="W7" s="1107">
        <v>0</v>
      </c>
      <c r="X7" s="1107" t="s">
        <v>7057</v>
      </c>
      <c r="Y7" s="1107" t="s">
        <v>7060</v>
      </c>
      <c r="Z7" s="1107" t="s">
        <v>7057</v>
      </c>
      <c r="AA7" s="1107" t="s">
        <v>7061</v>
      </c>
      <c r="AB7" s="1107" t="s">
        <v>7059</v>
      </c>
      <c r="AC7" s="1107" t="s">
        <v>7062</v>
      </c>
      <c r="AD7" s="1107" t="s">
        <v>7057</v>
      </c>
      <c r="AE7" s="1107" t="s">
        <v>7060</v>
      </c>
      <c r="AF7" s="1107" t="s">
        <v>7057</v>
      </c>
      <c r="AG7" s="1107" t="s">
        <v>7061</v>
      </c>
      <c r="AH7" s="1107" t="s">
        <v>7057</v>
      </c>
      <c r="AI7" s="1107" t="s">
        <v>7059</v>
      </c>
      <c r="AJ7" s="1107" t="s">
        <v>7060</v>
      </c>
      <c r="AK7" s="1107" t="s">
        <v>7057</v>
      </c>
      <c r="AL7" s="1107" t="s">
        <v>7060</v>
      </c>
      <c r="AM7" s="1107" t="s">
        <v>7057</v>
      </c>
      <c r="AN7" s="1107" t="s">
        <v>7057</v>
      </c>
      <c r="AO7" s="1107" t="s">
        <v>7057</v>
      </c>
      <c r="AP7" s="1107" t="s">
        <v>7057</v>
      </c>
      <c r="AQ7" s="1107">
        <v>0</v>
      </c>
      <c r="AR7" s="1107">
        <v>0</v>
      </c>
      <c r="AS7" s="1107">
        <v>0</v>
      </c>
      <c r="AT7" s="1107">
        <v>0</v>
      </c>
      <c r="AU7" s="1107">
        <v>0</v>
      </c>
      <c r="AV7" s="1107">
        <v>0</v>
      </c>
      <c r="AW7" s="1107" t="s">
        <v>7059</v>
      </c>
      <c r="AX7" s="1107">
        <v>0</v>
      </c>
      <c r="AY7" s="1107">
        <v>0</v>
      </c>
      <c r="AZ7" s="1107">
        <v>0</v>
      </c>
      <c r="BA7" s="1107">
        <v>0</v>
      </c>
      <c r="BB7" s="1107">
        <v>0</v>
      </c>
      <c r="BC7" s="1107" t="s">
        <v>7059</v>
      </c>
      <c r="BD7" s="1108"/>
      <c r="BE7" s="1108"/>
      <c r="BF7" s="1108"/>
      <c r="BG7" s="1108"/>
      <c r="BH7" s="1108"/>
      <c r="BI7" s="1108"/>
      <c r="BJ7" s="1108"/>
      <c r="BK7" s="1108"/>
      <c r="BL7" s="1108"/>
      <c r="BM7" s="1108"/>
      <c r="BN7" s="1108"/>
      <c r="BO7" s="1108"/>
      <c r="BP7" s="1108"/>
      <c r="BQ7" s="1108"/>
      <c r="BR7" s="1108"/>
      <c r="BS7" s="1108"/>
      <c r="BT7" s="1108"/>
      <c r="BU7" s="1108"/>
      <c r="BV7" s="1108"/>
      <c r="BW7" s="1108"/>
      <c r="BX7" s="1108"/>
      <c r="BY7" s="1108"/>
      <c r="BZ7" s="1108"/>
      <c r="CA7" s="1108"/>
      <c r="CB7" s="1108"/>
      <c r="CC7" s="1108"/>
      <c r="CD7" s="1108"/>
      <c r="CE7" s="1108"/>
      <c r="CF7" s="1108"/>
      <c r="CG7" s="1108"/>
      <c r="CH7" s="1108"/>
      <c r="CI7" s="1108"/>
      <c r="CJ7" s="1097"/>
    </row>
    <row r="8" spans="1:88" ht="15.75">
      <c r="A8" s="1099"/>
      <c r="B8" s="1009" t="s">
        <v>7063</v>
      </c>
      <c r="C8" s="1010" t="s">
        <v>7064</v>
      </c>
      <c r="D8" s="2003" t="s">
        <v>7065</v>
      </c>
      <c r="E8" s="2003" t="s">
        <v>7066</v>
      </c>
      <c r="F8" s="1007">
        <v>2</v>
      </c>
      <c r="G8" s="1109">
        <v>114.05</v>
      </c>
      <c r="H8" s="1109">
        <v>38.24</v>
      </c>
      <c r="I8" s="1109">
        <v>545.32000000000005</v>
      </c>
      <c r="J8" s="1109">
        <v>0</v>
      </c>
      <c r="K8" s="1109">
        <v>427.21</v>
      </c>
      <c r="L8" s="1109">
        <v>46.94</v>
      </c>
      <c r="M8" s="1109">
        <v>54.74</v>
      </c>
      <c r="N8" s="1109">
        <v>124.76</v>
      </c>
      <c r="O8" s="1109">
        <v>33.130000000000003</v>
      </c>
      <c r="P8" s="1109">
        <v>33</v>
      </c>
      <c r="Q8" s="1109">
        <v>370.17</v>
      </c>
      <c r="R8" s="1109">
        <v>40.54</v>
      </c>
      <c r="S8" s="1109">
        <v>42.5</v>
      </c>
      <c r="T8" s="1109">
        <v>0</v>
      </c>
      <c r="U8" s="1109">
        <v>44.07</v>
      </c>
      <c r="V8" s="1109">
        <v>39.85</v>
      </c>
      <c r="W8" s="1109">
        <v>0</v>
      </c>
      <c r="X8" s="1109">
        <v>498.25</v>
      </c>
      <c r="Y8" s="1109">
        <v>92.34</v>
      </c>
      <c r="Z8" s="1109">
        <v>737.67</v>
      </c>
      <c r="AA8" s="1109">
        <v>32.93</v>
      </c>
      <c r="AB8" s="1109">
        <v>87.04</v>
      </c>
      <c r="AC8" s="1109">
        <v>33.06</v>
      </c>
      <c r="AD8" s="1109">
        <v>29.68</v>
      </c>
      <c r="AE8" s="1109">
        <v>46.16</v>
      </c>
      <c r="AF8" s="1109">
        <v>119.37</v>
      </c>
      <c r="AG8" s="1109">
        <v>26.44</v>
      </c>
      <c r="AH8" s="1109">
        <v>99.65</v>
      </c>
      <c r="AI8" s="1109">
        <v>57.81</v>
      </c>
      <c r="AJ8" s="1109">
        <v>35.14</v>
      </c>
      <c r="AK8" s="1109">
        <v>31.49</v>
      </c>
      <c r="AL8" s="1109">
        <v>62.91</v>
      </c>
      <c r="AM8" s="1109">
        <v>40.159999999999997</v>
      </c>
      <c r="AN8" s="1109">
        <v>59.34</v>
      </c>
      <c r="AO8" s="1109">
        <v>143.02000000000001</v>
      </c>
      <c r="AP8" s="1109">
        <v>181.26</v>
      </c>
      <c r="AQ8" s="1109">
        <v>0</v>
      </c>
      <c r="AR8" s="1109">
        <v>0</v>
      </c>
      <c r="AS8" s="1109">
        <v>0</v>
      </c>
      <c r="AT8" s="1109">
        <v>0</v>
      </c>
      <c r="AU8" s="1109">
        <v>0</v>
      </c>
      <c r="AV8" s="1109">
        <v>0</v>
      </c>
      <c r="AW8" s="1109">
        <v>173.4</v>
      </c>
      <c r="AX8" s="1109">
        <v>0</v>
      </c>
      <c r="AY8" s="1109">
        <v>0</v>
      </c>
      <c r="AZ8" s="1109">
        <v>0</v>
      </c>
      <c r="BA8" s="1109">
        <v>0</v>
      </c>
      <c r="BB8" s="1109">
        <v>0</v>
      </c>
      <c r="BC8" s="1109">
        <v>220.66</v>
      </c>
      <c r="BD8" s="1109"/>
      <c r="BE8" s="1109"/>
      <c r="BF8" s="1109"/>
      <c r="BG8" s="1109"/>
      <c r="BH8" s="1109"/>
      <c r="BI8" s="1109"/>
      <c r="BJ8" s="1109"/>
      <c r="BK8" s="1109"/>
      <c r="BL8" s="1109"/>
      <c r="BM8" s="1109"/>
      <c r="BN8" s="1109"/>
      <c r="BO8" s="1109"/>
      <c r="BP8" s="1109"/>
      <c r="BQ8" s="1109"/>
      <c r="BR8" s="1109"/>
      <c r="BS8" s="1109"/>
      <c r="BT8" s="1109"/>
      <c r="BU8" s="1109"/>
      <c r="BV8" s="1109"/>
      <c r="BW8" s="1109"/>
      <c r="BX8" s="1109"/>
      <c r="BY8" s="1109"/>
      <c r="BZ8" s="1109"/>
      <c r="CA8" s="1109"/>
      <c r="CB8" s="1109"/>
      <c r="CC8" s="1109"/>
      <c r="CD8" s="1109"/>
      <c r="CE8" s="1109"/>
      <c r="CF8" s="1109"/>
      <c r="CG8" s="1109"/>
      <c r="CH8" s="1109"/>
      <c r="CI8" s="1110"/>
      <c r="CJ8" s="1097"/>
    </row>
    <row r="9" spans="1:88" ht="15.75">
      <c r="A9" s="1099"/>
      <c r="B9" s="1009" t="s">
        <v>7067</v>
      </c>
      <c r="C9" s="1010" t="s">
        <v>7068</v>
      </c>
      <c r="D9" s="2003" t="s">
        <v>7069</v>
      </c>
      <c r="E9" s="2003" t="s">
        <v>7070</v>
      </c>
      <c r="F9" s="1007">
        <v>0</v>
      </c>
      <c r="G9" s="1111">
        <v>40</v>
      </c>
      <c r="H9" s="1111">
        <v>60</v>
      </c>
      <c r="I9" s="1111">
        <v>30</v>
      </c>
      <c r="J9" s="1111">
        <v>0</v>
      </c>
      <c r="K9" s="1111">
        <v>20</v>
      </c>
      <c r="L9" s="1111">
        <v>60</v>
      </c>
      <c r="M9" s="1111">
        <v>30</v>
      </c>
      <c r="N9" s="1111">
        <v>30</v>
      </c>
      <c r="O9" s="1111">
        <v>65</v>
      </c>
      <c r="P9" s="1111">
        <v>35</v>
      </c>
      <c r="Q9" s="1111">
        <v>65</v>
      </c>
      <c r="R9" s="1111">
        <v>75</v>
      </c>
      <c r="S9" s="1111">
        <v>30</v>
      </c>
      <c r="T9" s="1111">
        <v>0</v>
      </c>
      <c r="U9" s="1111">
        <v>40</v>
      </c>
      <c r="V9" s="1111">
        <v>30</v>
      </c>
      <c r="W9" s="1111">
        <v>0</v>
      </c>
      <c r="X9" s="1111">
        <v>0</v>
      </c>
      <c r="Y9" s="1111">
        <v>45</v>
      </c>
      <c r="Z9" s="1111">
        <v>50</v>
      </c>
      <c r="AA9" s="1111">
        <v>45</v>
      </c>
      <c r="AB9" s="1111">
        <v>40</v>
      </c>
      <c r="AC9" s="1111">
        <v>50</v>
      </c>
      <c r="AD9" s="1111">
        <v>70</v>
      </c>
      <c r="AE9" s="1111">
        <v>40</v>
      </c>
      <c r="AF9" s="1111">
        <v>25</v>
      </c>
      <c r="AG9" s="1111">
        <v>50</v>
      </c>
      <c r="AH9" s="1111">
        <v>60</v>
      </c>
      <c r="AI9" s="1111">
        <v>60</v>
      </c>
      <c r="AJ9" s="1111">
        <v>30</v>
      </c>
      <c r="AK9" s="1111">
        <v>25</v>
      </c>
      <c r="AL9" s="1111">
        <v>35</v>
      </c>
      <c r="AM9" s="1111">
        <v>150</v>
      </c>
      <c r="AN9" s="1111">
        <v>30</v>
      </c>
      <c r="AO9" s="1111">
        <v>40</v>
      </c>
      <c r="AP9" s="1111">
        <v>55</v>
      </c>
      <c r="AQ9" s="1111">
        <v>0</v>
      </c>
      <c r="AR9" s="1111">
        <v>0</v>
      </c>
      <c r="AS9" s="1111">
        <v>0</v>
      </c>
      <c r="AT9" s="1111">
        <v>0</v>
      </c>
      <c r="AU9" s="1111">
        <v>0</v>
      </c>
      <c r="AV9" s="1111">
        <v>0</v>
      </c>
      <c r="AW9" s="1111">
        <v>50</v>
      </c>
      <c r="AX9" s="1111">
        <v>0</v>
      </c>
      <c r="AY9" s="1111">
        <v>0</v>
      </c>
      <c r="AZ9" s="1111">
        <v>0</v>
      </c>
      <c r="BA9" s="1111">
        <v>0</v>
      </c>
      <c r="BB9" s="1111">
        <v>0</v>
      </c>
      <c r="BC9" s="1111">
        <v>30</v>
      </c>
      <c r="BD9" s="1112"/>
      <c r="BE9" s="1112"/>
      <c r="BF9" s="1112"/>
      <c r="BG9" s="1112"/>
      <c r="BH9" s="1112"/>
      <c r="BI9" s="1112"/>
      <c r="BJ9" s="1112"/>
      <c r="BK9" s="1112"/>
      <c r="BL9" s="1112"/>
      <c r="BM9" s="1112"/>
      <c r="BN9" s="1112"/>
      <c r="BO9" s="1112"/>
      <c r="BP9" s="1112"/>
      <c r="BQ9" s="1112"/>
      <c r="BR9" s="1112"/>
      <c r="BS9" s="1112"/>
      <c r="BT9" s="1112"/>
      <c r="BU9" s="1112"/>
      <c r="BV9" s="1112"/>
      <c r="BW9" s="1112"/>
      <c r="BX9" s="1112"/>
      <c r="BY9" s="1112"/>
      <c r="BZ9" s="1112"/>
      <c r="CA9" s="1112"/>
      <c r="CB9" s="1112"/>
      <c r="CC9" s="1112"/>
      <c r="CD9" s="1112"/>
      <c r="CE9" s="1112"/>
      <c r="CF9" s="1112"/>
      <c r="CG9" s="1112"/>
      <c r="CH9" s="1112"/>
      <c r="CI9" s="1110"/>
      <c r="CJ9" s="1097"/>
    </row>
    <row r="10" spans="1:88" ht="16.5">
      <c r="A10" s="1099"/>
      <c r="B10" s="1009" t="s">
        <v>7071</v>
      </c>
      <c r="C10" s="1010" t="s">
        <v>7072</v>
      </c>
      <c r="D10" s="2003" t="s">
        <v>7073</v>
      </c>
      <c r="E10" s="2003" t="s">
        <v>7070</v>
      </c>
      <c r="F10" s="1007">
        <v>0</v>
      </c>
      <c r="G10" s="1111">
        <v>30</v>
      </c>
      <c r="H10" s="1111">
        <v>40</v>
      </c>
      <c r="I10" s="1111">
        <v>15</v>
      </c>
      <c r="J10" s="1111">
        <v>0</v>
      </c>
      <c r="K10" s="1111">
        <v>10</v>
      </c>
      <c r="L10" s="1111">
        <v>0</v>
      </c>
      <c r="M10" s="1111">
        <v>20</v>
      </c>
      <c r="N10" s="1111">
        <v>20</v>
      </c>
      <c r="O10" s="1111">
        <v>45</v>
      </c>
      <c r="P10" s="1111">
        <v>25</v>
      </c>
      <c r="Q10" s="1111">
        <v>38</v>
      </c>
      <c r="R10" s="1111">
        <v>40</v>
      </c>
      <c r="S10" s="1111">
        <v>13</v>
      </c>
      <c r="T10" s="1111">
        <v>0</v>
      </c>
      <c r="U10" s="1111">
        <v>14</v>
      </c>
      <c r="V10" s="1111">
        <v>20</v>
      </c>
      <c r="W10" s="1111">
        <v>0</v>
      </c>
      <c r="X10" s="1111">
        <v>0</v>
      </c>
      <c r="Y10" s="1111">
        <v>25</v>
      </c>
      <c r="Z10" s="1111">
        <v>18</v>
      </c>
      <c r="AA10" s="1111">
        <v>25</v>
      </c>
      <c r="AB10" s="1111">
        <v>20</v>
      </c>
      <c r="AC10" s="1111">
        <v>25</v>
      </c>
      <c r="AD10" s="1111">
        <v>21</v>
      </c>
      <c r="AE10" s="1111">
        <v>35</v>
      </c>
      <c r="AF10" s="1111">
        <v>15</v>
      </c>
      <c r="AG10" s="1111">
        <v>30</v>
      </c>
      <c r="AH10" s="1111">
        <v>40</v>
      </c>
      <c r="AI10" s="1111">
        <v>0</v>
      </c>
      <c r="AJ10" s="1111">
        <v>15</v>
      </c>
      <c r="AK10" s="1111">
        <v>15</v>
      </c>
      <c r="AL10" s="1111">
        <v>25</v>
      </c>
      <c r="AM10" s="1111">
        <v>150</v>
      </c>
      <c r="AN10" s="1111">
        <v>14</v>
      </c>
      <c r="AO10" s="1111">
        <v>20</v>
      </c>
      <c r="AP10" s="1111">
        <v>35</v>
      </c>
      <c r="AQ10" s="1111">
        <v>0</v>
      </c>
      <c r="AR10" s="1111">
        <v>0</v>
      </c>
      <c r="AS10" s="1111">
        <v>0</v>
      </c>
      <c r="AT10" s="1111">
        <v>0</v>
      </c>
      <c r="AU10" s="1111">
        <v>0</v>
      </c>
      <c r="AV10" s="1111">
        <v>0</v>
      </c>
      <c r="AW10" s="1111">
        <v>35</v>
      </c>
      <c r="AX10" s="1111">
        <v>0</v>
      </c>
      <c r="AY10" s="1111">
        <v>0</v>
      </c>
      <c r="AZ10" s="1111">
        <v>0</v>
      </c>
      <c r="BA10" s="1111">
        <v>0</v>
      </c>
      <c r="BB10" s="1111">
        <v>0</v>
      </c>
      <c r="BC10" s="1111">
        <v>20</v>
      </c>
      <c r="BD10" s="1112"/>
      <c r="BE10" s="1112"/>
      <c r="BF10" s="1112"/>
      <c r="BG10" s="1112"/>
      <c r="BH10" s="1112"/>
      <c r="BI10" s="1112"/>
      <c r="BJ10" s="1112"/>
      <c r="BK10" s="1112"/>
      <c r="BL10" s="1112"/>
      <c r="BM10" s="1112"/>
      <c r="BN10" s="1112"/>
      <c r="BO10" s="1112"/>
      <c r="BP10" s="1112"/>
      <c r="BQ10" s="1112"/>
      <c r="BR10" s="1112"/>
      <c r="BS10" s="1112"/>
      <c r="BT10" s="1112"/>
      <c r="BU10" s="1112"/>
      <c r="BV10" s="1112"/>
      <c r="BW10" s="1112"/>
      <c r="BX10" s="1112"/>
      <c r="BY10" s="1112"/>
      <c r="BZ10" s="1112"/>
      <c r="CA10" s="1112"/>
      <c r="CB10" s="1112"/>
      <c r="CC10" s="1112"/>
      <c r="CD10" s="1112"/>
      <c r="CE10" s="1112"/>
      <c r="CF10" s="1112"/>
      <c r="CG10" s="1112"/>
      <c r="CH10" s="1112"/>
      <c r="CI10" s="1110"/>
      <c r="CJ10" s="1097"/>
    </row>
    <row r="11" spans="1:88" ht="15.75">
      <c r="A11" s="1099"/>
      <c r="B11" s="1009" t="s">
        <v>7074</v>
      </c>
      <c r="C11" s="1010" t="s">
        <v>7075</v>
      </c>
      <c r="D11" s="2003" t="s">
        <v>7076</v>
      </c>
      <c r="E11" s="2003" t="s">
        <v>7070</v>
      </c>
      <c r="F11" s="1007">
        <v>0</v>
      </c>
      <c r="G11" s="1111">
        <v>3</v>
      </c>
      <c r="H11" s="1111">
        <v>10</v>
      </c>
      <c r="I11" s="1111">
        <v>3</v>
      </c>
      <c r="J11" s="1111">
        <v>0</v>
      </c>
      <c r="K11" s="1111">
        <v>3</v>
      </c>
      <c r="L11" s="1111">
        <v>0</v>
      </c>
      <c r="M11" s="1111">
        <v>5</v>
      </c>
      <c r="N11" s="1111">
        <v>3</v>
      </c>
      <c r="O11" s="1111">
        <v>10</v>
      </c>
      <c r="P11" s="1111">
        <v>9</v>
      </c>
      <c r="Q11" s="1111">
        <v>5</v>
      </c>
      <c r="R11" s="1111">
        <v>10</v>
      </c>
      <c r="S11" s="1111">
        <v>6</v>
      </c>
      <c r="T11" s="1111">
        <v>0</v>
      </c>
      <c r="U11" s="1111">
        <v>10</v>
      </c>
      <c r="V11" s="1111">
        <v>3</v>
      </c>
      <c r="W11" s="1111">
        <v>0</v>
      </c>
      <c r="X11" s="1111">
        <v>0</v>
      </c>
      <c r="Y11" s="1111">
        <v>10</v>
      </c>
      <c r="Z11" s="1111">
        <v>2</v>
      </c>
      <c r="AA11" s="1111">
        <v>5</v>
      </c>
      <c r="AB11" s="1111">
        <v>1</v>
      </c>
      <c r="AC11" s="1111">
        <v>11</v>
      </c>
      <c r="AD11" s="1111">
        <v>3</v>
      </c>
      <c r="AE11" s="1111">
        <v>14</v>
      </c>
      <c r="AF11" s="1111">
        <v>3</v>
      </c>
      <c r="AG11" s="1111">
        <v>21</v>
      </c>
      <c r="AH11" s="1111">
        <v>10</v>
      </c>
      <c r="AI11" s="1111">
        <v>0</v>
      </c>
      <c r="AJ11" s="1111">
        <v>5</v>
      </c>
      <c r="AK11" s="1111">
        <v>5</v>
      </c>
      <c r="AL11" s="1111">
        <v>8</v>
      </c>
      <c r="AM11" s="1111">
        <v>50</v>
      </c>
      <c r="AN11" s="1111">
        <v>2.2999999999999998</v>
      </c>
      <c r="AO11" s="1111">
        <v>3</v>
      </c>
      <c r="AP11" s="1111">
        <v>6</v>
      </c>
      <c r="AQ11" s="1111">
        <v>0</v>
      </c>
      <c r="AR11" s="1111">
        <v>0</v>
      </c>
      <c r="AS11" s="1111">
        <v>0</v>
      </c>
      <c r="AT11" s="1111">
        <v>0</v>
      </c>
      <c r="AU11" s="1111">
        <v>0</v>
      </c>
      <c r="AV11" s="1111">
        <v>0</v>
      </c>
      <c r="AW11" s="1111">
        <v>5</v>
      </c>
      <c r="AX11" s="1111">
        <v>0</v>
      </c>
      <c r="AY11" s="1111">
        <v>0</v>
      </c>
      <c r="AZ11" s="1111">
        <v>0</v>
      </c>
      <c r="BA11" s="1111">
        <v>0</v>
      </c>
      <c r="BB11" s="1111">
        <v>0</v>
      </c>
      <c r="BC11" s="1111">
        <v>5</v>
      </c>
      <c r="BD11" s="1113"/>
      <c r="BE11" s="1113"/>
      <c r="BF11" s="1113"/>
      <c r="BG11" s="1113"/>
      <c r="BH11" s="1113"/>
      <c r="BI11" s="1113"/>
      <c r="BJ11" s="1113"/>
      <c r="BK11" s="1113"/>
      <c r="BL11" s="1113"/>
      <c r="BM11" s="1113"/>
      <c r="BN11" s="1113"/>
      <c r="BO11" s="1113"/>
      <c r="BP11" s="1113"/>
      <c r="BQ11" s="1113"/>
      <c r="BR11" s="1113"/>
      <c r="BS11" s="1113"/>
      <c r="BT11" s="1113"/>
      <c r="BU11" s="1113"/>
      <c r="BV11" s="1113"/>
      <c r="BW11" s="1113"/>
      <c r="BX11" s="1113"/>
      <c r="BY11" s="1113"/>
      <c r="BZ11" s="1113"/>
      <c r="CA11" s="1113"/>
      <c r="CB11" s="1113"/>
      <c r="CC11" s="1113"/>
      <c r="CD11" s="1113"/>
      <c r="CE11" s="1113"/>
      <c r="CF11" s="1113"/>
      <c r="CG11" s="1113"/>
      <c r="CH11" s="1113"/>
      <c r="CI11" s="1110"/>
      <c r="CJ11" s="1097"/>
    </row>
    <row r="12" spans="1:88" ht="15.75">
      <c r="A12" s="1099"/>
      <c r="B12" s="1009" t="s">
        <v>7077</v>
      </c>
      <c r="C12" s="1010" t="s">
        <v>7078</v>
      </c>
      <c r="D12" s="2003" t="s">
        <v>7079</v>
      </c>
      <c r="E12" s="2003" t="s">
        <v>7070</v>
      </c>
      <c r="F12" s="1007">
        <v>0</v>
      </c>
      <c r="G12" s="1111">
        <v>0</v>
      </c>
      <c r="H12" s="1111">
        <v>0</v>
      </c>
      <c r="I12" s="1111">
        <v>0</v>
      </c>
      <c r="J12" s="1111">
        <v>0</v>
      </c>
      <c r="K12" s="1111">
        <v>0</v>
      </c>
      <c r="L12" s="1111">
        <v>0</v>
      </c>
      <c r="M12" s="1111">
        <v>0</v>
      </c>
      <c r="N12" s="1111">
        <v>0</v>
      </c>
      <c r="O12" s="1111">
        <v>0</v>
      </c>
      <c r="P12" s="1111">
        <v>0</v>
      </c>
      <c r="Q12" s="1111">
        <v>0</v>
      </c>
      <c r="R12" s="1111">
        <v>0</v>
      </c>
      <c r="S12" s="1111">
        <v>0</v>
      </c>
      <c r="T12" s="1111">
        <v>0</v>
      </c>
      <c r="U12" s="1111">
        <v>0</v>
      </c>
      <c r="V12" s="1111">
        <v>0</v>
      </c>
      <c r="W12" s="1111">
        <v>0</v>
      </c>
      <c r="X12" s="1111">
        <v>0</v>
      </c>
      <c r="Y12" s="1111">
        <v>0</v>
      </c>
      <c r="Z12" s="1111">
        <v>0</v>
      </c>
      <c r="AA12" s="1111">
        <v>0</v>
      </c>
      <c r="AB12" s="1111">
        <v>0</v>
      </c>
      <c r="AC12" s="1111">
        <v>1</v>
      </c>
      <c r="AD12" s="1111">
        <v>0</v>
      </c>
      <c r="AE12" s="1111">
        <v>0</v>
      </c>
      <c r="AF12" s="1111">
        <v>0</v>
      </c>
      <c r="AG12" s="1111">
        <v>0</v>
      </c>
      <c r="AH12" s="1111">
        <v>0</v>
      </c>
      <c r="AI12" s="1111">
        <v>0</v>
      </c>
      <c r="AJ12" s="1111">
        <v>0</v>
      </c>
      <c r="AK12" s="1111">
        <v>0</v>
      </c>
      <c r="AL12" s="1111">
        <v>0</v>
      </c>
      <c r="AM12" s="1111">
        <v>0</v>
      </c>
      <c r="AN12" s="1111">
        <v>0</v>
      </c>
      <c r="AO12" s="1111">
        <v>0</v>
      </c>
      <c r="AP12" s="1111">
        <v>0</v>
      </c>
      <c r="AQ12" s="1111">
        <v>0</v>
      </c>
      <c r="AR12" s="1111">
        <v>0</v>
      </c>
      <c r="AS12" s="1111">
        <v>0</v>
      </c>
      <c r="AT12" s="1111">
        <v>0</v>
      </c>
      <c r="AU12" s="1111">
        <v>0</v>
      </c>
      <c r="AV12" s="1111">
        <v>0</v>
      </c>
      <c r="AW12" s="1111">
        <v>0</v>
      </c>
      <c r="AX12" s="1111">
        <v>0</v>
      </c>
      <c r="AY12" s="1111">
        <v>0</v>
      </c>
      <c r="AZ12" s="1111">
        <v>0</v>
      </c>
      <c r="BA12" s="1111">
        <v>0</v>
      </c>
      <c r="BB12" s="1111">
        <v>0</v>
      </c>
      <c r="BC12" s="1111">
        <v>0</v>
      </c>
      <c r="BD12" s="1113"/>
      <c r="BE12" s="1113"/>
      <c r="BF12" s="1113"/>
      <c r="BG12" s="1113"/>
      <c r="BH12" s="1113"/>
      <c r="BI12" s="1113"/>
      <c r="BJ12" s="1113"/>
      <c r="BK12" s="1113"/>
      <c r="BL12" s="1113"/>
      <c r="BM12" s="1113"/>
      <c r="BN12" s="1113"/>
      <c r="BO12" s="1113"/>
      <c r="BP12" s="1113"/>
      <c r="BQ12" s="1113"/>
      <c r="BR12" s="1113"/>
      <c r="BS12" s="1113"/>
      <c r="BT12" s="1113"/>
      <c r="BU12" s="1113"/>
      <c r="BV12" s="1113"/>
      <c r="BW12" s="1113"/>
      <c r="BX12" s="1113"/>
      <c r="BY12" s="1113"/>
      <c r="BZ12" s="1113"/>
      <c r="CA12" s="1113"/>
      <c r="CB12" s="1113"/>
      <c r="CC12" s="1113"/>
      <c r="CD12" s="1113"/>
      <c r="CE12" s="1113"/>
      <c r="CF12" s="1113"/>
      <c r="CG12" s="1113"/>
      <c r="CH12" s="1113"/>
      <c r="CI12" s="1110"/>
      <c r="CJ12" s="1097"/>
    </row>
    <row r="13" spans="1:88" ht="15.75">
      <c r="A13" s="1099"/>
      <c r="B13" s="1009" t="s">
        <v>7080</v>
      </c>
      <c r="C13" s="1010" t="s">
        <v>7081</v>
      </c>
      <c r="D13" s="2003" t="s">
        <v>7082</v>
      </c>
      <c r="E13" s="2003" t="s">
        <v>7083</v>
      </c>
      <c r="F13" s="1007">
        <v>0</v>
      </c>
      <c r="G13" s="1111">
        <v>0</v>
      </c>
      <c r="H13" s="1111">
        <v>0</v>
      </c>
      <c r="I13" s="1111">
        <v>0</v>
      </c>
      <c r="J13" s="1111">
        <v>0</v>
      </c>
      <c r="K13" s="1111">
        <v>0</v>
      </c>
      <c r="L13" s="1111">
        <v>19.91</v>
      </c>
      <c r="M13" s="1111">
        <v>0</v>
      </c>
      <c r="N13" s="1111">
        <v>0</v>
      </c>
      <c r="O13" s="1111">
        <v>0</v>
      </c>
      <c r="P13" s="1111">
        <v>0</v>
      </c>
      <c r="Q13" s="1111">
        <v>0</v>
      </c>
      <c r="R13" s="1111">
        <v>0</v>
      </c>
      <c r="S13" s="1111">
        <v>0</v>
      </c>
      <c r="T13" s="1111">
        <v>0</v>
      </c>
      <c r="U13" s="1111">
        <v>0</v>
      </c>
      <c r="V13" s="1111">
        <v>0</v>
      </c>
      <c r="W13" s="1111">
        <v>0</v>
      </c>
      <c r="X13" s="1111">
        <v>0</v>
      </c>
      <c r="Y13" s="1111">
        <v>0</v>
      </c>
      <c r="Z13" s="1111">
        <v>0</v>
      </c>
      <c r="AA13" s="1111">
        <v>0</v>
      </c>
      <c r="AB13" s="1111">
        <v>0</v>
      </c>
      <c r="AC13" s="1111">
        <v>0</v>
      </c>
      <c r="AD13" s="1111">
        <v>0</v>
      </c>
      <c r="AE13" s="1111">
        <v>0</v>
      </c>
      <c r="AF13" s="1111">
        <v>0</v>
      </c>
      <c r="AG13" s="1111">
        <v>0</v>
      </c>
      <c r="AH13" s="1111">
        <v>0</v>
      </c>
      <c r="AI13" s="1111">
        <v>16</v>
      </c>
      <c r="AJ13" s="1111">
        <v>0</v>
      </c>
      <c r="AK13" s="1111">
        <v>0</v>
      </c>
      <c r="AL13" s="1111">
        <v>0</v>
      </c>
      <c r="AM13" s="1111">
        <v>0</v>
      </c>
      <c r="AN13" s="1111">
        <v>0</v>
      </c>
      <c r="AO13" s="1111">
        <v>0</v>
      </c>
      <c r="AP13" s="1111">
        <v>0</v>
      </c>
      <c r="AQ13" s="1111">
        <v>0</v>
      </c>
      <c r="AR13" s="1111">
        <v>0</v>
      </c>
      <c r="AS13" s="1111">
        <v>0</v>
      </c>
      <c r="AT13" s="1111">
        <v>0</v>
      </c>
      <c r="AU13" s="1111">
        <v>0</v>
      </c>
      <c r="AV13" s="1111">
        <v>0</v>
      </c>
      <c r="AW13" s="1111">
        <v>0</v>
      </c>
      <c r="AX13" s="1111">
        <v>0</v>
      </c>
      <c r="AY13" s="1111">
        <v>0</v>
      </c>
      <c r="AZ13" s="1111">
        <v>0</v>
      </c>
      <c r="BA13" s="1111">
        <v>0</v>
      </c>
      <c r="BB13" s="1111">
        <v>0</v>
      </c>
      <c r="BC13" s="1111">
        <v>0</v>
      </c>
      <c r="BD13" s="1112"/>
      <c r="BE13" s="1112"/>
      <c r="BF13" s="1112"/>
      <c r="BG13" s="1112"/>
      <c r="BH13" s="1112"/>
      <c r="BI13" s="1112"/>
      <c r="BJ13" s="1112"/>
      <c r="BK13" s="1112"/>
      <c r="BL13" s="1112"/>
      <c r="BM13" s="1112"/>
      <c r="BN13" s="1112"/>
      <c r="BO13" s="1112"/>
      <c r="BP13" s="1112"/>
      <c r="BQ13" s="1112"/>
      <c r="BR13" s="1112"/>
      <c r="BS13" s="1112"/>
      <c r="BT13" s="1112"/>
      <c r="BU13" s="1112"/>
      <c r="BV13" s="1112"/>
      <c r="BW13" s="1112"/>
      <c r="BX13" s="1112"/>
      <c r="BY13" s="1112"/>
      <c r="BZ13" s="1112"/>
      <c r="CA13" s="1112"/>
      <c r="CB13" s="1112"/>
      <c r="CC13" s="1112"/>
      <c r="CD13" s="1112"/>
      <c r="CE13" s="1112"/>
      <c r="CF13" s="1112"/>
      <c r="CG13" s="1112"/>
      <c r="CH13" s="1112"/>
      <c r="CI13" s="1110"/>
      <c r="CJ13" s="1097"/>
    </row>
    <row r="14" spans="1:88" ht="15.75">
      <c r="A14" s="1099"/>
      <c r="B14" s="1009" t="s">
        <v>7084</v>
      </c>
      <c r="C14" s="1010" t="s">
        <v>7085</v>
      </c>
      <c r="D14" s="2003" t="s">
        <v>7086</v>
      </c>
      <c r="E14" s="2003" t="s">
        <v>7087</v>
      </c>
      <c r="F14" s="1007">
        <v>0</v>
      </c>
      <c r="G14" s="1114">
        <f t="shared" ref="G14:BR14" si="0">+G8*0.06*1000</f>
        <v>6843</v>
      </c>
      <c r="H14" s="1114">
        <f t="shared" si="0"/>
        <v>2294.4</v>
      </c>
      <c r="I14" s="1114">
        <f t="shared" si="0"/>
        <v>32719.200000000001</v>
      </c>
      <c r="J14" s="1114">
        <f t="shared" si="0"/>
        <v>0</v>
      </c>
      <c r="K14" s="1114">
        <f t="shared" si="0"/>
        <v>25632.599999999995</v>
      </c>
      <c r="L14" s="1114">
        <f t="shared" si="0"/>
        <v>2816.3999999999996</v>
      </c>
      <c r="M14" s="1114">
        <f t="shared" si="0"/>
        <v>3284.4</v>
      </c>
      <c r="N14" s="1114">
        <f t="shared" si="0"/>
        <v>7485.5999999999995</v>
      </c>
      <c r="O14" s="1114">
        <f t="shared" si="0"/>
        <v>1987.8</v>
      </c>
      <c r="P14" s="1114">
        <f t="shared" si="0"/>
        <v>1980</v>
      </c>
      <c r="Q14" s="1114">
        <f t="shared" si="0"/>
        <v>22210.2</v>
      </c>
      <c r="R14" s="1114">
        <f t="shared" si="0"/>
        <v>2432.4</v>
      </c>
      <c r="S14" s="1114">
        <f t="shared" si="0"/>
        <v>2550</v>
      </c>
      <c r="T14" s="1114">
        <f t="shared" si="0"/>
        <v>0</v>
      </c>
      <c r="U14" s="1114">
        <f t="shared" si="0"/>
        <v>2644.2000000000003</v>
      </c>
      <c r="V14" s="1114">
        <f t="shared" si="0"/>
        <v>2391</v>
      </c>
      <c r="W14" s="1114">
        <f t="shared" si="0"/>
        <v>0</v>
      </c>
      <c r="X14" s="1114">
        <f t="shared" si="0"/>
        <v>29895</v>
      </c>
      <c r="Y14" s="1114">
        <f t="shared" si="0"/>
        <v>5540.4</v>
      </c>
      <c r="Z14" s="1114">
        <f t="shared" si="0"/>
        <v>44260.2</v>
      </c>
      <c r="AA14" s="1114">
        <f t="shared" si="0"/>
        <v>1975.8</v>
      </c>
      <c r="AB14" s="1114">
        <f t="shared" si="0"/>
        <v>5222.4000000000005</v>
      </c>
      <c r="AC14" s="1114">
        <f t="shared" si="0"/>
        <v>1983.6000000000001</v>
      </c>
      <c r="AD14" s="1114">
        <f t="shared" si="0"/>
        <v>1780.8</v>
      </c>
      <c r="AE14" s="1114">
        <f t="shared" si="0"/>
        <v>2769.5999999999995</v>
      </c>
      <c r="AF14" s="1114">
        <f t="shared" si="0"/>
        <v>7162.2000000000007</v>
      </c>
      <c r="AG14" s="1114">
        <f t="shared" si="0"/>
        <v>1586.4</v>
      </c>
      <c r="AH14" s="1114">
        <f t="shared" si="0"/>
        <v>5979</v>
      </c>
      <c r="AI14" s="1114">
        <f t="shared" si="0"/>
        <v>3468.6</v>
      </c>
      <c r="AJ14" s="1114">
        <f t="shared" si="0"/>
        <v>2108.4</v>
      </c>
      <c r="AK14" s="1114">
        <f t="shared" si="0"/>
        <v>1889.3999999999996</v>
      </c>
      <c r="AL14" s="1114">
        <f t="shared" si="0"/>
        <v>3774.5999999999995</v>
      </c>
      <c r="AM14" s="1114">
        <f t="shared" si="0"/>
        <v>2409.6</v>
      </c>
      <c r="AN14" s="1114">
        <f t="shared" si="0"/>
        <v>3560.4</v>
      </c>
      <c r="AO14" s="1114">
        <f t="shared" si="0"/>
        <v>8581.2000000000007</v>
      </c>
      <c r="AP14" s="1114">
        <f t="shared" si="0"/>
        <v>10875.599999999999</v>
      </c>
      <c r="AQ14" s="1114">
        <f t="shared" si="0"/>
        <v>0</v>
      </c>
      <c r="AR14" s="1114">
        <f t="shared" si="0"/>
        <v>0</v>
      </c>
      <c r="AS14" s="1114">
        <f t="shared" si="0"/>
        <v>0</v>
      </c>
      <c r="AT14" s="1114">
        <f t="shared" si="0"/>
        <v>0</v>
      </c>
      <c r="AU14" s="1114">
        <f t="shared" si="0"/>
        <v>0</v>
      </c>
      <c r="AV14" s="1114">
        <f t="shared" si="0"/>
        <v>0</v>
      </c>
      <c r="AW14" s="1114">
        <f t="shared" si="0"/>
        <v>10404</v>
      </c>
      <c r="AX14" s="1114">
        <f t="shared" si="0"/>
        <v>0</v>
      </c>
      <c r="AY14" s="1114">
        <f t="shared" si="0"/>
        <v>0</v>
      </c>
      <c r="AZ14" s="1114">
        <f t="shared" si="0"/>
        <v>0</v>
      </c>
      <c r="BA14" s="1114">
        <f t="shared" si="0"/>
        <v>0</v>
      </c>
      <c r="BB14" s="1114">
        <f t="shared" si="0"/>
        <v>0</v>
      </c>
      <c r="BC14" s="1114">
        <f t="shared" si="0"/>
        <v>13239.599999999999</v>
      </c>
      <c r="BD14" s="1114">
        <f t="shared" si="0"/>
        <v>0</v>
      </c>
      <c r="BE14" s="1114">
        <f t="shared" si="0"/>
        <v>0</v>
      </c>
      <c r="BF14" s="1114">
        <f t="shared" si="0"/>
        <v>0</v>
      </c>
      <c r="BG14" s="1114">
        <f t="shared" si="0"/>
        <v>0</v>
      </c>
      <c r="BH14" s="1114">
        <f t="shared" si="0"/>
        <v>0</v>
      </c>
      <c r="BI14" s="1114">
        <f t="shared" si="0"/>
        <v>0</v>
      </c>
      <c r="BJ14" s="1114">
        <f t="shared" si="0"/>
        <v>0</v>
      </c>
      <c r="BK14" s="1114">
        <f t="shared" si="0"/>
        <v>0</v>
      </c>
      <c r="BL14" s="1114">
        <f t="shared" si="0"/>
        <v>0</v>
      </c>
      <c r="BM14" s="1114">
        <f t="shared" si="0"/>
        <v>0</v>
      </c>
      <c r="BN14" s="1114">
        <f t="shared" si="0"/>
        <v>0</v>
      </c>
      <c r="BO14" s="1114">
        <f t="shared" si="0"/>
        <v>0</v>
      </c>
      <c r="BP14" s="1114">
        <f t="shared" si="0"/>
        <v>0</v>
      </c>
      <c r="BQ14" s="1114">
        <f t="shared" si="0"/>
        <v>0</v>
      </c>
      <c r="BR14" s="1114">
        <f t="shared" si="0"/>
        <v>0</v>
      </c>
      <c r="BS14" s="1114">
        <f t="shared" ref="BS14:CH14" si="1">+BS8*0.06*1000</f>
        <v>0</v>
      </c>
      <c r="BT14" s="1114">
        <f t="shared" si="1"/>
        <v>0</v>
      </c>
      <c r="BU14" s="1114">
        <f t="shared" si="1"/>
        <v>0</v>
      </c>
      <c r="BV14" s="1114">
        <f t="shared" si="1"/>
        <v>0</v>
      </c>
      <c r="BW14" s="1114">
        <f t="shared" si="1"/>
        <v>0</v>
      </c>
      <c r="BX14" s="1114">
        <f t="shared" si="1"/>
        <v>0</v>
      </c>
      <c r="BY14" s="1114">
        <f t="shared" si="1"/>
        <v>0</v>
      </c>
      <c r="BZ14" s="1114">
        <f t="shared" si="1"/>
        <v>0</v>
      </c>
      <c r="CA14" s="1114">
        <f t="shared" si="1"/>
        <v>0</v>
      </c>
      <c r="CB14" s="1114">
        <f t="shared" si="1"/>
        <v>0</v>
      </c>
      <c r="CC14" s="1114">
        <f t="shared" si="1"/>
        <v>0</v>
      </c>
      <c r="CD14" s="1114">
        <f t="shared" si="1"/>
        <v>0</v>
      </c>
      <c r="CE14" s="1114">
        <f t="shared" si="1"/>
        <v>0</v>
      </c>
      <c r="CF14" s="1114">
        <f t="shared" si="1"/>
        <v>0</v>
      </c>
      <c r="CG14" s="1114">
        <f t="shared" si="1"/>
        <v>0</v>
      </c>
      <c r="CH14" s="1114">
        <f t="shared" si="1"/>
        <v>0</v>
      </c>
      <c r="CI14" s="1110"/>
      <c r="CJ14" s="1097"/>
    </row>
    <row r="15" spans="1:88" ht="16.5" thickBot="1">
      <c r="A15" s="1099"/>
      <c r="B15" s="1014" t="s">
        <v>7088</v>
      </c>
      <c r="C15" s="1115" t="s">
        <v>7089</v>
      </c>
      <c r="D15" s="1016" t="s">
        <v>7090</v>
      </c>
      <c r="E15" s="1016" t="s">
        <v>7091</v>
      </c>
      <c r="F15" s="1017">
        <v>0</v>
      </c>
      <c r="G15" s="1116">
        <v>42037</v>
      </c>
      <c r="H15" s="1116">
        <v>13725</v>
      </c>
      <c r="I15" s="1116">
        <v>221034</v>
      </c>
      <c r="J15" s="1116">
        <v>0</v>
      </c>
      <c r="K15" s="1116">
        <v>156373</v>
      </c>
      <c r="L15" s="1116">
        <v>11840</v>
      </c>
      <c r="M15" s="1116">
        <v>25791</v>
      </c>
      <c r="N15" s="1116">
        <v>43176</v>
      </c>
      <c r="O15" s="1116">
        <v>12350</v>
      </c>
      <c r="P15" s="1116">
        <v>8959</v>
      </c>
      <c r="Q15" s="1116">
        <v>110184</v>
      </c>
      <c r="R15" s="1116">
        <v>15907</v>
      </c>
      <c r="S15" s="1116">
        <v>10175</v>
      </c>
      <c r="T15" s="1116">
        <v>0</v>
      </c>
      <c r="U15" s="1116">
        <v>14683</v>
      </c>
      <c r="V15" s="1116">
        <v>14890</v>
      </c>
      <c r="W15" s="1116">
        <v>0</v>
      </c>
      <c r="X15" s="1116">
        <v>101840</v>
      </c>
      <c r="Y15" s="1116">
        <v>38673</v>
      </c>
      <c r="Z15" s="1116">
        <v>270118</v>
      </c>
      <c r="AA15" s="1116">
        <v>9550</v>
      </c>
      <c r="AB15" s="1116">
        <v>26545</v>
      </c>
      <c r="AC15" s="1116">
        <v>4831</v>
      </c>
      <c r="AD15" s="1116">
        <v>12329</v>
      </c>
      <c r="AE15" s="1116">
        <v>16556</v>
      </c>
      <c r="AF15" s="1116">
        <v>40138</v>
      </c>
      <c r="AG15" s="1116">
        <v>6431</v>
      </c>
      <c r="AH15" s="1116">
        <v>24584</v>
      </c>
      <c r="AI15" s="1116">
        <v>21103</v>
      </c>
      <c r="AJ15" s="1116">
        <v>11087</v>
      </c>
      <c r="AK15" s="1116">
        <v>9067</v>
      </c>
      <c r="AL15" s="1116">
        <v>11873</v>
      </c>
      <c r="AM15" s="1116">
        <v>11469</v>
      </c>
      <c r="AN15" s="1116">
        <v>13973</v>
      </c>
      <c r="AO15" s="1116">
        <v>38225</v>
      </c>
      <c r="AP15" s="1116">
        <v>59033</v>
      </c>
      <c r="AQ15" s="1116">
        <v>0</v>
      </c>
      <c r="AR15" s="1116">
        <v>0</v>
      </c>
      <c r="AS15" s="1116">
        <v>0</v>
      </c>
      <c r="AT15" s="1116">
        <v>0</v>
      </c>
      <c r="AU15" s="1116">
        <v>0</v>
      </c>
      <c r="AV15" s="1116">
        <v>0</v>
      </c>
      <c r="AW15" s="1116">
        <v>73671</v>
      </c>
      <c r="AX15" s="1116">
        <v>0</v>
      </c>
      <c r="AY15" s="1116">
        <v>0</v>
      </c>
      <c r="AZ15" s="1116">
        <v>0</v>
      </c>
      <c r="BA15" s="1116">
        <v>0</v>
      </c>
      <c r="BB15" s="1116">
        <v>0</v>
      </c>
      <c r="BC15" s="1116">
        <v>107151</v>
      </c>
      <c r="BD15" s="1117"/>
      <c r="BE15" s="1117"/>
      <c r="BF15" s="1117"/>
      <c r="BG15" s="1117"/>
      <c r="BH15" s="1117"/>
      <c r="BI15" s="1117"/>
      <c r="BJ15" s="1117"/>
      <c r="BK15" s="1117"/>
      <c r="BL15" s="1117"/>
      <c r="BM15" s="1117"/>
      <c r="BN15" s="1117"/>
      <c r="BO15" s="1117"/>
      <c r="BP15" s="1117"/>
      <c r="BQ15" s="1117"/>
      <c r="BR15" s="1117"/>
      <c r="BS15" s="1117"/>
      <c r="BT15" s="1117"/>
      <c r="BU15" s="1117"/>
      <c r="BV15" s="1117"/>
      <c r="BW15" s="1117"/>
      <c r="BX15" s="1117"/>
      <c r="BY15" s="1117"/>
      <c r="BZ15" s="1117"/>
      <c r="CA15" s="1117"/>
      <c r="CB15" s="1117"/>
      <c r="CC15" s="1117"/>
      <c r="CD15" s="1117"/>
      <c r="CE15" s="1117"/>
      <c r="CF15" s="1117"/>
      <c r="CG15" s="1117"/>
      <c r="CH15" s="1117"/>
      <c r="CI15" s="1118"/>
      <c r="CJ15" s="1097"/>
    </row>
    <row r="16" spans="1:88" ht="16.5" thickBot="1">
      <c r="A16" s="1099"/>
      <c r="B16" s="1119"/>
      <c r="C16" s="1120"/>
      <c r="D16" s="1121"/>
      <c r="E16" s="1121"/>
      <c r="F16" s="1121"/>
      <c r="CI16" s="1097"/>
      <c r="CJ16" s="1097"/>
    </row>
    <row r="17" spans="1:88" ht="16.5" thickBot="1">
      <c r="A17" s="1099"/>
      <c r="B17" s="3037" t="s">
        <v>177</v>
      </c>
      <c r="C17" s="1182" t="s">
        <v>7092</v>
      </c>
      <c r="D17" s="1121"/>
      <c r="E17" s="1121"/>
      <c r="F17" s="1121"/>
      <c r="CI17" s="1097"/>
      <c r="CJ17" s="1097"/>
    </row>
    <row r="18" spans="1:88" ht="15.75">
      <c r="A18" s="1099"/>
      <c r="B18" s="1000" t="s">
        <v>7093</v>
      </c>
      <c r="C18" s="1132" t="s">
        <v>7094</v>
      </c>
      <c r="D18" s="1002" t="s">
        <v>7095</v>
      </c>
      <c r="E18" s="1002" t="s">
        <v>1655</v>
      </c>
      <c r="F18" s="1003">
        <v>0</v>
      </c>
      <c r="G18" s="2269">
        <v>76</v>
      </c>
      <c r="H18" s="2269">
        <v>32</v>
      </c>
      <c r="I18" s="2269">
        <v>321</v>
      </c>
      <c r="J18" s="2269">
        <v>0</v>
      </c>
      <c r="K18" s="2269">
        <v>396</v>
      </c>
      <c r="L18" s="2269">
        <v>40</v>
      </c>
      <c r="M18" s="2269">
        <v>130</v>
      </c>
      <c r="N18" s="2269">
        <v>109</v>
      </c>
      <c r="O18" s="2269">
        <v>19</v>
      </c>
      <c r="P18" s="2269">
        <v>22</v>
      </c>
      <c r="Q18" s="2269">
        <v>160</v>
      </c>
      <c r="R18" s="2269">
        <v>15</v>
      </c>
      <c r="S18" s="2269">
        <v>30</v>
      </c>
      <c r="T18" s="2269">
        <v>0</v>
      </c>
      <c r="U18" s="2269">
        <v>21</v>
      </c>
      <c r="V18" s="2269">
        <v>26</v>
      </c>
      <c r="W18" s="2269">
        <v>0</v>
      </c>
      <c r="X18" s="2269">
        <v>335</v>
      </c>
      <c r="Y18" s="2269">
        <v>35</v>
      </c>
      <c r="Z18" s="2269">
        <v>301</v>
      </c>
      <c r="AA18" s="2269">
        <v>27</v>
      </c>
      <c r="AB18" s="2269">
        <v>42</v>
      </c>
      <c r="AC18" s="2269">
        <v>39</v>
      </c>
      <c r="AD18" s="2269">
        <v>27</v>
      </c>
      <c r="AE18" s="2269">
        <v>13</v>
      </c>
      <c r="AF18" s="2269">
        <v>116</v>
      </c>
      <c r="AG18" s="2269">
        <v>21</v>
      </c>
      <c r="AH18" s="2269">
        <v>82</v>
      </c>
      <c r="AI18" s="2269">
        <v>72</v>
      </c>
      <c r="AJ18" s="2269">
        <v>22</v>
      </c>
      <c r="AK18" s="2269">
        <v>52</v>
      </c>
      <c r="AL18" s="2269">
        <v>22</v>
      </c>
      <c r="AM18" s="2269">
        <v>26</v>
      </c>
      <c r="AN18" s="2269">
        <v>34</v>
      </c>
      <c r="AO18" s="2269">
        <v>86</v>
      </c>
      <c r="AP18" s="2269">
        <v>184</v>
      </c>
      <c r="AQ18" s="2269">
        <v>0</v>
      </c>
      <c r="AR18" s="2269">
        <v>0</v>
      </c>
      <c r="AS18" s="2269">
        <v>0</v>
      </c>
      <c r="AT18" s="2269">
        <v>0</v>
      </c>
      <c r="AU18" s="2269">
        <v>0</v>
      </c>
      <c r="AV18" s="2269">
        <v>0</v>
      </c>
      <c r="AW18" s="2269">
        <v>6</v>
      </c>
      <c r="AX18" s="2269">
        <v>0</v>
      </c>
      <c r="AY18" s="2269">
        <v>0</v>
      </c>
      <c r="AZ18" s="2269">
        <v>0</v>
      </c>
      <c r="BA18" s="2269">
        <v>0</v>
      </c>
      <c r="BB18" s="2269">
        <v>0</v>
      </c>
      <c r="BC18" s="2269">
        <v>40</v>
      </c>
      <c r="BD18" s="2269"/>
      <c r="BE18" s="2269"/>
      <c r="BF18" s="2269"/>
      <c r="BG18" s="2269"/>
      <c r="BH18" s="2269"/>
      <c r="BI18" s="2269"/>
      <c r="BJ18" s="2269"/>
      <c r="BK18" s="2269"/>
      <c r="BL18" s="2269"/>
      <c r="BM18" s="2269"/>
      <c r="BN18" s="2269"/>
      <c r="BO18" s="2269"/>
      <c r="BP18" s="2269"/>
      <c r="BQ18" s="2269"/>
      <c r="BR18" s="2269"/>
      <c r="BS18" s="2269"/>
      <c r="BT18" s="2269"/>
      <c r="BU18" s="2269"/>
      <c r="BV18" s="2269"/>
      <c r="BW18" s="2269"/>
      <c r="BX18" s="2269"/>
      <c r="BY18" s="2269"/>
      <c r="BZ18" s="2269"/>
      <c r="CA18" s="2269"/>
      <c r="CB18" s="2269"/>
      <c r="CC18" s="2269"/>
      <c r="CD18" s="2269"/>
      <c r="CE18" s="2269"/>
      <c r="CF18" s="2269"/>
      <c r="CG18" s="2269"/>
      <c r="CH18" s="2269"/>
      <c r="CI18" s="2270"/>
      <c r="CJ18" s="1097"/>
    </row>
    <row r="19" spans="1:88" ht="15.75">
      <c r="A19" s="1097"/>
      <c r="B19" s="1065" t="s">
        <v>7096</v>
      </c>
      <c r="C19" s="1135" t="s">
        <v>7097</v>
      </c>
      <c r="D19" s="1136" t="s">
        <v>7098</v>
      </c>
      <c r="E19" s="1136" t="s">
        <v>1655</v>
      </c>
      <c r="F19" s="1137">
        <v>0</v>
      </c>
      <c r="G19" s="1112">
        <v>0</v>
      </c>
      <c r="H19" s="1112">
        <v>0</v>
      </c>
      <c r="I19" s="1112">
        <v>563</v>
      </c>
      <c r="J19" s="1112">
        <v>0</v>
      </c>
      <c r="K19" s="1112">
        <v>234</v>
      </c>
      <c r="L19" s="1112">
        <v>0</v>
      </c>
      <c r="M19" s="1112">
        <v>0</v>
      </c>
      <c r="N19" s="1112">
        <v>0</v>
      </c>
      <c r="O19" s="1112">
        <v>27</v>
      </c>
      <c r="P19" s="1112">
        <v>36</v>
      </c>
      <c r="Q19" s="1112">
        <v>0</v>
      </c>
      <c r="R19" s="1112">
        <v>0</v>
      </c>
      <c r="S19" s="1112">
        <v>0</v>
      </c>
      <c r="T19" s="1112">
        <v>0</v>
      </c>
      <c r="U19" s="1112">
        <v>0</v>
      </c>
      <c r="V19" s="1112">
        <v>0</v>
      </c>
      <c r="W19" s="1112">
        <v>0</v>
      </c>
      <c r="X19" s="1112">
        <v>0</v>
      </c>
      <c r="Y19" s="1112">
        <v>0</v>
      </c>
      <c r="Z19" s="1112">
        <v>25</v>
      </c>
      <c r="AA19" s="1112">
        <v>0</v>
      </c>
      <c r="AB19" s="1112">
        <v>0</v>
      </c>
      <c r="AC19" s="1112">
        <v>0</v>
      </c>
      <c r="AD19" s="1112">
        <v>0</v>
      </c>
      <c r="AE19" s="1112">
        <v>0</v>
      </c>
      <c r="AF19" s="1112">
        <v>0</v>
      </c>
      <c r="AG19" s="1112">
        <v>0</v>
      </c>
      <c r="AH19" s="1112">
        <v>136</v>
      </c>
      <c r="AI19" s="1112">
        <v>0</v>
      </c>
      <c r="AJ19" s="1112">
        <v>0</v>
      </c>
      <c r="AK19" s="1112">
        <v>0</v>
      </c>
      <c r="AL19" s="1112">
        <v>0</v>
      </c>
      <c r="AM19" s="1112">
        <v>0</v>
      </c>
      <c r="AN19" s="1112">
        <v>0</v>
      </c>
      <c r="AO19" s="1112">
        <v>0</v>
      </c>
      <c r="AP19" s="1112">
        <v>0</v>
      </c>
      <c r="AQ19" s="1112">
        <v>0</v>
      </c>
      <c r="AR19" s="1112">
        <v>0</v>
      </c>
      <c r="AS19" s="1112">
        <v>0</v>
      </c>
      <c r="AT19" s="1112">
        <v>0</v>
      </c>
      <c r="AU19" s="1112">
        <v>0</v>
      </c>
      <c r="AV19" s="1112">
        <v>0</v>
      </c>
      <c r="AW19" s="1112">
        <v>0</v>
      </c>
      <c r="AX19" s="1112">
        <v>0</v>
      </c>
      <c r="AY19" s="1112">
        <v>0</v>
      </c>
      <c r="AZ19" s="1112">
        <v>0</v>
      </c>
      <c r="BA19" s="1112">
        <v>0</v>
      </c>
      <c r="BB19" s="1112">
        <v>0</v>
      </c>
      <c r="BC19" s="1112">
        <v>0</v>
      </c>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2035"/>
      <c r="CI19" s="1110"/>
      <c r="CJ19" s="1097"/>
    </row>
    <row r="20" spans="1:88" ht="15.75">
      <c r="A20" s="1099"/>
      <c r="B20" s="1009" t="s">
        <v>7099</v>
      </c>
      <c r="C20" s="2038" t="s">
        <v>7100</v>
      </c>
      <c r="D20" s="2003" t="s">
        <v>7101</v>
      </c>
      <c r="E20" s="2003" t="s">
        <v>1655</v>
      </c>
      <c r="F20" s="1007">
        <v>0</v>
      </c>
      <c r="G20" s="1112">
        <v>1241</v>
      </c>
      <c r="H20" s="1112">
        <v>520</v>
      </c>
      <c r="I20" s="1112">
        <v>4649</v>
      </c>
      <c r="J20" s="1112">
        <v>0</v>
      </c>
      <c r="K20" s="1112">
        <v>6197</v>
      </c>
      <c r="L20" s="1112">
        <v>657</v>
      </c>
      <c r="M20" s="1112">
        <v>1620</v>
      </c>
      <c r="N20" s="1112">
        <v>1777</v>
      </c>
      <c r="O20" s="1112">
        <v>285</v>
      </c>
      <c r="P20" s="1112">
        <v>326</v>
      </c>
      <c r="Q20" s="1112">
        <v>2604</v>
      </c>
      <c r="R20" s="1112">
        <v>236</v>
      </c>
      <c r="S20" s="1112">
        <v>480</v>
      </c>
      <c r="T20" s="1112">
        <v>0</v>
      </c>
      <c r="U20" s="1112">
        <v>347</v>
      </c>
      <c r="V20" s="1112">
        <v>426</v>
      </c>
      <c r="W20" s="1112">
        <v>0</v>
      </c>
      <c r="X20" s="1112">
        <v>5444</v>
      </c>
      <c r="Y20" s="1112">
        <v>570</v>
      </c>
      <c r="Z20" s="1112">
        <v>4867</v>
      </c>
      <c r="AA20" s="1112">
        <v>441</v>
      </c>
      <c r="AB20" s="1112">
        <v>679</v>
      </c>
      <c r="AC20" s="1112">
        <v>637</v>
      </c>
      <c r="AD20" s="1112">
        <v>340</v>
      </c>
      <c r="AE20" s="1112">
        <v>216</v>
      </c>
      <c r="AF20" s="1112">
        <v>1889</v>
      </c>
      <c r="AG20" s="1112">
        <v>344</v>
      </c>
      <c r="AH20" s="1112">
        <v>1193</v>
      </c>
      <c r="AI20" s="1112">
        <v>1174</v>
      </c>
      <c r="AJ20" s="1112">
        <v>361</v>
      </c>
      <c r="AK20" s="1112">
        <v>842</v>
      </c>
      <c r="AL20" s="1112">
        <v>353</v>
      </c>
      <c r="AM20" s="1112">
        <v>429</v>
      </c>
      <c r="AN20" s="1112">
        <v>552</v>
      </c>
      <c r="AO20" s="1112">
        <v>1395</v>
      </c>
      <c r="AP20" s="1112">
        <v>2996</v>
      </c>
      <c r="AQ20" s="1112">
        <v>0</v>
      </c>
      <c r="AR20" s="1112">
        <v>0</v>
      </c>
      <c r="AS20" s="1112">
        <v>0</v>
      </c>
      <c r="AT20" s="1112">
        <v>0</v>
      </c>
      <c r="AU20" s="1112">
        <v>0</v>
      </c>
      <c r="AV20" s="1112">
        <v>0</v>
      </c>
      <c r="AW20" s="1112">
        <v>70</v>
      </c>
      <c r="AX20" s="1112">
        <v>0</v>
      </c>
      <c r="AY20" s="1112">
        <v>0</v>
      </c>
      <c r="AZ20" s="1112">
        <v>0</v>
      </c>
      <c r="BA20" s="1112">
        <v>0</v>
      </c>
      <c r="BB20" s="1112">
        <v>0</v>
      </c>
      <c r="BC20" s="1112">
        <v>495</v>
      </c>
      <c r="BD20" s="1112"/>
      <c r="BE20" s="1112"/>
      <c r="BF20" s="1112"/>
      <c r="BG20" s="1112"/>
      <c r="BH20" s="1112"/>
      <c r="BI20" s="1112"/>
      <c r="BJ20" s="1112"/>
      <c r="BK20" s="1112"/>
      <c r="BL20" s="1112"/>
      <c r="BM20" s="1112"/>
      <c r="BN20" s="1112"/>
      <c r="BO20" s="1112"/>
      <c r="BP20" s="1112"/>
      <c r="BQ20" s="1112"/>
      <c r="BR20" s="1112"/>
      <c r="BS20" s="1112"/>
      <c r="BT20" s="1112"/>
      <c r="BU20" s="1112"/>
      <c r="BV20" s="1112"/>
      <c r="BW20" s="1112"/>
      <c r="BX20" s="1112"/>
      <c r="BY20" s="1112"/>
      <c r="BZ20" s="1112"/>
      <c r="CA20" s="1112"/>
      <c r="CB20" s="1112"/>
      <c r="CC20" s="1112"/>
      <c r="CD20" s="1112"/>
      <c r="CE20" s="1112"/>
      <c r="CF20" s="1112"/>
      <c r="CG20" s="2037"/>
      <c r="CH20" s="1112"/>
      <c r="CI20" s="1124"/>
      <c r="CJ20" s="1097"/>
    </row>
    <row r="21" spans="1:88" ht="15.75">
      <c r="A21" s="1099"/>
      <c r="B21" s="1006" t="s">
        <v>7102</v>
      </c>
      <c r="C21" s="1122" t="s">
        <v>7103</v>
      </c>
      <c r="D21" s="1201" t="s">
        <v>7101</v>
      </c>
      <c r="E21" s="1201" t="s">
        <v>1655</v>
      </c>
      <c r="F21" s="2036">
        <v>0</v>
      </c>
      <c r="G21" s="1114">
        <f>G18+G19+G20</f>
        <v>1317</v>
      </c>
      <c r="H21" s="1114">
        <f t="shared" ref="H21:BS21" si="2">H18+H19+H20</f>
        <v>552</v>
      </c>
      <c r="I21" s="1114">
        <f t="shared" si="2"/>
        <v>5533</v>
      </c>
      <c r="J21" s="1114">
        <f t="shared" si="2"/>
        <v>0</v>
      </c>
      <c r="K21" s="1114">
        <f t="shared" si="2"/>
        <v>6827</v>
      </c>
      <c r="L21" s="1114">
        <f t="shared" si="2"/>
        <v>697</v>
      </c>
      <c r="M21" s="1114">
        <f t="shared" si="2"/>
        <v>1750</v>
      </c>
      <c r="N21" s="1114">
        <f t="shared" si="2"/>
        <v>1886</v>
      </c>
      <c r="O21" s="1114">
        <f t="shared" si="2"/>
        <v>331</v>
      </c>
      <c r="P21" s="1114">
        <f t="shared" si="2"/>
        <v>384</v>
      </c>
      <c r="Q21" s="1114">
        <f t="shared" si="2"/>
        <v>2764</v>
      </c>
      <c r="R21" s="1114">
        <f t="shared" si="2"/>
        <v>251</v>
      </c>
      <c r="S21" s="1114">
        <f t="shared" si="2"/>
        <v>510</v>
      </c>
      <c r="T21" s="1114">
        <f t="shared" si="2"/>
        <v>0</v>
      </c>
      <c r="U21" s="1114">
        <f t="shared" si="2"/>
        <v>368</v>
      </c>
      <c r="V21" s="1114">
        <f t="shared" si="2"/>
        <v>452</v>
      </c>
      <c r="W21" s="1114">
        <f t="shared" si="2"/>
        <v>0</v>
      </c>
      <c r="X21" s="1114">
        <f t="shared" si="2"/>
        <v>5779</v>
      </c>
      <c r="Y21" s="1114">
        <f t="shared" si="2"/>
        <v>605</v>
      </c>
      <c r="Z21" s="1114">
        <f t="shared" si="2"/>
        <v>5193</v>
      </c>
      <c r="AA21" s="1114">
        <f t="shared" si="2"/>
        <v>468</v>
      </c>
      <c r="AB21" s="1114">
        <f t="shared" si="2"/>
        <v>721</v>
      </c>
      <c r="AC21" s="1114">
        <f t="shared" si="2"/>
        <v>676</v>
      </c>
      <c r="AD21" s="1114">
        <f t="shared" si="2"/>
        <v>367</v>
      </c>
      <c r="AE21" s="1114">
        <f t="shared" si="2"/>
        <v>229</v>
      </c>
      <c r="AF21" s="1114">
        <f t="shared" si="2"/>
        <v>2005</v>
      </c>
      <c r="AG21" s="1114">
        <f t="shared" si="2"/>
        <v>365</v>
      </c>
      <c r="AH21" s="1114">
        <f t="shared" si="2"/>
        <v>1411</v>
      </c>
      <c r="AI21" s="1114">
        <f t="shared" si="2"/>
        <v>1246</v>
      </c>
      <c r="AJ21" s="1114">
        <f t="shared" si="2"/>
        <v>383</v>
      </c>
      <c r="AK21" s="1114">
        <f t="shared" si="2"/>
        <v>894</v>
      </c>
      <c r="AL21" s="1114">
        <f t="shared" si="2"/>
        <v>375</v>
      </c>
      <c r="AM21" s="1114">
        <f t="shared" si="2"/>
        <v>455</v>
      </c>
      <c r="AN21" s="1114">
        <f t="shared" si="2"/>
        <v>586</v>
      </c>
      <c r="AO21" s="1114">
        <f t="shared" si="2"/>
        <v>1481</v>
      </c>
      <c r="AP21" s="1114">
        <f t="shared" si="2"/>
        <v>3180</v>
      </c>
      <c r="AQ21" s="1114">
        <f t="shared" si="2"/>
        <v>0</v>
      </c>
      <c r="AR21" s="1114">
        <f t="shared" si="2"/>
        <v>0</v>
      </c>
      <c r="AS21" s="1114">
        <f t="shared" si="2"/>
        <v>0</v>
      </c>
      <c r="AT21" s="1114">
        <f t="shared" si="2"/>
        <v>0</v>
      </c>
      <c r="AU21" s="1114">
        <f t="shared" si="2"/>
        <v>0</v>
      </c>
      <c r="AV21" s="1114">
        <f t="shared" si="2"/>
        <v>0</v>
      </c>
      <c r="AW21" s="1114">
        <f t="shared" si="2"/>
        <v>76</v>
      </c>
      <c r="AX21" s="1114">
        <f t="shared" si="2"/>
        <v>0</v>
      </c>
      <c r="AY21" s="1114">
        <f t="shared" si="2"/>
        <v>0</v>
      </c>
      <c r="AZ21" s="1114">
        <f t="shared" si="2"/>
        <v>0</v>
      </c>
      <c r="BA21" s="1114">
        <f t="shared" si="2"/>
        <v>0</v>
      </c>
      <c r="BB21" s="1114">
        <f t="shared" si="2"/>
        <v>0</v>
      </c>
      <c r="BC21" s="1114">
        <f t="shared" si="2"/>
        <v>535</v>
      </c>
      <c r="BD21" s="1114">
        <f t="shared" si="2"/>
        <v>0</v>
      </c>
      <c r="BE21" s="1114">
        <f t="shared" si="2"/>
        <v>0</v>
      </c>
      <c r="BF21" s="1114">
        <f t="shared" si="2"/>
        <v>0</v>
      </c>
      <c r="BG21" s="1114">
        <f t="shared" si="2"/>
        <v>0</v>
      </c>
      <c r="BH21" s="1114">
        <f t="shared" si="2"/>
        <v>0</v>
      </c>
      <c r="BI21" s="1114">
        <f t="shared" si="2"/>
        <v>0</v>
      </c>
      <c r="BJ21" s="1114">
        <f t="shared" si="2"/>
        <v>0</v>
      </c>
      <c r="BK21" s="1114">
        <f t="shared" si="2"/>
        <v>0</v>
      </c>
      <c r="BL21" s="1114">
        <f t="shared" si="2"/>
        <v>0</v>
      </c>
      <c r="BM21" s="1114">
        <f t="shared" si="2"/>
        <v>0</v>
      </c>
      <c r="BN21" s="1114">
        <f t="shared" si="2"/>
        <v>0</v>
      </c>
      <c r="BO21" s="1114">
        <f t="shared" si="2"/>
        <v>0</v>
      </c>
      <c r="BP21" s="1114">
        <f t="shared" si="2"/>
        <v>0</v>
      </c>
      <c r="BQ21" s="1114">
        <f t="shared" si="2"/>
        <v>0</v>
      </c>
      <c r="BR21" s="1114">
        <f t="shared" si="2"/>
        <v>0</v>
      </c>
      <c r="BS21" s="1114">
        <f t="shared" si="2"/>
        <v>0</v>
      </c>
      <c r="BT21" s="1114">
        <f t="shared" ref="BT21:CH21" si="3">BT18+BT19+BT20</f>
        <v>0</v>
      </c>
      <c r="BU21" s="1114">
        <f t="shared" si="3"/>
        <v>0</v>
      </c>
      <c r="BV21" s="1114">
        <f t="shared" si="3"/>
        <v>0</v>
      </c>
      <c r="BW21" s="1114">
        <f t="shared" si="3"/>
        <v>0</v>
      </c>
      <c r="BX21" s="1114">
        <f t="shared" si="3"/>
        <v>0</v>
      </c>
      <c r="BY21" s="1114">
        <f t="shared" si="3"/>
        <v>0</v>
      </c>
      <c r="BZ21" s="1114">
        <f t="shared" si="3"/>
        <v>0</v>
      </c>
      <c r="CA21" s="1114">
        <f t="shared" si="3"/>
        <v>0</v>
      </c>
      <c r="CB21" s="1114">
        <f t="shared" si="3"/>
        <v>0</v>
      </c>
      <c r="CC21" s="1114">
        <f t="shared" si="3"/>
        <v>0</v>
      </c>
      <c r="CD21" s="1114">
        <f t="shared" si="3"/>
        <v>0</v>
      </c>
      <c r="CE21" s="1114">
        <f t="shared" si="3"/>
        <v>0</v>
      </c>
      <c r="CF21" s="1114">
        <f t="shared" si="3"/>
        <v>0</v>
      </c>
      <c r="CG21" s="1114">
        <f t="shared" si="3"/>
        <v>0</v>
      </c>
      <c r="CH21" s="1114">
        <f t="shared" si="3"/>
        <v>0</v>
      </c>
      <c r="CI21" s="1203"/>
      <c r="CJ21" s="1097"/>
    </row>
    <row r="22" spans="1:88" ht="15.75">
      <c r="A22" s="1099"/>
      <c r="B22" s="1009" t="s">
        <v>7104</v>
      </c>
      <c r="C22" s="1010" t="s">
        <v>7105</v>
      </c>
      <c r="D22" s="2003" t="s">
        <v>7106</v>
      </c>
      <c r="E22" s="2003" t="s">
        <v>1655</v>
      </c>
      <c r="F22" s="1007">
        <v>0</v>
      </c>
      <c r="G22" s="1112">
        <v>168</v>
      </c>
      <c r="H22" s="1112">
        <v>71</v>
      </c>
      <c r="I22" s="1112">
        <v>707</v>
      </c>
      <c r="J22" s="1112">
        <v>0</v>
      </c>
      <c r="K22" s="1112">
        <v>873</v>
      </c>
      <c r="L22" s="1112">
        <v>89</v>
      </c>
      <c r="M22" s="1112">
        <v>286</v>
      </c>
      <c r="N22" s="1112">
        <v>241</v>
      </c>
      <c r="O22" s="1112">
        <v>42</v>
      </c>
      <c r="P22" s="1112">
        <v>49</v>
      </c>
      <c r="Q22" s="1112">
        <v>353</v>
      </c>
      <c r="R22" s="1112">
        <v>32</v>
      </c>
      <c r="S22" s="1112">
        <v>65</v>
      </c>
      <c r="T22" s="1112">
        <v>0</v>
      </c>
      <c r="U22" s="1112">
        <v>47</v>
      </c>
      <c r="V22" s="1112">
        <v>58</v>
      </c>
      <c r="W22" s="1112">
        <v>0</v>
      </c>
      <c r="X22" s="1112">
        <v>739</v>
      </c>
      <c r="Y22" s="1112">
        <v>77</v>
      </c>
      <c r="Z22" s="1112">
        <v>664</v>
      </c>
      <c r="AA22" s="1112">
        <v>60</v>
      </c>
      <c r="AB22" s="1112">
        <v>92</v>
      </c>
      <c r="AC22" s="1112">
        <v>86</v>
      </c>
      <c r="AD22" s="1112">
        <v>60</v>
      </c>
      <c r="AE22" s="1112">
        <v>29</v>
      </c>
      <c r="AF22" s="1112">
        <v>256</v>
      </c>
      <c r="AG22" s="1112">
        <v>47</v>
      </c>
      <c r="AH22" s="1112">
        <v>180</v>
      </c>
      <c r="AI22" s="1112">
        <v>159</v>
      </c>
      <c r="AJ22" s="1112">
        <v>49</v>
      </c>
      <c r="AK22" s="1112">
        <v>114</v>
      </c>
      <c r="AL22" s="1112">
        <v>48</v>
      </c>
      <c r="AM22" s="1112">
        <v>58</v>
      </c>
      <c r="AN22" s="1112">
        <v>75</v>
      </c>
      <c r="AO22" s="1112">
        <v>189</v>
      </c>
      <c r="AP22" s="1112">
        <v>407</v>
      </c>
      <c r="AQ22" s="1112">
        <v>0</v>
      </c>
      <c r="AR22" s="1112">
        <v>0</v>
      </c>
      <c r="AS22" s="1112">
        <v>0</v>
      </c>
      <c r="AT22" s="1112">
        <v>0</v>
      </c>
      <c r="AU22" s="1112">
        <v>0</v>
      </c>
      <c r="AV22" s="1112">
        <v>0</v>
      </c>
      <c r="AW22" s="1112">
        <v>12</v>
      </c>
      <c r="AX22" s="1112">
        <v>0</v>
      </c>
      <c r="AY22" s="1112">
        <v>0</v>
      </c>
      <c r="AZ22" s="1112">
        <v>0</v>
      </c>
      <c r="BA22" s="1112">
        <v>0</v>
      </c>
      <c r="BB22" s="1112">
        <v>0</v>
      </c>
      <c r="BC22" s="1112">
        <v>87</v>
      </c>
      <c r="BD22" s="1112"/>
      <c r="BE22" s="1112"/>
      <c r="BF22" s="1112"/>
      <c r="BG22" s="1112"/>
      <c r="BH22" s="1112"/>
      <c r="BI22" s="1112"/>
      <c r="BJ22" s="1112"/>
      <c r="BK22" s="1112"/>
      <c r="BL22" s="1112"/>
      <c r="BM22" s="1112"/>
      <c r="BN22" s="1112"/>
      <c r="BO22" s="1112"/>
      <c r="BP22" s="1112"/>
      <c r="BQ22" s="1112"/>
      <c r="BR22" s="1112"/>
      <c r="BS22" s="1112"/>
      <c r="BT22" s="1112"/>
      <c r="BU22" s="1112"/>
      <c r="BV22" s="1112"/>
      <c r="BW22" s="1112"/>
      <c r="BX22" s="1112"/>
      <c r="BY22" s="1112"/>
      <c r="BZ22" s="1112"/>
      <c r="CA22" s="1112"/>
      <c r="CB22" s="1112"/>
      <c r="CC22" s="1112"/>
      <c r="CD22" s="1112"/>
      <c r="CE22" s="1112"/>
      <c r="CF22" s="1112"/>
      <c r="CG22" s="1112"/>
      <c r="CH22" s="1112"/>
      <c r="CI22" s="1124"/>
      <c r="CJ22" s="1097"/>
    </row>
    <row r="23" spans="1:88" ht="16.5" thickBot="1">
      <c r="A23" s="1099"/>
      <c r="B23" s="1014" t="s">
        <v>7107</v>
      </c>
      <c r="C23" s="1115" t="s">
        <v>7108</v>
      </c>
      <c r="D23" s="1016" t="s">
        <v>7109</v>
      </c>
      <c r="E23" s="1016" t="s">
        <v>1655</v>
      </c>
      <c r="F23" s="1017">
        <v>0</v>
      </c>
      <c r="G23" s="2271">
        <f t="shared" ref="G23:BR23" si="4">G21+G22</f>
        <v>1485</v>
      </c>
      <c r="H23" s="2271">
        <f t="shared" si="4"/>
        <v>623</v>
      </c>
      <c r="I23" s="2271">
        <f t="shared" si="4"/>
        <v>6240</v>
      </c>
      <c r="J23" s="2271">
        <f t="shared" si="4"/>
        <v>0</v>
      </c>
      <c r="K23" s="2271">
        <f t="shared" si="4"/>
        <v>7700</v>
      </c>
      <c r="L23" s="2271">
        <f t="shared" si="4"/>
        <v>786</v>
      </c>
      <c r="M23" s="2271">
        <f t="shared" si="4"/>
        <v>2036</v>
      </c>
      <c r="N23" s="2271">
        <f t="shared" si="4"/>
        <v>2127</v>
      </c>
      <c r="O23" s="2271">
        <f t="shared" si="4"/>
        <v>373</v>
      </c>
      <c r="P23" s="2271">
        <f t="shared" si="4"/>
        <v>433</v>
      </c>
      <c r="Q23" s="2271">
        <f t="shared" si="4"/>
        <v>3117</v>
      </c>
      <c r="R23" s="2271">
        <f t="shared" si="4"/>
        <v>283</v>
      </c>
      <c r="S23" s="2271">
        <f t="shared" si="4"/>
        <v>575</v>
      </c>
      <c r="T23" s="2271">
        <f t="shared" si="4"/>
        <v>0</v>
      </c>
      <c r="U23" s="2271">
        <f t="shared" si="4"/>
        <v>415</v>
      </c>
      <c r="V23" s="2271">
        <f t="shared" si="4"/>
        <v>510</v>
      </c>
      <c r="W23" s="2271">
        <f t="shared" si="4"/>
        <v>0</v>
      </c>
      <c r="X23" s="2271">
        <f t="shared" si="4"/>
        <v>6518</v>
      </c>
      <c r="Y23" s="2271">
        <f t="shared" si="4"/>
        <v>682</v>
      </c>
      <c r="Z23" s="2271">
        <f t="shared" si="4"/>
        <v>5857</v>
      </c>
      <c r="AA23" s="2271">
        <f t="shared" si="4"/>
        <v>528</v>
      </c>
      <c r="AB23" s="2271">
        <f t="shared" si="4"/>
        <v>813</v>
      </c>
      <c r="AC23" s="2271">
        <f t="shared" si="4"/>
        <v>762</v>
      </c>
      <c r="AD23" s="2271">
        <f t="shared" si="4"/>
        <v>427</v>
      </c>
      <c r="AE23" s="2271">
        <f t="shared" si="4"/>
        <v>258</v>
      </c>
      <c r="AF23" s="2271">
        <f t="shared" si="4"/>
        <v>2261</v>
      </c>
      <c r="AG23" s="2271">
        <f t="shared" si="4"/>
        <v>412</v>
      </c>
      <c r="AH23" s="2271">
        <f t="shared" si="4"/>
        <v>1591</v>
      </c>
      <c r="AI23" s="2271">
        <f t="shared" si="4"/>
        <v>1405</v>
      </c>
      <c r="AJ23" s="2271">
        <f t="shared" si="4"/>
        <v>432</v>
      </c>
      <c r="AK23" s="2271">
        <f t="shared" si="4"/>
        <v>1008</v>
      </c>
      <c r="AL23" s="2271">
        <f t="shared" si="4"/>
        <v>423</v>
      </c>
      <c r="AM23" s="2271">
        <f t="shared" si="4"/>
        <v>513</v>
      </c>
      <c r="AN23" s="2271">
        <f t="shared" si="4"/>
        <v>661</v>
      </c>
      <c r="AO23" s="2271">
        <f t="shared" si="4"/>
        <v>1670</v>
      </c>
      <c r="AP23" s="2271">
        <f t="shared" si="4"/>
        <v>3587</v>
      </c>
      <c r="AQ23" s="2271">
        <f t="shared" si="4"/>
        <v>0</v>
      </c>
      <c r="AR23" s="2271">
        <f t="shared" si="4"/>
        <v>0</v>
      </c>
      <c r="AS23" s="2271">
        <f t="shared" si="4"/>
        <v>0</v>
      </c>
      <c r="AT23" s="2271">
        <f t="shared" si="4"/>
        <v>0</v>
      </c>
      <c r="AU23" s="2271">
        <f t="shared" si="4"/>
        <v>0</v>
      </c>
      <c r="AV23" s="2271">
        <f t="shared" si="4"/>
        <v>0</v>
      </c>
      <c r="AW23" s="2271">
        <f t="shared" si="4"/>
        <v>88</v>
      </c>
      <c r="AX23" s="2271">
        <f t="shared" si="4"/>
        <v>0</v>
      </c>
      <c r="AY23" s="2271">
        <f t="shared" si="4"/>
        <v>0</v>
      </c>
      <c r="AZ23" s="2271">
        <f t="shared" si="4"/>
        <v>0</v>
      </c>
      <c r="BA23" s="2271">
        <f t="shared" si="4"/>
        <v>0</v>
      </c>
      <c r="BB23" s="2271">
        <f t="shared" si="4"/>
        <v>0</v>
      </c>
      <c r="BC23" s="2271">
        <f t="shared" si="4"/>
        <v>622</v>
      </c>
      <c r="BD23" s="2271">
        <f t="shared" si="4"/>
        <v>0</v>
      </c>
      <c r="BE23" s="2271">
        <f t="shared" si="4"/>
        <v>0</v>
      </c>
      <c r="BF23" s="2271">
        <f t="shared" si="4"/>
        <v>0</v>
      </c>
      <c r="BG23" s="2271">
        <f t="shared" si="4"/>
        <v>0</v>
      </c>
      <c r="BH23" s="2271">
        <f t="shared" si="4"/>
        <v>0</v>
      </c>
      <c r="BI23" s="2271">
        <f t="shared" si="4"/>
        <v>0</v>
      </c>
      <c r="BJ23" s="2271">
        <f t="shared" si="4"/>
        <v>0</v>
      </c>
      <c r="BK23" s="2271">
        <f t="shared" si="4"/>
        <v>0</v>
      </c>
      <c r="BL23" s="2271">
        <f t="shared" si="4"/>
        <v>0</v>
      </c>
      <c r="BM23" s="2271">
        <f t="shared" si="4"/>
        <v>0</v>
      </c>
      <c r="BN23" s="2271">
        <f t="shared" si="4"/>
        <v>0</v>
      </c>
      <c r="BO23" s="2271">
        <f t="shared" si="4"/>
        <v>0</v>
      </c>
      <c r="BP23" s="2271">
        <f t="shared" si="4"/>
        <v>0</v>
      </c>
      <c r="BQ23" s="2271">
        <f t="shared" si="4"/>
        <v>0</v>
      </c>
      <c r="BR23" s="2271">
        <f t="shared" si="4"/>
        <v>0</v>
      </c>
      <c r="BS23" s="2271">
        <f t="shared" ref="BS23:CH23" si="5">BS21+BS22</f>
        <v>0</v>
      </c>
      <c r="BT23" s="2271">
        <f t="shared" si="5"/>
        <v>0</v>
      </c>
      <c r="BU23" s="2271">
        <f t="shared" si="5"/>
        <v>0</v>
      </c>
      <c r="BV23" s="2271">
        <f t="shared" si="5"/>
        <v>0</v>
      </c>
      <c r="BW23" s="2271">
        <f t="shared" si="5"/>
        <v>0</v>
      </c>
      <c r="BX23" s="2271">
        <f t="shared" si="5"/>
        <v>0</v>
      </c>
      <c r="BY23" s="2271">
        <f t="shared" si="5"/>
        <v>0</v>
      </c>
      <c r="BZ23" s="2271">
        <f t="shared" si="5"/>
        <v>0</v>
      </c>
      <c r="CA23" s="2271">
        <f t="shared" si="5"/>
        <v>0</v>
      </c>
      <c r="CB23" s="2271">
        <f t="shared" si="5"/>
        <v>0</v>
      </c>
      <c r="CC23" s="2271">
        <f t="shared" si="5"/>
        <v>0</v>
      </c>
      <c r="CD23" s="2271">
        <f t="shared" si="5"/>
        <v>0</v>
      </c>
      <c r="CE23" s="2271">
        <f t="shared" si="5"/>
        <v>0</v>
      </c>
      <c r="CF23" s="2271">
        <f t="shared" si="5"/>
        <v>0</v>
      </c>
      <c r="CG23" s="2271">
        <f t="shared" si="5"/>
        <v>0</v>
      </c>
      <c r="CH23" s="2271">
        <f t="shared" si="5"/>
        <v>0</v>
      </c>
      <c r="CI23" s="1118"/>
      <c r="CJ23" s="1097"/>
    </row>
    <row r="24" spans="1:88"/>
    <row r="25" spans="1:88" ht="15.75">
      <c r="A25" s="1097"/>
      <c r="B25" s="3051" t="s">
        <v>243</v>
      </c>
      <c r="C25" s="3052"/>
    </row>
    <row r="26" spans="1:88" ht="15.75">
      <c r="A26" s="1097"/>
    </row>
    <row r="27" spans="1:88" ht="15.75">
      <c r="A27" s="1097"/>
      <c r="B27" s="958"/>
      <c r="C27" s="1125" t="s">
        <v>190</v>
      </c>
    </row>
    <row r="28" spans="1:88" ht="15.75">
      <c r="A28" s="1097"/>
      <c r="B28" s="1126"/>
      <c r="C28" s="957"/>
    </row>
    <row r="29" spans="1:88" ht="15.75">
      <c r="A29" s="1097"/>
      <c r="B29" s="960"/>
      <c r="C29" s="1125" t="s">
        <v>5294</v>
      </c>
      <c r="E29" s="1097"/>
      <c r="F29" s="1097"/>
      <c r="G29" s="1097"/>
      <c r="H29" s="1097"/>
      <c r="I29" s="1097"/>
      <c r="J29" s="1097"/>
      <c r="K29" s="1097"/>
      <c r="L29" s="1097"/>
      <c r="M29" s="1097"/>
      <c r="N29" s="1097"/>
      <c r="O29" s="1097"/>
      <c r="P29" s="1097"/>
      <c r="Q29" s="1097"/>
      <c r="R29" s="1097"/>
      <c r="S29" s="1097"/>
      <c r="T29" s="1097"/>
      <c r="U29" s="1097"/>
      <c r="V29" s="1097"/>
      <c r="W29" s="1097"/>
      <c r="X29" s="1097"/>
      <c r="Y29" s="1097"/>
      <c r="Z29" s="1097"/>
      <c r="AA29" s="1097"/>
      <c r="AB29" s="1097"/>
      <c r="AC29" s="1097"/>
      <c r="AD29" s="1097"/>
      <c r="AE29" s="1097"/>
      <c r="AF29" s="1097"/>
      <c r="AG29" s="1097"/>
      <c r="AH29" s="1097"/>
      <c r="AI29" s="1097"/>
      <c r="AJ29" s="1097"/>
      <c r="AK29" s="1097"/>
      <c r="AL29" s="1097"/>
      <c r="AM29" s="1097"/>
      <c r="AN29" s="1097"/>
      <c r="AO29" s="1097"/>
      <c r="AP29" s="1097"/>
      <c r="AQ29" s="1097"/>
      <c r="AR29" s="1097"/>
      <c r="AS29" s="1097"/>
      <c r="AT29" s="1097"/>
      <c r="AU29" s="1097"/>
      <c r="AV29" s="1097"/>
      <c r="AW29" s="1097"/>
      <c r="AX29" s="1097"/>
      <c r="AY29" s="1097"/>
      <c r="AZ29" s="1097"/>
      <c r="BA29" s="1097"/>
      <c r="BB29" s="1097"/>
      <c r="BC29" s="1097"/>
      <c r="BD29" s="1097"/>
      <c r="BE29" s="1097"/>
      <c r="BF29" s="1097"/>
      <c r="BG29" s="1097"/>
      <c r="BH29" s="1097"/>
      <c r="BI29" s="1097"/>
      <c r="BJ29" s="1097"/>
      <c r="BK29" s="1097"/>
      <c r="BL29" s="1097"/>
      <c r="BM29" s="1097"/>
      <c r="BN29" s="1097"/>
      <c r="BO29" s="1097"/>
      <c r="BP29" s="1097"/>
      <c r="BQ29" s="1097"/>
      <c r="BR29" s="1097"/>
      <c r="BS29" s="1097"/>
      <c r="BT29" s="1097"/>
      <c r="BU29" s="1097"/>
      <c r="BV29" s="1097"/>
      <c r="BW29" s="1097"/>
      <c r="BX29" s="1097"/>
      <c r="BY29" s="1097"/>
      <c r="BZ29" s="1097"/>
      <c r="CA29" s="1097"/>
      <c r="CB29" s="1097"/>
      <c r="CC29" s="1097"/>
      <c r="CD29" s="1097"/>
      <c r="CE29" s="1097"/>
      <c r="CF29" s="1097"/>
      <c r="CG29" s="1097"/>
      <c r="CH29" s="1097"/>
      <c r="CI29" s="1097"/>
      <c r="CJ29" s="1097"/>
    </row>
    <row r="30" spans="1:88" ht="15.75">
      <c r="A30" s="1097"/>
      <c r="B30" s="1097"/>
      <c r="C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097"/>
      <c r="BF30" s="1097"/>
      <c r="BG30" s="1097"/>
      <c r="BH30" s="1097"/>
      <c r="BI30" s="1097"/>
      <c r="BJ30" s="1097"/>
      <c r="BK30" s="1097"/>
      <c r="BL30" s="1097"/>
      <c r="BM30" s="1097"/>
      <c r="BN30" s="1097"/>
      <c r="BO30" s="1097"/>
      <c r="BP30" s="1097"/>
      <c r="BQ30" s="1097"/>
      <c r="BR30" s="1097"/>
      <c r="BS30" s="1097"/>
      <c r="BT30" s="1097"/>
      <c r="BU30" s="1097"/>
      <c r="BV30" s="1097"/>
      <c r="BW30" s="1097"/>
      <c r="BX30" s="1097"/>
      <c r="BY30" s="1097"/>
      <c r="BZ30" s="1097"/>
      <c r="CA30" s="1097"/>
      <c r="CB30" s="1097"/>
      <c r="CC30" s="1097"/>
      <c r="CD30" s="1097"/>
      <c r="CE30" s="1097"/>
      <c r="CF30" s="1097"/>
      <c r="CG30" s="1097"/>
      <c r="CH30" s="1097"/>
      <c r="CI30" s="1097"/>
      <c r="CJ30" s="1097"/>
    </row>
    <row r="31" spans="1:88" ht="16.5" thickBot="1">
      <c r="A31" s="1097"/>
      <c r="B31" s="1097"/>
      <c r="C31" s="1097"/>
      <c r="D31" s="1097"/>
      <c r="E31" s="1097"/>
      <c r="F31" s="1097"/>
      <c r="G31" s="1097"/>
      <c r="H31" s="1097"/>
      <c r="I31" s="1097"/>
      <c r="J31" s="1097"/>
      <c r="K31" s="1097"/>
      <c r="L31" s="1097"/>
      <c r="M31" s="1097"/>
      <c r="N31" s="1097"/>
      <c r="O31" s="1097"/>
      <c r="P31" s="1097"/>
      <c r="Q31" s="1097"/>
      <c r="R31" s="1097"/>
      <c r="S31" s="1097"/>
      <c r="T31" s="1097"/>
      <c r="U31" s="1097"/>
      <c r="V31" s="1097"/>
      <c r="W31" s="1097"/>
      <c r="X31" s="1097"/>
      <c r="Y31" s="1097"/>
      <c r="Z31" s="1097"/>
      <c r="AA31" s="1097"/>
      <c r="AB31" s="1097"/>
      <c r="AC31" s="1097"/>
      <c r="AD31" s="1097"/>
      <c r="AE31" s="1097"/>
      <c r="AF31" s="1097"/>
      <c r="AG31" s="1097"/>
      <c r="AH31" s="1097"/>
      <c r="AI31" s="1097"/>
      <c r="AJ31" s="1097"/>
      <c r="AK31" s="1097"/>
      <c r="AL31" s="1097"/>
      <c r="AM31" s="1097"/>
      <c r="AN31" s="1097"/>
      <c r="AO31" s="1097"/>
      <c r="AP31" s="1097"/>
      <c r="AQ31" s="1097"/>
      <c r="AR31" s="1097"/>
      <c r="AS31" s="1097"/>
      <c r="AT31" s="1097"/>
      <c r="AU31" s="1097"/>
      <c r="AV31" s="1097"/>
      <c r="AW31" s="1097"/>
      <c r="AX31" s="1097"/>
      <c r="AY31" s="1097"/>
      <c r="AZ31" s="1097"/>
      <c r="BA31" s="1097"/>
      <c r="BB31" s="1097"/>
      <c r="BC31" s="1097"/>
      <c r="BD31" s="1097"/>
      <c r="BE31" s="1097"/>
      <c r="BF31" s="1097"/>
      <c r="BG31" s="1097"/>
      <c r="BH31" s="1097"/>
      <c r="BI31" s="1097"/>
      <c r="BJ31" s="1097"/>
      <c r="BK31" s="1097"/>
      <c r="BL31" s="1097"/>
      <c r="BM31" s="1097"/>
      <c r="BN31" s="1097"/>
      <c r="BO31" s="1097"/>
      <c r="BP31" s="1097"/>
      <c r="BQ31" s="1097"/>
      <c r="BR31" s="1097"/>
      <c r="BS31" s="1097"/>
      <c r="BT31" s="1097"/>
      <c r="BU31" s="1097"/>
      <c r="BV31" s="1097"/>
      <c r="BW31" s="1097"/>
      <c r="BX31" s="1097"/>
      <c r="BY31" s="1097"/>
      <c r="BZ31" s="1097"/>
      <c r="CA31" s="1097"/>
      <c r="CB31" s="1097"/>
      <c r="CC31" s="1097"/>
      <c r="CD31" s="1097"/>
      <c r="CE31" s="1097"/>
      <c r="CF31" s="1097"/>
      <c r="CG31" s="1097"/>
      <c r="CH31" s="1097"/>
      <c r="CI31" s="1097"/>
      <c r="CJ31" s="1097"/>
    </row>
    <row r="32" spans="1:88" ht="16.5" thickBot="1">
      <c r="A32" s="1097"/>
      <c r="B32" s="3053" t="s">
        <v>192</v>
      </c>
      <c r="C32" s="961"/>
      <c r="D32" s="962"/>
      <c r="E32" s="962"/>
      <c r="F32" s="962"/>
      <c r="G32" s="962"/>
      <c r="H32" s="962"/>
      <c r="I32" s="962"/>
      <c r="J32" s="963"/>
      <c r="K32" s="1097"/>
      <c r="L32" s="1097"/>
      <c r="M32" s="1097"/>
      <c r="N32" s="1097"/>
      <c r="O32" s="1097"/>
      <c r="P32" s="1097"/>
      <c r="Q32" s="1097"/>
      <c r="R32" s="1097"/>
      <c r="S32" s="1097"/>
      <c r="T32" s="1097"/>
      <c r="U32" s="1097"/>
      <c r="V32" s="1097"/>
      <c r="W32" s="1097"/>
      <c r="X32" s="1097"/>
      <c r="Y32" s="1097"/>
      <c r="Z32" s="1097"/>
      <c r="AA32" s="1097"/>
      <c r="AB32" s="1097"/>
      <c r="AC32" s="1097"/>
      <c r="AD32" s="1097"/>
      <c r="AE32" s="1097"/>
      <c r="AF32" s="1097"/>
      <c r="AG32" s="1097"/>
      <c r="AH32" s="1097"/>
      <c r="AI32" s="1097"/>
      <c r="AJ32" s="1097"/>
      <c r="AK32" s="1097"/>
      <c r="AL32" s="1097"/>
      <c r="AM32" s="1097"/>
      <c r="AN32" s="1097"/>
      <c r="AO32" s="1097"/>
      <c r="AP32" s="1097"/>
      <c r="AQ32" s="1097"/>
      <c r="AR32" s="1097"/>
      <c r="AS32" s="1097"/>
      <c r="AT32" s="1097"/>
      <c r="AU32" s="1097"/>
      <c r="AV32" s="1097"/>
      <c r="AW32" s="1097"/>
      <c r="AX32" s="1097"/>
      <c r="AY32" s="1097"/>
      <c r="AZ32" s="1097"/>
      <c r="BA32" s="1097"/>
      <c r="BB32" s="1097"/>
      <c r="BC32" s="1097"/>
      <c r="BD32" s="1097"/>
      <c r="BE32" s="1097"/>
      <c r="BF32" s="1097"/>
      <c r="BG32" s="1097"/>
      <c r="BH32" s="1097"/>
      <c r="BI32" s="1097"/>
      <c r="BJ32" s="1097"/>
      <c r="BK32" s="1097"/>
      <c r="BL32" s="1097"/>
      <c r="BM32" s="1097"/>
      <c r="BN32" s="1097"/>
      <c r="BO32" s="1097"/>
      <c r="BP32" s="1097"/>
      <c r="BQ32" s="1097"/>
      <c r="BR32" s="1097"/>
      <c r="BS32" s="1097"/>
      <c r="BT32" s="1097"/>
      <c r="BU32" s="1097"/>
      <c r="BV32" s="1097"/>
      <c r="BW32" s="1097"/>
      <c r="BX32" s="1097"/>
      <c r="BY32" s="1097"/>
      <c r="BZ32" s="1097"/>
      <c r="CA32" s="1097"/>
      <c r="CB32" s="1097"/>
      <c r="CC32" s="1097"/>
      <c r="CD32" s="1097"/>
      <c r="CE32" s="1097"/>
      <c r="CF32" s="1097"/>
      <c r="CG32" s="1097"/>
      <c r="CH32" s="1097"/>
      <c r="CI32" s="1097"/>
      <c r="CJ32" s="1097"/>
    </row>
    <row r="33" spans="1:88" ht="16.5" thickBot="1">
      <c r="A33" s="1097"/>
      <c r="B33" s="1097"/>
      <c r="C33" s="1097"/>
      <c r="D33" s="1097"/>
      <c r="E33" s="1097"/>
      <c r="F33" s="1097"/>
      <c r="G33" s="1097"/>
      <c r="H33" s="1097"/>
      <c r="I33" s="1097"/>
      <c r="J33" s="1097"/>
      <c r="K33" s="1097"/>
      <c r="L33" s="1097"/>
      <c r="M33" s="1097"/>
      <c r="N33" s="1097"/>
      <c r="O33" s="1097"/>
      <c r="P33" s="1097"/>
      <c r="Q33" s="1097"/>
      <c r="R33" s="1097"/>
      <c r="S33" s="1097"/>
      <c r="T33" s="1097"/>
      <c r="U33" s="1097"/>
      <c r="V33" s="1097"/>
      <c r="W33" s="1097"/>
      <c r="X33" s="1097"/>
      <c r="Y33" s="1097"/>
      <c r="Z33" s="1097"/>
      <c r="AA33" s="1097"/>
      <c r="AB33" s="1097"/>
      <c r="AC33" s="1097"/>
      <c r="AD33" s="1097"/>
      <c r="AE33" s="1097"/>
      <c r="AF33" s="1097"/>
      <c r="AG33" s="1097"/>
      <c r="AH33" s="1097"/>
      <c r="AI33" s="1097"/>
      <c r="AJ33" s="1097"/>
      <c r="AK33" s="1097"/>
      <c r="AL33" s="1097"/>
      <c r="AM33" s="1097"/>
      <c r="AN33" s="1097"/>
      <c r="AO33" s="1097"/>
      <c r="AP33" s="1097"/>
      <c r="AQ33" s="1097"/>
      <c r="AR33" s="1097"/>
      <c r="AS33" s="1097"/>
      <c r="AT33" s="1097"/>
      <c r="AU33" s="1097"/>
      <c r="AV33" s="1097"/>
      <c r="AW33" s="1097"/>
      <c r="AX33" s="1097"/>
      <c r="AY33" s="1097"/>
      <c r="AZ33" s="1097"/>
      <c r="BA33" s="1097"/>
      <c r="BB33" s="1097"/>
      <c r="BC33" s="1097"/>
      <c r="BD33" s="1097"/>
      <c r="BE33" s="1097"/>
      <c r="BF33" s="1097"/>
      <c r="BG33" s="1097"/>
      <c r="BH33" s="1097"/>
      <c r="BI33" s="1097"/>
      <c r="BJ33" s="1097"/>
      <c r="BK33" s="1097"/>
      <c r="BL33" s="1097"/>
      <c r="BM33" s="1097"/>
      <c r="BN33" s="1097"/>
      <c r="BO33" s="1097"/>
      <c r="BP33" s="1097"/>
      <c r="BQ33" s="1097"/>
      <c r="BR33" s="1097"/>
      <c r="BS33" s="1097"/>
      <c r="BT33" s="1097"/>
      <c r="BU33" s="1097"/>
      <c r="BV33" s="1097"/>
      <c r="BW33" s="1097"/>
      <c r="BX33" s="1097"/>
      <c r="BY33" s="1097"/>
      <c r="BZ33" s="1097"/>
      <c r="CA33" s="1097"/>
      <c r="CB33" s="1097"/>
      <c r="CC33" s="1097"/>
      <c r="CD33" s="1097"/>
      <c r="CE33" s="1097"/>
      <c r="CF33" s="1097"/>
      <c r="CG33" s="1097"/>
      <c r="CH33" s="1097"/>
      <c r="CI33" s="1097"/>
      <c r="CJ33" s="1097"/>
    </row>
    <row r="34" spans="1:88" ht="82.5" customHeight="1" thickBot="1">
      <c r="A34" s="1097"/>
      <c r="B34" s="3197" t="s">
        <v>7110</v>
      </c>
      <c r="C34" s="3454"/>
      <c r="D34" s="3454"/>
      <c r="E34" s="3454"/>
      <c r="F34" s="3454"/>
      <c r="G34" s="3454"/>
      <c r="H34" s="3454"/>
      <c r="I34" s="3454"/>
      <c r="J34" s="3455"/>
      <c r="K34" s="1097"/>
      <c r="L34" s="1097"/>
      <c r="M34" s="1097"/>
      <c r="N34" s="1097"/>
      <c r="O34" s="1097"/>
      <c r="P34" s="1097"/>
      <c r="Q34" s="1097"/>
      <c r="R34" s="1097"/>
      <c r="S34" s="1097"/>
      <c r="T34" s="1097"/>
      <c r="U34" s="1097"/>
      <c r="V34" s="1097"/>
      <c r="W34" s="1097"/>
      <c r="X34" s="1097"/>
      <c r="Y34" s="1097"/>
      <c r="Z34" s="1097"/>
      <c r="AA34" s="1097"/>
      <c r="AB34" s="1097"/>
      <c r="AC34" s="1097"/>
      <c r="AD34" s="1097"/>
      <c r="AE34" s="1097"/>
      <c r="AF34" s="1097"/>
      <c r="AG34" s="1097"/>
      <c r="AH34" s="1097"/>
      <c r="AI34" s="1097"/>
      <c r="AJ34" s="1097"/>
      <c r="AK34" s="1097"/>
      <c r="AL34" s="1097"/>
      <c r="AM34" s="1097"/>
      <c r="AN34" s="1097"/>
      <c r="AO34" s="1097"/>
      <c r="AP34" s="1097"/>
      <c r="AQ34" s="1097"/>
      <c r="AR34" s="1097"/>
      <c r="AS34" s="1097"/>
      <c r="AT34" s="1097"/>
      <c r="AU34" s="1097"/>
      <c r="AV34" s="1097"/>
      <c r="AW34" s="1097"/>
      <c r="AX34" s="1097"/>
      <c r="AY34" s="1097"/>
      <c r="AZ34" s="1097"/>
      <c r="BA34" s="1097"/>
      <c r="BB34" s="1097"/>
      <c r="BC34" s="1097"/>
      <c r="BD34" s="1097"/>
      <c r="BE34" s="1097"/>
      <c r="BF34" s="1097"/>
      <c r="BG34" s="1097"/>
      <c r="BH34" s="1097"/>
      <c r="BI34" s="1097"/>
      <c r="BJ34" s="1097"/>
      <c r="BK34" s="1097"/>
      <c r="BL34" s="1097"/>
      <c r="BM34" s="1097"/>
      <c r="BN34" s="1097"/>
      <c r="BO34" s="1097"/>
      <c r="BP34" s="1097"/>
      <c r="BQ34" s="1097"/>
      <c r="BR34" s="1097"/>
      <c r="BS34" s="1097"/>
      <c r="BT34" s="1097"/>
      <c r="BU34" s="1097"/>
      <c r="BV34" s="1097"/>
      <c r="BW34" s="1097"/>
      <c r="BX34" s="1097"/>
      <c r="BY34" s="1097"/>
      <c r="BZ34" s="1097"/>
      <c r="CA34" s="1097"/>
      <c r="CB34" s="1097"/>
      <c r="CC34" s="1097"/>
      <c r="CD34" s="1097"/>
      <c r="CE34" s="1097"/>
      <c r="CF34" s="1097"/>
      <c r="CG34" s="1097"/>
      <c r="CH34" s="1097"/>
      <c r="CI34" s="1097"/>
      <c r="CJ34" s="1097"/>
    </row>
    <row r="35" spans="1:88" ht="15.75">
      <c r="A35" s="1097"/>
      <c r="B35" s="1097"/>
      <c r="C35" s="1097"/>
      <c r="D35" s="1097"/>
      <c r="E35" s="1097"/>
      <c r="F35" s="1097"/>
      <c r="G35" s="1097"/>
      <c r="H35" s="1097"/>
      <c r="I35" s="1097"/>
      <c r="J35" s="1097"/>
      <c r="K35" s="1097"/>
      <c r="L35" s="1097"/>
      <c r="M35" s="1097"/>
      <c r="N35" s="1097"/>
      <c r="O35" s="1097"/>
      <c r="P35" s="1097"/>
      <c r="Q35" s="1097"/>
      <c r="R35" s="1097"/>
      <c r="S35" s="1097"/>
      <c r="T35" s="1097"/>
      <c r="U35" s="1097"/>
      <c r="V35" s="1097"/>
      <c r="W35" s="1097"/>
      <c r="X35" s="1097"/>
      <c r="Y35" s="1097"/>
      <c r="Z35" s="1097"/>
      <c r="AA35" s="1097"/>
      <c r="AB35" s="1097"/>
      <c r="AC35" s="1097"/>
      <c r="AD35" s="1097"/>
      <c r="AE35" s="1097"/>
      <c r="AF35" s="1097"/>
      <c r="AG35" s="1097"/>
      <c r="AH35" s="1097"/>
      <c r="AI35" s="1097"/>
      <c r="AJ35" s="1097"/>
      <c r="AK35" s="1097"/>
      <c r="AL35" s="1097"/>
      <c r="AM35" s="1097"/>
      <c r="AN35" s="1097"/>
      <c r="AO35" s="1097"/>
      <c r="AP35" s="1097"/>
      <c r="AQ35" s="1097"/>
      <c r="AR35" s="1097"/>
      <c r="AS35" s="1097"/>
      <c r="AT35" s="1097"/>
      <c r="AU35" s="1097"/>
      <c r="AV35" s="1097"/>
      <c r="AW35" s="1097"/>
      <c r="AX35" s="1097"/>
      <c r="AY35" s="1097"/>
      <c r="AZ35" s="1097"/>
      <c r="BA35" s="1097"/>
      <c r="BB35" s="1097"/>
      <c r="BC35" s="1097"/>
      <c r="BD35" s="1097"/>
      <c r="BE35" s="1097"/>
      <c r="BF35" s="1097"/>
      <c r="BG35" s="1097"/>
      <c r="BH35" s="1097"/>
      <c r="BI35" s="1097"/>
      <c r="BJ35" s="1097"/>
      <c r="BK35" s="1097"/>
      <c r="BL35" s="1097"/>
      <c r="BM35" s="1097"/>
      <c r="BN35" s="1097"/>
      <c r="BO35" s="1097"/>
      <c r="BP35" s="1097"/>
      <c r="BQ35" s="1097"/>
      <c r="BR35" s="1097"/>
      <c r="BS35" s="1097"/>
      <c r="BT35" s="1097"/>
      <c r="BU35" s="1097"/>
      <c r="BV35" s="1097"/>
      <c r="BW35" s="1097"/>
      <c r="BX35" s="1097"/>
      <c r="BY35" s="1097"/>
      <c r="BZ35" s="1097"/>
      <c r="CA35" s="1097"/>
      <c r="CB35" s="1097"/>
      <c r="CC35" s="1097"/>
      <c r="CD35" s="1097"/>
      <c r="CE35" s="1097"/>
      <c r="CF35" s="1097"/>
      <c r="CG35" s="1097"/>
      <c r="CH35" s="1097"/>
      <c r="CI35" s="1097"/>
      <c r="CJ35" s="1097"/>
    </row>
    <row r="36" spans="1:88" ht="15.75">
      <c r="A36" s="1097"/>
      <c r="B36" s="1100"/>
      <c r="C36" s="1100"/>
      <c r="D36" s="1100"/>
      <c r="E36" s="1100"/>
      <c r="F36" s="1100"/>
      <c r="G36" s="1100"/>
      <c r="H36" s="1100"/>
      <c r="I36" s="1097"/>
      <c r="J36" s="1097"/>
      <c r="K36" s="1097"/>
      <c r="L36" s="1097"/>
      <c r="M36" s="1097"/>
      <c r="N36" s="1097"/>
      <c r="O36" s="1097"/>
      <c r="P36" s="1097"/>
      <c r="Q36" s="1097"/>
      <c r="R36" s="1097"/>
      <c r="S36" s="1097"/>
      <c r="T36" s="1097"/>
      <c r="U36" s="1097"/>
      <c r="V36" s="1097"/>
      <c r="W36" s="1097"/>
      <c r="X36" s="1097"/>
      <c r="Y36" s="1097"/>
      <c r="Z36" s="1097"/>
      <c r="AA36" s="1097"/>
      <c r="AB36" s="1097"/>
      <c r="AC36" s="1097"/>
      <c r="AD36" s="1097"/>
      <c r="AE36" s="1097"/>
      <c r="AF36" s="1097"/>
      <c r="AG36" s="1097"/>
      <c r="AH36" s="1097"/>
      <c r="AI36" s="1097"/>
      <c r="AJ36" s="1097"/>
      <c r="AK36" s="1097"/>
      <c r="AL36" s="1097"/>
      <c r="AM36" s="1097"/>
      <c r="AN36" s="1097"/>
      <c r="AO36" s="1097"/>
      <c r="AP36" s="1097"/>
      <c r="AQ36" s="1097"/>
      <c r="AR36" s="1097"/>
      <c r="AS36" s="1097"/>
      <c r="AT36" s="1097"/>
      <c r="AU36" s="1097"/>
      <c r="AV36" s="1097"/>
      <c r="AW36" s="1097"/>
      <c r="AX36" s="1097"/>
      <c r="AY36" s="1097"/>
      <c r="AZ36" s="1097"/>
      <c r="BA36" s="1097"/>
      <c r="BB36" s="1097"/>
      <c r="BC36" s="1097"/>
      <c r="BD36" s="1097"/>
      <c r="BE36" s="1097"/>
      <c r="BF36" s="1097"/>
      <c r="BG36" s="1097"/>
      <c r="BH36" s="1097"/>
      <c r="BI36" s="1097"/>
      <c r="BJ36" s="1097"/>
      <c r="BK36" s="1097"/>
      <c r="BL36" s="1097"/>
      <c r="BM36" s="1097"/>
      <c r="BN36" s="1097"/>
      <c r="BO36" s="1097"/>
      <c r="BP36" s="1097"/>
      <c r="BQ36" s="1097"/>
      <c r="BR36" s="1097"/>
      <c r="BS36" s="1097"/>
      <c r="BT36" s="1097"/>
      <c r="BU36" s="1097"/>
      <c r="BV36" s="1097"/>
      <c r="BW36" s="1097"/>
      <c r="BX36" s="1097"/>
      <c r="BY36" s="1097"/>
      <c r="BZ36" s="1097"/>
      <c r="CA36" s="1097"/>
      <c r="CB36" s="1097"/>
      <c r="CC36" s="1097"/>
      <c r="CD36" s="1097"/>
      <c r="CE36" s="1097"/>
      <c r="CF36" s="1097"/>
      <c r="CG36" s="1097"/>
      <c r="CH36" s="1097"/>
      <c r="CI36" s="1097"/>
      <c r="CJ36" s="1097"/>
    </row>
    <row r="37" spans="1:88" ht="15.75">
      <c r="A37" s="1097"/>
      <c r="B37" s="3051" t="s">
        <v>5313</v>
      </c>
      <c r="C37" s="1126"/>
      <c r="D37" s="1126"/>
      <c r="E37" s="1126"/>
      <c r="F37" s="1100"/>
      <c r="G37" s="1100"/>
      <c r="H37" s="1100"/>
      <c r="I37" s="1097"/>
      <c r="J37" s="1097"/>
      <c r="K37" s="1097"/>
      <c r="L37" s="1097"/>
      <c r="M37" s="1097"/>
      <c r="N37" s="1097"/>
      <c r="O37" s="1097"/>
      <c r="P37" s="1097"/>
      <c r="Q37" s="1097"/>
      <c r="R37" s="1097"/>
      <c r="S37" s="1097"/>
      <c r="T37" s="1097"/>
      <c r="U37" s="1097"/>
      <c r="V37" s="1097"/>
      <c r="W37" s="1097"/>
      <c r="X37" s="1097"/>
      <c r="Y37" s="1097"/>
      <c r="Z37" s="1097"/>
      <c r="AA37" s="1097"/>
      <c r="AB37" s="1097"/>
      <c r="AC37" s="1097"/>
      <c r="AD37" s="1097"/>
      <c r="AE37" s="1097"/>
      <c r="AF37" s="1097"/>
      <c r="AG37" s="1097"/>
      <c r="AH37" s="1097"/>
      <c r="AI37" s="1097"/>
      <c r="AJ37" s="1097"/>
      <c r="AK37" s="1097"/>
      <c r="AL37" s="1097"/>
      <c r="AM37" s="1097"/>
      <c r="AN37" s="1097"/>
      <c r="AO37" s="1097"/>
      <c r="AP37" s="1097"/>
      <c r="AQ37" s="1097"/>
      <c r="AR37" s="1097"/>
      <c r="AS37" s="1097"/>
      <c r="AT37" s="1097"/>
      <c r="AU37" s="1097"/>
      <c r="AV37" s="1097"/>
      <c r="AW37" s="1097"/>
      <c r="AX37" s="1097"/>
      <c r="AY37" s="1097"/>
      <c r="AZ37" s="1097"/>
      <c r="BA37" s="1097"/>
      <c r="BB37" s="1097"/>
      <c r="BC37" s="1097"/>
      <c r="BD37" s="1097"/>
      <c r="BE37" s="1097"/>
      <c r="BF37" s="1097"/>
      <c r="BG37" s="1097"/>
      <c r="BH37" s="1097"/>
      <c r="BI37" s="1097"/>
      <c r="BJ37" s="1097"/>
      <c r="BK37" s="1097"/>
      <c r="BL37" s="1097"/>
      <c r="BM37" s="1097"/>
      <c r="BN37" s="1097"/>
      <c r="BO37" s="1097"/>
      <c r="BP37" s="1097"/>
      <c r="BQ37" s="1097"/>
      <c r="BR37" s="1097"/>
      <c r="BS37" s="1097"/>
      <c r="BT37" s="1097"/>
      <c r="BU37" s="1097"/>
      <c r="BV37" s="1097"/>
      <c r="BW37" s="1097"/>
      <c r="BX37" s="1097"/>
      <c r="BY37" s="1097"/>
      <c r="BZ37" s="1097"/>
      <c r="CA37" s="1097"/>
      <c r="CB37" s="1097"/>
      <c r="CC37" s="1097"/>
      <c r="CD37" s="1097"/>
      <c r="CE37" s="1097"/>
      <c r="CF37" s="1097"/>
      <c r="CG37" s="1097"/>
      <c r="CH37" s="1097"/>
      <c r="CI37" s="1097"/>
      <c r="CJ37" s="1097"/>
    </row>
    <row r="38" spans="1:88" ht="16.5" thickBot="1">
      <c r="A38" s="1097"/>
      <c r="B38" s="1126"/>
      <c r="C38" s="1126"/>
      <c r="D38" s="1126"/>
      <c r="E38" s="1126"/>
      <c r="F38" s="1100"/>
      <c r="G38" s="1100"/>
      <c r="H38" s="1100"/>
      <c r="I38" s="1097"/>
      <c r="J38" s="1097"/>
      <c r="K38" s="1097"/>
      <c r="L38" s="1097"/>
      <c r="M38" s="1097"/>
      <c r="N38" s="1097"/>
      <c r="O38" s="1097"/>
      <c r="P38" s="1097"/>
      <c r="Q38" s="1097"/>
      <c r="R38" s="1097"/>
      <c r="S38" s="1097"/>
      <c r="T38" s="1097"/>
      <c r="U38" s="1097"/>
      <c r="V38" s="1097"/>
      <c r="W38" s="1097"/>
      <c r="X38" s="1097"/>
      <c r="Y38" s="1097"/>
      <c r="Z38" s="1097"/>
      <c r="AA38" s="1097"/>
      <c r="AB38" s="1097"/>
      <c r="AC38" s="1097"/>
      <c r="AD38" s="1097"/>
      <c r="AE38" s="1097"/>
      <c r="AF38" s="1097"/>
      <c r="AG38" s="1097"/>
      <c r="AH38" s="1097"/>
      <c r="AI38" s="1097"/>
      <c r="AJ38" s="1097"/>
      <c r="AK38" s="1097"/>
      <c r="AL38" s="1097"/>
      <c r="AM38" s="1097"/>
      <c r="AN38" s="1097"/>
      <c r="AO38" s="1097"/>
      <c r="AP38" s="1097"/>
      <c r="AQ38" s="1097"/>
      <c r="AR38" s="1097"/>
      <c r="AS38" s="1097"/>
      <c r="AT38" s="1097"/>
      <c r="AU38" s="1097"/>
      <c r="AV38" s="1097"/>
      <c r="AW38" s="1097"/>
      <c r="AX38" s="1097"/>
      <c r="AY38" s="1097"/>
      <c r="AZ38" s="1097"/>
      <c r="BA38" s="1097"/>
      <c r="BB38" s="1097"/>
      <c r="BC38" s="1097"/>
      <c r="BD38" s="1097"/>
      <c r="BE38" s="1097"/>
      <c r="BF38" s="1097"/>
      <c r="BG38" s="1097"/>
      <c r="BH38" s="1097"/>
      <c r="BI38" s="1097"/>
      <c r="BJ38" s="1097"/>
      <c r="BK38" s="1097"/>
      <c r="BL38" s="1097"/>
      <c r="BM38" s="1097"/>
      <c r="BN38" s="1097"/>
      <c r="BO38" s="1097"/>
      <c r="BP38" s="1097"/>
      <c r="BQ38" s="1097"/>
      <c r="BR38" s="1097"/>
      <c r="BS38" s="1097"/>
      <c r="BT38" s="1097"/>
      <c r="BU38" s="1097"/>
      <c r="BV38" s="1097"/>
      <c r="BW38" s="1097"/>
      <c r="BX38" s="1097"/>
      <c r="BY38" s="1097"/>
      <c r="BZ38" s="1097"/>
      <c r="CA38" s="1097"/>
      <c r="CB38" s="1097"/>
      <c r="CC38" s="1097"/>
      <c r="CD38" s="1097"/>
      <c r="CE38" s="1097"/>
      <c r="CF38" s="1097"/>
      <c r="CG38" s="1097"/>
      <c r="CH38" s="1097"/>
      <c r="CI38" s="1097"/>
      <c r="CJ38" s="1097"/>
    </row>
    <row r="39" spans="1:88" ht="18" customHeight="1" thickBot="1">
      <c r="A39" s="1097"/>
      <c r="B39" s="3472" t="s">
        <v>7111</v>
      </c>
      <c r="C39" s="3473"/>
      <c r="D39" s="3473"/>
      <c r="E39" s="3473"/>
      <c r="F39" s="3473"/>
      <c r="G39" s="3473"/>
      <c r="H39" s="3473"/>
      <c r="I39" s="3473"/>
      <c r="J39" s="3474"/>
      <c r="K39" s="1128"/>
      <c r="L39" s="1097"/>
      <c r="M39" s="1097"/>
      <c r="N39" s="1097"/>
      <c r="O39" s="1097"/>
      <c r="P39" s="1097"/>
      <c r="Q39" s="1097"/>
      <c r="R39" s="1097"/>
      <c r="S39" s="1097"/>
      <c r="T39" s="1097"/>
      <c r="U39" s="1097"/>
      <c r="V39" s="1097"/>
      <c r="W39" s="1097"/>
      <c r="X39" s="1097"/>
      <c r="Y39" s="1097"/>
      <c r="Z39" s="1097"/>
      <c r="AA39" s="1097"/>
      <c r="AB39" s="1097"/>
      <c r="AC39" s="1097"/>
      <c r="AD39" s="1097"/>
      <c r="AE39" s="1097"/>
      <c r="AF39" s="1097"/>
      <c r="AG39" s="1097"/>
      <c r="AH39" s="1097"/>
      <c r="AI39" s="1097"/>
      <c r="AJ39" s="1097"/>
      <c r="AK39" s="1097"/>
      <c r="AL39" s="1097"/>
      <c r="AM39" s="1097"/>
      <c r="AN39" s="1097"/>
      <c r="AO39" s="1097"/>
      <c r="AP39" s="1097"/>
      <c r="AQ39" s="1097"/>
      <c r="AR39" s="1097"/>
      <c r="AS39" s="1097"/>
      <c r="AT39" s="1097"/>
      <c r="AU39" s="1097"/>
      <c r="AV39" s="1097"/>
      <c r="AW39" s="1097"/>
      <c r="AX39" s="1097"/>
      <c r="AY39" s="1097"/>
      <c r="AZ39" s="1097"/>
      <c r="BA39" s="1097"/>
      <c r="BB39" s="1097"/>
      <c r="BC39" s="1097"/>
      <c r="BD39" s="1097"/>
      <c r="BE39" s="1097"/>
      <c r="BF39" s="1097"/>
      <c r="BG39" s="1097"/>
      <c r="BH39" s="1097"/>
      <c r="BI39" s="1097"/>
      <c r="BJ39" s="1097"/>
      <c r="BK39" s="1097"/>
      <c r="BL39" s="1097"/>
      <c r="BM39" s="1097"/>
      <c r="BN39" s="1097"/>
      <c r="BO39" s="1097"/>
      <c r="BP39" s="1097"/>
      <c r="BQ39" s="1097"/>
      <c r="BR39" s="1097"/>
      <c r="BS39" s="1097"/>
      <c r="BT39" s="1097"/>
      <c r="BU39" s="1097"/>
      <c r="BV39" s="1097"/>
      <c r="BW39" s="1097"/>
      <c r="BX39" s="1097"/>
      <c r="BY39" s="1097"/>
      <c r="BZ39" s="1097"/>
      <c r="CA39" s="1097"/>
      <c r="CB39" s="1097"/>
      <c r="CC39" s="1097"/>
      <c r="CD39" s="1097"/>
      <c r="CE39" s="1097"/>
      <c r="CF39" s="1097"/>
      <c r="CG39" s="1097"/>
      <c r="CH39" s="1097"/>
      <c r="CI39" s="1097"/>
      <c r="CJ39" s="1097"/>
    </row>
    <row r="40" spans="1:88" ht="16.5" thickBot="1">
      <c r="A40" s="1097"/>
      <c r="B40" s="1126"/>
      <c r="C40" s="1126"/>
      <c r="D40" s="1126"/>
      <c r="E40" s="1126"/>
      <c r="F40" s="1100"/>
      <c r="G40" s="1100"/>
      <c r="H40" s="1100"/>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K40" s="1097"/>
      <c r="AL40" s="1097"/>
      <c r="AM40" s="1097"/>
      <c r="AN40" s="1097"/>
      <c r="AO40" s="1097"/>
      <c r="AP40" s="1097"/>
      <c r="AQ40" s="1097"/>
      <c r="AR40" s="1097"/>
      <c r="AS40" s="1097"/>
      <c r="AT40" s="1097"/>
      <c r="AU40" s="1097"/>
      <c r="AV40" s="1097"/>
      <c r="AW40" s="1097"/>
      <c r="AX40" s="1097"/>
      <c r="AY40" s="1097"/>
      <c r="AZ40" s="1097"/>
      <c r="BA40" s="1097"/>
      <c r="BB40" s="1097"/>
      <c r="BC40" s="1097"/>
      <c r="BD40" s="1097"/>
      <c r="BE40" s="1097"/>
      <c r="BF40" s="1097"/>
      <c r="BG40" s="1097"/>
      <c r="BH40" s="1097"/>
      <c r="BI40" s="1097"/>
      <c r="BJ40" s="1097"/>
      <c r="BK40" s="1097"/>
      <c r="BL40" s="1097"/>
      <c r="BM40" s="1097"/>
      <c r="BN40" s="1097"/>
      <c r="BO40" s="1097"/>
      <c r="BP40" s="1097"/>
      <c r="BQ40" s="1097"/>
      <c r="BR40" s="1097"/>
      <c r="BS40" s="1097"/>
      <c r="BT40" s="1097"/>
      <c r="BU40" s="1097"/>
      <c r="BV40" s="1097"/>
      <c r="BW40" s="1097"/>
      <c r="BX40" s="1097"/>
      <c r="BY40" s="1097"/>
      <c r="BZ40" s="1097"/>
      <c r="CA40" s="1097"/>
      <c r="CB40" s="1097"/>
      <c r="CC40" s="1097"/>
      <c r="CD40" s="1097"/>
      <c r="CE40" s="1097"/>
      <c r="CF40" s="1097"/>
      <c r="CG40" s="1097"/>
      <c r="CH40" s="1097"/>
      <c r="CI40" s="1097"/>
      <c r="CJ40" s="1097"/>
    </row>
    <row r="41" spans="1:88" ht="22.7" customHeight="1" thickBot="1">
      <c r="A41" s="1097"/>
      <c r="B41" s="3448" t="s">
        <v>7112</v>
      </c>
      <c r="C41" s="3449"/>
      <c r="D41" s="3449"/>
      <c r="E41" s="3449"/>
      <c r="F41" s="3449"/>
      <c r="G41" s="3449"/>
      <c r="H41" s="3449"/>
      <c r="I41" s="3449"/>
      <c r="J41" s="3456"/>
      <c r="K41" s="1097"/>
      <c r="L41" s="1097"/>
      <c r="M41" s="1097"/>
      <c r="N41" s="1097"/>
      <c r="O41" s="1097"/>
      <c r="P41" s="1097"/>
      <c r="Q41" s="1097"/>
      <c r="R41" s="1097"/>
      <c r="S41" s="1097"/>
      <c r="T41" s="1097"/>
      <c r="U41" s="1097"/>
      <c r="V41" s="1097"/>
      <c r="W41" s="1097"/>
      <c r="X41" s="1097"/>
      <c r="Y41" s="1097"/>
      <c r="Z41" s="1097"/>
      <c r="AA41" s="1097"/>
      <c r="AB41" s="1097"/>
      <c r="AC41" s="1097"/>
      <c r="AD41" s="1097"/>
      <c r="AE41" s="1097"/>
      <c r="AF41" s="1097"/>
      <c r="AG41" s="1097"/>
      <c r="AH41" s="1097"/>
      <c r="AI41" s="1097"/>
      <c r="AJ41" s="1097"/>
      <c r="AK41" s="1097"/>
      <c r="AL41" s="1097"/>
      <c r="AM41" s="1097"/>
      <c r="AN41" s="1097"/>
      <c r="AO41" s="1097"/>
      <c r="AP41" s="1097"/>
      <c r="AQ41" s="1097"/>
      <c r="AR41" s="1097"/>
      <c r="AS41" s="1097"/>
      <c r="AT41" s="1097"/>
      <c r="AU41" s="1097"/>
      <c r="AV41" s="1097"/>
      <c r="AW41" s="1097"/>
      <c r="AX41" s="1097"/>
      <c r="AY41" s="1097"/>
      <c r="AZ41" s="1097"/>
      <c r="BA41" s="1097"/>
      <c r="BB41" s="1097"/>
      <c r="BC41" s="1097"/>
      <c r="BD41" s="1097"/>
      <c r="BE41" s="1097"/>
      <c r="BF41" s="1097"/>
      <c r="BG41" s="1097"/>
      <c r="BH41" s="1097"/>
      <c r="BI41" s="1097"/>
      <c r="BJ41" s="1097"/>
      <c r="BK41" s="1097"/>
      <c r="BL41" s="1097"/>
      <c r="BM41" s="1097"/>
      <c r="BN41" s="1097"/>
      <c r="BO41" s="1097"/>
      <c r="BP41" s="1097"/>
      <c r="BQ41" s="1097"/>
      <c r="BR41" s="1097"/>
      <c r="BS41" s="1097"/>
      <c r="BT41" s="1097"/>
      <c r="BU41" s="1097"/>
      <c r="BV41" s="1097"/>
      <c r="BW41" s="1097"/>
      <c r="BX41" s="1097"/>
      <c r="BY41" s="1097"/>
      <c r="BZ41" s="1097"/>
      <c r="CA41" s="1097"/>
      <c r="CB41" s="1097"/>
      <c r="CC41" s="1097"/>
      <c r="CD41" s="1097"/>
      <c r="CE41" s="1097"/>
      <c r="CF41" s="1097"/>
      <c r="CG41" s="1097"/>
      <c r="CH41" s="1097"/>
      <c r="CI41" s="1097"/>
      <c r="CJ41" s="1097"/>
    </row>
    <row r="42" spans="1:88" s="1131" customFormat="1" ht="16.5" thickBot="1">
      <c r="A42" s="1129"/>
      <c r="B42" s="1130"/>
      <c r="C42" s="1130"/>
      <c r="D42" s="1130"/>
      <c r="E42" s="1130"/>
      <c r="F42" s="1130"/>
      <c r="G42" s="1130"/>
      <c r="H42" s="1130"/>
      <c r="I42" s="1129"/>
      <c r="J42" s="1129"/>
      <c r="K42" s="1129"/>
      <c r="L42" s="1129"/>
      <c r="M42" s="1129"/>
      <c r="N42" s="1129"/>
      <c r="O42" s="1129"/>
      <c r="P42" s="1129"/>
      <c r="Q42" s="1129"/>
      <c r="R42" s="1129"/>
      <c r="S42" s="1129"/>
      <c r="T42" s="1129"/>
      <c r="U42" s="1129"/>
      <c r="V42" s="1129"/>
      <c r="W42" s="1129"/>
      <c r="X42" s="1129"/>
      <c r="Y42" s="1129"/>
      <c r="Z42" s="1129"/>
      <c r="AA42" s="1129"/>
      <c r="AB42" s="1129"/>
      <c r="AC42" s="1129"/>
      <c r="AD42" s="1129"/>
      <c r="AE42" s="1129"/>
      <c r="AF42" s="1129"/>
      <c r="AG42" s="1129"/>
      <c r="AH42" s="1129"/>
      <c r="AI42" s="1129"/>
      <c r="AJ42" s="1129"/>
      <c r="AK42" s="1129"/>
      <c r="AL42" s="1129"/>
      <c r="AM42" s="1129"/>
      <c r="AN42" s="1129"/>
      <c r="AO42" s="1129"/>
      <c r="AP42" s="1129"/>
      <c r="AQ42" s="1129"/>
      <c r="AR42" s="1129"/>
      <c r="AS42" s="1129"/>
      <c r="AT42" s="1129"/>
      <c r="AU42" s="1129"/>
      <c r="AV42" s="1129"/>
      <c r="AW42" s="1129"/>
      <c r="AX42" s="1129"/>
      <c r="AY42" s="1129"/>
      <c r="AZ42" s="1129"/>
      <c r="BA42" s="1129"/>
      <c r="BB42" s="1129"/>
      <c r="BC42" s="1129"/>
      <c r="BD42" s="1129"/>
      <c r="BE42" s="1129"/>
      <c r="BF42" s="1129"/>
      <c r="BG42" s="1129"/>
      <c r="BH42" s="1129"/>
      <c r="BI42" s="1129"/>
      <c r="BJ42" s="1129"/>
      <c r="BK42" s="1129"/>
      <c r="BL42" s="1129"/>
      <c r="BM42" s="1129"/>
      <c r="BN42" s="1129"/>
      <c r="BO42" s="1129"/>
      <c r="BP42" s="1129"/>
      <c r="BQ42" s="1129"/>
      <c r="BR42" s="1129"/>
      <c r="BS42" s="1129"/>
      <c r="BT42" s="1129"/>
      <c r="BU42" s="1129"/>
      <c r="BV42" s="1129"/>
      <c r="BW42" s="1129"/>
      <c r="BX42" s="1129"/>
      <c r="BY42" s="1129"/>
      <c r="BZ42" s="1129"/>
      <c r="CA42" s="1129"/>
      <c r="CB42" s="1129"/>
      <c r="CC42" s="1129"/>
      <c r="CD42" s="1129"/>
      <c r="CE42" s="1129"/>
      <c r="CF42" s="1129"/>
      <c r="CG42" s="1129"/>
      <c r="CH42" s="1129"/>
      <c r="CI42" s="1129"/>
      <c r="CJ42" s="1129"/>
    </row>
    <row r="43" spans="1:88" s="1131" customFormat="1" ht="90.75" customHeight="1" thickBot="1">
      <c r="A43" s="1129"/>
      <c r="B43" s="3475" t="s">
        <v>7113</v>
      </c>
      <c r="C43" s="3449"/>
      <c r="D43" s="3449"/>
      <c r="E43" s="3449"/>
      <c r="F43" s="3449"/>
      <c r="G43" s="3449"/>
      <c r="H43" s="3449"/>
      <c r="I43" s="3450"/>
      <c r="J43" s="3451"/>
      <c r="K43" s="1129"/>
      <c r="L43" s="1129"/>
      <c r="M43" s="1129"/>
      <c r="N43" s="1129"/>
      <c r="O43" s="1129"/>
      <c r="P43" s="1129"/>
      <c r="Q43" s="1129"/>
      <c r="R43" s="1129"/>
      <c r="S43" s="1129"/>
      <c r="T43" s="1129"/>
      <c r="U43" s="1129"/>
      <c r="V43" s="1129"/>
      <c r="W43" s="1129"/>
      <c r="X43" s="1129"/>
      <c r="Y43" s="1129"/>
      <c r="Z43" s="1129"/>
      <c r="AA43" s="1129"/>
      <c r="AB43" s="1129"/>
      <c r="AC43" s="1129"/>
      <c r="AD43" s="1129"/>
      <c r="AE43" s="1129"/>
      <c r="AF43" s="1129"/>
      <c r="AG43" s="1129"/>
      <c r="AH43" s="1129"/>
      <c r="AI43" s="1129"/>
      <c r="AJ43" s="1129"/>
      <c r="AK43" s="1129"/>
      <c r="AL43" s="1129"/>
      <c r="AM43" s="1129"/>
      <c r="AN43" s="1129"/>
      <c r="AO43" s="1129"/>
      <c r="AP43" s="1129"/>
      <c r="AQ43" s="1129"/>
      <c r="AR43" s="1129"/>
      <c r="AS43" s="1129"/>
      <c r="AT43" s="1129"/>
      <c r="AU43" s="1129"/>
      <c r="AV43" s="1129"/>
      <c r="AW43" s="1129"/>
      <c r="AX43" s="1129"/>
      <c r="AY43" s="1129"/>
      <c r="AZ43" s="1129"/>
      <c r="BA43" s="1129"/>
      <c r="BB43" s="1129"/>
      <c r="BC43" s="1129"/>
      <c r="BD43" s="1129"/>
      <c r="BE43" s="1129"/>
      <c r="BF43" s="1129"/>
      <c r="BG43" s="1129"/>
      <c r="BH43" s="1129"/>
      <c r="BI43" s="1129"/>
      <c r="BJ43" s="1129"/>
      <c r="BK43" s="1129"/>
      <c r="BL43" s="1129"/>
      <c r="BM43" s="1129"/>
      <c r="BN43" s="1129"/>
      <c r="BO43" s="1129"/>
      <c r="BP43" s="1129"/>
      <c r="BQ43" s="1129"/>
      <c r="BR43" s="1129"/>
      <c r="BS43" s="1129"/>
      <c r="BT43" s="1129"/>
      <c r="BU43" s="1129"/>
      <c r="BV43" s="1129"/>
      <c r="BW43" s="1129"/>
      <c r="BX43" s="1129"/>
      <c r="BY43" s="1129"/>
      <c r="BZ43" s="1129"/>
      <c r="CA43" s="1129"/>
      <c r="CB43" s="1129"/>
      <c r="CC43" s="1129"/>
      <c r="CD43" s="1129"/>
      <c r="CE43" s="1129"/>
      <c r="CF43" s="1129"/>
      <c r="CG43" s="1129"/>
      <c r="CH43" s="1129"/>
      <c r="CI43" s="1129"/>
      <c r="CJ43" s="1129"/>
    </row>
    <row r="44" spans="1:88" s="1131" customFormat="1" ht="16.5" thickBot="1">
      <c r="A44" s="1129"/>
      <c r="B44" s="1130"/>
      <c r="C44" s="1130"/>
      <c r="D44" s="1130"/>
      <c r="E44" s="1130"/>
      <c r="F44" s="1130"/>
      <c r="G44" s="1130"/>
      <c r="H44" s="1130"/>
      <c r="I44" s="1129"/>
      <c r="J44" s="1129"/>
      <c r="K44" s="1129"/>
      <c r="L44" s="1129"/>
      <c r="M44" s="1129"/>
      <c r="N44" s="1129"/>
      <c r="O44" s="1129"/>
      <c r="P44" s="1129"/>
      <c r="Q44" s="1129"/>
      <c r="R44" s="1129"/>
      <c r="S44" s="1129"/>
      <c r="T44" s="1129"/>
      <c r="U44" s="1129"/>
      <c r="V44" s="1129"/>
      <c r="W44" s="1129"/>
      <c r="X44" s="1129"/>
      <c r="Y44" s="1129"/>
      <c r="Z44" s="1129"/>
      <c r="AA44" s="1129"/>
      <c r="AB44" s="1129"/>
      <c r="AC44" s="1129"/>
      <c r="AD44" s="1129"/>
      <c r="AE44" s="1129"/>
      <c r="AF44" s="1129"/>
      <c r="AG44" s="1129"/>
      <c r="AH44" s="1129"/>
      <c r="AI44" s="1129"/>
      <c r="AJ44" s="1129"/>
      <c r="AK44" s="1129"/>
      <c r="AL44" s="1129"/>
      <c r="AM44" s="1129"/>
      <c r="AN44" s="1129"/>
      <c r="AO44" s="1129"/>
      <c r="AP44" s="1129"/>
      <c r="AQ44" s="1129"/>
      <c r="AR44" s="1129"/>
      <c r="AS44" s="1129"/>
      <c r="AT44" s="1129"/>
      <c r="AU44" s="1129"/>
      <c r="AV44" s="1129"/>
      <c r="AW44" s="1129"/>
      <c r="AX44" s="1129"/>
      <c r="AY44" s="1129"/>
      <c r="AZ44" s="1129"/>
      <c r="BA44" s="1129"/>
      <c r="BB44" s="1129"/>
      <c r="BC44" s="1129"/>
      <c r="BD44" s="1129"/>
      <c r="BE44" s="1129"/>
      <c r="BF44" s="1129"/>
      <c r="BG44" s="1129"/>
      <c r="BH44" s="1129"/>
      <c r="BI44" s="1129"/>
      <c r="BJ44" s="1129"/>
      <c r="BK44" s="1129"/>
      <c r="BL44" s="1129"/>
      <c r="BM44" s="1129"/>
      <c r="BN44" s="1129"/>
      <c r="BO44" s="1129"/>
      <c r="BP44" s="1129"/>
      <c r="BQ44" s="1129"/>
      <c r="BR44" s="1129"/>
      <c r="BS44" s="1129"/>
      <c r="BT44" s="1129"/>
      <c r="BU44" s="1129"/>
      <c r="BV44" s="1129"/>
      <c r="BW44" s="1129"/>
      <c r="BX44" s="1129"/>
      <c r="BY44" s="1129"/>
      <c r="BZ44" s="1129"/>
      <c r="CA44" s="1129"/>
      <c r="CB44" s="1129"/>
      <c r="CC44" s="1129"/>
      <c r="CD44" s="1129"/>
      <c r="CE44" s="1129"/>
      <c r="CF44" s="1129"/>
      <c r="CG44" s="1129"/>
      <c r="CH44" s="1129"/>
      <c r="CI44" s="1129"/>
      <c r="CJ44" s="1129"/>
    </row>
    <row r="45" spans="1:88" s="1131" customFormat="1" ht="39" thickBot="1">
      <c r="A45" s="1129"/>
      <c r="B45" s="1890" t="s">
        <v>7114</v>
      </c>
      <c r="C45" s="3476" t="s">
        <v>7115</v>
      </c>
      <c r="D45" s="3477"/>
      <c r="E45" s="3477"/>
      <c r="F45" s="3477"/>
      <c r="G45" s="3477"/>
      <c r="H45" s="3477"/>
      <c r="I45" s="3477"/>
      <c r="J45" s="3478"/>
      <c r="K45" s="1129"/>
      <c r="L45" s="1129"/>
      <c r="M45" s="1129"/>
      <c r="N45" s="1129"/>
      <c r="O45" s="1129"/>
      <c r="P45" s="1129"/>
      <c r="Q45" s="1129"/>
      <c r="R45" s="1129"/>
      <c r="S45" s="1129"/>
      <c r="T45" s="1129"/>
      <c r="U45" s="1129"/>
      <c r="V45" s="1129"/>
      <c r="W45" s="1129"/>
      <c r="X45" s="1129"/>
      <c r="Y45" s="1129"/>
      <c r="Z45" s="1129"/>
      <c r="AA45" s="1129"/>
      <c r="AB45" s="1129"/>
      <c r="AC45" s="1129"/>
      <c r="AD45" s="1129"/>
      <c r="AE45" s="1129"/>
      <c r="AF45" s="1129"/>
      <c r="AG45" s="1129"/>
      <c r="AH45" s="1129"/>
      <c r="AI45" s="1129"/>
      <c r="AJ45" s="1129"/>
      <c r="AK45" s="1129"/>
      <c r="AL45" s="1129"/>
      <c r="AM45" s="1129"/>
      <c r="AN45" s="1129"/>
      <c r="AO45" s="1129"/>
      <c r="AP45" s="1129"/>
      <c r="AQ45" s="1129"/>
      <c r="AR45" s="1129"/>
      <c r="AS45" s="1129"/>
      <c r="AT45" s="1129"/>
      <c r="AU45" s="1129"/>
      <c r="AV45" s="1129"/>
      <c r="AW45" s="1129"/>
      <c r="AX45" s="1129"/>
      <c r="AY45" s="1129"/>
      <c r="AZ45" s="1129"/>
      <c r="BA45" s="1129"/>
      <c r="BB45" s="1129"/>
      <c r="BC45" s="1129"/>
      <c r="BD45" s="1129"/>
      <c r="BE45" s="1129"/>
      <c r="BF45" s="1129"/>
      <c r="BG45" s="1129"/>
      <c r="BH45" s="1129"/>
      <c r="BI45" s="1129"/>
      <c r="BJ45" s="1129"/>
      <c r="BK45" s="1129"/>
      <c r="BL45" s="1129"/>
      <c r="BM45" s="1129"/>
      <c r="BN45" s="1129"/>
      <c r="BO45" s="1129"/>
      <c r="BP45" s="1129"/>
      <c r="BQ45" s="1129"/>
      <c r="BR45" s="1129"/>
      <c r="BS45" s="1129"/>
      <c r="BT45" s="1129"/>
      <c r="BU45" s="1129"/>
      <c r="BV45" s="1129"/>
      <c r="BW45" s="1129"/>
      <c r="BX45" s="1129"/>
      <c r="BY45" s="1129"/>
      <c r="BZ45" s="1129"/>
      <c r="CA45" s="1129"/>
      <c r="CB45" s="1129"/>
      <c r="CC45" s="1129"/>
      <c r="CD45" s="1129"/>
      <c r="CE45" s="1129"/>
      <c r="CF45" s="1129"/>
      <c r="CG45" s="1129"/>
      <c r="CH45" s="1129"/>
      <c r="CI45" s="1129"/>
      <c r="CJ45" s="1129"/>
    </row>
    <row r="46" spans="1:88" s="1131" customFormat="1" ht="25.5">
      <c r="A46" s="1129"/>
      <c r="B46" s="1891" t="s">
        <v>7116</v>
      </c>
      <c r="C46" s="3463" t="s">
        <v>7117</v>
      </c>
      <c r="D46" s="3464"/>
      <c r="E46" s="3464"/>
      <c r="F46" s="3464"/>
      <c r="G46" s="3464"/>
      <c r="H46" s="3464"/>
      <c r="I46" s="3464"/>
      <c r="J46" s="3465"/>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1129"/>
      <c r="AG46" s="1129"/>
      <c r="AH46" s="1129"/>
      <c r="AI46" s="1129"/>
      <c r="AJ46" s="1129"/>
      <c r="AK46" s="1129"/>
      <c r="AL46" s="1129"/>
      <c r="AM46" s="1129"/>
      <c r="AN46" s="1129"/>
      <c r="AO46" s="1129"/>
      <c r="AP46" s="1129"/>
      <c r="AQ46" s="1129"/>
      <c r="AR46" s="1129"/>
      <c r="AS46" s="1129"/>
      <c r="AT46" s="1129"/>
      <c r="AU46" s="1129"/>
      <c r="AV46" s="1129"/>
      <c r="AW46" s="1129"/>
      <c r="AX46" s="1129"/>
      <c r="AY46" s="1129"/>
      <c r="AZ46" s="1129"/>
      <c r="BA46" s="1129"/>
      <c r="BB46" s="1129"/>
      <c r="BC46" s="1129"/>
      <c r="BD46" s="1129"/>
      <c r="BE46" s="1129"/>
      <c r="BF46" s="1129"/>
      <c r="BG46" s="1129"/>
      <c r="BH46" s="1129"/>
      <c r="BI46" s="1129"/>
      <c r="BJ46" s="1129"/>
      <c r="BK46" s="1129"/>
      <c r="BL46" s="1129"/>
      <c r="BM46" s="1129"/>
      <c r="BN46" s="1129"/>
      <c r="BO46" s="1129"/>
      <c r="BP46" s="1129"/>
      <c r="BQ46" s="1129"/>
      <c r="BR46" s="1129"/>
      <c r="BS46" s="1129"/>
      <c r="BT46" s="1129"/>
      <c r="BU46" s="1129"/>
      <c r="BV46" s="1129"/>
      <c r="BW46" s="1129"/>
      <c r="BX46" s="1129"/>
      <c r="BY46" s="1129"/>
      <c r="BZ46" s="1129"/>
      <c r="CA46" s="1129"/>
      <c r="CB46" s="1129"/>
      <c r="CC46" s="1129"/>
      <c r="CD46" s="1129"/>
      <c r="CE46" s="1129"/>
      <c r="CF46" s="1129"/>
      <c r="CG46" s="1129"/>
      <c r="CH46" s="1129"/>
      <c r="CI46" s="1129"/>
      <c r="CJ46" s="1129"/>
    </row>
    <row r="47" spans="1:88" s="1131" customFormat="1" ht="25.5">
      <c r="A47" s="1129"/>
      <c r="B47" s="1892" t="s">
        <v>7118</v>
      </c>
      <c r="C47" s="3466"/>
      <c r="D47" s="3467"/>
      <c r="E47" s="3467"/>
      <c r="F47" s="3467"/>
      <c r="G47" s="3467"/>
      <c r="H47" s="3467"/>
      <c r="I47" s="3467"/>
      <c r="J47" s="3468"/>
      <c r="K47" s="1129"/>
      <c r="L47" s="1129"/>
      <c r="M47" s="1129"/>
      <c r="N47" s="1129"/>
      <c r="O47" s="1129"/>
      <c r="P47" s="1129"/>
      <c r="Q47" s="1129"/>
      <c r="R47" s="1129"/>
      <c r="S47" s="1129"/>
      <c r="T47" s="1129"/>
      <c r="U47" s="1129"/>
      <c r="V47" s="1129"/>
      <c r="W47" s="1129"/>
      <c r="X47" s="1129"/>
      <c r="Y47" s="1129"/>
      <c r="Z47" s="1129"/>
      <c r="AA47" s="1129"/>
      <c r="AB47" s="1129"/>
      <c r="AC47" s="1129"/>
      <c r="AD47" s="1129"/>
      <c r="AE47" s="1129"/>
      <c r="AF47" s="1129"/>
      <c r="AG47" s="1129"/>
      <c r="AH47" s="1129"/>
      <c r="AI47" s="1129"/>
      <c r="AJ47" s="1129"/>
      <c r="AK47" s="1129"/>
      <c r="AL47" s="1129"/>
      <c r="AM47" s="1129"/>
      <c r="AN47" s="1129"/>
      <c r="AO47" s="1129"/>
      <c r="AP47" s="1129"/>
      <c r="AQ47" s="1129"/>
      <c r="AR47" s="1129"/>
      <c r="AS47" s="1129"/>
      <c r="AT47" s="1129"/>
      <c r="AU47" s="1129"/>
      <c r="AV47" s="1129"/>
      <c r="AW47" s="1129"/>
      <c r="AX47" s="1129"/>
      <c r="AY47" s="1129"/>
      <c r="AZ47" s="1129"/>
      <c r="BA47" s="1129"/>
      <c r="BB47" s="1129"/>
      <c r="BC47" s="1129"/>
      <c r="BD47" s="1129"/>
      <c r="BE47" s="1129"/>
      <c r="BF47" s="1129"/>
      <c r="BG47" s="1129"/>
      <c r="BH47" s="1129"/>
      <c r="BI47" s="1129"/>
      <c r="BJ47" s="1129"/>
      <c r="BK47" s="1129"/>
      <c r="BL47" s="1129"/>
      <c r="BM47" s="1129"/>
      <c r="BN47" s="1129"/>
      <c r="BO47" s="1129"/>
      <c r="BP47" s="1129"/>
      <c r="BQ47" s="1129"/>
      <c r="BR47" s="1129"/>
      <c r="BS47" s="1129"/>
      <c r="BT47" s="1129"/>
      <c r="BU47" s="1129"/>
      <c r="BV47" s="1129"/>
      <c r="BW47" s="1129"/>
      <c r="BX47" s="1129"/>
      <c r="BY47" s="1129"/>
      <c r="BZ47" s="1129"/>
      <c r="CA47" s="1129"/>
      <c r="CB47" s="1129"/>
      <c r="CC47" s="1129"/>
      <c r="CD47" s="1129"/>
      <c r="CE47" s="1129"/>
      <c r="CF47" s="1129"/>
      <c r="CG47" s="1129"/>
      <c r="CH47" s="1129"/>
      <c r="CI47" s="1129"/>
      <c r="CJ47" s="1129"/>
    </row>
    <row r="48" spans="1:88" s="1131" customFormat="1" ht="25.5">
      <c r="A48" s="1129"/>
      <c r="B48" s="1892" t="s">
        <v>7119</v>
      </c>
      <c r="C48" s="3466"/>
      <c r="D48" s="3467"/>
      <c r="E48" s="3467"/>
      <c r="F48" s="3467"/>
      <c r="G48" s="3467"/>
      <c r="H48" s="3467"/>
      <c r="I48" s="3467"/>
      <c r="J48" s="3468"/>
      <c r="K48" s="1129"/>
      <c r="L48" s="1129"/>
      <c r="M48" s="1129"/>
      <c r="N48" s="1129"/>
      <c r="O48" s="1129"/>
      <c r="P48" s="1129"/>
      <c r="Q48" s="1129"/>
      <c r="R48" s="1129"/>
      <c r="S48" s="1129"/>
      <c r="T48" s="1129"/>
      <c r="U48" s="1129"/>
      <c r="V48" s="1129"/>
      <c r="W48" s="1129"/>
      <c r="X48" s="1129"/>
      <c r="Y48" s="1129"/>
      <c r="Z48" s="1129"/>
      <c r="AA48" s="1129"/>
      <c r="AB48" s="1129"/>
      <c r="AC48" s="1129"/>
      <c r="AD48" s="1129"/>
      <c r="AE48" s="1129"/>
      <c r="AF48" s="1129"/>
      <c r="AG48" s="1129"/>
      <c r="AH48" s="1129"/>
      <c r="AI48" s="1129"/>
      <c r="AJ48" s="1129"/>
      <c r="AK48" s="1129"/>
      <c r="AL48" s="1129"/>
      <c r="AM48" s="1129"/>
      <c r="AN48" s="1129"/>
      <c r="AO48" s="1129"/>
      <c r="AP48" s="1129"/>
      <c r="AQ48" s="1129"/>
      <c r="AR48" s="1129"/>
      <c r="AS48" s="1129"/>
      <c r="AT48" s="1129"/>
      <c r="AU48" s="1129"/>
      <c r="AV48" s="1129"/>
      <c r="AW48" s="1129"/>
      <c r="AX48" s="1129"/>
      <c r="AY48" s="1129"/>
      <c r="AZ48" s="1129"/>
      <c r="BA48" s="1129"/>
      <c r="BB48" s="1129"/>
      <c r="BC48" s="1129"/>
      <c r="BD48" s="1129"/>
      <c r="BE48" s="1129"/>
      <c r="BF48" s="1129"/>
      <c r="BG48" s="1129"/>
      <c r="BH48" s="1129"/>
      <c r="BI48" s="1129"/>
      <c r="BJ48" s="1129"/>
      <c r="BK48" s="1129"/>
      <c r="BL48" s="1129"/>
      <c r="BM48" s="1129"/>
      <c r="BN48" s="1129"/>
      <c r="BO48" s="1129"/>
      <c r="BP48" s="1129"/>
      <c r="BQ48" s="1129"/>
      <c r="BR48" s="1129"/>
      <c r="BS48" s="1129"/>
      <c r="BT48" s="1129"/>
      <c r="BU48" s="1129"/>
      <c r="BV48" s="1129"/>
      <c r="BW48" s="1129"/>
      <c r="BX48" s="1129"/>
      <c r="BY48" s="1129"/>
      <c r="BZ48" s="1129"/>
      <c r="CA48" s="1129"/>
      <c r="CB48" s="1129"/>
      <c r="CC48" s="1129"/>
      <c r="CD48" s="1129"/>
      <c r="CE48" s="1129"/>
      <c r="CF48" s="1129"/>
      <c r="CG48" s="1129"/>
      <c r="CH48" s="1129"/>
      <c r="CI48" s="1129"/>
      <c r="CJ48" s="1129"/>
    </row>
    <row r="49" spans="1:88" s="1131" customFormat="1" ht="25.5">
      <c r="A49" s="1129"/>
      <c r="B49" s="1892" t="s">
        <v>7120</v>
      </c>
      <c r="C49" s="3466"/>
      <c r="D49" s="3467"/>
      <c r="E49" s="3467"/>
      <c r="F49" s="3467"/>
      <c r="G49" s="3467"/>
      <c r="H49" s="3467"/>
      <c r="I49" s="3467"/>
      <c r="J49" s="3468"/>
      <c r="K49" s="1129"/>
      <c r="L49" s="1129"/>
      <c r="M49" s="1129"/>
      <c r="N49" s="1129"/>
      <c r="O49" s="1129"/>
      <c r="P49" s="1129"/>
      <c r="Q49" s="1129"/>
      <c r="R49" s="1129"/>
      <c r="S49" s="1129"/>
      <c r="T49" s="1129"/>
      <c r="U49" s="1129"/>
      <c r="V49" s="1129"/>
      <c r="W49" s="1129"/>
      <c r="X49" s="1129"/>
      <c r="Y49" s="1129"/>
      <c r="Z49" s="1129"/>
      <c r="AA49" s="1129"/>
      <c r="AB49" s="1129"/>
      <c r="AC49" s="1129"/>
      <c r="AD49" s="1129"/>
      <c r="AE49" s="1129"/>
      <c r="AF49" s="1129"/>
      <c r="AG49" s="1129"/>
      <c r="AH49" s="1129"/>
      <c r="AI49" s="1129"/>
      <c r="AJ49" s="1129"/>
      <c r="AK49" s="1129"/>
      <c r="AL49" s="1129"/>
      <c r="AM49" s="1129"/>
      <c r="AN49" s="1129"/>
      <c r="AO49" s="1129"/>
      <c r="AP49" s="1129"/>
      <c r="AQ49" s="1129"/>
      <c r="AR49" s="1129"/>
      <c r="AS49" s="1129"/>
      <c r="AT49" s="1129"/>
      <c r="AU49" s="1129"/>
      <c r="AV49" s="1129"/>
      <c r="AW49" s="1129"/>
      <c r="AX49" s="1129"/>
      <c r="AY49" s="1129"/>
      <c r="AZ49" s="1129"/>
      <c r="BA49" s="1129"/>
      <c r="BB49" s="1129"/>
      <c r="BC49" s="1129"/>
      <c r="BD49" s="1129"/>
      <c r="BE49" s="1129"/>
      <c r="BF49" s="1129"/>
      <c r="BG49" s="1129"/>
      <c r="BH49" s="1129"/>
      <c r="BI49" s="1129"/>
      <c r="BJ49" s="1129"/>
      <c r="BK49" s="1129"/>
      <c r="BL49" s="1129"/>
      <c r="BM49" s="1129"/>
      <c r="BN49" s="1129"/>
      <c r="BO49" s="1129"/>
      <c r="BP49" s="1129"/>
      <c r="BQ49" s="1129"/>
      <c r="BR49" s="1129"/>
      <c r="BS49" s="1129"/>
      <c r="BT49" s="1129"/>
      <c r="BU49" s="1129"/>
      <c r="BV49" s="1129"/>
      <c r="BW49" s="1129"/>
      <c r="BX49" s="1129"/>
      <c r="BY49" s="1129"/>
      <c r="BZ49" s="1129"/>
      <c r="CA49" s="1129"/>
      <c r="CB49" s="1129"/>
      <c r="CC49" s="1129"/>
      <c r="CD49" s="1129"/>
      <c r="CE49" s="1129"/>
      <c r="CF49" s="1129"/>
      <c r="CG49" s="1129"/>
      <c r="CH49" s="1129"/>
      <c r="CI49" s="1129"/>
      <c r="CJ49" s="1129"/>
    </row>
    <row r="50" spans="1:88" s="1131" customFormat="1" ht="38.25">
      <c r="A50" s="1129"/>
      <c r="B50" s="1892" t="s">
        <v>7121</v>
      </c>
      <c r="C50" s="3466"/>
      <c r="D50" s="3467"/>
      <c r="E50" s="3467"/>
      <c r="F50" s="3467"/>
      <c r="G50" s="3467"/>
      <c r="H50" s="3467"/>
      <c r="I50" s="3467"/>
      <c r="J50" s="3468"/>
      <c r="K50" s="1129"/>
      <c r="L50" s="1129"/>
      <c r="M50" s="1129"/>
      <c r="N50" s="1129"/>
      <c r="O50" s="1129"/>
      <c r="P50" s="1129"/>
      <c r="Q50" s="1129"/>
      <c r="R50" s="1129"/>
      <c r="S50" s="1129"/>
      <c r="T50" s="1129"/>
      <c r="U50" s="1129"/>
      <c r="V50" s="1129"/>
      <c r="W50" s="1129"/>
      <c r="X50" s="1129"/>
      <c r="Y50" s="1129"/>
      <c r="Z50" s="1129"/>
      <c r="AA50" s="1129"/>
      <c r="AB50" s="1129"/>
      <c r="AC50" s="1129"/>
      <c r="AD50" s="1129"/>
      <c r="AE50" s="1129"/>
      <c r="AF50" s="1129"/>
      <c r="AG50" s="1129"/>
      <c r="AH50" s="1129"/>
      <c r="AI50" s="1129"/>
      <c r="AJ50" s="1129"/>
      <c r="AK50" s="1129"/>
      <c r="AL50" s="1129"/>
      <c r="AM50" s="1129"/>
      <c r="AN50" s="1129"/>
      <c r="AO50" s="1129"/>
      <c r="AP50" s="1129"/>
      <c r="AQ50" s="1129"/>
      <c r="AR50" s="1129"/>
      <c r="AS50" s="1129"/>
      <c r="AT50" s="1129"/>
      <c r="AU50" s="1129"/>
      <c r="AV50" s="1129"/>
      <c r="AW50" s="1129"/>
      <c r="AX50" s="1129"/>
      <c r="AY50" s="1129"/>
      <c r="AZ50" s="1129"/>
      <c r="BA50" s="1129"/>
      <c r="BB50" s="1129"/>
      <c r="BC50" s="1129"/>
      <c r="BD50" s="1129"/>
      <c r="BE50" s="1129"/>
      <c r="BF50" s="1129"/>
      <c r="BG50" s="1129"/>
      <c r="BH50" s="1129"/>
      <c r="BI50" s="1129"/>
      <c r="BJ50" s="1129"/>
      <c r="BK50" s="1129"/>
      <c r="BL50" s="1129"/>
      <c r="BM50" s="1129"/>
      <c r="BN50" s="1129"/>
      <c r="BO50" s="1129"/>
      <c r="BP50" s="1129"/>
      <c r="BQ50" s="1129"/>
      <c r="BR50" s="1129"/>
      <c r="BS50" s="1129"/>
      <c r="BT50" s="1129"/>
      <c r="BU50" s="1129"/>
      <c r="BV50" s="1129"/>
      <c r="BW50" s="1129"/>
      <c r="BX50" s="1129"/>
      <c r="BY50" s="1129"/>
      <c r="BZ50" s="1129"/>
      <c r="CA50" s="1129"/>
      <c r="CB50" s="1129"/>
      <c r="CC50" s="1129"/>
      <c r="CD50" s="1129"/>
      <c r="CE50" s="1129"/>
      <c r="CF50" s="1129"/>
      <c r="CG50" s="1129"/>
      <c r="CH50" s="1129"/>
      <c r="CI50" s="1129"/>
      <c r="CJ50" s="1129"/>
    </row>
    <row r="51" spans="1:88" s="1131" customFormat="1" ht="25.5">
      <c r="A51" s="1129"/>
      <c r="B51" s="1892" t="s">
        <v>7122</v>
      </c>
      <c r="C51" s="3466"/>
      <c r="D51" s="3467"/>
      <c r="E51" s="3467"/>
      <c r="F51" s="3467"/>
      <c r="G51" s="3467"/>
      <c r="H51" s="3467"/>
      <c r="I51" s="3467"/>
      <c r="J51" s="3468"/>
      <c r="K51" s="1129"/>
      <c r="L51" s="1129"/>
      <c r="M51" s="1129"/>
      <c r="N51" s="1129"/>
      <c r="O51" s="1129"/>
      <c r="P51" s="1129"/>
      <c r="Q51" s="1129"/>
      <c r="R51" s="1129"/>
      <c r="S51" s="1129"/>
      <c r="T51" s="1129"/>
      <c r="U51" s="1129"/>
      <c r="V51" s="1129"/>
      <c r="W51" s="1129"/>
      <c r="X51" s="1129"/>
      <c r="Y51" s="1129"/>
      <c r="Z51" s="1129"/>
      <c r="AA51" s="1129"/>
      <c r="AB51" s="1129"/>
      <c r="AC51" s="1129"/>
      <c r="AD51" s="1129"/>
      <c r="AE51" s="1129"/>
      <c r="AF51" s="1129"/>
      <c r="AG51" s="1129"/>
      <c r="AH51" s="1129"/>
      <c r="AI51" s="1129"/>
      <c r="AJ51" s="1129"/>
      <c r="AK51" s="1129"/>
      <c r="AL51" s="1129"/>
      <c r="AM51" s="1129"/>
      <c r="AN51" s="1129"/>
      <c r="AO51" s="1129"/>
      <c r="AP51" s="1129"/>
      <c r="AQ51" s="1129"/>
      <c r="AR51" s="1129"/>
      <c r="AS51" s="1129"/>
      <c r="AT51" s="1129"/>
      <c r="AU51" s="1129"/>
      <c r="AV51" s="1129"/>
      <c r="AW51" s="1129"/>
      <c r="AX51" s="1129"/>
      <c r="AY51" s="1129"/>
      <c r="AZ51" s="1129"/>
      <c r="BA51" s="1129"/>
      <c r="BB51" s="1129"/>
      <c r="BC51" s="1129"/>
      <c r="BD51" s="1129"/>
      <c r="BE51" s="1129"/>
      <c r="BF51" s="1129"/>
      <c r="BG51" s="1129"/>
      <c r="BH51" s="1129"/>
      <c r="BI51" s="1129"/>
      <c r="BJ51" s="1129"/>
      <c r="BK51" s="1129"/>
      <c r="BL51" s="1129"/>
      <c r="BM51" s="1129"/>
      <c r="BN51" s="1129"/>
      <c r="BO51" s="1129"/>
      <c r="BP51" s="1129"/>
      <c r="BQ51" s="1129"/>
      <c r="BR51" s="1129"/>
      <c r="BS51" s="1129"/>
      <c r="BT51" s="1129"/>
      <c r="BU51" s="1129"/>
      <c r="BV51" s="1129"/>
      <c r="BW51" s="1129"/>
      <c r="BX51" s="1129"/>
      <c r="BY51" s="1129"/>
      <c r="BZ51" s="1129"/>
      <c r="CA51" s="1129"/>
      <c r="CB51" s="1129"/>
      <c r="CC51" s="1129"/>
      <c r="CD51" s="1129"/>
      <c r="CE51" s="1129"/>
      <c r="CF51" s="1129"/>
      <c r="CG51" s="1129"/>
      <c r="CH51" s="1129"/>
      <c r="CI51" s="1129"/>
      <c r="CJ51" s="1129"/>
    </row>
    <row r="52" spans="1:88" s="1131" customFormat="1" ht="38.25">
      <c r="A52" s="1129"/>
      <c r="B52" s="1892" t="s">
        <v>7123</v>
      </c>
      <c r="C52" s="3466"/>
      <c r="D52" s="3467"/>
      <c r="E52" s="3467"/>
      <c r="F52" s="3467"/>
      <c r="G52" s="3467"/>
      <c r="H52" s="3467"/>
      <c r="I52" s="3467"/>
      <c r="J52" s="3468"/>
      <c r="K52" s="1129"/>
      <c r="L52" s="1129"/>
      <c r="M52" s="1129"/>
      <c r="N52" s="1129"/>
      <c r="O52" s="1129"/>
      <c r="P52" s="1129"/>
      <c r="Q52" s="1129"/>
      <c r="R52" s="1129"/>
      <c r="S52" s="1129"/>
      <c r="T52" s="1129"/>
      <c r="U52" s="1129"/>
      <c r="V52" s="1129"/>
      <c r="W52" s="1129"/>
      <c r="X52" s="1129"/>
      <c r="Y52" s="1129"/>
      <c r="Z52" s="1129"/>
      <c r="AA52" s="1129"/>
      <c r="AB52" s="1129"/>
      <c r="AC52" s="1129"/>
      <c r="AD52" s="1129"/>
      <c r="AE52" s="1129"/>
      <c r="AF52" s="1129"/>
      <c r="AG52" s="1129"/>
      <c r="AH52" s="1129"/>
      <c r="AI52" s="1129"/>
      <c r="AJ52" s="1129"/>
      <c r="AK52" s="1129"/>
      <c r="AL52" s="1129"/>
      <c r="AM52" s="1129"/>
      <c r="AN52" s="1129"/>
      <c r="AO52" s="1129"/>
      <c r="AP52" s="1129"/>
      <c r="AQ52" s="1129"/>
      <c r="AR52" s="1129"/>
      <c r="AS52" s="1129"/>
      <c r="AT52" s="1129"/>
      <c r="AU52" s="1129"/>
      <c r="AV52" s="1129"/>
      <c r="AW52" s="1129"/>
      <c r="AX52" s="1129"/>
      <c r="AY52" s="1129"/>
      <c r="AZ52" s="1129"/>
      <c r="BA52" s="1129"/>
      <c r="BB52" s="1129"/>
      <c r="BC52" s="1129"/>
      <c r="BD52" s="1129"/>
      <c r="BE52" s="1129"/>
      <c r="BF52" s="1129"/>
      <c r="BG52" s="1129"/>
      <c r="BH52" s="1129"/>
      <c r="BI52" s="1129"/>
      <c r="BJ52" s="1129"/>
      <c r="BK52" s="1129"/>
      <c r="BL52" s="1129"/>
      <c r="BM52" s="1129"/>
      <c r="BN52" s="1129"/>
      <c r="BO52" s="1129"/>
      <c r="BP52" s="1129"/>
      <c r="BQ52" s="1129"/>
      <c r="BR52" s="1129"/>
      <c r="BS52" s="1129"/>
      <c r="BT52" s="1129"/>
      <c r="BU52" s="1129"/>
      <c r="BV52" s="1129"/>
      <c r="BW52" s="1129"/>
      <c r="BX52" s="1129"/>
      <c r="BY52" s="1129"/>
      <c r="BZ52" s="1129"/>
      <c r="CA52" s="1129"/>
      <c r="CB52" s="1129"/>
      <c r="CC52" s="1129"/>
      <c r="CD52" s="1129"/>
      <c r="CE52" s="1129"/>
      <c r="CF52" s="1129"/>
      <c r="CG52" s="1129"/>
      <c r="CH52" s="1129"/>
      <c r="CI52" s="1129"/>
      <c r="CJ52" s="1129"/>
    </row>
    <row r="53" spans="1:88" s="1131" customFormat="1" ht="25.5">
      <c r="A53" s="1129"/>
      <c r="B53" s="1892" t="s">
        <v>7124</v>
      </c>
      <c r="C53" s="3466"/>
      <c r="D53" s="3467"/>
      <c r="E53" s="3467"/>
      <c r="F53" s="3467"/>
      <c r="G53" s="3467"/>
      <c r="H53" s="3467"/>
      <c r="I53" s="3467"/>
      <c r="J53" s="3468"/>
      <c r="K53" s="1129"/>
      <c r="L53" s="1129"/>
      <c r="M53" s="1129"/>
      <c r="N53" s="1129"/>
      <c r="O53" s="1129"/>
      <c r="P53" s="1129"/>
      <c r="Q53" s="1129"/>
      <c r="R53" s="1129"/>
      <c r="S53" s="1129"/>
      <c r="T53" s="1129"/>
      <c r="U53" s="1129"/>
      <c r="V53" s="1129"/>
      <c r="W53" s="1129"/>
      <c r="X53" s="1129"/>
      <c r="Y53" s="1129"/>
      <c r="Z53" s="1129"/>
      <c r="AA53" s="1129"/>
      <c r="AB53" s="1129"/>
      <c r="AC53" s="1129"/>
      <c r="AD53" s="1129"/>
      <c r="AE53" s="1129"/>
      <c r="AF53" s="1129"/>
      <c r="AG53" s="1129"/>
      <c r="AH53" s="1129"/>
      <c r="AI53" s="1129"/>
      <c r="AJ53" s="1129"/>
      <c r="AK53" s="1129"/>
      <c r="AL53" s="1129"/>
      <c r="AM53" s="1129"/>
      <c r="AN53" s="1129"/>
      <c r="AO53" s="1129"/>
      <c r="AP53" s="1129"/>
      <c r="AQ53" s="1129"/>
      <c r="AR53" s="1129"/>
      <c r="AS53" s="1129"/>
      <c r="AT53" s="1129"/>
      <c r="AU53" s="1129"/>
      <c r="AV53" s="1129"/>
      <c r="AW53" s="1129"/>
      <c r="AX53" s="1129"/>
      <c r="AY53" s="1129"/>
      <c r="AZ53" s="1129"/>
      <c r="BA53" s="1129"/>
      <c r="BB53" s="1129"/>
      <c r="BC53" s="1129"/>
      <c r="BD53" s="1129"/>
      <c r="BE53" s="1129"/>
      <c r="BF53" s="1129"/>
      <c r="BG53" s="1129"/>
      <c r="BH53" s="1129"/>
      <c r="BI53" s="1129"/>
      <c r="BJ53" s="1129"/>
      <c r="BK53" s="1129"/>
      <c r="BL53" s="1129"/>
      <c r="BM53" s="1129"/>
      <c r="BN53" s="1129"/>
      <c r="BO53" s="1129"/>
      <c r="BP53" s="1129"/>
      <c r="BQ53" s="1129"/>
      <c r="BR53" s="1129"/>
      <c r="BS53" s="1129"/>
      <c r="BT53" s="1129"/>
      <c r="BU53" s="1129"/>
      <c r="BV53" s="1129"/>
      <c r="BW53" s="1129"/>
      <c r="BX53" s="1129"/>
      <c r="BY53" s="1129"/>
      <c r="BZ53" s="1129"/>
      <c r="CA53" s="1129"/>
      <c r="CB53" s="1129"/>
      <c r="CC53" s="1129"/>
      <c r="CD53" s="1129"/>
      <c r="CE53" s="1129"/>
      <c r="CF53" s="1129"/>
      <c r="CG53" s="1129"/>
      <c r="CH53" s="1129"/>
      <c r="CI53" s="1129"/>
      <c r="CJ53" s="1129"/>
    </row>
    <row r="54" spans="1:88" s="1131" customFormat="1" ht="39" thickBot="1">
      <c r="A54" s="1129"/>
      <c r="B54" s="1893" t="s">
        <v>7125</v>
      </c>
      <c r="C54" s="3469"/>
      <c r="D54" s="3470"/>
      <c r="E54" s="3470"/>
      <c r="F54" s="3470"/>
      <c r="G54" s="3470"/>
      <c r="H54" s="3470"/>
      <c r="I54" s="3470"/>
      <c r="J54" s="3471"/>
      <c r="K54" s="1129"/>
      <c r="L54" s="1129"/>
      <c r="M54" s="1129"/>
      <c r="N54" s="1129"/>
      <c r="O54" s="1129"/>
      <c r="P54" s="1129"/>
      <c r="Q54" s="1129"/>
      <c r="R54" s="1129"/>
      <c r="S54" s="1129"/>
      <c r="T54" s="1129"/>
      <c r="U54" s="1129"/>
      <c r="V54" s="1129"/>
      <c r="W54" s="1129"/>
      <c r="X54" s="1129"/>
      <c r="Y54" s="1129"/>
      <c r="Z54" s="1129"/>
      <c r="AA54" s="1129"/>
      <c r="AB54" s="1129"/>
      <c r="AC54" s="1129"/>
      <c r="AD54" s="1129"/>
      <c r="AE54" s="1129"/>
      <c r="AF54" s="1129"/>
      <c r="AG54" s="1129"/>
      <c r="AH54" s="1129"/>
      <c r="AI54" s="1129"/>
      <c r="AJ54" s="1129"/>
      <c r="AK54" s="1129"/>
      <c r="AL54" s="1129"/>
      <c r="AM54" s="1129"/>
      <c r="AN54" s="1129"/>
      <c r="AO54" s="1129"/>
      <c r="AP54" s="1129"/>
      <c r="AQ54" s="1129"/>
      <c r="AR54" s="1129"/>
      <c r="AS54" s="1129"/>
      <c r="AT54" s="1129"/>
      <c r="AU54" s="1129"/>
      <c r="AV54" s="1129"/>
      <c r="AW54" s="1129"/>
      <c r="AX54" s="1129"/>
      <c r="AY54" s="1129"/>
      <c r="AZ54" s="1129"/>
      <c r="BA54" s="1129"/>
      <c r="BB54" s="1129"/>
      <c r="BC54" s="1129"/>
      <c r="BD54" s="1129"/>
      <c r="BE54" s="1129"/>
      <c r="BF54" s="1129"/>
      <c r="BG54" s="1129"/>
      <c r="BH54" s="1129"/>
      <c r="BI54" s="1129"/>
      <c r="BJ54" s="1129"/>
      <c r="BK54" s="1129"/>
      <c r="BL54" s="1129"/>
      <c r="BM54" s="1129"/>
      <c r="BN54" s="1129"/>
      <c r="BO54" s="1129"/>
      <c r="BP54" s="1129"/>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row>
    <row r="55" spans="1:88" s="1131" customFormat="1" ht="66.2" customHeight="1" thickBot="1">
      <c r="A55" s="1129"/>
      <c r="B55" s="1894" t="s">
        <v>7126</v>
      </c>
      <c r="C55" s="3457" t="s">
        <v>7127</v>
      </c>
      <c r="D55" s="3458"/>
      <c r="E55" s="3458"/>
      <c r="F55" s="3458"/>
      <c r="G55" s="3458"/>
      <c r="H55" s="3458"/>
      <c r="I55" s="3458"/>
      <c r="J55" s="3459"/>
      <c r="K55" s="1129"/>
      <c r="L55" s="1129"/>
      <c r="M55" s="1129"/>
      <c r="N55" s="1129"/>
      <c r="O55" s="1129"/>
      <c r="P55" s="1129"/>
      <c r="Q55" s="1129"/>
      <c r="R55" s="1129"/>
      <c r="S55" s="1129"/>
      <c r="T55" s="1129"/>
      <c r="U55" s="1129"/>
      <c r="V55" s="1129"/>
      <c r="W55" s="1129"/>
      <c r="X55" s="1129"/>
      <c r="Y55" s="1129"/>
      <c r="Z55" s="1129"/>
      <c r="AA55" s="1129"/>
      <c r="AB55" s="1129"/>
      <c r="AC55" s="1129"/>
      <c r="AD55" s="1129"/>
      <c r="AE55" s="1129"/>
      <c r="AF55" s="1129"/>
      <c r="AG55" s="1129"/>
      <c r="AH55" s="1129"/>
      <c r="AI55" s="1129"/>
      <c r="AJ55" s="1129"/>
      <c r="AK55" s="1129"/>
      <c r="AL55" s="1129"/>
      <c r="AM55" s="1129"/>
      <c r="AN55" s="1129"/>
      <c r="AO55" s="1129"/>
      <c r="AP55" s="1129"/>
      <c r="AQ55" s="1129"/>
      <c r="AR55" s="1129"/>
      <c r="AS55" s="1129"/>
      <c r="AT55" s="1129"/>
      <c r="AU55" s="1129"/>
      <c r="AV55" s="1129"/>
      <c r="AW55" s="1129"/>
      <c r="AX55" s="1129"/>
      <c r="AY55" s="1129"/>
      <c r="AZ55" s="1129"/>
      <c r="BA55" s="1129"/>
      <c r="BB55" s="1129"/>
      <c r="BC55" s="1129"/>
      <c r="BD55" s="1129"/>
      <c r="BE55" s="1129"/>
      <c r="BF55" s="1129"/>
      <c r="BG55" s="1129"/>
      <c r="BH55" s="1129"/>
      <c r="BI55" s="1129"/>
      <c r="BJ55" s="1129"/>
      <c r="BK55" s="1129"/>
      <c r="BL55" s="1129"/>
      <c r="BM55" s="1129"/>
      <c r="BN55" s="1129"/>
      <c r="BO55" s="1129"/>
      <c r="BP55" s="1129"/>
      <c r="BQ55" s="1129"/>
      <c r="BR55" s="1129"/>
      <c r="BS55" s="1129"/>
      <c r="BT55" s="1129"/>
      <c r="BU55" s="1129"/>
      <c r="BV55" s="1129"/>
      <c r="BW55" s="1129"/>
      <c r="BX55" s="1129"/>
      <c r="BY55" s="1129"/>
      <c r="BZ55" s="1129"/>
      <c r="CA55" s="1129"/>
      <c r="CB55" s="1129"/>
      <c r="CC55" s="1129"/>
      <c r="CD55" s="1129"/>
      <c r="CE55" s="1129"/>
      <c r="CF55" s="1129"/>
      <c r="CG55" s="1129"/>
      <c r="CH55" s="1129"/>
      <c r="CI55" s="1129"/>
      <c r="CJ55" s="1129"/>
    </row>
    <row r="56" spans="1:88" s="1131" customFormat="1" ht="26.25" thickBot="1">
      <c r="A56" s="1129"/>
      <c r="B56" s="1894" t="s">
        <v>7128</v>
      </c>
      <c r="C56" s="3457" t="s">
        <v>7129</v>
      </c>
      <c r="D56" s="3458"/>
      <c r="E56" s="3458"/>
      <c r="F56" s="3458"/>
      <c r="G56" s="3458"/>
      <c r="H56" s="3458"/>
      <c r="I56" s="3458"/>
      <c r="J56" s="345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1129"/>
      <c r="AG56" s="1129"/>
      <c r="AH56" s="1129"/>
      <c r="AI56" s="1129"/>
      <c r="AJ56" s="1129"/>
      <c r="AK56" s="1129"/>
      <c r="AL56" s="1129"/>
      <c r="AM56" s="1129"/>
      <c r="AN56" s="1129"/>
      <c r="AO56" s="1129"/>
      <c r="AP56" s="1129"/>
      <c r="AQ56" s="1129"/>
      <c r="AR56" s="1129"/>
      <c r="AS56" s="1129"/>
      <c r="AT56" s="1129"/>
      <c r="AU56" s="1129"/>
      <c r="AV56" s="1129"/>
      <c r="AW56" s="1129"/>
      <c r="AX56" s="1129"/>
      <c r="AY56" s="1129"/>
      <c r="AZ56" s="1129"/>
      <c r="BA56" s="1129"/>
      <c r="BB56" s="1129"/>
      <c r="BC56" s="1129"/>
      <c r="BD56" s="1129"/>
      <c r="BE56" s="1129"/>
      <c r="BF56" s="1129"/>
      <c r="BG56" s="1129"/>
      <c r="BH56" s="1129"/>
      <c r="BI56" s="1129"/>
      <c r="BJ56" s="1129"/>
      <c r="BK56" s="1129"/>
      <c r="BL56" s="1129"/>
      <c r="BM56" s="1129"/>
      <c r="BN56" s="1129"/>
      <c r="BO56" s="1129"/>
      <c r="BP56" s="1129"/>
      <c r="BQ56" s="1129"/>
      <c r="BR56" s="1129"/>
      <c r="BS56" s="1129"/>
      <c r="BT56" s="1129"/>
      <c r="BU56" s="1129"/>
      <c r="BV56" s="1129"/>
      <c r="BW56" s="1129"/>
      <c r="BX56" s="1129"/>
      <c r="BY56" s="1129"/>
      <c r="BZ56" s="1129"/>
      <c r="CA56" s="1129"/>
      <c r="CB56" s="1129"/>
      <c r="CC56" s="1129"/>
      <c r="CD56" s="1129"/>
      <c r="CE56" s="1129"/>
      <c r="CF56" s="1129"/>
      <c r="CG56" s="1129"/>
      <c r="CH56" s="1129"/>
      <c r="CI56" s="1129"/>
      <c r="CJ56" s="1129"/>
    </row>
    <row r="57" spans="1:88" s="1131" customFormat="1" ht="27" customHeight="1" thickBot="1">
      <c r="A57" s="1129"/>
      <c r="B57" s="1894" t="s">
        <v>7130</v>
      </c>
      <c r="C57" s="3457" t="s">
        <v>7131</v>
      </c>
      <c r="D57" s="3458"/>
      <c r="E57" s="3458"/>
      <c r="F57" s="3458"/>
      <c r="G57" s="3458"/>
      <c r="H57" s="3458"/>
      <c r="I57" s="3458"/>
      <c r="J57" s="3459"/>
      <c r="K57" s="1129"/>
      <c r="L57" s="1129"/>
      <c r="M57" s="1129"/>
      <c r="N57" s="1129"/>
      <c r="O57" s="1129"/>
      <c r="P57" s="1129"/>
      <c r="Q57" s="1129"/>
      <c r="R57" s="1129"/>
      <c r="S57" s="1129"/>
      <c r="T57" s="1129"/>
      <c r="U57" s="1129"/>
      <c r="V57" s="1129"/>
      <c r="W57" s="1129"/>
      <c r="X57" s="1129"/>
      <c r="Y57" s="1129"/>
      <c r="Z57" s="1129"/>
      <c r="AA57" s="1129"/>
      <c r="AB57" s="1129"/>
      <c r="AC57" s="1129"/>
      <c r="AD57" s="1129"/>
      <c r="AE57" s="1129"/>
      <c r="AF57" s="1129"/>
      <c r="AG57" s="1129"/>
      <c r="AH57" s="1129"/>
      <c r="AI57" s="1129"/>
      <c r="AJ57" s="1129"/>
      <c r="AK57" s="1129"/>
      <c r="AL57" s="1129"/>
      <c r="AM57" s="1129"/>
      <c r="AN57" s="1129"/>
      <c r="AO57" s="1129"/>
      <c r="AP57" s="1129"/>
      <c r="AQ57" s="1129"/>
      <c r="AR57" s="1129"/>
      <c r="AS57" s="1129"/>
      <c r="AT57" s="1129"/>
      <c r="AU57" s="1129"/>
      <c r="AV57" s="1129"/>
      <c r="AW57" s="1129"/>
      <c r="AX57" s="1129"/>
      <c r="AY57" s="1129"/>
      <c r="AZ57" s="1129"/>
      <c r="BA57" s="1129"/>
      <c r="BB57" s="1129"/>
      <c r="BC57" s="1129"/>
      <c r="BD57" s="1129"/>
      <c r="BE57" s="1129"/>
      <c r="BF57" s="1129"/>
      <c r="BG57" s="1129"/>
      <c r="BH57" s="1129"/>
      <c r="BI57" s="1129"/>
      <c r="BJ57" s="1129"/>
      <c r="BK57" s="1129"/>
      <c r="BL57" s="1129"/>
      <c r="BM57" s="1129"/>
      <c r="BN57" s="1129"/>
      <c r="BO57" s="1129"/>
      <c r="BP57" s="1129"/>
      <c r="BQ57" s="1129"/>
      <c r="BR57" s="1129"/>
      <c r="BS57" s="1129"/>
      <c r="BT57" s="1129"/>
      <c r="BU57" s="1129"/>
      <c r="BV57" s="1129"/>
      <c r="BW57" s="1129"/>
      <c r="BX57" s="1129"/>
      <c r="BY57" s="1129"/>
      <c r="BZ57" s="1129"/>
      <c r="CA57" s="1129"/>
      <c r="CB57" s="1129"/>
      <c r="CC57" s="1129"/>
      <c r="CD57" s="1129"/>
      <c r="CE57" s="1129"/>
      <c r="CF57" s="1129"/>
      <c r="CG57" s="1129"/>
      <c r="CH57" s="1129"/>
      <c r="CI57" s="1129"/>
      <c r="CJ57" s="1129"/>
    </row>
    <row r="58" spans="1:88" s="1131" customFormat="1" ht="51.75" thickBot="1">
      <c r="A58" s="1129"/>
      <c r="B58" s="1894" t="s">
        <v>7132</v>
      </c>
      <c r="C58" s="3457" t="s">
        <v>7133</v>
      </c>
      <c r="D58" s="3458"/>
      <c r="E58" s="3458"/>
      <c r="F58" s="3458"/>
      <c r="G58" s="3458"/>
      <c r="H58" s="3458"/>
      <c r="I58" s="3458"/>
      <c r="J58" s="3459"/>
      <c r="K58" s="1129"/>
      <c r="L58" s="1129"/>
      <c r="M58" s="1129"/>
      <c r="N58" s="1129"/>
      <c r="O58" s="1129"/>
      <c r="P58" s="1129"/>
      <c r="Q58" s="1129"/>
      <c r="R58" s="1129"/>
      <c r="S58" s="1129"/>
      <c r="T58" s="1129"/>
      <c r="U58" s="1129"/>
      <c r="V58" s="1129"/>
      <c r="W58" s="1129"/>
      <c r="X58" s="1129"/>
      <c r="Y58" s="1129"/>
      <c r="Z58" s="1129"/>
      <c r="AA58" s="1129"/>
      <c r="AB58" s="1129"/>
      <c r="AC58" s="1129"/>
      <c r="AD58" s="1129"/>
      <c r="AE58" s="1129"/>
      <c r="AF58" s="1129"/>
      <c r="AG58" s="1129"/>
      <c r="AH58" s="1129"/>
      <c r="AI58" s="1129"/>
      <c r="AJ58" s="1129"/>
      <c r="AK58" s="1129"/>
      <c r="AL58" s="1129"/>
      <c r="AM58" s="1129"/>
      <c r="AN58" s="1129"/>
      <c r="AO58" s="1129"/>
      <c r="AP58" s="1129"/>
      <c r="AQ58" s="1129"/>
      <c r="AR58" s="1129"/>
      <c r="AS58" s="1129"/>
      <c r="AT58" s="1129"/>
      <c r="AU58" s="1129"/>
      <c r="AV58" s="1129"/>
      <c r="AW58" s="1129"/>
      <c r="AX58" s="1129"/>
      <c r="AY58" s="1129"/>
      <c r="AZ58" s="1129"/>
      <c r="BA58" s="1129"/>
      <c r="BB58" s="1129"/>
      <c r="BC58" s="1129"/>
      <c r="BD58" s="1129"/>
      <c r="BE58" s="1129"/>
      <c r="BF58" s="1129"/>
      <c r="BG58" s="1129"/>
      <c r="BH58" s="1129"/>
      <c r="BI58" s="1129"/>
      <c r="BJ58" s="1129"/>
      <c r="BK58" s="1129"/>
      <c r="BL58" s="1129"/>
      <c r="BM58" s="1129"/>
      <c r="BN58" s="1129"/>
      <c r="BO58" s="1129"/>
      <c r="BP58" s="1129"/>
      <c r="BQ58" s="1129"/>
      <c r="BR58" s="1129"/>
      <c r="BS58" s="1129"/>
      <c r="BT58" s="1129"/>
      <c r="BU58" s="1129"/>
      <c r="BV58" s="1129"/>
      <c r="BW58" s="1129"/>
      <c r="BX58" s="1129"/>
      <c r="BY58" s="1129"/>
      <c r="BZ58" s="1129"/>
      <c r="CA58" s="1129"/>
      <c r="CB58" s="1129"/>
      <c r="CC58" s="1129"/>
      <c r="CD58" s="1129"/>
      <c r="CE58" s="1129"/>
      <c r="CF58" s="1129"/>
      <c r="CG58" s="1129"/>
      <c r="CH58" s="1129"/>
      <c r="CI58" s="1129"/>
      <c r="CJ58" s="1129"/>
    </row>
    <row r="59" spans="1:88" s="1131" customFormat="1" ht="39" thickBot="1">
      <c r="A59" s="1129"/>
      <c r="B59" s="1894" t="s">
        <v>7134</v>
      </c>
      <c r="C59" s="3457" t="s">
        <v>7135</v>
      </c>
      <c r="D59" s="3458"/>
      <c r="E59" s="3458"/>
      <c r="F59" s="3458"/>
      <c r="G59" s="3458"/>
      <c r="H59" s="3458"/>
      <c r="I59" s="3458"/>
      <c r="J59" s="345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129"/>
      <c r="AK59" s="1129"/>
      <c r="AL59" s="1129"/>
      <c r="AM59" s="1129"/>
      <c r="AN59" s="1129"/>
      <c r="AO59" s="1129"/>
      <c r="AP59" s="1129"/>
      <c r="AQ59" s="1129"/>
      <c r="AR59" s="1129"/>
      <c r="AS59" s="1129"/>
      <c r="AT59" s="1129"/>
      <c r="AU59" s="1129"/>
      <c r="AV59" s="1129"/>
      <c r="AW59" s="1129"/>
      <c r="AX59" s="1129"/>
      <c r="AY59" s="1129"/>
      <c r="AZ59" s="1129"/>
      <c r="BA59" s="1129"/>
      <c r="BB59" s="1129"/>
      <c r="BC59" s="1129"/>
      <c r="BD59" s="1129"/>
      <c r="BE59" s="1129"/>
      <c r="BF59" s="1129"/>
      <c r="BG59" s="1129"/>
      <c r="BH59" s="1129"/>
      <c r="BI59" s="1129"/>
      <c r="BJ59" s="1129"/>
      <c r="BK59" s="1129"/>
      <c r="BL59" s="1129"/>
      <c r="BM59" s="1129"/>
      <c r="BN59" s="1129"/>
      <c r="BO59" s="1129"/>
      <c r="BP59" s="1129"/>
      <c r="BQ59" s="1129"/>
      <c r="BR59" s="1129"/>
      <c r="BS59" s="1129"/>
      <c r="BT59" s="1129"/>
      <c r="BU59" s="1129"/>
      <c r="BV59" s="1129"/>
      <c r="BW59" s="1129"/>
      <c r="BX59" s="1129"/>
      <c r="BY59" s="1129"/>
      <c r="BZ59" s="1129"/>
      <c r="CA59" s="1129"/>
      <c r="CB59" s="1129"/>
      <c r="CC59" s="1129"/>
      <c r="CD59" s="1129"/>
      <c r="CE59" s="1129"/>
      <c r="CF59" s="1129"/>
      <c r="CG59" s="1129"/>
      <c r="CH59" s="1129"/>
      <c r="CI59" s="1129"/>
      <c r="CJ59" s="1129"/>
    </row>
    <row r="60" spans="1:88" s="1131" customFormat="1" ht="26.25" thickBot="1">
      <c r="A60" s="1129"/>
      <c r="B60" s="1893" t="s">
        <v>7136</v>
      </c>
      <c r="C60" s="3460" t="s">
        <v>7137</v>
      </c>
      <c r="D60" s="3461"/>
      <c r="E60" s="3461"/>
      <c r="F60" s="3461"/>
      <c r="G60" s="3461"/>
      <c r="H60" s="3461"/>
      <c r="I60" s="3461"/>
      <c r="J60" s="3462"/>
      <c r="K60" s="1129"/>
      <c r="L60" s="1129"/>
      <c r="M60" s="1129"/>
      <c r="N60" s="1129"/>
      <c r="O60" s="1129"/>
      <c r="P60" s="1129"/>
      <c r="Q60" s="1129"/>
      <c r="R60" s="1129"/>
      <c r="S60" s="1129"/>
      <c r="T60" s="1129"/>
      <c r="U60" s="1129"/>
      <c r="V60" s="1129"/>
      <c r="W60" s="1129"/>
      <c r="X60" s="1129"/>
      <c r="Y60" s="1129"/>
      <c r="Z60" s="1129"/>
      <c r="AA60" s="1129"/>
      <c r="AB60" s="1129"/>
      <c r="AC60" s="1129"/>
      <c r="AD60" s="1129"/>
      <c r="AE60" s="1129"/>
      <c r="AF60" s="1129"/>
      <c r="AG60" s="1129"/>
      <c r="AH60" s="1129"/>
      <c r="AI60" s="1129"/>
      <c r="AJ60" s="1129"/>
      <c r="AK60" s="1129"/>
      <c r="AL60" s="1129"/>
      <c r="AM60" s="1129"/>
      <c r="AN60" s="1129"/>
      <c r="AO60" s="1129"/>
      <c r="AP60" s="1129"/>
      <c r="AQ60" s="1129"/>
      <c r="AR60" s="1129"/>
      <c r="AS60" s="1129"/>
      <c r="AT60" s="1129"/>
      <c r="AU60" s="1129"/>
      <c r="AV60" s="1129"/>
      <c r="AW60" s="1129"/>
      <c r="AX60" s="1129"/>
      <c r="AY60" s="1129"/>
      <c r="AZ60" s="1129"/>
      <c r="BA60" s="1129"/>
      <c r="BB60" s="1129"/>
      <c r="BC60" s="1129"/>
      <c r="BD60" s="1129"/>
      <c r="BE60" s="1129"/>
      <c r="BF60" s="1129"/>
      <c r="BG60" s="1129"/>
      <c r="BH60" s="1129"/>
      <c r="BI60" s="1129"/>
      <c r="BJ60" s="1129"/>
      <c r="BK60" s="1129"/>
      <c r="BL60" s="1129"/>
      <c r="BM60" s="1129"/>
      <c r="BN60" s="1129"/>
      <c r="BO60" s="1129"/>
      <c r="BP60" s="1129"/>
      <c r="BQ60" s="1129"/>
      <c r="BR60" s="1129"/>
      <c r="BS60" s="1129"/>
      <c r="BT60" s="1129"/>
      <c r="BU60" s="1129"/>
      <c r="BV60" s="1129"/>
      <c r="BW60" s="1129"/>
      <c r="BX60" s="1129"/>
      <c r="BY60" s="1129"/>
      <c r="BZ60" s="1129"/>
      <c r="CA60" s="1129"/>
      <c r="CB60" s="1129"/>
      <c r="CC60" s="1129"/>
      <c r="CD60" s="1129"/>
      <c r="CE60" s="1129"/>
      <c r="CF60" s="1129"/>
      <c r="CG60" s="1129"/>
      <c r="CH60" s="1129"/>
      <c r="CI60" s="1129"/>
      <c r="CJ60" s="1129"/>
    </row>
    <row r="61" spans="1:88" s="1131" customFormat="1" ht="16.5" customHeight="1" thickBot="1">
      <c r="A61" s="1129"/>
      <c r="B61" s="1130"/>
      <c r="C61" s="1130"/>
      <c r="D61" s="1130"/>
      <c r="E61" s="1130"/>
      <c r="F61" s="1130"/>
      <c r="G61" s="1130"/>
      <c r="H61" s="1130"/>
      <c r="I61" s="1129"/>
      <c r="J61" s="1129"/>
      <c r="K61" s="1129"/>
      <c r="L61" s="1129"/>
      <c r="M61" s="1129"/>
      <c r="N61" s="1129"/>
      <c r="O61" s="1129"/>
      <c r="P61" s="1129"/>
      <c r="Q61" s="1129"/>
      <c r="R61" s="1129"/>
      <c r="S61" s="1129"/>
      <c r="T61" s="1129"/>
      <c r="U61" s="1129"/>
      <c r="V61" s="1129"/>
      <c r="W61" s="1129"/>
      <c r="X61" s="1129"/>
      <c r="Y61" s="1129"/>
      <c r="Z61" s="1129"/>
      <c r="AA61" s="1129"/>
      <c r="AB61" s="1129"/>
      <c r="AC61" s="1129"/>
      <c r="AD61" s="1129"/>
      <c r="AE61" s="1129"/>
      <c r="AF61" s="1129"/>
      <c r="AG61" s="1129"/>
      <c r="AH61" s="1129"/>
      <c r="AI61" s="1129"/>
      <c r="AJ61" s="1129"/>
      <c r="AK61" s="1129"/>
      <c r="AL61" s="1129"/>
      <c r="AM61" s="1129"/>
      <c r="AN61" s="1129"/>
      <c r="AO61" s="1129"/>
      <c r="AP61" s="1129"/>
      <c r="AQ61" s="1129"/>
      <c r="AR61" s="1129"/>
      <c r="AS61" s="1129"/>
      <c r="AT61" s="1129"/>
      <c r="AU61" s="1129"/>
      <c r="AV61" s="1129"/>
      <c r="AW61" s="1129"/>
      <c r="AX61" s="1129"/>
      <c r="AY61" s="1129"/>
      <c r="AZ61" s="1129"/>
      <c r="BA61" s="1129"/>
      <c r="BB61" s="1129"/>
      <c r="BC61" s="1129"/>
      <c r="BD61" s="1129"/>
      <c r="BE61" s="1129"/>
      <c r="BF61" s="1129"/>
      <c r="BG61" s="1129"/>
      <c r="BH61" s="1129"/>
      <c r="BI61" s="1129"/>
      <c r="BJ61" s="1129"/>
      <c r="BK61" s="1129"/>
      <c r="BL61" s="1129"/>
      <c r="BM61" s="1129"/>
      <c r="BN61" s="1129"/>
      <c r="BO61" s="1129"/>
      <c r="BP61" s="1129"/>
      <c r="BQ61" s="1129"/>
      <c r="BR61" s="1129"/>
      <c r="BS61" s="1129"/>
      <c r="BT61" s="1129"/>
      <c r="BU61" s="1129"/>
      <c r="BV61" s="1129"/>
      <c r="BW61" s="1129"/>
      <c r="BX61" s="1129"/>
      <c r="BY61" s="1129"/>
      <c r="BZ61" s="1129"/>
      <c r="CA61" s="1129"/>
      <c r="CB61" s="1129"/>
      <c r="CC61" s="1129"/>
      <c r="CD61" s="1129"/>
      <c r="CE61" s="1129"/>
      <c r="CF61" s="1129"/>
      <c r="CG61" s="1129"/>
      <c r="CH61" s="1129"/>
      <c r="CI61" s="1129"/>
      <c r="CJ61" s="1129"/>
    </row>
    <row r="62" spans="1:88" s="1131" customFormat="1" ht="16.5" thickBot="1">
      <c r="A62" s="1129"/>
      <c r="B62" s="3448" t="s">
        <v>7138</v>
      </c>
      <c r="C62" s="3449"/>
      <c r="D62" s="3449"/>
      <c r="E62" s="3449"/>
      <c r="F62" s="3449"/>
      <c r="G62" s="3449"/>
      <c r="H62" s="3449"/>
      <c r="I62" s="3450"/>
      <c r="J62" s="3451"/>
      <c r="K62" s="1129"/>
      <c r="L62" s="1129"/>
      <c r="M62" s="1129"/>
      <c r="N62" s="1129"/>
      <c r="O62" s="1129"/>
      <c r="P62" s="1129"/>
      <c r="Q62" s="1129"/>
      <c r="R62" s="1129"/>
      <c r="S62" s="1129"/>
      <c r="T62" s="1129"/>
      <c r="U62" s="1129"/>
      <c r="V62" s="1129"/>
      <c r="W62" s="1129"/>
      <c r="X62" s="1129"/>
      <c r="Y62" s="1129"/>
      <c r="Z62" s="1129"/>
      <c r="AA62" s="1129"/>
      <c r="AB62" s="1129"/>
      <c r="AC62" s="1129"/>
      <c r="AD62" s="1129"/>
      <c r="AE62" s="1129"/>
      <c r="AF62" s="1129"/>
      <c r="AG62" s="1129"/>
      <c r="AH62" s="1129"/>
      <c r="AI62" s="1129"/>
      <c r="AJ62" s="1129"/>
      <c r="AK62" s="1129"/>
      <c r="AL62" s="1129"/>
      <c r="AM62" s="1129"/>
      <c r="AN62" s="1129"/>
      <c r="AO62" s="1129"/>
      <c r="AP62" s="1129"/>
      <c r="AQ62" s="1129"/>
      <c r="AR62" s="1129"/>
      <c r="AS62" s="1129"/>
      <c r="AT62" s="1129"/>
      <c r="AU62" s="1129"/>
      <c r="AV62" s="1129"/>
      <c r="AW62" s="1129"/>
      <c r="AX62" s="1129"/>
      <c r="AY62" s="1129"/>
      <c r="AZ62" s="1129"/>
      <c r="BA62" s="1129"/>
      <c r="BB62" s="1129"/>
      <c r="BC62" s="1129"/>
      <c r="BD62" s="1129"/>
      <c r="BE62" s="1129"/>
      <c r="BF62" s="1129"/>
      <c r="BG62" s="1129"/>
      <c r="BH62" s="1129"/>
      <c r="BI62" s="1129"/>
      <c r="BJ62" s="1129"/>
      <c r="BK62" s="1129"/>
      <c r="BL62" s="1129"/>
      <c r="BM62" s="1129"/>
      <c r="BN62" s="1129"/>
      <c r="BO62" s="1129"/>
      <c r="BP62" s="1129"/>
      <c r="BQ62" s="1129"/>
      <c r="BR62" s="1129"/>
      <c r="BS62" s="1129"/>
      <c r="BT62" s="1129"/>
      <c r="BU62" s="1129"/>
      <c r="BV62" s="1129"/>
      <c r="BW62" s="1129"/>
      <c r="BX62" s="1129"/>
      <c r="BY62" s="1129"/>
      <c r="BZ62" s="1129"/>
      <c r="CA62" s="1129"/>
      <c r="CB62" s="1129"/>
      <c r="CC62" s="1129"/>
      <c r="CD62" s="1129"/>
      <c r="CE62" s="1129"/>
      <c r="CF62" s="1129"/>
      <c r="CG62" s="1129"/>
      <c r="CH62" s="1129"/>
      <c r="CI62" s="1129"/>
      <c r="CJ62" s="1129"/>
    </row>
    <row r="63" spans="1:88"/>
    <row r="64" spans="1:88"/>
    <row r="65"/>
    <row r="66"/>
    <row r="67"/>
    <row r="68"/>
    <row r="69"/>
    <row r="70"/>
    <row r="71"/>
    <row r="72"/>
    <row r="73"/>
    <row r="74"/>
    <row r="75"/>
    <row r="76"/>
    <row r="77"/>
    <row r="78"/>
    <row r="79"/>
    <row r="80"/>
    <row r="81"/>
    <row r="82"/>
  </sheetData>
  <sheetProtection algorithmName="SHA-512" hashValue="M+uTkOC891odsYNVhPHBr58EhfHlVKE2WNt7jbuBsIWsXVqt5c+4UG7rCJBAKEsIg+RDWyqKn63ktLVLEtOYSQ==" saltValue="XPzXzW48VD+nhZ3kblvrNA==" spinCount="100000" sheet="1" objects="1" scenarios="1"/>
  <mergeCells count="14">
    <mergeCell ref="B62:J62"/>
    <mergeCell ref="B3:C3"/>
    <mergeCell ref="B34:J34"/>
    <mergeCell ref="B41:J41"/>
    <mergeCell ref="C58:J58"/>
    <mergeCell ref="C59:J59"/>
    <mergeCell ref="C60:J60"/>
    <mergeCell ref="C46:J54"/>
    <mergeCell ref="B39:J39"/>
    <mergeCell ref="B43:J43"/>
    <mergeCell ref="C45:J45"/>
    <mergeCell ref="C57:J57"/>
    <mergeCell ref="C55:J55"/>
    <mergeCell ref="C56:J56"/>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7" id="{D8CF702D-BD3B-4A5E-8ACA-4F08841973EB}">
            <xm:f>Validation!$H$3=1</xm:f>
            <x14:dxf>
              <fill>
                <patternFill>
                  <bgColor theme="2"/>
                </patternFill>
              </fill>
            </x14:dxf>
          </x14:cfRule>
          <xm:sqref>G6:CI15 G23:CI23 H21:CI21 CI22 G18:CI19</xm:sqref>
        </x14:conditionalFormatting>
        <x14:conditionalFormatting xmlns:xm="http://schemas.microsoft.com/office/excel/2006/main">
          <x14:cfRule type="expression" priority="6"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5"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4"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3"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2" id="{3603D968-3593-4160-9E2D-A5FCC3D22E32}">
            <xm:f>Validation!$H$3=1</xm:f>
            <x14:dxf>
              <fill>
                <patternFill>
                  <bgColor theme="2"/>
                </patternFill>
              </fill>
            </x14:dxf>
          </x14:cfRule>
          <xm:sqref>CI20</xm:sqref>
        </x14:conditionalFormatting>
        <x14:conditionalFormatting xmlns:xm="http://schemas.microsoft.com/office/excel/2006/main">
          <x14:cfRule type="expression" priority="1" id="{2E48CA20-7610-490B-9410-37C41FC3FB7B}">
            <xm:f>'T:\01 YW\20 Accounting Seperation\APR Tables 1920\Actuals APR 1920\Tables\Actuals P1-P12\[APR Tables 1920 FINANCE - 230620.xlsx]Validation'!#REF!=1</xm:f>
            <x14:dxf>
              <fill>
                <patternFill>
                  <bgColor theme="2"/>
                </patternFill>
              </fill>
            </x14:dxf>
          </x14:cfRule>
          <xm:sqref>G22:CH22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V281"/>
  <sheetViews>
    <sheetView topLeftCell="A84" zoomScale="70" zoomScaleNormal="70" workbookViewId="0">
      <selection activeCell="F100" sqref="F100"/>
    </sheetView>
  </sheetViews>
  <sheetFormatPr defaultColWidth="0" defaultRowHeight="14.25" zeroHeight="1"/>
  <cols>
    <col min="1" max="1" width="0.5" customWidth="1"/>
    <col min="2" max="2" width="8.5" customWidth="1"/>
    <col min="3" max="3" width="73.125" customWidth="1"/>
    <col min="4" max="4" width="10.625" style="563" bestFit="1" customWidth="1"/>
    <col min="5" max="5" width="8.125" style="563" customWidth="1"/>
    <col min="6" max="6" width="8.5" customWidth="1"/>
    <col min="7" max="7" width="12.125" customWidth="1"/>
    <col min="8" max="8" width="30.125" customWidth="1"/>
    <col min="9" max="9" width="2.5" customWidth="1"/>
    <col min="10" max="10" width="23.5" customWidth="1"/>
    <col min="11" max="11" width="1.125" customWidth="1"/>
    <col min="12" max="12" width="1.125" style="1665" hidden="1" customWidth="1"/>
    <col min="13" max="13" width="19.5" hidden="1" customWidth="1"/>
    <col min="14" max="14" width="0.5" style="1665" hidden="1" customWidth="1"/>
    <col min="15" max="15" width="13.5" hidden="1" customWidth="1"/>
    <col min="16" max="16" width="0.5" style="1665" hidden="1" customWidth="1"/>
    <col min="17" max="18" width="8.5" hidden="1" customWidth="1"/>
    <col min="19" max="19" width="26.125" hidden="1" customWidth="1"/>
    <col min="20" max="20" width="1.5" style="1665" hidden="1" customWidth="1"/>
    <col min="21" max="22" width="0" hidden="1" customWidth="1"/>
    <col min="23" max="16384" width="8.5" hidden="1"/>
  </cols>
  <sheetData>
    <row r="1" spans="1:20" s="880" customFormat="1" ht="20.25">
      <c r="B1" s="66" t="s">
        <v>7139</v>
      </c>
      <c r="C1" s="66"/>
      <c r="D1" s="66"/>
      <c r="E1" s="66"/>
      <c r="F1" s="66"/>
      <c r="G1" s="66"/>
      <c r="H1" s="68" t="str">
        <f>Validation!B3</f>
        <v>Yorkshire Water</v>
      </c>
      <c r="I1" s="66"/>
      <c r="J1" s="69" t="s">
        <v>34</v>
      </c>
      <c r="K1" s="70"/>
      <c r="L1" s="71"/>
      <c r="N1" s="71"/>
      <c r="P1" s="1673"/>
      <c r="T1" s="1673"/>
    </row>
    <row r="2" spans="1:20" s="880" customFormat="1" ht="15" thickBot="1">
      <c r="B2" s="73" t="str">
        <f>'4O'!B2</f>
        <v>For the 12 months ended 31 March 2020</v>
      </c>
      <c r="C2" s="994"/>
      <c r="D2" s="994"/>
      <c r="I2" s="70"/>
      <c r="J2" s="70"/>
      <c r="K2" s="70"/>
      <c r="L2" s="71"/>
      <c r="N2" s="71"/>
      <c r="P2" s="1673"/>
      <c r="T2" s="1673"/>
    </row>
    <row r="3" spans="1:20" s="192" customFormat="1" ht="15" thickBot="1">
      <c r="A3" s="880"/>
      <c r="B3" s="996" t="s">
        <v>193</v>
      </c>
      <c r="C3" s="996" t="s">
        <v>36</v>
      </c>
      <c r="D3" s="997" t="s">
        <v>3098</v>
      </c>
      <c r="E3" s="998" t="s">
        <v>38</v>
      </c>
      <c r="F3" s="998" t="s">
        <v>39</v>
      </c>
      <c r="G3" s="3038" t="s">
        <v>158</v>
      </c>
      <c r="H3" s="2990" t="s">
        <v>4567</v>
      </c>
      <c r="I3" s="70"/>
      <c r="J3" s="2990" t="s">
        <v>43</v>
      </c>
      <c r="K3" s="70"/>
      <c r="L3" s="71"/>
      <c r="M3" s="76" t="s">
        <v>47</v>
      </c>
      <c r="N3" s="71"/>
      <c r="O3" s="2987" t="s">
        <v>26</v>
      </c>
      <c r="P3" s="71"/>
      <c r="Q3" s="76" t="s">
        <v>904</v>
      </c>
      <c r="R3" s="77"/>
      <c r="S3" s="77"/>
      <c r="T3" s="71"/>
    </row>
    <row r="4" spans="1:20" s="192" customFormat="1" ht="15.75" thickBot="1">
      <c r="A4" s="880"/>
      <c r="B4" s="880"/>
      <c r="C4" s="880"/>
      <c r="D4" s="880"/>
      <c r="E4" s="880"/>
      <c r="F4" s="880"/>
      <c r="G4" s="880"/>
      <c r="H4" s="880"/>
      <c r="I4" s="70"/>
      <c r="J4" s="1092"/>
      <c r="K4" s="70"/>
      <c r="L4" s="71"/>
      <c r="M4" s="85" t="s">
        <v>48</v>
      </c>
      <c r="N4" s="71"/>
      <c r="P4" s="71"/>
      <c r="R4" s="3022"/>
      <c r="S4" s="3022"/>
      <c r="T4" s="71"/>
    </row>
    <row r="5" spans="1:20" s="192" customFormat="1" ht="15.75" thickBot="1">
      <c r="A5" s="880"/>
      <c r="B5" s="3034" t="s">
        <v>155</v>
      </c>
      <c r="C5" s="1060" t="s">
        <v>907</v>
      </c>
      <c r="D5" s="880"/>
      <c r="E5" s="880"/>
      <c r="F5" s="880"/>
      <c r="G5" s="880"/>
      <c r="H5" s="880"/>
      <c r="I5" s="70"/>
      <c r="J5" s="1092"/>
      <c r="K5" s="70"/>
      <c r="L5" s="71"/>
      <c r="M5" s="85"/>
      <c r="N5" s="71"/>
      <c r="P5" s="71"/>
      <c r="T5" s="71"/>
    </row>
    <row r="6" spans="1:20" s="192" customFormat="1">
      <c r="A6" s="880"/>
      <c r="B6" s="1000" t="s">
        <v>7140</v>
      </c>
      <c r="C6" s="1132" t="s">
        <v>7141</v>
      </c>
      <c r="D6" s="1619" t="s">
        <v>7142</v>
      </c>
      <c r="E6" s="1002" t="s">
        <v>7143</v>
      </c>
      <c r="F6" s="1003">
        <v>3</v>
      </c>
      <c r="G6" s="1005">
        <v>0.72899999999999998</v>
      </c>
      <c r="H6" s="1905"/>
      <c r="I6" s="70"/>
      <c r="J6" s="24">
        <f t="shared" ref="J6:J33" si="0" xml:space="preserve"> IF( SUM( L6:N6 ) = 0, 0, $M$4 )</f>
        <v>0</v>
      </c>
      <c r="K6" s="70"/>
      <c r="L6" s="71"/>
      <c r="M6" s="93">
        <f t="shared" ref="M6:M26" si="1" xml:space="preserve"> IF( ISNUMBER( G6 ), 0, 1 )</f>
        <v>0</v>
      </c>
      <c r="N6" s="71"/>
      <c r="P6" s="71"/>
      <c r="T6" s="71"/>
    </row>
    <row r="7" spans="1:20" s="192" customFormat="1">
      <c r="A7" s="880"/>
      <c r="B7" s="1009" t="s">
        <v>7144</v>
      </c>
      <c r="C7" s="1010" t="s">
        <v>7145</v>
      </c>
      <c r="D7" s="1620" t="s">
        <v>7146</v>
      </c>
      <c r="E7" s="2003" t="s">
        <v>7143</v>
      </c>
      <c r="F7" s="1007">
        <v>3</v>
      </c>
      <c r="G7" s="1012">
        <v>1.7000000000000001E-2</v>
      </c>
      <c r="H7" s="1906"/>
      <c r="I7" s="70"/>
      <c r="J7" s="24">
        <f t="shared" si="0"/>
        <v>0</v>
      </c>
      <c r="K7" s="70"/>
      <c r="L7" s="71"/>
      <c r="M7" s="93">
        <f t="shared" si="1"/>
        <v>0</v>
      </c>
      <c r="N7" s="71"/>
      <c r="P7" s="71"/>
      <c r="T7" s="71"/>
    </row>
    <row r="8" spans="1:20" s="192" customFormat="1">
      <c r="A8" s="880"/>
      <c r="B8" s="1009" t="s">
        <v>7147</v>
      </c>
      <c r="C8" s="1010" t="s">
        <v>7148</v>
      </c>
      <c r="D8" s="1620" t="s">
        <v>7149</v>
      </c>
      <c r="E8" s="2003" t="s">
        <v>7143</v>
      </c>
      <c r="F8" s="1007">
        <v>3</v>
      </c>
      <c r="G8" s="1012">
        <v>5.8999999999999997E-2</v>
      </c>
      <c r="H8" s="1906"/>
      <c r="I8" s="70"/>
      <c r="J8" s="24">
        <f t="shared" si="0"/>
        <v>0</v>
      </c>
      <c r="K8" s="70"/>
      <c r="L8" s="71"/>
      <c r="M8" s="93">
        <f t="shared" si="1"/>
        <v>0</v>
      </c>
      <c r="N8" s="71"/>
      <c r="P8" s="71"/>
      <c r="T8" s="71"/>
    </row>
    <row r="9" spans="1:20" s="192" customFormat="1" ht="25.5">
      <c r="A9" s="880"/>
      <c r="B9" s="1009" t="s">
        <v>7150</v>
      </c>
      <c r="C9" s="1010" t="s">
        <v>7151</v>
      </c>
      <c r="D9" s="1620" t="s">
        <v>7152</v>
      </c>
      <c r="E9" s="2003" t="s">
        <v>7143</v>
      </c>
      <c r="F9" s="1007">
        <v>3</v>
      </c>
      <c r="G9" s="1012">
        <v>0.19500000000000001</v>
      </c>
      <c r="H9" s="1906"/>
      <c r="I9" s="70"/>
      <c r="J9" s="24">
        <f t="shared" si="0"/>
        <v>0</v>
      </c>
      <c r="K9" s="70"/>
      <c r="L9" s="71"/>
      <c r="M9" s="93">
        <f t="shared" si="1"/>
        <v>0</v>
      </c>
      <c r="N9" s="71"/>
      <c r="P9" s="71"/>
      <c r="T9" s="71"/>
    </row>
    <row r="10" spans="1:20" s="192" customFormat="1">
      <c r="A10" s="880"/>
      <c r="B10" s="1009" t="s">
        <v>7153</v>
      </c>
      <c r="C10" s="1010" t="s">
        <v>7154</v>
      </c>
      <c r="D10" s="1620" t="s">
        <v>7155</v>
      </c>
      <c r="E10" s="2003" t="s">
        <v>7143</v>
      </c>
      <c r="F10" s="1007">
        <v>3</v>
      </c>
      <c r="G10" s="1012">
        <v>0</v>
      </c>
      <c r="H10" s="1906"/>
      <c r="I10" s="70"/>
      <c r="J10" s="24">
        <f t="shared" si="0"/>
        <v>0</v>
      </c>
      <c r="K10" s="70"/>
      <c r="L10" s="71"/>
      <c r="M10" s="93">
        <f t="shared" si="1"/>
        <v>0</v>
      </c>
      <c r="N10" s="71"/>
      <c r="P10" s="71"/>
      <c r="T10" s="71"/>
    </row>
    <row r="11" spans="1:20" s="192" customFormat="1" ht="25.5" customHeight="1">
      <c r="A11" s="880"/>
      <c r="B11" s="1009" t="s">
        <v>7156</v>
      </c>
      <c r="C11" s="1010" t="s">
        <v>7157</v>
      </c>
      <c r="D11" s="1620" t="s">
        <v>7158</v>
      </c>
      <c r="E11" s="2003" t="s">
        <v>7143</v>
      </c>
      <c r="F11" s="1007">
        <v>3</v>
      </c>
      <c r="G11" s="1012">
        <v>0</v>
      </c>
      <c r="H11" s="1906"/>
      <c r="I11" s="70"/>
      <c r="J11" s="24">
        <f t="shared" si="0"/>
        <v>0</v>
      </c>
      <c r="L11" s="71"/>
      <c r="M11" s="93">
        <f t="shared" ref="M11:M13" si="2" xml:space="preserve"> IF( ISNUMBER( G11 ), 0, 1 )</f>
        <v>0</v>
      </c>
      <c r="N11" s="71"/>
      <c r="P11" s="71"/>
      <c r="T11" s="119"/>
    </row>
    <row r="12" spans="1:20" s="2144" customFormat="1">
      <c r="A12" s="880"/>
      <c r="B12" s="1009" t="s">
        <v>7159</v>
      </c>
      <c r="C12" s="2405" t="s">
        <v>7160</v>
      </c>
      <c r="D12" s="2148" t="s">
        <v>7161</v>
      </c>
      <c r="E12" s="2003" t="s">
        <v>7143</v>
      </c>
      <c r="F12" s="1007">
        <v>3</v>
      </c>
      <c r="G12" s="1012">
        <v>0</v>
      </c>
      <c r="H12" s="1906"/>
      <c r="I12" s="2100"/>
      <c r="J12" s="2417">
        <f t="shared" si="0"/>
        <v>0</v>
      </c>
      <c r="K12" s="2100"/>
      <c r="L12" s="2410"/>
      <c r="M12" s="2418">
        <f t="shared" si="2"/>
        <v>0</v>
      </c>
      <c r="N12" s="2410"/>
      <c r="P12" s="2419"/>
      <c r="Q12" s="2420"/>
      <c r="R12" s="2420"/>
      <c r="S12" s="2421"/>
      <c r="T12" s="2419"/>
    </row>
    <row r="13" spans="1:20" s="2144" customFormat="1">
      <c r="A13" s="880"/>
      <c r="B13" s="1009" t="s">
        <v>7162</v>
      </c>
      <c r="C13" s="2405" t="s">
        <v>7163</v>
      </c>
      <c r="D13" s="2148" t="s">
        <v>7164</v>
      </c>
      <c r="E13" s="2003" t="s">
        <v>7143</v>
      </c>
      <c r="F13" s="1007">
        <v>3</v>
      </c>
      <c r="G13" s="1012">
        <v>0</v>
      </c>
      <c r="H13" s="1906"/>
      <c r="I13" s="2100"/>
      <c r="J13" s="2417">
        <f xml:space="preserve"> IF( SUM( L13:N13 ) &lt;&gt; 0, $M$4, IF(SUM(N13:P13) =  0, 0, $S$13))</f>
        <v>0</v>
      </c>
      <c r="K13" s="2100"/>
      <c r="L13" s="2410"/>
      <c r="M13" s="2418">
        <f t="shared" si="2"/>
        <v>0</v>
      </c>
      <c r="N13" s="2410"/>
      <c r="O13" s="2418">
        <f xml:space="preserve"> IF( (Q13 - R13) = 0, 0, 1 )</f>
        <v>0</v>
      </c>
      <c r="P13" s="2419"/>
      <c r="Q13" s="2420">
        <f>SUM(G6:G13)</f>
        <v>1</v>
      </c>
      <c r="R13" s="2420">
        <v>1</v>
      </c>
      <c r="S13" s="2421" t="s">
        <v>7165</v>
      </c>
      <c r="T13" s="2419"/>
    </row>
    <row r="14" spans="1:20" s="192" customFormat="1">
      <c r="A14" s="880"/>
      <c r="B14" s="1009" t="s">
        <v>7166</v>
      </c>
      <c r="C14" s="1010" t="s">
        <v>7167</v>
      </c>
      <c r="D14" s="1620" t="s">
        <v>7168</v>
      </c>
      <c r="E14" s="2003" t="s">
        <v>766</v>
      </c>
      <c r="F14" s="1007">
        <v>0</v>
      </c>
      <c r="G14" s="1133">
        <v>40</v>
      </c>
      <c r="H14" s="1906"/>
      <c r="I14" s="70"/>
      <c r="J14" s="24">
        <f t="shared" si="0"/>
        <v>0</v>
      </c>
      <c r="K14" s="70"/>
      <c r="L14" s="71"/>
      <c r="M14" s="93">
        <f t="shared" si="1"/>
        <v>0</v>
      </c>
      <c r="N14" s="71"/>
      <c r="P14" s="71"/>
      <c r="T14" s="71"/>
    </row>
    <row r="15" spans="1:20" s="192" customFormat="1">
      <c r="A15" s="880"/>
      <c r="B15" s="1009" t="s">
        <v>7169</v>
      </c>
      <c r="C15" s="1010" t="s">
        <v>7170</v>
      </c>
      <c r="D15" s="1620" t="s">
        <v>7171</v>
      </c>
      <c r="E15" s="2003" t="s">
        <v>766</v>
      </c>
      <c r="F15" s="1007">
        <v>0</v>
      </c>
      <c r="G15" s="1133">
        <v>2</v>
      </c>
      <c r="H15" s="1906"/>
      <c r="I15" s="70"/>
      <c r="J15" s="24">
        <f t="shared" si="0"/>
        <v>0</v>
      </c>
      <c r="K15" s="70"/>
      <c r="L15" s="71"/>
      <c r="M15" s="93">
        <f t="shared" si="1"/>
        <v>0</v>
      </c>
      <c r="N15" s="71"/>
      <c r="P15" s="71"/>
      <c r="T15" s="71"/>
    </row>
    <row r="16" spans="1:20" s="192" customFormat="1">
      <c r="A16" s="880"/>
      <c r="B16" s="1009" t="s">
        <v>7172</v>
      </c>
      <c r="C16" s="1010" t="s">
        <v>7173</v>
      </c>
      <c r="D16" s="1620" t="s">
        <v>7174</v>
      </c>
      <c r="E16" s="2003" t="s">
        <v>766</v>
      </c>
      <c r="F16" s="1007">
        <v>0</v>
      </c>
      <c r="G16" s="1133">
        <v>16</v>
      </c>
      <c r="H16" s="1906"/>
      <c r="I16" s="70"/>
      <c r="J16" s="24">
        <f t="shared" si="0"/>
        <v>0</v>
      </c>
      <c r="K16" s="70"/>
      <c r="L16" s="71"/>
      <c r="M16" s="93">
        <f t="shared" si="1"/>
        <v>0</v>
      </c>
      <c r="N16" s="71"/>
      <c r="P16" s="71"/>
      <c r="T16" s="71"/>
    </row>
    <row r="17" spans="1:20" s="192" customFormat="1" ht="14.25" customHeight="1">
      <c r="A17" s="880"/>
      <c r="B17" s="1009" t="s">
        <v>7175</v>
      </c>
      <c r="C17" s="1010" t="s">
        <v>7176</v>
      </c>
      <c r="D17" s="1620" t="s">
        <v>7177</v>
      </c>
      <c r="E17" s="2003" t="s">
        <v>766</v>
      </c>
      <c r="F17" s="1007">
        <v>0</v>
      </c>
      <c r="G17" s="1133">
        <v>40</v>
      </c>
      <c r="H17" s="1906"/>
      <c r="I17" s="70"/>
      <c r="J17" s="24">
        <f t="shared" si="0"/>
        <v>0</v>
      </c>
      <c r="K17" s="70"/>
      <c r="L17" s="71"/>
      <c r="M17" s="93">
        <f t="shared" si="1"/>
        <v>0</v>
      </c>
      <c r="N17" s="71"/>
      <c r="P17" s="71"/>
      <c r="T17" s="71"/>
    </row>
    <row r="18" spans="1:20" s="192" customFormat="1">
      <c r="A18" s="880"/>
      <c r="B18" s="1009" t="s">
        <v>7178</v>
      </c>
      <c r="C18" s="1010" t="s">
        <v>7179</v>
      </c>
      <c r="D18" s="1620" t="s">
        <v>7180</v>
      </c>
      <c r="E18" s="2003" t="s">
        <v>766</v>
      </c>
      <c r="F18" s="1007">
        <v>0</v>
      </c>
      <c r="G18" s="1133">
        <v>0</v>
      </c>
      <c r="H18" s="1906"/>
      <c r="I18" s="70"/>
      <c r="J18" s="24">
        <f t="shared" si="0"/>
        <v>0</v>
      </c>
      <c r="K18" s="70"/>
      <c r="L18" s="71"/>
      <c r="M18" s="93">
        <f t="shared" si="1"/>
        <v>0</v>
      </c>
      <c r="N18" s="71"/>
      <c r="P18" s="71"/>
      <c r="T18" s="71"/>
    </row>
    <row r="19" spans="1:20" s="192" customFormat="1">
      <c r="A19" s="880"/>
      <c r="B19" s="1009" t="s">
        <v>7181</v>
      </c>
      <c r="C19" s="1010" t="s">
        <v>7182</v>
      </c>
      <c r="D19" s="1620" t="s">
        <v>7183</v>
      </c>
      <c r="E19" s="2003" t="s">
        <v>766</v>
      </c>
      <c r="F19" s="1007">
        <v>0</v>
      </c>
      <c r="G19" s="1133">
        <v>0</v>
      </c>
      <c r="H19" s="1906"/>
      <c r="I19" s="70"/>
      <c r="J19" s="24">
        <f t="shared" si="0"/>
        <v>0</v>
      </c>
      <c r="K19" s="70"/>
      <c r="L19" s="71"/>
      <c r="M19" s="93">
        <f t="shared" si="1"/>
        <v>0</v>
      </c>
      <c r="N19" s="71"/>
      <c r="P19" s="71"/>
      <c r="T19" s="71"/>
    </row>
    <row r="20" spans="1:20" s="2144" customFormat="1">
      <c r="A20" s="880"/>
      <c r="B20" s="1009" t="s">
        <v>7184</v>
      </c>
      <c r="C20" s="2405" t="s">
        <v>7185</v>
      </c>
      <c r="D20" s="2148" t="s">
        <v>7186</v>
      </c>
      <c r="E20" s="2003" t="s">
        <v>766</v>
      </c>
      <c r="F20" s="1007">
        <v>0</v>
      </c>
      <c r="G20" s="1133">
        <v>0</v>
      </c>
      <c r="H20" s="1906"/>
      <c r="I20" s="2100"/>
      <c r="J20" s="2417">
        <f t="shared" si="0"/>
        <v>0</v>
      </c>
      <c r="K20" s="2100"/>
      <c r="L20" s="2410"/>
      <c r="M20" s="2418">
        <f t="shared" ref="M20" si="3" xml:space="preserve"> IF( ISNUMBER( G20 ), 0, 1 )</f>
        <v>0</v>
      </c>
      <c r="N20" s="2410"/>
      <c r="P20" s="2410"/>
      <c r="T20" s="2410"/>
    </row>
    <row r="21" spans="1:20" s="2144" customFormat="1">
      <c r="A21" s="880"/>
      <c r="B21" s="1009" t="s">
        <v>7187</v>
      </c>
      <c r="C21" s="2405" t="s">
        <v>7188</v>
      </c>
      <c r="D21" s="2148" t="s">
        <v>7189</v>
      </c>
      <c r="E21" s="2003" t="s">
        <v>766</v>
      </c>
      <c r="F21" s="1007">
        <v>0</v>
      </c>
      <c r="G21" s="1133">
        <v>98</v>
      </c>
      <c r="H21" s="1906"/>
      <c r="I21" s="2100"/>
      <c r="J21" s="2417">
        <f t="shared" si="0"/>
        <v>0</v>
      </c>
      <c r="K21" s="2100"/>
      <c r="L21" s="2410"/>
      <c r="M21" s="2418">
        <f t="shared" si="1"/>
        <v>0</v>
      </c>
      <c r="N21" s="2410"/>
      <c r="P21" s="2410"/>
      <c r="T21" s="2410"/>
    </row>
    <row r="22" spans="1:20" s="2144" customFormat="1">
      <c r="A22" s="880"/>
      <c r="B22" s="1009" t="s">
        <v>7190</v>
      </c>
      <c r="C22" s="2405" t="s">
        <v>7191</v>
      </c>
      <c r="D22" s="2148" t="s">
        <v>7192</v>
      </c>
      <c r="E22" s="2003" t="s">
        <v>766</v>
      </c>
      <c r="F22" s="1007">
        <v>0</v>
      </c>
      <c r="G22" s="1133">
        <v>0</v>
      </c>
      <c r="H22" s="1906"/>
      <c r="I22" s="2100"/>
      <c r="J22" s="2417">
        <f t="shared" si="0"/>
        <v>0</v>
      </c>
      <c r="K22" s="2100"/>
      <c r="L22" s="2410"/>
      <c r="M22" s="2418">
        <f t="shared" ref="M22" si="4" xml:space="preserve"> IF( ISNUMBER( G22 ), 0, 1 )</f>
        <v>0</v>
      </c>
      <c r="N22" s="2410"/>
      <c r="P22" s="2410"/>
      <c r="T22" s="2410"/>
    </row>
    <row r="23" spans="1:20" s="192" customFormat="1">
      <c r="A23" s="880"/>
      <c r="B23" s="1009" t="s">
        <v>7193</v>
      </c>
      <c r="C23" s="1010" t="s">
        <v>7194</v>
      </c>
      <c r="D23" s="1620" t="s">
        <v>7195</v>
      </c>
      <c r="E23" s="2003" t="s">
        <v>766</v>
      </c>
      <c r="F23" s="1007">
        <v>0</v>
      </c>
      <c r="G23" s="1133">
        <v>129</v>
      </c>
      <c r="H23" s="1906"/>
      <c r="I23" s="70"/>
      <c r="J23" s="24">
        <f t="shared" si="0"/>
        <v>0</v>
      </c>
      <c r="K23" s="70"/>
      <c r="L23" s="71"/>
      <c r="M23" s="93">
        <f t="shared" si="1"/>
        <v>0</v>
      </c>
      <c r="N23" s="71"/>
      <c r="P23" s="71"/>
      <c r="T23" s="71"/>
    </row>
    <row r="24" spans="1:20" s="192" customFormat="1">
      <c r="A24" s="880"/>
      <c r="B24" s="1009" t="s">
        <v>7196</v>
      </c>
      <c r="C24" s="1010" t="s">
        <v>7197</v>
      </c>
      <c r="D24" s="1620" t="s">
        <v>7198</v>
      </c>
      <c r="E24" s="2003" t="s">
        <v>3456</v>
      </c>
      <c r="F24" s="1007">
        <v>0</v>
      </c>
      <c r="G24" s="1133">
        <v>187719</v>
      </c>
      <c r="H24" s="1906"/>
      <c r="I24" s="70"/>
      <c r="J24" s="24">
        <f t="shared" si="0"/>
        <v>0</v>
      </c>
      <c r="K24" s="70"/>
      <c r="L24" s="71"/>
      <c r="M24" s="93">
        <f t="shared" si="1"/>
        <v>0</v>
      </c>
      <c r="N24" s="71"/>
      <c r="P24" s="71"/>
      <c r="T24" s="71"/>
    </row>
    <row r="25" spans="1:20" s="192" customFormat="1">
      <c r="A25" s="880"/>
      <c r="B25" s="1009" t="s">
        <v>7199</v>
      </c>
      <c r="C25" s="1010" t="s">
        <v>7200</v>
      </c>
      <c r="D25" s="1620" t="s">
        <v>7201</v>
      </c>
      <c r="E25" s="2003" t="s">
        <v>766</v>
      </c>
      <c r="F25" s="1007">
        <v>0</v>
      </c>
      <c r="G25" s="1133">
        <v>78</v>
      </c>
      <c r="H25" s="1906"/>
      <c r="I25" s="70"/>
      <c r="J25" s="24">
        <f t="shared" si="0"/>
        <v>0</v>
      </c>
      <c r="K25" s="70"/>
      <c r="L25" s="71"/>
      <c r="M25" s="93">
        <f t="shared" si="1"/>
        <v>0</v>
      </c>
      <c r="N25" s="71"/>
      <c r="P25" s="71"/>
      <c r="T25" s="71"/>
    </row>
    <row r="26" spans="1:20" s="192" customFormat="1">
      <c r="A26" s="880"/>
      <c r="B26" s="1009" t="s">
        <v>7202</v>
      </c>
      <c r="C26" s="1010" t="s">
        <v>7203</v>
      </c>
      <c r="D26" s="2148" t="s">
        <v>7204</v>
      </c>
      <c r="E26" s="2003" t="s">
        <v>766</v>
      </c>
      <c r="F26" s="1007">
        <v>0</v>
      </c>
      <c r="G26" s="1133">
        <v>38</v>
      </c>
      <c r="H26" s="1906"/>
      <c r="I26" s="70"/>
      <c r="J26" s="24">
        <f t="shared" si="0"/>
        <v>0</v>
      </c>
      <c r="K26" s="70"/>
      <c r="L26" s="71"/>
      <c r="M26" s="93">
        <f t="shared" si="1"/>
        <v>0</v>
      </c>
      <c r="N26" s="71"/>
      <c r="P26" s="71"/>
      <c r="T26" s="71"/>
    </row>
    <row r="27" spans="1:20" s="192" customFormat="1">
      <c r="A27" s="880"/>
      <c r="B27" s="1065" t="s">
        <v>7205</v>
      </c>
      <c r="C27" s="1010" t="s">
        <v>7206</v>
      </c>
      <c r="D27" s="1620" t="s">
        <v>7207</v>
      </c>
      <c r="E27" s="2003" t="s">
        <v>7208</v>
      </c>
      <c r="F27" s="1007">
        <v>0</v>
      </c>
      <c r="G27" s="1133">
        <v>12344</v>
      </c>
      <c r="H27" s="1906"/>
      <c r="I27" s="70"/>
      <c r="J27" s="24">
        <f t="shared" si="0"/>
        <v>0</v>
      </c>
      <c r="K27" s="70"/>
      <c r="L27" s="71"/>
      <c r="M27" s="93">
        <f xml:space="preserve"> IF( ISNUMBER( G27 ), 0, 1 )</f>
        <v>0</v>
      </c>
      <c r="N27" s="71"/>
      <c r="P27" s="71"/>
      <c r="T27" s="71"/>
    </row>
    <row r="28" spans="1:20" s="192" customFormat="1">
      <c r="A28" s="880"/>
      <c r="B28" s="1009" t="s">
        <v>7209</v>
      </c>
      <c r="C28" s="1010" t="s">
        <v>7210</v>
      </c>
      <c r="D28" s="2148" t="s">
        <v>7211</v>
      </c>
      <c r="E28" s="2003" t="s">
        <v>7208</v>
      </c>
      <c r="F28" s="1007">
        <v>0</v>
      </c>
      <c r="G28" s="1133">
        <v>28727</v>
      </c>
      <c r="H28" s="1906"/>
      <c r="I28" s="70"/>
      <c r="J28" s="24">
        <f t="shared" si="0"/>
        <v>0</v>
      </c>
      <c r="K28" s="70"/>
      <c r="L28" s="71"/>
      <c r="M28" s="93">
        <f t="shared" ref="M28" si="5" xml:space="preserve"> IF( ISNUMBER( G28 ), 0, 1 )</f>
        <v>0</v>
      </c>
      <c r="N28" s="71"/>
      <c r="P28" s="71"/>
      <c r="T28" s="71"/>
    </row>
    <row r="29" spans="1:20" s="192" customFormat="1">
      <c r="A29" s="880"/>
      <c r="B29" s="1009" t="s">
        <v>7212</v>
      </c>
      <c r="C29" s="1010" t="s">
        <v>7213</v>
      </c>
      <c r="D29" s="1620" t="s">
        <v>7214</v>
      </c>
      <c r="E29" s="2003" t="s">
        <v>7215</v>
      </c>
      <c r="F29" s="1007">
        <v>2</v>
      </c>
      <c r="G29" s="1134">
        <v>14.76</v>
      </c>
      <c r="H29" s="1906"/>
      <c r="I29" s="70"/>
      <c r="J29" s="24">
        <f t="shared" si="0"/>
        <v>0</v>
      </c>
      <c r="K29" s="70"/>
      <c r="L29" s="71"/>
      <c r="M29" s="93">
        <f xml:space="preserve"> IF( ISNUMBER( G29 ), 0, 1 )</f>
        <v>0</v>
      </c>
      <c r="N29" s="71"/>
      <c r="P29" s="71"/>
      <c r="T29" s="71"/>
    </row>
    <row r="30" spans="1:20" s="192" customFormat="1">
      <c r="A30" s="880"/>
      <c r="B30" s="1065" t="s">
        <v>7216</v>
      </c>
      <c r="C30" s="1135" t="s">
        <v>7217</v>
      </c>
      <c r="D30" s="1621" t="s">
        <v>7218</v>
      </c>
      <c r="E30" s="1136" t="s">
        <v>7219</v>
      </c>
      <c r="F30" s="1137">
        <v>2</v>
      </c>
      <c r="G30" s="1138">
        <v>10.1</v>
      </c>
      <c r="H30" s="1907"/>
      <c r="I30" s="70"/>
      <c r="J30" s="24">
        <f t="shared" si="0"/>
        <v>0</v>
      </c>
      <c r="K30" s="70"/>
      <c r="L30" s="71"/>
      <c r="M30" s="93">
        <f xml:space="preserve"> IF( ISNUMBER( G30 ), 0, 1 )</f>
        <v>0</v>
      </c>
      <c r="N30" s="71"/>
      <c r="P30" s="71"/>
      <c r="T30" s="71"/>
    </row>
    <row r="31" spans="1:20" s="192" customFormat="1">
      <c r="A31" s="880"/>
      <c r="B31" s="1065" t="s">
        <v>7220</v>
      </c>
      <c r="C31" s="1135" t="s">
        <v>7221</v>
      </c>
      <c r="D31" s="1621" t="s">
        <v>7222</v>
      </c>
      <c r="E31" s="1136" t="s">
        <v>7219</v>
      </c>
      <c r="F31" s="1137">
        <v>2</v>
      </c>
      <c r="G31" s="1138">
        <v>27.72</v>
      </c>
      <c r="H31" s="1907"/>
      <c r="I31" s="70"/>
      <c r="J31" s="24">
        <f t="shared" ref="J31:J32" si="6" xml:space="preserve"> IF( SUM( L31:N31 ) = 0, 0, $M$4 )</f>
        <v>0</v>
      </c>
      <c r="K31" s="70"/>
      <c r="L31" s="71"/>
      <c r="M31" s="93">
        <f t="shared" ref="M31:M32" si="7" xml:space="preserve"> IF( ISNUMBER( G31 ), 0, 1 )</f>
        <v>0</v>
      </c>
      <c r="N31" s="71"/>
      <c r="P31" s="71"/>
      <c r="T31" s="71"/>
    </row>
    <row r="32" spans="1:20" s="2144" customFormat="1">
      <c r="A32" s="880"/>
      <c r="B32" s="1065" t="s">
        <v>7223</v>
      </c>
      <c r="C32" s="2422" t="s">
        <v>7224</v>
      </c>
      <c r="D32" s="2423" t="s">
        <v>7225</v>
      </c>
      <c r="E32" s="2003" t="s">
        <v>7215</v>
      </c>
      <c r="F32" s="1007">
        <v>2</v>
      </c>
      <c r="G32" s="1138">
        <v>1452.59</v>
      </c>
      <c r="H32" s="1907"/>
      <c r="I32" s="2100"/>
      <c r="J32" s="2417">
        <f t="shared" si="6"/>
        <v>0</v>
      </c>
      <c r="K32" s="2100"/>
      <c r="L32" s="2410"/>
      <c r="M32" s="2418">
        <f t="shared" si="7"/>
        <v>0</v>
      </c>
      <c r="N32" s="2410"/>
      <c r="P32" s="2410"/>
      <c r="T32" s="2410"/>
    </row>
    <row r="33" spans="1:20" s="2144" customFormat="1" ht="15" thickBot="1">
      <c r="A33" s="880"/>
      <c r="B33" s="1014" t="s">
        <v>7226</v>
      </c>
      <c r="C33" s="2424" t="s">
        <v>7227</v>
      </c>
      <c r="D33" s="2425" t="s">
        <v>7228</v>
      </c>
      <c r="E33" s="1016" t="s">
        <v>2933</v>
      </c>
      <c r="F33" s="1017">
        <v>2</v>
      </c>
      <c r="G33" s="1139">
        <v>1648.04</v>
      </c>
      <c r="H33" s="1908"/>
      <c r="I33" s="2100"/>
      <c r="J33" s="2417">
        <f t="shared" si="0"/>
        <v>0</v>
      </c>
      <c r="K33" s="2100"/>
      <c r="L33" s="2410"/>
      <c r="M33" s="2418">
        <f xml:space="preserve"> IF( ISNUMBER( G33 ), 0, 1 )</f>
        <v>0</v>
      </c>
      <c r="N33" s="2410"/>
      <c r="P33" s="2410"/>
      <c r="T33" s="2410"/>
    </row>
    <row r="34" spans="1:20" ht="15" thickBot="1">
      <c r="A34" s="2004"/>
      <c r="B34" s="2004"/>
      <c r="C34" s="2004"/>
      <c r="D34" s="1622"/>
      <c r="F34" s="2004"/>
      <c r="G34" s="2004"/>
      <c r="H34" s="2004"/>
      <c r="I34" s="2004"/>
      <c r="J34" s="2004"/>
      <c r="K34" s="2004"/>
      <c r="M34" s="2004"/>
      <c r="O34" s="2004"/>
      <c r="Q34" s="2004"/>
      <c r="R34" s="2004"/>
      <c r="S34" s="2004"/>
    </row>
    <row r="35" spans="1:20" s="880" customFormat="1" ht="15.75" thickBot="1">
      <c r="B35" s="3034" t="s">
        <v>177</v>
      </c>
      <c r="C35" s="1060" t="s">
        <v>3255</v>
      </c>
      <c r="D35" s="1623"/>
      <c r="I35" s="70"/>
      <c r="J35" s="1092"/>
      <c r="K35" s="70"/>
      <c r="L35" s="71"/>
      <c r="N35" s="1673"/>
      <c r="P35" s="1673"/>
      <c r="T35" s="1673"/>
    </row>
    <row r="36" spans="1:20" s="192" customFormat="1" ht="15" customHeight="1">
      <c r="A36" s="880"/>
      <c r="B36" s="1000" t="s">
        <v>7229</v>
      </c>
      <c r="C36" s="1140" t="s">
        <v>7230</v>
      </c>
      <c r="D36" s="1624" t="s">
        <v>7231</v>
      </c>
      <c r="E36" s="1141" t="s">
        <v>2933</v>
      </c>
      <c r="F36" s="1003">
        <v>2</v>
      </c>
      <c r="G36" s="1142">
        <v>0</v>
      </c>
      <c r="H36" s="1905"/>
      <c r="I36" s="70"/>
      <c r="J36" s="24">
        <f t="shared" ref="J36:J67" si="8" xml:space="preserve"> IF( SUM( L36:N36 ) = 0, 0, $M$4 )</f>
        <v>0</v>
      </c>
      <c r="K36" s="70"/>
      <c r="L36" s="71"/>
      <c r="M36" s="93">
        <f t="shared" ref="M36:M67" si="9" xml:space="preserve"> IF( ISNUMBER( G36 ), 0, 1 )</f>
        <v>0</v>
      </c>
      <c r="N36" s="71"/>
      <c r="P36" s="71"/>
      <c r="T36" s="71"/>
    </row>
    <row r="37" spans="1:20" s="192" customFormat="1" ht="15" customHeight="1">
      <c r="A37" s="880"/>
      <c r="B37" s="1009" t="s">
        <v>7232</v>
      </c>
      <c r="C37" s="1143" t="s">
        <v>7233</v>
      </c>
      <c r="D37" s="1625" t="s">
        <v>7234</v>
      </c>
      <c r="E37" s="1144" t="s">
        <v>2933</v>
      </c>
      <c r="F37" s="1007">
        <v>2</v>
      </c>
      <c r="G37" s="1134">
        <v>0</v>
      </c>
      <c r="H37" s="1906"/>
      <c r="I37" s="70"/>
      <c r="J37" s="24">
        <f t="shared" si="8"/>
        <v>0</v>
      </c>
      <c r="K37" s="70"/>
      <c r="L37" s="71"/>
      <c r="M37" s="93">
        <f t="shared" si="9"/>
        <v>0</v>
      </c>
      <c r="N37" s="71"/>
      <c r="P37" s="71"/>
      <c r="T37" s="71"/>
    </row>
    <row r="38" spans="1:20" s="192" customFormat="1" ht="15" customHeight="1">
      <c r="A38" s="880"/>
      <c r="B38" s="1009" t="s">
        <v>7235</v>
      </c>
      <c r="C38" s="1143" t="s">
        <v>7236</v>
      </c>
      <c r="D38" s="1625" t="s">
        <v>7237</v>
      </c>
      <c r="E38" s="1144" t="s">
        <v>2933</v>
      </c>
      <c r="F38" s="1007">
        <v>2</v>
      </c>
      <c r="G38" s="1134">
        <v>0</v>
      </c>
      <c r="H38" s="1906"/>
      <c r="I38" s="70"/>
      <c r="J38" s="24">
        <f t="shared" si="8"/>
        <v>0</v>
      </c>
      <c r="K38" s="70"/>
      <c r="L38" s="71"/>
      <c r="M38" s="93">
        <f t="shared" si="9"/>
        <v>0</v>
      </c>
      <c r="N38" s="71"/>
      <c r="P38" s="71"/>
      <c r="T38" s="71"/>
    </row>
    <row r="39" spans="1:20" s="192" customFormat="1" ht="15" customHeight="1">
      <c r="A39" s="880"/>
      <c r="B39" s="1009" t="s">
        <v>7238</v>
      </c>
      <c r="C39" s="1143" t="s">
        <v>7239</v>
      </c>
      <c r="D39" s="1625" t="s">
        <v>7240</v>
      </c>
      <c r="E39" s="1144" t="s">
        <v>2933</v>
      </c>
      <c r="F39" s="1007">
        <v>2</v>
      </c>
      <c r="G39" s="1134">
        <v>419.78</v>
      </c>
      <c r="H39" s="1906"/>
      <c r="I39" s="70"/>
      <c r="J39" s="24">
        <f t="shared" si="8"/>
        <v>0</v>
      </c>
      <c r="K39" s="70"/>
      <c r="L39" s="71"/>
      <c r="M39" s="93">
        <f t="shared" si="9"/>
        <v>0</v>
      </c>
      <c r="N39" s="71"/>
      <c r="P39" s="71"/>
      <c r="T39" s="71"/>
    </row>
    <row r="40" spans="1:20" s="192" customFormat="1" ht="15" customHeight="1">
      <c r="A40" s="880"/>
      <c r="B40" s="1009" t="s">
        <v>7241</v>
      </c>
      <c r="C40" s="1143" t="s">
        <v>7242</v>
      </c>
      <c r="D40" s="1625" t="s">
        <v>7243</v>
      </c>
      <c r="E40" s="1144" t="s">
        <v>2933</v>
      </c>
      <c r="F40" s="1007">
        <v>2</v>
      </c>
      <c r="G40" s="1134">
        <v>189.21</v>
      </c>
      <c r="H40" s="1906"/>
      <c r="I40" s="70"/>
      <c r="J40" s="24">
        <f t="shared" si="8"/>
        <v>0</v>
      </c>
      <c r="K40" s="70"/>
      <c r="L40" s="71"/>
      <c r="M40" s="93">
        <f t="shared" si="9"/>
        <v>0</v>
      </c>
      <c r="N40" s="71"/>
      <c r="P40" s="71"/>
      <c r="T40" s="71"/>
    </row>
    <row r="41" spans="1:20" s="192" customFormat="1" ht="15" customHeight="1">
      <c r="A41" s="880"/>
      <c r="B41" s="1009" t="s">
        <v>7244</v>
      </c>
      <c r="C41" s="1143" t="s">
        <v>7245</v>
      </c>
      <c r="D41" s="1625" t="s">
        <v>7246</v>
      </c>
      <c r="E41" s="1144" t="s">
        <v>2933</v>
      </c>
      <c r="F41" s="1007">
        <v>2</v>
      </c>
      <c r="G41" s="1134">
        <v>402.98</v>
      </c>
      <c r="H41" s="1906"/>
      <c r="I41" s="70"/>
      <c r="J41" s="24">
        <f t="shared" si="8"/>
        <v>0</v>
      </c>
      <c r="K41" s="70"/>
      <c r="L41" s="71"/>
      <c r="M41" s="93">
        <f t="shared" si="9"/>
        <v>0</v>
      </c>
      <c r="N41" s="71"/>
      <c r="P41" s="71"/>
      <c r="T41" s="71"/>
    </row>
    <row r="42" spans="1:20" s="192" customFormat="1" ht="15" customHeight="1">
      <c r="A42" s="880"/>
      <c r="B42" s="1009" t="s">
        <v>7247</v>
      </c>
      <c r="C42" s="1143" t="s">
        <v>7248</v>
      </c>
      <c r="D42" s="1625" t="s">
        <v>7249</v>
      </c>
      <c r="E42" s="1144" t="s">
        <v>2933</v>
      </c>
      <c r="F42" s="1007">
        <v>2</v>
      </c>
      <c r="G42" s="1134">
        <v>0</v>
      </c>
      <c r="H42" s="1906"/>
      <c r="I42" s="70"/>
      <c r="J42" s="24">
        <f t="shared" si="8"/>
        <v>0</v>
      </c>
      <c r="K42" s="70"/>
      <c r="L42" s="71"/>
      <c r="M42" s="93">
        <f t="shared" si="9"/>
        <v>0</v>
      </c>
      <c r="N42" s="71"/>
      <c r="P42" s="71"/>
      <c r="T42" s="71"/>
    </row>
    <row r="43" spans="1:20" s="192" customFormat="1" ht="15" customHeight="1">
      <c r="A43" s="880"/>
      <c r="B43" s="1009" t="s">
        <v>7250</v>
      </c>
      <c r="C43" s="1143" t="s">
        <v>7251</v>
      </c>
      <c r="D43" s="1625" t="s">
        <v>7252</v>
      </c>
      <c r="E43" s="1144" t="s">
        <v>2933</v>
      </c>
      <c r="F43" s="1007">
        <v>2</v>
      </c>
      <c r="G43" s="1134">
        <v>0</v>
      </c>
      <c r="H43" s="1906"/>
      <c r="I43" s="70"/>
      <c r="J43" s="24">
        <f t="shared" si="8"/>
        <v>0</v>
      </c>
      <c r="K43" s="70"/>
      <c r="L43" s="71"/>
      <c r="M43" s="93">
        <f t="shared" si="9"/>
        <v>0</v>
      </c>
      <c r="N43" s="71"/>
      <c r="P43" s="71"/>
      <c r="T43" s="71"/>
    </row>
    <row r="44" spans="1:20" s="192" customFormat="1" ht="15" customHeight="1">
      <c r="A44" s="880"/>
      <c r="B44" s="1009" t="s">
        <v>7253</v>
      </c>
      <c r="C44" s="1143" t="s">
        <v>7254</v>
      </c>
      <c r="D44" s="1625" t="s">
        <v>7255</v>
      </c>
      <c r="E44" s="1144" t="s">
        <v>2933</v>
      </c>
      <c r="F44" s="1007">
        <v>2</v>
      </c>
      <c r="G44" s="1134">
        <v>0</v>
      </c>
      <c r="H44" s="1906"/>
      <c r="I44" s="70"/>
      <c r="J44" s="24">
        <f t="shared" si="8"/>
        <v>0</v>
      </c>
      <c r="K44" s="70"/>
      <c r="L44" s="71"/>
      <c r="M44" s="93">
        <f t="shared" si="9"/>
        <v>0</v>
      </c>
      <c r="N44" s="71"/>
      <c r="P44" s="71"/>
      <c r="T44" s="71"/>
    </row>
    <row r="45" spans="1:20" s="192" customFormat="1" ht="15" customHeight="1">
      <c r="A45" s="880"/>
      <c r="B45" s="1009" t="s">
        <v>7256</v>
      </c>
      <c r="C45" s="1143" t="s">
        <v>7257</v>
      </c>
      <c r="D45" s="1625" t="s">
        <v>7258</v>
      </c>
      <c r="E45" s="1144" t="s">
        <v>2933</v>
      </c>
      <c r="F45" s="1007">
        <v>2</v>
      </c>
      <c r="G45" s="1134">
        <v>60.79</v>
      </c>
      <c r="H45" s="1906"/>
      <c r="I45" s="70"/>
      <c r="J45" s="24">
        <f t="shared" si="8"/>
        <v>0</v>
      </c>
      <c r="K45" s="70"/>
      <c r="L45" s="71"/>
      <c r="M45" s="93">
        <f t="shared" si="9"/>
        <v>0</v>
      </c>
      <c r="N45" s="71"/>
      <c r="P45" s="71"/>
      <c r="T45" s="71"/>
    </row>
    <row r="46" spans="1:20" s="192" customFormat="1" ht="15" customHeight="1">
      <c r="A46" s="880"/>
      <c r="B46" s="1009" t="s">
        <v>7259</v>
      </c>
      <c r="C46" s="1143" t="s">
        <v>7260</v>
      </c>
      <c r="D46" s="1625" t="s">
        <v>7261</v>
      </c>
      <c r="E46" s="1144" t="s">
        <v>2933</v>
      </c>
      <c r="F46" s="1007">
        <v>2</v>
      </c>
      <c r="G46" s="1134">
        <v>28.48</v>
      </c>
      <c r="H46" s="1906"/>
      <c r="I46" s="70"/>
      <c r="J46" s="24">
        <f t="shared" si="8"/>
        <v>0</v>
      </c>
      <c r="K46" s="70"/>
      <c r="L46" s="71"/>
      <c r="M46" s="93">
        <f t="shared" si="9"/>
        <v>0</v>
      </c>
      <c r="N46" s="71"/>
      <c r="P46" s="71"/>
      <c r="T46" s="71"/>
    </row>
    <row r="47" spans="1:20" s="192" customFormat="1" ht="15" customHeight="1">
      <c r="A47" s="880"/>
      <c r="B47" s="1009" t="s">
        <v>7262</v>
      </c>
      <c r="C47" s="1143" t="s">
        <v>7263</v>
      </c>
      <c r="D47" s="1625" t="s">
        <v>7264</v>
      </c>
      <c r="E47" s="1144" t="s">
        <v>2933</v>
      </c>
      <c r="F47" s="1007">
        <v>2</v>
      </c>
      <c r="G47" s="1134">
        <v>92.66</v>
      </c>
      <c r="H47" s="1906"/>
      <c r="I47" s="70"/>
      <c r="J47" s="24">
        <f t="shared" si="8"/>
        <v>0</v>
      </c>
      <c r="K47" s="70"/>
      <c r="L47" s="71"/>
      <c r="M47" s="93">
        <f t="shared" si="9"/>
        <v>0</v>
      </c>
      <c r="N47" s="71"/>
      <c r="P47" s="71"/>
      <c r="T47" s="71"/>
    </row>
    <row r="48" spans="1:20" s="192" customFormat="1" ht="15" customHeight="1">
      <c r="A48" s="880"/>
      <c r="B48" s="1009" t="s">
        <v>7265</v>
      </c>
      <c r="C48" s="1143" t="s">
        <v>7266</v>
      </c>
      <c r="D48" s="1625" t="s">
        <v>7267</v>
      </c>
      <c r="E48" s="1144" t="s">
        <v>2933</v>
      </c>
      <c r="F48" s="1007">
        <v>2</v>
      </c>
      <c r="G48" s="1134">
        <v>63.83</v>
      </c>
      <c r="H48" s="1906"/>
      <c r="I48" s="70"/>
      <c r="J48" s="24">
        <f t="shared" si="8"/>
        <v>0</v>
      </c>
      <c r="K48" s="70"/>
      <c r="L48" s="71"/>
      <c r="M48" s="93">
        <f t="shared" si="9"/>
        <v>0</v>
      </c>
      <c r="N48" s="71"/>
      <c r="P48" s="71"/>
      <c r="T48" s="71"/>
    </row>
    <row r="49" spans="1:20" s="192" customFormat="1" ht="15" customHeight="1">
      <c r="A49" s="880"/>
      <c r="B49" s="1009" t="s">
        <v>7268</v>
      </c>
      <c r="C49" s="1143" t="s">
        <v>7269</v>
      </c>
      <c r="D49" s="1625" t="s">
        <v>7270</v>
      </c>
      <c r="E49" s="1144" t="s">
        <v>2933</v>
      </c>
      <c r="F49" s="1007">
        <v>2</v>
      </c>
      <c r="G49" s="1134">
        <v>0</v>
      </c>
      <c r="H49" s="1906"/>
      <c r="I49" s="70"/>
      <c r="J49" s="24">
        <f t="shared" si="8"/>
        <v>0</v>
      </c>
      <c r="K49" s="70"/>
      <c r="L49" s="71"/>
      <c r="M49" s="93">
        <f t="shared" si="9"/>
        <v>0</v>
      </c>
      <c r="N49" s="71"/>
      <c r="P49" s="71"/>
      <c r="T49" s="71"/>
    </row>
    <row r="50" spans="1:20" s="192" customFormat="1" ht="15" customHeight="1">
      <c r="A50" s="880"/>
      <c r="B50" s="1009" t="s">
        <v>7271</v>
      </c>
      <c r="C50" s="1143" t="s">
        <v>7272</v>
      </c>
      <c r="D50" s="1625" t="s">
        <v>7273</v>
      </c>
      <c r="E50" s="1144" t="s">
        <v>2933</v>
      </c>
      <c r="F50" s="1007">
        <v>2</v>
      </c>
      <c r="G50" s="1134">
        <v>0</v>
      </c>
      <c r="H50" s="1906"/>
      <c r="I50" s="70"/>
      <c r="J50" s="24">
        <f t="shared" si="8"/>
        <v>0</v>
      </c>
      <c r="K50" s="70"/>
      <c r="L50" s="71"/>
      <c r="M50" s="93">
        <f t="shared" si="9"/>
        <v>0</v>
      </c>
      <c r="N50" s="71"/>
      <c r="P50" s="71"/>
      <c r="T50" s="71"/>
    </row>
    <row r="51" spans="1:20" s="192" customFormat="1" ht="15" customHeight="1">
      <c r="A51" s="880"/>
      <c r="B51" s="1009" t="s">
        <v>7274</v>
      </c>
      <c r="C51" s="1143" t="s">
        <v>7275</v>
      </c>
      <c r="D51" s="1625" t="s">
        <v>7276</v>
      </c>
      <c r="E51" s="1144" t="s">
        <v>766</v>
      </c>
      <c r="F51" s="1007">
        <v>0</v>
      </c>
      <c r="G51" s="1133">
        <v>0</v>
      </c>
      <c r="H51" s="1906"/>
      <c r="I51" s="70"/>
      <c r="J51" s="24">
        <f t="shared" si="8"/>
        <v>0</v>
      </c>
      <c r="K51" s="70"/>
      <c r="L51" s="71"/>
      <c r="M51" s="93">
        <f t="shared" si="9"/>
        <v>0</v>
      </c>
      <c r="N51" s="71"/>
      <c r="P51" s="71"/>
      <c r="T51" s="71"/>
    </row>
    <row r="52" spans="1:20" s="192" customFormat="1" ht="15" customHeight="1">
      <c r="A52" s="880"/>
      <c r="B52" s="1009" t="s">
        <v>7277</v>
      </c>
      <c r="C52" s="1143" t="s">
        <v>7278</v>
      </c>
      <c r="D52" s="1625" t="s">
        <v>7279</v>
      </c>
      <c r="E52" s="1144" t="s">
        <v>766</v>
      </c>
      <c r="F52" s="1007">
        <v>0</v>
      </c>
      <c r="G52" s="1133">
        <v>0</v>
      </c>
      <c r="H52" s="1906"/>
      <c r="I52" s="70"/>
      <c r="J52" s="24">
        <f t="shared" si="8"/>
        <v>0</v>
      </c>
      <c r="K52" s="70"/>
      <c r="L52" s="71"/>
      <c r="M52" s="93">
        <f t="shared" si="9"/>
        <v>0</v>
      </c>
      <c r="N52" s="71"/>
      <c r="P52" s="71"/>
      <c r="T52" s="71"/>
    </row>
    <row r="53" spans="1:20" s="192" customFormat="1" ht="15" customHeight="1">
      <c r="A53" s="880"/>
      <c r="B53" s="1009" t="s">
        <v>7280</v>
      </c>
      <c r="C53" s="1143" t="s">
        <v>7281</v>
      </c>
      <c r="D53" s="1625" t="s">
        <v>7282</v>
      </c>
      <c r="E53" s="1144" t="s">
        <v>766</v>
      </c>
      <c r="F53" s="1007">
        <v>0</v>
      </c>
      <c r="G53" s="1133">
        <v>0</v>
      </c>
      <c r="H53" s="1906"/>
      <c r="I53" s="70"/>
      <c r="J53" s="24">
        <f t="shared" si="8"/>
        <v>0</v>
      </c>
      <c r="K53" s="70"/>
      <c r="L53" s="71"/>
      <c r="M53" s="93">
        <f t="shared" si="9"/>
        <v>0</v>
      </c>
      <c r="N53" s="71"/>
      <c r="P53" s="71"/>
      <c r="T53" s="71"/>
    </row>
    <row r="54" spans="1:20" s="192" customFormat="1" ht="15" customHeight="1">
      <c r="A54" s="880"/>
      <c r="B54" s="1009" t="s">
        <v>7283</v>
      </c>
      <c r="C54" s="1143" t="s">
        <v>7284</v>
      </c>
      <c r="D54" s="1625" t="s">
        <v>7285</v>
      </c>
      <c r="E54" s="1144" t="s">
        <v>766</v>
      </c>
      <c r="F54" s="1007">
        <v>0</v>
      </c>
      <c r="G54" s="1133">
        <v>13</v>
      </c>
      <c r="H54" s="1906"/>
      <c r="I54" s="70"/>
      <c r="J54" s="24">
        <f t="shared" si="8"/>
        <v>0</v>
      </c>
      <c r="K54" s="70"/>
      <c r="L54" s="71"/>
      <c r="M54" s="93">
        <f t="shared" si="9"/>
        <v>0</v>
      </c>
      <c r="N54" s="71"/>
      <c r="P54" s="71"/>
      <c r="T54" s="71"/>
    </row>
    <row r="55" spans="1:20" s="192" customFormat="1" ht="15" customHeight="1">
      <c r="A55" s="880"/>
      <c r="B55" s="1009" t="s">
        <v>7286</v>
      </c>
      <c r="C55" s="1143" t="s">
        <v>7287</v>
      </c>
      <c r="D55" s="1625" t="s">
        <v>7288</v>
      </c>
      <c r="E55" s="1144" t="s">
        <v>766</v>
      </c>
      <c r="F55" s="1007">
        <v>0</v>
      </c>
      <c r="G55" s="1133">
        <v>7</v>
      </c>
      <c r="H55" s="1906"/>
      <c r="I55" s="70"/>
      <c r="J55" s="24">
        <f t="shared" si="8"/>
        <v>0</v>
      </c>
      <c r="K55" s="70"/>
      <c r="L55" s="71"/>
      <c r="M55" s="93">
        <f t="shared" si="9"/>
        <v>0</v>
      </c>
      <c r="N55" s="71"/>
      <c r="P55" s="71"/>
      <c r="T55" s="71"/>
    </row>
    <row r="56" spans="1:20" s="192" customFormat="1" ht="15" customHeight="1">
      <c r="A56" s="880"/>
      <c r="B56" s="1009" t="s">
        <v>7289</v>
      </c>
      <c r="C56" s="1143" t="s">
        <v>7290</v>
      </c>
      <c r="D56" s="1625" t="s">
        <v>7291</v>
      </c>
      <c r="E56" s="1144" t="s">
        <v>766</v>
      </c>
      <c r="F56" s="1007">
        <v>0</v>
      </c>
      <c r="G56" s="1133">
        <v>7</v>
      </c>
      <c r="H56" s="1906"/>
      <c r="I56" s="70"/>
      <c r="J56" s="24">
        <f t="shared" si="8"/>
        <v>0</v>
      </c>
      <c r="K56" s="70"/>
      <c r="L56" s="71"/>
      <c r="M56" s="93">
        <f t="shared" si="9"/>
        <v>0</v>
      </c>
      <c r="N56" s="71"/>
      <c r="P56" s="71"/>
      <c r="T56" s="71"/>
    </row>
    <row r="57" spans="1:20" s="192" customFormat="1" ht="15" customHeight="1">
      <c r="A57" s="880"/>
      <c r="B57" s="1009" t="s">
        <v>7292</v>
      </c>
      <c r="C57" s="1143" t="s">
        <v>7293</v>
      </c>
      <c r="D57" s="1625" t="s">
        <v>7294</v>
      </c>
      <c r="E57" s="1144" t="s">
        <v>766</v>
      </c>
      <c r="F57" s="1007">
        <v>0</v>
      </c>
      <c r="G57" s="1133">
        <v>0</v>
      </c>
      <c r="H57" s="1906"/>
      <c r="I57" s="70"/>
      <c r="J57" s="24">
        <f t="shared" si="8"/>
        <v>0</v>
      </c>
      <c r="K57" s="70"/>
      <c r="L57" s="71"/>
      <c r="M57" s="93">
        <f t="shared" si="9"/>
        <v>0</v>
      </c>
      <c r="N57" s="71"/>
      <c r="P57" s="71"/>
      <c r="T57" s="71"/>
    </row>
    <row r="58" spans="1:20" s="192" customFormat="1" ht="15" customHeight="1">
      <c r="A58" s="880"/>
      <c r="B58" s="1009" t="s">
        <v>7295</v>
      </c>
      <c r="C58" s="1143" t="s">
        <v>7296</v>
      </c>
      <c r="D58" s="1625" t="s">
        <v>7297</v>
      </c>
      <c r="E58" s="1144" t="s">
        <v>766</v>
      </c>
      <c r="F58" s="1007">
        <v>0</v>
      </c>
      <c r="G58" s="1133">
        <v>0</v>
      </c>
      <c r="H58" s="1906"/>
      <c r="I58" s="70"/>
      <c r="J58" s="24">
        <f t="shared" si="8"/>
        <v>0</v>
      </c>
      <c r="K58" s="70"/>
      <c r="L58" s="71"/>
      <c r="M58" s="93">
        <f t="shared" si="9"/>
        <v>0</v>
      </c>
      <c r="N58" s="71"/>
      <c r="P58" s="71"/>
      <c r="T58" s="71"/>
    </row>
    <row r="59" spans="1:20" s="192" customFormat="1" ht="15" customHeight="1">
      <c r="A59" s="880"/>
      <c r="B59" s="1009" t="s">
        <v>7298</v>
      </c>
      <c r="C59" s="1143" t="s">
        <v>7299</v>
      </c>
      <c r="D59" s="1625" t="s">
        <v>7300</v>
      </c>
      <c r="E59" s="1144" t="s">
        <v>766</v>
      </c>
      <c r="F59" s="1007">
        <v>0</v>
      </c>
      <c r="G59" s="1133">
        <v>0</v>
      </c>
      <c r="H59" s="1906"/>
      <c r="I59" s="70"/>
      <c r="J59" s="24">
        <f t="shared" si="8"/>
        <v>0</v>
      </c>
      <c r="K59" s="70"/>
      <c r="L59" s="71"/>
      <c r="M59" s="93">
        <f t="shared" si="9"/>
        <v>0</v>
      </c>
      <c r="N59" s="71"/>
      <c r="P59" s="71"/>
      <c r="T59" s="71"/>
    </row>
    <row r="60" spans="1:20" s="192" customFormat="1" ht="15" customHeight="1">
      <c r="A60" s="880"/>
      <c r="B60" s="1009" t="s">
        <v>7301</v>
      </c>
      <c r="C60" s="1143" t="s">
        <v>7302</v>
      </c>
      <c r="D60" s="1625" t="s">
        <v>7303</v>
      </c>
      <c r="E60" s="1144" t="s">
        <v>766</v>
      </c>
      <c r="F60" s="1007">
        <v>0</v>
      </c>
      <c r="G60" s="1133">
        <v>14</v>
      </c>
      <c r="H60" s="1906"/>
      <c r="I60" s="70"/>
      <c r="J60" s="24">
        <f t="shared" si="8"/>
        <v>0</v>
      </c>
      <c r="K60" s="70"/>
      <c r="L60" s="71"/>
      <c r="M60" s="93">
        <f t="shared" si="9"/>
        <v>0</v>
      </c>
      <c r="N60" s="71"/>
      <c r="P60" s="71"/>
      <c r="T60" s="71"/>
    </row>
    <row r="61" spans="1:20" s="192" customFormat="1" ht="15" customHeight="1">
      <c r="A61" s="880"/>
      <c r="B61" s="1009" t="s">
        <v>7304</v>
      </c>
      <c r="C61" s="1143" t="s">
        <v>7305</v>
      </c>
      <c r="D61" s="1625" t="s">
        <v>7306</v>
      </c>
      <c r="E61" s="1144" t="s">
        <v>766</v>
      </c>
      <c r="F61" s="1007">
        <v>0</v>
      </c>
      <c r="G61" s="1133">
        <v>3</v>
      </c>
      <c r="H61" s="1906"/>
      <c r="I61" s="70"/>
      <c r="J61" s="24">
        <f t="shared" si="8"/>
        <v>0</v>
      </c>
      <c r="K61" s="70"/>
      <c r="L61" s="71"/>
      <c r="M61" s="93">
        <f t="shared" si="9"/>
        <v>0</v>
      </c>
      <c r="N61" s="71"/>
      <c r="P61" s="71"/>
      <c r="T61" s="71"/>
    </row>
    <row r="62" spans="1:20" s="192" customFormat="1" ht="15" customHeight="1">
      <c r="A62" s="880"/>
      <c r="B62" s="1009" t="s">
        <v>7307</v>
      </c>
      <c r="C62" s="1143" t="s">
        <v>7308</v>
      </c>
      <c r="D62" s="1625" t="s">
        <v>7309</v>
      </c>
      <c r="E62" s="1144" t="s">
        <v>766</v>
      </c>
      <c r="F62" s="1007">
        <v>0</v>
      </c>
      <c r="G62" s="1133">
        <v>5</v>
      </c>
      <c r="H62" s="1906"/>
      <c r="I62" s="70"/>
      <c r="J62" s="24">
        <f t="shared" si="8"/>
        <v>0</v>
      </c>
      <c r="K62" s="70"/>
      <c r="L62" s="71"/>
      <c r="M62" s="93">
        <f t="shared" si="9"/>
        <v>0</v>
      </c>
      <c r="N62" s="71"/>
      <c r="P62" s="71"/>
      <c r="T62" s="71"/>
    </row>
    <row r="63" spans="1:20" s="192" customFormat="1" ht="15" customHeight="1">
      <c r="A63" s="880"/>
      <c r="B63" s="1009" t="s">
        <v>7310</v>
      </c>
      <c r="C63" s="1143" t="s">
        <v>7311</v>
      </c>
      <c r="D63" s="1625" t="s">
        <v>7312</v>
      </c>
      <c r="E63" s="1144" t="s">
        <v>766</v>
      </c>
      <c r="F63" s="1007">
        <v>0</v>
      </c>
      <c r="G63" s="1133">
        <v>1</v>
      </c>
      <c r="H63" s="1906"/>
      <c r="I63" s="70"/>
      <c r="J63" s="24">
        <f t="shared" si="8"/>
        <v>0</v>
      </c>
      <c r="K63" s="70"/>
      <c r="L63" s="71"/>
      <c r="M63" s="93">
        <f t="shared" si="9"/>
        <v>0</v>
      </c>
      <c r="N63" s="71"/>
      <c r="P63" s="71"/>
      <c r="T63" s="71"/>
    </row>
    <row r="64" spans="1:20" s="192" customFormat="1" ht="15" customHeight="1">
      <c r="A64" s="880"/>
      <c r="B64" s="1009" t="s">
        <v>7313</v>
      </c>
      <c r="C64" s="1143" t="s">
        <v>7314</v>
      </c>
      <c r="D64" s="1625" t="s">
        <v>7315</v>
      </c>
      <c r="E64" s="1144" t="s">
        <v>766</v>
      </c>
      <c r="F64" s="1007">
        <v>0</v>
      </c>
      <c r="G64" s="1133">
        <v>0</v>
      </c>
      <c r="H64" s="1906"/>
      <c r="I64" s="70"/>
      <c r="J64" s="24">
        <f t="shared" si="8"/>
        <v>0</v>
      </c>
      <c r="K64" s="70"/>
      <c r="L64" s="71"/>
      <c r="M64" s="93">
        <f t="shared" si="9"/>
        <v>0</v>
      </c>
      <c r="N64" s="71"/>
      <c r="P64" s="71"/>
      <c r="T64" s="71"/>
    </row>
    <row r="65" spans="1:20" s="192" customFormat="1" ht="15" customHeight="1">
      <c r="A65" s="880"/>
      <c r="B65" s="1009" t="s">
        <v>7316</v>
      </c>
      <c r="C65" s="1143" t="s">
        <v>7317</v>
      </c>
      <c r="D65" s="1625" t="s">
        <v>7318</v>
      </c>
      <c r="E65" s="1144" t="s">
        <v>766</v>
      </c>
      <c r="F65" s="1007">
        <v>0</v>
      </c>
      <c r="G65" s="1133">
        <v>1</v>
      </c>
      <c r="H65" s="1906" t="s">
        <v>7319</v>
      </c>
      <c r="I65" s="70"/>
      <c r="J65" s="24">
        <f t="shared" si="8"/>
        <v>0</v>
      </c>
      <c r="K65" s="70"/>
      <c r="L65" s="71"/>
      <c r="M65" s="93">
        <f t="shared" si="9"/>
        <v>0</v>
      </c>
      <c r="N65" s="71"/>
      <c r="P65" s="71"/>
      <c r="T65" s="71"/>
    </row>
    <row r="66" spans="1:20" s="192" customFormat="1" ht="15" customHeight="1">
      <c r="A66" s="880"/>
      <c r="B66" s="1009" t="s">
        <v>7320</v>
      </c>
      <c r="C66" s="1143" t="s">
        <v>7321</v>
      </c>
      <c r="D66" s="1625" t="s">
        <v>7322</v>
      </c>
      <c r="E66" s="1144" t="s">
        <v>7066</v>
      </c>
      <c r="F66" s="1007">
        <v>3</v>
      </c>
      <c r="G66" s="1012">
        <v>5071.134</v>
      </c>
      <c r="H66" s="1906"/>
      <c r="I66" s="70"/>
      <c r="J66" s="24">
        <f t="shared" si="8"/>
        <v>0</v>
      </c>
      <c r="K66" s="70"/>
      <c r="L66" s="71"/>
      <c r="M66" s="93">
        <f t="shared" si="9"/>
        <v>0</v>
      </c>
      <c r="N66" s="71"/>
      <c r="P66" s="71"/>
      <c r="T66" s="71"/>
    </row>
    <row r="67" spans="1:20" s="192" customFormat="1" ht="15" customHeight="1" thickBot="1">
      <c r="A67" s="880"/>
      <c r="B67" s="1014" t="s">
        <v>7323</v>
      </c>
      <c r="C67" s="1145" t="s">
        <v>7324</v>
      </c>
      <c r="D67" s="1626" t="s">
        <v>7325</v>
      </c>
      <c r="E67" s="1146" t="s">
        <v>7219</v>
      </c>
      <c r="F67" s="1017">
        <v>2</v>
      </c>
      <c r="G67" s="1139">
        <v>12.52</v>
      </c>
      <c r="H67" s="1908"/>
      <c r="I67" s="70"/>
      <c r="J67" s="24">
        <f t="shared" si="8"/>
        <v>0</v>
      </c>
      <c r="K67" s="70"/>
      <c r="L67" s="71"/>
      <c r="M67" s="93">
        <f t="shared" si="9"/>
        <v>0</v>
      </c>
      <c r="N67" s="71"/>
      <c r="P67" s="71"/>
      <c r="T67" s="71"/>
    </row>
    <row r="68" spans="1:20" ht="15" thickBot="1">
      <c r="A68" s="2004"/>
      <c r="B68" s="2004"/>
      <c r="C68" s="2004"/>
      <c r="D68" s="1622"/>
      <c r="F68" s="2004"/>
      <c r="G68" s="2004"/>
      <c r="H68" s="2004"/>
      <c r="I68" s="2004"/>
      <c r="J68" s="2004"/>
      <c r="K68" s="2004"/>
      <c r="M68" s="2004"/>
      <c r="O68" s="2004"/>
      <c r="Q68" s="2004"/>
      <c r="R68" s="2004"/>
      <c r="S68" s="2004"/>
    </row>
    <row r="69" spans="1:20" s="880" customFormat="1" ht="15.75" thickBot="1">
      <c r="B69" s="3034" t="s">
        <v>335</v>
      </c>
      <c r="C69" s="1060" t="s">
        <v>7326</v>
      </c>
      <c r="D69" s="1623"/>
      <c r="I69" s="70"/>
      <c r="J69" s="1092"/>
      <c r="K69" s="70"/>
      <c r="L69" s="71"/>
      <c r="N69" s="1673"/>
      <c r="P69" s="1673"/>
      <c r="T69" s="1673"/>
    </row>
    <row r="70" spans="1:20" s="192" customFormat="1" ht="15" customHeight="1">
      <c r="A70" s="880"/>
      <c r="B70" s="1000" t="s">
        <v>7327</v>
      </c>
      <c r="C70" s="1140" t="s">
        <v>7328</v>
      </c>
      <c r="D70" s="1615" t="s">
        <v>7329</v>
      </c>
      <c r="E70" s="1147" t="s">
        <v>7215</v>
      </c>
      <c r="F70" s="1003">
        <v>1</v>
      </c>
      <c r="G70" s="1148">
        <v>31890.9</v>
      </c>
      <c r="H70" s="1905"/>
      <c r="I70" s="70"/>
      <c r="J70" s="24">
        <f t="shared" ref="J70:J103" si="10" xml:space="preserve"> IF( SUM( L70:N70 ) = 0, 0, $M$4 )</f>
        <v>0</v>
      </c>
      <c r="K70" s="70"/>
      <c r="L70" s="71"/>
      <c r="M70" s="93">
        <f t="shared" ref="M70:M103" si="11" xml:space="preserve"> IF( ISNUMBER( G70 ), 0, 1 )</f>
        <v>0</v>
      </c>
      <c r="N70" s="71"/>
      <c r="P70" s="71"/>
      <c r="T70" s="71"/>
    </row>
    <row r="71" spans="1:20" s="192" customFormat="1" ht="15" customHeight="1">
      <c r="A71" s="880"/>
      <c r="B71" s="1009" t="s">
        <v>7330</v>
      </c>
      <c r="C71" s="1143" t="s">
        <v>7331</v>
      </c>
      <c r="D71" s="1616" t="s">
        <v>7332</v>
      </c>
      <c r="E71" s="1149" t="s">
        <v>7215</v>
      </c>
      <c r="F71" s="1007">
        <v>1</v>
      </c>
      <c r="G71" s="1150">
        <v>0.1</v>
      </c>
      <c r="H71" s="1906"/>
      <c r="I71" s="70"/>
      <c r="J71" s="24">
        <f t="shared" si="10"/>
        <v>0</v>
      </c>
      <c r="K71" s="70"/>
      <c r="L71" s="71"/>
      <c r="M71" s="93">
        <f t="shared" si="11"/>
        <v>0</v>
      </c>
      <c r="N71" s="71"/>
      <c r="P71" s="71"/>
      <c r="T71" s="71"/>
    </row>
    <row r="72" spans="1:20" s="192" customFormat="1" ht="15" customHeight="1">
      <c r="A72" s="880"/>
      <c r="B72" s="1009" t="s">
        <v>7333</v>
      </c>
      <c r="C72" s="1143" t="s">
        <v>7334</v>
      </c>
      <c r="D72" s="1616" t="s">
        <v>7335</v>
      </c>
      <c r="E72" s="1149" t="s">
        <v>7215</v>
      </c>
      <c r="F72" s="1007">
        <v>1</v>
      </c>
      <c r="G72" s="1150">
        <v>19.3</v>
      </c>
      <c r="H72" s="1906"/>
      <c r="I72" s="70"/>
      <c r="J72" s="24">
        <f t="shared" si="10"/>
        <v>0</v>
      </c>
      <c r="K72" s="70"/>
      <c r="L72" s="71"/>
      <c r="M72" s="93">
        <f t="shared" si="11"/>
        <v>0</v>
      </c>
      <c r="N72" s="71"/>
      <c r="P72" s="71"/>
      <c r="T72" s="71"/>
    </row>
    <row r="73" spans="1:20" s="192" customFormat="1" ht="15" customHeight="1">
      <c r="A73" s="880"/>
      <c r="B73" s="1009" t="s">
        <v>7336</v>
      </c>
      <c r="C73" s="1143" t="s">
        <v>7337</v>
      </c>
      <c r="D73" s="1616" t="s">
        <v>7338</v>
      </c>
      <c r="E73" s="1149" t="s">
        <v>7215</v>
      </c>
      <c r="F73" s="1007">
        <v>1</v>
      </c>
      <c r="G73" s="1150">
        <v>112.5</v>
      </c>
      <c r="H73" s="1906"/>
      <c r="I73" s="70"/>
      <c r="J73" s="24">
        <f t="shared" si="10"/>
        <v>0</v>
      </c>
      <c r="K73" s="70"/>
      <c r="L73" s="71"/>
      <c r="M73" s="93">
        <f t="shared" si="11"/>
        <v>0</v>
      </c>
      <c r="N73" s="71"/>
      <c r="P73" s="71"/>
      <c r="T73" s="71"/>
    </row>
    <row r="74" spans="1:20" s="192" customFormat="1" ht="15" customHeight="1">
      <c r="A74" s="880"/>
      <c r="B74" s="1009" t="s">
        <v>7339</v>
      </c>
      <c r="C74" s="1143" t="s">
        <v>7340</v>
      </c>
      <c r="D74" s="1616" t="s">
        <v>7341</v>
      </c>
      <c r="E74" s="1149" t="s">
        <v>7215</v>
      </c>
      <c r="F74" s="1007">
        <v>1</v>
      </c>
      <c r="G74" s="1150">
        <v>29538.2</v>
      </c>
      <c r="H74" s="1906"/>
      <c r="I74" s="70"/>
      <c r="J74" s="24">
        <f t="shared" si="10"/>
        <v>0</v>
      </c>
      <c r="K74" s="70"/>
      <c r="L74" s="71"/>
      <c r="M74" s="93">
        <f t="shared" si="11"/>
        <v>0</v>
      </c>
      <c r="N74" s="71"/>
      <c r="P74" s="71"/>
      <c r="T74" s="71"/>
    </row>
    <row r="75" spans="1:20" s="192" customFormat="1" ht="15" customHeight="1">
      <c r="A75" s="880"/>
      <c r="B75" s="1009" t="s">
        <v>7342</v>
      </c>
      <c r="C75" s="1143" t="s">
        <v>7343</v>
      </c>
      <c r="D75" s="1616" t="s">
        <v>7344</v>
      </c>
      <c r="E75" s="1149" t="s">
        <v>7215</v>
      </c>
      <c r="F75" s="1007">
        <v>1</v>
      </c>
      <c r="G75" s="1150">
        <v>992.2</v>
      </c>
      <c r="H75" s="1906"/>
      <c r="I75" s="70"/>
      <c r="J75" s="24">
        <f t="shared" si="10"/>
        <v>0</v>
      </c>
      <c r="K75" s="70"/>
      <c r="L75" s="71"/>
      <c r="M75" s="93">
        <f t="shared" si="11"/>
        <v>0</v>
      </c>
      <c r="N75" s="71"/>
      <c r="P75" s="71"/>
      <c r="T75" s="71"/>
    </row>
    <row r="76" spans="1:20" s="192" customFormat="1" ht="15" customHeight="1">
      <c r="A76" s="880"/>
      <c r="B76" s="1009" t="s">
        <v>7345</v>
      </c>
      <c r="C76" s="1143" t="s">
        <v>7346</v>
      </c>
      <c r="D76" s="1616" t="s">
        <v>7347</v>
      </c>
      <c r="E76" s="1149" t="s">
        <v>7215</v>
      </c>
      <c r="F76" s="1007">
        <v>1</v>
      </c>
      <c r="G76" s="1150">
        <v>845.7</v>
      </c>
      <c r="H76" s="1906"/>
      <c r="I76" s="70"/>
      <c r="J76" s="24">
        <f t="shared" si="10"/>
        <v>0</v>
      </c>
      <c r="K76" s="70"/>
      <c r="L76" s="71"/>
      <c r="M76" s="93">
        <f t="shared" si="11"/>
        <v>0</v>
      </c>
      <c r="N76" s="71"/>
      <c r="P76" s="71"/>
      <c r="T76" s="71"/>
    </row>
    <row r="77" spans="1:20" s="192" customFormat="1" ht="15" customHeight="1">
      <c r="A77" s="880"/>
      <c r="B77" s="1009" t="s">
        <v>7348</v>
      </c>
      <c r="C77" s="1143" t="s">
        <v>7349</v>
      </c>
      <c r="D77" s="1616" t="s">
        <v>7350</v>
      </c>
      <c r="E77" s="1149" t="s">
        <v>7215</v>
      </c>
      <c r="F77" s="1007">
        <v>1</v>
      </c>
      <c r="G77" s="1150">
        <v>514.9</v>
      </c>
      <c r="H77" s="1906"/>
      <c r="I77" s="70"/>
      <c r="J77" s="24">
        <f t="shared" si="10"/>
        <v>0</v>
      </c>
      <c r="K77" s="70"/>
      <c r="L77" s="71"/>
      <c r="M77" s="93">
        <f t="shared" si="11"/>
        <v>0</v>
      </c>
      <c r="N77" s="71"/>
      <c r="P77" s="71"/>
      <c r="T77" s="71"/>
    </row>
    <row r="78" spans="1:20" s="192" customFormat="1" ht="15" customHeight="1">
      <c r="A78" s="880"/>
      <c r="B78" s="1009" t="s">
        <v>7351</v>
      </c>
      <c r="C78" s="1143" t="s">
        <v>7352</v>
      </c>
      <c r="D78" s="1616" t="s">
        <v>7353</v>
      </c>
      <c r="E78" s="2003" t="s">
        <v>7208</v>
      </c>
      <c r="F78" s="1007">
        <v>0</v>
      </c>
      <c r="G78" s="1151">
        <v>71304</v>
      </c>
      <c r="H78" s="1906"/>
      <c r="I78" s="70"/>
      <c r="J78" s="24">
        <f t="shared" si="10"/>
        <v>0</v>
      </c>
      <c r="K78" s="70"/>
      <c r="L78" s="71"/>
      <c r="M78" s="93">
        <f t="shared" si="11"/>
        <v>0</v>
      </c>
      <c r="N78" s="71"/>
      <c r="P78" s="71"/>
      <c r="T78" s="71"/>
    </row>
    <row r="79" spans="1:20" s="192" customFormat="1" ht="15" customHeight="1">
      <c r="A79" s="880"/>
      <c r="B79" s="1009" t="s">
        <v>7354</v>
      </c>
      <c r="C79" s="1143" t="s">
        <v>7355</v>
      </c>
      <c r="D79" s="1616" t="s">
        <v>7356</v>
      </c>
      <c r="E79" s="1149" t="s">
        <v>3456</v>
      </c>
      <c r="F79" s="1007">
        <v>0</v>
      </c>
      <c r="G79" s="1151">
        <v>2215</v>
      </c>
      <c r="H79" s="1906"/>
      <c r="I79" s="70"/>
      <c r="J79" s="24">
        <f t="shared" si="10"/>
        <v>0</v>
      </c>
      <c r="K79" s="70"/>
      <c r="L79" s="71"/>
      <c r="M79" s="93">
        <f t="shared" si="11"/>
        <v>0</v>
      </c>
      <c r="N79" s="71"/>
      <c r="P79" s="71"/>
      <c r="T79" s="71"/>
    </row>
    <row r="80" spans="1:20" s="192" customFormat="1" ht="15" customHeight="1">
      <c r="A80" s="880"/>
      <c r="B80" s="1009" t="s">
        <v>7357</v>
      </c>
      <c r="C80" s="1143" t="s">
        <v>7358</v>
      </c>
      <c r="D80" s="1616" t="s">
        <v>7359</v>
      </c>
      <c r="E80" s="1149" t="s">
        <v>3456</v>
      </c>
      <c r="F80" s="1007">
        <v>0</v>
      </c>
      <c r="G80" s="1151">
        <v>29</v>
      </c>
      <c r="H80" s="1906"/>
      <c r="I80" s="70"/>
      <c r="J80" s="24">
        <f t="shared" si="10"/>
        <v>0</v>
      </c>
      <c r="K80" s="70"/>
      <c r="L80" s="71"/>
      <c r="M80" s="93">
        <f t="shared" si="11"/>
        <v>0</v>
      </c>
      <c r="N80" s="71"/>
      <c r="P80" s="71"/>
      <c r="T80" s="71"/>
    </row>
    <row r="81" spans="1:20" s="192" customFormat="1" ht="15" customHeight="1">
      <c r="A81" s="880"/>
      <c r="B81" s="1009" t="s">
        <v>7360</v>
      </c>
      <c r="C81" s="1143" t="s">
        <v>3119</v>
      </c>
      <c r="D81" s="1616" t="s">
        <v>3120</v>
      </c>
      <c r="E81" s="1149" t="s">
        <v>2933</v>
      </c>
      <c r="F81" s="1007">
        <v>2</v>
      </c>
      <c r="G81" s="1152">
        <v>1246.04</v>
      </c>
      <c r="H81" s="1906"/>
      <c r="I81" s="70"/>
      <c r="J81" s="24">
        <f t="shared" si="10"/>
        <v>0</v>
      </c>
      <c r="K81" s="70"/>
      <c r="L81" s="71"/>
      <c r="M81" s="93">
        <f t="shared" si="11"/>
        <v>0</v>
      </c>
      <c r="N81" s="71"/>
      <c r="P81" s="71"/>
      <c r="T81" s="71"/>
    </row>
    <row r="82" spans="1:20" s="192" customFormat="1" ht="15" customHeight="1">
      <c r="A82" s="880"/>
      <c r="B82" s="1009" t="s">
        <v>7361</v>
      </c>
      <c r="C82" s="1143" t="s">
        <v>7362</v>
      </c>
      <c r="D82" s="1616" t="s">
        <v>7363</v>
      </c>
      <c r="E82" s="1149" t="s">
        <v>2933</v>
      </c>
      <c r="F82" s="1007">
        <v>2</v>
      </c>
      <c r="G82" s="1152">
        <v>0</v>
      </c>
      <c r="H82" s="1906"/>
      <c r="I82" s="70"/>
      <c r="J82" s="24">
        <f t="shared" si="10"/>
        <v>0</v>
      </c>
      <c r="K82" s="70"/>
      <c r="L82" s="71"/>
      <c r="M82" s="93">
        <f t="shared" si="11"/>
        <v>0</v>
      </c>
      <c r="N82" s="71"/>
      <c r="P82" s="71"/>
      <c r="T82" s="71"/>
    </row>
    <row r="83" spans="1:20" s="192" customFormat="1" ht="15" customHeight="1">
      <c r="A83" s="880"/>
      <c r="B83" s="1009" t="s">
        <v>7364</v>
      </c>
      <c r="C83" s="1143" t="s">
        <v>7365</v>
      </c>
      <c r="D83" s="1616" t="s">
        <v>7366</v>
      </c>
      <c r="E83" s="1149" t="s">
        <v>2933</v>
      </c>
      <c r="F83" s="1007">
        <v>2</v>
      </c>
      <c r="G83" s="1152">
        <v>1044.83</v>
      </c>
      <c r="H83" s="1906"/>
      <c r="I83" s="70"/>
      <c r="J83" s="24">
        <f t="shared" si="10"/>
        <v>0</v>
      </c>
      <c r="K83" s="70"/>
      <c r="L83" s="71"/>
      <c r="M83" s="93">
        <f t="shared" si="11"/>
        <v>0</v>
      </c>
      <c r="N83" s="71"/>
      <c r="P83" s="71"/>
      <c r="T83" s="71"/>
    </row>
    <row r="84" spans="1:20" s="192" customFormat="1" ht="15" customHeight="1">
      <c r="A84" s="880"/>
      <c r="B84" s="1009" t="s">
        <v>7367</v>
      </c>
      <c r="C84" s="1143" t="s">
        <v>7368</v>
      </c>
      <c r="D84" s="1616" t="s">
        <v>7369</v>
      </c>
      <c r="E84" s="1149" t="s">
        <v>2933</v>
      </c>
      <c r="F84" s="1007">
        <v>2</v>
      </c>
      <c r="G84" s="1152">
        <v>307.69</v>
      </c>
      <c r="H84" s="1906"/>
      <c r="I84" s="70"/>
      <c r="J84" s="24">
        <f t="shared" si="10"/>
        <v>0</v>
      </c>
      <c r="K84" s="70"/>
      <c r="L84" s="71"/>
      <c r="M84" s="93">
        <f t="shared" si="11"/>
        <v>0</v>
      </c>
      <c r="N84" s="71"/>
      <c r="P84" s="71"/>
      <c r="T84" s="71"/>
    </row>
    <row r="85" spans="1:20" s="192" customFormat="1" ht="15" customHeight="1">
      <c r="A85" s="880"/>
      <c r="B85" s="1009" t="s">
        <v>7370</v>
      </c>
      <c r="C85" s="1143" t="s">
        <v>7371</v>
      </c>
      <c r="D85" s="1616" t="s">
        <v>7372</v>
      </c>
      <c r="E85" s="1149" t="s">
        <v>2933</v>
      </c>
      <c r="F85" s="1007">
        <v>2</v>
      </c>
      <c r="G85" s="1152">
        <v>277.24</v>
      </c>
      <c r="H85" s="1906"/>
      <c r="I85" s="70"/>
      <c r="J85" s="24">
        <f t="shared" si="10"/>
        <v>0</v>
      </c>
      <c r="K85" s="70"/>
      <c r="L85" s="71"/>
      <c r="M85" s="93">
        <f t="shared" si="11"/>
        <v>0</v>
      </c>
      <c r="N85" s="71"/>
      <c r="P85" s="71"/>
      <c r="T85" s="71"/>
    </row>
    <row r="86" spans="1:20" s="192" customFormat="1" ht="15" customHeight="1">
      <c r="A86" s="880"/>
      <c r="B86" s="1009" t="s">
        <v>7373</v>
      </c>
      <c r="C86" s="1143" t="s">
        <v>7374</v>
      </c>
      <c r="D86" s="1616" t="s">
        <v>7375</v>
      </c>
      <c r="E86" s="1149" t="s">
        <v>2933</v>
      </c>
      <c r="F86" s="1007">
        <v>2</v>
      </c>
      <c r="G86" s="1152">
        <v>270.75</v>
      </c>
      <c r="H86" s="1906"/>
      <c r="I86" s="70"/>
      <c r="J86" s="24">
        <f t="shared" si="10"/>
        <v>0</v>
      </c>
      <c r="K86" s="70"/>
      <c r="L86" s="71"/>
      <c r="M86" s="93">
        <f t="shared" si="11"/>
        <v>0</v>
      </c>
      <c r="N86" s="71"/>
      <c r="P86" s="71"/>
      <c r="T86" s="71"/>
    </row>
    <row r="87" spans="1:20" s="192" customFormat="1" ht="15" customHeight="1">
      <c r="A87" s="880"/>
      <c r="B87" s="1009" t="s">
        <v>7376</v>
      </c>
      <c r="C87" s="1143" t="s">
        <v>7377</v>
      </c>
      <c r="D87" s="1616" t="s">
        <v>7378</v>
      </c>
      <c r="E87" s="1149" t="s">
        <v>2933</v>
      </c>
      <c r="F87" s="1007">
        <v>2</v>
      </c>
      <c r="G87" s="1152">
        <v>198.46</v>
      </c>
      <c r="H87" s="1906"/>
      <c r="I87" s="70"/>
      <c r="J87" s="24">
        <f t="shared" si="10"/>
        <v>0</v>
      </c>
      <c r="K87" s="70"/>
      <c r="L87" s="71"/>
      <c r="M87" s="93">
        <f t="shared" si="11"/>
        <v>0</v>
      </c>
      <c r="N87" s="71"/>
      <c r="P87" s="71"/>
      <c r="T87" s="71"/>
    </row>
    <row r="88" spans="1:20" s="192" customFormat="1" ht="15" customHeight="1">
      <c r="A88" s="880"/>
      <c r="B88" s="1009" t="s">
        <v>7379</v>
      </c>
      <c r="C88" s="1143" t="s">
        <v>7380</v>
      </c>
      <c r="D88" s="1616" t="s">
        <v>7381</v>
      </c>
      <c r="E88" s="1149" t="s">
        <v>2933</v>
      </c>
      <c r="F88" s="1007">
        <v>2</v>
      </c>
      <c r="G88" s="1152">
        <v>44.88</v>
      </c>
      <c r="H88" s="1906"/>
      <c r="I88" s="70"/>
      <c r="J88" s="24">
        <f t="shared" si="10"/>
        <v>0</v>
      </c>
      <c r="K88" s="70"/>
      <c r="L88" s="71"/>
      <c r="M88" s="93">
        <f t="shared" si="11"/>
        <v>0</v>
      </c>
      <c r="N88" s="71"/>
      <c r="P88" s="71"/>
      <c r="T88" s="71"/>
    </row>
    <row r="89" spans="1:20" s="192" customFormat="1" ht="15" customHeight="1">
      <c r="A89" s="880"/>
      <c r="B89" s="1009" t="s">
        <v>7382</v>
      </c>
      <c r="C89" s="1143" t="s">
        <v>7383</v>
      </c>
      <c r="D89" s="1616" t="s">
        <v>7384</v>
      </c>
      <c r="E89" s="1149" t="s">
        <v>766</v>
      </c>
      <c r="F89" s="1137">
        <v>0</v>
      </c>
      <c r="G89" s="1151">
        <v>1269833</v>
      </c>
      <c r="H89" s="1906"/>
      <c r="I89" s="70"/>
      <c r="J89" s="24">
        <f t="shared" si="10"/>
        <v>0</v>
      </c>
      <c r="K89" s="70"/>
      <c r="L89" s="71"/>
      <c r="M89" s="93">
        <f t="shared" si="11"/>
        <v>0</v>
      </c>
      <c r="N89" s="71"/>
      <c r="P89" s="71"/>
      <c r="T89" s="71"/>
    </row>
    <row r="90" spans="1:20" s="192" customFormat="1" ht="15" customHeight="1">
      <c r="A90" s="880"/>
      <c r="B90" s="1009" t="s">
        <v>7385</v>
      </c>
      <c r="C90" s="1143" t="s">
        <v>7386</v>
      </c>
      <c r="D90" s="1616" t="s">
        <v>7387</v>
      </c>
      <c r="E90" s="1149" t="s">
        <v>766</v>
      </c>
      <c r="F90" s="1137">
        <v>0</v>
      </c>
      <c r="G90" s="1151">
        <v>1963</v>
      </c>
      <c r="H90" s="1906"/>
      <c r="I90" s="70"/>
      <c r="J90" s="24">
        <f t="shared" si="10"/>
        <v>0</v>
      </c>
      <c r="K90" s="70"/>
      <c r="L90" s="71"/>
      <c r="M90" s="93">
        <f t="shared" si="11"/>
        <v>0</v>
      </c>
      <c r="N90" s="71"/>
      <c r="P90" s="71"/>
      <c r="T90" s="71"/>
    </row>
    <row r="91" spans="1:20" s="192" customFormat="1" ht="15" customHeight="1">
      <c r="A91" s="880"/>
      <c r="B91" s="1009" t="s">
        <v>7388</v>
      </c>
      <c r="C91" s="1143" t="s">
        <v>7389</v>
      </c>
      <c r="D91" s="1616" t="s">
        <v>7390</v>
      </c>
      <c r="E91" s="1149" t="s">
        <v>766</v>
      </c>
      <c r="F91" s="1137">
        <v>0</v>
      </c>
      <c r="G91" s="1151">
        <v>900131</v>
      </c>
      <c r="H91" s="1906"/>
      <c r="I91" s="70"/>
      <c r="J91" s="24">
        <f t="shared" si="10"/>
        <v>0</v>
      </c>
      <c r="K91" s="70"/>
      <c r="L91" s="71"/>
      <c r="M91" s="93">
        <f t="shared" si="11"/>
        <v>0</v>
      </c>
      <c r="N91" s="71"/>
      <c r="P91" s="71"/>
      <c r="T91" s="71"/>
    </row>
    <row r="92" spans="1:20" s="192" customFormat="1" ht="15" customHeight="1">
      <c r="A92" s="880"/>
      <c r="B92" s="1009" t="s">
        <v>7391</v>
      </c>
      <c r="C92" s="1143" t="s">
        <v>7392</v>
      </c>
      <c r="D92" s="1616" t="s">
        <v>7393</v>
      </c>
      <c r="E92" s="1149" t="s">
        <v>766</v>
      </c>
      <c r="F92" s="1137">
        <v>0</v>
      </c>
      <c r="G92" s="1151">
        <v>531</v>
      </c>
      <c r="H92" s="1906"/>
      <c r="I92" s="70"/>
      <c r="J92" s="24">
        <f t="shared" si="10"/>
        <v>0</v>
      </c>
      <c r="K92" s="70"/>
      <c r="L92" s="71"/>
      <c r="M92" s="93">
        <f t="shared" si="11"/>
        <v>0</v>
      </c>
      <c r="N92" s="71"/>
      <c r="P92" s="71"/>
      <c r="T92" s="71"/>
    </row>
    <row r="93" spans="1:20" s="192" customFormat="1" ht="15" customHeight="1">
      <c r="A93" s="880"/>
      <c r="B93" s="1009" t="s">
        <v>7394</v>
      </c>
      <c r="C93" s="1143" t="s">
        <v>7395</v>
      </c>
      <c r="D93" s="1616" t="s">
        <v>7396</v>
      </c>
      <c r="E93" s="1149" t="s">
        <v>766</v>
      </c>
      <c r="F93" s="1137">
        <v>0</v>
      </c>
      <c r="G93" s="1151">
        <v>368</v>
      </c>
      <c r="H93" s="1906"/>
      <c r="I93" s="70"/>
      <c r="J93" s="24">
        <f t="shared" si="10"/>
        <v>0</v>
      </c>
      <c r="K93" s="70"/>
      <c r="L93" s="71"/>
      <c r="M93" s="93">
        <f t="shared" si="11"/>
        <v>0</v>
      </c>
      <c r="N93" s="71"/>
      <c r="P93" s="71"/>
      <c r="T93" s="71"/>
    </row>
    <row r="94" spans="1:20" s="192" customFormat="1" ht="15" customHeight="1">
      <c r="A94" s="880"/>
      <c r="B94" s="1009" t="s">
        <v>7397</v>
      </c>
      <c r="C94" s="1143" t="s">
        <v>7398</v>
      </c>
      <c r="D94" s="1616" t="s">
        <v>7399</v>
      </c>
      <c r="E94" s="1149" t="s">
        <v>766</v>
      </c>
      <c r="F94" s="1137">
        <v>0</v>
      </c>
      <c r="G94" s="1151">
        <v>27</v>
      </c>
      <c r="H94" s="1906"/>
      <c r="I94" s="70"/>
      <c r="J94" s="24">
        <f t="shared" si="10"/>
        <v>0</v>
      </c>
      <c r="K94" s="70"/>
      <c r="L94" s="71"/>
      <c r="M94" s="93">
        <f t="shared" si="11"/>
        <v>0</v>
      </c>
      <c r="N94" s="71"/>
      <c r="P94" s="71"/>
      <c r="T94" s="71"/>
    </row>
    <row r="95" spans="1:20" s="192" customFormat="1" ht="15" customHeight="1">
      <c r="A95" s="880"/>
      <c r="B95" s="1009" t="s">
        <v>7400</v>
      </c>
      <c r="C95" s="1143" t="s">
        <v>7401</v>
      </c>
      <c r="D95" s="1616" t="s">
        <v>7402</v>
      </c>
      <c r="E95" s="1149" t="s">
        <v>7215</v>
      </c>
      <c r="F95" s="1137">
        <v>1</v>
      </c>
      <c r="G95" s="1150">
        <v>346.8</v>
      </c>
      <c r="H95" s="1906"/>
      <c r="I95" s="70"/>
      <c r="J95" s="24">
        <f t="shared" si="10"/>
        <v>0</v>
      </c>
      <c r="K95" s="70"/>
      <c r="L95" s="71"/>
      <c r="M95" s="93">
        <f t="shared" si="11"/>
        <v>0</v>
      </c>
      <c r="N95" s="71"/>
      <c r="P95" s="71"/>
      <c r="T95" s="71"/>
    </row>
    <row r="96" spans="1:20" s="192" customFormat="1" ht="15" customHeight="1">
      <c r="A96" s="880"/>
      <c r="B96" s="1009" t="s">
        <v>7403</v>
      </c>
      <c r="C96" s="1143" t="s">
        <v>7404</v>
      </c>
      <c r="D96" s="1616" t="s">
        <v>7405</v>
      </c>
      <c r="E96" s="1149" t="s">
        <v>7215</v>
      </c>
      <c r="F96" s="1137">
        <v>1</v>
      </c>
      <c r="G96" s="1150">
        <v>1876.3</v>
      </c>
      <c r="H96" s="1906"/>
      <c r="I96" s="70"/>
      <c r="J96" s="24">
        <f t="shared" si="10"/>
        <v>0</v>
      </c>
      <c r="K96" s="70"/>
      <c r="L96" s="71"/>
      <c r="M96" s="93">
        <f t="shared" si="11"/>
        <v>0</v>
      </c>
      <c r="N96" s="71"/>
      <c r="P96" s="71"/>
      <c r="T96" s="71"/>
    </row>
    <row r="97" spans="1:20" s="192" customFormat="1" ht="15" customHeight="1">
      <c r="A97" s="880"/>
      <c r="B97" s="1009" t="s">
        <v>7406</v>
      </c>
      <c r="C97" s="1143" t="s">
        <v>7407</v>
      </c>
      <c r="D97" s="1616" t="s">
        <v>7408</v>
      </c>
      <c r="E97" s="1149" t="s">
        <v>7215</v>
      </c>
      <c r="F97" s="1137">
        <v>1</v>
      </c>
      <c r="G97" s="1150">
        <v>843</v>
      </c>
      <c r="H97" s="1906"/>
      <c r="I97" s="70"/>
      <c r="J97" s="24">
        <f t="shared" si="10"/>
        <v>0</v>
      </c>
      <c r="K97" s="70"/>
      <c r="L97" s="71"/>
      <c r="M97" s="93">
        <f t="shared" si="11"/>
        <v>0</v>
      </c>
      <c r="N97" s="71"/>
      <c r="P97" s="71"/>
      <c r="T97" s="71"/>
    </row>
    <row r="98" spans="1:20" s="192" customFormat="1" ht="15" customHeight="1">
      <c r="A98" s="880"/>
      <c r="B98" s="1009" t="s">
        <v>7409</v>
      </c>
      <c r="C98" s="1143" t="s">
        <v>7410</v>
      </c>
      <c r="D98" s="1616" t="s">
        <v>7411</v>
      </c>
      <c r="E98" s="1149" t="s">
        <v>7215</v>
      </c>
      <c r="F98" s="1137">
        <v>1</v>
      </c>
      <c r="G98" s="1150">
        <v>4668</v>
      </c>
      <c r="H98" s="1906"/>
      <c r="I98" s="70"/>
      <c r="J98" s="24">
        <f t="shared" si="10"/>
        <v>0</v>
      </c>
      <c r="K98" s="70"/>
      <c r="L98" s="71"/>
      <c r="M98" s="93">
        <f t="shared" si="11"/>
        <v>0</v>
      </c>
      <c r="N98" s="71"/>
      <c r="P98" s="71"/>
      <c r="T98" s="71"/>
    </row>
    <row r="99" spans="1:20" s="192" customFormat="1" ht="15" customHeight="1">
      <c r="A99" s="880"/>
      <c r="B99" s="1009" t="s">
        <v>7412</v>
      </c>
      <c r="C99" s="1143" t="s">
        <v>7413</v>
      </c>
      <c r="D99" s="1616" t="s">
        <v>7414</v>
      </c>
      <c r="E99" s="1149" t="s">
        <v>7215</v>
      </c>
      <c r="F99" s="1137">
        <v>1</v>
      </c>
      <c r="G99" s="1150">
        <v>8906.5</v>
      </c>
      <c r="H99" s="1906"/>
      <c r="I99" s="70"/>
      <c r="J99" s="24">
        <f t="shared" si="10"/>
        <v>0</v>
      </c>
      <c r="K99" s="70"/>
      <c r="L99" s="71"/>
      <c r="M99" s="93">
        <f t="shared" si="11"/>
        <v>0</v>
      </c>
      <c r="N99" s="71"/>
      <c r="P99" s="71"/>
      <c r="T99" s="71"/>
    </row>
    <row r="100" spans="1:20" s="192" customFormat="1" ht="15" customHeight="1">
      <c r="A100" s="880"/>
      <c r="B100" s="1009" t="s">
        <v>7415</v>
      </c>
      <c r="C100" s="1143" t="s">
        <v>7416</v>
      </c>
      <c r="D100" s="1616" t="s">
        <v>7417</v>
      </c>
      <c r="E100" s="1149" t="s">
        <v>7215</v>
      </c>
      <c r="F100" s="1137">
        <v>1</v>
      </c>
      <c r="G100" s="1150">
        <v>5145.8999999999996</v>
      </c>
      <c r="H100" s="1906"/>
      <c r="I100" s="70"/>
      <c r="J100" s="24">
        <f t="shared" si="10"/>
        <v>0</v>
      </c>
      <c r="K100" s="70"/>
      <c r="L100" s="71"/>
      <c r="M100" s="93">
        <f t="shared" si="11"/>
        <v>0</v>
      </c>
      <c r="N100" s="71"/>
      <c r="P100" s="71"/>
      <c r="T100" s="71"/>
    </row>
    <row r="101" spans="1:20" s="192" customFormat="1" ht="15" customHeight="1">
      <c r="A101" s="880"/>
      <c r="B101" s="1009" t="s">
        <v>7418</v>
      </c>
      <c r="C101" s="1143" t="s">
        <v>7419</v>
      </c>
      <c r="D101" s="1616" t="s">
        <v>7420</v>
      </c>
      <c r="E101" s="1149" t="s">
        <v>7215</v>
      </c>
      <c r="F101" s="1137">
        <v>1</v>
      </c>
      <c r="G101" s="1150">
        <v>6451.1</v>
      </c>
      <c r="H101" s="1906"/>
      <c r="I101" s="70"/>
      <c r="J101" s="24">
        <f t="shared" si="10"/>
        <v>0</v>
      </c>
      <c r="K101" s="70"/>
      <c r="L101" s="71"/>
      <c r="M101" s="93">
        <f t="shared" si="11"/>
        <v>0</v>
      </c>
      <c r="N101" s="71"/>
      <c r="P101" s="71"/>
      <c r="T101" s="71"/>
    </row>
    <row r="102" spans="1:20" s="192" customFormat="1" ht="15" customHeight="1">
      <c r="A102" s="880"/>
      <c r="B102" s="1009" t="s">
        <v>7421</v>
      </c>
      <c r="C102" s="1143" t="s">
        <v>7422</v>
      </c>
      <c r="D102" s="1616" t="s">
        <v>7423</v>
      </c>
      <c r="E102" s="1149" t="s">
        <v>7215</v>
      </c>
      <c r="F102" s="1007">
        <v>1</v>
      </c>
      <c r="G102" s="1150">
        <v>3653.4</v>
      </c>
      <c r="H102" s="1906"/>
      <c r="I102" s="70"/>
      <c r="J102" s="24">
        <f t="shared" si="10"/>
        <v>0</v>
      </c>
      <c r="K102" s="70"/>
      <c r="L102" s="71"/>
      <c r="M102" s="93">
        <f t="shared" si="11"/>
        <v>0</v>
      </c>
      <c r="N102" s="71"/>
      <c r="P102" s="71"/>
      <c r="T102" s="71"/>
    </row>
    <row r="103" spans="1:20" s="192" customFormat="1" ht="15" customHeight="1" thickBot="1">
      <c r="A103" s="880"/>
      <c r="B103" s="1014" t="s">
        <v>7424</v>
      </c>
      <c r="C103" s="1145" t="s">
        <v>7425</v>
      </c>
      <c r="D103" s="1617" t="s">
        <v>7426</v>
      </c>
      <c r="E103" s="1153" t="s">
        <v>7219</v>
      </c>
      <c r="F103" s="1017">
        <v>2</v>
      </c>
      <c r="G103" s="1154">
        <v>68.64</v>
      </c>
      <c r="H103" s="1908"/>
      <c r="I103" s="70"/>
      <c r="J103" s="24">
        <f t="shared" si="10"/>
        <v>0</v>
      </c>
      <c r="K103" s="70"/>
      <c r="L103" s="71"/>
      <c r="M103" s="93">
        <f t="shared" si="11"/>
        <v>0</v>
      </c>
      <c r="N103" s="71"/>
      <c r="P103" s="71"/>
      <c r="T103" s="71"/>
    </row>
    <row r="104" spans="1:20" s="192" customFormat="1" ht="15" thickBot="1">
      <c r="A104" s="880"/>
      <c r="B104" s="1024"/>
      <c r="C104" s="1025"/>
      <c r="D104" s="1627"/>
      <c r="E104" s="1026"/>
      <c r="F104" s="1027"/>
      <c r="G104" s="1911"/>
      <c r="H104" s="1912"/>
      <c r="I104" s="70"/>
      <c r="J104" s="24"/>
      <c r="K104" s="70"/>
      <c r="L104" s="71"/>
      <c r="M104" s="202"/>
      <c r="N104" s="124"/>
      <c r="P104" s="71"/>
      <c r="T104" s="71"/>
    </row>
    <row r="105" spans="1:20" s="192" customFormat="1" ht="15" thickBot="1">
      <c r="A105" s="880"/>
      <c r="B105" s="3034" t="s">
        <v>392</v>
      </c>
      <c r="C105" s="1060" t="s">
        <v>7427</v>
      </c>
      <c r="D105" s="1627"/>
      <c r="E105" s="1026"/>
      <c r="F105" s="1027"/>
      <c r="G105" s="1911"/>
      <c r="H105" s="1912"/>
      <c r="I105" s="70"/>
      <c r="J105" s="24"/>
      <c r="K105" s="70"/>
      <c r="L105" s="71"/>
      <c r="M105" s="202"/>
      <c r="N105" s="124"/>
      <c r="P105" s="71"/>
      <c r="T105" s="71"/>
    </row>
    <row r="106" spans="1:20" s="192" customFormat="1">
      <c r="A106" s="880"/>
      <c r="B106" s="1700" t="s">
        <v>7428</v>
      </c>
      <c r="C106" s="1161" t="s">
        <v>7429</v>
      </c>
      <c r="D106" s="1628" t="s">
        <v>7430</v>
      </c>
      <c r="E106" s="91" t="s">
        <v>7431</v>
      </c>
      <c r="F106" s="1155">
        <v>0</v>
      </c>
      <c r="G106" s="1156">
        <v>6</v>
      </c>
      <c r="H106" s="1905"/>
      <c r="I106" s="70"/>
      <c r="J106" s="24">
        <f t="shared" ref="J106:J123" si="12" xml:space="preserve"> IF( SUM( L106:N106 ) = 0, 0, $M$4 )</f>
        <v>0</v>
      </c>
      <c r="K106" s="70"/>
      <c r="L106" s="71"/>
      <c r="M106" s="93">
        <f t="shared" ref="M106:M113" si="13" xml:space="preserve"> IF( ISNUMBER( G106 ), 0, 1 )</f>
        <v>0</v>
      </c>
      <c r="N106" s="71"/>
      <c r="P106" s="71"/>
      <c r="T106" s="71"/>
    </row>
    <row r="107" spans="1:20" s="192" customFormat="1">
      <c r="A107" s="880"/>
      <c r="B107" s="1701" t="s">
        <v>7432</v>
      </c>
      <c r="C107" s="1478" t="s">
        <v>7433</v>
      </c>
      <c r="D107" s="1629" t="s">
        <v>7434</v>
      </c>
      <c r="E107" s="1479" t="s">
        <v>7431</v>
      </c>
      <c r="F107" s="1157">
        <v>0</v>
      </c>
      <c r="G107" s="1151">
        <v>2</v>
      </c>
      <c r="H107" s="1906"/>
      <c r="I107" s="70"/>
      <c r="J107" s="24">
        <f t="shared" si="12"/>
        <v>0</v>
      </c>
      <c r="K107" s="70"/>
      <c r="L107" s="71"/>
      <c r="M107" s="93">
        <f t="shared" si="13"/>
        <v>0</v>
      </c>
      <c r="N107" s="71"/>
      <c r="P107" s="71"/>
      <c r="T107" s="71"/>
    </row>
    <row r="108" spans="1:20" s="192" customFormat="1">
      <c r="A108" s="880"/>
      <c r="B108" s="1701" t="s">
        <v>7435</v>
      </c>
      <c r="C108" s="1163" t="s">
        <v>7436</v>
      </c>
      <c r="D108" s="1630" t="s">
        <v>7437</v>
      </c>
      <c r="E108" s="98" t="s">
        <v>7431</v>
      </c>
      <c r="F108" s="1157">
        <v>0</v>
      </c>
      <c r="G108" s="1151">
        <v>8</v>
      </c>
      <c r="H108" s="1906"/>
      <c r="I108" s="70"/>
      <c r="J108" s="24">
        <f t="shared" si="12"/>
        <v>0</v>
      </c>
      <c r="K108" s="70"/>
      <c r="L108" s="71"/>
      <c r="M108" s="93">
        <f t="shared" si="13"/>
        <v>0</v>
      </c>
      <c r="N108" s="71"/>
      <c r="P108" s="71"/>
      <c r="T108" s="71"/>
    </row>
    <row r="109" spans="1:20" s="192" customFormat="1">
      <c r="A109" s="880"/>
      <c r="B109" s="1701" t="s">
        <v>7438</v>
      </c>
      <c r="C109" s="1163" t="s">
        <v>7439</v>
      </c>
      <c r="D109" s="1630" t="s">
        <v>7440</v>
      </c>
      <c r="E109" s="98" t="s">
        <v>7431</v>
      </c>
      <c r="F109" s="1157">
        <v>0</v>
      </c>
      <c r="G109" s="1151">
        <v>6</v>
      </c>
      <c r="H109" s="1906"/>
      <c r="I109" s="70"/>
      <c r="J109" s="24">
        <f t="shared" si="12"/>
        <v>0</v>
      </c>
      <c r="K109" s="70"/>
      <c r="L109" s="71"/>
      <c r="M109" s="93">
        <f t="shared" si="13"/>
        <v>0</v>
      </c>
      <c r="N109" s="71"/>
      <c r="P109" s="71"/>
      <c r="T109" s="71"/>
    </row>
    <row r="110" spans="1:20" s="192" customFormat="1">
      <c r="A110" s="880"/>
      <c r="B110" s="1701" t="s">
        <v>7441</v>
      </c>
      <c r="C110" s="1163" t="s">
        <v>7442</v>
      </c>
      <c r="D110" s="1630" t="s">
        <v>7443</v>
      </c>
      <c r="E110" s="98" t="s">
        <v>7431</v>
      </c>
      <c r="F110" s="1157">
        <v>0</v>
      </c>
      <c r="G110" s="1151">
        <v>14</v>
      </c>
      <c r="H110" s="1906"/>
      <c r="I110" s="70"/>
      <c r="J110" s="24">
        <f t="shared" si="12"/>
        <v>0</v>
      </c>
      <c r="K110" s="70"/>
      <c r="L110" s="71"/>
      <c r="M110" s="93">
        <f t="shared" si="13"/>
        <v>0</v>
      </c>
      <c r="N110" s="71"/>
      <c r="P110" s="71"/>
      <c r="T110" s="71"/>
    </row>
    <row r="111" spans="1:20" s="192" customFormat="1">
      <c r="A111" s="880"/>
      <c r="B111" s="1701" t="s">
        <v>7444</v>
      </c>
      <c r="C111" s="1163" t="s">
        <v>7445</v>
      </c>
      <c r="D111" s="1630" t="s">
        <v>7446</v>
      </c>
      <c r="E111" s="98" t="s">
        <v>7431</v>
      </c>
      <c r="F111" s="1158">
        <v>0</v>
      </c>
      <c r="G111" s="1151">
        <v>8</v>
      </c>
      <c r="H111" s="1906"/>
      <c r="I111" s="70"/>
      <c r="J111" s="24">
        <f t="shared" si="12"/>
        <v>0</v>
      </c>
      <c r="K111" s="70"/>
      <c r="L111" s="71"/>
      <c r="M111" s="93">
        <f t="shared" si="13"/>
        <v>0</v>
      </c>
      <c r="N111" s="71"/>
      <c r="P111" s="71"/>
      <c r="T111" s="71"/>
    </row>
    <row r="112" spans="1:20" s="192" customFormat="1">
      <c r="A112" s="880"/>
      <c r="B112" s="1701" t="s">
        <v>7447</v>
      </c>
      <c r="C112" s="1163" t="s">
        <v>7448</v>
      </c>
      <c r="D112" s="1632" t="s">
        <v>7449</v>
      </c>
      <c r="E112" s="1477" t="s">
        <v>7431</v>
      </c>
      <c r="F112" s="1157">
        <v>0</v>
      </c>
      <c r="G112" s="1151">
        <v>2</v>
      </c>
      <c r="H112" s="1906"/>
      <c r="I112" s="70"/>
      <c r="J112" s="24">
        <f t="shared" si="12"/>
        <v>0</v>
      </c>
      <c r="K112" s="70"/>
      <c r="L112" s="71"/>
      <c r="M112" s="93">
        <f t="shared" si="13"/>
        <v>0</v>
      </c>
      <c r="N112" s="71"/>
      <c r="P112" s="71"/>
      <c r="T112" s="71"/>
    </row>
    <row r="113" spans="1:20" s="192" customFormat="1" ht="15" thickBot="1">
      <c r="A113" s="880"/>
      <c r="B113" s="1702" t="s">
        <v>7450</v>
      </c>
      <c r="C113" s="2272" t="s">
        <v>7451</v>
      </c>
      <c r="D113" s="2273" t="s">
        <v>7452</v>
      </c>
      <c r="E113" s="1476" t="s">
        <v>7431</v>
      </c>
      <c r="F113" s="1159">
        <v>0</v>
      </c>
      <c r="G113" s="1160">
        <v>2</v>
      </c>
      <c r="H113" s="1908"/>
      <c r="I113" s="70"/>
      <c r="J113" s="24">
        <f t="shared" si="12"/>
        <v>0</v>
      </c>
      <c r="K113" s="70"/>
      <c r="L113" s="71"/>
      <c r="M113" s="93">
        <f t="shared" si="13"/>
        <v>0</v>
      </c>
      <c r="N113" s="71"/>
      <c r="P113" s="71"/>
      <c r="T113" s="71"/>
    </row>
    <row r="114" spans="1:20" s="192" customFormat="1" ht="15" thickBot="1">
      <c r="A114" s="880"/>
      <c r="B114" s="1024"/>
      <c r="C114" s="794"/>
      <c r="D114" s="1627"/>
      <c r="E114" s="795"/>
      <c r="F114" s="1027"/>
      <c r="G114" s="1909"/>
      <c r="H114" s="1910"/>
      <c r="J114" s="24"/>
      <c r="L114" s="71"/>
      <c r="M114" s="70"/>
      <c r="N114" s="71"/>
      <c r="P114" s="71"/>
      <c r="T114" s="71"/>
    </row>
    <row r="115" spans="1:20" s="192" customFormat="1" ht="15" thickBot="1">
      <c r="A115" s="880"/>
      <c r="B115" s="3034" t="s">
        <v>466</v>
      </c>
      <c r="C115" s="1060" t="s">
        <v>7453</v>
      </c>
      <c r="D115" s="1627"/>
      <c r="E115" s="795"/>
      <c r="F115" s="1027"/>
      <c r="G115" s="1909"/>
      <c r="H115" s="1910"/>
      <c r="J115" s="24"/>
      <c r="K115" s="70"/>
      <c r="L115" s="71"/>
      <c r="M115" s="70"/>
      <c r="N115" s="71"/>
      <c r="P115" s="71"/>
      <c r="T115" s="71"/>
    </row>
    <row r="116" spans="1:20" s="192" customFormat="1">
      <c r="A116" s="880"/>
      <c r="B116" s="1700" t="s">
        <v>7454</v>
      </c>
      <c r="C116" s="1161" t="s">
        <v>7455</v>
      </c>
      <c r="D116" s="1631" t="s">
        <v>7456</v>
      </c>
      <c r="E116" s="91" t="s">
        <v>734</v>
      </c>
      <c r="F116" s="1155">
        <v>1</v>
      </c>
      <c r="G116" s="1162">
        <v>4.0000000000000001E-3</v>
      </c>
      <c r="H116" s="1905"/>
      <c r="I116" s="70"/>
      <c r="J116" s="24">
        <f t="shared" si="12"/>
        <v>0</v>
      </c>
      <c r="K116" s="70"/>
      <c r="L116" s="71"/>
      <c r="M116" s="93">
        <f t="shared" ref="M116:M123" si="14" xml:space="preserve"> IF( ISNUMBER( G116 ), 0, 1 )</f>
        <v>0</v>
      </c>
      <c r="N116" s="71"/>
      <c r="P116" s="71"/>
      <c r="T116" s="71"/>
    </row>
    <row r="117" spans="1:20" s="192" customFormat="1">
      <c r="A117" s="880"/>
      <c r="B117" s="1701" t="s">
        <v>7457</v>
      </c>
      <c r="C117" s="1163" t="s">
        <v>7458</v>
      </c>
      <c r="D117" s="1632" t="s">
        <v>7459</v>
      </c>
      <c r="E117" s="98" t="s">
        <v>734</v>
      </c>
      <c r="F117" s="1157">
        <v>1</v>
      </c>
      <c r="G117" s="1164">
        <v>4.0000000000000001E-3</v>
      </c>
      <c r="H117" s="1906"/>
      <c r="I117" s="70"/>
      <c r="J117" s="24">
        <f t="shared" si="12"/>
        <v>0</v>
      </c>
      <c r="K117" s="70"/>
      <c r="L117" s="71"/>
      <c r="M117" s="93">
        <f t="shared" si="14"/>
        <v>0</v>
      </c>
      <c r="N117" s="71"/>
      <c r="P117" s="71"/>
      <c r="T117" s="71"/>
    </row>
    <row r="118" spans="1:20" s="192" customFormat="1">
      <c r="A118" s="880"/>
      <c r="B118" s="1701" t="s">
        <v>7460</v>
      </c>
      <c r="C118" s="1163" t="s">
        <v>7461</v>
      </c>
      <c r="D118" s="1632" t="s">
        <v>7462</v>
      </c>
      <c r="E118" s="98" t="s">
        <v>734</v>
      </c>
      <c r="F118" s="1157">
        <v>1</v>
      </c>
      <c r="G118" s="1164">
        <v>3.9E-2</v>
      </c>
      <c r="H118" s="1906"/>
      <c r="I118" s="70"/>
      <c r="J118" s="24">
        <f t="shared" si="12"/>
        <v>0</v>
      </c>
      <c r="K118" s="70"/>
      <c r="L118" s="71"/>
      <c r="M118" s="93">
        <f t="shared" si="14"/>
        <v>0</v>
      </c>
      <c r="N118" s="71"/>
      <c r="P118" s="71"/>
      <c r="T118" s="71"/>
    </row>
    <row r="119" spans="1:20" s="192" customFormat="1">
      <c r="A119" s="880"/>
      <c r="B119" s="1701" t="s">
        <v>7463</v>
      </c>
      <c r="C119" s="1163" t="s">
        <v>7464</v>
      </c>
      <c r="D119" s="1632" t="s">
        <v>7465</v>
      </c>
      <c r="E119" s="98" t="s">
        <v>734</v>
      </c>
      <c r="F119" s="1157">
        <v>1</v>
      </c>
      <c r="G119" s="1164">
        <v>5.6000000000000001E-2</v>
      </c>
      <c r="H119" s="1906"/>
      <c r="I119" s="70"/>
      <c r="J119" s="24">
        <f t="shared" si="12"/>
        <v>0</v>
      </c>
      <c r="K119" s="70"/>
      <c r="L119" s="71"/>
      <c r="M119" s="93">
        <f t="shared" si="14"/>
        <v>0</v>
      </c>
      <c r="N119" s="71"/>
      <c r="P119" s="71"/>
      <c r="T119" s="71"/>
    </row>
    <row r="120" spans="1:20" s="192" customFormat="1">
      <c r="A120" s="880"/>
      <c r="B120" s="1701" t="s">
        <v>7466</v>
      </c>
      <c r="C120" s="1163" t="s">
        <v>7467</v>
      </c>
      <c r="D120" s="1632" t="s">
        <v>7468</v>
      </c>
      <c r="E120" s="98" t="s">
        <v>734</v>
      </c>
      <c r="F120" s="1157">
        <v>1</v>
      </c>
      <c r="G120" s="1164">
        <v>0.24299999999999999</v>
      </c>
      <c r="H120" s="1906"/>
      <c r="I120" s="70"/>
      <c r="J120" s="24">
        <f t="shared" si="12"/>
        <v>0</v>
      </c>
      <c r="K120" s="70"/>
      <c r="L120" s="71"/>
      <c r="M120" s="93">
        <f t="shared" si="14"/>
        <v>0</v>
      </c>
      <c r="N120" s="71"/>
      <c r="P120" s="71"/>
      <c r="T120" s="71"/>
    </row>
    <row r="121" spans="1:20" s="192" customFormat="1">
      <c r="A121" s="880"/>
      <c r="B121" s="1701" t="s">
        <v>7469</v>
      </c>
      <c r="C121" s="1163" t="s">
        <v>7470</v>
      </c>
      <c r="D121" s="1632" t="s">
        <v>7471</v>
      </c>
      <c r="E121" s="98" t="s">
        <v>734</v>
      </c>
      <c r="F121" s="1158">
        <v>1</v>
      </c>
      <c r="G121" s="1164">
        <v>0.29499999999999998</v>
      </c>
      <c r="H121" s="1906"/>
      <c r="I121" s="70"/>
      <c r="J121" s="24">
        <f t="shared" si="12"/>
        <v>0</v>
      </c>
      <c r="K121" s="70"/>
      <c r="L121" s="71"/>
      <c r="M121" s="93">
        <f t="shared" si="14"/>
        <v>0</v>
      </c>
      <c r="N121" s="71"/>
      <c r="P121" s="71"/>
      <c r="T121" s="71"/>
    </row>
    <row r="122" spans="1:20" s="192" customFormat="1">
      <c r="A122" s="880"/>
      <c r="B122" s="1701" t="s">
        <v>7472</v>
      </c>
      <c r="C122" s="1163" t="s">
        <v>7473</v>
      </c>
      <c r="D122" s="1632" t="s">
        <v>7474</v>
      </c>
      <c r="E122" s="98" t="s">
        <v>734</v>
      </c>
      <c r="F122" s="1157">
        <v>1</v>
      </c>
      <c r="G122" s="1164">
        <v>0.112</v>
      </c>
      <c r="H122" s="1906"/>
      <c r="I122" s="70"/>
      <c r="J122" s="24">
        <f t="shared" si="12"/>
        <v>0</v>
      </c>
      <c r="K122" s="70"/>
      <c r="L122" s="71"/>
      <c r="M122" s="93">
        <f t="shared" si="14"/>
        <v>0</v>
      </c>
      <c r="N122" s="71"/>
      <c r="P122" s="71"/>
      <c r="T122" s="71"/>
    </row>
    <row r="123" spans="1:20" s="192" customFormat="1" ht="15" thickBot="1">
      <c r="A123" s="880"/>
      <c r="B123" s="1702" t="s">
        <v>7475</v>
      </c>
      <c r="C123" s="1165" t="s">
        <v>7476</v>
      </c>
      <c r="D123" s="1633" t="s">
        <v>7477</v>
      </c>
      <c r="E123" s="99" t="s">
        <v>734</v>
      </c>
      <c r="F123" s="1159">
        <v>1</v>
      </c>
      <c r="G123" s="1166">
        <v>0.247</v>
      </c>
      <c r="H123" s="1908"/>
      <c r="I123" s="70"/>
      <c r="J123" s="24">
        <f t="shared" si="12"/>
        <v>0</v>
      </c>
      <c r="K123" s="70"/>
      <c r="L123" s="71"/>
      <c r="M123" s="93">
        <f t="shared" si="14"/>
        <v>0</v>
      </c>
      <c r="N123" s="71"/>
      <c r="P123" s="71"/>
      <c r="T123" s="71"/>
    </row>
    <row r="124" spans="1:20">
      <c r="A124" s="2004"/>
      <c r="B124" s="2004"/>
      <c r="C124" s="2004"/>
      <c r="F124" s="2004"/>
      <c r="G124" s="2004"/>
      <c r="H124" s="2004"/>
      <c r="I124" s="2004"/>
      <c r="J124" s="2004"/>
      <c r="K124" s="2004"/>
      <c r="M124" s="2004"/>
      <c r="O124" s="2004"/>
      <c r="Q124" s="2004"/>
      <c r="R124" s="2004"/>
      <c r="S124" s="2004"/>
    </row>
    <row r="125" spans="1:20">
      <c r="A125" s="2004"/>
      <c r="B125" s="3314" t="s">
        <v>243</v>
      </c>
      <c r="C125" s="3314"/>
      <c r="D125" s="1025"/>
      <c r="E125" s="1026"/>
      <c r="F125" s="1027"/>
      <c r="G125" s="1027"/>
      <c r="H125" s="1027"/>
      <c r="I125" s="1027"/>
      <c r="J125" s="1028"/>
      <c r="K125" s="1028"/>
      <c r="L125" s="1683"/>
      <c r="M125" s="2004"/>
      <c r="O125" s="2004"/>
      <c r="Q125" s="2004"/>
      <c r="R125" s="2004"/>
      <c r="S125" s="2004"/>
    </row>
    <row r="126" spans="1:20">
      <c r="A126" s="2004"/>
      <c r="B126" s="1024"/>
      <c r="C126" s="1031"/>
      <c r="D126" s="1025"/>
      <c r="E126" s="1026"/>
      <c r="F126" s="1027"/>
      <c r="G126" s="1027"/>
      <c r="H126" s="1027"/>
      <c r="I126" s="1027"/>
      <c r="J126" s="1032"/>
      <c r="K126" s="1032"/>
      <c r="L126" s="1684"/>
      <c r="M126" s="2004"/>
      <c r="O126" s="2004"/>
      <c r="Q126" s="2004"/>
      <c r="R126" s="2004"/>
      <c r="S126" s="2004"/>
    </row>
    <row r="127" spans="1:20">
      <c r="A127" s="2004"/>
      <c r="B127" s="958"/>
      <c r="C127" s="959" t="s">
        <v>190</v>
      </c>
      <c r="D127" s="959"/>
      <c r="E127" s="163"/>
      <c r="F127" s="163"/>
      <c r="G127" s="163"/>
      <c r="H127" s="163"/>
      <c r="I127" s="163"/>
      <c r="J127" s="163"/>
      <c r="K127" s="163"/>
      <c r="L127" s="1675"/>
      <c r="M127" s="2004"/>
      <c r="O127" s="2004"/>
      <c r="Q127" s="2004"/>
      <c r="R127" s="2004"/>
      <c r="S127" s="2004"/>
    </row>
    <row r="128" spans="1:20">
      <c r="A128" s="2004"/>
      <c r="B128" s="956"/>
      <c r="C128" s="957"/>
      <c r="D128" s="957"/>
      <c r="E128" s="163"/>
      <c r="F128" s="163"/>
      <c r="G128" s="163"/>
      <c r="H128" s="163"/>
      <c r="I128" s="163"/>
      <c r="J128" s="163"/>
      <c r="K128" s="163"/>
      <c r="L128" s="1675"/>
      <c r="M128" s="2004"/>
      <c r="O128" s="2004"/>
      <c r="Q128" s="2004"/>
      <c r="R128" s="2004"/>
      <c r="S128" s="2004"/>
    </row>
    <row r="129" spans="1:20">
      <c r="A129" s="2004"/>
      <c r="B129" s="960"/>
      <c r="C129" s="959" t="s">
        <v>191</v>
      </c>
      <c r="D129" s="959"/>
      <c r="E129" s="163"/>
      <c r="F129" s="163"/>
      <c r="G129" s="163"/>
      <c r="H129" s="163"/>
      <c r="I129" s="163"/>
      <c r="J129" s="163"/>
      <c r="K129" s="163"/>
      <c r="L129" s="1675"/>
      <c r="M129" s="2004"/>
      <c r="O129" s="2004"/>
      <c r="Q129" s="2004"/>
      <c r="R129" s="2004"/>
      <c r="S129" s="2004"/>
    </row>
    <row r="130" spans="1:20">
      <c r="A130" s="2004"/>
      <c r="B130" s="110"/>
      <c r="C130" s="152"/>
      <c r="D130" s="152"/>
      <c r="E130" s="110"/>
      <c r="F130" s="110"/>
      <c r="G130" s="110"/>
      <c r="H130" s="110"/>
      <c r="I130" s="110"/>
      <c r="J130" s="110"/>
      <c r="K130" s="110"/>
      <c r="L130" s="1676"/>
      <c r="M130" s="2004"/>
      <c r="O130" s="2004"/>
      <c r="Q130" s="2004"/>
      <c r="R130" s="2004"/>
      <c r="S130" s="2004"/>
    </row>
    <row r="131" spans="1:20" ht="15" thickBot="1">
      <c r="A131" s="2004"/>
      <c r="B131" s="110"/>
      <c r="C131" s="152"/>
      <c r="D131" s="152"/>
      <c r="E131" s="110"/>
      <c r="F131" s="110"/>
      <c r="G131" s="110"/>
      <c r="H131" s="110"/>
      <c r="I131" s="110"/>
      <c r="J131" s="110"/>
      <c r="K131" s="110"/>
      <c r="L131" s="1676"/>
      <c r="M131" s="2004"/>
      <c r="O131" s="2004"/>
      <c r="Q131" s="2004"/>
      <c r="R131" s="2004"/>
      <c r="S131" s="2004"/>
    </row>
    <row r="132" spans="1:20" ht="16.5" thickBot="1">
      <c r="A132" s="2004"/>
      <c r="B132" s="3375" t="str">
        <f>'4O'!B32</f>
        <v>Please refer to RAG 4.08 - Guideline for the table definitions in the annual performance report for the reporting year 2019-20</v>
      </c>
      <c r="C132" s="3513"/>
      <c r="D132" s="3513"/>
      <c r="E132" s="3513"/>
      <c r="F132" s="3513"/>
      <c r="G132" s="3513"/>
      <c r="H132" s="3513"/>
      <c r="I132" s="3513"/>
      <c r="J132" s="3514"/>
      <c r="K132" s="110"/>
      <c r="L132" s="1676"/>
      <c r="M132" s="2004"/>
      <c r="O132" s="2004"/>
      <c r="Q132" s="2004"/>
      <c r="R132" s="2004"/>
      <c r="S132" s="2004"/>
    </row>
    <row r="133" spans="1:20" ht="15" thickBot="1">
      <c r="A133" s="2004"/>
      <c r="B133" s="110"/>
      <c r="C133" s="152"/>
      <c r="D133" s="152"/>
      <c r="E133" s="110"/>
      <c r="F133" s="110"/>
      <c r="G133" s="110"/>
      <c r="H133" s="110"/>
      <c r="I133" s="110"/>
      <c r="J133" s="110"/>
      <c r="K133" s="110"/>
      <c r="L133" s="1676"/>
      <c r="M133" s="2004"/>
      <c r="O133" s="2004"/>
      <c r="Q133" s="2004"/>
      <c r="R133" s="2004"/>
      <c r="S133" s="2004"/>
    </row>
    <row r="134" spans="1:20" ht="16.5" hidden="1" thickBot="1">
      <c r="A134" s="1602"/>
      <c r="B134" s="3428" t="str">
        <f ca="1" xml:space="preserve"> RIGHT(CELL("filename", $A$1), LEN(CELL("filename", $A$1)) - SEARCH("]", CELL("filename", $A$1)))&amp;" - Line definitions"</f>
        <v>4P - Line definitions</v>
      </c>
      <c r="C134" s="3489"/>
      <c r="D134" s="3489"/>
      <c r="E134" s="3489"/>
      <c r="F134" s="3489"/>
      <c r="G134" s="3489"/>
      <c r="H134" s="3489"/>
      <c r="I134" s="3489"/>
      <c r="J134" s="3490"/>
      <c r="K134" s="110"/>
      <c r="L134" s="1676"/>
      <c r="M134" s="2004"/>
      <c r="O134" s="2004"/>
      <c r="Q134" s="2004"/>
      <c r="R134" s="2004"/>
      <c r="S134" s="2004"/>
    </row>
    <row r="135" spans="1:20" ht="15" hidden="1" thickBot="1">
      <c r="A135" s="1602"/>
      <c r="B135" s="880"/>
      <c r="C135" s="1034"/>
      <c r="D135" s="1034"/>
      <c r="E135" s="880"/>
      <c r="F135" s="880"/>
      <c r="G135" s="880"/>
      <c r="H135" s="880"/>
      <c r="I135" s="880"/>
      <c r="J135" s="880"/>
      <c r="K135" s="110"/>
      <c r="L135" s="1676"/>
      <c r="M135" s="2004"/>
      <c r="O135" s="2004"/>
      <c r="Q135" s="2004"/>
      <c r="R135" s="2004"/>
      <c r="S135" s="2004"/>
    </row>
    <row r="136" spans="1:20" ht="15.75" hidden="1" thickBot="1">
      <c r="A136" s="1602"/>
      <c r="B136" s="3034" t="s">
        <v>155</v>
      </c>
      <c r="C136" s="3515" t="s">
        <v>907</v>
      </c>
      <c r="D136" s="3516"/>
      <c r="E136" s="3516"/>
      <c r="F136" s="3516"/>
      <c r="G136" s="3516"/>
      <c r="H136" s="3516"/>
      <c r="I136" s="3516"/>
      <c r="J136" s="3517"/>
      <c r="K136" s="110"/>
      <c r="L136" s="1676"/>
      <c r="M136" s="2004"/>
      <c r="O136" s="2004"/>
      <c r="Q136" s="2004"/>
      <c r="R136" s="2004"/>
      <c r="S136" s="2004"/>
    </row>
    <row r="137" spans="1:20" hidden="1">
      <c r="A137" s="1602"/>
      <c r="B137" s="2075" t="s">
        <v>193</v>
      </c>
      <c r="C137" s="3518" t="s">
        <v>194</v>
      </c>
      <c r="D137" s="3519"/>
      <c r="E137" s="3519"/>
      <c r="F137" s="3519"/>
      <c r="G137" s="3519"/>
      <c r="H137" s="3519"/>
      <c r="I137" s="3519"/>
      <c r="J137" s="3520"/>
      <c r="K137" s="110"/>
      <c r="L137" s="1676"/>
      <c r="M137" s="2004"/>
      <c r="O137" s="2004"/>
      <c r="Q137" s="2004"/>
      <c r="R137" s="2004"/>
      <c r="S137" s="2004"/>
    </row>
    <row r="138" spans="1:20" ht="14.25" hidden="1" customHeight="1">
      <c r="A138" s="1602"/>
      <c r="B138" s="1475">
        <v>1</v>
      </c>
      <c r="C138" s="3501" t="s">
        <v>7478</v>
      </c>
      <c r="D138" s="3502"/>
      <c r="E138" s="3502"/>
      <c r="F138" s="3502"/>
      <c r="G138" s="3502"/>
      <c r="H138" s="3502"/>
      <c r="I138" s="3502"/>
      <c r="J138" s="3503"/>
      <c r="K138" s="110"/>
      <c r="L138" s="1676"/>
      <c r="M138" s="2004"/>
      <c r="O138" s="2004"/>
      <c r="Q138" s="2004"/>
      <c r="R138" s="2004"/>
      <c r="S138" s="2004"/>
    </row>
    <row r="139" spans="1:20" ht="70.5" hidden="1" customHeight="1">
      <c r="A139" s="1602"/>
      <c r="B139" s="1475">
        <f t="shared" ref="B139:B164" si="15">+B138+1</f>
        <v>2</v>
      </c>
      <c r="C139" s="3501" t="s">
        <v>7479</v>
      </c>
      <c r="D139" s="3502"/>
      <c r="E139" s="3502"/>
      <c r="F139" s="3502"/>
      <c r="G139" s="3502"/>
      <c r="H139" s="3502"/>
      <c r="I139" s="3502"/>
      <c r="J139" s="3503"/>
      <c r="K139" s="110"/>
      <c r="L139" s="1676"/>
      <c r="M139" s="2004"/>
      <c r="O139" s="2004"/>
      <c r="Q139" s="2004"/>
      <c r="R139" s="2004"/>
      <c r="S139" s="2004"/>
    </row>
    <row r="140" spans="1:20" ht="34.5" hidden="1" customHeight="1">
      <c r="A140" s="1602"/>
      <c r="B140" s="1475">
        <f t="shared" si="15"/>
        <v>3</v>
      </c>
      <c r="C140" s="3501" t="s">
        <v>7480</v>
      </c>
      <c r="D140" s="3502"/>
      <c r="E140" s="3502"/>
      <c r="F140" s="3502"/>
      <c r="G140" s="3502"/>
      <c r="H140" s="3502"/>
      <c r="I140" s="3502"/>
      <c r="J140" s="3503"/>
      <c r="K140" s="110"/>
      <c r="L140" s="1676"/>
      <c r="M140" s="2004"/>
      <c r="O140" s="2004"/>
      <c r="Q140" s="2004"/>
      <c r="R140" s="2004"/>
      <c r="S140" s="2004"/>
    </row>
    <row r="141" spans="1:20" ht="34.5" hidden="1" customHeight="1">
      <c r="A141" s="1602"/>
      <c r="B141" s="1475">
        <f t="shared" si="15"/>
        <v>4</v>
      </c>
      <c r="C141" s="3501" t="s">
        <v>7481</v>
      </c>
      <c r="D141" s="3502"/>
      <c r="E141" s="3502"/>
      <c r="F141" s="3502"/>
      <c r="G141" s="3502"/>
      <c r="H141" s="3502"/>
      <c r="I141" s="3502"/>
      <c r="J141" s="3503"/>
      <c r="K141" s="110"/>
      <c r="L141" s="1676"/>
      <c r="M141" s="2004"/>
      <c r="O141" s="2004"/>
      <c r="Q141" s="2004"/>
      <c r="R141" s="2004"/>
      <c r="S141" s="2004"/>
    </row>
    <row r="142" spans="1:20" ht="41.25" hidden="1" customHeight="1">
      <c r="A142" s="1602"/>
      <c r="B142" s="1475">
        <f t="shared" si="15"/>
        <v>5</v>
      </c>
      <c r="C142" s="3501" t="s">
        <v>7482</v>
      </c>
      <c r="D142" s="3502"/>
      <c r="E142" s="3502"/>
      <c r="F142" s="3502"/>
      <c r="G142" s="3502"/>
      <c r="H142" s="3502"/>
      <c r="I142" s="3502"/>
      <c r="J142" s="3503"/>
      <c r="K142" s="110"/>
      <c r="L142" s="1676"/>
      <c r="M142" s="2004"/>
      <c r="O142" s="2004"/>
      <c r="Q142" s="2004"/>
      <c r="R142" s="2004"/>
      <c r="S142" s="2004"/>
    </row>
    <row r="143" spans="1:20" ht="41.25" hidden="1" customHeight="1">
      <c r="A143" s="1602"/>
      <c r="B143" s="1475">
        <f t="shared" si="15"/>
        <v>6</v>
      </c>
      <c r="C143" s="3501" t="s">
        <v>7483</v>
      </c>
      <c r="D143" s="3502"/>
      <c r="E143" s="3502"/>
      <c r="F143" s="3502"/>
      <c r="G143" s="3502"/>
      <c r="H143" s="3502"/>
      <c r="I143" s="3502"/>
      <c r="J143" s="3503"/>
      <c r="K143" s="110"/>
      <c r="L143" s="1676"/>
      <c r="M143" s="2004"/>
      <c r="O143" s="2004"/>
      <c r="Q143" s="2004"/>
      <c r="R143" s="2004"/>
      <c r="S143" s="2004"/>
    </row>
    <row r="144" spans="1:20" s="2004" customFormat="1" ht="14.25" hidden="1" customHeight="1">
      <c r="A144" s="1602"/>
      <c r="B144" s="1475">
        <f t="shared" si="15"/>
        <v>7</v>
      </c>
      <c r="C144" s="3501" t="s">
        <v>7484</v>
      </c>
      <c r="D144" s="3502"/>
      <c r="E144" s="3502"/>
      <c r="F144" s="3502"/>
      <c r="G144" s="3502"/>
      <c r="H144" s="3502"/>
      <c r="I144" s="3502"/>
      <c r="J144" s="3503"/>
      <c r="K144" s="110"/>
      <c r="L144" s="1676"/>
      <c r="N144" s="1665"/>
      <c r="P144" s="1665"/>
      <c r="T144" s="1665"/>
    </row>
    <row r="145" spans="1:20" s="2004" customFormat="1" ht="14.25" hidden="1" customHeight="1">
      <c r="A145" s="1602"/>
      <c r="B145" s="1475">
        <f t="shared" si="15"/>
        <v>8</v>
      </c>
      <c r="C145" s="3501" t="s">
        <v>7485</v>
      </c>
      <c r="D145" s="3502"/>
      <c r="E145" s="3502"/>
      <c r="F145" s="3502"/>
      <c r="G145" s="3502"/>
      <c r="H145" s="3502"/>
      <c r="I145" s="3502"/>
      <c r="J145" s="3503"/>
      <c r="K145" s="110"/>
      <c r="L145" s="1676"/>
      <c r="N145" s="1665"/>
      <c r="P145" s="1665"/>
      <c r="T145" s="1665"/>
    </row>
    <row r="146" spans="1:20" ht="14.25" hidden="1" customHeight="1">
      <c r="A146" s="1602"/>
      <c r="B146" s="1475">
        <f t="shared" si="15"/>
        <v>9</v>
      </c>
      <c r="C146" s="3501" t="s">
        <v>7486</v>
      </c>
      <c r="D146" s="3502"/>
      <c r="E146" s="3502"/>
      <c r="F146" s="3502"/>
      <c r="G146" s="3502"/>
      <c r="H146" s="3502"/>
      <c r="I146" s="3502"/>
      <c r="J146" s="3503"/>
      <c r="K146" s="110"/>
      <c r="L146" s="1676"/>
      <c r="M146" s="2004"/>
      <c r="O146" s="2004"/>
      <c r="Q146" s="2004"/>
      <c r="R146" s="2004"/>
      <c r="S146" s="2004"/>
    </row>
    <row r="147" spans="1:20" ht="38.85" hidden="1" customHeight="1">
      <c r="A147" s="1602"/>
      <c r="B147" s="1475">
        <f t="shared" si="15"/>
        <v>10</v>
      </c>
      <c r="C147" s="3501" t="s">
        <v>7487</v>
      </c>
      <c r="D147" s="3502"/>
      <c r="E147" s="3502"/>
      <c r="F147" s="3502"/>
      <c r="G147" s="3502"/>
      <c r="H147" s="3502"/>
      <c r="I147" s="3502"/>
      <c r="J147" s="3503"/>
      <c r="K147" s="110"/>
      <c r="L147" s="1676"/>
      <c r="M147" s="2004"/>
      <c r="O147" s="2004"/>
      <c r="Q147" s="2004"/>
      <c r="R147" s="2004"/>
      <c r="S147" s="2004"/>
    </row>
    <row r="148" spans="1:20" ht="14.25" hidden="1" customHeight="1">
      <c r="A148" s="1602"/>
      <c r="B148" s="1475">
        <f t="shared" si="15"/>
        <v>11</v>
      </c>
      <c r="C148" s="3501" t="s">
        <v>7488</v>
      </c>
      <c r="D148" s="3502"/>
      <c r="E148" s="3502"/>
      <c r="F148" s="3502"/>
      <c r="G148" s="3502"/>
      <c r="H148" s="3502"/>
      <c r="I148" s="3502"/>
      <c r="J148" s="3503"/>
      <c r="K148" s="110"/>
      <c r="L148" s="1676"/>
      <c r="M148" s="2004"/>
      <c r="O148" s="2004"/>
      <c r="Q148" s="2004"/>
      <c r="R148" s="2004"/>
      <c r="S148" s="2004"/>
    </row>
    <row r="149" spans="1:20" ht="27" hidden="1" customHeight="1">
      <c r="A149" s="1602"/>
      <c r="B149" s="1475">
        <f t="shared" si="15"/>
        <v>12</v>
      </c>
      <c r="C149" s="3501" t="s">
        <v>7489</v>
      </c>
      <c r="D149" s="3502"/>
      <c r="E149" s="3502"/>
      <c r="F149" s="3502"/>
      <c r="G149" s="3502"/>
      <c r="H149" s="3502"/>
      <c r="I149" s="3502"/>
      <c r="J149" s="3503"/>
      <c r="K149" s="110"/>
      <c r="L149" s="1676"/>
      <c r="M149" s="2004"/>
      <c r="O149" s="2004"/>
      <c r="Q149" s="2004"/>
      <c r="R149" s="2004"/>
      <c r="S149" s="2004"/>
    </row>
    <row r="150" spans="1:20" ht="14.25" hidden="1" customHeight="1">
      <c r="A150" s="1602"/>
      <c r="B150" s="1475">
        <f t="shared" si="15"/>
        <v>13</v>
      </c>
      <c r="C150" s="3501" t="s">
        <v>7490</v>
      </c>
      <c r="D150" s="3502"/>
      <c r="E150" s="3502"/>
      <c r="F150" s="3502"/>
      <c r="G150" s="3502"/>
      <c r="H150" s="3502"/>
      <c r="I150" s="3502"/>
      <c r="J150" s="3503"/>
      <c r="K150" s="110"/>
      <c r="L150" s="1676"/>
      <c r="M150" s="2004"/>
      <c r="O150" s="2004"/>
      <c r="Q150" s="2004"/>
      <c r="R150" s="2004"/>
      <c r="S150" s="2004"/>
    </row>
    <row r="151" spans="1:20" ht="14.25" hidden="1" customHeight="1">
      <c r="A151" s="1602"/>
      <c r="B151" s="1475">
        <f t="shared" si="15"/>
        <v>14</v>
      </c>
      <c r="C151" s="3501" t="s">
        <v>7491</v>
      </c>
      <c r="D151" s="3502"/>
      <c r="E151" s="3502"/>
      <c r="F151" s="3502"/>
      <c r="G151" s="3502"/>
      <c r="H151" s="3502"/>
      <c r="I151" s="3502"/>
      <c r="J151" s="3503"/>
      <c r="K151" s="110"/>
      <c r="L151" s="1676"/>
      <c r="M151" s="2004"/>
      <c r="O151" s="2004"/>
      <c r="Q151" s="2004"/>
      <c r="R151" s="2004"/>
      <c r="S151" s="2004"/>
    </row>
    <row r="152" spans="1:20" s="2004" customFormat="1" ht="13.7" hidden="1" customHeight="1">
      <c r="A152" s="1602"/>
      <c r="B152" s="1475">
        <f t="shared" si="15"/>
        <v>15</v>
      </c>
      <c r="C152" s="3501" t="s">
        <v>7492</v>
      </c>
      <c r="D152" s="3502"/>
      <c r="E152" s="3502"/>
      <c r="F152" s="3502"/>
      <c r="G152" s="3502"/>
      <c r="H152" s="3502"/>
      <c r="I152" s="3502"/>
      <c r="J152" s="3503"/>
      <c r="K152" s="110"/>
      <c r="L152" s="1676"/>
      <c r="N152" s="1665"/>
      <c r="P152" s="1665"/>
      <c r="T152" s="1665"/>
    </row>
    <row r="153" spans="1:20" ht="42" hidden="1" customHeight="1">
      <c r="A153" s="1602"/>
      <c r="B153" s="1475">
        <f t="shared" si="15"/>
        <v>16</v>
      </c>
      <c r="C153" s="3501" t="s">
        <v>7493</v>
      </c>
      <c r="D153" s="3502"/>
      <c r="E153" s="3502"/>
      <c r="F153" s="3502"/>
      <c r="G153" s="3502"/>
      <c r="H153" s="3502"/>
      <c r="I153" s="3502"/>
      <c r="J153" s="3503"/>
      <c r="K153" s="110"/>
      <c r="L153" s="1676"/>
      <c r="M153" s="2004"/>
      <c r="O153" s="2004"/>
      <c r="Q153" s="2004"/>
      <c r="R153" s="2004"/>
      <c r="S153" s="2004"/>
    </row>
    <row r="154" spans="1:20" s="2004" customFormat="1" hidden="1">
      <c r="A154" s="1602"/>
      <c r="B154" s="1475">
        <f t="shared" si="15"/>
        <v>17</v>
      </c>
      <c r="C154" s="3501" t="s">
        <v>7494</v>
      </c>
      <c r="D154" s="3502"/>
      <c r="E154" s="3502"/>
      <c r="F154" s="3502"/>
      <c r="G154" s="3502"/>
      <c r="H154" s="3502"/>
      <c r="I154" s="3502"/>
      <c r="J154" s="3503"/>
      <c r="K154" s="110"/>
      <c r="L154" s="1676"/>
      <c r="N154" s="1665"/>
      <c r="P154" s="1665"/>
      <c r="T154" s="1665"/>
    </row>
    <row r="155" spans="1:20" ht="14.25" hidden="1" customHeight="1">
      <c r="A155" s="1602"/>
      <c r="B155" s="1475">
        <f t="shared" si="15"/>
        <v>18</v>
      </c>
      <c r="C155" s="3501" t="s">
        <v>7495</v>
      </c>
      <c r="D155" s="3502"/>
      <c r="E155" s="3502"/>
      <c r="F155" s="3502"/>
      <c r="G155" s="3502"/>
      <c r="H155" s="3502"/>
      <c r="I155" s="3502"/>
      <c r="J155" s="3503"/>
      <c r="K155" s="110"/>
      <c r="L155" s="1676"/>
      <c r="M155" s="2004"/>
      <c r="O155" s="2004"/>
      <c r="Q155" s="2004"/>
      <c r="R155" s="2004"/>
      <c r="S155" s="2004"/>
    </row>
    <row r="156" spans="1:20" ht="14.25" hidden="1" customHeight="1">
      <c r="A156" s="1602"/>
      <c r="B156" s="1475">
        <f t="shared" si="15"/>
        <v>19</v>
      </c>
      <c r="C156" s="3501" t="s">
        <v>7496</v>
      </c>
      <c r="D156" s="3502"/>
      <c r="E156" s="3502"/>
      <c r="F156" s="3502"/>
      <c r="G156" s="3502"/>
      <c r="H156" s="3502"/>
      <c r="I156" s="3502"/>
      <c r="J156" s="3503"/>
      <c r="K156" s="110"/>
      <c r="L156" s="1676"/>
      <c r="M156" s="2004"/>
      <c r="O156" s="2004"/>
      <c r="Q156" s="2004"/>
      <c r="R156" s="2004"/>
      <c r="S156" s="2004"/>
    </row>
    <row r="157" spans="1:20" ht="26.45" hidden="1" customHeight="1">
      <c r="A157" s="1602"/>
      <c r="B157" s="1475">
        <f t="shared" si="15"/>
        <v>20</v>
      </c>
      <c r="C157" s="3501" t="s">
        <v>7497</v>
      </c>
      <c r="D157" s="3502"/>
      <c r="E157" s="3502"/>
      <c r="F157" s="3502"/>
      <c r="G157" s="3502"/>
      <c r="H157" s="3502"/>
      <c r="I157" s="3502"/>
      <c r="J157" s="3503"/>
      <c r="K157" s="110"/>
      <c r="L157" s="1676"/>
      <c r="M157" s="2004"/>
      <c r="O157" s="2004"/>
      <c r="Q157" s="2004"/>
      <c r="R157" s="2004"/>
      <c r="S157" s="2004"/>
    </row>
    <row r="158" spans="1:20" ht="14.25" hidden="1" customHeight="1">
      <c r="A158" s="1602"/>
      <c r="B158" s="1475">
        <f t="shared" si="15"/>
        <v>21</v>
      </c>
      <c r="C158" s="3501" t="s">
        <v>7498</v>
      </c>
      <c r="D158" s="3502"/>
      <c r="E158" s="3502"/>
      <c r="F158" s="3502"/>
      <c r="G158" s="3502"/>
      <c r="H158" s="3502"/>
      <c r="I158" s="3502"/>
      <c r="J158" s="3503"/>
      <c r="K158" s="110"/>
      <c r="L158" s="1676"/>
      <c r="M158" s="2004"/>
      <c r="O158" s="2004"/>
      <c r="Q158" s="2004"/>
      <c r="R158" s="2004"/>
      <c r="S158" s="2004"/>
    </row>
    <row r="159" spans="1:20" ht="14.25" hidden="1" customHeight="1">
      <c r="A159" s="1602"/>
      <c r="B159" s="1475">
        <f t="shared" si="15"/>
        <v>22</v>
      </c>
      <c r="C159" s="3501" t="s">
        <v>7499</v>
      </c>
      <c r="D159" s="3502"/>
      <c r="E159" s="3502"/>
      <c r="F159" s="3502"/>
      <c r="G159" s="3502"/>
      <c r="H159" s="3502"/>
      <c r="I159" s="3502"/>
      <c r="J159" s="3503"/>
      <c r="K159" s="110"/>
      <c r="L159" s="1676"/>
      <c r="M159" s="2004"/>
      <c r="O159" s="2004"/>
      <c r="Q159" s="2004"/>
      <c r="R159" s="2004"/>
      <c r="S159" s="2004"/>
    </row>
    <row r="160" spans="1:20" ht="14.25" hidden="1" customHeight="1">
      <c r="A160" s="1602"/>
      <c r="B160" s="1475">
        <f t="shared" si="15"/>
        <v>23</v>
      </c>
      <c r="C160" s="3501" t="s">
        <v>7500</v>
      </c>
      <c r="D160" s="3502"/>
      <c r="E160" s="3502"/>
      <c r="F160" s="3502"/>
      <c r="G160" s="3502"/>
      <c r="H160" s="3502"/>
      <c r="I160" s="3502"/>
      <c r="J160" s="3503"/>
      <c r="K160" s="110"/>
      <c r="L160" s="1676"/>
      <c r="M160" s="2004"/>
      <c r="O160" s="2004"/>
      <c r="Q160" s="2004"/>
      <c r="R160" s="2004"/>
      <c r="S160" s="2004"/>
    </row>
    <row r="161" spans="1:20" ht="26.85" hidden="1" customHeight="1">
      <c r="A161" s="1602"/>
      <c r="B161" s="1475">
        <f t="shared" si="15"/>
        <v>24</v>
      </c>
      <c r="C161" s="3501" t="s">
        <v>7501</v>
      </c>
      <c r="D161" s="3502"/>
      <c r="E161" s="3502"/>
      <c r="F161" s="3502"/>
      <c r="G161" s="3502"/>
      <c r="H161" s="3502"/>
      <c r="I161" s="3502"/>
      <c r="J161" s="3503"/>
      <c r="K161" s="110"/>
      <c r="L161" s="1676"/>
      <c r="M161" s="2004"/>
      <c r="O161" s="2004"/>
      <c r="Q161" s="2004"/>
      <c r="R161" s="2004"/>
      <c r="S161" s="2004"/>
    </row>
    <row r="162" spans="1:20" s="2004" customFormat="1" ht="14.25" hidden="1" customHeight="1">
      <c r="A162" s="1602"/>
      <c r="B162" s="1475">
        <f t="shared" si="15"/>
        <v>25</v>
      </c>
      <c r="C162" s="3501" t="s">
        <v>7502</v>
      </c>
      <c r="D162" s="3502"/>
      <c r="E162" s="3502"/>
      <c r="F162" s="3502"/>
      <c r="G162" s="3502"/>
      <c r="H162" s="3502"/>
      <c r="I162" s="3502"/>
      <c r="J162" s="3503"/>
      <c r="K162" s="110"/>
      <c r="L162" s="1676"/>
      <c r="N162" s="1665"/>
      <c r="P162" s="1665"/>
      <c r="T162" s="1665"/>
    </row>
    <row r="163" spans="1:20" s="2004" customFormat="1" ht="14.25" hidden="1" customHeight="1">
      <c r="A163" s="1602"/>
      <c r="B163" s="1475">
        <f t="shared" si="15"/>
        <v>26</v>
      </c>
      <c r="C163" s="3501" t="s">
        <v>7503</v>
      </c>
      <c r="D163" s="3502"/>
      <c r="E163" s="3502"/>
      <c r="F163" s="3502"/>
      <c r="G163" s="3502"/>
      <c r="H163" s="3502"/>
      <c r="I163" s="3502"/>
      <c r="J163" s="3503"/>
      <c r="K163" s="110"/>
      <c r="L163" s="1676"/>
      <c r="N163" s="1665"/>
      <c r="P163" s="1665"/>
      <c r="T163" s="1665"/>
    </row>
    <row r="164" spans="1:20" ht="45.75" hidden="1" customHeight="1">
      <c r="A164" s="1602"/>
      <c r="B164" s="1475">
        <f t="shared" si="15"/>
        <v>27</v>
      </c>
      <c r="C164" s="3501" t="s">
        <v>7504</v>
      </c>
      <c r="D164" s="3502"/>
      <c r="E164" s="3502"/>
      <c r="F164" s="3502"/>
      <c r="G164" s="3502"/>
      <c r="H164" s="3502"/>
      <c r="I164" s="3502"/>
      <c r="J164" s="3503"/>
      <c r="K164" s="110"/>
      <c r="L164" s="1676"/>
      <c r="M164" s="2004"/>
      <c r="O164" s="2004"/>
      <c r="Q164" s="2004"/>
      <c r="R164" s="2004"/>
      <c r="S164" s="2004"/>
    </row>
    <row r="165" spans="1:20" ht="39.75" hidden="1" customHeight="1" thickBot="1">
      <c r="A165" s="1602"/>
      <c r="B165" s="2041">
        <f>+B164+1</f>
        <v>28</v>
      </c>
      <c r="C165" s="3507" t="s">
        <v>7505</v>
      </c>
      <c r="D165" s="3508"/>
      <c r="E165" s="3508"/>
      <c r="F165" s="3508"/>
      <c r="G165" s="3508"/>
      <c r="H165" s="3508"/>
      <c r="I165" s="3508"/>
      <c r="J165" s="3509"/>
      <c r="K165" s="110"/>
      <c r="L165" s="1676"/>
      <c r="M165" s="2004"/>
      <c r="O165" s="2004"/>
      <c r="Q165" s="2004"/>
      <c r="R165" s="2004"/>
      <c r="S165" s="2004"/>
    </row>
    <row r="166" spans="1:20" ht="15" hidden="1" thickBot="1">
      <c r="A166" s="1602"/>
      <c r="B166" s="1024"/>
      <c r="C166" s="1039"/>
      <c r="D166" s="1167"/>
      <c r="E166" s="1167"/>
      <c r="F166" s="1167"/>
      <c r="G166" s="1167"/>
      <c r="H166" s="1167"/>
      <c r="I166" s="1167"/>
      <c r="J166" s="1167"/>
      <c r="K166" s="110"/>
      <c r="L166" s="1676"/>
      <c r="M166" s="2004"/>
      <c r="O166" s="2004"/>
      <c r="Q166" s="2004"/>
      <c r="R166" s="2004"/>
      <c r="S166" s="2004"/>
    </row>
    <row r="167" spans="1:20" ht="15.75" hidden="1" thickBot="1">
      <c r="A167" s="1602"/>
      <c r="B167" s="3034" t="s">
        <v>177</v>
      </c>
      <c r="C167" s="3523" t="s">
        <v>3255</v>
      </c>
      <c r="D167" s="3524"/>
      <c r="E167" s="3524"/>
      <c r="F167" s="3524"/>
      <c r="G167" s="3524"/>
      <c r="H167" s="3524"/>
      <c r="I167" s="3524"/>
      <c r="J167" s="3525"/>
      <c r="K167" s="110"/>
      <c r="L167" s="1676"/>
      <c r="M167" s="2004"/>
      <c r="O167" s="2004"/>
      <c r="Q167" s="2004"/>
      <c r="R167" s="2004"/>
      <c r="S167" s="2004"/>
    </row>
    <row r="168" spans="1:20" hidden="1">
      <c r="A168" s="1602"/>
      <c r="B168" s="2075" t="s">
        <v>193</v>
      </c>
      <c r="C168" s="3048" t="s">
        <v>194</v>
      </c>
      <c r="D168" s="3049"/>
      <c r="E168" s="3049"/>
      <c r="F168" s="3049"/>
      <c r="G168" s="3049"/>
      <c r="H168" s="3049"/>
      <c r="I168" s="3049"/>
      <c r="J168" s="3050"/>
      <c r="K168" s="110"/>
      <c r="L168" s="1676"/>
      <c r="M168" s="2004"/>
      <c r="O168" s="2004"/>
      <c r="Q168" s="2004"/>
      <c r="R168" s="2004"/>
      <c r="S168" s="2004"/>
    </row>
    <row r="169" spans="1:20" ht="14.25" hidden="1" customHeight="1">
      <c r="A169" s="1602"/>
      <c r="B169" s="1475">
        <f>+B165+1</f>
        <v>29</v>
      </c>
      <c r="C169" s="3501" t="s">
        <v>7506</v>
      </c>
      <c r="D169" s="3502"/>
      <c r="E169" s="3502"/>
      <c r="F169" s="3502"/>
      <c r="G169" s="3502"/>
      <c r="H169" s="3502"/>
      <c r="I169" s="3502"/>
      <c r="J169" s="3503"/>
      <c r="K169" s="110"/>
      <c r="L169" s="1676"/>
      <c r="M169" s="2004"/>
      <c r="O169" s="2004"/>
      <c r="Q169" s="2004"/>
      <c r="R169" s="2004"/>
      <c r="S169" s="2004"/>
    </row>
    <row r="170" spans="1:20" ht="14.25" hidden="1" customHeight="1">
      <c r="A170" s="1602"/>
      <c r="B170" s="1475">
        <f>+B169+1</f>
        <v>30</v>
      </c>
      <c r="C170" s="3501" t="s">
        <v>7507</v>
      </c>
      <c r="D170" s="3502"/>
      <c r="E170" s="3502"/>
      <c r="F170" s="3502"/>
      <c r="G170" s="3502"/>
      <c r="H170" s="3502"/>
      <c r="I170" s="3502"/>
      <c r="J170" s="3503"/>
      <c r="K170" s="110"/>
      <c r="L170" s="1676"/>
      <c r="M170" s="2004"/>
      <c r="O170" s="2004"/>
      <c r="Q170" s="2004"/>
      <c r="R170" s="2004"/>
      <c r="S170" s="2004"/>
    </row>
    <row r="171" spans="1:20" ht="27.75" hidden="1" customHeight="1">
      <c r="A171" s="1602"/>
      <c r="B171" s="1475">
        <f t="shared" ref="B171:B200" si="16">+B170+1</f>
        <v>31</v>
      </c>
      <c r="C171" s="3501" t="s">
        <v>7508</v>
      </c>
      <c r="D171" s="3502"/>
      <c r="E171" s="3502"/>
      <c r="F171" s="3502"/>
      <c r="G171" s="3502"/>
      <c r="H171" s="3502"/>
      <c r="I171" s="3502"/>
      <c r="J171" s="3503"/>
      <c r="K171" s="110"/>
      <c r="L171" s="1676"/>
      <c r="M171" s="2004"/>
      <c r="O171" s="2004"/>
      <c r="Q171" s="2004"/>
      <c r="R171" s="2004"/>
      <c r="S171" s="2004"/>
    </row>
    <row r="172" spans="1:20" ht="28.5" hidden="1" customHeight="1">
      <c r="A172" s="1602"/>
      <c r="B172" s="1475">
        <f t="shared" si="16"/>
        <v>32</v>
      </c>
      <c r="C172" s="3501" t="s">
        <v>7509</v>
      </c>
      <c r="D172" s="3502"/>
      <c r="E172" s="3502"/>
      <c r="F172" s="3502"/>
      <c r="G172" s="3502"/>
      <c r="H172" s="3502"/>
      <c r="I172" s="3502"/>
      <c r="J172" s="3503"/>
      <c r="K172" s="110"/>
      <c r="L172" s="1676"/>
      <c r="M172" s="2004"/>
      <c r="O172" s="2004"/>
      <c r="Q172" s="2004"/>
      <c r="R172" s="2004"/>
      <c r="S172" s="2004"/>
    </row>
    <row r="173" spans="1:20" ht="14.25" hidden="1" customHeight="1">
      <c r="A173" s="1602"/>
      <c r="B173" s="1475">
        <f t="shared" si="16"/>
        <v>33</v>
      </c>
      <c r="C173" s="3501" t="s">
        <v>7510</v>
      </c>
      <c r="D173" s="3502"/>
      <c r="E173" s="3502"/>
      <c r="F173" s="3502"/>
      <c r="G173" s="3502"/>
      <c r="H173" s="3502"/>
      <c r="I173" s="3502"/>
      <c r="J173" s="3503"/>
      <c r="K173" s="110"/>
      <c r="L173" s="1676"/>
      <c r="M173" s="2004"/>
      <c r="O173" s="2004"/>
      <c r="Q173" s="2004"/>
      <c r="R173" s="2004"/>
      <c r="S173" s="2004"/>
    </row>
    <row r="174" spans="1:20" ht="14.25" hidden="1" customHeight="1">
      <c r="A174" s="1602"/>
      <c r="B174" s="1475">
        <f t="shared" si="16"/>
        <v>34</v>
      </c>
      <c r="C174" s="3501" t="s">
        <v>7511</v>
      </c>
      <c r="D174" s="3502"/>
      <c r="E174" s="3502"/>
      <c r="F174" s="3502"/>
      <c r="G174" s="3502"/>
      <c r="H174" s="3502"/>
      <c r="I174" s="3502"/>
      <c r="J174" s="3503"/>
      <c r="K174" s="110"/>
      <c r="L174" s="1676"/>
      <c r="M174" s="2004"/>
      <c r="O174" s="2004"/>
      <c r="Q174" s="2004"/>
      <c r="R174" s="2004"/>
      <c r="S174" s="2004"/>
    </row>
    <row r="175" spans="1:20" ht="14.25" hidden="1" customHeight="1">
      <c r="A175" s="1602"/>
      <c r="B175" s="1475">
        <f t="shared" si="16"/>
        <v>35</v>
      </c>
      <c r="C175" s="3501" t="s">
        <v>7512</v>
      </c>
      <c r="D175" s="3502"/>
      <c r="E175" s="3502"/>
      <c r="F175" s="3502"/>
      <c r="G175" s="3502"/>
      <c r="H175" s="3502"/>
      <c r="I175" s="3502"/>
      <c r="J175" s="3503"/>
      <c r="K175" s="110"/>
      <c r="L175" s="1676"/>
      <c r="M175" s="2004"/>
      <c r="O175" s="2004"/>
      <c r="Q175" s="2004"/>
      <c r="R175" s="2004"/>
      <c r="S175" s="2004"/>
    </row>
    <row r="176" spans="1:20" ht="14.25" hidden="1" customHeight="1">
      <c r="A176" s="1602"/>
      <c r="B176" s="1475">
        <f t="shared" si="16"/>
        <v>36</v>
      </c>
      <c r="C176" s="3501" t="s">
        <v>7506</v>
      </c>
      <c r="D176" s="3502"/>
      <c r="E176" s="3502"/>
      <c r="F176" s="3502"/>
      <c r="G176" s="3502"/>
      <c r="H176" s="3502"/>
      <c r="I176" s="3502"/>
      <c r="J176" s="3503"/>
      <c r="K176" s="110"/>
      <c r="L176" s="1676"/>
      <c r="M176" s="2004"/>
      <c r="O176" s="2004"/>
      <c r="Q176" s="2004"/>
      <c r="R176" s="2004"/>
      <c r="S176" s="2004"/>
    </row>
    <row r="177" spans="1:12" ht="14.25" hidden="1" customHeight="1">
      <c r="A177" s="1602"/>
      <c r="B177" s="1475">
        <f t="shared" si="16"/>
        <v>37</v>
      </c>
      <c r="C177" s="3501" t="s">
        <v>7513</v>
      </c>
      <c r="D177" s="3502"/>
      <c r="E177" s="3502"/>
      <c r="F177" s="3502"/>
      <c r="G177" s="3502"/>
      <c r="H177" s="3502"/>
      <c r="I177" s="3502"/>
      <c r="J177" s="3503"/>
      <c r="K177" s="110"/>
      <c r="L177" s="1676"/>
    </row>
    <row r="178" spans="1:12" ht="27" hidden="1" customHeight="1">
      <c r="A178" s="1602"/>
      <c r="B178" s="1475">
        <f t="shared" si="16"/>
        <v>38</v>
      </c>
      <c r="C178" s="3501" t="s">
        <v>7514</v>
      </c>
      <c r="D178" s="3502"/>
      <c r="E178" s="3502"/>
      <c r="F178" s="3502"/>
      <c r="G178" s="3502"/>
      <c r="H178" s="3502"/>
      <c r="I178" s="3502"/>
      <c r="J178" s="3503"/>
      <c r="K178" s="110"/>
      <c r="L178" s="1676"/>
    </row>
    <row r="179" spans="1:12" ht="25.5" hidden="1" customHeight="1">
      <c r="A179" s="1602"/>
      <c r="B179" s="1475">
        <f t="shared" si="16"/>
        <v>39</v>
      </c>
      <c r="C179" s="3501" t="s">
        <v>7515</v>
      </c>
      <c r="D179" s="3502"/>
      <c r="E179" s="3502"/>
      <c r="F179" s="3502"/>
      <c r="G179" s="3502"/>
      <c r="H179" s="3502"/>
      <c r="I179" s="3502"/>
      <c r="J179" s="3503"/>
      <c r="K179" s="110"/>
      <c r="L179" s="1676"/>
    </row>
    <row r="180" spans="1:12" ht="14.25" hidden="1" customHeight="1">
      <c r="A180" s="1602"/>
      <c r="B180" s="1475">
        <f t="shared" si="16"/>
        <v>40</v>
      </c>
      <c r="C180" s="3501" t="s">
        <v>7516</v>
      </c>
      <c r="D180" s="3502"/>
      <c r="E180" s="3502"/>
      <c r="F180" s="3502"/>
      <c r="G180" s="3502"/>
      <c r="H180" s="3502"/>
      <c r="I180" s="3502"/>
      <c r="J180" s="3503"/>
      <c r="K180" s="110"/>
      <c r="L180" s="1676"/>
    </row>
    <row r="181" spans="1:12" ht="14.25" hidden="1" customHeight="1">
      <c r="A181" s="1602"/>
      <c r="B181" s="1475">
        <f t="shared" si="16"/>
        <v>41</v>
      </c>
      <c r="C181" s="3501" t="s">
        <v>7517</v>
      </c>
      <c r="D181" s="3502"/>
      <c r="E181" s="3502"/>
      <c r="F181" s="3502"/>
      <c r="G181" s="3502"/>
      <c r="H181" s="3502"/>
      <c r="I181" s="3502"/>
      <c r="J181" s="3503"/>
      <c r="K181" s="110"/>
      <c r="L181" s="1676"/>
    </row>
    <row r="182" spans="1:12" ht="14.25" hidden="1" customHeight="1">
      <c r="A182" s="1602"/>
      <c r="B182" s="1475">
        <f t="shared" si="16"/>
        <v>42</v>
      </c>
      <c r="C182" s="3501" t="s">
        <v>7518</v>
      </c>
      <c r="D182" s="3502"/>
      <c r="E182" s="3502"/>
      <c r="F182" s="3502"/>
      <c r="G182" s="3502"/>
      <c r="H182" s="3502"/>
      <c r="I182" s="3502"/>
      <c r="J182" s="3503"/>
      <c r="K182" s="110"/>
      <c r="L182" s="1676"/>
    </row>
    <row r="183" spans="1:12" ht="14.25" hidden="1" customHeight="1">
      <c r="A183" s="1602"/>
      <c r="B183" s="1475">
        <f t="shared" si="16"/>
        <v>43</v>
      </c>
      <c r="C183" s="3501" t="s">
        <v>7519</v>
      </c>
      <c r="D183" s="3502"/>
      <c r="E183" s="3502"/>
      <c r="F183" s="3502"/>
      <c r="G183" s="3502"/>
      <c r="H183" s="3502"/>
      <c r="I183" s="3502"/>
      <c r="J183" s="3503"/>
      <c r="K183" s="110"/>
      <c r="L183" s="1676"/>
    </row>
    <row r="184" spans="1:12" hidden="1">
      <c r="A184" s="1602"/>
      <c r="B184" s="1475">
        <f>+B183+1</f>
        <v>44</v>
      </c>
      <c r="C184" s="3501" t="s">
        <v>7520</v>
      </c>
      <c r="D184" s="3502"/>
      <c r="E184" s="3502"/>
      <c r="F184" s="3502"/>
      <c r="G184" s="3502"/>
      <c r="H184" s="3502"/>
      <c r="I184" s="3502"/>
      <c r="J184" s="3503"/>
      <c r="K184" s="110"/>
      <c r="L184" s="1676"/>
    </row>
    <row r="185" spans="1:12" hidden="1">
      <c r="A185" s="1602"/>
      <c r="B185" s="1475">
        <f t="shared" si="16"/>
        <v>45</v>
      </c>
      <c r="C185" s="3501" t="s">
        <v>7521</v>
      </c>
      <c r="D185" s="3502"/>
      <c r="E185" s="3502"/>
      <c r="F185" s="3502"/>
      <c r="G185" s="3502"/>
      <c r="H185" s="3502"/>
      <c r="I185" s="3502"/>
      <c r="J185" s="3503"/>
      <c r="K185" s="110"/>
      <c r="L185" s="1676"/>
    </row>
    <row r="186" spans="1:12" ht="14.25" hidden="1" customHeight="1">
      <c r="A186" s="1602"/>
      <c r="B186" s="1475">
        <f t="shared" si="16"/>
        <v>46</v>
      </c>
      <c r="C186" s="3501" t="s">
        <v>7522</v>
      </c>
      <c r="D186" s="3502"/>
      <c r="E186" s="3502"/>
      <c r="F186" s="3502"/>
      <c r="G186" s="3502"/>
      <c r="H186" s="3502"/>
      <c r="I186" s="3502"/>
      <c r="J186" s="3503"/>
      <c r="K186" s="110"/>
      <c r="L186" s="1676"/>
    </row>
    <row r="187" spans="1:12" ht="14.25" hidden="1" customHeight="1">
      <c r="A187" s="1602"/>
      <c r="B187" s="1475">
        <f t="shared" si="16"/>
        <v>47</v>
      </c>
      <c r="C187" s="3501" t="s">
        <v>7523</v>
      </c>
      <c r="D187" s="3502"/>
      <c r="E187" s="3502"/>
      <c r="F187" s="3502"/>
      <c r="G187" s="3502"/>
      <c r="H187" s="3502"/>
      <c r="I187" s="3502"/>
      <c r="J187" s="3503"/>
      <c r="K187" s="110"/>
      <c r="L187" s="1676"/>
    </row>
    <row r="188" spans="1:12" ht="14.25" hidden="1" customHeight="1">
      <c r="A188" s="1602"/>
      <c r="B188" s="1475">
        <f t="shared" si="16"/>
        <v>48</v>
      </c>
      <c r="C188" s="3501" t="s">
        <v>7524</v>
      </c>
      <c r="D188" s="3502"/>
      <c r="E188" s="3502"/>
      <c r="F188" s="3502"/>
      <c r="G188" s="3502"/>
      <c r="H188" s="3502"/>
      <c r="I188" s="3502"/>
      <c r="J188" s="3503"/>
      <c r="K188" s="110"/>
      <c r="L188" s="1676"/>
    </row>
    <row r="189" spans="1:12" ht="14.25" hidden="1" customHeight="1">
      <c r="A189" s="1602"/>
      <c r="B189" s="1475">
        <f t="shared" si="16"/>
        <v>49</v>
      </c>
      <c r="C189" s="3501" t="s">
        <v>7525</v>
      </c>
      <c r="D189" s="3502"/>
      <c r="E189" s="3502"/>
      <c r="F189" s="3502"/>
      <c r="G189" s="3502"/>
      <c r="H189" s="3502"/>
      <c r="I189" s="3502"/>
      <c r="J189" s="3503"/>
      <c r="K189" s="110"/>
      <c r="L189" s="1676"/>
    </row>
    <row r="190" spans="1:12" hidden="1">
      <c r="A190" s="1602"/>
      <c r="B190" s="1475">
        <f t="shared" si="16"/>
        <v>50</v>
      </c>
      <c r="C190" s="3501" t="s">
        <v>7526</v>
      </c>
      <c r="D190" s="3502"/>
      <c r="E190" s="3502"/>
      <c r="F190" s="3502"/>
      <c r="G190" s="3502"/>
      <c r="H190" s="3502"/>
      <c r="I190" s="3502"/>
      <c r="J190" s="3503"/>
      <c r="K190" s="110"/>
      <c r="L190" s="1676"/>
    </row>
    <row r="191" spans="1:12" hidden="1">
      <c r="A191" s="1602"/>
      <c r="B191" s="1475">
        <f t="shared" si="16"/>
        <v>51</v>
      </c>
      <c r="C191" s="3501" t="s">
        <v>7527</v>
      </c>
      <c r="D191" s="3502"/>
      <c r="E191" s="3502"/>
      <c r="F191" s="3502"/>
      <c r="G191" s="3502"/>
      <c r="H191" s="3502"/>
      <c r="I191" s="3502"/>
      <c r="J191" s="3503"/>
      <c r="K191" s="110"/>
      <c r="L191" s="1676"/>
    </row>
    <row r="192" spans="1:12" hidden="1">
      <c r="A192" s="1602"/>
      <c r="B192" s="1475">
        <f t="shared" si="16"/>
        <v>52</v>
      </c>
      <c r="C192" s="3501" t="s">
        <v>7528</v>
      </c>
      <c r="D192" s="3502"/>
      <c r="E192" s="3502"/>
      <c r="F192" s="3502"/>
      <c r="G192" s="3502"/>
      <c r="H192" s="3502"/>
      <c r="I192" s="3502"/>
      <c r="J192" s="3503"/>
      <c r="K192" s="110"/>
      <c r="L192" s="1676"/>
    </row>
    <row r="193" spans="1:20" ht="14.25" hidden="1" customHeight="1">
      <c r="A193" s="1602"/>
      <c r="B193" s="1475">
        <f t="shared" si="16"/>
        <v>53</v>
      </c>
      <c r="C193" s="3501" t="s">
        <v>7529</v>
      </c>
      <c r="D193" s="3502"/>
      <c r="E193" s="3502"/>
      <c r="F193" s="3502"/>
      <c r="G193" s="3502"/>
      <c r="H193" s="3502"/>
      <c r="I193" s="3502"/>
      <c r="J193" s="3503"/>
      <c r="K193" s="110"/>
      <c r="L193" s="1676"/>
      <c r="M193" s="2004"/>
      <c r="O193" s="2004"/>
      <c r="Q193" s="2004"/>
      <c r="R193" s="2004"/>
      <c r="S193" s="2004"/>
    </row>
    <row r="194" spans="1:20" ht="14.25" hidden="1" customHeight="1">
      <c r="A194" s="1602"/>
      <c r="B194" s="1475">
        <f t="shared" si="16"/>
        <v>54</v>
      </c>
      <c r="C194" s="3501" t="s">
        <v>7530</v>
      </c>
      <c r="D194" s="3502"/>
      <c r="E194" s="3502"/>
      <c r="F194" s="3502"/>
      <c r="G194" s="3502"/>
      <c r="H194" s="3502"/>
      <c r="I194" s="3502"/>
      <c r="J194" s="3503"/>
      <c r="K194" s="110"/>
      <c r="L194" s="1676"/>
      <c r="M194" s="2004"/>
      <c r="O194" s="2004"/>
      <c r="Q194" s="2004"/>
      <c r="R194" s="2004"/>
      <c r="S194" s="2004"/>
    </row>
    <row r="195" spans="1:20" ht="14.25" hidden="1" customHeight="1">
      <c r="A195" s="1602"/>
      <c r="B195" s="1475">
        <f t="shared" si="16"/>
        <v>55</v>
      </c>
      <c r="C195" s="3501" t="s">
        <v>7531</v>
      </c>
      <c r="D195" s="3502"/>
      <c r="E195" s="3502"/>
      <c r="F195" s="3502"/>
      <c r="G195" s="3502"/>
      <c r="H195" s="3502"/>
      <c r="I195" s="3502"/>
      <c r="J195" s="3503"/>
      <c r="K195" s="110"/>
      <c r="L195" s="1676"/>
      <c r="M195" s="2004"/>
      <c r="O195" s="2004"/>
      <c r="Q195" s="2004"/>
      <c r="R195" s="2004"/>
      <c r="S195" s="2004"/>
    </row>
    <row r="196" spans="1:20" ht="14.25" hidden="1" customHeight="1">
      <c r="A196" s="1602"/>
      <c r="B196" s="1475">
        <f t="shared" si="16"/>
        <v>56</v>
      </c>
      <c r="C196" s="3501" t="s">
        <v>7532</v>
      </c>
      <c r="D196" s="3502"/>
      <c r="E196" s="3502"/>
      <c r="F196" s="3502"/>
      <c r="G196" s="3502"/>
      <c r="H196" s="3502"/>
      <c r="I196" s="3502"/>
      <c r="J196" s="3503"/>
      <c r="K196" s="110"/>
      <c r="L196" s="1676"/>
      <c r="M196" s="2004"/>
      <c r="O196" s="2004"/>
      <c r="Q196" s="2004"/>
      <c r="R196" s="2004"/>
      <c r="S196" s="2004"/>
    </row>
    <row r="197" spans="1:20" hidden="1">
      <c r="A197" s="1602"/>
      <c r="B197" s="1475">
        <f t="shared" si="16"/>
        <v>57</v>
      </c>
      <c r="C197" s="3501" t="s">
        <v>7533</v>
      </c>
      <c r="D197" s="3502"/>
      <c r="E197" s="3502"/>
      <c r="F197" s="3502"/>
      <c r="G197" s="3502"/>
      <c r="H197" s="3502"/>
      <c r="I197" s="3502"/>
      <c r="J197" s="3503"/>
      <c r="K197" s="110"/>
      <c r="L197" s="1676"/>
      <c r="M197" s="2004"/>
      <c r="O197" s="2004"/>
      <c r="Q197" s="2004"/>
      <c r="R197" s="2004"/>
      <c r="S197" s="2004"/>
    </row>
    <row r="198" spans="1:20" ht="33" hidden="1" customHeight="1">
      <c r="A198" s="1602"/>
      <c r="B198" s="1475">
        <f t="shared" si="16"/>
        <v>58</v>
      </c>
      <c r="C198" s="3501" t="s">
        <v>7534</v>
      </c>
      <c r="D198" s="3502"/>
      <c r="E198" s="3502"/>
      <c r="F198" s="3502"/>
      <c r="G198" s="3502"/>
      <c r="H198" s="3502"/>
      <c r="I198" s="3502"/>
      <c r="J198" s="3503"/>
      <c r="K198" s="110"/>
      <c r="L198" s="1676"/>
      <c r="M198" s="2004"/>
      <c r="O198" s="2004"/>
      <c r="Q198" s="2004"/>
      <c r="R198" s="2004"/>
      <c r="S198" s="2004"/>
    </row>
    <row r="199" spans="1:20" hidden="1">
      <c r="A199" s="1602"/>
      <c r="B199" s="1475">
        <f t="shared" si="16"/>
        <v>59</v>
      </c>
      <c r="C199" s="3501" t="s">
        <v>7535</v>
      </c>
      <c r="D199" s="3502"/>
      <c r="E199" s="3502"/>
      <c r="F199" s="3502"/>
      <c r="G199" s="3502"/>
      <c r="H199" s="3502"/>
      <c r="I199" s="3502"/>
      <c r="J199" s="3503"/>
      <c r="K199" s="110"/>
      <c r="L199" s="1676"/>
      <c r="M199" s="2004"/>
      <c r="O199" s="2004"/>
      <c r="Q199" s="2004"/>
      <c r="R199" s="2004"/>
      <c r="S199" s="2004"/>
    </row>
    <row r="200" spans="1:20" ht="14.25" hidden="1" customHeight="1" thickBot="1">
      <c r="A200" s="1602"/>
      <c r="B200" s="2041">
        <f t="shared" si="16"/>
        <v>60</v>
      </c>
      <c r="C200" s="3507" t="s">
        <v>7536</v>
      </c>
      <c r="D200" s="3508"/>
      <c r="E200" s="3508"/>
      <c r="F200" s="3508"/>
      <c r="G200" s="3508"/>
      <c r="H200" s="3508"/>
      <c r="I200" s="3508"/>
      <c r="J200" s="3509"/>
      <c r="K200" s="110"/>
      <c r="L200" s="1676"/>
      <c r="M200" s="2004"/>
      <c r="O200" s="2004"/>
      <c r="Q200" s="2004"/>
      <c r="R200" s="2004"/>
      <c r="S200" s="2004"/>
    </row>
    <row r="201" spans="1:20" ht="15" hidden="1" thickBot="1">
      <c r="A201" s="1602"/>
      <c r="B201" s="880"/>
      <c r="C201" s="880"/>
      <c r="D201" s="880"/>
      <c r="E201" s="880"/>
      <c r="F201" s="880"/>
      <c r="G201" s="880"/>
      <c r="H201" s="880"/>
      <c r="I201" s="880"/>
      <c r="J201" s="880"/>
      <c r="K201" s="110"/>
      <c r="L201" s="1676"/>
      <c r="M201" s="880"/>
      <c r="O201" s="2004"/>
      <c r="Q201" s="2004"/>
      <c r="R201" s="2004"/>
      <c r="S201" s="2004"/>
    </row>
    <row r="202" spans="1:20" ht="15.75">
      <c r="A202" s="644"/>
      <c r="B202" s="2076" t="s">
        <v>7537</v>
      </c>
      <c r="C202" s="3521"/>
      <c r="D202" s="3521"/>
      <c r="E202" s="3521"/>
      <c r="F202" s="3521"/>
      <c r="G202" s="3521"/>
      <c r="H202" s="3521"/>
      <c r="I202" s="3521"/>
      <c r="J202" s="3522"/>
      <c r="K202" s="110"/>
      <c r="L202" s="1676"/>
      <c r="M202" s="880"/>
      <c r="O202" s="2004"/>
      <c r="Q202" s="2004"/>
      <c r="R202" s="2004"/>
      <c r="S202" s="2004"/>
    </row>
    <row r="203" spans="1:20">
      <c r="A203" s="644"/>
      <c r="B203" s="1171"/>
      <c r="C203" s="1030"/>
      <c r="D203" s="1030"/>
      <c r="E203" s="1030"/>
      <c r="F203" s="1030"/>
      <c r="G203" s="1030"/>
      <c r="H203" s="1030"/>
      <c r="I203" s="1030"/>
      <c r="J203" s="2077"/>
      <c r="K203" s="110"/>
      <c r="L203" s="1676"/>
      <c r="M203" s="880"/>
      <c r="O203" s="2004"/>
      <c r="Q203" s="2004"/>
      <c r="R203" s="2004"/>
      <c r="S203" s="2004"/>
    </row>
    <row r="204" spans="1:20">
      <c r="A204" s="644"/>
      <c r="B204" s="1168" t="s">
        <v>7538</v>
      </c>
      <c r="C204" s="3043"/>
      <c r="D204" s="3044"/>
      <c r="E204" s="3044"/>
      <c r="F204" s="3044"/>
      <c r="G204" s="3044"/>
      <c r="H204" s="3044"/>
      <c r="I204" s="3044"/>
      <c r="J204" s="3045"/>
      <c r="K204" s="110"/>
      <c r="L204" s="1676"/>
      <c r="M204" s="1170"/>
      <c r="O204" s="2004"/>
      <c r="Q204" s="2004"/>
      <c r="R204" s="2004"/>
      <c r="S204" s="2004"/>
    </row>
    <row r="205" spans="1:20" s="2004" customFormat="1">
      <c r="A205" s="644"/>
      <c r="B205" s="1168"/>
      <c r="C205" s="1169"/>
      <c r="D205" s="1169"/>
      <c r="E205" s="1169"/>
      <c r="F205" s="1169"/>
      <c r="G205" s="1169"/>
      <c r="H205" s="1169"/>
      <c r="I205" s="1169"/>
      <c r="J205" s="2078"/>
      <c r="K205" s="110"/>
      <c r="L205" s="1676"/>
      <c r="M205" s="1170"/>
      <c r="N205" s="1665"/>
      <c r="P205" s="1665"/>
      <c r="T205" s="1665"/>
    </row>
    <row r="206" spans="1:20" s="2004" customFormat="1" ht="123.75" customHeight="1">
      <c r="A206" s="644"/>
      <c r="B206" s="3510" t="s">
        <v>7539</v>
      </c>
      <c r="C206" s="3511"/>
      <c r="D206" s="3511"/>
      <c r="E206" s="3511"/>
      <c r="F206" s="3511"/>
      <c r="G206" s="3511"/>
      <c r="H206" s="3511"/>
      <c r="I206" s="3511"/>
      <c r="J206" s="3512"/>
      <c r="K206" s="110"/>
      <c r="L206" s="1676"/>
      <c r="M206" s="1170"/>
      <c r="N206" s="1665"/>
      <c r="P206" s="1665"/>
      <c r="T206" s="1665"/>
    </row>
    <row r="207" spans="1:20" s="2004" customFormat="1">
      <c r="A207" s="644"/>
      <c r="B207" s="1171"/>
      <c r="C207" s="1030"/>
      <c r="D207" s="1030"/>
      <c r="E207" s="1030"/>
      <c r="F207" s="1030"/>
      <c r="G207" s="1030"/>
      <c r="H207" s="1030"/>
      <c r="I207" s="1030"/>
      <c r="J207" s="2077"/>
      <c r="K207" s="110"/>
      <c r="L207" s="1676"/>
      <c r="M207" s="880"/>
      <c r="N207" s="1665"/>
      <c r="P207" s="1665"/>
      <c r="T207" s="1665"/>
    </row>
    <row r="208" spans="1:20" s="2004" customFormat="1">
      <c r="A208" s="644"/>
      <c r="B208" s="1171" t="s">
        <v>7540</v>
      </c>
      <c r="C208" s="1030"/>
      <c r="D208" s="1030"/>
      <c r="E208" s="1030"/>
      <c r="F208" s="1030"/>
      <c r="G208" s="1030"/>
      <c r="H208" s="1030"/>
      <c r="I208" s="1030"/>
      <c r="J208" s="2077"/>
      <c r="K208" s="110"/>
      <c r="L208" s="1676"/>
      <c r="M208" s="880"/>
      <c r="N208" s="1665"/>
      <c r="P208" s="1665"/>
      <c r="T208" s="1665"/>
    </row>
    <row r="209" spans="1:22" ht="63" customHeight="1">
      <c r="A209" s="644"/>
      <c r="B209" s="3510" t="s">
        <v>7541</v>
      </c>
      <c r="C209" s="3511"/>
      <c r="D209" s="3511"/>
      <c r="E209" s="3511"/>
      <c r="F209" s="3511"/>
      <c r="G209" s="3511"/>
      <c r="H209" s="3511"/>
      <c r="I209" s="3511"/>
      <c r="J209" s="3512"/>
      <c r="K209" s="110"/>
      <c r="L209" s="1676"/>
      <c r="M209" s="1172"/>
      <c r="O209" s="2004"/>
      <c r="Q209" s="2004"/>
      <c r="R209" s="2004"/>
      <c r="S209" s="2004"/>
      <c r="U209" s="2004"/>
      <c r="V209" s="2004"/>
    </row>
    <row r="210" spans="1:22">
      <c r="A210" s="644"/>
      <c r="B210" s="1171"/>
      <c r="C210" s="1030"/>
      <c r="D210" s="1030"/>
      <c r="E210" s="1030"/>
      <c r="F210" s="1030"/>
      <c r="G210" s="1030"/>
      <c r="H210" s="1030"/>
      <c r="I210" s="1030"/>
      <c r="J210" s="2077"/>
      <c r="K210" s="110"/>
      <c r="L210" s="1676"/>
      <c r="M210" s="880"/>
      <c r="O210" s="2004"/>
      <c r="Q210" s="2004"/>
      <c r="R210" s="2004"/>
      <c r="S210" s="2004"/>
      <c r="U210" s="2004"/>
      <c r="V210" s="2004"/>
    </row>
    <row r="211" spans="1:22">
      <c r="A211" s="644"/>
      <c r="B211" s="1168" t="s">
        <v>7542</v>
      </c>
      <c r="C211" s="1030"/>
      <c r="D211" s="1030"/>
      <c r="E211" s="1030"/>
      <c r="F211" s="1030"/>
      <c r="G211" s="1030"/>
      <c r="H211" s="1030"/>
      <c r="I211" s="1030"/>
      <c r="J211" s="2077"/>
      <c r="K211" s="110"/>
      <c r="L211" s="1676"/>
      <c r="M211" s="880"/>
      <c r="O211" s="2004"/>
      <c r="Q211" s="2004"/>
      <c r="R211" s="2004"/>
      <c r="S211" s="2004"/>
      <c r="U211" s="2004"/>
      <c r="V211" s="2004"/>
    </row>
    <row r="212" spans="1:22">
      <c r="A212" s="644"/>
      <c r="B212" s="1171"/>
      <c r="C212" s="1030"/>
      <c r="D212" s="1030"/>
      <c r="E212" s="1030"/>
      <c r="F212" s="1030"/>
      <c r="G212" s="1030"/>
      <c r="H212" s="1030"/>
      <c r="I212" s="1030"/>
      <c r="J212" s="2077"/>
      <c r="K212" s="110"/>
      <c r="L212" s="1676"/>
      <c r="M212" s="880"/>
      <c r="O212" s="2004"/>
      <c r="Q212" s="2004"/>
      <c r="R212" s="2004"/>
      <c r="S212" s="2004"/>
      <c r="U212" s="2004"/>
      <c r="V212" s="2004"/>
    </row>
    <row r="213" spans="1:22" ht="15" thickBot="1">
      <c r="A213" s="644"/>
      <c r="B213" s="1173" t="s">
        <v>7543</v>
      </c>
      <c r="C213" s="1174"/>
      <c r="D213" s="1174"/>
      <c r="E213" s="1174"/>
      <c r="F213" s="1174"/>
      <c r="G213" s="1174"/>
      <c r="H213" s="1174"/>
      <c r="I213" s="1174"/>
      <c r="J213" s="2079"/>
      <c r="K213" s="110"/>
      <c r="L213" s="1676"/>
      <c r="M213" s="880"/>
      <c r="O213" s="2004"/>
      <c r="Q213" s="2004"/>
      <c r="R213" s="2004"/>
      <c r="S213" s="2004"/>
      <c r="U213" s="2004"/>
      <c r="V213" s="2004"/>
    </row>
    <row r="214" spans="1:22" ht="15" hidden="1" thickBot="1">
      <c r="A214" s="1602"/>
      <c r="B214" s="880"/>
      <c r="C214" s="880"/>
      <c r="D214" s="880"/>
      <c r="E214" s="880"/>
      <c r="F214" s="880"/>
      <c r="G214" s="880"/>
      <c r="H214" s="880"/>
      <c r="I214" s="880"/>
      <c r="J214" s="880"/>
      <c r="K214" s="110"/>
      <c r="L214" s="1676"/>
      <c r="M214" s="880"/>
      <c r="O214" s="2004"/>
      <c r="Q214" s="2004"/>
      <c r="R214" s="2004"/>
      <c r="S214" s="2004"/>
      <c r="U214" s="2004"/>
      <c r="V214" s="2004"/>
    </row>
    <row r="215" spans="1:22" ht="15.75" hidden="1" thickBot="1">
      <c r="A215" s="1602"/>
      <c r="B215" s="3034" t="s">
        <v>335</v>
      </c>
      <c r="C215" s="3515" t="s">
        <v>7326</v>
      </c>
      <c r="D215" s="3516"/>
      <c r="E215" s="3516"/>
      <c r="F215" s="3516"/>
      <c r="G215" s="3516"/>
      <c r="H215" s="3516"/>
      <c r="I215" s="3516"/>
      <c r="J215" s="3517"/>
      <c r="K215" s="110"/>
      <c r="L215" s="1676"/>
      <c r="M215" s="880"/>
      <c r="O215" s="2004"/>
      <c r="Q215" s="2004"/>
      <c r="R215" s="2004"/>
      <c r="S215" s="2004"/>
      <c r="U215" s="2004"/>
      <c r="V215" s="2004"/>
    </row>
    <row r="216" spans="1:22" s="178" customFormat="1" hidden="1">
      <c r="A216" s="1561"/>
      <c r="B216" s="2075" t="s">
        <v>193</v>
      </c>
      <c r="C216" s="3048" t="s">
        <v>194</v>
      </c>
      <c r="D216" s="3049"/>
      <c r="E216" s="3049"/>
      <c r="F216" s="3049"/>
      <c r="G216" s="3049"/>
      <c r="H216" s="3049"/>
      <c r="I216" s="3049"/>
      <c r="J216" s="3050"/>
      <c r="K216" s="110"/>
      <c r="L216" s="1676"/>
      <c r="M216" s="880"/>
      <c r="N216" s="1678"/>
      <c r="O216" s="1036"/>
      <c r="P216" s="1678"/>
      <c r="Q216" s="1036"/>
      <c r="R216" s="130"/>
      <c r="S216" s="120"/>
      <c r="T216" s="124"/>
      <c r="U216" s="124"/>
      <c r="V216" s="85" t="s">
        <v>195</v>
      </c>
    </row>
    <row r="217" spans="1:22" s="110" customFormat="1" ht="14.25" hidden="1" customHeight="1">
      <c r="A217" s="1560"/>
      <c r="B217" s="1475">
        <f>+B200+1</f>
        <v>61</v>
      </c>
      <c r="C217" s="3501" t="s">
        <v>7544</v>
      </c>
      <c r="D217" s="3502"/>
      <c r="E217" s="3502"/>
      <c r="F217" s="3502"/>
      <c r="G217" s="3502"/>
      <c r="H217" s="3502"/>
      <c r="I217" s="3502"/>
      <c r="J217" s="3503"/>
      <c r="L217" s="1676"/>
      <c r="M217" s="880"/>
      <c r="N217" s="1679"/>
      <c r="O217" s="1176"/>
      <c r="P217" s="1679"/>
      <c r="Q217" s="1167"/>
      <c r="R217" s="130"/>
      <c r="S217" s="120"/>
      <c r="T217" s="124"/>
      <c r="U217" s="124"/>
      <c r="V217" s="202">
        <v>1</v>
      </c>
    </row>
    <row r="218" spans="1:22" s="110" customFormat="1" hidden="1">
      <c r="A218" s="1560"/>
      <c r="B218" s="1475">
        <f>+B217+1</f>
        <v>62</v>
      </c>
      <c r="C218" s="3501" t="s">
        <v>7545</v>
      </c>
      <c r="D218" s="3502"/>
      <c r="E218" s="3502"/>
      <c r="F218" s="3502"/>
      <c r="G218" s="3502"/>
      <c r="H218" s="3502"/>
      <c r="I218" s="3502"/>
      <c r="J218" s="3503"/>
      <c r="L218" s="1676"/>
      <c r="M218" s="880"/>
      <c r="N218" s="1679"/>
      <c r="O218" s="1176"/>
      <c r="P218" s="1679"/>
      <c r="Q218" s="1167"/>
      <c r="R218" s="130"/>
      <c r="S218" s="130"/>
      <c r="T218" s="124"/>
      <c r="U218" s="124"/>
      <c r="V218" s="202">
        <v>1</v>
      </c>
    </row>
    <row r="219" spans="1:22" s="110" customFormat="1" ht="31.7" hidden="1" customHeight="1">
      <c r="A219" s="1560"/>
      <c r="B219" s="1475">
        <f t="shared" ref="B219:B250" si="17">+B218+1</f>
        <v>63</v>
      </c>
      <c r="C219" s="3501" t="s">
        <v>7546</v>
      </c>
      <c r="D219" s="3502"/>
      <c r="E219" s="3502"/>
      <c r="F219" s="3502"/>
      <c r="G219" s="3502"/>
      <c r="H219" s="3502"/>
      <c r="I219" s="3502"/>
      <c r="J219" s="3503"/>
      <c r="L219" s="1676"/>
      <c r="M219" s="880"/>
      <c r="N219" s="1679"/>
      <c r="O219" s="1176"/>
      <c r="P219" s="1679"/>
      <c r="Q219" s="1167"/>
      <c r="R219" s="130"/>
      <c r="S219" s="120"/>
      <c r="T219" s="124"/>
      <c r="U219" s="124"/>
      <c r="V219" s="202" t="s">
        <v>2214</v>
      </c>
    </row>
    <row r="220" spans="1:22" s="110" customFormat="1" ht="18" hidden="1" customHeight="1">
      <c r="A220" s="1560"/>
      <c r="B220" s="1475">
        <f t="shared" si="17"/>
        <v>64</v>
      </c>
      <c r="C220" s="3501" t="s">
        <v>7547</v>
      </c>
      <c r="D220" s="3502"/>
      <c r="E220" s="3502"/>
      <c r="F220" s="3502"/>
      <c r="G220" s="3502"/>
      <c r="H220" s="3502"/>
      <c r="I220" s="3502"/>
      <c r="J220" s="3503"/>
      <c r="L220" s="1676"/>
      <c r="M220" s="880"/>
      <c r="N220" s="1679"/>
      <c r="O220" s="1176"/>
      <c r="P220" s="1679"/>
      <c r="Q220" s="1167"/>
      <c r="R220" s="130"/>
      <c r="S220" s="120"/>
      <c r="T220" s="124"/>
      <c r="U220" s="124"/>
      <c r="V220" s="202" t="s">
        <v>780</v>
      </c>
    </row>
    <row r="221" spans="1:22" s="110" customFormat="1" ht="28.5" hidden="1" customHeight="1">
      <c r="A221" s="1560"/>
      <c r="B221" s="1475">
        <f t="shared" si="17"/>
        <v>65</v>
      </c>
      <c r="C221" s="3501" t="s">
        <v>7548</v>
      </c>
      <c r="D221" s="3502"/>
      <c r="E221" s="3502"/>
      <c r="F221" s="3502"/>
      <c r="G221" s="3502"/>
      <c r="H221" s="3502"/>
      <c r="I221" s="3502"/>
      <c r="J221" s="3503"/>
      <c r="L221" s="1676"/>
      <c r="M221" s="880"/>
      <c r="N221" s="1679"/>
      <c r="O221" s="1176"/>
      <c r="P221" s="1679"/>
      <c r="Q221" s="1167"/>
      <c r="R221" s="130"/>
      <c r="S221" s="120"/>
      <c r="T221" s="124"/>
      <c r="U221" s="124"/>
      <c r="V221" s="202" t="s">
        <v>197</v>
      </c>
    </row>
    <row r="222" spans="1:22" s="110" customFormat="1" ht="30.2" hidden="1" customHeight="1">
      <c r="A222" s="1560"/>
      <c r="B222" s="1475">
        <f t="shared" si="17"/>
        <v>66</v>
      </c>
      <c r="C222" s="3501" t="s">
        <v>7549</v>
      </c>
      <c r="D222" s="3502"/>
      <c r="E222" s="3502"/>
      <c r="F222" s="3502"/>
      <c r="G222" s="3502"/>
      <c r="H222" s="3502"/>
      <c r="I222" s="3502"/>
      <c r="J222" s="3503"/>
      <c r="L222" s="1676"/>
      <c r="M222" s="880"/>
      <c r="N222" s="1679"/>
      <c r="O222" s="1176"/>
      <c r="P222" s="1679"/>
      <c r="Q222" s="1167"/>
      <c r="R222" s="130"/>
      <c r="S222" s="120"/>
      <c r="T222" s="124"/>
      <c r="U222" s="124"/>
      <c r="V222" s="202" t="s">
        <v>197</v>
      </c>
    </row>
    <row r="223" spans="1:22" s="110" customFormat="1" ht="32.25" hidden="1" customHeight="1">
      <c r="A223" s="1560"/>
      <c r="B223" s="1475">
        <f t="shared" si="17"/>
        <v>67</v>
      </c>
      <c r="C223" s="3501" t="s">
        <v>7550</v>
      </c>
      <c r="D223" s="3502"/>
      <c r="E223" s="3502"/>
      <c r="F223" s="3502"/>
      <c r="G223" s="3502"/>
      <c r="H223" s="3502"/>
      <c r="I223" s="3502"/>
      <c r="J223" s="3503"/>
      <c r="L223" s="1676"/>
      <c r="M223" s="880"/>
      <c r="N223" s="1679"/>
      <c r="O223" s="1176"/>
      <c r="P223" s="1679"/>
      <c r="Q223" s="1167"/>
      <c r="R223" s="130"/>
      <c r="S223" s="120"/>
      <c r="T223" s="124"/>
      <c r="U223" s="124"/>
      <c r="V223" s="202" t="s">
        <v>197</v>
      </c>
    </row>
    <row r="224" spans="1:22" s="110" customFormat="1" ht="31.7" hidden="1" customHeight="1">
      <c r="A224" s="1560"/>
      <c r="B224" s="1475">
        <f t="shared" si="17"/>
        <v>68</v>
      </c>
      <c r="C224" s="3501" t="s">
        <v>7551</v>
      </c>
      <c r="D224" s="3502"/>
      <c r="E224" s="3502"/>
      <c r="F224" s="3502"/>
      <c r="G224" s="3502"/>
      <c r="H224" s="3502"/>
      <c r="I224" s="3502"/>
      <c r="J224" s="3503"/>
      <c r="L224" s="1676"/>
      <c r="M224" s="880"/>
      <c r="N224" s="1679"/>
      <c r="O224" s="1176"/>
      <c r="P224" s="1679"/>
      <c r="Q224" s="1167"/>
      <c r="R224" s="130"/>
      <c r="S224" s="120"/>
      <c r="T224" s="124"/>
      <c r="U224" s="124"/>
      <c r="V224" s="202" t="s">
        <v>197</v>
      </c>
    </row>
    <row r="225" spans="1:22" s="110" customFormat="1" ht="35.450000000000003" hidden="1" customHeight="1">
      <c r="A225" s="1560"/>
      <c r="B225" s="1475">
        <f t="shared" si="17"/>
        <v>69</v>
      </c>
      <c r="C225" s="3501" t="s">
        <v>7552</v>
      </c>
      <c r="D225" s="3502"/>
      <c r="E225" s="3502"/>
      <c r="F225" s="3502"/>
      <c r="G225" s="3502"/>
      <c r="H225" s="3502"/>
      <c r="I225" s="3502"/>
      <c r="J225" s="3503"/>
      <c r="L225" s="1676"/>
      <c r="M225" s="880"/>
      <c r="N225" s="1679"/>
      <c r="O225" s="1176"/>
      <c r="P225" s="1679"/>
      <c r="Q225" s="1167"/>
      <c r="R225" s="130"/>
      <c r="S225" s="120"/>
      <c r="T225" s="124"/>
      <c r="U225" s="124"/>
      <c r="V225" s="202" t="s">
        <v>780</v>
      </c>
    </row>
    <row r="226" spans="1:22" s="880" customFormat="1" ht="24.75" hidden="1" customHeight="1">
      <c r="A226" s="1692"/>
      <c r="B226" s="1475">
        <f t="shared" si="17"/>
        <v>70</v>
      </c>
      <c r="C226" s="3501" t="s">
        <v>7553</v>
      </c>
      <c r="D226" s="3502"/>
      <c r="E226" s="3502"/>
      <c r="F226" s="3502"/>
      <c r="G226" s="3502"/>
      <c r="H226" s="3502"/>
      <c r="I226" s="3502"/>
      <c r="J226" s="3503"/>
      <c r="K226" s="110"/>
      <c r="L226" s="1676"/>
      <c r="N226" s="1679"/>
      <c r="O226" s="1176"/>
      <c r="P226" s="1679"/>
      <c r="Q226" s="1167"/>
      <c r="R226" s="130"/>
      <c r="S226" s="120"/>
      <c r="T226" s="124"/>
      <c r="U226" s="124"/>
      <c r="V226" s="202" t="s">
        <v>197</v>
      </c>
    </row>
    <row r="227" spans="1:22" s="110" customFormat="1" ht="24" hidden="1" customHeight="1">
      <c r="A227" s="1560"/>
      <c r="B227" s="1475">
        <f t="shared" si="17"/>
        <v>71</v>
      </c>
      <c r="C227" s="3501" t="s">
        <v>7554</v>
      </c>
      <c r="D227" s="3502"/>
      <c r="E227" s="3502"/>
      <c r="F227" s="3502"/>
      <c r="G227" s="3502"/>
      <c r="H227" s="3502"/>
      <c r="I227" s="3502"/>
      <c r="J227" s="3503"/>
      <c r="L227" s="1676"/>
      <c r="M227" s="880"/>
      <c r="N227" s="1679"/>
      <c r="O227" s="1176"/>
      <c r="P227" s="1679"/>
      <c r="Q227" s="1167"/>
      <c r="R227" s="130"/>
      <c r="S227" s="120"/>
      <c r="T227" s="124"/>
      <c r="U227" s="124"/>
      <c r="V227" s="202" t="s">
        <v>197</v>
      </c>
    </row>
    <row r="228" spans="1:22" s="880" customFormat="1" ht="14.25" hidden="1" customHeight="1">
      <c r="A228" s="1692"/>
      <c r="B228" s="1475">
        <f t="shared" si="17"/>
        <v>72</v>
      </c>
      <c r="C228" s="3501" t="s">
        <v>7555</v>
      </c>
      <c r="D228" s="3502"/>
      <c r="E228" s="3502"/>
      <c r="F228" s="3502"/>
      <c r="G228" s="3502"/>
      <c r="H228" s="3502"/>
      <c r="I228" s="3502"/>
      <c r="J228" s="3503"/>
      <c r="K228" s="110"/>
      <c r="L228" s="1676"/>
      <c r="N228" s="1679"/>
      <c r="O228" s="1176"/>
      <c r="P228" s="1679"/>
      <c r="Q228" s="1167"/>
      <c r="R228" s="130"/>
      <c r="S228" s="120"/>
      <c r="T228" s="124"/>
      <c r="U228" s="124"/>
      <c r="V228" s="202">
        <v>1</v>
      </c>
    </row>
    <row r="229" spans="1:22" s="880" customFormat="1" ht="21.2" hidden="1" customHeight="1">
      <c r="A229" s="1692"/>
      <c r="B229" s="1475">
        <f t="shared" si="17"/>
        <v>73</v>
      </c>
      <c r="C229" s="3501" t="s">
        <v>7556</v>
      </c>
      <c r="D229" s="3502"/>
      <c r="E229" s="3502"/>
      <c r="F229" s="3502"/>
      <c r="G229" s="3502"/>
      <c r="H229" s="3502"/>
      <c r="I229" s="3502"/>
      <c r="J229" s="3503"/>
      <c r="K229" s="110"/>
      <c r="L229" s="1676"/>
      <c r="N229" s="1680"/>
      <c r="O229" s="1177"/>
      <c r="P229" s="1680"/>
      <c r="Q229" s="1167"/>
      <c r="R229" s="130"/>
      <c r="S229" s="120"/>
      <c r="T229" s="124"/>
      <c r="U229" s="124"/>
      <c r="V229" s="202" t="s">
        <v>789</v>
      </c>
    </row>
    <row r="230" spans="1:22" s="880" customFormat="1" ht="109.5" hidden="1" customHeight="1">
      <c r="A230" s="1692"/>
      <c r="B230" s="1475">
        <f t="shared" si="17"/>
        <v>74</v>
      </c>
      <c r="C230" s="3501" t="s">
        <v>7557</v>
      </c>
      <c r="D230" s="3502"/>
      <c r="E230" s="3502"/>
      <c r="F230" s="3502"/>
      <c r="G230" s="3502"/>
      <c r="H230" s="3502"/>
      <c r="I230" s="3502"/>
      <c r="J230" s="3503"/>
      <c r="K230" s="110"/>
      <c r="L230" s="1676"/>
      <c r="M230" s="2052" t="s">
        <v>7558</v>
      </c>
      <c r="N230" s="1681"/>
      <c r="O230" s="1178"/>
      <c r="P230" s="1681"/>
      <c r="Q230" s="1167"/>
      <c r="R230" s="130"/>
      <c r="S230" s="120"/>
      <c r="T230" s="124"/>
      <c r="U230" s="124"/>
      <c r="V230" s="202" t="s">
        <v>780</v>
      </c>
    </row>
    <row r="231" spans="1:22" s="880" customFormat="1" ht="48.2" hidden="1" customHeight="1">
      <c r="A231" s="1692"/>
      <c r="B231" s="1475">
        <f t="shared" si="17"/>
        <v>75</v>
      </c>
      <c r="C231" s="3501" t="s">
        <v>7559</v>
      </c>
      <c r="D231" s="3502"/>
      <c r="E231" s="3502"/>
      <c r="F231" s="3502"/>
      <c r="G231" s="3502"/>
      <c r="H231" s="3502"/>
      <c r="I231" s="3502"/>
      <c r="J231" s="3503"/>
      <c r="K231" s="110"/>
      <c r="L231" s="1676"/>
      <c r="N231" s="1681"/>
      <c r="O231" s="1178"/>
      <c r="P231" s="1681"/>
      <c r="Q231" s="1167"/>
      <c r="R231" s="130"/>
      <c r="S231" s="120"/>
      <c r="T231" s="124"/>
      <c r="U231" s="124"/>
      <c r="V231" s="202" t="s">
        <v>780</v>
      </c>
    </row>
    <row r="232" spans="1:22" s="880" customFormat="1" ht="38.25" hidden="1" customHeight="1">
      <c r="A232" s="1692"/>
      <c r="B232" s="1475">
        <f t="shared" si="17"/>
        <v>76</v>
      </c>
      <c r="C232" s="3501" t="s">
        <v>7560</v>
      </c>
      <c r="D232" s="3502"/>
      <c r="E232" s="3502"/>
      <c r="F232" s="3502"/>
      <c r="G232" s="3502"/>
      <c r="H232" s="3502"/>
      <c r="I232" s="3502"/>
      <c r="J232" s="3503"/>
      <c r="K232" s="110"/>
      <c r="L232" s="1676"/>
      <c r="N232" s="1681"/>
      <c r="O232" s="1178"/>
      <c r="P232" s="1681"/>
      <c r="Q232" s="1167"/>
      <c r="R232" s="130"/>
      <c r="S232" s="70"/>
      <c r="T232" s="71"/>
      <c r="U232" s="71"/>
      <c r="V232" s="202" t="s">
        <v>197</v>
      </c>
    </row>
    <row r="233" spans="1:22" s="880" customFormat="1" ht="24" hidden="1" customHeight="1">
      <c r="A233" s="1692"/>
      <c r="B233" s="1475">
        <f t="shared" si="17"/>
        <v>77</v>
      </c>
      <c r="C233" s="3501" t="s">
        <v>7561</v>
      </c>
      <c r="D233" s="3502"/>
      <c r="E233" s="3502"/>
      <c r="F233" s="3502"/>
      <c r="G233" s="3502"/>
      <c r="H233" s="3502"/>
      <c r="I233" s="3502"/>
      <c r="J233" s="3503"/>
      <c r="K233" s="110"/>
      <c r="L233" s="1676"/>
      <c r="N233" s="1681"/>
      <c r="O233" s="1178"/>
      <c r="P233" s="1681"/>
      <c r="Q233" s="1167"/>
      <c r="R233" s="130"/>
      <c r="S233" s="120"/>
      <c r="T233" s="124"/>
      <c r="U233" s="124"/>
      <c r="V233" s="202" t="s">
        <v>197</v>
      </c>
    </row>
    <row r="234" spans="1:22" s="880" customFormat="1" ht="30.2" hidden="1" customHeight="1">
      <c r="A234" s="1692"/>
      <c r="B234" s="1475">
        <f t="shared" si="17"/>
        <v>78</v>
      </c>
      <c r="C234" s="3501" t="s">
        <v>7562</v>
      </c>
      <c r="D234" s="3502"/>
      <c r="E234" s="3502"/>
      <c r="F234" s="3502"/>
      <c r="G234" s="3502"/>
      <c r="H234" s="3502"/>
      <c r="I234" s="3502"/>
      <c r="J234" s="3503"/>
      <c r="K234" s="110"/>
      <c r="L234" s="1676"/>
      <c r="N234" s="1681"/>
      <c r="O234" s="1178"/>
      <c r="P234" s="1681"/>
      <c r="Q234" s="1167"/>
      <c r="R234" s="130"/>
      <c r="S234" s="120"/>
      <c r="T234" s="124"/>
      <c r="U234" s="124"/>
      <c r="V234" s="202" t="s">
        <v>197</v>
      </c>
    </row>
    <row r="235" spans="1:22" s="880" customFormat="1" ht="14.25" hidden="1" customHeight="1">
      <c r="A235" s="1692"/>
      <c r="B235" s="1475">
        <f t="shared" si="17"/>
        <v>79</v>
      </c>
      <c r="C235" s="3501" t="s">
        <v>7563</v>
      </c>
      <c r="D235" s="3502"/>
      <c r="E235" s="3502"/>
      <c r="F235" s="3502"/>
      <c r="G235" s="3502"/>
      <c r="H235" s="3502"/>
      <c r="I235" s="3502"/>
      <c r="J235" s="3503"/>
      <c r="K235" s="110"/>
      <c r="L235" s="1676"/>
      <c r="N235" s="1681"/>
      <c r="O235" s="1178"/>
      <c r="P235" s="1681"/>
      <c r="Q235" s="1167"/>
      <c r="R235" s="130"/>
      <c r="S235" s="70"/>
      <c r="T235" s="71"/>
      <c r="U235" s="71"/>
      <c r="V235" s="202">
        <v>1</v>
      </c>
    </row>
    <row r="236" spans="1:22" s="880" customFormat="1" hidden="1">
      <c r="A236" s="1692"/>
      <c r="B236" s="1475">
        <f t="shared" si="17"/>
        <v>80</v>
      </c>
      <c r="C236" s="3501" t="s">
        <v>7564</v>
      </c>
      <c r="D236" s="3502"/>
      <c r="E236" s="3502"/>
      <c r="F236" s="3502"/>
      <c r="G236" s="3502"/>
      <c r="H236" s="3502"/>
      <c r="I236" s="3502"/>
      <c r="J236" s="3503"/>
      <c r="K236" s="110"/>
      <c r="L236" s="1676"/>
      <c r="N236" s="1681"/>
      <c r="O236" s="1178"/>
      <c r="P236" s="1681"/>
      <c r="Q236" s="1167"/>
      <c r="R236" s="130"/>
      <c r="S236" s="70"/>
      <c r="T236" s="71"/>
      <c r="U236" s="71"/>
      <c r="V236" s="202">
        <v>1</v>
      </c>
    </row>
    <row r="237" spans="1:22" s="880" customFormat="1" hidden="1">
      <c r="A237" s="1692"/>
      <c r="B237" s="1475">
        <f t="shared" si="17"/>
        <v>81</v>
      </c>
      <c r="C237" s="3501" t="s">
        <v>7565</v>
      </c>
      <c r="D237" s="3502"/>
      <c r="E237" s="3502"/>
      <c r="F237" s="3502"/>
      <c r="G237" s="3502"/>
      <c r="H237" s="3502"/>
      <c r="I237" s="3502"/>
      <c r="J237" s="3503"/>
      <c r="K237" s="110"/>
      <c r="L237" s="1676"/>
      <c r="N237" s="1681"/>
      <c r="O237" s="1178"/>
      <c r="P237" s="1681"/>
      <c r="Q237" s="1167"/>
      <c r="R237" s="130"/>
      <c r="S237" s="70"/>
      <c r="T237" s="71"/>
      <c r="U237" s="71"/>
      <c r="V237" s="202">
        <v>1</v>
      </c>
    </row>
    <row r="238" spans="1:22" s="880" customFormat="1" ht="20.85" hidden="1" customHeight="1">
      <c r="A238" s="1692"/>
      <c r="B238" s="1475">
        <f t="shared" si="17"/>
        <v>82</v>
      </c>
      <c r="C238" s="3501" t="s">
        <v>7566</v>
      </c>
      <c r="D238" s="3502"/>
      <c r="E238" s="3502"/>
      <c r="F238" s="3502"/>
      <c r="G238" s="3502"/>
      <c r="H238" s="3502"/>
      <c r="I238" s="3502"/>
      <c r="J238" s="3503"/>
      <c r="K238" s="110"/>
      <c r="L238" s="1676"/>
      <c r="N238" s="1681"/>
      <c r="O238" s="1178"/>
      <c r="P238" s="1681"/>
      <c r="Q238" s="1167"/>
      <c r="R238" s="130"/>
      <c r="S238" s="70"/>
      <c r="T238" s="71"/>
      <c r="U238" s="71"/>
      <c r="V238" s="202" t="s">
        <v>197</v>
      </c>
    </row>
    <row r="239" spans="1:22" s="880" customFormat="1" ht="20.25" hidden="1" customHeight="1">
      <c r="A239" s="1692"/>
      <c r="B239" s="1475">
        <f t="shared" si="17"/>
        <v>83</v>
      </c>
      <c r="C239" s="3501" t="s">
        <v>7567</v>
      </c>
      <c r="D239" s="3502"/>
      <c r="E239" s="3502"/>
      <c r="F239" s="3502"/>
      <c r="G239" s="3502"/>
      <c r="H239" s="3502"/>
      <c r="I239" s="3502"/>
      <c r="J239" s="3503"/>
      <c r="K239" s="110"/>
      <c r="L239" s="1676"/>
      <c r="M239" s="2052" t="s">
        <v>7568</v>
      </c>
      <c r="N239" s="1681"/>
      <c r="O239" s="1178"/>
      <c r="P239" s="1681"/>
      <c r="Q239" s="1167"/>
      <c r="R239" s="130"/>
      <c r="S239" s="70"/>
      <c r="T239" s="71"/>
      <c r="U239" s="71"/>
      <c r="V239" s="202" t="s">
        <v>197</v>
      </c>
    </row>
    <row r="240" spans="1:22" s="880" customFormat="1" ht="25.5" hidden="1" customHeight="1">
      <c r="A240" s="1692"/>
      <c r="B240" s="1475">
        <f t="shared" si="17"/>
        <v>84</v>
      </c>
      <c r="C240" s="3501" t="s">
        <v>7569</v>
      </c>
      <c r="D240" s="3502"/>
      <c r="E240" s="3502"/>
      <c r="F240" s="3502"/>
      <c r="G240" s="3502"/>
      <c r="H240" s="3502"/>
      <c r="I240" s="3502"/>
      <c r="J240" s="3503"/>
      <c r="K240" s="110"/>
      <c r="L240" s="1676"/>
      <c r="M240" s="2052" t="s">
        <v>7568</v>
      </c>
      <c r="N240" s="1681"/>
      <c r="O240" s="1178"/>
      <c r="P240" s="1681"/>
      <c r="Q240" s="1167"/>
      <c r="R240" s="130"/>
      <c r="S240" s="70"/>
      <c r="T240" s="71"/>
      <c r="U240" s="71"/>
      <c r="V240" s="202">
        <v>1</v>
      </c>
    </row>
    <row r="241" spans="1:22" s="880" customFormat="1" ht="14.25" hidden="1" customHeight="1">
      <c r="A241" s="1692"/>
      <c r="B241" s="1475">
        <f t="shared" si="17"/>
        <v>85</v>
      </c>
      <c r="C241" s="3501" t="s">
        <v>7570</v>
      </c>
      <c r="D241" s="3502"/>
      <c r="E241" s="3502"/>
      <c r="F241" s="3502"/>
      <c r="G241" s="3502"/>
      <c r="H241" s="3502"/>
      <c r="I241" s="3502"/>
      <c r="J241" s="3503"/>
      <c r="K241" s="110"/>
      <c r="L241" s="1676"/>
      <c r="N241" s="1681"/>
      <c r="O241" s="1178"/>
      <c r="P241" s="1681"/>
      <c r="Q241" s="1167"/>
      <c r="R241" s="130"/>
      <c r="S241" s="70"/>
      <c r="T241" s="71"/>
      <c r="U241" s="71"/>
      <c r="V241" s="202">
        <v>1</v>
      </c>
    </row>
    <row r="242" spans="1:22" s="880" customFormat="1" hidden="1">
      <c r="A242" s="1692"/>
      <c r="B242" s="1475">
        <f t="shared" si="17"/>
        <v>86</v>
      </c>
      <c r="C242" s="3501" t="s">
        <v>7571</v>
      </c>
      <c r="D242" s="3502"/>
      <c r="E242" s="3502"/>
      <c r="F242" s="3502"/>
      <c r="G242" s="3502"/>
      <c r="H242" s="3502"/>
      <c r="I242" s="3502"/>
      <c r="J242" s="3503"/>
      <c r="K242" s="110"/>
      <c r="L242" s="1676"/>
      <c r="N242" s="1681"/>
      <c r="O242" s="1178"/>
      <c r="P242" s="1681"/>
      <c r="Q242" s="1167"/>
      <c r="R242" s="130"/>
      <c r="S242" s="70"/>
      <c r="T242" s="71"/>
      <c r="U242" s="71"/>
      <c r="V242" s="202">
        <v>1</v>
      </c>
    </row>
    <row r="243" spans="1:22" s="880" customFormat="1" hidden="1">
      <c r="A243" s="1692"/>
      <c r="B243" s="1475">
        <f t="shared" si="17"/>
        <v>87</v>
      </c>
      <c r="C243" s="3501" t="s">
        <v>7572</v>
      </c>
      <c r="D243" s="3502"/>
      <c r="E243" s="3502"/>
      <c r="F243" s="3502"/>
      <c r="G243" s="3502"/>
      <c r="H243" s="3502"/>
      <c r="I243" s="3502"/>
      <c r="J243" s="3503"/>
      <c r="K243" s="110"/>
      <c r="L243" s="1676"/>
      <c r="N243" s="1681"/>
      <c r="O243" s="1178"/>
      <c r="P243" s="1681"/>
      <c r="Q243" s="1167"/>
      <c r="R243" s="130"/>
      <c r="S243" s="70"/>
      <c r="T243" s="71"/>
      <c r="U243" s="71"/>
      <c r="V243" s="202">
        <v>1</v>
      </c>
    </row>
    <row r="244" spans="1:22" s="880" customFormat="1" hidden="1">
      <c r="A244" s="1692"/>
      <c r="B244" s="1475">
        <f t="shared" si="17"/>
        <v>88</v>
      </c>
      <c r="C244" s="3501" t="s">
        <v>7573</v>
      </c>
      <c r="D244" s="3502"/>
      <c r="E244" s="3502"/>
      <c r="F244" s="3502"/>
      <c r="G244" s="3502"/>
      <c r="H244" s="3502"/>
      <c r="I244" s="3502"/>
      <c r="J244" s="3503"/>
      <c r="K244" s="110"/>
      <c r="L244" s="1676"/>
      <c r="N244" s="1681"/>
      <c r="O244" s="1178"/>
      <c r="P244" s="1681"/>
      <c r="Q244" s="1167"/>
      <c r="R244" s="130"/>
      <c r="S244" s="70"/>
      <c r="T244" s="71"/>
      <c r="U244" s="71"/>
      <c r="V244" s="202">
        <v>1</v>
      </c>
    </row>
    <row r="245" spans="1:22" s="880" customFormat="1" hidden="1">
      <c r="A245" s="1692"/>
      <c r="B245" s="1475">
        <f t="shared" si="17"/>
        <v>89</v>
      </c>
      <c r="C245" s="3501" t="s">
        <v>7574</v>
      </c>
      <c r="D245" s="3502"/>
      <c r="E245" s="3502"/>
      <c r="F245" s="3502"/>
      <c r="G245" s="3502"/>
      <c r="H245" s="3502"/>
      <c r="I245" s="3502"/>
      <c r="J245" s="3503"/>
      <c r="K245" s="110"/>
      <c r="L245" s="1676"/>
      <c r="N245" s="1681"/>
      <c r="O245" s="1178"/>
      <c r="P245" s="1681"/>
      <c r="Q245" s="1167"/>
      <c r="R245" s="130"/>
      <c r="S245" s="70"/>
      <c r="T245" s="71"/>
      <c r="U245" s="71"/>
      <c r="V245" s="202">
        <v>1</v>
      </c>
    </row>
    <row r="246" spans="1:22" s="880" customFormat="1" hidden="1">
      <c r="A246" s="1692"/>
      <c r="B246" s="1475">
        <f t="shared" si="17"/>
        <v>90</v>
      </c>
      <c r="C246" s="3501" t="s">
        <v>7575</v>
      </c>
      <c r="D246" s="3502"/>
      <c r="E246" s="3502"/>
      <c r="F246" s="3502"/>
      <c r="G246" s="3502"/>
      <c r="H246" s="3502"/>
      <c r="I246" s="3502"/>
      <c r="J246" s="3503"/>
      <c r="K246" s="110"/>
      <c r="L246" s="1676"/>
      <c r="N246" s="1681"/>
      <c r="O246" s="1178"/>
      <c r="P246" s="1681"/>
      <c r="Q246" s="1167"/>
      <c r="R246" s="130"/>
      <c r="S246" s="70"/>
      <c r="T246" s="71"/>
      <c r="U246" s="71"/>
      <c r="V246" s="202">
        <v>1</v>
      </c>
    </row>
    <row r="247" spans="1:22" s="880" customFormat="1" hidden="1">
      <c r="A247" s="1692"/>
      <c r="B247" s="1475">
        <f t="shared" si="17"/>
        <v>91</v>
      </c>
      <c r="C247" s="3501" t="s">
        <v>7576</v>
      </c>
      <c r="D247" s="3502"/>
      <c r="E247" s="3502"/>
      <c r="F247" s="3502"/>
      <c r="G247" s="3502"/>
      <c r="H247" s="3502"/>
      <c r="I247" s="3502"/>
      <c r="J247" s="3503"/>
      <c r="K247" s="110"/>
      <c r="L247" s="1676"/>
      <c r="N247" s="1681"/>
      <c r="O247" s="1178"/>
      <c r="P247" s="1681"/>
      <c r="Q247" s="1167"/>
      <c r="R247" s="130"/>
      <c r="S247" s="70"/>
      <c r="T247" s="71"/>
      <c r="U247" s="71"/>
      <c r="V247" s="202">
        <v>1</v>
      </c>
    </row>
    <row r="248" spans="1:22" s="880" customFormat="1" hidden="1">
      <c r="A248" s="1692"/>
      <c r="B248" s="1475">
        <f t="shared" si="17"/>
        <v>92</v>
      </c>
      <c r="C248" s="3501" t="s">
        <v>7577</v>
      </c>
      <c r="D248" s="3502"/>
      <c r="E248" s="3502"/>
      <c r="F248" s="3502"/>
      <c r="G248" s="3502"/>
      <c r="H248" s="3502"/>
      <c r="I248" s="3502"/>
      <c r="J248" s="3503"/>
      <c r="K248" s="110"/>
      <c r="L248" s="1676"/>
      <c r="N248" s="1681"/>
      <c r="O248" s="1178"/>
      <c r="P248" s="1681"/>
      <c r="Q248" s="1167"/>
      <c r="R248" s="130"/>
      <c r="S248" s="70"/>
      <c r="T248" s="71"/>
      <c r="U248" s="71"/>
      <c r="V248" s="202">
        <v>1</v>
      </c>
    </row>
    <row r="249" spans="1:22" s="880" customFormat="1" hidden="1">
      <c r="A249" s="1692"/>
      <c r="B249" s="1475">
        <f t="shared" si="17"/>
        <v>93</v>
      </c>
      <c r="C249" s="3501" t="s">
        <v>7578</v>
      </c>
      <c r="D249" s="3502"/>
      <c r="E249" s="3502"/>
      <c r="F249" s="3502"/>
      <c r="G249" s="3502"/>
      <c r="H249" s="3502"/>
      <c r="I249" s="3502"/>
      <c r="J249" s="3503"/>
      <c r="K249" s="110"/>
      <c r="L249" s="1676"/>
      <c r="N249" s="1681"/>
      <c r="O249" s="1178"/>
      <c r="P249" s="1681"/>
      <c r="Q249" s="1167"/>
      <c r="R249" s="130"/>
      <c r="S249" s="70"/>
      <c r="T249" s="71"/>
      <c r="U249" s="71"/>
      <c r="V249" s="202"/>
    </row>
    <row r="250" spans="1:22" s="880" customFormat="1" ht="15.75" hidden="1" customHeight="1">
      <c r="A250" s="1692"/>
      <c r="B250" s="1475">
        <f t="shared" si="17"/>
        <v>94</v>
      </c>
      <c r="C250" s="3501" t="s">
        <v>7579</v>
      </c>
      <c r="D250" s="3502"/>
      <c r="E250" s="3502"/>
      <c r="F250" s="3502"/>
      <c r="G250" s="3502"/>
      <c r="H250" s="3502"/>
      <c r="I250" s="3502"/>
      <c r="J250" s="3503"/>
      <c r="K250" s="110"/>
      <c r="L250" s="1676"/>
      <c r="N250" s="1681"/>
      <c r="O250" s="1178"/>
      <c r="P250" s="1681"/>
      <c r="Q250" s="1167"/>
      <c r="R250" s="130"/>
      <c r="S250" s="70"/>
      <c r="T250" s="71"/>
      <c r="U250" s="71"/>
      <c r="V250" s="202" t="s">
        <v>197</v>
      </c>
    </row>
    <row r="251" spans="1:22" s="880" customFormat="1" ht="15.75" hidden="1" customHeight="1">
      <c r="A251" s="1692"/>
      <c r="B251" s="2080" t="s">
        <v>7580</v>
      </c>
      <c r="C251" s="3501" t="s">
        <v>7581</v>
      </c>
      <c r="D251" s="3502"/>
      <c r="E251" s="3502"/>
      <c r="F251" s="3502"/>
      <c r="G251" s="3502"/>
      <c r="H251" s="3502"/>
      <c r="I251" s="3502"/>
      <c r="J251" s="3503"/>
      <c r="K251" s="110"/>
      <c r="L251" s="1676"/>
      <c r="N251" s="1681"/>
      <c r="O251" s="1178"/>
      <c r="P251" s="1681"/>
      <c r="Q251" s="1167"/>
      <c r="R251" s="130"/>
      <c r="S251" s="70"/>
      <c r="T251" s="71"/>
      <c r="U251" s="71"/>
      <c r="V251" s="202"/>
    </row>
    <row r="252" spans="1:22" s="880" customFormat="1" ht="15.75" hidden="1" customHeight="1" thickBot="1">
      <c r="A252" s="1692"/>
      <c r="B252" s="2081" t="s">
        <v>7582</v>
      </c>
      <c r="C252" s="3507" t="s">
        <v>7583</v>
      </c>
      <c r="D252" s="3508"/>
      <c r="E252" s="3508"/>
      <c r="F252" s="3508"/>
      <c r="G252" s="3508"/>
      <c r="H252" s="3508"/>
      <c r="I252" s="3508"/>
      <c r="J252" s="3509"/>
      <c r="K252" s="110"/>
      <c r="L252" s="1676"/>
      <c r="N252" s="1681"/>
      <c r="O252" s="1178"/>
      <c r="P252" s="1681"/>
      <c r="Q252" s="1167"/>
      <c r="R252" s="130"/>
      <c r="S252" s="70"/>
      <c r="T252" s="71"/>
      <c r="U252" s="71"/>
      <c r="V252" s="202"/>
    </row>
    <row r="253" spans="1:22" s="880" customFormat="1" ht="15" thickBot="1">
      <c r="B253" s="1024"/>
      <c r="C253" s="1176"/>
      <c r="D253" s="1167"/>
      <c r="E253" s="1167"/>
      <c r="F253" s="1167"/>
      <c r="G253" s="1167"/>
      <c r="H253" s="1167"/>
      <c r="I253" s="1167"/>
      <c r="J253" s="1167"/>
      <c r="K253" s="110"/>
      <c r="L253" s="1676"/>
      <c r="M253" s="1167"/>
      <c r="N253" s="1682"/>
      <c r="O253" s="1167"/>
      <c r="P253" s="1682"/>
      <c r="Q253" s="1167"/>
      <c r="R253" s="130"/>
      <c r="S253" s="70"/>
      <c r="T253" s="71"/>
      <c r="U253" s="71"/>
      <c r="V253" s="202"/>
    </row>
    <row r="254" spans="1:22" ht="15" thickBot="1">
      <c r="A254" s="2004"/>
      <c r="B254" s="3504" t="s">
        <v>7584</v>
      </c>
      <c r="C254" s="3505"/>
      <c r="D254" s="3504" t="s">
        <v>7585</v>
      </c>
      <c r="E254" s="3506"/>
      <c r="F254" s="3506"/>
      <c r="G254" s="3506"/>
      <c r="H254" s="3506"/>
      <c r="I254" s="3506"/>
      <c r="J254" s="3505"/>
      <c r="K254" s="110"/>
      <c r="L254" s="1676"/>
      <c r="M254" s="880"/>
      <c r="O254" s="2004"/>
      <c r="Q254" s="2004"/>
      <c r="R254" s="2004"/>
      <c r="S254" s="2004"/>
      <c r="U254" s="2004"/>
      <c r="V254" s="2004"/>
    </row>
    <row r="255" spans="1:22" ht="27" customHeight="1" thickBot="1">
      <c r="A255" s="2004"/>
      <c r="B255" s="3497" t="s">
        <v>7586</v>
      </c>
      <c r="C255" s="3459"/>
      <c r="D255" s="3498" t="s">
        <v>7587</v>
      </c>
      <c r="E255" s="3499"/>
      <c r="F255" s="3499"/>
      <c r="G255" s="3499"/>
      <c r="H255" s="3499"/>
      <c r="I255" s="3499"/>
      <c r="J255" s="3500"/>
      <c r="K255" s="110"/>
      <c r="L255" s="1676"/>
      <c r="M255" s="880"/>
      <c r="O255" s="2004"/>
      <c r="Q255" s="2004"/>
      <c r="R255" s="2004"/>
      <c r="S255" s="2004"/>
      <c r="U255" s="2004"/>
      <c r="V255" s="2004"/>
    </row>
    <row r="256" spans="1:22" ht="42.75" customHeight="1" thickBot="1">
      <c r="A256" s="2004"/>
      <c r="B256" s="3497" t="s">
        <v>7588</v>
      </c>
      <c r="C256" s="3459"/>
      <c r="D256" s="3498" t="s">
        <v>7589</v>
      </c>
      <c r="E256" s="3499"/>
      <c r="F256" s="3499"/>
      <c r="G256" s="3499"/>
      <c r="H256" s="3499"/>
      <c r="I256" s="3499"/>
      <c r="J256" s="3500"/>
      <c r="K256" s="110"/>
      <c r="L256" s="1676"/>
      <c r="M256" s="880"/>
      <c r="O256" s="2004"/>
      <c r="Q256" s="2004"/>
      <c r="R256" s="2004"/>
      <c r="S256" s="2004"/>
      <c r="U256" s="2004"/>
      <c r="V256" s="2004"/>
    </row>
    <row r="257" spans="2:13" ht="84.2" customHeight="1" thickBot="1">
      <c r="B257" s="3497" t="s">
        <v>7590</v>
      </c>
      <c r="C257" s="3459"/>
      <c r="D257" s="3498" t="s">
        <v>7591</v>
      </c>
      <c r="E257" s="3499"/>
      <c r="F257" s="3499"/>
      <c r="G257" s="3499"/>
      <c r="H257" s="3499"/>
      <c r="I257" s="3499"/>
      <c r="J257" s="3500"/>
      <c r="K257" s="110"/>
      <c r="L257" s="1676"/>
      <c r="M257" s="880"/>
    </row>
    <row r="258" spans="2:13" ht="72.75" customHeight="1" thickBot="1">
      <c r="B258" s="3497" t="s">
        <v>7592</v>
      </c>
      <c r="C258" s="3459"/>
      <c r="D258" s="3498" t="s">
        <v>7593</v>
      </c>
      <c r="E258" s="3499"/>
      <c r="F258" s="3499"/>
      <c r="G258" s="3499"/>
      <c r="H258" s="3499"/>
      <c r="I258" s="3499"/>
      <c r="J258" s="3500"/>
      <c r="K258" s="110"/>
      <c r="L258" s="1676"/>
      <c r="M258" s="880"/>
    </row>
    <row r="259" spans="2:13" ht="28.5" customHeight="1" thickBot="1">
      <c r="B259" s="3497" t="s">
        <v>7594</v>
      </c>
      <c r="C259" s="3459"/>
      <c r="D259" s="3498" t="s">
        <v>7595</v>
      </c>
      <c r="E259" s="3499"/>
      <c r="F259" s="3499"/>
      <c r="G259" s="3499"/>
      <c r="H259" s="3499"/>
      <c r="I259" s="3499"/>
      <c r="J259" s="3500"/>
      <c r="K259" s="110"/>
      <c r="L259" s="1676"/>
      <c r="M259" s="880"/>
    </row>
    <row r="260" spans="2:13" ht="15" thickBot="1">
      <c r="B260" s="880"/>
      <c r="C260" s="880"/>
      <c r="D260" s="880"/>
      <c r="E260" s="880"/>
      <c r="F260" s="880"/>
      <c r="G260" s="880"/>
      <c r="H260" s="880"/>
      <c r="I260" s="880"/>
      <c r="J260" s="880"/>
      <c r="K260" s="110"/>
      <c r="L260" s="1676"/>
      <c r="M260" s="880"/>
    </row>
    <row r="261" spans="2:13" ht="16.5" thickBot="1">
      <c r="B261" s="3428" t="s">
        <v>7596</v>
      </c>
      <c r="C261" s="3489"/>
      <c r="D261" s="3489"/>
      <c r="E261" s="3489"/>
      <c r="F261" s="3489"/>
      <c r="G261" s="3489"/>
      <c r="H261" s="3489"/>
      <c r="I261" s="3489"/>
      <c r="J261" s="3490"/>
      <c r="K261" s="110"/>
      <c r="L261" s="1676"/>
      <c r="M261" s="1179"/>
    </row>
    <row r="262" spans="2:13" ht="15" thickBot="1">
      <c r="B262" s="880"/>
      <c r="C262" s="880"/>
      <c r="D262" s="880"/>
      <c r="E262" s="880"/>
      <c r="F262" s="880"/>
      <c r="G262" s="880"/>
      <c r="H262" s="880"/>
      <c r="I262" s="880"/>
      <c r="J262" s="880"/>
      <c r="K262" s="110"/>
      <c r="L262" s="1676"/>
      <c r="M262" s="880"/>
    </row>
    <row r="263" spans="2:13" ht="15" customHeight="1" thickBot="1">
      <c r="B263" s="3491" t="s">
        <v>7597</v>
      </c>
      <c r="C263" s="3492"/>
      <c r="D263" s="1895"/>
      <c r="E263" s="3491" t="s">
        <v>7598</v>
      </c>
      <c r="F263" s="3493"/>
      <c r="G263" s="3493"/>
      <c r="H263" s="3493"/>
      <c r="I263" s="3493"/>
      <c r="J263" s="3492"/>
      <c r="K263" s="110"/>
      <c r="L263" s="1676"/>
      <c r="M263" s="880"/>
    </row>
    <row r="264" spans="2:13" ht="15">
      <c r="B264" s="3479" t="s">
        <v>7599</v>
      </c>
      <c r="C264" s="3480"/>
      <c r="D264" s="1896"/>
      <c r="E264" s="3494" t="s">
        <v>7600</v>
      </c>
      <c r="F264" s="3495"/>
      <c r="G264" s="3495"/>
      <c r="H264" s="3495"/>
      <c r="I264" s="3495"/>
      <c r="J264" s="3496"/>
      <c r="K264" s="110"/>
      <c r="L264" s="1676"/>
      <c r="M264" s="880"/>
    </row>
    <row r="265" spans="2:13" ht="15">
      <c r="B265" s="3479" t="s">
        <v>7601</v>
      </c>
      <c r="C265" s="3480"/>
      <c r="D265" s="1896"/>
      <c r="E265" s="3481" t="s">
        <v>7602</v>
      </c>
      <c r="F265" s="3482"/>
      <c r="G265" s="3482"/>
      <c r="H265" s="3482"/>
      <c r="I265" s="3482"/>
      <c r="J265" s="3483"/>
      <c r="K265" s="110"/>
      <c r="L265" s="1676"/>
      <c r="M265" s="880"/>
    </row>
    <row r="266" spans="2:13" ht="15">
      <c r="B266" s="3479" t="s">
        <v>7603</v>
      </c>
      <c r="C266" s="3480"/>
      <c r="D266" s="1896"/>
      <c r="E266" s="3481" t="s">
        <v>7604</v>
      </c>
      <c r="F266" s="3482"/>
      <c r="G266" s="3482"/>
      <c r="H266" s="3482"/>
      <c r="I266" s="3482"/>
      <c r="J266" s="3483"/>
      <c r="K266" s="110"/>
      <c r="L266" s="1676"/>
      <c r="M266" s="880"/>
    </row>
    <row r="267" spans="2:13" ht="15">
      <c r="B267" s="3479" t="s">
        <v>7605</v>
      </c>
      <c r="C267" s="3480"/>
      <c r="D267" s="1896"/>
      <c r="E267" s="3481" t="s">
        <v>7606</v>
      </c>
      <c r="F267" s="3482"/>
      <c r="G267" s="3482"/>
      <c r="H267" s="3482"/>
      <c r="I267" s="3482"/>
      <c r="J267" s="3483"/>
      <c r="K267" s="110"/>
      <c r="L267" s="1676"/>
      <c r="M267" s="880"/>
    </row>
    <row r="268" spans="2:13" ht="15" customHeight="1">
      <c r="B268" s="3479" t="s">
        <v>7607</v>
      </c>
      <c r="C268" s="3480"/>
      <c r="D268" s="1896"/>
      <c r="E268" s="3481" t="s">
        <v>7608</v>
      </c>
      <c r="F268" s="3482"/>
      <c r="G268" s="3482"/>
      <c r="H268" s="3482"/>
      <c r="I268" s="3482"/>
      <c r="J268" s="3483"/>
      <c r="K268" s="110"/>
      <c r="L268" s="1676"/>
      <c r="M268" s="880"/>
    </row>
    <row r="269" spans="2:13" ht="15" customHeight="1">
      <c r="B269" s="3479" t="s">
        <v>7609</v>
      </c>
      <c r="C269" s="3480"/>
      <c r="D269" s="1896"/>
      <c r="E269" s="3481" t="s">
        <v>7610</v>
      </c>
      <c r="F269" s="3482"/>
      <c r="G269" s="3482"/>
      <c r="H269" s="3482"/>
      <c r="I269" s="3482"/>
      <c r="J269" s="3483"/>
      <c r="K269" s="110"/>
      <c r="L269" s="1676"/>
      <c r="M269" s="880"/>
    </row>
    <row r="270" spans="2:13" ht="15" customHeight="1">
      <c r="B270" s="3479" t="s">
        <v>7611</v>
      </c>
      <c r="C270" s="3480"/>
      <c r="D270" s="1896"/>
      <c r="E270" s="3481" t="s">
        <v>7612</v>
      </c>
      <c r="F270" s="3482"/>
      <c r="G270" s="3482"/>
      <c r="H270" s="3482"/>
      <c r="I270" s="3482"/>
      <c r="J270" s="3483"/>
      <c r="K270" s="110"/>
      <c r="L270" s="1676"/>
      <c r="M270" s="880"/>
    </row>
    <row r="271" spans="2:13" ht="15.75" thickBot="1">
      <c r="B271" s="3484" t="s">
        <v>7613</v>
      </c>
      <c r="C271" s="3485"/>
      <c r="D271" s="1897"/>
      <c r="E271" s="3486" t="s">
        <v>7614</v>
      </c>
      <c r="F271" s="3487"/>
      <c r="G271" s="3487"/>
      <c r="H271" s="3487"/>
      <c r="I271" s="3487"/>
      <c r="J271" s="3488"/>
      <c r="K271" s="110"/>
      <c r="L271" s="1676"/>
      <c r="M271" s="880"/>
    </row>
    <row r="272" spans="2:13">
      <c r="B272" s="2004"/>
      <c r="C272" s="2004"/>
      <c r="F272" s="2004"/>
      <c r="G272" s="2004"/>
      <c r="H272" s="2004"/>
      <c r="I272" s="2004"/>
      <c r="J272" s="2004"/>
      <c r="K272" s="110"/>
      <c r="L272" s="1676"/>
      <c r="M272" s="2004"/>
    </row>
    <row r="273" spans="11:12" hidden="1">
      <c r="K273" s="110"/>
      <c r="L273" s="1676"/>
    </row>
    <row r="274" spans="11:12" hidden="1">
      <c r="K274" s="110"/>
      <c r="L274" s="1676"/>
    </row>
    <row r="275" spans="11:12" hidden="1">
      <c r="K275" s="110"/>
      <c r="L275" s="1676"/>
    </row>
    <row r="276" spans="11:12" hidden="1">
      <c r="K276" s="110"/>
      <c r="L276" s="1676"/>
    </row>
    <row r="277" spans="11:12" hidden="1">
      <c r="K277" s="110"/>
      <c r="L277" s="1676"/>
    </row>
    <row r="278" spans="11:12" hidden="1">
      <c r="K278" s="110"/>
      <c r="L278" s="1676"/>
    </row>
    <row r="279" spans="11:12" hidden="1">
      <c r="K279" s="110"/>
      <c r="L279" s="1676"/>
    </row>
    <row r="280" spans="11:12" hidden="1">
      <c r="K280" s="110"/>
      <c r="L280" s="1676"/>
    </row>
    <row r="281" spans="11:12" hidden="1">
      <c r="K281" s="110"/>
      <c r="L281" s="1676"/>
    </row>
  </sheetData>
  <sheetProtection algorithmName="SHA-512" hashValue="wP98A2K3ovJzO/666QU+lJ884Sn84fYye8pJlKyU4LDtbAgSkk601MnZOhYMrpJpzRvmVR9QIoCYXIcEyf7aJQ==" saltValue="cKpfFI7i0DsJErmdgxo+Nw==" spinCount="100000" sheet="1" objects="1" scenarios="1"/>
  <mergeCells count="137">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217:J217"/>
    <mergeCell ref="C218:J218"/>
    <mergeCell ref="C219:J219"/>
    <mergeCell ref="C220:J220"/>
    <mergeCell ref="C221:J221"/>
    <mergeCell ref="C222:J222"/>
    <mergeCell ref="C223:J223"/>
    <mergeCell ref="C224:J224"/>
    <mergeCell ref="B206:J206"/>
    <mergeCell ref="B209:J209"/>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B269:C269"/>
    <mergeCell ref="E269:J269"/>
    <mergeCell ref="B270:C270"/>
    <mergeCell ref="E270:J270"/>
    <mergeCell ref="B271:C271"/>
    <mergeCell ref="E271:J271"/>
    <mergeCell ref="B266:C266"/>
    <mergeCell ref="E266:J266"/>
    <mergeCell ref="B267:C267"/>
    <mergeCell ref="E267:J267"/>
    <mergeCell ref="B268:C268"/>
    <mergeCell ref="E268:J268"/>
  </mergeCells>
  <conditionalFormatting sqref="J27 J29:J30 J70:J103 J6:J10 J33 J13:J25">
    <cfRule type="cellIs" dxfId="124" priority="16" operator="equal">
      <formula>0</formula>
    </cfRule>
  </conditionalFormatting>
  <conditionalFormatting sqref="J36:J67 J104">
    <cfRule type="cellIs" dxfId="123" priority="15" operator="equal">
      <formula>0</formula>
    </cfRule>
  </conditionalFormatting>
  <conditionalFormatting sqref="J50:J67">
    <cfRule type="cellIs" dxfId="122" priority="14" operator="equal">
      <formula>0</formula>
    </cfRule>
  </conditionalFormatting>
  <conditionalFormatting sqref="J106">
    <cfRule type="cellIs" dxfId="121" priority="11" operator="equal">
      <formula>0</formula>
    </cfRule>
  </conditionalFormatting>
  <conditionalFormatting sqref="J115:J122">
    <cfRule type="cellIs" dxfId="120" priority="10" operator="equal">
      <formula>0</formula>
    </cfRule>
  </conditionalFormatting>
  <conditionalFormatting sqref="J123">
    <cfRule type="cellIs" dxfId="119" priority="13" operator="equal">
      <formula>0</formula>
    </cfRule>
  </conditionalFormatting>
  <conditionalFormatting sqref="J105:J123">
    <cfRule type="cellIs" dxfId="118" priority="12" operator="equal">
      <formula>0</formula>
    </cfRule>
  </conditionalFormatting>
  <conditionalFormatting sqref="J107:J113">
    <cfRule type="cellIs" dxfId="117" priority="9" operator="equal">
      <formula>0</formula>
    </cfRule>
  </conditionalFormatting>
  <conditionalFormatting sqref="J26">
    <cfRule type="cellIs" dxfId="116" priority="6" operator="equal">
      <formula>0</formula>
    </cfRule>
  </conditionalFormatting>
  <conditionalFormatting sqref="J28">
    <cfRule type="cellIs" dxfId="115" priority="5" operator="equal">
      <formula>0</formula>
    </cfRule>
  </conditionalFormatting>
  <conditionalFormatting sqref="J11:J12">
    <cfRule type="cellIs" dxfId="114" priority="4" operator="equal">
      <formula>0</formula>
    </cfRule>
  </conditionalFormatting>
  <conditionalFormatting sqref="J31:J32">
    <cfRule type="cellIs" dxfId="1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O88"/>
  <sheetViews>
    <sheetView topLeftCell="A28" zoomScale="70" zoomScaleNormal="70" workbookViewId="0">
      <selection activeCell="G29" sqref="G29"/>
    </sheetView>
  </sheetViews>
  <sheetFormatPr defaultColWidth="0" defaultRowHeight="14.25" zeroHeight="1"/>
  <cols>
    <col min="1" max="1" width="0.5" style="880" customWidth="1"/>
    <col min="2" max="2" width="4.5" style="880" customWidth="1"/>
    <col min="3" max="3" width="53.125" style="880" customWidth="1"/>
    <col min="4" max="4" width="11.5" style="880" bestFit="1" customWidth="1"/>
    <col min="5" max="6" width="5.5" style="880" customWidth="1"/>
    <col min="7" max="7" width="15.5" style="880" customWidth="1"/>
    <col min="8" max="8" width="26.125" style="880" bestFit="1" customWidth="1"/>
    <col min="9" max="9" width="2.5" style="70" customWidth="1"/>
    <col min="10" max="10" width="20.5" style="70" customWidth="1"/>
    <col min="11" max="11" width="1.5" style="70" customWidth="1"/>
    <col min="12" max="12" width="1.5" style="71" hidden="1" customWidth="1"/>
    <col min="13" max="13" width="19.5" style="70" hidden="1" customWidth="1"/>
    <col min="14" max="14" width="1.5" style="1673" hidden="1" customWidth="1"/>
    <col min="15" max="15" width="8.5" style="880" hidden="1" customWidth="1"/>
    <col min="16" max="16384" width="8" style="880" hidden="1"/>
  </cols>
  <sheetData>
    <row r="1" spans="1:14" ht="20.25">
      <c r="B1" s="66" t="s">
        <v>7615</v>
      </c>
      <c r="C1" s="66"/>
      <c r="D1" s="66"/>
      <c r="E1" s="66"/>
      <c r="F1" s="66"/>
      <c r="G1" s="66"/>
      <c r="H1" s="68" t="str">
        <f>Validation!B3</f>
        <v>Yorkshire Water</v>
      </c>
      <c r="I1" s="66"/>
      <c r="J1" s="69" t="s">
        <v>34</v>
      </c>
    </row>
    <row r="2" spans="1:14" ht="15" thickBot="1">
      <c r="B2" s="73" t="str">
        <f>'4P'!B2</f>
        <v>For the 12 months ended 31 March 2020</v>
      </c>
      <c r="C2" s="994"/>
      <c r="D2" s="994"/>
    </row>
    <row r="3" spans="1:14" s="192" customFormat="1" ht="27.75" thickBot="1">
      <c r="A3" s="880"/>
      <c r="B3" s="996" t="s">
        <v>36</v>
      </c>
      <c r="C3" s="3040"/>
      <c r="D3" s="998" t="s">
        <v>3098</v>
      </c>
      <c r="E3" s="998" t="s">
        <v>38</v>
      </c>
      <c r="F3" s="998" t="s">
        <v>39</v>
      </c>
      <c r="G3" s="3038" t="s">
        <v>158</v>
      </c>
      <c r="H3" s="2990" t="s">
        <v>4567</v>
      </c>
      <c r="I3" s="70"/>
      <c r="J3" s="2990" t="s">
        <v>43</v>
      </c>
      <c r="K3" s="70"/>
      <c r="L3" s="71"/>
      <c r="M3" s="76" t="s">
        <v>47</v>
      </c>
      <c r="N3" s="71"/>
    </row>
    <row r="4" spans="1:14" s="192" customFormat="1" ht="15.75" thickBot="1">
      <c r="A4" s="880"/>
      <c r="B4" s="880"/>
      <c r="C4" s="880"/>
      <c r="D4" s="880"/>
      <c r="E4" s="880"/>
      <c r="F4" s="880"/>
      <c r="G4" s="880"/>
      <c r="H4" s="880"/>
      <c r="I4" s="70"/>
      <c r="J4" s="1092"/>
      <c r="K4" s="70"/>
      <c r="L4" s="71"/>
      <c r="M4" s="85" t="s">
        <v>48</v>
      </c>
      <c r="N4" s="71"/>
    </row>
    <row r="5" spans="1:14" s="192" customFormat="1" ht="15.75" thickBot="1">
      <c r="A5" s="880"/>
      <c r="B5" s="3034" t="s">
        <v>155</v>
      </c>
      <c r="C5" s="1060" t="s">
        <v>7616</v>
      </c>
      <c r="D5" s="880"/>
      <c r="E5" s="880"/>
      <c r="F5" s="880"/>
      <c r="G5" s="880"/>
      <c r="H5" s="880"/>
      <c r="I5" s="70"/>
      <c r="J5" s="1092"/>
      <c r="K5" s="70"/>
      <c r="L5" s="71"/>
      <c r="M5" s="85"/>
      <c r="N5" s="71"/>
    </row>
    <row r="6" spans="1:14" s="192" customFormat="1" ht="20.25" customHeight="1">
      <c r="A6" s="880"/>
      <c r="B6" s="1000" t="s">
        <v>7617</v>
      </c>
      <c r="C6" s="1140" t="s">
        <v>7618</v>
      </c>
      <c r="D6" s="1615" t="s">
        <v>7619</v>
      </c>
      <c r="E6" s="1147" t="s">
        <v>7066</v>
      </c>
      <c r="F6" s="1003">
        <v>3</v>
      </c>
      <c r="G6" s="1004">
        <v>744.77700000000004</v>
      </c>
      <c r="H6" s="1761"/>
      <c r="I6" s="70"/>
      <c r="J6" s="24">
        <f t="shared" ref="J6:J12" si="0" xml:space="preserve"> IF( SUM( L6:N6 ) = 0, 0, $M$4 )</f>
        <v>0</v>
      </c>
      <c r="K6" s="70"/>
      <c r="L6" s="71"/>
      <c r="M6" s="93">
        <f t="shared" ref="M6:M12" si="1" xml:space="preserve"> IF( ISNUMBER( G6 ), 0, 1 )</f>
        <v>0</v>
      </c>
      <c r="N6" s="71"/>
    </row>
    <row r="7" spans="1:14" s="192" customFormat="1" ht="20.25" customHeight="1">
      <c r="A7" s="880"/>
      <c r="B7" s="1009" t="s">
        <v>7620</v>
      </c>
      <c r="C7" s="1143" t="s">
        <v>7621</v>
      </c>
      <c r="D7" s="1616" t="s">
        <v>7622</v>
      </c>
      <c r="E7" s="1149" t="s">
        <v>7066</v>
      </c>
      <c r="F7" s="1007">
        <v>3</v>
      </c>
      <c r="G7" s="1011">
        <v>425.01799999999997</v>
      </c>
      <c r="H7" s="1763"/>
      <c r="I7" s="70"/>
      <c r="J7" s="24">
        <f t="shared" si="0"/>
        <v>0</v>
      </c>
      <c r="K7" s="70"/>
      <c r="L7" s="71"/>
      <c r="M7" s="93">
        <f t="shared" si="1"/>
        <v>0</v>
      </c>
      <c r="N7" s="71"/>
    </row>
    <row r="8" spans="1:14" s="192" customFormat="1" ht="20.25" customHeight="1">
      <c r="A8" s="880"/>
      <c r="B8" s="1009" t="s">
        <v>7623</v>
      </c>
      <c r="C8" s="1143" t="s">
        <v>7624</v>
      </c>
      <c r="D8" s="1616" t="s">
        <v>7625</v>
      </c>
      <c r="E8" s="1149" t="s">
        <v>7066</v>
      </c>
      <c r="F8" s="1007">
        <v>3</v>
      </c>
      <c r="G8" s="1011">
        <v>106.654</v>
      </c>
      <c r="H8" s="1763"/>
      <c r="I8" s="70"/>
      <c r="J8" s="24">
        <f t="shared" si="0"/>
        <v>0</v>
      </c>
      <c r="K8" s="70"/>
      <c r="L8" s="71"/>
      <c r="M8" s="93">
        <f t="shared" si="1"/>
        <v>0</v>
      </c>
      <c r="N8" s="71"/>
    </row>
    <row r="9" spans="1:14" s="192" customFormat="1" ht="20.25" customHeight="1">
      <c r="A9" s="880"/>
      <c r="B9" s="1009" t="s">
        <v>7626</v>
      </c>
      <c r="C9" s="1143" t="s">
        <v>7627</v>
      </c>
      <c r="D9" s="1616" t="s">
        <v>7628</v>
      </c>
      <c r="E9" s="1149" t="s">
        <v>7066</v>
      </c>
      <c r="F9" s="1007">
        <v>3</v>
      </c>
      <c r="G9" s="1011">
        <v>904.53300000000002</v>
      </c>
      <c r="H9" s="1763"/>
      <c r="I9" s="70"/>
      <c r="J9" s="24">
        <f t="shared" si="0"/>
        <v>0</v>
      </c>
      <c r="K9" s="70"/>
      <c r="L9" s="71"/>
      <c r="M9" s="93">
        <f t="shared" si="1"/>
        <v>0</v>
      </c>
      <c r="N9" s="71"/>
    </row>
    <row r="10" spans="1:14" s="192" customFormat="1" ht="20.25" customHeight="1">
      <c r="A10" s="880"/>
      <c r="B10" s="1009" t="s">
        <v>7629</v>
      </c>
      <c r="C10" s="1143" t="s">
        <v>7630</v>
      </c>
      <c r="D10" s="1616" t="s">
        <v>7631</v>
      </c>
      <c r="E10" s="1149" t="s">
        <v>7066</v>
      </c>
      <c r="F10" s="1007">
        <v>3</v>
      </c>
      <c r="G10" s="1011">
        <v>13.641999999999999</v>
      </c>
      <c r="H10" s="1763"/>
      <c r="I10" s="70"/>
      <c r="J10" s="24">
        <f t="shared" si="0"/>
        <v>0</v>
      </c>
      <c r="K10" s="70"/>
      <c r="L10" s="71"/>
      <c r="M10" s="93">
        <f t="shared" si="1"/>
        <v>0</v>
      </c>
      <c r="N10" s="71"/>
    </row>
    <row r="11" spans="1:14" s="192" customFormat="1" ht="20.25" customHeight="1">
      <c r="A11" s="880"/>
      <c r="B11" s="1009" t="s">
        <v>7632</v>
      </c>
      <c r="C11" s="1143" t="s">
        <v>7633</v>
      </c>
      <c r="D11" s="1616" t="s">
        <v>7634</v>
      </c>
      <c r="E11" s="1149" t="s">
        <v>3101</v>
      </c>
      <c r="F11" s="1007">
        <v>3</v>
      </c>
      <c r="G11" s="1011">
        <v>140.541</v>
      </c>
      <c r="H11" s="1763"/>
      <c r="I11" s="70"/>
      <c r="J11" s="24">
        <f t="shared" si="0"/>
        <v>0</v>
      </c>
      <c r="K11" s="70"/>
      <c r="L11" s="71"/>
      <c r="M11" s="93">
        <f t="shared" si="1"/>
        <v>0</v>
      </c>
      <c r="N11" s="71"/>
    </row>
    <row r="12" spans="1:14" s="192" customFormat="1" ht="20.25" customHeight="1">
      <c r="A12" s="880"/>
      <c r="B12" s="1009" t="s">
        <v>7635</v>
      </c>
      <c r="C12" s="1143" t="s">
        <v>7636</v>
      </c>
      <c r="D12" s="1616" t="s">
        <v>7637</v>
      </c>
      <c r="E12" s="1149" t="s">
        <v>3101</v>
      </c>
      <c r="F12" s="1007">
        <v>3</v>
      </c>
      <c r="G12" s="1011">
        <v>2196.866</v>
      </c>
      <c r="H12" s="1763"/>
      <c r="I12" s="70"/>
      <c r="J12" s="24">
        <f t="shared" si="0"/>
        <v>0</v>
      </c>
      <c r="K12" s="70"/>
      <c r="L12" s="71"/>
      <c r="M12" s="93">
        <f t="shared" si="1"/>
        <v>0</v>
      </c>
      <c r="N12" s="71"/>
    </row>
    <row r="13" spans="1:14" s="192" customFormat="1" ht="20.25" customHeight="1">
      <c r="A13" s="880"/>
      <c r="B13" s="1009" t="s">
        <v>7638</v>
      </c>
      <c r="C13" s="1143" t="s">
        <v>7639</v>
      </c>
      <c r="D13" s="1616" t="s">
        <v>7640</v>
      </c>
      <c r="E13" s="1149" t="s">
        <v>7066</v>
      </c>
      <c r="F13" s="1007">
        <v>3</v>
      </c>
      <c r="G13" s="1011">
        <f>+G12+G11</f>
        <v>2337.4070000000002</v>
      </c>
      <c r="H13" s="1763"/>
      <c r="I13" s="70"/>
      <c r="J13" s="24">
        <f t="shared" ref="J13" si="2" xml:space="preserve"> IF( SUM( L13:N13 ) = 0, 0, $M$4 )</f>
        <v>0</v>
      </c>
      <c r="K13" s="70"/>
      <c r="L13" s="71"/>
      <c r="M13" s="93">
        <f t="shared" ref="M13" si="3" xml:space="preserve"> IF( ISNUMBER( G13 ), 0, 1 )</f>
        <v>0</v>
      </c>
      <c r="N13" s="71"/>
    </row>
    <row r="14" spans="1:14" s="192" customFormat="1" ht="20.25" customHeight="1">
      <c r="A14" s="880"/>
      <c r="B14" s="1009" t="s">
        <v>7641</v>
      </c>
      <c r="C14" s="1143" t="s">
        <v>7642</v>
      </c>
      <c r="D14" s="1616" t="s">
        <v>7643</v>
      </c>
      <c r="E14" s="1149" t="s">
        <v>7066</v>
      </c>
      <c r="F14" s="1007">
        <v>3</v>
      </c>
      <c r="G14" s="1011">
        <v>11.49</v>
      </c>
      <c r="H14" s="1763"/>
      <c r="I14" s="70"/>
      <c r="J14" s="24">
        <f t="shared" ref="J14:J23" si="4" xml:space="preserve"> IF( SUM( L14:N14 ) = 0, 0, $M$4 )</f>
        <v>0</v>
      </c>
      <c r="K14" s="70"/>
      <c r="L14" s="71"/>
      <c r="M14" s="93">
        <f t="shared" ref="M14:M23" si="5" xml:space="preserve"> IF( ISNUMBER( G14 ), 0, 1 )</f>
        <v>0</v>
      </c>
      <c r="N14" s="71"/>
    </row>
    <row r="15" spans="1:14" s="192" customFormat="1" ht="20.25" customHeight="1">
      <c r="A15" s="880"/>
      <c r="B15" s="1009" t="s">
        <v>7644</v>
      </c>
      <c r="C15" s="1143" t="s">
        <v>7645</v>
      </c>
      <c r="D15" s="1616" t="s">
        <v>7646</v>
      </c>
      <c r="E15" s="1149" t="s">
        <v>3101</v>
      </c>
      <c r="F15" s="1007">
        <v>3</v>
      </c>
      <c r="G15" s="1011">
        <v>1.647</v>
      </c>
      <c r="H15" s="1763"/>
      <c r="I15" s="70"/>
      <c r="J15" s="24">
        <f t="shared" si="4"/>
        <v>0</v>
      </c>
      <c r="K15" s="70"/>
      <c r="L15" s="71"/>
      <c r="M15" s="93">
        <f t="shared" si="5"/>
        <v>0</v>
      </c>
      <c r="N15" s="71"/>
    </row>
    <row r="16" spans="1:14" s="192" customFormat="1" ht="20.25" customHeight="1">
      <c r="A16" s="880"/>
      <c r="B16" s="1009" t="s">
        <v>7647</v>
      </c>
      <c r="C16" s="1143" t="s">
        <v>7648</v>
      </c>
      <c r="D16" s="1616" t="s">
        <v>7649</v>
      </c>
      <c r="E16" s="1149" t="s">
        <v>7066</v>
      </c>
      <c r="F16" s="1007">
        <v>3</v>
      </c>
      <c r="G16" s="1011">
        <v>33.811999999999998</v>
      </c>
      <c r="H16" s="1763"/>
      <c r="I16" s="70"/>
      <c r="J16" s="24">
        <f t="shared" si="4"/>
        <v>0</v>
      </c>
      <c r="K16" s="70"/>
      <c r="L16" s="71"/>
      <c r="M16" s="93">
        <f t="shared" si="5"/>
        <v>0</v>
      </c>
      <c r="N16" s="71"/>
    </row>
    <row r="17" spans="1:14" s="192" customFormat="1" ht="20.25" customHeight="1">
      <c r="A17" s="880"/>
      <c r="B17" s="1009" t="s">
        <v>7650</v>
      </c>
      <c r="C17" s="1143" t="s">
        <v>7651</v>
      </c>
      <c r="D17" s="1616" t="s">
        <v>7652</v>
      </c>
      <c r="E17" s="1149" t="s">
        <v>7066</v>
      </c>
      <c r="F17" s="1007">
        <v>3</v>
      </c>
      <c r="G17" s="1011">
        <v>0</v>
      </c>
      <c r="H17" s="1763"/>
      <c r="I17" s="70"/>
      <c r="J17" s="24">
        <f t="shared" si="4"/>
        <v>0</v>
      </c>
      <c r="K17" s="70"/>
      <c r="L17" s="71"/>
      <c r="M17" s="93">
        <f t="shared" si="5"/>
        <v>0</v>
      </c>
      <c r="N17" s="71"/>
    </row>
    <row r="18" spans="1:14" s="192" customFormat="1" ht="20.25" customHeight="1">
      <c r="A18" s="880"/>
      <c r="B18" s="1009" t="s">
        <v>7653</v>
      </c>
      <c r="C18" s="1143" t="s">
        <v>7654</v>
      </c>
      <c r="D18" s="1616" t="s">
        <v>7655</v>
      </c>
      <c r="E18" s="1149" t="s">
        <v>7066</v>
      </c>
      <c r="F18" s="1007">
        <v>3</v>
      </c>
      <c r="G18" s="1011">
        <v>1.036</v>
      </c>
      <c r="H18" s="1763"/>
      <c r="I18" s="70"/>
      <c r="J18" s="24">
        <f t="shared" si="4"/>
        <v>0</v>
      </c>
      <c r="K18" s="70"/>
      <c r="L18" s="71"/>
      <c r="M18" s="93">
        <f t="shared" si="5"/>
        <v>0</v>
      </c>
      <c r="N18" s="71"/>
    </row>
    <row r="19" spans="1:14" s="192" customFormat="1" ht="20.25" customHeight="1">
      <c r="A19" s="880"/>
      <c r="B19" s="1009" t="s">
        <v>7656</v>
      </c>
      <c r="C19" s="1143" t="s">
        <v>7657</v>
      </c>
      <c r="D19" s="1616" t="s">
        <v>7658</v>
      </c>
      <c r="E19" s="1149" t="s">
        <v>7066</v>
      </c>
      <c r="F19" s="1007">
        <v>3</v>
      </c>
      <c r="G19" s="1011">
        <v>14.611000000000001</v>
      </c>
      <c r="H19" s="1763"/>
      <c r="I19" s="70"/>
      <c r="J19" s="24">
        <f t="shared" si="4"/>
        <v>0</v>
      </c>
      <c r="K19" s="70"/>
      <c r="L19" s="71"/>
      <c r="M19" s="93">
        <f t="shared" si="5"/>
        <v>0</v>
      </c>
      <c r="N19" s="71"/>
    </row>
    <row r="20" spans="1:14" s="192" customFormat="1" ht="20.25" customHeight="1">
      <c r="A20" s="880"/>
      <c r="B20" s="1009" t="s">
        <v>7659</v>
      </c>
      <c r="C20" s="1143" t="s">
        <v>7660</v>
      </c>
      <c r="D20" s="1616" t="s">
        <v>7661</v>
      </c>
      <c r="E20" s="1149" t="s">
        <v>7066</v>
      </c>
      <c r="F20" s="1007">
        <v>3</v>
      </c>
      <c r="G20" s="1011">
        <v>5071.134</v>
      </c>
      <c r="H20" s="1763"/>
      <c r="I20" s="70"/>
      <c r="J20" s="24">
        <f t="shared" si="4"/>
        <v>0</v>
      </c>
      <c r="K20" s="70"/>
      <c r="L20" s="71"/>
      <c r="M20" s="93">
        <f t="shared" si="5"/>
        <v>0</v>
      </c>
      <c r="N20" s="71"/>
    </row>
    <row r="21" spans="1:14" s="192" customFormat="1" ht="20.25" customHeight="1">
      <c r="A21" s="880"/>
      <c r="B21" s="1009" t="s">
        <v>7662</v>
      </c>
      <c r="C21" s="1143" t="s">
        <v>7663</v>
      </c>
      <c r="D21" s="1616" t="s">
        <v>7664</v>
      </c>
      <c r="E21" s="1149" t="s">
        <v>7066</v>
      </c>
      <c r="F21" s="1007">
        <v>3</v>
      </c>
      <c r="G21" s="1011">
        <v>104.61799999999999</v>
      </c>
      <c r="H21" s="1763"/>
      <c r="I21" s="70"/>
      <c r="J21" s="24">
        <f t="shared" si="4"/>
        <v>0</v>
      </c>
      <c r="K21" s="70"/>
      <c r="L21" s="71"/>
      <c r="M21" s="93">
        <f t="shared" si="5"/>
        <v>0</v>
      </c>
      <c r="N21" s="71"/>
    </row>
    <row r="22" spans="1:14" s="192" customFormat="1" ht="20.25" customHeight="1">
      <c r="A22" s="880"/>
      <c r="B22" s="1009" t="s">
        <v>7665</v>
      </c>
      <c r="C22" s="1143" t="s">
        <v>7666</v>
      </c>
      <c r="D22" s="1616" t="s">
        <v>7667</v>
      </c>
      <c r="E22" s="1149" t="s">
        <v>7066</v>
      </c>
      <c r="F22" s="1007">
        <v>3</v>
      </c>
      <c r="G22" s="1011">
        <v>1194.385</v>
      </c>
      <c r="H22" s="1763"/>
      <c r="I22" s="70"/>
      <c r="J22" s="24">
        <f t="shared" si="4"/>
        <v>0</v>
      </c>
      <c r="K22" s="70"/>
      <c r="L22" s="71"/>
      <c r="M22" s="93">
        <f t="shared" si="5"/>
        <v>0</v>
      </c>
      <c r="N22" s="71"/>
    </row>
    <row r="23" spans="1:14" s="192" customFormat="1" ht="20.25" customHeight="1" thickBot="1">
      <c r="A23" s="880"/>
      <c r="B23" s="1014" t="s">
        <v>7668</v>
      </c>
      <c r="C23" s="1145" t="s">
        <v>7669</v>
      </c>
      <c r="D23" s="1617" t="s">
        <v>7670</v>
      </c>
      <c r="E23" s="1153" t="s">
        <v>7671</v>
      </c>
      <c r="F23" s="1017">
        <v>0</v>
      </c>
      <c r="G23" s="1160">
        <v>14294</v>
      </c>
      <c r="H23" s="1764"/>
      <c r="I23" s="70"/>
      <c r="J23" s="24">
        <f t="shared" si="4"/>
        <v>0</v>
      </c>
      <c r="K23" s="70"/>
      <c r="L23" s="71"/>
      <c r="M23" s="93">
        <f t="shared" si="5"/>
        <v>0</v>
      </c>
      <c r="N23" s="71"/>
    </row>
    <row r="24" spans="1:14" s="192" customFormat="1" ht="15" thickBot="1">
      <c r="A24" s="880"/>
      <c r="B24" s="1024"/>
      <c r="C24" s="1025"/>
      <c r="D24" s="1618"/>
      <c r="E24" s="1026"/>
      <c r="F24" s="1027"/>
      <c r="G24" s="1180"/>
      <c r="H24" s="1912"/>
      <c r="I24" s="70"/>
      <c r="J24" s="126"/>
      <c r="K24" s="70"/>
      <c r="L24" s="71"/>
      <c r="M24" s="70"/>
      <c r="N24" s="71"/>
    </row>
    <row r="25" spans="1:14" s="192" customFormat="1" ht="15" thickBot="1">
      <c r="A25" s="880"/>
      <c r="B25" s="3034" t="s">
        <v>177</v>
      </c>
      <c r="C25" s="1060" t="s">
        <v>31</v>
      </c>
      <c r="D25" s="1618"/>
      <c r="E25" s="1026"/>
      <c r="F25" s="1027"/>
      <c r="G25" s="1180"/>
      <c r="H25" s="1912"/>
      <c r="I25" s="70"/>
      <c r="J25" s="126"/>
      <c r="K25" s="70"/>
      <c r="L25" s="71"/>
      <c r="M25" s="70"/>
      <c r="N25" s="71"/>
    </row>
    <row r="26" spans="1:14" s="192" customFormat="1" ht="20.25" customHeight="1">
      <c r="A26" s="880"/>
      <c r="B26" s="1000" t="s">
        <v>7672</v>
      </c>
      <c r="C26" s="1140" t="s">
        <v>7673</v>
      </c>
      <c r="D26" s="1615" t="s">
        <v>7674</v>
      </c>
      <c r="E26" s="1147" t="s">
        <v>766</v>
      </c>
      <c r="F26" s="1003">
        <v>0</v>
      </c>
      <c r="G26" s="1156">
        <v>499</v>
      </c>
      <c r="H26" s="1761"/>
      <c r="I26" s="70"/>
      <c r="J26" s="24">
        <f t="shared" ref="J26:J37" si="6" xml:space="preserve"> IF( SUM( L26:N26 ) = 0, 0, $M$4 )</f>
        <v>0</v>
      </c>
      <c r="K26" s="70"/>
      <c r="L26" s="71"/>
      <c r="M26" s="93">
        <f t="shared" ref="M26:M37" si="7" xml:space="preserve"> IF( ISNUMBER( G26 ), 0, 1 )</f>
        <v>0</v>
      </c>
      <c r="N26" s="71"/>
    </row>
    <row r="27" spans="1:14" s="192" customFormat="1" ht="26.45" customHeight="1">
      <c r="A27" s="880"/>
      <c r="B27" s="1009" t="s">
        <v>7675</v>
      </c>
      <c r="C27" s="1143" t="s">
        <v>7676</v>
      </c>
      <c r="D27" s="1616" t="s">
        <v>7677</v>
      </c>
      <c r="E27" s="1149" t="s">
        <v>2933</v>
      </c>
      <c r="F27" s="1007">
        <v>2</v>
      </c>
      <c r="G27" s="1152">
        <v>0</v>
      </c>
      <c r="H27" s="1763"/>
      <c r="I27" s="70"/>
      <c r="J27" s="24">
        <f t="shared" si="6"/>
        <v>0</v>
      </c>
      <c r="K27" s="70"/>
      <c r="L27" s="71"/>
      <c r="M27" s="93">
        <f t="shared" si="7"/>
        <v>0</v>
      </c>
      <c r="N27" s="71"/>
    </row>
    <row r="28" spans="1:14" s="192" customFormat="1" ht="26.45" customHeight="1">
      <c r="A28" s="880"/>
      <c r="B28" s="1009" t="s">
        <v>7678</v>
      </c>
      <c r="C28" s="1143" t="s">
        <v>7679</v>
      </c>
      <c r="D28" s="1616" t="s">
        <v>7680</v>
      </c>
      <c r="E28" s="1149" t="s">
        <v>2933</v>
      </c>
      <c r="F28" s="1007">
        <v>2</v>
      </c>
      <c r="G28" s="1152">
        <v>0</v>
      </c>
      <c r="H28" s="1763"/>
      <c r="I28" s="70"/>
      <c r="J28" s="24">
        <f t="shared" si="6"/>
        <v>0</v>
      </c>
      <c r="K28" s="70"/>
      <c r="L28" s="71"/>
      <c r="M28" s="93">
        <f t="shared" si="7"/>
        <v>0</v>
      </c>
      <c r="N28" s="71"/>
    </row>
    <row r="29" spans="1:14" s="192" customFormat="1" ht="26.45" customHeight="1">
      <c r="A29" s="880"/>
      <c r="B29" s="1009" t="s">
        <v>7681</v>
      </c>
      <c r="C29" s="1143" t="s">
        <v>7682</v>
      </c>
      <c r="D29" s="1616" t="s">
        <v>7683</v>
      </c>
      <c r="E29" s="1149" t="s">
        <v>2933</v>
      </c>
      <c r="F29" s="1007">
        <v>2</v>
      </c>
      <c r="G29" s="1152">
        <v>19.360000000000014</v>
      </c>
      <c r="H29" s="1763"/>
      <c r="I29" s="70"/>
      <c r="J29" s="24">
        <f t="shared" si="6"/>
        <v>0</v>
      </c>
      <c r="K29" s="70"/>
      <c r="L29" s="71"/>
      <c r="M29" s="93">
        <f t="shared" si="7"/>
        <v>0</v>
      </c>
      <c r="N29" s="71"/>
    </row>
    <row r="30" spans="1:14" s="192" customFormat="1" ht="26.45" customHeight="1">
      <c r="A30" s="880"/>
      <c r="B30" s="1009" t="s">
        <v>7684</v>
      </c>
      <c r="C30" s="1143" t="s">
        <v>7685</v>
      </c>
      <c r="D30" s="1616" t="s">
        <v>7686</v>
      </c>
      <c r="E30" s="1149" t="s">
        <v>2933</v>
      </c>
      <c r="F30" s="1007">
        <v>2</v>
      </c>
      <c r="G30" s="1152">
        <v>19.360000000000014</v>
      </c>
      <c r="H30" s="1763"/>
      <c r="I30" s="70"/>
      <c r="J30" s="24">
        <f t="shared" si="6"/>
        <v>0</v>
      </c>
      <c r="K30" s="70"/>
      <c r="L30" s="71"/>
      <c r="M30" s="93">
        <f t="shared" si="7"/>
        <v>0</v>
      </c>
      <c r="N30" s="71"/>
    </row>
    <row r="31" spans="1:14" s="192" customFormat="1" ht="20.25" customHeight="1">
      <c r="A31" s="880"/>
      <c r="B31" s="1009" t="s">
        <v>7687</v>
      </c>
      <c r="C31" s="1143" t="s">
        <v>7688</v>
      </c>
      <c r="D31" s="1616" t="s">
        <v>7689</v>
      </c>
      <c r="E31" s="1149" t="s">
        <v>7690</v>
      </c>
      <c r="F31" s="1007">
        <v>0</v>
      </c>
      <c r="G31" s="1151">
        <v>270105</v>
      </c>
      <c r="H31" s="1763"/>
      <c r="I31" s="70"/>
      <c r="J31" s="24">
        <f t="shared" si="6"/>
        <v>0</v>
      </c>
      <c r="K31" s="70"/>
      <c r="L31" s="71"/>
      <c r="M31" s="93">
        <f t="shared" si="7"/>
        <v>0</v>
      </c>
      <c r="N31" s="71"/>
    </row>
    <row r="32" spans="1:14" s="192" customFormat="1" ht="20.25" customHeight="1">
      <c r="A32" s="880"/>
      <c r="B32" s="1009" t="s">
        <v>7691</v>
      </c>
      <c r="C32" s="1143" t="s">
        <v>7692</v>
      </c>
      <c r="D32" s="1616" t="s">
        <v>7693</v>
      </c>
      <c r="E32" s="1149" t="s">
        <v>7690</v>
      </c>
      <c r="F32" s="1007">
        <v>0</v>
      </c>
      <c r="G32" s="1151">
        <v>41946</v>
      </c>
      <c r="H32" s="1763"/>
      <c r="I32" s="70"/>
      <c r="J32" s="24">
        <f t="shared" si="6"/>
        <v>0</v>
      </c>
      <c r="K32" s="70"/>
      <c r="L32" s="71"/>
      <c r="M32" s="93">
        <f t="shared" si="7"/>
        <v>0</v>
      </c>
      <c r="N32" s="71"/>
    </row>
    <row r="33" spans="1:15" s="192" customFormat="1" ht="20.25" customHeight="1">
      <c r="A33" s="880"/>
      <c r="B33" s="1009" t="s">
        <v>7694</v>
      </c>
      <c r="C33" s="1143" t="s">
        <v>7695</v>
      </c>
      <c r="D33" s="1616" t="s">
        <v>7696</v>
      </c>
      <c r="E33" s="1149" t="s">
        <v>7690</v>
      </c>
      <c r="F33" s="1007">
        <v>0</v>
      </c>
      <c r="G33" s="1904">
        <f>+G31+G32</f>
        <v>312051</v>
      </c>
      <c r="H33" s="1763"/>
      <c r="I33" s="70"/>
      <c r="J33" s="24">
        <f t="shared" si="6"/>
        <v>0</v>
      </c>
      <c r="K33" s="70"/>
      <c r="L33" s="71"/>
      <c r="M33" s="203"/>
      <c r="N33" s="71"/>
    </row>
    <row r="34" spans="1:15" s="192" customFormat="1" ht="20.25" customHeight="1">
      <c r="A34" s="880"/>
      <c r="B34" s="1009" t="s">
        <v>7697</v>
      </c>
      <c r="C34" s="1143" t="s">
        <v>7698</v>
      </c>
      <c r="D34" s="1616" t="s">
        <v>7699</v>
      </c>
      <c r="E34" s="1149" t="s">
        <v>734</v>
      </c>
      <c r="F34" s="1007">
        <v>2</v>
      </c>
      <c r="G34" s="1181">
        <v>0.99950000000000006</v>
      </c>
      <c r="H34" s="1763"/>
      <c r="I34" s="70"/>
      <c r="J34" s="24">
        <f t="shared" si="6"/>
        <v>0</v>
      </c>
      <c r="K34" s="70"/>
      <c r="L34" s="71"/>
      <c r="M34" s="93">
        <f t="shared" si="7"/>
        <v>0</v>
      </c>
      <c r="N34" s="71"/>
    </row>
    <row r="35" spans="1:15" s="192" customFormat="1" ht="20.25" customHeight="1">
      <c r="A35" s="880"/>
      <c r="B35" s="1009" t="s">
        <v>7700</v>
      </c>
      <c r="C35" s="2422" t="s">
        <v>7701</v>
      </c>
      <c r="D35" s="2426" t="s">
        <v>7702</v>
      </c>
      <c r="E35" s="2427" t="s">
        <v>766</v>
      </c>
      <c r="F35" s="1137">
        <v>1</v>
      </c>
      <c r="G35" s="2428">
        <v>4.7</v>
      </c>
      <c r="H35" s="2040" t="s">
        <v>7703</v>
      </c>
      <c r="I35" s="70"/>
      <c r="J35" s="24">
        <f t="shared" ref="J35:J36" si="8" xml:space="preserve"> IF( SUM( L35:N35 ) = 0, 0, $M$4 )</f>
        <v>0</v>
      </c>
      <c r="K35" s="70"/>
      <c r="L35" s="71"/>
      <c r="M35" s="93">
        <f t="shared" ref="M35:M36" si="9" xml:space="preserve"> IF( ISNUMBER( G35 ), 0, 1 )</f>
        <v>0</v>
      </c>
      <c r="N35" s="71"/>
    </row>
    <row r="36" spans="1:15" s="192" customFormat="1" ht="20.25" customHeight="1">
      <c r="A36" s="880"/>
      <c r="B36" s="1009" t="s">
        <v>7700</v>
      </c>
      <c r="C36" s="2422" t="s">
        <v>7704</v>
      </c>
      <c r="D36" s="2426" t="s">
        <v>7705</v>
      </c>
      <c r="E36" s="2427" t="s">
        <v>766</v>
      </c>
      <c r="F36" s="1137">
        <v>1</v>
      </c>
      <c r="G36" s="2428">
        <v>1.5</v>
      </c>
      <c r="H36" s="2040" t="s">
        <v>7703</v>
      </c>
      <c r="I36" s="70"/>
      <c r="J36" s="24">
        <f t="shared" si="8"/>
        <v>0</v>
      </c>
      <c r="K36" s="70"/>
      <c r="L36" s="71"/>
      <c r="M36" s="93">
        <f t="shared" si="9"/>
        <v>0</v>
      </c>
      <c r="N36" s="71"/>
    </row>
    <row r="37" spans="1:15" s="192" customFormat="1" ht="20.25" customHeight="1" thickBot="1">
      <c r="A37" s="880"/>
      <c r="B37" s="1014" t="s">
        <v>7706</v>
      </c>
      <c r="C37" s="1145" t="s">
        <v>7707</v>
      </c>
      <c r="D37" s="1617" t="s">
        <v>7708</v>
      </c>
      <c r="E37" s="1153" t="s">
        <v>2933</v>
      </c>
      <c r="F37" s="1017">
        <v>3</v>
      </c>
      <c r="G37" s="1018">
        <v>-16.350000000000001</v>
      </c>
      <c r="H37" s="1764"/>
      <c r="I37" s="70"/>
      <c r="J37" s="24">
        <f t="shared" si="6"/>
        <v>0</v>
      </c>
      <c r="K37" s="70"/>
      <c r="L37" s="71"/>
      <c r="M37" s="93">
        <f t="shared" si="7"/>
        <v>0</v>
      </c>
      <c r="N37" s="71"/>
    </row>
    <row r="38" spans="1:15" s="110" customFormat="1">
      <c r="A38" s="1030"/>
      <c r="B38" s="2004"/>
      <c r="C38" s="2004"/>
      <c r="D38" s="1025"/>
      <c r="E38" s="1026"/>
      <c r="F38" s="1027"/>
      <c r="G38" s="1027"/>
      <c r="H38" s="1912"/>
      <c r="I38" s="1033"/>
      <c r="J38" s="126"/>
      <c r="K38" s="1033"/>
      <c r="L38" s="1674"/>
      <c r="M38" s="70"/>
      <c r="N38" s="1674"/>
      <c r="O38" s="1033"/>
    </row>
    <row r="39" spans="1:15" s="110" customFormat="1">
      <c r="A39" s="1030"/>
      <c r="B39" s="3314" t="s">
        <v>243</v>
      </c>
      <c r="C39" s="3314"/>
      <c r="D39" s="1025"/>
      <c r="E39" s="1026"/>
      <c r="F39" s="1027"/>
      <c r="G39" s="1027"/>
      <c r="H39" s="1912"/>
      <c r="I39" s="1033"/>
      <c r="J39" s="126"/>
      <c r="K39" s="1033"/>
      <c r="L39" s="1674"/>
      <c r="M39" s="70"/>
      <c r="N39" s="1674"/>
      <c r="O39" s="1033"/>
    </row>
    <row r="40" spans="1:15" s="110" customFormat="1">
      <c r="A40" s="1030"/>
      <c r="B40" s="3027"/>
      <c r="C40" s="3027"/>
      <c r="D40" s="1025"/>
      <c r="E40" s="1026"/>
      <c r="F40" s="1027"/>
      <c r="G40" s="1027"/>
      <c r="H40" s="1912"/>
      <c r="I40" s="1033"/>
      <c r="J40" s="126"/>
      <c r="K40" s="1033"/>
      <c r="L40" s="1674"/>
      <c r="M40" s="70"/>
      <c r="N40" s="1674"/>
      <c r="O40" s="1033"/>
    </row>
    <row r="41" spans="1:15" s="110" customFormat="1">
      <c r="A41" s="163"/>
      <c r="B41" s="958"/>
      <c r="C41" s="959" t="s">
        <v>190</v>
      </c>
      <c r="D41" s="959"/>
      <c r="E41" s="163"/>
      <c r="F41" s="163"/>
      <c r="G41" s="163"/>
      <c r="H41" s="163"/>
      <c r="I41" s="126"/>
      <c r="J41" s="126"/>
      <c r="K41" s="126"/>
      <c r="L41" s="119"/>
      <c r="M41" s="203"/>
      <c r="N41" s="1675"/>
      <c r="O41" s="163"/>
    </row>
    <row r="42" spans="1:15" s="110" customFormat="1">
      <c r="A42" s="163"/>
      <c r="B42" s="956"/>
      <c r="C42" s="957"/>
      <c r="D42" s="957"/>
      <c r="E42" s="163"/>
      <c r="F42" s="163"/>
      <c r="G42" s="163"/>
      <c r="H42" s="163"/>
      <c r="I42" s="126"/>
      <c r="J42" s="126"/>
      <c r="K42" s="126"/>
      <c r="L42" s="119"/>
      <c r="M42" s="203"/>
      <c r="N42" s="1675"/>
      <c r="O42" s="163"/>
    </row>
    <row r="43" spans="1:15" s="110" customFormat="1">
      <c r="A43" s="163"/>
      <c r="B43" s="960"/>
      <c r="C43" s="959" t="s">
        <v>191</v>
      </c>
      <c r="D43" s="959"/>
      <c r="E43" s="163"/>
      <c r="F43" s="163"/>
      <c r="G43" s="163"/>
      <c r="H43" s="163"/>
      <c r="I43" s="126"/>
      <c r="J43" s="126"/>
      <c r="K43" s="126"/>
      <c r="L43" s="119"/>
      <c r="M43" s="203"/>
      <c r="N43" s="1675"/>
      <c r="O43" s="163"/>
    </row>
    <row r="44" spans="1:15" s="110" customFormat="1" ht="14.25" customHeight="1">
      <c r="C44" s="152"/>
      <c r="D44" s="152"/>
      <c r="I44" s="126"/>
      <c r="J44" s="126"/>
      <c r="K44" s="126"/>
      <c r="L44" s="119"/>
      <c r="M44" s="203"/>
      <c r="N44" s="1676"/>
    </row>
    <row r="45" spans="1:15" s="110" customFormat="1" ht="14.25" customHeight="1" thickBot="1">
      <c r="C45" s="152"/>
      <c r="D45" s="152"/>
      <c r="I45" s="126"/>
      <c r="J45" s="126"/>
      <c r="K45" s="126"/>
      <c r="L45" s="119"/>
      <c r="M45" s="203"/>
      <c r="N45" s="1676"/>
    </row>
    <row r="46" spans="1:15" s="110" customFormat="1" ht="14.25" customHeight="1" thickBot="1">
      <c r="B46" s="3053" t="str">
        <f>'4P'!B132:J132</f>
        <v>Please refer to RAG 4.08 - Guideline for the table definitions in the annual performance report for the reporting year 2019-20</v>
      </c>
      <c r="C46" s="961"/>
      <c r="D46" s="961"/>
      <c r="E46" s="962"/>
      <c r="F46" s="962"/>
      <c r="G46" s="962"/>
      <c r="H46" s="962"/>
      <c r="I46" s="962"/>
      <c r="J46" s="963"/>
      <c r="K46" s="126"/>
      <c r="L46" s="119"/>
      <c r="M46" s="203"/>
      <c r="N46" s="1676"/>
    </row>
    <row r="47" spans="1:15" s="110" customFormat="1" ht="14.25" customHeight="1" thickBot="1">
      <c r="C47" s="152"/>
      <c r="D47" s="152"/>
      <c r="I47" s="126"/>
      <c r="J47" s="126"/>
      <c r="K47" s="126"/>
      <c r="L47" s="119"/>
      <c r="M47" s="203"/>
      <c r="N47" s="1676"/>
    </row>
    <row r="48" spans="1:15" s="110" customFormat="1" ht="14.25" hidden="1" customHeight="1" thickBot="1">
      <c r="A48" s="1560"/>
      <c r="B48" s="34" t="str">
        <f ca="1" xml:space="preserve"> RIGHT(CELL("filename", $A$1), LEN(CELL("filename", $A$1)) - SEARCH("]", CELL("filename", $A$1)))&amp;" - Line definitions"</f>
        <v>4Q - Line definitions</v>
      </c>
      <c r="C48" s="961"/>
      <c r="D48" s="961"/>
      <c r="E48" s="962"/>
      <c r="F48" s="962"/>
      <c r="G48" s="962"/>
      <c r="H48" s="962"/>
      <c r="I48" s="962"/>
      <c r="J48" s="963"/>
      <c r="K48" s="126"/>
      <c r="L48" s="119"/>
      <c r="M48" s="302"/>
      <c r="N48" s="1676"/>
    </row>
    <row r="49" spans="1:15" s="110" customFormat="1" ht="15" hidden="1" thickBot="1">
      <c r="A49" s="1560"/>
      <c r="B49" s="880"/>
      <c r="C49" s="1034"/>
      <c r="D49" s="1034"/>
      <c r="E49" s="880"/>
      <c r="F49" s="880"/>
      <c r="G49" s="880"/>
      <c r="I49" s="880"/>
      <c r="K49" s="126"/>
      <c r="L49" s="119"/>
      <c r="M49" s="302"/>
      <c r="N49" s="1676"/>
    </row>
    <row r="50" spans="1:15" s="110" customFormat="1" ht="15" hidden="1" thickBot="1">
      <c r="A50" s="1560"/>
      <c r="B50" s="3034" t="s">
        <v>155</v>
      </c>
      <c r="C50" s="3556" t="s">
        <v>7616</v>
      </c>
      <c r="D50" s="3516"/>
      <c r="E50" s="3516"/>
      <c r="F50" s="3516"/>
      <c r="G50" s="3516"/>
      <c r="H50" s="3516"/>
      <c r="I50" s="3516"/>
      <c r="J50" s="3517"/>
      <c r="K50" s="126"/>
      <c r="L50" s="119"/>
      <c r="M50" s="302"/>
      <c r="N50" s="1676"/>
    </row>
    <row r="51" spans="1:15" s="110" customFormat="1" ht="25.5" hidden="1" customHeight="1" thickBot="1">
      <c r="A51" s="1561"/>
      <c r="B51" s="1175" t="s">
        <v>193</v>
      </c>
      <c r="C51" s="3557" t="s">
        <v>194</v>
      </c>
      <c r="D51" s="3558"/>
      <c r="E51" s="3558"/>
      <c r="F51" s="3558"/>
      <c r="G51" s="3558"/>
      <c r="H51" s="3558"/>
      <c r="I51" s="3558"/>
      <c r="J51" s="3559"/>
      <c r="K51" s="118"/>
      <c r="L51" s="124"/>
      <c r="M51" s="85" t="s">
        <v>195</v>
      </c>
      <c r="N51" s="1677"/>
      <c r="O51" s="178"/>
    </row>
    <row r="52" spans="1:15" s="110" customFormat="1" ht="25.5" hidden="1" customHeight="1">
      <c r="A52" s="1560"/>
      <c r="B52" s="1006">
        <v>1</v>
      </c>
      <c r="C52" s="3560" t="s">
        <v>7709</v>
      </c>
      <c r="D52" s="3561"/>
      <c r="E52" s="3561"/>
      <c r="F52" s="3561"/>
      <c r="G52" s="3561"/>
      <c r="H52" s="3561"/>
      <c r="I52" s="3561"/>
      <c r="J52" s="3562"/>
      <c r="K52" s="118"/>
      <c r="L52" s="124"/>
      <c r="M52" s="202" t="s">
        <v>197</v>
      </c>
      <c r="N52" s="1676"/>
    </row>
    <row r="53" spans="1:15" s="110" customFormat="1" ht="25.5" hidden="1" customHeight="1">
      <c r="A53" s="1560"/>
      <c r="B53" s="1009">
        <f>+B52+1</f>
        <v>2</v>
      </c>
      <c r="C53" s="3547" t="s">
        <v>7710</v>
      </c>
      <c r="D53" s="3548"/>
      <c r="E53" s="3548"/>
      <c r="F53" s="3548"/>
      <c r="G53" s="3548"/>
      <c r="H53" s="3548"/>
      <c r="I53" s="3548"/>
      <c r="J53" s="3549"/>
      <c r="K53" s="118"/>
      <c r="L53" s="124"/>
      <c r="M53" s="202" t="s">
        <v>197</v>
      </c>
      <c r="N53" s="1676"/>
    </row>
    <row r="54" spans="1:15" s="110" customFormat="1" ht="38.25" hidden="1" customHeight="1">
      <c r="A54" s="1560"/>
      <c r="B54" s="1009">
        <f t="shared" ref="B54:B69" si="10">+B53+1</f>
        <v>3</v>
      </c>
      <c r="C54" s="3547" t="s">
        <v>7711</v>
      </c>
      <c r="D54" s="3548"/>
      <c r="E54" s="3548"/>
      <c r="F54" s="3548"/>
      <c r="G54" s="3548"/>
      <c r="H54" s="3548"/>
      <c r="I54" s="3548"/>
      <c r="J54" s="3549"/>
      <c r="K54" s="118"/>
      <c r="L54" s="124"/>
      <c r="M54" s="202">
        <v>1</v>
      </c>
      <c r="N54" s="1676"/>
    </row>
    <row r="55" spans="1:15" ht="14.25" hidden="1" customHeight="1">
      <c r="A55" s="1560"/>
      <c r="B55" s="1009">
        <f t="shared" si="10"/>
        <v>4</v>
      </c>
      <c r="C55" s="3547" t="s">
        <v>7712</v>
      </c>
      <c r="D55" s="3548"/>
      <c r="E55" s="3548"/>
      <c r="F55" s="3548"/>
      <c r="G55" s="3548"/>
      <c r="H55" s="3548"/>
      <c r="I55" s="3548"/>
      <c r="J55" s="3549"/>
      <c r="K55" s="118"/>
      <c r="L55" s="124"/>
      <c r="M55" s="202" t="s">
        <v>197</v>
      </c>
      <c r="N55" s="1676"/>
      <c r="O55" s="110"/>
    </row>
    <row r="56" spans="1:15" ht="22.7" hidden="1" customHeight="1">
      <c r="A56" s="1560"/>
      <c r="B56" s="1009">
        <f t="shared" si="10"/>
        <v>5</v>
      </c>
      <c r="C56" s="3547" t="s">
        <v>7713</v>
      </c>
      <c r="D56" s="3548"/>
      <c r="E56" s="3548"/>
      <c r="F56" s="3548"/>
      <c r="G56" s="3548"/>
      <c r="H56" s="3548"/>
      <c r="I56" s="3548"/>
      <c r="J56" s="3549"/>
      <c r="K56" s="118"/>
      <c r="L56" s="124"/>
      <c r="M56" s="202" t="s">
        <v>197</v>
      </c>
      <c r="N56" s="1676"/>
      <c r="O56" s="110"/>
    </row>
    <row r="57" spans="1:15" ht="45" hidden="1" customHeight="1">
      <c r="A57" s="1560"/>
      <c r="B57" s="1009">
        <f t="shared" si="10"/>
        <v>6</v>
      </c>
      <c r="C57" s="3547" t="s">
        <v>7714</v>
      </c>
      <c r="D57" s="3548"/>
      <c r="E57" s="3548"/>
      <c r="F57" s="3548"/>
      <c r="G57" s="3548"/>
      <c r="H57" s="3548"/>
      <c r="I57" s="3548"/>
      <c r="J57" s="3549"/>
      <c r="K57" s="118"/>
      <c r="L57" s="124"/>
      <c r="M57" s="202" t="s">
        <v>780</v>
      </c>
      <c r="N57" s="1676"/>
      <c r="O57" s="110"/>
    </row>
    <row r="58" spans="1:15" ht="48.2" hidden="1" customHeight="1">
      <c r="A58" s="1560"/>
      <c r="B58" s="1009">
        <f t="shared" si="10"/>
        <v>7</v>
      </c>
      <c r="C58" s="3547" t="s">
        <v>7715</v>
      </c>
      <c r="D58" s="3548"/>
      <c r="E58" s="3548"/>
      <c r="F58" s="3548"/>
      <c r="G58" s="3548"/>
      <c r="H58" s="3548"/>
      <c r="I58" s="3548"/>
      <c r="J58" s="3549"/>
      <c r="K58" s="118"/>
      <c r="L58" s="124"/>
      <c r="M58" s="202" t="s">
        <v>780</v>
      </c>
      <c r="N58" s="1676"/>
      <c r="O58" s="110"/>
    </row>
    <row r="59" spans="1:15" ht="36" hidden="1" customHeight="1">
      <c r="A59" s="1560"/>
      <c r="B59" s="1009">
        <f t="shared" si="10"/>
        <v>8</v>
      </c>
      <c r="C59" s="3563" t="s">
        <v>7716</v>
      </c>
      <c r="D59" s="3564"/>
      <c r="E59" s="3564"/>
      <c r="F59" s="3564"/>
      <c r="G59" s="3564"/>
      <c r="H59" s="3564"/>
      <c r="I59" s="3564"/>
      <c r="J59" s="3565"/>
      <c r="K59" s="118"/>
      <c r="L59" s="124"/>
      <c r="M59" s="202" t="s">
        <v>780</v>
      </c>
      <c r="N59" s="1676"/>
      <c r="O59" s="110"/>
    </row>
    <row r="60" spans="1:15" hidden="1">
      <c r="A60" s="1560"/>
      <c r="B60" s="1009">
        <f t="shared" si="10"/>
        <v>9</v>
      </c>
      <c r="C60" s="3547" t="s">
        <v>7717</v>
      </c>
      <c r="D60" s="3548"/>
      <c r="E60" s="3548"/>
      <c r="F60" s="3548"/>
      <c r="G60" s="3548"/>
      <c r="H60" s="3548"/>
      <c r="I60" s="3548"/>
      <c r="J60" s="3549"/>
      <c r="K60" s="118"/>
      <c r="L60" s="124"/>
      <c r="M60" s="202">
        <v>1</v>
      </c>
      <c r="N60" s="1676"/>
      <c r="O60" s="110"/>
    </row>
    <row r="61" spans="1:15" hidden="1">
      <c r="A61" s="1560"/>
      <c r="B61" s="1009">
        <f t="shared" si="10"/>
        <v>10</v>
      </c>
      <c r="C61" s="3547" t="s">
        <v>7718</v>
      </c>
      <c r="D61" s="3548"/>
      <c r="E61" s="3548"/>
      <c r="F61" s="3548"/>
      <c r="G61" s="3548"/>
      <c r="H61" s="3548"/>
      <c r="I61" s="3548"/>
      <c r="J61" s="3549"/>
      <c r="K61" s="118"/>
      <c r="L61" s="124"/>
      <c r="M61" s="202">
        <v>1</v>
      </c>
      <c r="N61" s="1676"/>
      <c r="O61" s="110"/>
    </row>
    <row r="62" spans="1:15" ht="51" hidden="1" customHeight="1">
      <c r="A62" s="1560"/>
      <c r="B62" s="1009">
        <f t="shared" si="10"/>
        <v>11</v>
      </c>
      <c r="C62" s="3547" t="s">
        <v>7719</v>
      </c>
      <c r="D62" s="3548"/>
      <c r="E62" s="3548"/>
      <c r="F62" s="3548"/>
      <c r="G62" s="3548"/>
      <c r="H62" s="3548"/>
      <c r="I62" s="3548"/>
      <c r="J62" s="3549"/>
      <c r="K62" s="118"/>
      <c r="L62" s="124"/>
      <c r="M62" s="202" t="s">
        <v>780</v>
      </c>
      <c r="N62" s="1676"/>
      <c r="O62" s="110"/>
    </row>
    <row r="63" spans="1:15" ht="25.5" hidden="1">
      <c r="A63" s="1560"/>
      <c r="B63" s="1009">
        <f t="shared" si="10"/>
        <v>12</v>
      </c>
      <c r="C63" s="3547" t="s">
        <v>7720</v>
      </c>
      <c r="D63" s="3548"/>
      <c r="E63" s="3548"/>
      <c r="F63" s="3548"/>
      <c r="G63" s="3548"/>
      <c r="H63" s="3548"/>
      <c r="I63" s="3548"/>
      <c r="J63" s="3549"/>
      <c r="K63" s="118"/>
      <c r="L63" s="124"/>
      <c r="M63" s="202" t="s">
        <v>197</v>
      </c>
      <c r="N63" s="1676"/>
      <c r="O63" s="110"/>
    </row>
    <row r="64" spans="1:15" ht="25.5" hidden="1">
      <c r="A64" s="1560"/>
      <c r="B64" s="1009">
        <f t="shared" si="10"/>
        <v>13</v>
      </c>
      <c r="C64" s="3547" t="s">
        <v>7721</v>
      </c>
      <c r="D64" s="3548"/>
      <c r="E64" s="3548"/>
      <c r="F64" s="3548"/>
      <c r="G64" s="3548"/>
      <c r="H64" s="3548"/>
      <c r="I64" s="3548"/>
      <c r="J64" s="3549"/>
      <c r="K64" s="118"/>
      <c r="L64" s="124"/>
      <c r="M64" s="202" t="s">
        <v>197</v>
      </c>
      <c r="N64" s="1676"/>
      <c r="O64" s="110"/>
    </row>
    <row r="65" spans="1:15" ht="25.5" hidden="1">
      <c r="A65" s="1560"/>
      <c r="B65" s="1009">
        <f t="shared" si="10"/>
        <v>14</v>
      </c>
      <c r="C65" s="3547" t="s">
        <v>7722</v>
      </c>
      <c r="D65" s="3548"/>
      <c r="E65" s="3548"/>
      <c r="F65" s="3548"/>
      <c r="G65" s="3548"/>
      <c r="H65" s="3548"/>
      <c r="I65" s="3548"/>
      <c r="J65" s="3549"/>
      <c r="K65" s="118"/>
      <c r="L65" s="124"/>
      <c r="M65" s="202" t="s">
        <v>197</v>
      </c>
      <c r="N65" s="1676"/>
      <c r="O65" s="110"/>
    </row>
    <row r="66" spans="1:15" ht="38.25" hidden="1">
      <c r="A66" s="1560"/>
      <c r="B66" s="1009">
        <f t="shared" si="10"/>
        <v>15</v>
      </c>
      <c r="C66" s="3547" t="s">
        <v>7723</v>
      </c>
      <c r="D66" s="3548"/>
      <c r="E66" s="3548"/>
      <c r="F66" s="3548"/>
      <c r="G66" s="3548"/>
      <c r="H66" s="3548"/>
      <c r="I66" s="3548"/>
      <c r="J66" s="3549"/>
      <c r="K66" s="118"/>
      <c r="L66" s="124"/>
      <c r="M66" s="202" t="s">
        <v>780</v>
      </c>
      <c r="N66" s="1676"/>
      <c r="O66" s="110"/>
    </row>
    <row r="67" spans="1:15" ht="12.75" hidden="1">
      <c r="A67" s="1692"/>
      <c r="B67" s="1009">
        <f t="shared" si="10"/>
        <v>16</v>
      </c>
      <c r="C67" s="3547" t="s">
        <v>7724</v>
      </c>
      <c r="D67" s="3548"/>
      <c r="E67" s="3548"/>
      <c r="F67" s="3548"/>
      <c r="G67" s="3548"/>
      <c r="H67" s="3548"/>
      <c r="I67" s="3548"/>
      <c r="J67" s="3549"/>
      <c r="K67" s="118"/>
      <c r="L67" s="124"/>
      <c r="M67" s="202">
        <v>1</v>
      </c>
    </row>
    <row r="68" spans="1:15" ht="12.75" hidden="1">
      <c r="A68" s="1692"/>
      <c r="B68" s="1009">
        <f t="shared" si="10"/>
        <v>17</v>
      </c>
      <c r="C68" s="3547" t="s">
        <v>7725</v>
      </c>
      <c r="D68" s="3548"/>
      <c r="E68" s="3548"/>
      <c r="F68" s="3548"/>
      <c r="G68" s="3548"/>
      <c r="H68" s="3548"/>
      <c r="I68" s="3548"/>
      <c r="J68" s="3549"/>
      <c r="K68" s="118"/>
      <c r="L68" s="124"/>
      <c r="M68" s="202">
        <v>1</v>
      </c>
    </row>
    <row r="69" spans="1:15" ht="13.5" hidden="1" thickBot="1">
      <c r="A69" s="1692"/>
      <c r="B69" s="1014">
        <f t="shared" si="10"/>
        <v>18</v>
      </c>
      <c r="C69" s="3550" t="s">
        <v>7726</v>
      </c>
      <c r="D69" s="3551"/>
      <c r="E69" s="3551"/>
      <c r="F69" s="3551"/>
      <c r="G69" s="3551"/>
      <c r="H69" s="3551"/>
      <c r="I69" s="3551"/>
      <c r="J69" s="3552"/>
      <c r="K69" s="118"/>
      <c r="L69" s="124"/>
      <c r="M69" s="202">
        <v>1</v>
      </c>
    </row>
    <row r="70" spans="1:15" ht="15" hidden="1" thickBot="1">
      <c r="A70" s="1692"/>
      <c r="I70" s="130"/>
    </row>
    <row r="71" spans="1:15" s="192" customFormat="1" ht="15" hidden="1" thickBot="1">
      <c r="A71" s="1692"/>
      <c r="B71" s="3037" t="s">
        <v>177</v>
      </c>
      <c r="C71" s="1182" t="s">
        <v>31</v>
      </c>
      <c r="D71" s="1025"/>
      <c r="E71" s="1026"/>
      <c r="F71" s="1027"/>
      <c r="G71" s="1027"/>
      <c r="H71" s="1029"/>
      <c r="I71" s="70"/>
      <c r="J71" s="126"/>
      <c r="K71" s="70"/>
      <c r="L71" s="71"/>
      <c r="M71" s="70"/>
      <c r="N71" s="71"/>
    </row>
    <row r="72" spans="1:15" ht="40.700000000000003" hidden="1" customHeight="1">
      <c r="A72" s="1692"/>
      <c r="B72" s="1183">
        <f>+B69+1</f>
        <v>19</v>
      </c>
      <c r="C72" s="3553" t="s">
        <v>7727</v>
      </c>
      <c r="D72" s="3554"/>
      <c r="E72" s="3554"/>
      <c r="F72" s="3554"/>
      <c r="G72" s="3554"/>
      <c r="H72" s="3554"/>
      <c r="I72" s="3554"/>
      <c r="J72" s="3554"/>
      <c r="K72" s="3554"/>
      <c r="L72" s="3554"/>
      <c r="M72" s="3555"/>
    </row>
    <row r="73" spans="1:15" ht="68.25" hidden="1" customHeight="1">
      <c r="A73" s="1692"/>
      <c r="B73" s="1184">
        <f t="shared" ref="B73:B83" si="11">+B72+1</f>
        <v>20</v>
      </c>
      <c r="C73" s="3529" t="s">
        <v>7728</v>
      </c>
      <c r="D73" s="3545"/>
      <c r="E73" s="3545"/>
      <c r="F73" s="3545"/>
      <c r="G73" s="3545"/>
      <c r="H73" s="3545"/>
      <c r="I73" s="3545"/>
      <c r="J73" s="3545"/>
      <c r="K73" s="3545"/>
      <c r="L73" s="3545"/>
      <c r="M73" s="3546"/>
    </row>
    <row r="74" spans="1:15" ht="55.5" hidden="1" customHeight="1">
      <c r="A74" s="1692"/>
      <c r="B74" s="1184">
        <f t="shared" si="11"/>
        <v>21</v>
      </c>
      <c r="C74" s="3529" t="s">
        <v>7729</v>
      </c>
      <c r="D74" s="3545"/>
      <c r="E74" s="3545"/>
      <c r="F74" s="3545"/>
      <c r="G74" s="3545"/>
      <c r="H74" s="3545"/>
      <c r="I74" s="3545"/>
      <c r="J74" s="3545"/>
      <c r="K74" s="3545"/>
      <c r="L74" s="3545"/>
      <c r="M74" s="3546"/>
    </row>
    <row r="75" spans="1:15" ht="129.19999999999999" hidden="1" customHeight="1">
      <c r="A75" s="1692"/>
      <c r="B75" s="1184">
        <f t="shared" si="11"/>
        <v>22</v>
      </c>
      <c r="C75" s="3529" t="s">
        <v>7730</v>
      </c>
      <c r="D75" s="3530"/>
      <c r="E75" s="3530"/>
      <c r="F75" s="3530"/>
      <c r="G75" s="3530"/>
      <c r="H75" s="3530"/>
      <c r="I75" s="3530"/>
      <c r="J75" s="3530"/>
      <c r="K75" s="3530"/>
      <c r="L75" s="3530"/>
      <c r="M75" s="3531"/>
    </row>
    <row r="76" spans="1:15" ht="104.25" hidden="1" customHeight="1">
      <c r="A76" s="1692"/>
      <c r="B76" s="1184">
        <f t="shared" si="11"/>
        <v>23</v>
      </c>
      <c r="C76" s="3529" t="s">
        <v>7731</v>
      </c>
      <c r="D76" s="3530"/>
      <c r="E76" s="3530"/>
      <c r="F76" s="3530"/>
      <c r="G76" s="3530"/>
      <c r="H76" s="3530"/>
      <c r="I76" s="3530"/>
      <c r="J76" s="3530"/>
      <c r="K76" s="3530"/>
      <c r="L76" s="3530"/>
      <c r="M76" s="3531"/>
    </row>
    <row r="77" spans="1:15" ht="42.75" hidden="1" customHeight="1">
      <c r="A77" s="1692"/>
      <c r="B77" s="1184">
        <f t="shared" si="11"/>
        <v>24</v>
      </c>
      <c r="C77" s="3529" t="s">
        <v>7732</v>
      </c>
      <c r="D77" s="3532"/>
      <c r="E77" s="3532"/>
      <c r="F77" s="3532"/>
      <c r="G77" s="3532"/>
      <c r="H77" s="3532"/>
      <c r="I77" s="3532"/>
      <c r="J77" s="3532"/>
      <c r="K77" s="3532"/>
      <c r="L77" s="3532"/>
      <c r="M77" s="3533"/>
    </row>
    <row r="78" spans="1:15" ht="42.75" hidden="1" customHeight="1">
      <c r="A78" s="1692"/>
      <c r="B78" s="1184">
        <f t="shared" si="11"/>
        <v>25</v>
      </c>
      <c r="C78" s="3529" t="s">
        <v>7733</v>
      </c>
      <c r="D78" s="3532"/>
      <c r="E78" s="3532"/>
      <c r="F78" s="3532"/>
      <c r="G78" s="3532"/>
      <c r="H78" s="3532"/>
      <c r="I78" s="3532"/>
      <c r="J78" s="3532"/>
      <c r="K78" s="3532"/>
      <c r="L78" s="3532"/>
      <c r="M78" s="3533"/>
    </row>
    <row r="79" spans="1:15" ht="12.75" hidden="1">
      <c r="A79" s="1692"/>
      <c r="B79" s="1184">
        <f t="shared" si="11"/>
        <v>26</v>
      </c>
      <c r="C79" s="3529" t="s">
        <v>7734</v>
      </c>
      <c r="D79" s="3532"/>
      <c r="E79" s="3532"/>
      <c r="F79" s="3532"/>
      <c r="G79" s="3532"/>
      <c r="H79" s="3532"/>
      <c r="I79" s="3532"/>
      <c r="J79" s="3532"/>
      <c r="K79" s="3532"/>
      <c r="L79" s="3532"/>
      <c r="M79" s="3533"/>
    </row>
    <row r="80" spans="1:15" ht="29.25" hidden="1" customHeight="1">
      <c r="A80" s="1692"/>
      <c r="B80" s="1184">
        <f t="shared" si="11"/>
        <v>27</v>
      </c>
      <c r="C80" s="3529" t="s">
        <v>7735</v>
      </c>
      <c r="D80" s="3532"/>
      <c r="E80" s="3532"/>
      <c r="F80" s="3532"/>
      <c r="G80" s="3532"/>
      <c r="H80" s="3532"/>
      <c r="I80" s="3532"/>
      <c r="J80" s="3532"/>
      <c r="K80" s="3532"/>
      <c r="L80" s="3532"/>
      <c r="M80" s="3533"/>
    </row>
    <row r="81" spans="1:13" ht="29.25" hidden="1" customHeight="1">
      <c r="A81" s="1692"/>
      <c r="B81" s="1184">
        <f t="shared" si="11"/>
        <v>28</v>
      </c>
      <c r="C81" s="3529" t="s">
        <v>7736</v>
      </c>
      <c r="D81" s="3532"/>
      <c r="E81" s="3532"/>
      <c r="F81" s="3532"/>
      <c r="G81" s="3532"/>
      <c r="H81" s="3532"/>
      <c r="I81" s="3532"/>
      <c r="J81" s="3532"/>
      <c r="K81" s="3532"/>
      <c r="L81" s="3532"/>
      <c r="M81" s="3533"/>
    </row>
    <row r="82" spans="1:13" ht="12.75" hidden="1">
      <c r="A82" s="1692"/>
      <c r="B82" s="1184">
        <f t="shared" si="11"/>
        <v>29</v>
      </c>
      <c r="C82" s="3529" t="s">
        <v>7737</v>
      </c>
      <c r="D82" s="3532"/>
      <c r="E82" s="3532"/>
      <c r="F82" s="3532"/>
      <c r="G82" s="3532"/>
      <c r="H82" s="3532"/>
      <c r="I82" s="3532"/>
      <c r="J82" s="3532"/>
      <c r="K82" s="3532"/>
      <c r="L82" s="3532"/>
      <c r="M82" s="3533"/>
    </row>
    <row r="83" spans="1:13" ht="13.5" hidden="1" thickBot="1">
      <c r="A83" s="1692"/>
      <c r="B83" s="1185">
        <f t="shared" si="11"/>
        <v>30</v>
      </c>
      <c r="C83" s="3534" t="s">
        <v>7738</v>
      </c>
      <c r="D83" s="3535"/>
      <c r="E83" s="3535"/>
      <c r="F83" s="3535"/>
      <c r="G83" s="3535"/>
      <c r="H83" s="3535"/>
      <c r="I83" s="3535"/>
      <c r="J83" s="3535"/>
      <c r="K83" s="3535"/>
      <c r="L83" s="3535"/>
      <c r="M83" s="3536"/>
    </row>
    <row r="84" spans="1:13" ht="13.5" hidden="1" thickBot="1">
      <c r="A84" s="1692"/>
      <c r="I84" s="880"/>
      <c r="J84" s="880"/>
      <c r="K84" s="880"/>
      <c r="L84" s="1673"/>
      <c r="M84" s="880"/>
    </row>
    <row r="85" spans="1:13" ht="15" thickBot="1">
      <c r="B85" s="3537" t="s">
        <v>4911</v>
      </c>
      <c r="C85" s="3538"/>
      <c r="D85" s="3538"/>
      <c r="E85" s="3538"/>
      <c r="F85" s="3538"/>
      <c r="G85" s="3538"/>
      <c r="H85" s="3538"/>
      <c r="I85" s="3538"/>
      <c r="J85" s="3538"/>
      <c r="K85" s="3538"/>
      <c r="L85" s="3538"/>
      <c r="M85" s="3539"/>
    </row>
    <row r="86" spans="1:13" ht="12.75">
      <c r="B86" s="3540" t="s">
        <v>7739</v>
      </c>
      <c r="C86" s="3541"/>
      <c r="D86" s="3541"/>
      <c r="E86" s="3541"/>
      <c r="F86" s="3541"/>
      <c r="G86" s="3541"/>
      <c r="H86" s="3541"/>
      <c r="I86" s="3541"/>
      <c r="J86" s="3541"/>
      <c r="K86" s="3541"/>
      <c r="L86" s="3541"/>
      <c r="M86" s="3542"/>
    </row>
    <row r="87" spans="1:13" ht="39.200000000000003" customHeight="1">
      <c r="B87" s="3543" t="s">
        <v>7740</v>
      </c>
      <c r="C87" s="3532"/>
      <c r="D87" s="3532"/>
      <c r="E87" s="3532"/>
      <c r="F87" s="3532"/>
      <c r="G87" s="3532"/>
      <c r="H87" s="3532"/>
      <c r="I87" s="3532"/>
      <c r="J87" s="3532"/>
      <c r="K87" s="3532"/>
      <c r="L87" s="3532"/>
      <c r="M87" s="3544"/>
    </row>
    <row r="88" spans="1:13" ht="13.5" thickBot="1">
      <c r="B88" s="3526"/>
      <c r="C88" s="3527"/>
      <c r="D88" s="3527"/>
      <c r="E88" s="3527"/>
      <c r="F88" s="3527"/>
      <c r="G88" s="3527"/>
      <c r="H88" s="3527"/>
      <c r="I88" s="3527"/>
      <c r="J88" s="3527"/>
      <c r="K88" s="3527"/>
      <c r="L88" s="3527"/>
      <c r="M88" s="3528"/>
    </row>
  </sheetData>
  <sheetProtection algorithmName="SHA-512" hashValue="IFnonNv6enAqgcHe6/gC0ZMxcTKzWpbpmu4sXl2jABacGxOZMTJfuFx7iqMbDTXbFEbc0zA969qoTvZ0SLFKtA==" saltValue="Jb5vSc3x3kHXZ73TaXpW/w==" spinCount="100000" sheet="1" objects="1" scenarios="1"/>
  <mergeCells count="37">
    <mergeCell ref="C60:J60"/>
    <mergeCell ref="B39:C39"/>
    <mergeCell ref="C50:J50"/>
    <mergeCell ref="C51:J51"/>
    <mergeCell ref="C52:J52"/>
    <mergeCell ref="C53:J53"/>
    <mergeCell ref="C54:J54"/>
    <mergeCell ref="C55:J55"/>
    <mergeCell ref="C56:J56"/>
    <mergeCell ref="C57:J57"/>
    <mergeCell ref="C58:J58"/>
    <mergeCell ref="C59:J59"/>
    <mergeCell ref="C74:M74"/>
    <mergeCell ref="C61:J61"/>
    <mergeCell ref="C62:J62"/>
    <mergeCell ref="C63:J63"/>
    <mergeCell ref="C64:J64"/>
    <mergeCell ref="C65:J65"/>
    <mergeCell ref="C66:J66"/>
    <mergeCell ref="C67:J67"/>
    <mergeCell ref="C68:J68"/>
    <mergeCell ref="C69:J69"/>
    <mergeCell ref="C72:M72"/>
    <mergeCell ref="C73:M73"/>
    <mergeCell ref="B88:M88"/>
    <mergeCell ref="C75:M75"/>
    <mergeCell ref="C76:M76"/>
    <mergeCell ref="C77:M77"/>
    <mergeCell ref="C78:M78"/>
    <mergeCell ref="C79:M79"/>
    <mergeCell ref="C80:M80"/>
    <mergeCell ref="C82:M82"/>
    <mergeCell ref="C83:M83"/>
    <mergeCell ref="B85:M85"/>
    <mergeCell ref="B86:M86"/>
    <mergeCell ref="B87:M87"/>
    <mergeCell ref="C81:M81"/>
  </mergeCells>
  <conditionalFormatting sqref="J7:J12 J14:J23 J26:J37">
    <cfRule type="cellIs" dxfId="112" priority="6" operator="equal">
      <formula>0</formula>
    </cfRule>
  </conditionalFormatting>
  <conditionalFormatting sqref="J6:J12 J14:J23">
    <cfRule type="cellIs" dxfId="111" priority="5" operator="equal">
      <formula>0</formula>
    </cfRule>
  </conditionalFormatting>
  <conditionalFormatting sqref="J13">
    <cfRule type="cellIs" dxfId="110" priority="2" operator="equal">
      <formula>0</formula>
    </cfRule>
  </conditionalFormatting>
  <conditionalFormatting sqref="J13">
    <cfRule type="cellIs" dxfId="1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N122"/>
  <sheetViews>
    <sheetView topLeftCell="A28" workbookViewId="0">
      <selection activeCell="G37" sqref="G37"/>
    </sheetView>
  </sheetViews>
  <sheetFormatPr defaultColWidth="0" defaultRowHeight="14.25" zeroHeight="1"/>
  <cols>
    <col min="1" max="1" width="0.5" customWidth="1"/>
    <col min="2" max="2" width="8.5" customWidth="1"/>
    <col min="3" max="3" width="84.125" customWidth="1"/>
    <col min="4" max="6" width="8.5" customWidth="1"/>
    <col min="7" max="7" width="11.5" customWidth="1"/>
    <col min="8" max="8" width="37.125" customWidth="1"/>
    <col min="9" max="9" width="2.5" customWidth="1"/>
    <col min="10" max="10" width="24" customWidth="1"/>
    <col min="11" max="11" width="1.125" customWidth="1"/>
    <col min="12" max="12" width="2.125" style="1665" hidden="1" customWidth="1"/>
    <col min="13" max="13" width="19.5" hidden="1" customWidth="1"/>
    <col min="14" max="14" width="2.125" style="1665" hidden="1" customWidth="1"/>
    <col min="15" max="16384" width="8.5" hidden="1"/>
  </cols>
  <sheetData>
    <row r="1" spans="1:14" ht="20.25">
      <c r="A1" s="1186"/>
      <c r="B1" s="1187" t="s">
        <v>7741</v>
      </c>
      <c r="C1" s="1187"/>
      <c r="D1" s="1187"/>
      <c r="E1" s="1188"/>
      <c r="F1" s="1189"/>
      <c r="G1" s="66"/>
      <c r="H1" s="68" t="str">
        <f>Validation!B3</f>
        <v>Yorkshire Water</v>
      </c>
      <c r="I1" s="66"/>
      <c r="J1" s="69" t="s">
        <v>34</v>
      </c>
      <c r="K1" s="70"/>
      <c r="L1" s="71"/>
      <c r="M1" s="70"/>
      <c r="N1" s="1673"/>
    </row>
    <row r="2" spans="1:14" ht="15.75" thickBot="1">
      <c r="A2" s="1190"/>
      <c r="B2" s="73" t="str">
        <f>'4Q'!B2</f>
        <v>For the 12 months ended 31 March 2020</v>
      </c>
      <c r="C2" s="1190"/>
      <c r="D2" s="1190"/>
      <c r="E2" s="1191"/>
      <c r="F2" s="1190"/>
      <c r="G2" s="1192"/>
      <c r="H2" s="1190"/>
      <c r="I2" s="1190"/>
      <c r="J2" s="70"/>
      <c r="K2" s="70"/>
      <c r="L2" s="71"/>
      <c r="M2" s="70"/>
      <c r="N2" s="1673"/>
    </row>
    <row r="3" spans="1:14" ht="15.75" thickBot="1">
      <c r="A3" s="1190"/>
      <c r="B3" s="1193" t="s">
        <v>193</v>
      </c>
      <c r="C3" s="1194" t="s">
        <v>4916</v>
      </c>
      <c r="D3" s="184" t="s">
        <v>3098</v>
      </c>
      <c r="E3" s="184" t="s">
        <v>2310</v>
      </c>
      <c r="F3" s="185" t="s">
        <v>39</v>
      </c>
      <c r="G3" s="3038" t="s">
        <v>158</v>
      </c>
      <c r="H3" s="2990" t="s">
        <v>4567</v>
      </c>
      <c r="I3" s="1076"/>
      <c r="J3" s="2990" t="s">
        <v>43</v>
      </c>
      <c r="K3" s="70"/>
      <c r="L3" s="71"/>
      <c r="M3" s="76" t="s">
        <v>47</v>
      </c>
      <c r="N3" s="71"/>
    </row>
    <row r="4" spans="1:14" ht="15.75" thickBot="1">
      <c r="A4" s="1195"/>
      <c r="B4" s="1196"/>
      <c r="C4" s="1196"/>
      <c r="D4" s="1211"/>
      <c r="E4" s="1195"/>
      <c r="F4" s="1195"/>
      <c r="G4" s="1195"/>
      <c r="H4" s="1195"/>
      <c r="I4" s="1195"/>
      <c r="J4" s="1092"/>
      <c r="K4" s="70"/>
      <c r="L4" s="71"/>
      <c r="M4" s="85" t="s">
        <v>48</v>
      </c>
      <c r="N4" s="71"/>
    </row>
    <row r="5" spans="1:14" ht="15.75" thickBot="1">
      <c r="A5" s="1195"/>
      <c r="B5" s="3034" t="s">
        <v>155</v>
      </c>
      <c r="C5" s="1060" t="s">
        <v>7742</v>
      </c>
      <c r="D5" s="1211"/>
      <c r="E5" s="1195"/>
      <c r="F5" s="1195"/>
      <c r="G5" s="1195"/>
      <c r="H5" s="1195"/>
      <c r="I5" s="1195"/>
      <c r="J5" s="1092"/>
      <c r="K5" s="70"/>
      <c r="L5" s="71"/>
      <c r="M5" s="85"/>
      <c r="N5" s="71"/>
    </row>
    <row r="6" spans="1:14" ht="15">
      <c r="A6" s="1197"/>
      <c r="B6" s="1000" t="s">
        <v>7743</v>
      </c>
      <c r="C6" s="1105" t="s">
        <v>7744</v>
      </c>
      <c r="D6" s="1002" t="s">
        <v>7745</v>
      </c>
      <c r="E6" s="1198" t="s">
        <v>766</v>
      </c>
      <c r="F6" s="1199">
        <v>0</v>
      </c>
      <c r="G6" s="1200">
        <v>0</v>
      </c>
      <c r="H6" s="1123"/>
      <c r="I6" s="1190"/>
      <c r="J6" s="24">
        <f xml:space="preserve"> IF( SUM( L6:N6 ) = 0, 0, $M$4 )</f>
        <v>0</v>
      </c>
      <c r="K6" s="70"/>
      <c r="L6" s="71"/>
      <c r="M6" s="93">
        <f>IF(Validation!$H$3=1,0,IF(ISNUMBER(G6),0,1))</f>
        <v>0</v>
      </c>
      <c r="N6" s="71"/>
    </row>
    <row r="7" spans="1:14" ht="15">
      <c r="A7" s="1197"/>
      <c r="B7" s="1009" t="s">
        <v>7746</v>
      </c>
      <c r="C7" s="1122" t="s">
        <v>7747</v>
      </c>
      <c r="D7" s="1201" t="s">
        <v>7748</v>
      </c>
      <c r="E7" s="2003" t="s">
        <v>7431</v>
      </c>
      <c r="F7" s="1007">
        <v>0</v>
      </c>
      <c r="G7" s="1202">
        <v>0</v>
      </c>
      <c r="H7" s="1203"/>
      <c r="I7" s="1190"/>
      <c r="J7" s="24">
        <f t="shared" ref="J7:J27" si="0" xml:space="preserve"> IF( SUM( L7:N7 ) = 0, 0, $M$4 )</f>
        <v>0</v>
      </c>
      <c r="K7" s="70"/>
      <c r="L7" s="71"/>
      <c r="M7" s="93">
        <f>IF(Validation!$H$3=1,0,IF(ISNUMBER(G7),0,1))</f>
        <v>0</v>
      </c>
      <c r="N7" s="71"/>
    </row>
    <row r="8" spans="1:14" ht="15">
      <c r="A8" s="1190"/>
      <c r="B8" s="1009" t="s">
        <v>7749</v>
      </c>
      <c r="C8" s="1010" t="s">
        <v>7750</v>
      </c>
      <c r="D8" s="2003" t="s">
        <v>7751</v>
      </c>
      <c r="E8" s="2003" t="s">
        <v>7208</v>
      </c>
      <c r="F8" s="1007">
        <v>0</v>
      </c>
      <c r="G8" s="1204">
        <v>70018</v>
      </c>
      <c r="H8" s="1124"/>
      <c r="I8" s="1190"/>
      <c r="J8" s="24">
        <f t="shared" si="0"/>
        <v>0</v>
      </c>
      <c r="K8" s="70"/>
      <c r="L8" s="71"/>
      <c r="M8" s="93">
        <f>IF(Validation!$H$3=1,0,IF(ISNUMBER(G8),0,1))</f>
        <v>0</v>
      </c>
      <c r="N8" s="71"/>
    </row>
    <row r="9" spans="1:14" ht="15">
      <c r="A9" s="1205"/>
      <c r="B9" s="1009" t="s">
        <v>7752</v>
      </c>
      <c r="C9" s="1010" t="s">
        <v>7753</v>
      </c>
      <c r="D9" s="2003" t="s">
        <v>7754</v>
      </c>
      <c r="E9" s="2003" t="s">
        <v>766</v>
      </c>
      <c r="F9" s="1007">
        <v>0</v>
      </c>
      <c r="G9" s="1204">
        <v>2534</v>
      </c>
      <c r="H9" s="1124"/>
      <c r="I9" s="1205"/>
      <c r="J9" s="24">
        <f t="shared" si="0"/>
        <v>0</v>
      </c>
      <c r="K9" s="70"/>
      <c r="L9" s="71"/>
      <c r="M9" s="93">
        <f>IF(Validation!$H$3=1,0,IF(ISNUMBER(G9),0,1))</f>
        <v>0</v>
      </c>
      <c r="N9" s="71"/>
    </row>
    <row r="10" spans="1:14" ht="15">
      <c r="A10" s="1206"/>
      <c r="B10" s="1009" t="s">
        <v>7755</v>
      </c>
      <c r="C10" s="1010" t="s">
        <v>7756</v>
      </c>
      <c r="D10" s="2003" t="s">
        <v>7757</v>
      </c>
      <c r="E10" s="2003" t="s">
        <v>766</v>
      </c>
      <c r="F10" s="1007">
        <v>0</v>
      </c>
      <c r="G10" s="1204">
        <v>32370</v>
      </c>
      <c r="H10" s="1124"/>
      <c r="I10" s="1205"/>
      <c r="J10" s="24">
        <f t="shared" si="0"/>
        <v>0</v>
      </c>
      <c r="K10" s="70"/>
      <c r="L10" s="71"/>
      <c r="M10" s="93">
        <f>IF(Validation!$H$3=1,0,IF(ISNUMBER(G10),0,1))</f>
        <v>0</v>
      </c>
      <c r="N10" s="71"/>
    </row>
    <row r="11" spans="1:14" ht="15">
      <c r="A11" s="1206"/>
      <c r="B11" s="1009" t="s">
        <v>7758</v>
      </c>
      <c r="C11" s="1010" t="s">
        <v>7759</v>
      </c>
      <c r="D11" s="2003" t="s">
        <v>7760</v>
      </c>
      <c r="E11" s="2003" t="s">
        <v>766</v>
      </c>
      <c r="F11" s="1007">
        <v>0</v>
      </c>
      <c r="G11" s="1204">
        <v>345</v>
      </c>
      <c r="H11" s="1124"/>
      <c r="I11" s="1205"/>
      <c r="J11" s="24">
        <f t="shared" si="0"/>
        <v>0</v>
      </c>
      <c r="K11" s="70"/>
      <c r="L11" s="71"/>
      <c r="M11" s="93">
        <f>IF(Validation!$H$3=1,0,IF(ISNUMBER(G11),0,1))</f>
        <v>0</v>
      </c>
      <c r="N11" s="71"/>
    </row>
    <row r="12" spans="1:14" ht="15">
      <c r="A12" s="1206"/>
      <c r="B12" s="1009" t="s">
        <v>7761</v>
      </c>
      <c r="C12" s="1010" t="s">
        <v>7762</v>
      </c>
      <c r="D12" s="2003" t="s">
        <v>7763</v>
      </c>
      <c r="E12" s="2003" t="s">
        <v>766</v>
      </c>
      <c r="F12" s="1007">
        <v>0</v>
      </c>
      <c r="G12" s="1204">
        <v>74</v>
      </c>
      <c r="H12" s="1124"/>
      <c r="I12" s="1205"/>
      <c r="J12" s="24">
        <f t="shared" si="0"/>
        <v>0</v>
      </c>
      <c r="K12" s="70"/>
      <c r="L12" s="71"/>
      <c r="M12" s="93">
        <f>IF(Validation!$H$3=1,0,IF(ISNUMBER(G12),0,1))</f>
        <v>0</v>
      </c>
      <c r="N12" s="71"/>
    </row>
    <row r="13" spans="1:14" ht="15">
      <c r="A13" s="1190"/>
      <c r="B13" s="1009" t="s">
        <v>7764</v>
      </c>
      <c r="C13" s="1010" t="s">
        <v>7765</v>
      </c>
      <c r="D13" s="2003" t="s">
        <v>7766</v>
      </c>
      <c r="E13" s="2003" t="s">
        <v>766</v>
      </c>
      <c r="F13" s="1007">
        <v>0</v>
      </c>
      <c r="G13" s="1204">
        <v>2068</v>
      </c>
      <c r="H13" s="1124"/>
      <c r="I13" s="1190"/>
      <c r="J13" s="24">
        <f t="shared" si="0"/>
        <v>0</v>
      </c>
      <c r="K13" s="70"/>
      <c r="L13" s="71"/>
      <c r="M13" s="93">
        <f>IF(Validation!$H$3=1,0,IF(ISNUMBER(G13),0,1))</f>
        <v>0</v>
      </c>
      <c r="N13" s="71"/>
    </row>
    <row r="14" spans="1:14" ht="15">
      <c r="A14" s="1190"/>
      <c r="B14" s="1009" t="s">
        <v>7767</v>
      </c>
      <c r="C14" s="1010" t="s">
        <v>7768</v>
      </c>
      <c r="D14" s="2003" t="s">
        <v>7769</v>
      </c>
      <c r="E14" s="2003" t="s">
        <v>766</v>
      </c>
      <c r="F14" s="1007">
        <v>0</v>
      </c>
      <c r="G14" s="1207">
        <v>602</v>
      </c>
      <c r="H14" s="1110"/>
      <c r="I14" s="1190"/>
      <c r="J14" s="24">
        <f t="shared" si="0"/>
        <v>0</v>
      </c>
      <c r="K14" s="70"/>
      <c r="L14" s="71"/>
      <c r="M14" s="93">
        <f>IF(Validation!$H$3=1,0,IF(ISNUMBER(G14),0,1))</f>
        <v>0</v>
      </c>
      <c r="N14" s="71"/>
    </row>
    <row r="15" spans="1:14" ht="15">
      <c r="A15" s="1190"/>
      <c r="B15" s="1009" t="s">
        <v>7770</v>
      </c>
      <c r="C15" s="1010" t="s">
        <v>7771</v>
      </c>
      <c r="D15" s="2003" t="s">
        <v>7772</v>
      </c>
      <c r="E15" s="2003" t="s">
        <v>766</v>
      </c>
      <c r="F15" s="1007">
        <v>0</v>
      </c>
      <c r="G15" s="1207">
        <v>190</v>
      </c>
      <c r="H15" s="1110"/>
      <c r="I15" s="1190"/>
      <c r="J15" s="24">
        <f t="shared" si="0"/>
        <v>0</v>
      </c>
      <c r="K15" s="70"/>
      <c r="L15" s="71"/>
      <c r="M15" s="93">
        <f>IF(Validation!$H$3=1,0,IF(ISNUMBER(G15),0,1))</f>
        <v>0</v>
      </c>
      <c r="N15" s="71"/>
    </row>
    <row r="16" spans="1:14" ht="15">
      <c r="A16" s="1190"/>
      <c r="B16" s="1009" t="s">
        <v>7773</v>
      </c>
      <c r="C16" s="1010" t="s">
        <v>7774</v>
      </c>
      <c r="D16" s="2003" t="s">
        <v>7775</v>
      </c>
      <c r="E16" s="2003" t="s">
        <v>7215</v>
      </c>
      <c r="F16" s="1007">
        <v>0</v>
      </c>
      <c r="G16" s="1207">
        <v>2224</v>
      </c>
      <c r="H16" s="1110"/>
      <c r="I16" s="1190"/>
      <c r="J16" s="24">
        <f t="shared" si="0"/>
        <v>0</v>
      </c>
      <c r="K16" s="70"/>
      <c r="L16" s="71"/>
      <c r="M16" s="93">
        <f>IF(Validation!$H$3=1,0,IF(ISNUMBER(G16),0,1))</f>
        <v>0</v>
      </c>
      <c r="N16" s="71"/>
    </row>
    <row r="17" spans="1:14" ht="15">
      <c r="A17" s="1190"/>
      <c r="B17" s="1009" t="s">
        <v>7776</v>
      </c>
      <c r="C17" s="1010" t="s">
        <v>7777</v>
      </c>
      <c r="D17" s="2003" t="s">
        <v>7778</v>
      </c>
      <c r="E17" s="2003" t="s">
        <v>7779</v>
      </c>
      <c r="F17" s="1007">
        <v>2</v>
      </c>
      <c r="G17" s="1208">
        <v>18588.47</v>
      </c>
      <c r="H17" s="1110"/>
      <c r="I17" s="1190"/>
      <c r="J17" s="24">
        <f t="shared" si="0"/>
        <v>0</v>
      </c>
      <c r="K17" s="70"/>
      <c r="L17" s="71"/>
      <c r="M17" s="93">
        <f>IF(Validation!$H$3=1,0,IF(ISNUMBER(G17),0,1))</f>
        <v>0</v>
      </c>
      <c r="N17" s="71"/>
    </row>
    <row r="18" spans="1:14" ht="15">
      <c r="A18" s="1190"/>
      <c r="B18" s="1009" t="s">
        <v>7780</v>
      </c>
      <c r="C18" s="1010" t="s">
        <v>7781</v>
      </c>
      <c r="D18" s="2003" t="s">
        <v>7782</v>
      </c>
      <c r="E18" s="2003" t="s">
        <v>7779</v>
      </c>
      <c r="F18" s="1007">
        <v>2</v>
      </c>
      <c r="G18" s="1208">
        <v>747107.16</v>
      </c>
      <c r="H18" s="1110"/>
      <c r="I18" s="1190"/>
      <c r="J18" s="24">
        <f t="shared" si="0"/>
        <v>0</v>
      </c>
      <c r="K18" s="70"/>
      <c r="L18" s="71"/>
      <c r="M18" s="93">
        <f>IF(Validation!$H$3=1,0,IF(ISNUMBER(G18),0,1))</f>
        <v>0</v>
      </c>
      <c r="N18" s="71"/>
    </row>
    <row r="19" spans="1:14" ht="15">
      <c r="A19" s="1190"/>
      <c r="B19" s="1009" t="s">
        <v>7783</v>
      </c>
      <c r="C19" s="1010" t="s">
        <v>7784</v>
      </c>
      <c r="D19" s="2003" t="s">
        <v>7785</v>
      </c>
      <c r="E19" s="2003" t="s">
        <v>7215</v>
      </c>
      <c r="F19" s="1007">
        <v>0</v>
      </c>
      <c r="G19" s="1207">
        <v>27</v>
      </c>
      <c r="H19" s="1110"/>
      <c r="I19" s="1190"/>
      <c r="J19" s="24">
        <f t="shared" si="0"/>
        <v>0</v>
      </c>
      <c r="K19" s="70"/>
      <c r="L19" s="71"/>
      <c r="M19" s="93">
        <f>IF(Validation!$H$3=1,0,IF(ISNUMBER(G19),0,1))</f>
        <v>0</v>
      </c>
      <c r="N19" s="71"/>
    </row>
    <row r="20" spans="1:14" ht="15">
      <c r="A20" s="1190"/>
      <c r="B20" s="1009" t="s">
        <v>7786</v>
      </c>
      <c r="C20" s="1010" t="s">
        <v>7787</v>
      </c>
      <c r="D20" s="2003" t="s">
        <v>7788</v>
      </c>
      <c r="E20" s="2003" t="s">
        <v>7215</v>
      </c>
      <c r="F20" s="1007">
        <v>0</v>
      </c>
      <c r="G20" s="1207">
        <v>2</v>
      </c>
      <c r="H20" s="1110"/>
      <c r="I20" s="1190"/>
      <c r="J20" s="24">
        <f t="shared" si="0"/>
        <v>0</v>
      </c>
      <c r="K20" s="70"/>
      <c r="L20" s="71"/>
      <c r="M20" s="93">
        <f>IF(Validation!$H$3=1,0,IF(ISNUMBER(G20),0,1))</f>
        <v>0</v>
      </c>
      <c r="N20" s="71"/>
    </row>
    <row r="21" spans="1:14" ht="15">
      <c r="A21" s="1190"/>
      <c r="B21" s="1009" t="s">
        <v>7789</v>
      </c>
      <c r="C21" s="1010" t="s">
        <v>7790</v>
      </c>
      <c r="D21" s="2003" t="s">
        <v>7791</v>
      </c>
      <c r="E21" s="2003" t="s">
        <v>7215</v>
      </c>
      <c r="F21" s="1007">
        <v>0</v>
      </c>
      <c r="G21" s="1207">
        <v>5357</v>
      </c>
      <c r="H21" s="1110"/>
      <c r="I21" s="1190"/>
      <c r="J21" s="24">
        <f t="shared" si="0"/>
        <v>0</v>
      </c>
      <c r="K21" s="70"/>
      <c r="L21" s="71"/>
      <c r="M21" s="93">
        <f>IF(Validation!$H$3=1,0,IF(ISNUMBER(G21),0,1))</f>
        <v>0</v>
      </c>
      <c r="N21" s="71"/>
    </row>
    <row r="22" spans="1:14" ht="15">
      <c r="A22" s="1205"/>
      <c r="B22" s="1009" t="s">
        <v>7792</v>
      </c>
      <c r="C22" s="1010" t="s">
        <v>7793</v>
      </c>
      <c r="D22" s="2003" t="s">
        <v>7794</v>
      </c>
      <c r="E22" s="2003" t="s">
        <v>7215</v>
      </c>
      <c r="F22" s="1007">
        <v>0</v>
      </c>
      <c r="G22" s="1207">
        <v>7510</v>
      </c>
      <c r="H22" s="1110"/>
      <c r="I22" s="1205"/>
      <c r="J22" s="24">
        <f t="shared" si="0"/>
        <v>0</v>
      </c>
      <c r="K22" s="70"/>
      <c r="L22" s="71"/>
      <c r="M22" s="93">
        <f>IF(Validation!$H$3=1,0,IF(ISNUMBER(G22),0,1))</f>
        <v>0</v>
      </c>
      <c r="N22" s="71"/>
    </row>
    <row r="23" spans="1:14" ht="15">
      <c r="A23" s="1205"/>
      <c r="B23" s="1009" t="s">
        <v>7795</v>
      </c>
      <c r="C23" s="1010" t="s">
        <v>7796</v>
      </c>
      <c r="D23" s="2003" t="s">
        <v>7797</v>
      </c>
      <c r="E23" s="2003" t="s">
        <v>7215</v>
      </c>
      <c r="F23" s="1007">
        <v>0</v>
      </c>
      <c r="G23" s="1207">
        <v>16266</v>
      </c>
      <c r="H23" s="1110"/>
      <c r="I23" s="1205"/>
      <c r="J23" s="24">
        <f t="shared" si="0"/>
        <v>0</v>
      </c>
      <c r="K23" s="70"/>
      <c r="L23" s="71"/>
      <c r="M23" s="93">
        <f>IF(Validation!$H$3=1,0,IF(ISNUMBER(G23),0,1))</f>
        <v>0</v>
      </c>
      <c r="N23" s="71"/>
    </row>
    <row r="24" spans="1:14" ht="15">
      <c r="A24" s="1205"/>
      <c r="B24" s="1009" t="s">
        <v>7798</v>
      </c>
      <c r="C24" s="1010" t="s">
        <v>7799</v>
      </c>
      <c r="D24" s="2003" t="s">
        <v>7800</v>
      </c>
      <c r="E24" s="2003" t="s">
        <v>7215</v>
      </c>
      <c r="F24" s="1007">
        <v>0</v>
      </c>
      <c r="G24" s="1207">
        <v>1267</v>
      </c>
      <c r="H24" s="1110"/>
      <c r="I24" s="1205"/>
      <c r="J24" s="24">
        <f t="shared" si="0"/>
        <v>0</v>
      </c>
      <c r="K24" s="70"/>
      <c r="L24" s="71"/>
      <c r="M24" s="93">
        <f>IF(Validation!$H$3=1,0,IF(ISNUMBER(G24),0,1))</f>
        <v>0</v>
      </c>
      <c r="N24" s="71"/>
    </row>
    <row r="25" spans="1:14" ht="15">
      <c r="A25" s="1205"/>
      <c r="B25" s="1009" t="s">
        <v>7801</v>
      </c>
      <c r="C25" s="1010" t="s">
        <v>7802</v>
      </c>
      <c r="D25" s="2003" t="s">
        <v>7803</v>
      </c>
      <c r="E25" s="2003" t="s">
        <v>7804</v>
      </c>
      <c r="F25" s="1007">
        <v>0</v>
      </c>
      <c r="G25" s="1207">
        <v>355</v>
      </c>
      <c r="H25" s="1110"/>
      <c r="I25" s="1205"/>
      <c r="J25" s="24">
        <f t="shared" si="0"/>
        <v>0</v>
      </c>
      <c r="K25" s="70"/>
      <c r="L25" s="71"/>
      <c r="M25" s="93">
        <f>IF(Validation!$H$3=1,0,IF(ISNUMBER(G25),0,1))</f>
        <v>0</v>
      </c>
      <c r="N25" s="71"/>
    </row>
    <row r="26" spans="1:14" ht="15">
      <c r="A26" s="1205"/>
      <c r="B26" s="1009" t="s">
        <v>7805</v>
      </c>
      <c r="C26" s="1010" t="s">
        <v>7806</v>
      </c>
      <c r="D26" s="2003" t="s">
        <v>7807</v>
      </c>
      <c r="E26" s="2003" t="s">
        <v>7804</v>
      </c>
      <c r="F26" s="1007">
        <v>0</v>
      </c>
      <c r="G26" s="1998">
        <f>SUM(G21:G25)</f>
        <v>30755</v>
      </c>
      <c r="H26" s="1110"/>
      <c r="I26" s="1205"/>
      <c r="J26" s="24">
        <f t="shared" si="0"/>
        <v>0</v>
      </c>
      <c r="K26" s="70"/>
      <c r="L26" s="71"/>
      <c r="M26" s="93">
        <f>IF(Validation!$H$3=1,0,IF(ISNUMBER(G26),0,1))</f>
        <v>0</v>
      </c>
      <c r="N26" s="71"/>
    </row>
    <row r="27" spans="1:14" ht="26.25" thickBot="1">
      <c r="A27" s="1205"/>
      <c r="B27" s="1014" t="s">
        <v>7808</v>
      </c>
      <c r="C27" s="1115" t="s">
        <v>7809</v>
      </c>
      <c r="D27" s="1016" t="s">
        <v>7810</v>
      </c>
      <c r="E27" s="1016" t="s">
        <v>7215</v>
      </c>
      <c r="F27" s="1017">
        <v>0</v>
      </c>
      <c r="G27" s="1209">
        <v>21560</v>
      </c>
      <c r="H27" s="1118" t="s">
        <v>7811</v>
      </c>
      <c r="I27" s="1190"/>
      <c r="J27" s="24">
        <f t="shared" si="0"/>
        <v>0</v>
      </c>
      <c r="K27" s="70"/>
      <c r="L27" s="71"/>
      <c r="M27" s="93">
        <f>IF(Validation!$H$3=1,0,IF(ISNUMBER(G27),0,1))</f>
        <v>0</v>
      </c>
      <c r="N27" s="71"/>
    </row>
    <row r="28" spans="1:14" ht="15.75" thickBot="1">
      <c r="A28" s="1205"/>
      <c r="B28" s="1210"/>
      <c r="C28" s="1211"/>
      <c r="D28" s="1211"/>
      <c r="E28" s="1212"/>
      <c r="F28" s="1213"/>
      <c r="G28" s="2004"/>
      <c r="H28" s="2004"/>
      <c r="I28" s="2004"/>
      <c r="J28" s="2004"/>
      <c r="K28" s="2004"/>
      <c r="M28" s="2004"/>
    </row>
    <row r="29" spans="1:14" ht="15.75" thickBot="1">
      <c r="A29" s="1205"/>
      <c r="B29" s="3034" t="s">
        <v>177</v>
      </c>
      <c r="C29" s="1060" t="s">
        <v>911</v>
      </c>
      <c r="D29" s="1211"/>
      <c r="E29" s="1212"/>
      <c r="F29" s="1213"/>
      <c r="G29" s="2004"/>
      <c r="H29" s="2004"/>
      <c r="I29" s="2004"/>
      <c r="J29" s="2004"/>
      <c r="K29" s="2004"/>
      <c r="M29" s="2004"/>
    </row>
    <row r="30" spans="1:14" ht="15">
      <c r="A30" s="1205"/>
      <c r="B30" s="86" t="s">
        <v>7812</v>
      </c>
      <c r="C30" s="117" t="s">
        <v>7813</v>
      </c>
      <c r="D30" s="88" t="s">
        <v>7814</v>
      </c>
      <c r="E30" s="88" t="s">
        <v>7815</v>
      </c>
      <c r="F30" s="89">
        <v>1</v>
      </c>
      <c r="G30" s="1214">
        <v>146.69999999999999</v>
      </c>
      <c r="H30" s="1123"/>
      <c r="I30" s="2004"/>
      <c r="J30" s="24">
        <f t="shared" ref="J30:J31" si="1" xml:space="preserve"> IF( SUM( L30:N30 ) = 0, 0, $M$4 )</f>
        <v>0</v>
      </c>
      <c r="K30" s="70"/>
      <c r="L30" s="71"/>
      <c r="M30" s="93">
        <f>IF(Validation!$H$3=1,0,IF(ISNUMBER(G30),0,1))</f>
        <v>0</v>
      </c>
      <c r="N30" s="71"/>
    </row>
    <row r="31" spans="1:14" ht="15">
      <c r="A31" s="1205"/>
      <c r="B31" s="1065" t="s">
        <v>7816</v>
      </c>
      <c r="C31" s="1010" t="s">
        <v>7817</v>
      </c>
      <c r="D31" s="2003" t="s">
        <v>7818</v>
      </c>
      <c r="E31" s="2003" t="s">
        <v>7815</v>
      </c>
      <c r="F31" s="1007">
        <v>1</v>
      </c>
      <c r="G31" s="1215">
        <v>2</v>
      </c>
      <c r="H31" s="1124"/>
      <c r="I31" s="2004"/>
      <c r="J31" s="24">
        <f t="shared" si="1"/>
        <v>0</v>
      </c>
      <c r="K31" s="70"/>
      <c r="L31" s="71"/>
      <c r="M31" s="93">
        <f>IF(Validation!$H$3=1,0,IF(ISNUMBER(G31),0,1))</f>
        <v>0</v>
      </c>
      <c r="N31" s="71"/>
    </row>
    <row r="32" spans="1:14" ht="15">
      <c r="A32" s="1205"/>
      <c r="B32" s="1009" t="s">
        <v>7819</v>
      </c>
      <c r="C32" s="1010" t="s">
        <v>7820</v>
      </c>
      <c r="D32" s="2003" t="s">
        <v>7821</v>
      </c>
      <c r="E32" s="2003" t="s">
        <v>7815</v>
      </c>
      <c r="F32" s="1007">
        <v>1</v>
      </c>
      <c r="G32" s="2043">
        <f>+G30+G31</f>
        <v>148.69999999999999</v>
      </c>
      <c r="H32" s="1124"/>
      <c r="I32" s="2004"/>
      <c r="J32" s="2004"/>
      <c r="K32" s="2004"/>
      <c r="M32" s="2004"/>
    </row>
    <row r="33" spans="1:14" s="2004" customFormat="1" ht="15.75" thickBot="1">
      <c r="A33" s="1205"/>
      <c r="B33" s="2041" t="s">
        <v>7822</v>
      </c>
      <c r="C33" s="2429" t="s">
        <v>7823</v>
      </c>
      <c r="D33" s="2430" t="s">
        <v>7824</v>
      </c>
      <c r="E33" s="2430" t="s">
        <v>7815</v>
      </c>
      <c r="F33" s="2934">
        <v>1</v>
      </c>
      <c r="G33" s="2933">
        <v>5.9</v>
      </c>
      <c r="H33" s="2042" t="s">
        <v>7825</v>
      </c>
      <c r="J33" s="24">
        <f t="shared" ref="J33" si="2" xml:space="preserve"> IF( SUM( L33:N33 ) = 0, 0, $M$4 )</f>
        <v>0</v>
      </c>
      <c r="K33" s="70"/>
      <c r="L33" s="71"/>
      <c r="M33" s="93">
        <f>IF(Validation!$H$3=1,0,IF(ISNUMBER(G33),0,1))</f>
        <v>0</v>
      </c>
      <c r="N33" s="1665"/>
    </row>
    <row r="34" spans="1:14" ht="16.5" thickBot="1">
      <c r="A34" s="1205"/>
      <c r="B34" s="1217"/>
      <c r="C34" s="1218"/>
      <c r="D34" s="1218"/>
      <c r="E34" s="1217"/>
      <c r="F34" s="1219"/>
      <c r="G34" s="1220"/>
      <c r="H34" s="1221"/>
      <c r="I34" s="2004"/>
      <c r="J34" s="2004"/>
      <c r="K34" s="2004"/>
      <c r="M34" s="2004"/>
    </row>
    <row r="35" spans="1:14" ht="15.75" thickBot="1">
      <c r="A35" s="1205"/>
      <c r="B35" s="1019" t="s">
        <v>7826</v>
      </c>
      <c r="C35" s="1020" t="s">
        <v>7827</v>
      </c>
      <c r="D35" s="1222" t="s">
        <v>7828</v>
      </c>
      <c r="E35" s="1222" t="s">
        <v>734</v>
      </c>
      <c r="F35" s="1223">
        <v>2</v>
      </c>
      <c r="G35" s="1664">
        <v>0.77939999999999998</v>
      </c>
      <c r="H35" s="1771"/>
      <c r="I35" s="2004"/>
      <c r="J35" s="24">
        <f xml:space="preserve"> IF( SUM( L35:N35 ) = 0, 0, $M$4 )</f>
        <v>0</v>
      </c>
      <c r="K35" s="70"/>
      <c r="L35" s="71"/>
      <c r="M35" s="93">
        <f>IF(Validation!$H$3=1,0,IF(ISNUMBER(G35),0,1))</f>
        <v>0</v>
      </c>
      <c r="N35" s="71"/>
    </row>
    <row r="36" spans="1:14" ht="16.5" thickBot="1">
      <c r="A36" s="1205"/>
      <c r="B36" s="1224"/>
      <c r="C36" s="1219"/>
      <c r="D36" s="1219"/>
      <c r="E36" s="1224"/>
      <c r="F36" s="1219"/>
      <c r="G36" s="1225"/>
      <c r="H36" s="1226"/>
      <c r="I36" s="2004"/>
      <c r="J36" s="2004"/>
      <c r="K36" s="2004"/>
      <c r="M36" s="2004"/>
    </row>
    <row r="37" spans="1:14" ht="15">
      <c r="A37" s="1205"/>
      <c r="B37" s="86" t="s">
        <v>7829</v>
      </c>
      <c r="C37" s="117" t="s">
        <v>7830</v>
      </c>
      <c r="D37" s="88" t="s">
        <v>7831</v>
      </c>
      <c r="E37" s="88" t="s">
        <v>7815</v>
      </c>
      <c r="F37" s="89">
        <v>1</v>
      </c>
      <c r="G37" s="1214">
        <v>73.7</v>
      </c>
      <c r="H37" s="1123"/>
      <c r="I37" s="2004"/>
      <c r="J37" s="24">
        <f t="shared" ref="J37:J38" si="3" xml:space="preserve"> IF( SUM( L37:N37 ) = 0, 0, $M$4 )</f>
        <v>0</v>
      </c>
      <c r="K37" s="70"/>
      <c r="L37" s="71"/>
      <c r="M37" s="93">
        <f>IF(Validation!$H$3=1,0,IF(ISNUMBER(G37),0,1))</f>
        <v>0</v>
      </c>
      <c r="N37" s="71"/>
    </row>
    <row r="38" spans="1:14" ht="15">
      <c r="A38" s="1205"/>
      <c r="B38" s="1065" t="s">
        <v>7832</v>
      </c>
      <c r="C38" s="1010" t="s">
        <v>7833</v>
      </c>
      <c r="D38" s="2003" t="s">
        <v>7834</v>
      </c>
      <c r="E38" s="2003" t="s">
        <v>7815</v>
      </c>
      <c r="F38" s="1007">
        <v>1</v>
      </c>
      <c r="G38" s="1215">
        <v>1.9</v>
      </c>
      <c r="H38" s="1124"/>
      <c r="I38" s="2004"/>
      <c r="J38" s="24">
        <f t="shared" si="3"/>
        <v>0</v>
      </c>
      <c r="K38" s="70"/>
      <c r="L38" s="71"/>
      <c r="M38" s="93">
        <f>IF(Validation!$H$3=1,0,IF(ISNUMBER(G38),0,1))</f>
        <v>0</v>
      </c>
      <c r="N38" s="71"/>
    </row>
    <row r="39" spans="1:14" ht="15.75" thickBot="1">
      <c r="A39" s="1205"/>
      <c r="B39" s="1014" t="s">
        <v>7835</v>
      </c>
      <c r="C39" s="1115" t="s">
        <v>7836</v>
      </c>
      <c r="D39" s="1016" t="s">
        <v>7837</v>
      </c>
      <c r="E39" s="1016" t="s">
        <v>7815</v>
      </c>
      <c r="F39" s="1017">
        <v>1</v>
      </c>
      <c r="G39" s="1999">
        <f>+G37+G38</f>
        <v>75.600000000000009</v>
      </c>
      <c r="H39" s="1118"/>
      <c r="I39" s="2004"/>
      <c r="J39" s="2004"/>
      <c r="K39" s="2004"/>
      <c r="M39" s="2004"/>
    </row>
    <row r="40" spans="1:14" ht="16.5" thickBot="1">
      <c r="A40" s="1205"/>
      <c r="B40" s="1227"/>
      <c r="C40" s="1219"/>
      <c r="D40" s="1219"/>
      <c r="E40" s="1219"/>
      <c r="F40" s="1219"/>
      <c r="G40" s="1228"/>
      <c r="H40" s="1229"/>
      <c r="I40" s="2004"/>
      <c r="J40" s="2004"/>
      <c r="K40" s="2004"/>
      <c r="M40" s="2004"/>
    </row>
    <row r="41" spans="1:14" ht="15">
      <c r="A41" s="1205"/>
      <c r="B41" s="86" t="s">
        <v>7838</v>
      </c>
      <c r="C41" s="117" t="s">
        <v>7839</v>
      </c>
      <c r="D41" s="88" t="s">
        <v>7840</v>
      </c>
      <c r="E41" s="88" t="s">
        <v>7841</v>
      </c>
      <c r="F41" s="89">
        <v>0</v>
      </c>
      <c r="G41" s="1230">
        <v>0</v>
      </c>
      <c r="H41" s="1772"/>
      <c r="I41" s="2004"/>
      <c r="J41" s="24">
        <f t="shared" ref="J41:J43" si="4" xml:space="preserve"> IF( SUM( L41:N41 ) = 0, 0, $M$4 )</f>
        <v>0</v>
      </c>
      <c r="K41" s="70"/>
      <c r="L41" s="71"/>
      <c r="M41" s="93">
        <f>IF(Validation!$H$3=1,0,IF(ISNUMBER(G41),0,1))</f>
        <v>0</v>
      </c>
      <c r="N41" s="71"/>
    </row>
    <row r="42" spans="1:14" ht="15">
      <c r="A42" s="1205"/>
      <c r="B42" s="1065" t="s">
        <v>7842</v>
      </c>
      <c r="C42" s="1010" t="s">
        <v>7843</v>
      </c>
      <c r="D42" s="2003" t="s">
        <v>7844</v>
      </c>
      <c r="E42" s="2003" t="s">
        <v>7841</v>
      </c>
      <c r="F42" s="1007">
        <v>0</v>
      </c>
      <c r="G42" s="1231">
        <v>973</v>
      </c>
      <c r="H42" s="1773"/>
      <c r="I42" s="2004"/>
      <c r="J42" s="24">
        <f t="shared" si="4"/>
        <v>0</v>
      </c>
      <c r="K42" s="70"/>
      <c r="L42" s="71"/>
      <c r="M42" s="93">
        <f>IF(Validation!$H$3=1,0,IF(ISNUMBER(G42),0,1))</f>
        <v>0</v>
      </c>
      <c r="N42" s="71"/>
    </row>
    <row r="43" spans="1:14" ht="15">
      <c r="A43" s="1205"/>
      <c r="B43" s="1065" t="s">
        <v>7845</v>
      </c>
      <c r="C43" s="1010" t="s">
        <v>7846</v>
      </c>
      <c r="D43" s="2003" t="s">
        <v>7847</v>
      </c>
      <c r="E43" s="2003" t="s">
        <v>7841</v>
      </c>
      <c r="F43" s="1007">
        <v>0</v>
      </c>
      <c r="G43" s="1232">
        <v>1726</v>
      </c>
      <c r="H43" s="1773"/>
      <c r="I43" s="2004"/>
      <c r="J43" s="24">
        <f t="shared" si="4"/>
        <v>0</v>
      </c>
      <c r="K43" s="70"/>
      <c r="L43" s="71"/>
      <c r="M43" s="93">
        <f>IF(Validation!$H$3=1,0,IF(ISNUMBER(G43),0,1))</f>
        <v>0</v>
      </c>
      <c r="N43" s="71"/>
    </row>
    <row r="44" spans="1:14" ht="15.75" thickBot="1">
      <c r="A44" s="1205"/>
      <c r="B44" s="1014" t="s">
        <v>7848</v>
      </c>
      <c r="C44" s="1115" t="s">
        <v>7849</v>
      </c>
      <c r="D44" s="1016" t="s">
        <v>7850</v>
      </c>
      <c r="E44" s="1016" t="s">
        <v>7841</v>
      </c>
      <c r="F44" s="1017">
        <v>0</v>
      </c>
      <c r="G44" s="2001">
        <f>+G41+G42+G43</f>
        <v>2699</v>
      </c>
      <c r="H44" s="1774"/>
      <c r="I44" s="2004"/>
      <c r="J44" s="2004"/>
      <c r="K44" s="2004"/>
      <c r="M44" s="2004"/>
    </row>
    <row r="45" spans="1:14" ht="15.75" thickBot="1">
      <c r="A45" s="1205"/>
      <c r="B45" s="1024"/>
      <c r="C45" s="1025"/>
      <c r="D45" s="1027"/>
      <c r="E45" s="1027"/>
      <c r="F45" s="1027"/>
      <c r="G45" s="1233"/>
      <c r="H45" s="1234"/>
      <c r="I45" s="2004"/>
      <c r="J45" s="2004"/>
      <c r="K45" s="2004"/>
      <c r="M45" s="2004"/>
    </row>
    <row r="46" spans="1:14" ht="15.75" thickBot="1">
      <c r="A46" s="1205"/>
      <c r="B46" s="1019" t="s">
        <v>7851</v>
      </c>
      <c r="C46" s="1020" t="s">
        <v>7852</v>
      </c>
      <c r="D46" s="1222" t="s">
        <v>7853</v>
      </c>
      <c r="E46" s="1222" t="s">
        <v>7854</v>
      </c>
      <c r="F46" s="1223">
        <v>0</v>
      </c>
      <c r="G46" s="1235">
        <v>32220066</v>
      </c>
      <c r="H46" s="1771"/>
      <c r="I46" s="2004"/>
      <c r="J46" s="24">
        <f xml:space="preserve"> IF( SUM( L46:N46 ) = 0, 0, $M$4 )</f>
        <v>0</v>
      </c>
      <c r="K46" s="70"/>
      <c r="L46" s="71"/>
      <c r="M46" s="93">
        <f>IF(Validation!$H$3=1,0,IF(ISNUMBER(G46),0,1))</f>
        <v>0</v>
      </c>
      <c r="N46" s="71"/>
    </row>
    <row r="47" spans="1:14" ht="15.75" thickBot="1">
      <c r="A47" s="1205"/>
      <c r="B47" s="1236"/>
      <c r="C47" s="1237"/>
      <c r="D47" s="1237"/>
      <c r="E47" s="1236"/>
      <c r="F47" s="1237"/>
      <c r="G47" s="1238"/>
      <c r="H47" s="1239"/>
      <c r="I47" s="2004"/>
      <c r="J47" s="2004"/>
      <c r="K47" s="2004"/>
      <c r="M47" s="2004"/>
    </row>
    <row r="48" spans="1:14" ht="15">
      <c r="A48" s="1205"/>
      <c r="B48" s="1240" t="s">
        <v>7855</v>
      </c>
      <c r="C48" s="797" t="s">
        <v>7856</v>
      </c>
      <c r="D48" s="1241" t="s">
        <v>7857</v>
      </c>
      <c r="E48" s="1241" t="s">
        <v>7841</v>
      </c>
      <c r="F48" s="1242">
        <v>0</v>
      </c>
      <c r="G48" s="1243">
        <v>0</v>
      </c>
      <c r="H48" s="1775"/>
      <c r="I48" s="2004"/>
      <c r="J48" s="24">
        <f t="shared" ref="J48:J50" si="5" xml:space="preserve"> IF( SUM( L48:N48 ) = 0, 0, $M$4 )</f>
        <v>0</v>
      </c>
      <c r="K48" s="70"/>
      <c r="L48" s="71"/>
      <c r="M48" s="93">
        <f>IF(Validation!$H$3=1,0,IF(ISNUMBER(G48),0,1))</f>
        <v>0</v>
      </c>
      <c r="N48" s="71"/>
    </row>
    <row r="49" spans="1:14" ht="15">
      <c r="A49" s="1205"/>
      <c r="B49" s="94" t="s">
        <v>7858</v>
      </c>
      <c r="C49" s="87" t="s">
        <v>7859</v>
      </c>
      <c r="D49" s="95" t="s">
        <v>7860</v>
      </c>
      <c r="E49" s="95" t="s">
        <v>7841</v>
      </c>
      <c r="F49" s="96">
        <v>0</v>
      </c>
      <c r="G49" s="1244">
        <v>4</v>
      </c>
      <c r="H49" s="1124"/>
      <c r="I49" s="2004"/>
      <c r="J49" s="24">
        <f t="shared" si="5"/>
        <v>0</v>
      </c>
      <c r="K49" s="70"/>
      <c r="L49" s="71"/>
      <c r="M49" s="93">
        <f>IF(Validation!$H$3=1,0,IF(ISNUMBER(G49),0,1))</f>
        <v>0</v>
      </c>
      <c r="N49" s="71"/>
    </row>
    <row r="50" spans="1:14" ht="15">
      <c r="A50" s="1205"/>
      <c r="B50" s="1245" t="s">
        <v>7861</v>
      </c>
      <c r="C50" s="171" t="s">
        <v>7862</v>
      </c>
      <c r="D50" s="167" t="s">
        <v>7863</v>
      </c>
      <c r="E50" s="2003" t="s">
        <v>7841</v>
      </c>
      <c r="F50" s="168">
        <v>0</v>
      </c>
      <c r="G50" s="2000">
        <v>4541</v>
      </c>
      <c r="H50" s="1776"/>
      <c r="I50" s="2004"/>
      <c r="J50" s="24">
        <f t="shared" si="5"/>
        <v>0</v>
      </c>
      <c r="K50" s="70"/>
      <c r="L50" s="71"/>
      <c r="M50" s="93">
        <f>IF(Validation!$H$3=1,0,IF(ISNUMBER(G50),0,1))</f>
        <v>0</v>
      </c>
      <c r="N50" s="71"/>
    </row>
    <row r="51" spans="1:14" ht="15.75" thickBot="1">
      <c r="A51" s="1205"/>
      <c r="B51" s="1014" t="s">
        <v>7864</v>
      </c>
      <c r="C51" s="1115" t="s">
        <v>7865</v>
      </c>
      <c r="D51" s="1016" t="s">
        <v>7866</v>
      </c>
      <c r="E51" s="1016" t="s">
        <v>7841</v>
      </c>
      <c r="F51" s="1017">
        <v>0</v>
      </c>
      <c r="G51" s="2001">
        <f>+G48+G49+G50</f>
        <v>4545</v>
      </c>
      <c r="H51" s="1774"/>
      <c r="I51" s="2004"/>
      <c r="J51" s="2004"/>
      <c r="K51" s="2004"/>
      <c r="M51" s="2004"/>
    </row>
    <row r="52" spans="1:14" ht="15.75" thickBot="1">
      <c r="A52" s="1205"/>
      <c r="B52" s="1024"/>
      <c r="C52" s="1025"/>
      <c r="D52" s="1027"/>
      <c r="E52" s="1027"/>
      <c r="F52" s="1027"/>
      <c r="G52" s="1233"/>
      <c r="H52" s="1234"/>
      <c r="I52" s="2004"/>
      <c r="J52" s="2004"/>
      <c r="K52" s="2004"/>
      <c r="M52" s="2004"/>
    </row>
    <row r="53" spans="1:14" ht="15.75" thickBot="1">
      <c r="A53" s="1205"/>
      <c r="B53" s="1019" t="s">
        <v>7867</v>
      </c>
      <c r="C53" s="1020" t="s">
        <v>7868</v>
      </c>
      <c r="D53" s="1222" t="s">
        <v>7869</v>
      </c>
      <c r="E53" s="1222" t="s">
        <v>7854</v>
      </c>
      <c r="F53" s="1223">
        <v>0</v>
      </c>
      <c r="G53" s="1235">
        <v>81192</v>
      </c>
      <c r="H53" s="1771"/>
      <c r="I53" s="2004"/>
      <c r="J53" s="24">
        <f xml:space="preserve"> IF( SUM( L53:N53 ) = 0, 0, $M$4 )</f>
        <v>0</v>
      </c>
      <c r="K53" s="70"/>
      <c r="L53" s="71"/>
      <c r="M53" s="93">
        <f>IF(Validation!$H$3=1,0,IF(ISNUMBER(G53),0,1))</f>
        <v>0</v>
      </c>
      <c r="N53" s="71"/>
    </row>
    <row r="54" spans="1:14" ht="15.75" thickBot="1">
      <c r="A54" s="1205"/>
      <c r="B54" s="1219"/>
      <c r="C54" s="1219"/>
      <c r="D54" s="1219"/>
      <c r="E54" s="1219"/>
      <c r="F54" s="1219"/>
      <c r="G54" s="1246"/>
      <c r="H54" s="1246"/>
      <c r="I54" s="2004"/>
      <c r="J54" s="2004"/>
      <c r="K54" s="2004"/>
      <c r="M54" s="2004"/>
    </row>
    <row r="55" spans="1:14" ht="15.75" thickBot="1">
      <c r="A55" s="1205"/>
      <c r="B55" s="1019" t="s">
        <v>7870</v>
      </c>
      <c r="C55" s="1020" t="s">
        <v>7871</v>
      </c>
      <c r="D55" s="1222" t="s">
        <v>7872</v>
      </c>
      <c r="E55" s="1222" t="s">
        <v>734</v>
      </c>
      <c r="F55" s="1223">
        <v>2</v>
      </c>
      <c r="G55" s="1663">
        <v>3.1699999999999999E-2</v>
      </c>
      <c r="H55" s="1771"/>
      <c r="I55" s="2004"/>
      <c r="J55" s="24">
        <f xml:space="preserve"> IF( SUM( L55:N55 ) = 0, 0, $M$4 )</f>
        <v>0</v>
      </c>
      <c r="K55" s="70"/>
      <c r="L55" s="71"/>
      <c r="M55" s="93">
        <f>IF(Validation!$H$3=1,0,IF(ISNUMBER(G55),0,1))</f>
        <v>0</v>
      </c>
      <c r="N55" s="71"/>
    </row>
    <row r="56" spans="1:14" ht="15">
      <c r="A56" s="1205"/>
      <c r="B56" s="1024"/>
      <c r="C56" s="1025"/>
      <c r="D56" s="1027"/>
      <c r="E56" s="1027"/>
      <c r="F56" s="1027"/>
      <c r="G56" s="1027"/>
      <c r="H56" s="1027"/>
      <c r="I56" s="2004"/>
      <c r="J56" s="2004"/>
      <c r="K56" s="2004"/>
      <c r="M56" s="2004"/>
    </row>
    <row r="57" spans="1:14" ht="15">
      <c r="A57" s="1205"/>
      <c r="B57" s="3581" t="s">
        <v>243</v>
      </c>
      <c r="C57" s="3581"/>
      <c r="D57" s="1025"/>
      <c r="E57" s="1026"/>
      <c r="F57" s="1027"/>
      <c r="G57" s="2004"/>
      <c r="H57" s="2004"/>
      <c r="I57" s="2004"/>
      <c r="J57" s="2004"/>
      <c r="K57" s="2004"/>
      <c r="M57" s="2004"/>
    </row>
    <row r="58" spans="1:14" ht="15">
      <c r="A58" s="1205"/>
      <c r="B58" s="1024"/>
      <c r="C58" s="1031"/>
      <c r="D58" s="1025"/>
      <c r="E58" s="1026"/>
      <c r="F58" s="1027"/>
      <c r="G58" s="2004"/>
      <c r="H58" s="2004"/>
      <c r="I58" s="2004"/>
      <c r="J58" s="2004"/>
      <c r="K58" s="2004"/>
      <c r="M58" s="2004"/>
    </row>
    <row r="59" spans="1:14" ht="15">
      <c r="A59" s="1205"/>
      <c r="B59" s="1247"/>
      <c r="C59" s="1125" t="s">
        <v>190</v>
      </c>
      <c r="D59" s="959"/>
      <c r="E59" s="1216"/>
      <c r="F59" s="1216"/>
      <c r="G59" s="2004"/>
      <c r="H59" s="2004"/>
      <c r="I59" s="2004"/>
      <c r="J59" s="2004"/>
      <c r="K59" s="2004"/>
      <c r="M59" s="2004"/>
    </row>
    <row r="60" spans="1:14" ht="15">
      <c r="A60" s="1205"/>
      <c r="B60" s="1248"/>
      <c r="C60" s="1125"/>
      <c r="D60" s="959"/>
      <c r="E60" s="1216"/>
      <c r="F60" s="1216"/>
      <c r="G60" s="2004"/>
      <c r="H60" s="2004"/>
      <c r="I60" s="2004"/>
      <c r="J60" s="2004"/>
      <c r="K60" s="2004"/>
      <c r="M60" s="2004"/>
    </row>
    <row r="61" spans="1:14" ht="15.75">
      <c r="A61" s="2004"/>
      <c r="B61" s="960"/>
      <c r="C61" s="1249" t="s">
        <v>5294</v>
      </c>
      <c r="D61" s="995"/>
      <c r="E61" s="995"/>
      <c r="F61" s="995"/>
      <c r="G61" s="2004"/>
      <c r="H61" s="2004"/>
      <c r="I61" s="2004"/>
      <c r="J61" s="2004"/>
      <c r="K61" s="2004"/>
      <c r="M61" s="2004"/>
    </row>
    <row r="62" spans="1:14">
      <c r="A62" s="2004"/>
      <c r="B62" s="2004"/>
      <c r="C62" s="2004"/>
      <c r="D62" s="2004"/>
      <c r="E62" s="2004"/>
      <c r="F62" s="2004"/>
      <c r="G62" s="2004"/>
      <c r="H62" s="2004"/>
      <c r="I62" s="2004"/>
      <c r="J62" s="2004"/>
      <c r="K62" s="2004"/>
      <c r="M62" s="2004"/>
    </row>
    <row r="63" spans="1:14" ht="15" thickBot="1">
      <c r="A63" s="2004"/>
      <c r="B63" s="2004"/>
      <c r="C63" s="2004"/>
      <c r="D63" s="2004"/>
      <c r="E63" s="2004"/>
      <c r="F63" s="2004"/>
      <c r="G63" s="2004"/>
      <c r="H63" s="2004"/>
      <c r="I63" s="2004"/>
      <c r="J63" s="2004"/>
      <c r="K63" s="2004"/>
      <c r="M63" s="2004"/>
    </row>
    <row r="64" spans="1:14" ht="16.5" thickBot="1">
      <c r="A64" s="2004"/>
      <c r="B64" s="3031" t="str">
        <f>'4Q'!B46</f>
        <v>Please refer to RAG 4.08 - Guideline for the table definitions in the annual performance report for the reporting year 2019-20</v>
      </c>
      <c r="C64" s="3046"/>
      <c r="D64" s="3046"/>
      <c r="E64" s="3046"/>
      <c r="F64" s="3046"/>
      <c r="G64" s="3046"/>
      <c r="H64" s="3046"/>
      <c r="I64" s="3046"/>
      <c r="J64" s="3047"/>
      <c r="K64" s="2004"/>
      <c r="M64" s="2004"/>
    </row>
    <row r="65" spans="1:10">
      <c r="A65" s="2004"/>
      <c r="B65" s="2004"/>
      <c r="C65" s="2004"/>
      <c r="D65" s="2004"/>
      <c r="E65" s="2004"/>
      <c r="F65" s="2004"/>
      <c r="G65" s="2004"/>
      <c r="H65" s="2004"/>
      <c r="I65" s="2004"/>
      <c r="J65" s="2004"/>
    </row>
    <row r="66" spans="1:10" ht="16.5" hidden="1" thickBot="1">
      <c r="A66" s="1602"/>
      <c r="B66" s="3428" t="str">
        <f ca="1" xml:space="preserve"> RIGHT(CELL("filename", $A$1), LEN(CELL("filename", $A$1)) - SEARCH("]", CELL("filename", $A$1)))&amp;" - Line definitions"</f>
        <v>4R - Line definitions</v>
      </c>
      <c r="C66" s="3489"/>
      <c r="D66" s="3489"/>
      <c r="E66" s="3489"/>
      <c r="F66" s="3489"/>
      <c r="G66" s="3489"/>
      <c r="H66" s="3489"/>
      <c r="I66" s="3489"/>
      <c r="J66" s="3490"/>
    </row>
    <row r="67" spans="1:10" ht="15.75" hidden="1" thickBot="1">
      <c r="A67" s="1602"/>
      <c r="B67" s="1190"/>
      <c r="C67" s="1190"/>
      <c r="D67" s="1190"/>
      <c r="E67" s="1190"/>
      <c r="F67" s="1190"/>
      <c r="G67" s="1190"/>
      <c r="H67" s="1190"/>
      <c r="I67" s="1190"/>
      <c r="J67" s="1190"/>
    </row>
    <row r="68" spans="1:10" ht="15" hidden="1" thickBot="1">
      <c r="A68" s="1602"/>
      <c r="B68" s="1072" t="s">
        <v>193</v>
      </c>
      <c r="C68" s="3582" t="s">
        <v>6886</v>
      </c>
      <c r="D68" s="3583"/>
      <c r="E68" s="3583"/>
      <c r="F68" s="3583"/>
      <c r="G68" s="3583"/>
      <c r="H68" s="3583"/>
      <c r="I68" s="3583"/>
      <c r="J68" s="3584"/>
    </row>
    <row r="69" spans="1:10" ht="14.25" hidden="1" customHeight="1">
      <c r="A69" s="1602"/>
      <c r="B69" s="1127">
        <v>1</v>
      </c>
      <c r="C69" s="3585" t="s">
        <v>7873</v>
      </c>
      <c r="D69" s="3586"/>
      <c r="E69" s="3586"/>
      <c r="F69" s="3586"/>
      <c r="G69" s="3586"/>
      <c r="H69" s="3586"/>
      <c r="I69" s="3586"/>
      <c r="J69" s="3587"/>
    </row>
    <row r="70" spans="1:10" hidden="1">
      <c r="A70" s="1602"/>
      <c r="B70" s="1250">
        <f>+B69+1</f>
        <v>2</v>
      </c>
      <c r="C70" s="3321" t="s">
        <v>7874</v>
      </c>
      <c r="D70" s="3322"/>
      <c r="E70" s="3322"/>
      <c r="F70" s="3322"/>
      <c r="G70" s="3322"/>
      <c r="H70" s="3322"/>
      <c r="I70" s="3322"/>
      <c r="J70" s="3323"/>
    </row>
    <row r="71" spans="1:10" ht="26.85" hidden="1" customHeight="1">
      <c r="A71" s="1602"/>
      <c r="B71" s="1250">
        <f t="shared" ref="B71:B90" si="6">+B70+1</f>
        <v>3</v>
      </c>
      <c r="C71" s="3321" t="s">
        <v>7875</v>
      </c>
      <c r="D71" s="3322"/>
      <c r="E71" s="3322"/>
      <c r="F71" s="3322"/>
      <c r="G71" s="3322"/>
      <c r="H71" s="3322"/>
      <c r="I71" s="3322"/>
      <c r="J71" s="3323"/>
    </row>
    <row r="72" spans="1:10" ht="26.45" hidden="1" customHeight="1">
      <c r="A72" s="1602"/>
      <c r="B72" s="1250">
        <f t="shared" si="6"/>
        <v>4</v>
      </c>
      <c r="C72" s="3321" t="s">
        <v>7876</v>
      </c>
      <c r="D72" s="3322"/>
      <c r="E72" s="3322"/>
      <c r="F72" s="3322"/>
      <c r="G72" s="3322"/>
      <c r="H72" s="3322"/>
      <c r="I72" s="3322"/>
      <c r="J72" s="3323"/>
    </row>
    <row r="73" spans="1:10" ht="28.35" hidden="1" customHeight="1">
      <c r="A73" s="1602"/>
      <c r="B73" s="1250">
        <f t="shared" si="6"/>
        <v>5</v>
      </c>
      <c r="C73" s="3321" t="s">
        <v>7877</v>
      </c>
      <c r="D73" s="3322"/>
      <c r="E73" s="3322"/>
      <c r="F73" s="3322"/>
      <c r="G73" s="3322"/>
      <c r="H73" s="3322"/>
      <c r="I73" s="3322"/>
      <c r="J73" s="3323"/>
    </row>
    <row r="74" spans="1:10" ht="24" hidden="1" customHeight="1">
      <c r="A74" s="1602"/>
      <c r="B74" s="1250">
        <f t="shared" si="6"/>
        <v>6</v>
      </c>
      <c r="C74" s="3321" t="s">
        <v>7878</v>
      </c>
      <c r="D74" s="3322"/>
      <c r="E74" s="3322"/>
      <c r="F74" s="3322"/>
      <c r="G74" s="3322"/>
      <c r="H74" s="3322"/>
      <c r="I74" s="3322"/>
      <c r="J74" s="3323"/>
    </row>
    <row r="75" spans="1:10" ht="27.75" hidden="1" customHeight="1">
      <c r="A75" s="1602"/>
      <c r="B75" s="1250">
        <f t="shared" si="6"/>
        <v>7</v>
      </c>
      <c r="C75" s="3321" t="s">
        <v>7879</v>
      </c>
      <c r="D75" s="3322"/>
      <c r="E75" s="3322"/>
      <c r="F75" s="3322"/>
      <c r="G75" s="3322"/>
      <c r="H75" s="3322"/>
      <c r="I75" s="3322"/>
      <c r="J75" s="3323"/>
    </row>
    <row r="76" spans="1:10" ht="14.25" hidden="1" customHeight="1">
      <c r="A76" s="1602"/>
      <c r="B76" s="1250">
        <f t="shared" si="6"/>
        <v>8</v>
      </c>
      <c r="C76" s="3321" t="s">
        <v>7880</v>
      </c>
      <c r="D76" s="3322"/>
      <c r="E76" s="3322"/>
      <c r="F76" s="3322"/>
      <c r="G76" s="3322"/>
      <c r="H76" s="3322"/>
      <c r="I76" s="3322"/>
      <c r="J76" s="3323"/>
    </row>
    <row r="77" spans="1:10" ht="39.200000000000003" hidden="1" customHeight="1">
      <c r="A77" s="1602"/>
      <c r="B77" s="1250">
        <f t="shared" si="6"/>
        <v>9</v>
      </c>
      <c r="C77" s="3321" t="s">
        <v>7881</v>
      </c>
      <c r="D77" s="3322"/>
      <c r="E77" s="3322"/>
      <c r="F77" s="3322"/>
      <c r="G77" s="3322"/>
      <c r="H77" s="3322"/>
      <c r="I77" s="3322"/>
      <c r="J77" s="3323"/>
    </row>
    <row r="78" spans="1:10" hidden="1">
      <c r="A78" s="1602"/>
      <c r="B78" s="1250">
        <f t="shared" si="6"/>
        <v>10</v>
      </c>
      <c r="C78" s="3321" t="s">
        <v>7882</v>
      </c>
      <c r="D78" s="3322"/>
      <c r="E78" s="3322"/>
      <c r="F78" s="3322"/>
      <c r="G78" s="3322"/>
      <c r="H78" s="3322"/>
      <c r="I78" s="3322"/>
      <c r="J78" s="3323"/>
    </row>
    <row r="79" spans="1:10" ht="26.45" hidden="1" customHeight="1">
      <c r="A79" s="1602"/>
      <c r="B79" s="1250">
        <f t="shared" si="6"/>
        <v>11</v>
      </c>
      <c r="C79" s="3321" t="s">
        <v>7883</v>
      </c>
      <c r="D79" s="3322"/>
      <c r="E79" s="3322"/>
      <c r="F79" s="3322"/>
      <c r="G79" s="3322"/>
      <c r="H79" s="3322"/>
      <c r="I79" s="3322"/>
      <c r="J79" s="3323"/>
    </row>
    <row r="80" spans="1:10" hidden="1">
      <c r="A80" s="1602"/>
      <c r="B80" s="1250">
        <f t="shared" si="6"/>
        <v>12</v>
      </c>
      <c r="C80" s="3321" t="s">
        <v>7884</v>
      </c>
      <c r="D80" s="3322"/>
      <c r="E80" s="3322"/>
      <c r="F80" s="3322"/>
      <c r="G80" s="3322"/>
      <c r="H80" s="3322"/>
      <c r="I80" s="3322"/>
      <c r="J80" s="3323"/>
    </row>
    <row r="81" spans="1:13" ht="26.45" hidden="1" customHeight="1">
      <c r="A81" s="1602"/>
      <c r="B81" s="1250">
        <f t="shared" si="6"/>
        <v>13</v>
      </c>
      <c r="C81" s="3321" t="s">
        <v>7885</v>
      </c>
      <c r="D81" s="3322"/>
      <c r="E81" s="3322"/>
      <c r="F81" s="3322"/>
      <c r="G81" s="3322"/>
      <c r="H81" s="3322"/>
      <c r="I81" s="3322"/>
      <c r="J81" s="3323"/>
      <c r="K81" s="2004"/>
      <c r="M81" s="2004"/>
    </row>
    <row r="82" spans="1:13" hidden="1">
      <c r="A82" s="1602"/>
      <c r="B82" s="1250">
        <f t="shared" si="6"/>
        <v>14</v>
      </c>
      <c r="C82" s="3321" t="s">
        <v>7886</v>
      </c>
      <c r="D82" s="3322"/>
      <c r="E82" s="3322"/>
      <c r="F82" s="3322"/>
      <c r="G82" s="3322"/>
      <c r="H82" s="3322"/>
      <c r="I82" s="3322"/>
      <c r="J82" s="3323"/>
      <c r="K82" s="2004"/>
      <c r="M82" s="2004"/>
    </row>
    <row r="83" spans="1:13" ht="54" hidden="1" customHeight="1">
      <c r="A83" s="1602"/>
      <c r="B83" s="1250">
        <f t="shared" si="6"/>
        <v>15</v>
      </c>
      <c r="C83" s="3321" t="s">
        <v>7887</v>
      </c>
      <c r="D83" s="3322"/>
      <c r="E83" s="3322"/>
      <c r="F83" s="3322"/>
      <c r="G83" s="3322"/>
      <c r="H83" s="3322"/>
      <c r="I83" s="3322"/>
      <c r="J83" s="3323"/>
      <c r="K83" s="2004"/>
      <c r="M83" s="2004"/>
    </row>
    <row r="84" spans="1:13" ht="14.25" hidden="1" customHeight="1">
      <c r="A84" s="1602"/>
      <c r="B84" s="1250">
        <f t="shared" si="6"/>
        <v>16</v>
      </c>
      <c r="C84" s="3321" t="s">
        <v>7888</v>
      </c>
      <c r="D84" s="3322"/>
      <c r="E84" s="3322"/>
      <c r="F84" s="3322"/>
      <c r="G84" s="3322"/>
      <c r="H84" s="3322"/>
      <c r="I84" s="3322"/>
      <c r="J84" s="3323"/>
      <c r="K84" s="2004"/>
      <c r="M84" s="2004"/>
    </row>
    <row r="85" spans="1:13" ht="14.25" hidden="1" customHeight="1">
      <c r="A85" s="1602"/>
      <c r="B85" s="1250">
        <f t="shared" si="6"/>
        <v>17</v>
      </c>
      <c r="C85" s="3321" t="s">
        <v>7889</v>
      </c>
      <c r="D85" s="3322"/>
      <c r="E85" s="3322"/>
      <c r="F85" s="3322"/>
      <c r="G85" s="3322"/>
      <c r="H85" s="3322"/>
      <c r="I85" s="3322"/>
      <c r="J85" s="3323"/>
      <c r="K85" s="2004"/>
      <c r="M85" s="2004"/>
    </row>
    <row r="86" spans="1:13" ht="14.25" hidden="1" customHeight="1">
      <c r="A86" s="1602"/>
      <c r="B86" s="1250">
        <f t="shared" si="6"/>
        <v>18</v>
      </c>
      <c r="C86" s="3321" t="s">
        <v>7890</v>
      </c>
      <c r="D86" s="3322"/>
      <c r="E86" s="3322"/>
      <c r="F86" s="3322"/>
      <c r="G86" s="3322"/>
      <c r="H86" s="3322"/>
      <c r="I86" s="3322"/>
      <c r="J86" s="3323"/>
      <c r="K86" s="2004"/>
      <c r="M86" s="2004"/>
    </row>
    <row r="87" spans="1:13" ht="14.25" hidden="1" customHeight="1">
      <c r="A87" s="1602"/>
      <c r="B87" s="1250">
        <f t="shared" si="6"/>
        <v>19</v>
      </c>
      <c r="C87" s="3321" t="s">
        <v>7891</v>
      </c>
      <c r="D87" s="3322"/>
      <c r="E87" s="3322"/>
      <c r="F87" s="3322"/>
      <c r="G87" s="3322"/>
      <c r="H87" s="3322"/>
      <c r="I87" s="3322"/>
      <c r="J87" s="3323"/>
      <c r="K87" s="2004"/>
      <c r="M87" s="2004"/>
    </row>
    <row r="88" spans="1:13" ht="14.25" hidden="1" customHeight="1">
      <c r="A88" s="1602"/>
      <c r="B88" s="1250">
        <f t="shared" si="6"/>
        <v>20</v>
      </c>
      <c r="C88" s="3321" t="s">
        <v>7892</v>
      </c>
      <c r="D88" s="3322"/>
      <c r="E88" s="3322"/>
      <c r="F88" s="3322"/>
      <c r="G88" s="3322"/>
      <c r="H88" s="3322"/>
      <c r="I88" s="3322"/>
      <c r="J88" s="3323"/>
      <c r="K88" s="2004"/>
      <c r="M88" s="2004"/>
    </row>
    <row r="89" spans="1:13" hidden="1">
      <c r="A89" s="1602"/>
      <c r="B89" s="1250">
        <f t="shared" si="6"/>
        <v>21</v>
      </c>
      <c r="C89" s="3321" t="s">
        <v>7893</v>
      </c>
      <c r="D89" s="3322"/>
      <c r="E89" s="3322"/>
      <c r="F89" s="3322"/>
      <c r="G89" s="3322"/>
      <c r="H89" s="3322"/>
      <c r="I89" s="3322"/>
      <c r="J89" s="3323"/>
      <c r="K89" s="2004"/>
      <c r="M89" s="2004"/>
    </row>
    <row r="90" spans="1:13" ht="15" hidden="1" customHeight="1" thickBot="1">
      <c r="A90" s="1602"/>
      <c r="B90" s="1251">
        <f t="shared" si="6"/>
        <v>22</v>
      </c>
      <c r="C90" s="3321" t="s">
        <v>7894</v>
      </c>
      <c r="D90" s="3322"/>
      <c r="E90" s="3322"/>
      <c r="F90" s="3322"/>
      <c r="G90" s="3322"/>
      <c r="H90" s="3322"/>
      <c r="I90" s="3322"/>
      <c r="J90" s="3323"/>
      <c r="K90" s="2004"/>
      <c r="M90" s="2004"/>
    </row>
    <row r="91" spans="1:13" ht="15" hidden="1" thickBot="1">
      <c r="A91" s="1602"/>
      <c r="B91" s="2004"/>
      <c r="C91" s="2004"/>
      <c r="D91" s="2004"/>
      <c r="E91" s="2004"/>
      <c r="F91" s="2004"/>
      <c r="G91" s="2004"/>
      <c r="H91" s="2004"/>
      <c r="I91" s="2004"/>
      <c r="J91" s="2004"/>
      <c r="K91" s="2004"/>
      <c r="M91" s="2004"/>
    </row>
    <row r="92" spans="1:13" ht="16.5" hidden="1" thickBot="1">
      <c r="A92" s="1602"/>
      <c r="B92" s="34" t="s">
        <v>7895</v>
      </c>
      <c r="C92" s="961"/>
      <c r="D92" s="961"/>
      <c r="E92" s="962"/>
      <c r="F92" s="962"/>
      <c r="G92" s="962"/>
      <c r="H92" s="962"/>
      <c r="I92" s="962"/>
      <c r="J92" s="963"/>
      <c r="K92" s="2004"/>
      <c r="M92" s="2004"/>
    </row>
    <row r="93" spans="1:13" ht="41.25" hidden="1" customHeight="1">
      <c r="A93" s="2053"/>
      <c r="B93" s="1250">
        <f>+B90+1</f>
        <v>23</v>
      </c>
      <c r="C93" s="3575" t="s">
        <v>7896</v>
      </c>
      <c r="D93" s="3576"/>
      <c r="E93" s="3576"/>
      <c r="F93" s="3576"/>
      <c r="G93" s="3576"/>
      <c r="H93" s="3576"/>
      <c r="I93" s="3576"/>
      <c r="J93" s="3577"/>
      <c r="K93" s="2054"/>
      <c r="L93" s="2055"/>
      <c r="M93" s="2051" t="s">
        <v>7897</v>
      </c>
    </row>
    <row r="94" spans="1:13" ht="42" hidden="1" customHeight="1">
      <c r="A94" s="2053"/>
      <c r="B94" s="1250">
        <f t="shared" ref="B94:B111" si="7">+B93+1</f>
        <v>24</v>
      </c>
      <c r="C94" s="3575" t="s">
        <v>7898</v>
      </c>
      <c r="D94" s="3576"/>
      <c r="E94" s="3576"/>
      <c r="F94" s="3576"/>
      <c r="G94" s="3576"/>
      <c r="H94" s="3576"/>
      <c r="I94" s="3576"/>
      <c r="J94" s="3577"/>
      <c r="K94" s="2054"/>
      <c r="L94" s="2055"/>
      <c r="M94" s="2051"/>
    </row>
    <row r="95" spans="1:13" hidden="1">
      <c r="A95" s="2053"/>
      <c r="B95" s="1250">
        <f t="shared" si="7"/>
        <v>25</v>
      </c>
      <c r="C95" s="3575" t="s">
        <v>7899</v>
      </c>
      <c r="D95" s="3576"/>
      <c r="E95" s="3576"/>
      <c r="F95" s="3576"/>
      <c r="G95" s="3576"/>
      <c r="H95" s="3576"/>
      <c r="I95" s="3576"/>
      <c r="J95" s="3577"/>
      <c r="K95" s="2054"/>
      <c r="L95" s="2055"/>
      <c r="M95" s="2004"/>
    </row>
    <row r="96" spans="1:13" ht="34.5" hidden="1" customHeight="1">
      <c r="A96" s="2053"/>
      <c r="B96" s="1250">
        <f t="shared" si="7"/>
        <v>26</v>
      </c>
      <c r="C96" s="3575" t="s">
        <v>7900</v>
      </c>
      <c r="D96" s="3576"/>
      <c r="E96" s="3576"/>
      <c r="F96" s="3576"/>
      <c r="G96" s="3576"/>
      <c r="H96" s="3576"/>
      <c r="I96" s="3576"/>
      <c r="J96" s="3577"/>
      <c r="K96" s="2056"/>
      <c r="L96" s="2055"/>
      <c r="M96" s="2004"/>
    </row>
    <row r="97" spans="1:14" s="2004" customFormat="1" ht="45.75" hidden="1" customHeight="1">
      <c r="A97" s="2053"/>
      <c r="B97" s="1250">
        <f t="shared" si="7"/>
        <v>27</v>
      </c>
      <c r="C97" s="3578" t="s">
        <v>7901</v>
      </c>
      <c r="D97" s="3579"/>
      <c r="E97" s="3579"/>
      <c r="F97" s="3579"/>
      <c r="G97" s="3579"/>
      <c r="H97" s="3579"/>
      <c r="I97" s="3579"/>
      <c r="J97" s="3580"/>
      <c r="K97" s="2056"/>
      <c r="L97" s="2055"/>
      <c r="N97" s="1665"/>
    </row>
    <row r="98" spans="1:14" ht="84.2" hidden="1" customHeight="1">
      <c r="A98" s="2053"/>
      <c r="B98" s="1250">
        <f t="shared" si="7"/>
        <v>28</v>
      </c>
      <c r="C98" s="3575" t="s">
        <v>7902</v>
      </c>
      <c r="D98" s="3576"/>
      <c r="E98" s="3576"/>
      <c r="F98" s="3576"/>
      <c r="G98" s="3576"/>
      <c r="H98" s="3576"/>
      <c r="I98" s="3576"/>
      <c r="J98" s="3577"/>
      <c r="K98" s="2054"/>
      <c r="L98" s="2055"/>
      <c r="M98" s="2004"/>
    </row>
    <row r="99" spans="1:14" ht="94.7" hidden="1" customHeight="1">
      <c r="A99" s="2053"/>
      <c r="B99" s="1250">
        <f t="shared" si="7"/>
        <v>29</v>
      </c>
      <c r="C99" s="3575" t="s">
        <v>7903</v>
      </c>
      <c r="D99" s="3576"/>
      <c r="E99" s="3576"/>
      <c r="F99" s="3576"/>
      <c r="G99" s="3576"/>
      <c r="H99" s="3576"/>
      <c r="I99" s="3576"/>
      <c r="J99" s="3577"/>
      <c r="K99" s="2054"/>
      <c r="L99" s="2055"/>
      <c r="M99" s="2004"/>
    </row>
    <row r="100" spans="1:14" ht="19.350000000000001" hidden="1" customHeight="1">
      <c r="A100" s="2053"/>
      <c r="B100" s="1250">
        <f t="shared" si="7"/>
        <v>30</v>
      </c>
      <c r="C100" s="3575" t="s">
        <v>7904</v>
      </c>
      <c r="D100" s="3576"/>
      <c r="E100" s="3576"/>
      <c r="F100" s="3576"/>
      <c r="G100" s="3576"/>
      <c r="H100" s="3576"/>
      <c r="I100" s="3576"/>
      <c r="J100" s="3577"/>
      <c r="K100" s="2054"/>
      <c r="L100" s="2055"/>
      <c r="M100" s="2004"/>
    </row>
    <row r="101" spans="1:14" ht="55.5" hidden="1" customHeight="1">
      <c r="A101" s="2053"/>
      <c r="B101" s="1250">
        <f t="shared" si="7"/>
        <v>31</v>
      </c>
      <c r="C101" s="3575" t="s">
        <v>7905</v>
      </c>
      <c r="D101" s="3576"/>
      <c r="E101" s="3576"/>
      <c r="F101" s="3576"/>
      <c r="G101" s="3576"/>
      <c r="H101" s="3576"/>
      <c r="I101" s="3576"/>
      <c r="J101" s="3577"/>
      <c r="K101" s="2054"/>
      <c r="L101" s="2055"/>
      <c r="M101" s="2004"/>
    </row>
    <row r="102" spans="1:14" ht="69" hidden="1" customHeight="1">
      <c r="A102" s="2053"/>
      <c r="B102" s="1250">
        <f t="shared" si="7"/>
        <v>32</v>
      </c>
      <c r="C102" s="3575" t="s">
        <v>7906</v>
      </c>
      <c r="D102" s="3576"/>
      <c r="E102" s="3576"/>
      <c r="F102" s="3576"/>
      <c r="G102" s="3576"/>
      <c r="H102" s="3576"/>
      <c r="I102" s="3576"/>
      <c r="J102" s="3577"/>
      <c r="K102" s="2054"/>
      <c r="L102" s="2055"/>
      <c r="M102" s="2004"/>
    </row>
    <row r="103" spans="1:14" ht="64.349999999999994" hidden="1" customHeight="1">
      <c r="A103" s="2053"/>
      <c r="B103" s="1250">
        <f t="shared" si="7"/>
        <v>33</v>
      </c>
      <c r="C103" s="3575" t="s">
        <v>7907</v>
      </c>
      <c r="D103" s="3576"/>
      <c r="E103" s="3576"/>
      <c r="F103" s="3576"/>
      <c r="G103" s="3576"/>
      <c r="H103" s="3576"/>
      <c r="I103" s="3576"/>
      <c r="J103" s="3577"/>
      <c r="K103" s="2054"/>
      <c r="L103" s="2055"/>
      <c r="M103" s="2004"/>
    </row>
    <row r="104" spans="1:14" hidden="1">
      <c r="A104" s="2053"/>
      <c r="B104" s="1250">
        <f t="shared" si="7"/>
        <v>34</v>
      </c>
      <c r="C104" s="3575" t="s">
        <v>7908</v>
      </c>
      <c r="D104" s="3576"/>
      <c r="E104" s="3576"/>
      <c r="F104" s="3576"/>
      <c r="G104" s="3576"/>
      <c r="H104" s="3576"/>
      <c r="I104" s="3576"/>
      <c r="J104" s="3577"/>
      <c r="K104" s="2054"/>
      <c r="L104" s="2055"/>
      <c r="M104" s="2004"/>
    </row>
    <row r="105" spans="1:14" ht="70.5" hidden="1" customHeight="1">
      <c r="A105" s="2053"/>
      <c r="B105" s="1250">
        <f t="shared" si="7"/>
        <v>35</v>
      </c>
      <c r="C105" s="3575" t="s">
        <v>7909</v>
      </c>
      <c r="D105" s="3576"/>
      <c r="E105" s="3576"/>
      <c r="F105" s="3576"/>
      <c r="G105" s="3576"/>
      <c r="H105" s="3576"/>
      <c r="I105" s="3576"/>
      <c r="J105" s="3577"/>
      <c r="K105" s="2054"/>
      <c r="L105" s="2055"/>
      <c r="M105" s="2004"/>
    </row>
    <row r="106" spans="1:14" ht="56.25" hidden="1" customHeight="1">
      <c r="A106" s="2053"/>
      <c r="B106" s="1250">
        <f t="shared" si="7"/>
        <v>36</v>
      </c>
      <c r="C106" s="3575" t="s">
        <v>7910</v>
      </c>
      <c r="D106" s="3576"/>
      <c r="E106" s="3576"/>
      <c r="F106" s="3576"/>
      <c r="G106" s="3576"/>
      <c r="H106" s="3576"/>
      <c r="I106" s="3576"/>
      <c r="J106" s="3577"/>
      <c r="K106" s="2054"/>
      <c r="L106" s="2055"/>
      <c r="M106" s="2004"/>
    </row>
    <row r="107" spans="1:14" ht="66.75" hidden="1" customHeight="1">
      <c r="A107" s="2053"/>
      <c r="B107" s="1250">
        <f t="shared" si="7"/>
        <v>37</v>
      </c>
      <c r="C107" s="3575" t="s">
        <v>7911</v>
      </c>
      <c r="D107" s="3576"/>
      <c r="E107" s="3576"/>
      <c r="F107" s="3576"/>
      <c r="G107" s="3576"/>
      <c r="H107" s="3576"/>
      <c r="I107" s="3576"/>
      <c r="J107" s="3577"/>
      <c r="K107" s="2054"/>
      <c r="L107" s="2055"/>
      <c r="M107" s="2004"/>
    </row>
    <row r="108" spans="1:14" ht="54" hidden="1" customHeight="1">
      <c r="A108" s="2053"/>
      <c r="B108" s="1250">
        <f t="shared" si="7"/>
        <v>38</v>
      </c>
      <c r="C108" s="3575" t="s">
        <v>7912</v>
      </c>
      <c r="D108" s="3576"/>
      <c r="E108" s="3576"/>
      <c r="F108" s="3576"/>
      <c r="G108" s="3576"/>
      <c r="H108" s="3576"/>
      <c r="I108" s="3576"/>
      <c r="J108" s="3577"/>
      <c r="K108" s="2054"/>
      <c r="L108" s="2055"/>
      <c r="M108" s="2004"/>
    </row>
    <row r="109" spans="1:14" hidden="1">
      <c r="A109" s="2053"/>
      <c r="B109" s="1250">
        <f t="shared" si="7"/>
        <v>39</v>
      </c>
      <c r="C109" s="3575" t="s">
        <v>7913</v>
      </c>
      <c r="D109" s="3576"/>
      <c r="E109" s="3576"/>
      <c r="F109" s="3576"/>
      <c r="G109" s="3576"/>
      <c r="H109" s="3576"/>
      <c r="I109" s="3576"/>
      <c r="J109" s="3577"/>
      <c r="K109" s="2054"/>
      <c r="L109" s="2055"/>
      <c r="M109" s="2004"/>
    </row>
    <row r="110" spans="1:14" ht="71.45" hidden="1" customHeight="1">
      <c r="A110" s="2053"/>
      <c r="B110" s="1250">
        <f t="shared" si="7"/>
        <v>40</v>
      </c>
      <c r="C110" s="3575" t="s">
        <v>7914</v>
      </c>
      <c r="D110" s="3576"/>
      <c r="E110" s="3576"/>
      <c r="F110" s="3576"/>
      <c r="G110" s="3576"/>
      <c r="H110" s="3576"/>
      <c r="I110" s="3576"/>
      <c r="J110" s="3577"/>
      <c r="K110" s="2054"/>
      <c r="L110" s="2055"/>
      <c r="M110" s="2004"/>
    </row>
    <row r="111" spans="1:14" hidden="1">
      <c r="A111" s="2053"/>
      <c r="B111" s="1250">
        <f t="shared" si="7"/>
        <v>41</v>
      </c>
      <c r="C111" s="3575" t="s">
        <v>7915</v>
      </c>
      <c r="D111" s="3576"/>
      <c r="E111" s="3576"/>
      <c r="F111" s="3576"/>
      <c r="G111" s="3576"/>
      <c r="H111" s="3576"/>
      <c r="I111" s="3576"/>
      <c r="J111" s="3577"/>
      <c r="K111" s="2054"/>
      <c r="L111" s="2055"/>
      <c r="M111" s="2004"/>
    </row>
    <row r="112" spans="1:14" hidden="1">
      <c r="A112" s="2053"/>
      <c r="B112" s="2057"/>
      <c r="C112" s="2057"/>
      <c r="D112" s="2057"/>
      <c r="E112" s="2057"/>
      <c r="F112" s="2058"/>
      <c r="G112" s="2057"/>
      <c r="H112" s="2057"/>
      <c r="I112" s="2057"/>
      <c r="J112" s="2057"/>
      <c r="K112" s="2057"/>
      <c r="L112" s="2055"/>
      <c r="M112" s="2004"/>
    </row>
    <row r="113" spans="1:12">
      <c r="A113" s="2059"/>
      <c r="B113" s="2060" t="s">
        <v>5313</v>
      </c>
      <c r="C113" s="2057"/>
      <c r="D113" s="2057"/>
      <c r="E113" s="2057"/>
      <c r="F113" s="2058"/>
      <c r="G113" s="2057"/>
      <c r="H113" s="2057"/>
      <c r="I113" s="2057"/>
      <c r="J113" s="2057"/>
      <c r="K113" s="2057"/>
      <c r="L113" s="2055"/>
    </row>
    <row r="114" spans="1:12" ht="15" thickBot="1">
      <c r="A114" s="2059"/>
      <c r="B114" s="2057"/>
      <c r="C114" s="2057"/>
      <c r="D114" s="2057"/>
      <c r="E114" s="2057"/>
      <c r="F114" s="2058"/>
      <c r="G114" s="2057"/>
      <c r="H114" s="2057"/>
      <c r="I114" s="2057"/>
      <c r="J114" s="2057"/>
      <c r="K114" s="2057"/>
      <c r="L114" s="2055"/>
    </row>
    <row r="115" spans="1:12" ht="14.25" customHeight="1">
      <c r="A115" s="2059"/>
      <c r="B115" s="3566" t="s">
        <v>7916</v>
      </c>
      <c r="C115" s="3567"/>
      <c r="D115" s="3567"/>
      <c r="E115" s="3567"/>
      <c r="F115" s="3567"/>
      <c r="G115" s="3567"/>
      <c r="H115" s="3567"/>
      <c r="I115" s="3567"/>
      <c r="J115" s="3568"/>
      <c r="K115" s="2057"/>
      <c r="L115" s="2055"/>
    </row>
    <row r="116" spans="1:12" ht="14.25" customHeight="1">
      <c r="A116" s="2059"/>
      <c r="B116" s="3569"/>
      <c r="C116" s="3570"/>
      <c r="D116" s="3570"/>
      <c r="E116" s="3570"/>
      <c r="F116" s="3570"/>
      <c r="G116" s="3570"/>
      <c r="H116" s="3570"/>
      <c r="I116" s="3570"/>
      <c r="J116" s="3571"/>
      <c r="K116" s="2057"/>
      <c r="L116" s="2055"/>
    </row>
    <row r="117" spans="1:12" ht="14.25" customHeight="1">
      <c r="A117" s="2059"/>
      <c r="B117" s="3569"/>
      <c r="C117" s="3570"/>
      <c r="D117" s="3570"/>
      <c r="E117" s="3570"/>
      <c r="F117" s="3570"/>
      <c r="G117" s="3570"/>
      <c r="H117" s="3570"/>
      <c r="I117" s="3570"/>
      <c r="J117" s="3571"/>
      <c r="K117" s="2057"/>
      <c r="L117" s="2055"/>
    </row>
    <row r="118" spans="1:12" ht="14.25" customHeight="1">
      <c r="A118" s="2059"/>
      <c r="B118" s="3569"/>
      <c r="C118" s="3570"/>
      <c r="D118" s="3570"/>
      <c r="E118" s="3570"/>
      <c r="F118" s="3570"/>
      <c r="G118" s="3570"/>
      <c r="H118" s="3570"/>
      <c r="I118" s="3570"/>
      <c r="J118" s="3571"/>
      <c r="K118" s="2057"/>
      <c r="L118" s="2055"/>
    </row>
    <row r="119" spans="1:12" ht="14.25" customHeight="1">
      <c r="A119" s="2059"/>
      <c r="B119" s="3569"/>
      <c r="C119" s="3570"/>
      <c r="D119" s="3570"/>
      <c r="E119" s="3570"/>
      <c r="F119" s="3570"/>
      <c r="G119" s="3570"/>
      <c r="H119" s="3570"/>
      <c r="I119" s="3570"/>
      <c r="J119" s="3571"/>
      <c r="K119" s="2057"/>
      <c r="L119" s="2055"/>
    </row>
    <row r="120" spans="1:12" ht="14.25" customHeight="1">
      <c r="A120" s="2059"/>
      <c r="B120" s="3569"/>
      <c r="C120" s="3570"/>
      <c r="D120" s="3570"/>
      <c r="E120" s="3570"/>
      <c r="F120" s="3570"/>
      <c r="G120" s="3570"/>
      <c r="H120" s="3570"/>
      <c r="I120" s="3570"/>
      <c r="J120" s="3571"/>
      <c r="K120" s="2057"/>
      <c r="L120" s="2055"/>
    </row>
    <row r="121" spans="1:12" ht="27" customHeight="1" thickBot="1">
      <c r="A121" s="2059"/>
      <c r="B121" s="3572"/>
      <c r="C121" s="3573"/>
      <c r="D121" s="3573"/>
      <c r="E121" s="3573"/>
      <c r="F121" s="3573"/>
      <c r="G121" s="3573"/>
      <c r="H121" s="3573"/>
      <c r="I121" s="3573"/>
      <c r="J121" s="3574"/>
      <c r="K121" s="2057"/>
      <c r="L121" s="2055"/>
    </row>
    <row r="122" spans="1:12">
      <c r="A122" s="2004"/>
      <c r="B122" s="2004"/>
      <c r="C122" s="2004"/>
      <c r="D122" s="2004"/>
      <c r="E122" s="2004"/>
      <c r="F122" s="2004"/>
      <c r="G122" s="2004"/>
      <c r="H122" s="2004"/>
      <c r="I122" s="2004"/>
      <c r="J122" s="2004"/>
      <c r="K122" s="2004"/>
    </row>
  </sheetData>
  <sheetProtection algorithmName="SHA-512" hashValue="WxVBC25arnRmrEmS8LREiUp8upP0kY1uAqOfELC7OzxYqodVAVNoerc6y0Lly7QJO1880WBvu0oK0DOMHkZ70Q==" saltValue="FVr5+iQfo3A+cFPKfUIh1g==" spinCount="100000" sheet="1" objects="1" scenarios="1"/>
  <mergeCells count="45">
    <mergeCell ref="C77:J77"/>
    <mergeCell ref="B57:C57"/>
    <mergeCell ref="B66:J66"/>
    <mergeCell ref="C68:J68"/>
    <mergeCell ref="C69:J69"/>
    <mergeCell ref="C70:J70"/>
    <mergeCell ref="C71:J71"/>
    <mergeCell ref="C72:J72"/>
    <mergeCell ref="C73:J73"/>
    <mergeCell ref="C74:J74"/>
    <mergeCell ref="C75:J75"/>
    <mergeCell ref="C76:J76"/>
    <mergeCell ref="C89:J89"/>
    <mergeCell ref="C78:J78"/>
    <mergeCell ref="C79:J79"/>
    <mergeCell ref="C80:J80"/>
    <mergeCell ref="C81:J81"/>
    <mergeCell ref="C82:J82"/>
    <mergeCell ref="C83:J83"/>
    <mergeCell ref="C84:J84"/>
    <mergeCell ref="C85:J85"/>
    <mergeCell ref="C86:J86"/>
    <mergeCell ref="C87:J87"/>
    <mergeCell ref="C88:J88"/>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B115:J121"/>
    <mergeCell ref="C111:J111"/>
    <mergeCell ref="C105:J105"/>
    <mergeCell ref="C106:J106"/>
    <mergeCell ref="C107:J107"/>
    <mergeCell ref="C108:J108"/>
    <mergeCell ref="C109:J109"/>
    <mergeCell ref="C110:J110"/>
  </mergeCells>
  <conditionalFormatting sqref="J6:J27">
    <cfRule type="cellIs" dxfId="108" priority="13" operator="equal">
      <formula>0</formula>
    </cfRule>
  </conditionalFormatting>
  <conditionalFormatting sqref="J30:J31">
    <cfRule type="cellIs" dxfId="107" priority="12" operator="equal">
      <formula>0</formula>
    </cfRule>
  </conditionalFormatting>
  <conditionalFormatting sqref="J35">
    <cfRule type="cellIs" dxfId="106" priority="11" operator="equal">
      <formula>0</formula>
    </cfRule>
  </conditionalFormatting>
  <conditionalFormatting sqref="J37:J38">
    <cfRule type="cellIs" dxfId="105" priority="10" operator="equal">
      <formula>0</formula>
    </cfRule>
  </conditionalFormatting>
  <conditionalFormatting sqref="J41:J43">
    <cfRule type="cellIs" dxfId="104" priority="9" operator="equal">
      <formula>0</formula>
    </cfRule>
  </conditionalFormatting>
  <conditionalFormatting sqref="J46">
    <cfRule type="cellIs" dxfId="103" priority="8" operator="equal">
      <formula>0</formula>
    </cfRule>
  </conditionalFormatting>
  <conditionalFormatting sqref="J48:J50">
    <cfRule type="cellIs" dxfId="102" priority="7" operator="equal">
      <formula>0</formula>
    </cfRule>
  </conditionalFormatting>
  <conditionalFormatting sqref="J53">
    <cfRule type="cellIs" dxfId="101" priority="6" operator="equal">
      <formula>0</formula>
    </cfRule>
  </conditionalFormatting>
  <conditionalFormatting sqref="J55">
    <cfRule type="cellIs" dxfId="100" priority="5" operator="equal">
      <formula>0</formula>
    </cfRule>
  </conditionalFormatting>
  <conditionalFormatting sqref="J33">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G30:H32 G35:H35 G37:H39 G41:H44 G46:H46 G48:H51 G53:H53 G55:H55 G6:H27</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CS95"/>
  <sheetViews>
    <sheetView zoomScale="80" zoomScaleNormal="80" workbookViewId="0">
      <selection activeCell="J16" sqref="J16"/>
    </sheetView>
  </sheetViews>
  <sheetFormatPr defaultColWidth="0" defaultRowHeight="14.25" zeroHeight="1"/>
  <cols>
    <col min="1" max="1" width="0.5" customWidth="1"/>
    <col min="2" max="2" width="8.5" customWidth="1"/>
    <col min="3" max="3" width="71.125" customWidth="1"/>
    <col min="4" max="4" width="8.125" hidden="1" customWidth="1"/>
    <col min="5" max="6" width="8.5" customWidth="1"/>
    <col min="7" max="7" width="10.125" customWidth="1"/>
    <col min="8" max="14" width="8.5" customWidth="1"/>
    <col min="15" max="15" width="2.125" customWidth="1"/>
    <col min="16" max="32" width="8.5" customWidth="1"/>
    <col min="33" max="33" width="28.5" customWidth="1"/>
    <col min="34" max="34" width="2.5" customWidth="1"/>
    <col min="35" max="35" width="21.125" customWidth="1"/>
    <col min="36" max="36" width="2.5" customWidth="1"/>
    <col min="37" max="37" width="1.5" style="1665" hidden="1" customWidth="1"/>
    <col min="38" max="63" width="1.5" hidden="1" customWidth="1"/>
    <col min="64" max="64" width="1.5" style="1665" hidden="1" customWidth="1"/>
    <col min="65" max="66" width="8.5" customWidth="1"/>
    <col min="67" max="67" width="71.125" customWidth="1"/>
    <col min="68" max="68" width="8.125" bestFit="1" customWidth="1"/>
    <col min="69" max="97" width="8.5" customWidth="1"/>
    <col min="98" max="16384" width="8.5" hidden="1"/>
  </cols>
  <sheetData>
    <row r="1" spans="1:96" ht="20.25">
      <c r="A1" s="1253"/>
      <c r="B1" s="1187" t="s">
        <v>7917</v>
      </c>
      <c r="C1" s="1187"/>
      <c r="D1" s="1254"/>
      <c r="E1" s="1189"/>
      <c r="F1" s="66"/>
      <c r="G1" s="66"/>
      <c r="H1" s="66"/>
      <c r="I1" s="66"/>
      <c r="J1" s="66"/>
      <c r="K1" s="66"/>
      <c r="L1" s="66"/>
      <c r="M1" s="66"/>
      <c r="N1" s="66"/>
      <c r="O1" s="66"/>
      <c r="P1" s="66"/>
      <c r="Q1" s="66"/>
      <c r="R1" s="66"/>
      <c r="S1" s="66"/>
      <c r="T1" s="66"/>
      <c r="U1" s="66"/>
      <c r="V1" s="66"/>
      <c r="W1" s="68"/>
      <c r="X1" s="68"/>
      <c r="Y1" s="68"/>
      <c r="Z1" s="68"/>
      <c r="AA1" s="68"/>
      <c r="AB1" s="68"/>
      <c r="AC1" s="68"/>
      <c r="AD1" s="68"/>
      <c r="AE1" s="68"/>
      <c r="AF1" s="68"/>
      <c r="AG1" s="68" t="str">
        <f>Validation!B3</f>
        <v>Yorkshire Water</v>
      </c>
      <c r="AH1" s="66"/>
      <c r="AI1" s="69" t="s">
        <v>34</v>
      </c>
      <c r="AJ1" s="880"/>
      <c r="AK1" s="71"/>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1"/>
      <c r="BM1" s="2004"/>
      <c r="BN1" s="2894" t="s">
        <v>7917</v>
      </c>
      <c r="BO1" s="2894"/>
      <c r="BP1" s="2895"/>
      <c r="BQ1" s="2896"/>
      <c r="BR1" s="66"/>
      <c r="BS1" s="66"/>
      <c r="BT1" s="66"/>
      <c r="BU1" s="66"/>
      <c r="BV1" s="66"/>
      <c r="BW1" s="66"/>
      <c r="BX1" s="66"/>
      <c r="BY1" s="66"/>
      <c r="BZ1" s="66"/>
      <c r="CA1" s="66"/>
      <c r="CB1" s="66"/>
      <c r="CC1" s="66"/>
      <c r="CD1" s="66"/>
      <c r="CE1" s="66"/>
      <c r="CF1" s="66"/>
      <c r="CG1" s="66"/>
      <c r="CH1" s="66"/>
      <c r="CI1" s="68"/>
      <c r="CJ1" s="68"/>
      <c r="CK1" s="68"/>
      <c r="CL1" s="68"/>
      <c r="CM1" s="68"/>
      <c r="CN1" s="68"/>
      <c r="CO1" s="68"/>
      <c r="CP1" s="68"/>
      <c r="CQ1" s="68"/>
      <c r="CR1" s="68"/>
    </row>
    <row r="2" spans="1:96" ht="15.75" thickBot="1">
      <c r="A2" s="1255"/>
      <c r="B2" s="73" t="str">
        <f>'4R'!B2</f>
        <v>For the 12 months ended 31 March 2020</v>
      </c>
      <c r="C2" s="1190"/>
      <c r="D2" s="1197"/>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70"/>
      <c r="AJ2" s="880"/>
      <c r="AK2" s="71"/>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1"/>
      <c r="BM2" s="2004"/>
      <c r="BN2" s="73" t="str">
        <f>+B2</f>
        <v>For the 12 months ended 31 March 2020</v>
      </c>
      <c r="BO2" s="2499"/>
      <c r="BP2" s="2897"/>
      <c r="BQ2" s="2499"/>
      <c r="BR2" s="2499"/>
      <c r="BS2" s="2499"/>
      <c r="BT2" s="2499"/>
      <c r="BU2" s="2499"/>
      <c r="BV2" s="2499"/>
      <c r="BW2" s="2499"/>
      <c r="BX2" s="2499"/>
      <c r="BY2" s="2499"/>
      <c r="BZ2" s="2499"/>
      <c r="CA2" s="2499"/>
      <c r="CB2" s="2499"/>
      <c r="CC2" s="2499"/>
      <c r="CD2" s="2499"/>
      <c r="CE2" s="2499"/>
      <c r="CF2" s="2499"/>
      <c r="CG2" s="2499"/>
      <c r="CH2" s="2499"/>
      <c r="CI2" s="2499"/>
      <c r="CJ2" s="2499"/>
      <c r="CK2" s="2499"/>
      <c r="CL2" s="2499"/>
      <c r="CM2" s="2499"/>
      <c r="CN2" s="2499"/>
      <c r="CO2" s="2499"/>
      <c r="CP2" s="2499"/>
      <c r="CQ2" s="2499"/>
      <c r="CR2" s="2499"/>
    </row>
    <row r="3" spans="1:96" ht="15.75" thickBot="1">
      <c r="A3" s="1256"/>
      <c r="B3" s="3324" t="s">
        <v>36</v>
      </c>
      <c r="C3" s="3325"/>
      <c r="D3" s="3061" t="s">
        <v>3098</v>
      </c>
      <c r="E3" s="3061" t="s">
        <v>2310</v>
      </c>
      <c r="F3" s="3063" t="s">
        <v>39</v>
      </c>
      <c r="G3" s="3101" t="s">
        <v>7918</v>
      </c>
      <c r="H3" s="3624"/>
      <c r="I3" s="3624"/>
      <c r="J3" s="3624"/>
      <c r="K3" s="3624"/>
      <c r="L3" s="3624"/>
      <c r="M3" s="3624"/>
      <c r="N3" s="3625"/>
      <c r="O3" s="1257"/>
      <c r="P3" s="3101" t="s">
        <v>7919</v>
      </c>
      <c r="Q3" s="3624"/>
      <c r="R3" s="3624"/>
      <c r="S3" s="3624"/>
      <c r="T3" s="3624"/>
      <c r="U3" s="3624"/>
      <c r="V3" s="3624"/>
      <c r="W3" s="3624"/>
      <c r="X3" s="3624"/>
      <c r="Y3" s="3624"/>
      <c r="Z3" s="3624"/>
      <c r="AA3" s="3624"/>
      <c r="AB3" s="3624"/>
      <c r="AC3" s="3624"/>
      <c r="AD3" s="3624"/>
      <c r="AE3" s="3624"/>
      <c r="AF3" s="3625"/>
      <c r="AG3" s="3070" t="s">
        <v>4567</v>
      </c>
      <c r="AH3" s="1257"/>
      <c r="AI3" s="3070" t="s">
        <v>43</v>
      </c>
      <c r="AJ3" s="192"/>
      <c r="AK3" s="71"/>
      <c r="AL3" s="76" t="s">
        <v>47</v>
      </c>
      <c r="AM3" s="76"/>
      <c r="AN3" s="76"/>
      <c r="AO3" s="76"/>
      <c r="AP3" s="76"/>
      <c r="AQ3" s="76"/>
      <c r="AR3" s="76"/>
      <c r="AS3" s="76"/>
      <c r="AT3" s="76"/>
      <c r="AU3" s="76"/>
      <c r="AV3" s="76"/>
      <c r="AW3" s="76"/>
      <c r="AX3" s="76"/>
      <c r="AY3" s="76"/>
      <c r="AZ3" s="76"/>
      <c r="BA3" s="76"/>
      <c r="BB3" s="678"/>
      <c r="BC3" s="678"/>
      <c r="BD3" s="678"/>
      <c r="BE3" s="678"/>
      <c r="BF3" s="678"/>
      <c r="BG3" s="678"/>
      <c r="BH3" s="678"/>
      <c r="BI3" s="678"/>
      <c r="BJ3" s="678"/>
      <c r="BK3" s="678"/>
      <c r="BL3" s="71"/>
      <c r="BM3" s="2004"/>
      <c r="BN3" s="1193" t="s">
        <v>193</v>
      </c>
      <c r="BO3" s="1194" t="s">
        <v>4916</v>
      </c>
      <c r="BP3" s="184" t="s">
        <v>3098</v>
      </c>
      <c r="BQ3" s="184" t="s">
        <v>2310</v>
      </c>
      <c r="BR3" s="185" t="s">
        <v>39</v>
      </c>
      <c r="BS3" s="3101" t="s">
        <v>7918</v>
      </c>
      <c r="BT3" s="3588"/>
      <c r="BU3" s="3588"/>
      <c r="BV3" s="3588"/>
      <c r="BW3" s="3588"/>
      <c r="BX3" s="3588"/>
      <c r="BY3" s="3588"/>
      <c r="BZ3" s="3589"/>
      <c r="CA3" s="2898"/>
      <c r="CB3" s="3101" t="s">
        <v>7919</v>
      </c>
      <c r="CC3" s="3588"/>
      <c r="CD3" s="3588"/>
      <c r="CE3" s="3588"/>
      <c r="CF3" s="3588"/>
      <c r="CG3" s="3588"/>
      <c r="CH3" s="3588"/>
      <c r="CI3" s="3588"/>
      <c r="CJ3" s="3588"/>
      <c r="CK3" s="3588"/>
      <c r="CL3" s="3588"/>
      <c r="CM3" s="3588"/>
      <c r="CN3" s="3588"/>
      <c r="CO3" s="3588"/>
      <c r="CP3" s="3588"/>
      <c r="CQ3" s="3588"/>
      <c r="CR3" s="3589"/>
    </row>
    <row r="4" spans="1:96" ht="15">
      <c r="A4" s="1257"/>
      <c r="B4" s="3384"/>
      <c r="C4" s="3385"/>
      <c r="D4" s="3099"/>
      <c r="E4" s="3099"/>
      <c r="F4" s="3100"/>
      <c r="G4" s="3088" t="s">
        <v>7920</v>
      </c>
      <c r="H4" s="3067" t="s">
        <v>7921</v>
      </c>
      <c r="I4" s="3629"/>
      <c r="J4" s="3088" t="s">
        <v>7922</v>
      </c>
      <c r="K4" s="3630"/>
      <c r="L4" s="3630"/>
      <c r="M4" s="3631"/>
      <c r="N4" s="3594" t="s">
        <v>710</v>
      </c>
      <c r="O4" s="1257"/>
      <c r="P4" s="3067" t="s">
        <v>7923</v>
      </c>
      <c r="Q4" s="3633"/>
      <c r="R4" s="3633"/>
      <c r="S4" s="3633"/>
      <c r="T4" s="3634"/>
      <c r="U4" s="3352" t="s">
        <v>7924</v>
      </c>
      <c r="V4" s="3614"/>
      <c r="W4" s="3614"/>
      <c r="X4" s="3614"/>
      <c r="Y4" s="3614"/>
      <c r="Z4" s="3615"/>
      <c r="AA4" s="3352" t="s">
        <v>7925</v>
      </c>
      <c r="AB4" s="3614"/>
      <c r="AC4" s="3614"/>
      <c r="AD4" s="3614"/>
      <c r="AE4" s="3614"/>
      <c r="AF4" s="3615"/>
      <c r="AG4" s="3626"/>
      <c r="AH4" s="1257"/>
      <c r="AI4" s="3096"/>
      <c r="AJ4" s="192"/>
      <c r="AK4" s="71"/>
      <c r="AL4" s="633"/>
      <c r="AM4" s="633"/>
      <c r="AN4" s="633"/>
      <c r="AO4" s="633"/>
      <c r="AP4" s="633"/>
      <c r="AQ4" s="633"/>
      <c r="AR4" s="633"/>
      <c r="AS4" s="633"/>
      <c r="AT4" s="633"/>
      <c r="AU4" s="633"/>
      <c r="AV4" s="633"/>
      <c r="AW4" s="633"/>
      <c r="AX4" s="633"/>
      <c r="AY4" s="633"/>
      <c r="AZ4" s="633"/>
      <c r="BA4" s="633"/>
      <c r="BB4" s="2004"/>
      <c r="BC4" s="2004"/>
      <c r="BD4" s="2004"/>
      <c r="BE4" s="2004"/>
      <c r="BF4" s="2004"/>
      <c r="BG4" s="2004"/>
      <c r="BH4" s="2004"/>
      <c r="BI4" s="2004"/>
      <c r="BJ4" s="2004"/>
      <c r="BK4" s="2004"/>
      <c r="BL4" s="71"/>
      <c r="BM4" s="2004"/>
      <c r="BN4" s="2899"/>
      <c r="BO4" s="2900"/>
      <c r="BP4" s="2900"/>
      <c r="BQ4" s="2901"/>
      <c r="BR4" s="2898"/>
      <c r="BS4" s="3088" t="s">
        <v>7920</v>
      </c>
      <c r="BT4" s="3067" t="s">
        <v>7921</v>
      </c>
      <c r="BU4" s="3591"/>
      <c r="BV4" s="3088" t="s">
        <v>7922</v>
      </c>
      <c r="BW4" s="3592"/>
      <c r="BX4" s="3592"/>
      <c r="BY4" s="3593"/>
      <c r="BZ4" s="3594" t="s">
        <v>710</v>
      </c>
      <c r="CA4" s="2898"/>
      <c r="CB4" s="3067" t="s">
        <v>7923</v>
      </c>
      <c r="CC4" s="3596"/>
      <c r="CD4" s="3596"/>
      <c r="CE4" s="3596"/>
      <c r="CF4" s="3597"/>
      <c r="CG4" s="3352" t="s">
        <v>7924</v>
      </c>
      <c r="CH4" s="3598"/>
      <c r="CI4" s="3598"/>
      <c r="CJ4" s="3598"/>
      <c r="CK4" s="3598"/>
      <c r="CL4" s="3599"/>
      <c r="CM4" s="3352" t="s">
        <v>7925</v>
      </c>
      <c r="CN4" s="3598"/>
      <c r="CO4" s="3598"/>
      <c r="CP4" s="3598"/>
      <c r="CQ4" s="3598"/>
      <c r="CR4" s="3599"/>
    </row>
    <row r="5" spans="1:96" ht="27.75" thickBot="1">
      <c r="A5" s="1257"/>
      <c r="B5" s="3326"/>
      <c r="C5" s="3327"/>
      <c r="D5" s="3062"/>
      <c r="E5" s="3062"/>
      <c r="F5" s="3064"/>
      <c r="G5" s="3628"/>
      <c r="H5" s="2997" t="s">
        <v>7926</v>
      </c>
      <c r="I5" s="2998" t="s">
        <v>7927</v>
      </c>
      <c r="J5" s="2997" t="s">
        <v>7928</v>
      </c>
      <c r="K5" s="78" t="s">
        <v>7929</v>
      </c>
      <c r="L5" s="78" t="s">
        <v>7930</v>
      </c>
      <c r="M5" s="2998" t="s">
        <v>7931</v>
      </c>
      <c r="N5" s="3632"/>
      <c r="O5" s="1257"/>
      <c r="P5" s="2997" t="s">
        <v>7932</v>
      </c>
      <c r="Q5" s="78" t="s">
        <v>7933</v>
      </c>
      <c r="R5" s="78" t="s">
        <v>7934</v>
      </c>
      <c r="S5" s="78" t="s">
        <v>7935</v>
      </c>
      <c r="T5" s="1258" t="s">
        <v>710</v>
      </c>
      <c r="U5" s="2997" t="s">
        <v>7936</v>
      </c>
      <c r="V5" s="78" t="s">
        <v>7937</v>
      </c>
      <c r="W5" s="78" t="s">
        <v>7938</v>
      </c>
      <c r="X5" s="78" t="s">
        <v>7939</v>
      </c>
      <c r="Y5" s="78" t="s">
        <v>7935</v>
      </c>
      <c r="Z5" s="2998" t="s">
        <v>710</v>
      </c>
      <c r="AA5" s="2997" t="s">
        <v>7940</v>
      </c>
      <c r="AB5" s="78" t="s">
        <v>7941</v>
      </c>
      <c r="AC5" s="78" t="s">
        <v>7942</v>
      </c>
      <c r="AD5" s="78" t="s">
        <v>7943</v>
      </c>
      <c r="AE5" s="78" t="s">
        <v>7935</v>
      </c>
      <c r="AF5" s="2998" t="s">
        <v>710</v>
      </c>
      <c r="AG5" s="3627"/>
      <c r="AH5" s="1257"/>
      <c r="AI5" s="3071"/>
      <c r="AJ5" s="192"/>
      <c r="AK5" s="71"/>
      <c r="AL5" s="85" t="s">
        <v>48</v>
      </c>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71"/>
      <c r="BM5" s="2004"/>
      <c r="BN5" s="2898"/>
      <c r="BO5" s="2900"/>
      <c r="BP5" s="2900"/>
      <c r="BQ5" s="2901"/>
      <c r="BR5" s="2898"/>
      <c r="BS5" s="3590"/>
      <c r="BT5" s="2997" t="s">
        <v>7926</v>
      </c>
      <c r="BU5" s="2998" t="s">
        <v>7927</v>
      </c>
      <c r="BV5" s="2997" t="s">
        <v>7928</v>
      </c>
      <c r="BW5" s="78" t="s">
        <v>7929</v>
      </c>
      <c r="BX5" s="78" t="s">
        <v>7930</v>
      </c>
      <c r="BY5" s="2998" t="s">
        <v>7931</v>
      </c>
      <c r="BZ5" s="3595"/>
      <c r="CA5" s="2898"/>
      <c r="CB5" s="2997" t="s">
        <v>7932</v>
      </c>
      <c r="CC5" s="78" t="s">
        <v>7933</v>
      </c>
      <c r="CD5" s="78" t="s">
        <v>7934</v>
      </c>
      <c r="CE5" s="78" t="s">
        <v>7935</v>
      </c>
      <c r="CF5" s="1258" t="s">
        <v>710</v>
      </c>
      <c r="CG5" s="2997" t="s">
        <v>7936</v>
      </c>
      <c r="CH5" s="78" t="s">
        <v>7937</v>
      </c>
      <c r="CI5" s="78" t="s">
        <v>7938</v>
      </c>
      <c r="CJ5" s="78" t="s">
        <v>7939</v>
      </c>
      <c r="CK5" s="78" t="s">
        <v>7935</v>
      </c>
      <c r="CL5" s="2998" t="s">
        <v>710</v>
      </c>
      <c r="CM5" s="2997" t="s">
        <v>7940</v>
      </c>
      <c r="CN5" s="78" t="s">
        <v>7941</v>
      </c>
      <c r="CO5" s="78" t="s">
        <v>7942</v>
      </c>
      <c r="CP5" s="78" t="s">
        <v>7943</v>
      </c>
      <c r="CQ5" s="78" t="s">
        <v>7935</v>
      </c>
      <c r="CR5" s="2998" t="s">
        <v>710</v>
      </c>
    </row>
    <row r="6" spans="1:96" ht="15.75" thickBot="1">
      <c r="A6" s="1190"/>
      <c r="B6" s="1257"/>
      <c r="C6" s="1125"/>
      <c r="D6" s="1125"/>
      <c r="E6" s="1259"/>
      <c r="F6" s="1190"/>
      <c r="G6" s="1257"/>
      <c r="H6" s="1257"/>
      <c r="I6" s="1257"/>
      <c r="J6" s="1257"/>
      <c r="K6" s="1257"/>
      <c r="L6" s="1257"/>
      <c r="M6" s="1257"/>
      <c r="N6" s="1257"/>
      <c r="O6" s="1190"/>
      <c r="P6" s="1190"/>
      <c r="Q6" s="1190"/>
      <c r="R6" s="1190"/>
      <c r="S6" s="1190"/>
      <c r="T6" s="1190"/>
      <c r="U6" s="1260"/>
      <c r="V6" s="1260"/>
      <c r="W6" s="1260"/>
      <c r="X6" s="1260"/>
      <c r="Y6" s="1260"/>
      <c r="Z6" s="1260"/>
      <c r="AA6" s="1260"/>
      <c r="AB6" s="1260"/>
      <c r="AC6" s="1260"/>
      <c r="AD6" s="1260"/>
      <c r="AE6" s="1260"/>
      <c r="AF6" s="1260"/>
      <c r="AG6" s="1190"/>
      <c r="AH6" s="1190"/>
      <c r="AI6" s="70"/>
      <c r="AJ6" s="192"/>
      <c r="AK6" s="71"/>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71"/>
      <c r="BM6" s="2004"/>
      <c r="BN6" s="2898"/>
      <c r="BO6" s="2902"/>
      <c r="BP6" s="2902"/>
      <c r="BQ6" s="2903"/>
      <c r="BR6" s="2499"/>
      <c r="BS6" s="2898"/>
      <c r="BT6" s="2898"/>
      <c r="BU6" s="2898"/>
      <c r="BV6" s="2898"/>
      <c r="BW6" s="2898"/>
      <c r="BX6" s="2898"/>
      <c r="BY6" s="2898"/>
      <c r="BZ6" s="2898"/>
      <c r="CA6" s="2499"/>
      <c r="CB6" s="2499"/>
      <c r="CC6" s="2499"/>
      <c r="CD6" s="2499"/>
      <c r="CE6" s="2499"/>
      <c r="CF6" s="2499"/>
      <c r="CG6" s="2904"/>
      <c r="CH6" s="2904"/>
      <c r="CI6" s="2904"/>
      <c r="CJ6" s="2904"/>
      <c r="CK6" s="2904"/>
      <c r="CL6" s="2904"/>
      <c r="CM6" s="2904"/>
      <c r="CN6" s="2904"/>
      <c r="CO6" s="2904"/>
      <c r="CP6" s="2904"/>
      <c r="CQ6" s="2904"/>
      <c r="CR6" s="2904"/>
    </row>
    <row r="7" spans="1:96" ht="15.75" thickBot="1">
      <c r="A7" s="1255"/>
      <c r="B7" s="113" t="s">
        <v>155</v>
      </c>
      <c r="C7" s="114" t="s">
        <v>7944</v>
      </c>
      <c r="D7" s="1190"/>
      <c r="E7" s="1191"/>
      <c r="F7" s="1190"/>
      <c r="G7" s="1190"/>
      <c r="H7" s="1190"/>
      <c r="I7" s="1190"/>
      <c r="J7" s="1190"/>
      <c r="K7" s="1190"/>
      <c r="L7" s="1190"/>
      <c r="M7" s="1190"/>
      <c r="N7" s="1190"/>
      <c r="O7" s="1190"/>
      <c r="P7" s="1255"/>
      <c r="Q7" s="1255"/>
      <c r="R7" s="1255"/>
      <c r="S7" s="1255"/>
      <c r="T7" s="1255"/>
      <c r="U7" s="1261"/>
      <c r="V7" s="1261"/>
      <c r="W7" s="1261"/>
      <c r="X7" s="1261"/>
      <c r="Y7" s="1261"/>
      <c r="Z7" s="1261"/>
      <c r="AA7" s="1261"/>
      <c r="AB7" s="1261"/>
      <c r="AC7" s="1261"/>
      <c r="AD7" s="1261"/>
      <c r="AE7" s="1261"/>
      <c r="AF7" s="1261"/>
      <c r="AG7" s="1190"/>
      <c r="AH7" s="1190"/>
      <c r="AI7" s="1190"/>
      <c r="AJ7" s="192"/>
      <c r="AK7" s="71"/>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71"/>
      <c r="BM7" s="2004"/>
      <c r="BN7" s="113" t="s">
        <v>155</v>
      </c>
      <c r="BO7" s="114" t="s">
        <v>7944</v>
      </c>
      <c r="BP7" s="2499"/>
      <c r="BQ7" s="2905"/>
      <c r="BR7" s="2499"/>
      <c r="BS7" s="2499"/>
      <c r="BT7" s="2499"/>
      <c r="BU7" s="2499"/>
      <c r="BV7" s="2499"/>
      <c r="BW7" s="2499"/>
      <c r="BX7" s="2499"/>
      <c r="BY7" s="2499"/>
      <c r="BZ7" s="2499"/>
      <c r="CA7" s="2499"/>
      <c r="CB7" s="2906"/>
      <c r="CC7" s="2906"/>
      <c r="CD7" s="2906"/>
      <c r="CE7" s="2906"/>
      <c r="CF7" s="2906"/>
      <c r="CG7" s="2907"/>
      <c r="CH7" s="2907"/>
      <c r="CI7" s="2907"/>
      <c r="CJ7" s="2907"/>
      <c r="CK7" s="2907"/>
      <c r="CL7" s="2907"/>
      <c r="CM7" s="2907"/>
      <c r="CN7" s="2907"/>
      <c r="CO7" s="2907"/>
      <c r="CP7" s="2907"/>
      <c r="CQ7" s="2907"/>
      <c r="CR7" s="2907"/>
    </row>
    <row r="8" spans="1:96" ht="16.5">
      <c r="A8" s="1255"/>
      <c r="B8" s="86" t="s">
        <v>7945</v>
      </c>
      <c r="C8" s="117" t="s">
        <v>7946</v>
      </c>
      <c r="D8" s="88"/>
      <c r="E8" s="88" t="s">
        <v>7947</v>
      </c>
      <c r="F8" s="89">
        <v>0</v>
      </c>
      <c r="G8" s="1262">
        <v>66</v>
      </c>
      <c r="H8" s="1263">
        <v>365</v>
      </c>
      <c r="I8" s="1263">
        <v>1161</v>
      </c>
      <c r="J8" s="1263">
        <v>49</v>
      </c>
      <c r="K8" s="1263">
        <v>0</v>
      </c>
      <c r="L8" s="1263">
        <v>64</v>
      </c>
      <c r="M8" s="1263">
        <v>0</v>
      </c>
      <c r="N8" s="1264">
        <f t="shared" ref="N8:N13" si="0">+SUM(G8:M8)</f>
        <v>1705</v>
      </c>
      <c r="O8" s="1190"/>
      <c r="P8" s="1262">
        <v>0</v>
      </c>
      <c r="Q8" s="1263">
        <v>0</v>
      </c>
      <c r="R8" s="1263">
        <v>0</v>
      </c>
      <c r="S8" s="1263">
        <v>1704</v>
      </c>
      <c r="T8" s="1264">
        <f t="shared" ref="T8:T13" si="1">+SUM(P8:S8)</f>
        <v>1704</v>
      </c>
      <c r="U8" s="1262">
        <v>0</v>
      </c>
      <c r="V8" s="1263">
        <v>0</v>
      </c>
      <c r="W8" s="1263">
        <v>25</v>
      </c>
      <c r="X8" s="1263">
        <v>156</v>
      </c>
      <c r="Y8" s="1263">
        <v>1523</v>
      </c>
      <c r="Z8" s="1264">
        <f t="shared" ref="Z8:Z13" si="2">+SUM(U8:Y8)</f>
        <v>1704</v>
      </c>
      <c r="AA8" s="1262">
        <v>0</v>
      </c>
      <c r="AB8" s="1263">
        <v>0</v>
      </c>
      <c r="AC8" s="1263">
        <v>11</v>
      </c>
      <c r="AD8" s="1263">
        <v>211</v>
      </c>
      <c r="AE8" s="1263">
        <v>1482</v>
      </c>
      <c r="AF8" s="1264">
        <f t="shared" ref="AF8:AF13" si="3">+SUM(AA8:AE8)</f>
        <v>1704</v>
      </c>
      <c r="AG8" s="1123"/>
      <c r="AH8" s="1190"/>
      <c r="AI8" s="897">
        <f xml:space="preserve"> IF( SUM( AK8:BL8 ) = 0, 0, $AL$5 )</f>
        <v>0</v>
      </c>
      <c r="AJ8" s="192"/>
      <c r="AK8" s="71"/>
      <c r="AL8" s="93">
        <f>IF(Validation!$H$3=1,0,IF(ISNUMBER(G8),0,1))</f>
        <v>0</v>
      </c>
      <c r="AM8" s="93">
        <f>IF(Validation!$H$3=1,0,IF(ISNUMBER(H8),0,1))</f>
        <v>0</v>
      </c>
      <c r="AN8" s="93">
        <f>IF(Validation!$H$3=1,0,IF(ISNUMBER(I8),0,1))</f>
        <v>0</v>
      </c>
      <c r="AO8" s="93">
        <f>IF(Validation!$H$3=1,0,IF(ISNUMBER(J8),0,1))</f>
        <v>0</v>
      </c>
      <c r="AP8" s="93">
        <f>IF(Validation!$H$3=1,0,IF(ISNUMBER(K8),0,1))</f>
        <v>0</v>
      </c>
      <c r="AQ8" s="93">
        <f>IF(Validation!$H$3=1,0,IF(ISNUMBER(L8),0,1))</f>
        <v>0</v>
      </c>
      <c r="AR8" s="93">
        <f>IF(Validation!$H$3=1,0,IF(ISNUMBER(M8),0,1))</f>
        <v>0</v>
      </c>
      <c r="AS8" s="93"/>
      <c r="AT8" s="85"/>
      <c r="AU8" s="93">
        <f>IF(Validation!$H$3=1,0,IF(ISNUMBER(P8),0,1))</f>
        <v>0</v>
      </c>
      <c r="AV8" s="93">
        <f>IF(Validation!$H$3=1,0,IF(ISNUMBER(Q8),0,1))</f>
        <v>0</v>
      </c>
      <c r="AW8" s="93">
        <f>IF(Validation!$H$3=1,0,IF(ISNUMBER(R8),0,1))</f>
        <v>0</v>
      </c>
      <c r="AX8" s="93">
        <f>IF(Validation!$H$3=1,0,IF(ISNUMBER(S8),0,1))</f>
        <v>0</v>
      </c>
      <c r="AY8" s="93"/>
      <c r="AZ8" s="93">
        <f>IF(Validation!$H$3=1,0,IF(ISNUMBER(U8),0,1))</f>
        <v>0</v>
      </c>
      <c r="BA8" s="93">
        <f>IF(Validation!$H$3=1,0,IF(ISNUMBER(V8),0,1))</f>
        <v>0</v>
      </c>
      <c r="BB8" s="93">
        <f>IF(Validation!$H$3=1,0,IF(ISNUMBER(W8),0,1))</f>
        <v>0</v>
      </c>
      <c r="BC8" s="93">
        <f>IF(Validation!$H$3=1,0,IF(ISNUMBER(X8),0,1))</f>
        <v>0</v>
      </c>
      <c r="BD8" s="93">
        <f>IF(Validation!$H$3=1,0,IF(ISNUMBER(Y8),0,1))</f>
        <v>0</v>
      </c>
      <c r="BE8" s="93"/>
      <c r="BF8" s="93">
        <f>IF(Validation!$H$3=1,0,IF(ISNUMBER(AA8),0,1))</f>
        <v>0</v>
      </c>
      <c r="BG8" s="93">
        <f>IF(Validation!$H$3=1,0,IF(ISNUMBER(AB8),0,1))</f>
        <v>0</v>
      </c>
      <c r="BH8" s="93">
        <f>IF(Validation!$H$3=1,0,IF(ISNUMBER(AC8),0,1))</f>
        <v>0</v>
      </c>
      <c r="BI8" s="93">
        <f>IF(Validation!$H$3=1,0,IF(ISNUMBER(AD8),0,1))</f>
        <v>0</v>
      </c>
      <c r="BJ8" s="93">
        <f>IF(Validation!$H$3=1,0,IF(ISNUMBER(AE8),0,1))</f>
        <v>0</v>
      </c>
      <c r="BK8" s="93"/>
      <c r="BL8" s="71"/>
      <c r="BM8" s="2004"/>
      <c r="BN8" s="86" t="s">
        <v>7945</v>
      </c>
      <c r="BO8" s="117" t="s">
        <v>7946</v>
      </c>
      <c r="BP8" s="88"/>
      <c r="BQ8" s="88" t="s">
        <v>7947</v>
      </c>
      <c r="BR8" s="89">
        <v>0</v>
      </c>
      <c r="BS8" s="2908" t="s">
        <v>7948</v>
      </c>
      <c r="BT8" s="2909" t="s">
        <v>7949</v>
      </c>
      <c r="BU8" s="2909" t="s">
        <v>7950</v>
      </c>
      <c r="BV8" s="2909" t="s">
        <v>7951</v>
      </c>
      <c r="BW8" s="2909" t="s">
        <v>7952</v>
      </c>
      <c r="BX8" s="2909" t="s">
        <v>7953</v>
      </c>
      <c r="BY8" s="2909" t="s">
        <v>7954</v>
      </c>
      <c r="BZ8" s="1264" t="s">
        <v>7955</v>
      </c>
      <c r="CA8" s="2499"/>
      <c r="CB8" s="2908" t="s">
        <v>7956</v>
      </c>
      <c r="CC8" s="2909" t="s">
        <v>7957</v>
      </c>
      <c r="CD8" s="2909" t="s">
        <v>7958</v>
      </c>
      <c r="CE8" s="2909" t="s">
        <v>7959</v>
      </c>
      <c r="CF8" s="1264" t="s">
        <v>7960</v>
      </c>
      <c r="CG8" s="2908" t="s">
        <v>7961</v>
      </c>
      <c r="CH8" s="2909" t="s">
        <v>7962</v>
      </c>
      <c r="CI8" s="2909" t="s">
        <v>7963</v>
      </c>
      <c r="CJ8" s="2909" t="s">
        <v>7964</v>
      </c>
      <c r="CK8" s="2909" t="s">
        <v>7965</v>
      </c>
      <c r="CL8" s="1264" t="s">
        <v>7966</v>
      </c>
      <c r="CM8" s="2908" t="s">
        <v>7967</v>
      </c>
      <c r="CN8" s="2909" t="s">
        <v>7968</v>
      </c>
      <c r="CO8" s="2909" t="s">
        <v>7969</v>
      </c>
      <c r="CP8" s="2909" t="s">
        <v>7970</v>
      </c>
      <c r="CQ8" s="2909" t="s">
        <v>7971</v>
      </c>
      <c r="CR8" s="1264" t="s">
        <v>7972</v>
      </c>
    </row>
    <row r="9" spans="1:96" ht="16.5">
      <c r="A9" s="1255"/>
      <c r="B9" s="94" t="s">
        <v>7973</v>
      </c>
      <c r="C9" s="87" t="s">
        <v>7974</v>
      </c>
      <c r="D9" s="95"/>
      <c r="E9" s="95" t="s">
        <v>7947</v>
      </c>
      <c r="F9" s="96">
        <v>0</v>
      </c>
      <c r="G9" s="1265">
        <v>19</v>
      </c>
      <c r="H9" s="1266">
        <v>277</v>
      </c>
      <c r="I9" s="1266">
        <v>818</v>
      </c>
      <c r="J9" s="1266">
        <v>22</v>
      </c>
      <c r="K9" s="1266">
        <v>25</v>
      </c>
      <c r="L9" s="1266">
        <v>178</v>
      </c>
      <c r="M9" s="1266">
        <v>87</v>
      </c>
      <c r="N9" s="1267">
        <f t="shared" si="0"/>
        <v>1426</v>
      </c>
      <c r="O9" s="1190"/>
      <c r="P9" s="1265">
        <v>0</v>
      </c>
      <c r="Q9" s="1266">
        <v>22</v>
      </c>
      <c r="R9" s="1266">
        <v>0</v>
      </c>
      <c r="S9" s="1266">
        <v>1404</v>
      </c>
      <c r="T9" s="1267">
        <f t="shared" si="1"/>
        <v>1426</v>
      </c>
      <c r="U9" s="1265">
        <v>0</v>
      </c>
      <c r="V9" s="1266">
        <v>0</v>
      </c>
      <c r="W9" s="1266">
        <v>208</v>
      </c>
      <c r="X9" s="1266">
        <v>675</v>
      </c>
      <c r="Y9" s="1266">
        <v>543</v>
      </c>
      <c r="Z9" s="1267">
        <f t="shared" si="2"/>
        <v>1426</v>
      </c>
      <c r="AA9" s="1265">
        <v>0</v>
      </c>
      <c r="AB9" s="1266">
        <v>25</v>
      </c>
      <c r="AC9" s="1266">
        <v>283</v>
      </c>
      <c r="AD9" s="1266">
        <v>639</v>
      </c>
      <c r="AE9" s="1266">
        <v>479</v>
      </c>
      <c r="AF9" s="1267">
        <f t="shared" si="3"/>
        <v>1426</v>
      </c>
      <c r="AG9" s="1124"/>
      <c r="AH9" s="1190"/>
      <c r="AI9" s="897">
        <f t="shared" ref="AI9:AI13" si="4" xml:space="preserve"> IF( SUM( AK9:BL9 ) = 0, 0, $AL$5 )</f>
        <v>0</v>
      </c>
      <c r="AJ9" s="192"/>
      <c r="AK9" s="71"/>
      <c r="AL9" s="93">
        <f>IF(Validation!$H$3=1,0,IF(ISNUMBER(G9),0,1))</f>
        <v>0</v>
      </c>
      <c r="AM9" s="93">
        <f>IF(Validation!$H$3=1,0,IF(ISNUMBER(H9),0,1))</f>
        <v>0</v>
      </c>
      <c r="AN9" s="93">
        <f>IF(Validation!$H$3=1,0,IF(ISNUMBER(I9),0,1))</f>
        <v>0</v>
      </c>
      <c r="AO9" s="93">
        <f>IF(Validation!$H$3=1,0,IF(ISNUMBER(J9),0,1))</f>
        <v>0</v>
      </c>
      <c r="AP9" s="93">
        <f>IF(Validation!$H$3=1,0,IF(ISNUMBER(K9),0,1))</f>
        <v>0</v>
      </c>
      <c r="AQ9" s="93">
        <f>IF(Validation!$H$3=1,0,IF(ISNUMBER(L9),0,1))</f>
        <v>0</v>
      </c>
      <c r="AR9" s="93">
        <f>IF(Validation!$H$3=1,0,IF(ISNUMBER(M9),0,1))</f>
        <v>0</v>
      </c>
      <c r="AS9" s="93"/>
      <c r="AT9" s="85"/>
      <c r="AU9" s="93">
        <f>IF(Validation!$H$3=1,0,IF(ISNUMBER(P9),0,1))</f>
        <v>0</v>
      </c>
      <c r="AV9" s="93">
        <f>IF(Validation!$H$3=1,0,IF(ISNUMBER(Q9),0,1))</f>
        <v>0</v>
      </c>
      <c r="AW9" s="93">
        <f>IF(Validation!$H$3=1,0,IF(ISNUMBER(R9),0,1))</f>
        <v>0</v>
      </c>
      <c r="AX9" s="93">
        <f>IF(Validation!$H$3=1,0,IF(ISNUMBER(S9),0,1))</f>
        <v>0</v>
      </c>
      <c r="AY9" s="93"/>
      <c r="AZ9" s="93">
        <f>IF(Validation!$H$3=1,0,IF(ISNUMBER(U9),0,1))</f>
        <v>0</v>
      </c>
      <c r="BA9" s="93">
        <f>IF(Validation!$H$3=1,0,IF(ISNUMBER(V9),0,1))</f>
        <v>0</v>
      </c>
      <c r="BB9" s="93">
        <f>IF(Validation!$H$3=1,0,IF(ISNUMBER(W9),0,1))</f>
        <v>0</v>
      </c>
      <c r="BC9" s="93">
        <f>IF(Validation!$H$3=1,0,IF(ISNUMBER(X9),0,1))</f>
        <v>0</v>
      </c>
      <c r="BD9" s="93">
        <f>IF(Validation!$H$3=1,0,IF(ISNUMBER(Y9),0,1))</f>
        <v>0</v>
      </c>
      <c r="BE9" s="93"/>
      <c r="BF9" s="93">
        <f>IF(Validation!$H$3=1,0,IF(ISNUMBER(AA9),0,1))</f>
        <v>0</v>
      </c>
      <c r="BG9" s="93">
        <f>IF(Validation!$H$3=1,0,IF(ISNUMBER(AB9),0,1))</f>
        <v>0</v>
      </c>
      <c r="BH9" s="93">
        <f>IF(Validation!$H$3=1,0,IF(ISNUMBER(AC9),0,1))</f>
        <v>0</v>
      </c>
      <c r="BI9" s="93">
        <f>IF(Validation!$H$3=1,0,IF(ISNUMBER(AD9),0,1))</f>
        <v>0</v>
      </c>
      <c r="BJ9" s="93">
        <f>IF(Validation!$H$3=1,0,IF(ISNUMBER(AE9),0,1))</f>
        <v>0</v>
      </c>
      <c r="BK9" s="93"/>
      <c r="BL9" s="71"/>
      <c r="BM9" s="2004"/>
      <c r="BN9" s="94" t="s">
        <v>7973</v>
      </c>
      <c r="BO9" s="87" t="s">
        <v>7974</v>
      </c>
      <c r="BP9" s="95"/>
      <c r="BQ9" s="95" t="s">
        <v>7947</v>
      </c>
      <c r="BR9" s="96">
        <v>0</v>
      </c>
      <c r="BS9" s="2910" t="s">
        <v>7975</v>
      </c>
      <c r="BT9" s="2911" t="s">
        <v>7976</v>
      </c>
      <c r="BU9" s="2911" t="s">
        <v>7977</v>
      </c>
      <c r="BV9" s="2911" t="s">
        <v>7978</v>
      </c>
      <c r="BW9" s="2911" t="s">
        <v>7979</v>
      </c>
      <c r="BX9" s="2911" t="s">
        <v>7980</v>
      </c>
      <c r="BY9" s="2911" t="s">
        <v>7981</v>
      </c>
      <c r="BZ9" s="1267" t="s">
        <v>7982</v>
      </c>
      <c r="CA9" s="2499"/>
      <c r="CB9" s="2910" t="s">
        <v>7983</v>
      </c>
      <c r="CC9" s="2911" t="s">
        <v>7984</v>
      </c>
      <c r="CD9" s="2911" t="s">
        <v>7985</v>
      </c>
      <c r="CE9" s="2911" t="s">
        <v>7986</v>
      </c>
      <c r="CF9" s="1267" t="s">
        <v>7987</v>
      </c>
      <c r="CG9" s="2910" t="s">
        <v>7988</v>
      </c>
      <c r="CH9" s="2911" t="s">
        <v>7989</v>
      </c>
      <c r="CI9" s="2911" t="s">
        <v>7990</v>
      </c>
      <c r="CJ9" s="2911" t="s">
        <v>7991</v>
      </c>
      <c r="CK9" s="2911" t="s">
        <v>7992</v>
      </c>
      <c r="CL9" s="1267" t="s">
        <v>7993</v>
      </c>
      <c r="CM9" s="2910" t="s">
        <v>7994</v>
      </c>
      <c r="CN9" s="2911" t="s">
        <v>7995</v>
      </c>
      <c r="CO9" s="2911" t="s">
        <v>7996</v>
      </c>
      <c r="CP9" s="2911" t="s">
        <v>7997</v>
      </c>
      <c r="CQ9" s="2911" t="s">
        <v>7998</v>
      </c>
      <c r="CR9" s="1267" t="s">
        <v>7999</v>
      </c>
    </row>
    <row r="10" spans="1:96" ht="16.5">
      <c r="A10" s="1255"/>
      <c r="B10" s="94" t="s">
        <v>8000</v>
      </c>
      <c r="C10" s="87" t="s">
        <v>8001</v>
      </c>
      <c r="D10" s="95"/>
      <c r="E10" s="95" t="s">
        <v>7947</v>
      </c>
      <c r="F10" s="96">
        <v>0</v>
      </c>
      <c r="G10" s="1265">
        <v>152</v>
      </c>
      <c r="H10" s="1266">
        <v>834</v>
      </c>
      <c r="I10" s="1266">
        <v>2341</v>
      </c>
      <c r="J10" s="1266">
        <v>169</v>
      </c>
      <c r="K10" s="1266">
        <v>297</v>
      </c>
      <c r="L10" s="1266">
        <v>710</v>
      </c>
      <c r="M10" s="1266">
        <v>1175</v>
      </c>
      <c r="N10" s="1267">
        <f t="shared" si="0"/>
        <v>5678</v>
      </c>
      <c r="O10" s="1190"/>
      <c r="P10" s="1265">
        <v>256</v>
      </c>
      <c r="Q10" s="1266">
        <v>0</v>
      </c>
      <c r="R10" s="1266">
        <v>466</v>
      </c>
      <c r="S10" s="1266">
        <v>4956</v>
      </c>
      <c r="T10" s="1267">
        <f t="shared" si="1"/>
        <v>5678</v>
      </c>
      <c r="U10" s="1265">
        <v>0</v>
      </c>
      <c r="V10" s="1266">
        <v>159</v>
      </c>
      <c r="W10" s="1266">
        <v>1737</v>
      </c>
      <c r="X10" s="1266">
        <v>3467</v>
      </c>
      <c r="Y10" s="1266">
        <v>315</v>
      </c>
      <c r="Z10" s="1267">
        <f t="shared" si="2"/>
        <v>5678</v>
      </c>
      <c r="AA10" s="1265">
        <v>0</v>
      </c>
      <c r="AB10" s="1266">
        <v>111</v>
      </c>
      <c r="AC10" s="1266">
        <v>2158</v>
      </c>
      <c r="AD10" s="1266">
        <v>2798</v>
      </c>
      <c r="AE10" s="1266">
        <v>611</v>
      </c>
      <c r="AF10" s="1267">
        <f t="shared" si="3"/>
        <v>5678</v>
      </c>
      <c r="AG10" s="1124"/>
      <c r="AH10" s="1190"/>
      <c r="AI10" s="897">
        <f t="shared" si="4"/>
        <v>0</v>
      </c>
      <c r="AJ10" s="192"/>
      <c r="AK10" s="71"/>
      <c r="AL10" s="93">
        <f>IF(Validation!$H$3=1,0,IF(ISNUMBER(G10),0,1))</f>
        <v>0</v>
      </c>
      <c r="AM10" s="93">
        <f>IF(Validation!$H$3=1,0,IF(ISNUMBER(H10),0,1))</f>
        <v>0</v>
      </c>
      <c r="AN10" s="93">
        <f>IF(Validation!$H$3=1,0,IF(ISNUMBER(I10),0,1))</f>
        <v>0</v>
      </c>
      <c r="AO10" s="93">
        <f>IF(Validation!$H$3=1,0,IF(ISNUMBER(J10),0,1))</f>
        <v>0</v>
      </c>
      <c r="AP10" s="93">
        <f>IF(Validation!$H$3=1,0,IF(ISNUMBER(K10),0,1))</f>
        <v>0</v>
      </c>
      <c r="AQ10" s="93">
        <f>IF(Validation!$H$3=1,0,IF(ISNUMBER(L10),0,1))</f>
        <v>0</v>
      </c>
      <c r="AR10" s="93">
        <f>IF(Validation!$H$3=1,0,IF(ISNUMBER(M10),0,1))</f>
        <v>0</v>
      </c>
      <c r="AS10" s="93"/>
      <c r="AT10" s="85"/>
      <c r="AU10" s="93">
        <f>IF(Validation!$H$3=1,0,IF(ISNUMBER(P10),0,1))</f>
        <v>0</v>
      </c>
      <c r="AV10" s="93">
        <f>IF(Validation!$H$3=1,0,IF(ISNUMBER(Q10),0,1))</f>
        <v>0</v>
      </c>
      <c r="AW10" s="93">
        <f>IF(Validation!$H$3=1,0,IF(ISNUMBER(R10),0,1))</f>
        <v>0</v>
      </c>
      <c r="AX10" s="93">
        <f>IF(Validation!$H$3=1,0,IF(ISNUMBER(S10),0,1))</f>
        <v>0</v>
      </c>
      <c r="AY10" s="93"/>
      <c r="AZ10" s="93">
        <f>IF(Validation!$H$3=1,0,IF(ISNUMBER(U10),0,1))</f>
        <v>0</v>
      </c>
      <c r="BA10" s="93">
        <f>IF(Validation!$H$3=1,0,IF(ISNUMBER(V10),0,1))</f>
        <v>0</v>
      </c>
      <c r="BB10" s="93">
        <f>IF(Validation!$H$3=1,0,IF(ISNUMBER(W10),0,1))</f>
        <v>0</v>
      </c>
      <c r="BC10" s="93">
        <f>IF(Validation!$H$3=1,0,IF(ISNUMBER(X10),0,1))</f>
        <v>0</v>
      </c>
      <c r="BD10" s="93">
        <f>IF(Validation!$H$3=1,0,IF(ISNUMBER(Y10),0,1))</f>
        <v>0</v>
      </c>
      <c r="BE10" s="93"/>
      <c r="BF10" s="93">
        <f>IF(Validation!$H$3=1,0,IF(ISNUMBER(AA10),0,1))</f>
        <v>0</v>
      </c>
      <c r="BG10" s="93">
        <f>IF(Validation!$H$3=1,0,IF(ISNUMBER(AB10),0,1))</f>
        <v>0</v>
      </c>
      <c r="BH10" s="93">
        <f>IF(Validation!$H$3=1,0,IF(ISNUMBER(AC10),0,1))</f>
        <v>0</v>
      </c>
      <c r="BI10" s="93">
        <f>IF(Validation!$H$3=1,0,IF(ISNUMBER(AD10),0,1))</f>
        <v>0</v>
      </c>
      <c r="BJ10" s="93">
        <f>IF(Validation!$H$3=1,0,IF(ISNUMBER(AE10),0,1))</f>
        <v>0</v>
      </c>
      <c r="BK10" s="93"/>
      <c r="BL10" s="71"/>
      <c r="BM10" s="2004"/>
      <c r="BN10" s="94" t="s">
        <v>8000</v>
      </c>
      <c r="BO10" s="87" t="s">
        <v>8001</v>
      </c>
      <c r="BP10" s="95"/>
      <c r="BQ10" s="95" t="s">
        <v>7947</v>
      </c>
      <c r="BR10" s="96">
        <v>0</v>
      </c>
      <c r="BS10" s="2910" t="s">
        <v>8002</v>
      </c>
      <c r="BT10" s="2911" t="s">
        <v>8003</v>
      </c>
      <c r="BU10" s="2911" t="s">
        <v>8004</v>
      </c>
      <c r="BV10" s="2911" t="s">
        <v>8005</v>
      </c>
      <c r="BW10" s="2911" t="s">
        <v>8006</v>
      </c>
      <c r="BX10" s="2911" t="s">
        <v>8007</v>
      </c>
      <c r="BY10" s="2911" t="s">
        <v>8008</v>
      </c>
      <c r="BZ10" s="1267" t="s">
        <v>8009</v>
      </c>
      <c r="CA10" s="2499"/>
      <c r="CB10" s="2910" t="s">
        <v>8010</v>
      </c>
      <c r="CC10" s="2911" t="s">
        <v>8011</v>
      </c>
      <c r="CD10" s="2911" t="s">
        <v>8012</v>
      </c>
      <c r="CE10" s="2911" t="s">
        <v>8013</v>
      </c>
      <c r="CF10" s="1267" t="s">
        <v>8014</v>
      </c>
      <c r="CG10" s="2910" t="s">
        <v>8015</v>
      </c>
      <c r="CH10" s="2911" t="s">
        <v>8016</v>
      </c>
      <c r="CI10" s="2911" t="s">
        <v>8017</v>
      </c>
      <c r="CJ10" s="2911" t="s">
        <v>8018</v>
      </c>
      <c r="CK10" s="2911" t="s">
        <v>8019</v>
      </c>
      <c r="CL10" s="1267" t="s">
        <v>8020</v>
      </c>
      <c r="CM10" s="2910" t="s">
        <v>8021</v>
      </c>
      <c r="CN10" s="2911" t="s">
        <v>8022</v>
      </c>
      <c r="CO10" s="2911" t="s">
        <v>8023</v>
      </c>
      <c r="CP10" s="2911" t="s">
        <v>8024</v>
      </c>
      <c r="CQ10" s="2911" t="s">
        <v>8025</v>
      </c>
      <c r="CR10" s="1267" t="s">
        <v>8026</v>
      </c>
    </row>
    <row r="11" spans="1:96" ht="16.5">
      <c r="A11" s="1255"/>
      <c r="B11" s="94" t="s">
        <v>8027</v>
      </c>
      <c r="C11" s="87" t="s">
        <v>8028</v>
      </c>
      <c r="D11" s="95"/>
      <c r="E11" s="95" t="s">
        <v>7947</v>
      </c>
      <c r="F11" s="96">
        <v>0</v>
      </c>
      <c r="G11" s="1265">
        <v>0</v>
      </c>
      <c r="H11" s="1266">
        <v>4072</v>
      </c>
      <c r="I11" s="1266">
        <v>8449</v>
      </c>
      <c r="J11" s="1266">
        <v>884</v>
      </c>
      <c r="K11" s="1266">
        <v>3278</v>
      </c>
      <c r="L11" s="1266">
        <v>1357</v>
      </c>
      <c r="M11" s="1266">
        <v>3945</v>
      </c>
      <c r="N11" s="1267">
        <f t="shared" si="0"/>
        <v>21985</v>
      </c>
      <c r="O11" s="1190"/>
      <c r="P11" s="1265">
        <v>1277</v>
      </c>
      <c r="Q11" s="1266">
        <v>937</v>
      </c>
      <c r="R11" s="1266">
        <v>345</v>
      </c>
      <c r="S11" s="1266">
        <v>19427</v>
      </c>
      <c r="T11" s="1267">
        <f t="shared" si="1"/>
        <v>21986</v>
      </c>
      <c r="U11" s="1265">
        <v>0</v>
      </c>
      <c r="V11" s="1266">
        <v>1472</v>
      </c>
      <c r="W11" s="1266">
        <v>5160</v>
      </c>
      <c r="X11" s="1266">
        <v>11153</v>
      </c>
      <c r="Y11" s="1266">
        <v>4201</v>
      </c>
      <c r="Z11" s="1267">
        <f t="shared" si="2"/>
        <v>21986</v>
      </c>
      <c r="AA11" s="1265">
        <v>0</v>
      </c>
      <c r="AB11" s="1266">
        <v>2536</v>
      </c>
      <c r="AC11" s="1266">
        <v>6995</v>
      </c>
      <c r="AD11" s="1266">
        <v>6730</v>
      </c>
      <c r="AE11" s="1266">
        <v>5724</v>
      </c>
      <c r="AF11" s="1267">
        <f t="shared" si="3"/>
        <v>21985</v>
      </c>
      <c r="AG11" s="1124"/>
      <c r="AH11" s="1190"/>
      <c r="AI11" s="897">
        <f t="shared" si="4"/>
        <v>0</v>
      </c>
      <c r="AJ11" s="192"/>
      <c r="AK11" s="71"/>
      <c r="AL11" s="93">
        <f>IF(Validation!$H$3=1,0,IF(ISNUMBER(G11),0,1))</f>
        <v>0</v>
      </c>
      <c r="AM11" s="93">
        <f>IF(Validation!$H$3=1,0,IF(ISNUMBER(H11),0,1))</f>
        <v>0</v>
      </c>
      <c r="AN11" s="93">
        <f>IF(Validation!$H$3=1,0,IF(ISNUMBER(I11),0,1))</f>
        <v>0</v>
      </c>
      <c r="AO11" s="93">
        <f>IF(Validation!$H$3=1,0,IF(ISNUMBER(J11),0,1))</f>
        <v>0</v>
      </c>
      <c r="AP11" s="93">
        <f>IF(Validation!$H$3=1,0,IF(ISNUMBER(K11),0,1))</f>
        <v>0</v>
      </c>
      <c r="AQ11" s="93">
        <f>IF(Validation!$H$3=1,0,IF(ISNUMBER(L11),0,1))</f>
        <v>0</v>
      </c>
      <c r="AR11" s="93">
        <f>IF(Validation!$H$3=1,0,IF(ISNUMBER(M11),0,1))</f>
        <v>0</v>
      </c>
      <c r="AS11" s="93"/>
      <c r="AT11" s="85"/>
      <c r="AU11" s="93">
        <f>IF(Validation!$H$3=1,0,IF(ISNUMBER(P11),0,1))</f>
        <v>0</v>
      </c>
      <c r="AV11" s="93">
        <f>IF(Validation!$H$3=1,0,IF(ISNUMBER(Q11),0,1))</f>
        <v>0</v>
      </c>
      <c r="AW11" s="93">
        <f>IF(Validation!$H$3=1,0,IF(ISNUMBER(R11),0,1))</f>
        <v>0</v>
      </c>
      <c r="AX11" s="93">
        <f>IF(Validation!$H$3=1,0,IF(ISNUMBER(S11),0,1))</f>
        <v>0</v>
      </c>
      <c r="AY11" s="93"/>
      <c r="AZ11" s="93">
        <f>IF(Validation!$H$3=1,0,IF(ISNUMBER(U11),0,1))</f>
        <v>0</v>
      </c>
      <c r="BA11" s="93">
        <f>IF(Validation!$H$3=1,0,IF(ISNUMBER(V11),0,1))</f>
        <v>0</v>
      </c>
      <c r="BB11" s="93">
        <f>IF(Validation!$H$3=1,0,IF(ISNUMBER(W11),0,1))</f>
        <v>0</v>
      </c>
      <c r="BC11" s="93">
        <f>IF(Validation!$H$3=1,0,IF(ISNUMBER(X11),0,1))</f>
        <v>0</v>
      </c>
      <c r="BD11" s="93">
        <f>IF(Validation!$H$3=1,0,IF(ISNUMBER(Y11),0,1))</f>
        <v>0</v>
      </c>
      <c r="BE11" s="93"/>
      <c r="BF11" s="93">
        <f>IF(Validation!$H$3=1,0,IF(ISNUMBER(AA11),0,1))</f>
        <v>0</v>
      </c>
      <c r="BG11" s="93">
        <f>IF(Validation!$H$3=1,0,IF(ISNUMBER(AB11),0,1))</f>
        <v>0</v>
      </c>
      <c r="BH11" s="93">
        <f>IF(Validation!$H$3=1,0,IF(ISNUMBER(AC11),0,1))</f>
        <v>0</v>
      </c>
      <c r="BI11" s="93">
        <f>IF(Validation!$H$3=1,0,IF(ISNUMBER(AD11),0,1))</f>
        <v>0</v>
      </c>
      <c r="BJ11" s="93">
        <f>IF(Validation!$H$3=1,0,IF(ISNUMBER(AE11),0,1))</f>
        <v>0</v>
      </c>
      <c r="BK11" s="93"/>
      <c r="BL11" s="71"/>
      <c r="BM11" s="2004"/>
      <c r="BN11" s="94" t="s">
        <v>8027</v>
      </c>
      <c r="BO11" s="87" t="s">
        <v>8028</v>
      </c>
      <c r="BP11" s="95"/>
      <c r="BQ11" s="95" t="s">
        <v>7947</v>
      </c>
      <c r="BR11" s="96">
        <v>0</v>
      </c>
      <c r="BS11" s="2910" t="s">
        <v>8029</v>
      </c>
      <c r="BT11" s="2911" t="s">
        <v>8030</v>
      </c>
      <c r="BU11" s="2911" t="s">
        <v>8031</v>
      </c>
      <c r="BV11" s="2911" t="s">
        <v>8032</v>
      </c>
      <c r="BW11" s="2911" t="s">
        <v>8033</v>
      </c>
      <c r="BX11" s="2911" t="s">
        <v>8034</v>
      </c>
      <c r="BY11" s="2911" t="s">
        <v>8035</v>
      </c>
      <c r="BZ11" s="1267" t="s">
        <v>8036</v>
      </c>
      <c r="CA11" s="2499"/>
      <c r="CB11" s="2910" t="s">
        <v>8037</v>
      </c>
      <c r="CC11" s="2911" t="s">
        <v>8038</v>
      </c>
      <c r="CD11" s="2911" t="s">
        <v>8039</v>
      </c>
      <c r="CE11" s="2911" t="s">
        <v>8040</v>
      </c>
      <c r="CF11" s="1267" t="s">
        <v>8041</v>
      </c>
      <c r="CG11" s="2910" t="s">
        <v>8042</v>
      </c>
      <c r="CH11" s="2911" t="s">
        <v>8043</v>
      </c>
      <c r="CI11" s="2911" t="s">
        <v>8044</v>
      </c>
      <c r="CJ11" s="2911" t="s">
        <v>8045</v>
      </c>
      <c r="CK11" s="2911" t="s">
        <v>8046</v>
      </c>
      <c r="CL11" s="1267" t="s">
        <v>8047</v>
      </c>
      <c r="CM11" s="2910" t="s">
        <v>8048</v>
      </c>
      <c r="CN11" s="2911" t="s">
        <v>8049</v>
      </c>
      <c r="CO11" s="2911" t="s">
        <v>8050</v>
      </c>
      <c r="CP11" s="2911" t="s">
        <v>8051</v>
      </c>
      <c r="CQ11" s="2911" t="s">
        <v>8052</v>
      </c>
      <c r="CR11" s="1267" t="s">
        <v>8053</v>
      </c>
    </row>
    <row r="12" spans="1:96" ht="16.5">
      <c r="A12" s="1255"/>
      <c r="B12" s="94" t="s">
        <v>8054</v>
      </c>
      <c r="C12" s="913" t="s">
        <v>8055</v>
      </c>
      <c r="D12" s="1268"/>
      <c r="E12" s="1268" t="s">
        <v>7947</v>
      </c>
      <c r="F12" s="1269">
        <v>0</v>
      </c>
      <c r="G12" s="1265">
        <v>0</v>
      </c>
      <c r="H12" s="1266">
        <v>10589</v>
      </c>
      <c r="I12" s="1266">
        <v>13922</v>
      </c>
      <c r="J12" s="1266">
        <v>3521</v>
      </c>
      <c r="K12" s="1266">
        <v>4936</v>
      </c>
      <c r="L12" s="1266">
        <v>2085</v>
      </c>
      <c r="M12" s="1266">
        <v>9490</v>
      </c>
      <c r="N12" s="1267">
        <f t="shared" si="0"/>
        <v>44543</v>
      </c>
      <c r="O12" s="1190"/>
      <c r="P12" s="1265">
        <v>4942</v>
      </c>
      <c r="Q12" s="1266">
        <v>2847</v>
      </c>
      <c r="R12" s="1266">
        <v>4692</v>
      </c>
      <c r="S12" s="1266">
        <v>32062</v>
      </c>
      <c r="T12" s="1267">
        <f t="shared" si="1"/>
        <v>44543</v>
      </c>
      <c r="U12" s="1265">
        <v>0</v>
      </c>
      <c r="V12" s="1266">
        <v>4552</v>
      </c>
      <c r="W12" s="1266">
        <v>14390</v>
      </c>
      <c r="X12" s="1266">
        <v>22800</v>
      </c>
      <c r="Y12" s="1266">
        <v>2801</v>
      </c>
      <c r="Z12" s="1267">
        <f t="shared" si="2"/>
        <v>44543</v>
      </c>
      <c r="AA12" s="1265">
        <v>0</v>
      </c>
      <c r="AB12" s="1266">
        <v>7323</v>
      </c>
      <c r="AC12" s="1266">
        <v>22473</v>
      </c>
      <c r="AD12" s="1266">
        <v>6895</v>
      </c>
      <c r="AE12" s="1266">
        <v>7852</v>
      </c>
      <c r="AF12" s="1267">
        <f t="shared" si="3"/>
        <v>44543</v>
      </c>
      <c r="AG12" s="1124"/>
      <c r="AH12" s="1190"/>
      <c r="AI12" s="897">
        <f t="shared" si="4"/>
        <v>0</v>
      </c>
      <c r="AJ12" s="192"/>
      <c r="AK12" s="71"/>
      <c r="AL12" s="93">
        <f>IF(Validation!$H$3=1,0,IF(ISNUMBER(G12),0,1))</f>
        <v>0</v>
      </c>
      <c r="AM12" s="93">
        <f>IF(Validation!$H$3=1,0,IF(ISNUMBER(H12),0,1))</f>
        <v>0</v>
      </c>
      <c r="AN12" s="93">
        <f>IF(Validation!$H$3=1,0,IF(ISNUMBER(I12),0,1))</f>
        <v>0</v>
      </c>
      <c r="AO12" s="93">
        <f>IF(Validation!$H$3=1,0,IF(ISNUMBER(J12),0,1))</f>
        <v>0</v>
      </c>
      <c r="AP12" s="93">
        <f>IF(Validation!$H$3=1,0,IF(ISNUMBER(K12),0,1))</f>
        <v>0</v>
      </c>
      <c r="AQ12" s="93">
        <f>IF(Validation!$H$3=1,0,IF(ISNUMBER(L12),0,1))</f>
        <v>0</v>
      </c>
      <c r="AR12" s="93">
        <f>IF(Validation!$H$3=1,0,IF(ISNUMBER(M12),0,1))</f>
        <v>0</v>
      </c>
      <c r="AS12" s="93"/>
      <c r="AT12" s="85"/>
      <c r="AU12" s="93">
        <f>IF(Validation!$H$3=1,0,IF(ISNUMBER(P12),0,1))</f>
        <v>0</v>
      </c>
      <c r="AV12" s="93">
        <f>IF(Validation!$H$3=1,0,IF(ISNUMBER(Q12),0,1))</f>
        <v>0</v>
      </c>
      <c r="AW12" s="93">
        <f>IF(Validation!$H$3=1,0,IF(ISNUMBER(R12),0,1))</f>
        <v>0</v>
      </c>
      <c r="AX12" s="93">
        <f>IF(Validation!$H$3=1,0,IF(ISNUMBER(S12),0,1))</f>
        <v>0</v>
      </c>
      <c r="AY12" s="93"/>
      <c r="AZ12" s="93">
        <f>IF(Validation!$H$3=1,0,IF(ISNUMBER(U12),0,1))</f>
        <v>0</v>
      </c>
      <c r="BA12" s="93">
        <f>IF(Validation!$H$3=1,0,IF(ISNUMBER(V12),0,1))</f>
        <v>0</v>
      </c>
      <c r="BB12" s="93">
        <f>IF(Validation!$H$3=1,0,IF(ISNUMBER(W12),0,1))</f>
        <v>0</v>
      </c>
      <c r="BC12" s="93">
        <f>IF(Validation!$H$3=1,0,IF(ISNUMBER(X12),0,1))</f>
        <v>0</v>
      </c>
      <c r="BD12" s="93">
        <f>IF(Validation!$H$3=1,0,IF(ISNUMBER(Y12),0,1))</f>
        <v>0</v>
      </c>
      <c r="BE12" s="93"/>
      <c r="BF12" s="93">
        <f>IF(Validation!$H$3=1,0,IF(ISNUMBER(AA12),0,1))</f>
        <v>0</v>
      </c>
      <c r="BG12" s="93">
        <f>IF(Validation!$H$3=1,0,IF(ISNUMBER(AB12),0,1))</f>
        <v>0</v>
      </c>
      <c r="BH12" s="93">
        <f>IF(Validation!$H$3=1,0,IF(ISNUMBER(AC12),0,1))</f>
        <v>0</v>
      </c>
      <c r="BI12" s="93">
        <f>IF(Validation!$H$3=1,0,IF(ISNUMBER(AD12),0,1))</f>
        <v>0</v>
      </c>
      <c r="BJ12" s="93">
        <f>IF(Validation!$H$3=1,0,IF(ISNUMBER(AE12),0,1))</f>
        <v>0</v>
      </c>
      <c r="BK12" s="93"/>
      <c r="BL12" s="71"/>
      <c r="BM12" s="2004"/>
      <c r="BN12" s="94" t="s">
        <v>8054</v>
      </c>
      <c r="BO12" s="913" t="s">
        <v>8055</v>
      </c>
      <c r="BP12" s="1268"/>
      <c r="BQ12" s="1268" t="s">
        <v>7947</v>
      </c>
      <c r="BR12" s="1269">
        <v>0</v>
      </c>
      <c r="BS12" s="2910" t="s">
        <v>8056</v>
      </c>
      <c r="BT12" s="2911" t="s">
        <v>8057</v>
      </c>
      <c r="BU12" s="2911" t="s">
        <v>8058</v>
      </c>
      <c r="BV12" s="2911" t="s">
        <v>8059</v>
      </c>
      <c r="BW12" s="2911" t="s">
        <v>8060</v>
      </c>
      <c r="BX12" s="2911" t="s">
        <v>8061</v>
      </c>
      <c r="BY12" s="2911" t="s">
        <v>8062</v>
      </c>
      <c r="BZ12" s="1267" t="s">
        <v>8063</v>
      </c>
      <c r="CA12" s="2499"/>
      <c r="CB12" s="2910" t="s">
        <v>8064</v>
      </c>
      <c r="CC12" s="2911" t="s">
        <v>8065</v>
      </c>
      <c r="CD12" s="2911" t="s">
        <v>8066</v>
      </c>
      <c r="CE12" s="2911" t="s">
        <v>8067</v>
      </c>
      <c r="CF12" s="1267" t="s">
        <v>8068</v>
      </c>
      <c r="CG12" s="2910" t="s">
        <v>8069</v>
      </c>
      <c r="CH12" s="2911" t="s">
        <v>8070</v>
      </c>
      <c r="CI12" s="2911" t="s">
        <v>8071</v>
      </c>
      <c r="CJ12" s="2911" t="s">
        <v>8072</v>
      </c>
      <c r="CK12" s="2911" t="s">
        <v>8073</v>
      </c>
      <c r="CL12" s="1267" t="s">
        <v>8074</v>
      </c>
      <c r="CM12" s="2910" t="s">
        <v>8075</v>
      </c>
      <c r="CN12" s="2911" t="s">
        <v>8076</v>
      </c>
      <c r="CO12" s="2911" t="s">
        <v>8077</v>
      </c>
      <c r="CP12" s="2911" t="s">
        <v>8078</v>
      </c>
      <c r="CQ12" s="2911" t="s">
        <v>8079</v>
      </c>
      <c r="CR12" s="1267" t="s">
        <v>8080</v>
      </c>
    </row>
    <row r="13" spans="1:96" ht="16.5">
      <c r="A13" s="1255"/>
      <c r="B13" s="94" t="s">
        <v>8081</v>
      </c>
      <c r="C13" s="87" t="s">
        <v>8082</v>
      </c>
      <c r="D13" s="95"/>
      <c r="E13" s="95" t="s">
        <v>7947</v>
      </c>
      <c r="F13" s="96">
        <v>0</v>
      </c>
      <c r="G13" s="1265">
        <v>0</v>
      </c>
      <c r="H13" s="1266">
        <v>195295</v>
      </c>
      <c r="I13" s="1266">
        <v>19394</v>
      </c>
      <c r="J13" s="1266">
        <v>6112</v>
      </c>
      <c r="K13" s="1266">
        <v>60783</v>
      </c>
      <c r="L13" s="1266">
        <v>2294</v>
      </c>
      <c r="M13" s="1266">
        <v>1984</v>
      </c>
      <c r="N13" s="1267">
        <f t="shared" si="0"/>
        <v>285862</v>
      </c>
      <c r="O13" s="1190"/>
      <c r="P13" s="1265">
        <v>0</v>
      </c>
      <c r="Q13" s="1266">
        <v>1984</v>
      </c>
      <c r="R13" s="1266">
        <v>0</v>
      </c>
      <c r="S13" s="1266">
        <v>283878</v>
      </c>
      <c r="T13" s="1267">
        <f t="shared" si="1"/>
        <v>285862</v>
      </c>
      <c r="U13" s="1265">
        <v>0</v>
      </c>
      <c r="V13" s="1266">
        <v>25633</v>
      </c>
      <c r="W13" s="1266">
        <v>133813</v>
      </c>
      <c r="X13" s="1266">
        <v>86952</v>
      </c>
      <c r="Y13" s="1266">
        <v>39464</v>
      </c>
      <c r="Z13" s="1267">
        <f t="shared" si="2"/>
        <v>285862</v>
      </c>
      <c r="AA13" s="1265">
        <v>5222</v>
      </c>
      <c r="AB13" s="1266">
        <v>140416</v>
      </c>
      <c r="AC13" s="1266">
        <v>92009</v>
      </c>
      <c r="AD13" s="1266">
        <v>8749</v>
      </c>
      <c r="AE13" s="1266">
        <v>39464</v>
      </c>
      <c r="AF13" s="1267">
        <f t="shared" si="3"/>
        <v>285860</v>
      </c>
      <c r="AG13" s="1110"/>
      <c r="AH13" s="1190"/>
      <c r="AI13" s="897">
        <f t="shared" si="4"/>
        <v>0</v>
      </c>
      <c r="AJ13" s="192"/>
      <c r="AK13" s="71"/>
      <c r="AL13" s="93">
        <f>IF(Validation!$H$3=1,0,IF(ISNUMBER(G13),0,1))</f>
        <v>0</v>
      </c>
      <c r="AM13" s="93">
        <f>IF(Validation!$H$3=1,0,IF(ISNUMBER(H13),0,1))</f>
        <v>0</v>
      </c>
      <c r="AN13" s="93">
        <f>IF(Validation!$H$3=1,0,IF(ISNUMBER(I13),0,1))</f>
        <v>0</v>
      </c>
      <c r="AO13" s="93">
        <f>IF(Validation!$H$3=1,0,IF(ISNUMBER(J13),0,1))</f>
        <v>0</v>
      </c>
      <c r="AP13" s="93">
        <f>IF(Validation!$H$3=1,0,IF(ISNUMBER(K13),0,1))</f>
        <v>0</v>
      </c>
      <c r="AQ13" s="93">
        <f>IF(Validation!$H$3=1,0,IF(ISNUMBER(L13),0,1))</f>
        <v>0</v>
      </c>
      <c r="AR13" s="93">
        <f>IF(Validation!$H$3=1,0,IF(ISNUMBER(M13),0,1))</f>
        <v>0</v>
      </c>
      <c r="AS13" s="93"/>
      <c r="AT13" s="85"/>
      <c r="AU13" s="93">
        <f>IF(Validation!$H$3=1,0,IF(ISNUMBER(P13),0,1))</f>
        <v>0</v>
      </c>
      <c r="AV13" s="93">
        <f>IF(Validation!$H$3=1,0,IF(ISNUMBER(Q13),0,1))</f>
        <v>0</v>
      </c>
      <c r="AW13" s="93">
        <f>IF(Validation!$H$3=1,0,IF(ISNUMBER(R13),0,1))</f>
        <v>0</v>
      </c>
      <c r="AX13" s="93">
        <f>IF(Validation!$H$3=1,0,IF(ISNUMBER(S13),0,1))</f>
        <v>0</v>
      </c>
      <c r="AY13" s="93"/>
      <c r="AZ13" s="93">
        <f>IF(Validation!$H$3=1,0,IF(ISNUMBER(U13),0,1))</f>
        <v>0</v>
      </c>
      <c r="BA13" s="93">
        <f>IF(Validation!$H$3=1,0,IF(ISNUMBER(V13),0,1))</f>
        <v>0</v>
      </c>
      <c r="BB13" s="93">
        <f>IF(Validation!$H$3=1,0,IF(ISNUMBER(W13),0,1))</f>
        <v>0</v>
      </c>
      <c r="BC13" s="93">
        <f>IF(Validation!$H$3=1,0,IF(ISNUMBER(X13),0,1))</f>
        <v>0</v>
      </c>
      <c r="BD13" s="93">
        <f>IF(Validation!$H$3=1,0,IF(ISNUMBER(Y13),0,1))</f>
        <v>0</v>
      </c>
      <c r="BE13" s="93"/>
      <c r="BF13" s="93">
        <f>IF(Validation!$H$3=1,0,IF(ISNUMBER(AA13),0,1))</f>
        <v>0</v>
      </c>
      <c r="BG13" s="93">
        <f>IF(Validation!$H$3=1,0,IF(ISNUMBER(AB13),0,1))</f>
        <v>0</v>
      </c>
      <c r="BH13" s="93">
        <f>IF(Validation!$H$3=1,0,IF(ISNUMBER(AC13),0,1))</f>
        <v>0</v>
      </c>
      <c r="BI13" s="93">
        <f>IF(Validation!$H$3=1,0,IF(ISNUMBER(AD13),0,1))</f>
        <v>0</v>
      </c>
      <c r="BJ13" s="93">
        <f>IF(Validation!$H$3=1,0,IF(ISNUMBER(AE13),0,1))</f>
        <v>0</v>
      </c>
      <c r="BK13" s="93"/>
      <c r="BL13" s="71"/>
      <c r="BM13" s="2004"/>
      <c r="BN13" s="94" t="s">
        <v>8081</v>
      </c>
      <c r="BO13" s="87" t="s">
        <v>8082</v>
      </c>
      <c r="BP13" s="95"/>
      <c r="BQ13" s="95" t="s">
        <v>7947</v>
      </c>
      <c r="BR13" s="96">
        <v>0</v>
      </c>
      <c r="BS13" s="2910" t="s">
        <v>8083</v>
      </c>
      <c r="BT13" s="2911" t="s">
        <v>8084</v>
      </c>
      <c r="BU13" s="2911" t="s">
        <v>8085</v>
      </c>
      <c r="BV13" s="2911" t="s">
        <v>8086</v>
      </c>
      <c r="BW13" s="2911" t="s">
        <v>8087</v>
      </c>
      <c r="BX13" s="2911" t="s">
        <v>8088</v>
      </c>
      <c r="BY13" s="2911" t="s">
        <v>8089</v>
      </c>
      <c r="BZ13" s="1267" t="s">
        <v>8090</v>
      </c>
      <c r="CA13" s="2499"/>
      <c r="CB13" s="2910" t="s">
        <v>8091</v>
      </c>
      <c r="CC13" s="2911" t="s">
        <v>8092</v>
      </c>
      <c r="CD13" s="2911" t="s">
        <v>8093</v>
      </c>
      <c r="CE13" s="2911" t="s">
        <v>8094</v>
      </c>
      <c r="CF13" s="1267" t="s">
        <v>8095</v>
      </c>
      <c r="CG13" s="2910" t="s">
        <v>8096</v>
      </c>
      <c r="CH13" s="2911" t="s">
        <v>8097</v>
      </c>
      <c r="CI13" s="2911" t="s">
        <v>8098</v>
      </c>
      <c r="CJ13" s="2911" t="s">
        <v>8099</v>
      </c>
      <c r="CK13" s="2911" t="s">
        <v>8100</v>
      </c>
      <c r="CL13" s="1267" t="s">
        <v>8101</v>
      </c>
      <c r="CM13" s="2910" t="s">
        <v>8102</v>
      </c>
      <c r="CN13" s="2911" t="s">
        <v>8103</v>
      </c>
      <c r="CO13" s="2911" t="s">
        <v>8104</v>
      </c>
      <c r="CP13" s="2911" t="s">
        <v>8105</v>
      </c>
      <c r="CQ13" s="2911" t="s">
        <v>8106</v>
      </c>
      <c r="CR13" s="1267" t="s">
        <v>8107</v>
      </c>
    </row>
    <row r="14" spans="1:96" ht="17.25" thickBot="1">
      <c r="A14" s="1255"/>
      <c r="B14" s="94" t="s">
        <v>8108</v>
      </c>
      <c r="C14" s="87" t="s">
        <v>8109</v>
      </c>
      <c r="D14" s="95"/>
      <c r="E14" s="95" t="s">
        <v>7947</v>
      </c>
      <c r="F14" s="96">
        <v>0</v>
      </c>
      <c r="G14" s="1270">
        <f t="shared" ref="G14:N14" si="5">+SUM(G8:G13)</f>
        <v>237</v>
      </c>
      <c r="H14" s="1271">
        <f t="shared" si="5"/>
        <v>211432</v>
      </c>
      <c r="I14" s="1271">
        <f t="shared" si="5"/>
        <v>46085</v>
      </c>
      <c r="J14" s="1271">
        <f t="shared" si="5"/>
        <v>10757</v>
      </c>
      <c r="K14" s="1271">
        <f t="shared" si="5"/>
        <v>69319</v>
      </c>
      <c r="L14" s="1271">
        <f t="shared" si="5"/>
        <v>6688</v>
      </c>
      <c r="M14" s="1271">
        <f t="shared" si="5"/>
        <v>16681</v>
      </c>
      <c r="N14" s="1267">
        <f t="shared" si="5"/>
        <v>361199</v>
      </c>
      <c r="O14" s="1190"/>
      <c r="P14" s="1270">
        <f t="shared" ref="P14:AF14" si="6">+SUM(P8:P13)</f>
        <v>6475</v>
      </c>
      <c r="Q14" s="1271">
        <f t="shared" si="6"/>
        <v>5790</v>
      </c>
      <c r="R14" s="1271">
        <f t="shared" si="6"/>
        <v>5503</v>
      </c>
      <c r="S14" s="1271">
        <f t="shared" si="6"/>
        <v>343431</v>
      </c>
      <c r="T14" s="1272">
        <f t="shared" si="6"/>
        <v>361199</v>
      </c>
      <c r="U14" s="1270">
        <f t="shared" si="6"/>
        <v>0</v>
      </c>
      <c r="V14" s="1271">
        <f t="shared" si="6"/>
        <v>31816</v>
      </c>
      <c r="W14" s="1271">
        <f t="shared" si="6"/>
        <v>155333</v>
      </c>
      <c r="X14" s="1271">
        <f t="shared" si="6"/>
        <v>125203</v>
      </c>
      <c r="Y14" s="1271">
        <f t="shared" si="6"/>
        <v>48847</v>
      </c>
      <c r="Z14" s="1272">
        <f t="shared" si="6"/>
        <v>361199</v>
      </c>
      <c r="AA14" s="1270">
        <f t="shared" si="6"/>
        <v>5222</v>
      </c>
      <c r="AB14" s="1271">
        <f t="shared" si="6"/>
        <v>150411</v>
      </c>
      <c r="AC14" s="1271">
        <f t="shared" si="6"/>
        <v>123929</v>
      </c>
      <c r="AD14" s="1271">
        <f t="shared" si="6"/>
        <v>26022</v>
      </c>
      <c r="AE14" s="1271">
        <f t="shared" si="6"/>
        <v>55612</v>
      </c>
      <c r="AF14" s="1272">
        <f t="shared" si="6"/>
        <v>361196</v>
      </c>
      <c r="AG14" s="1118"/>
      <c r="AH14" s="1190"/>
      <c r="AI14" s="2004"/>
      <c r="AJ14" s="2004"/>
      <c r="AL14" s="2004"/>
      <c r="AM14" s="2004"/>
      <c r="AN14" s="2004"/>
      <c r="AO14" s="2004"/>
      <c r="AP14" s="2004"/>
      <c r="AQ14" s="2004"/>
      <c r="AR14" s="2004"/>
      <c r="AS14" s="2004"/>
      <c r="AT14" s="85"/>
      <c r="AU14" s="2004"/>
      <c r="AV14" s="2004"/>
      <c r="AW14" s="2004"/>
      <c r="AX14" s="2004"/>
      <c r="AY14" s="2004"/>
      <c r="AZ14" s="2004"/>
      <c r="BA14" s="2004"/>
      <c r="BB14" s="2004"/>
      <c r="BC14" s="2004"/>
      <c r="BD14" s="2004"/>
      <c r="BE14" s="2004"/>
      <c r="BF14" s="2004"/>
      <c r="BG14" s="2004"/>
      <c r="BH14" s="2004"/>
      <c r="BI14" s="2004"/>
      <c r="BJ14" s="2004"/>
      <c r="BK14" s="2004"/>
      <c r="BM14" s="2004"/>
      <c r="BN14" s="94" t="s">
        <v>8108</v>
      </c>
      <c r="BO14" s="87" t="s">
        <v>8109</v>
      </c>
      <c r="BP14" s="95"/>
      <c r="BQ14" s="95" t="s">
        <v>7947</v>
      </c>
      <c r="BR14" s="96">
        <v>0</v>
      </c>
      <c r="BS14" s="1270" t="s">
        <v>8110</v>
      </c>
      <c r="BT14" s="1271" t="s">
        <v>8111</v>
      </c>
      <c r="BU14" s="1271" t="s">
        <v>8112</v>
      </c>
      <c r="BV14" s="1271" t="s">
        <v>8113</v>
      </c>
      <c r="BW14" s="1271" t="s">
        <v>8114</v>
      </c>
      <c r="BX14" s="1271" t="s">
        <v>8115</v>
      </c>
      <c r="BY14" s="1271" t="s">
        <v>8116</v>
      </c>
      <c r="BZ14" s="1267" t="s">
        <v>8117</v>
      </c>
      <c r="CA14" s="2499"/>
      <c r="CB14" s="1270" t="s">
        <v>8118</v>
      </c>
      <c r="CC14" s="1271" t="s">
        <v>8119</v>
      </c>
      <c r="CD14" s="1271" t="s">
        <v>8120</v>
      </c>
      <c r="CE14" s="1271" t="s">
        <v>8121</v>
      </c>
      <c r="CF14" s="1272" t="s">
        <v>8122</v>
      </c>
      <c r="CG14" s="1270" t="s">
        <v>8123</v>
      </c>
      <c r="CH14" s="1271" t="s">
        <v>8124</v>
      </c>
      <c r="CI14" s="1271" t="s">
        <v>8125</v>
      </c>
      <c r="CJ14" s="1271" t="s">
        <v>8126</v>
      </c>
      <c r="CK14" s="1271" t="s">
        <v>8127</v>
      </c>
      <c r="CL14" s="1272" t="s">
        <v>8128</v>
      </c>
      <c r="CM14" s="1270" t="s">
        <v>8129</v>
      </c>
      <c r="CN14" s="1271" t="s">
        <v>8130</v>
      </c>
      <c r="CO14" s="1271" t="s">
        <v>8131</v>
      </c>
      <c r="CP14" s="1271" t="s">
        <v>8132</v>
      </c>
      <c r="CQ14" s="1271" t="s">
        <v>8133</v>
      </c>
      <c r="CR14" s="1272" t="s">
        <v>8134</v>
      </c>
    </row>
    <row r="15" spans="1:96" ht="17.25" thickBot="1">
      <c r="A15" s="1255"/>
      <c r="B15" s="101" t="s">
        <v>8135</v>
      </c>
      <c r="C15" s="102" t="s">
        <v>8136</v>
      </c>
      <c r="D15" s="103"/>
      <c r="E15" s="103" t="s">
        <v>7947</v>
      </c>
      <c r="F15" s="100">
        <v>0</v>
      </c>
      <c r="G15" s="1273"/>
      <c r="H15" s="1273"/>
      <c r="I15" s="1273"/>
      <c r="J15" s="1273"/>
      <c r="K15" s="1273"/>
      <c r="L15" s="1273"/>
      <c r="M15" s="1273"/>
      <c r="N15" s="1274">
        <v>48219</v>
      </c>
      <c r="O15" s="1190"/>
      <c r="P15" s="1190"/>
      <c r="Q15" s="1190"/>
      <c r="R15" s="1190"/>
      <c r="S15" s="1190"/>
      <c r="T15" s="1190"/>
      <c r="U15" s="1190"/>
      <c r="V15" s="1190"/>
      <c r="W15" s="1190"/>
      <c r="X15" s="1190"/>
      <c r="Y15" s="1190"/>
      <c r="Z15" s="1190"/>
      <c r="AA15" s="1190"/>
      <c r="AB15" s="1190"/>
      <c r="AC15" s="1190"/>
      <c r="AD15" s="1190"/>
      <c r="AE15" s="1190"/>
      <c r="AF15" s="1190"/>
      <c r="AG15" s="1190"/>
      <c r="AH15" s="1190"/>
      <c r="AI15" s="2004"/>
      <c r="AJ15" s="2004"/>
      <c r="AL15" s="2004"/>
      <c r="AM15" s="2004"/>
      <c r="AN15" s="2004"/>
      <c r="AO15" s="2004"/>
      <c r="AP15" s="2004"/>
      <c r="AQ15" s="2004"/>
      <c r="AR15" s="2004"/>
      <c r="AS15" s="2004"/>
      <c r="AT15" s="85"/>
      <c r="AU15" s="2004"/>
      <c r="AV15" s="2004"/>
      <c r="AW15" s="2004"/>
      <c r="AX15" s="2004"/>
      <c r="AY15" s="2004"/>
      <c r="AZ15" s="2004"/>
      <c r="BA15" s="2004"/>
      <c r="BB15" s="2004"/>
      <c r="BC15" s="2004"/>
      <c r="BD15" s="2004"/>
      <c r="BE15" s="2004"/>
      <c r="BF15" s="2004"/>
      <c r="BG15" s="2004"/>
      <c r="BH15" s="2004"/>
      <c r="BI15" s="2004"/>
      <c r="BJ15" s="2004"/>
      <c r="BK15" s="2004"/>
      <c r="BM15" s="2004"/>
      <c r="BN15" s="101" t="s">
        <v>8135</v>
      </c>
      <c r="BO15" s="102" t="s">
        <v>8136</v>
      </c>
      <c r="BP15" s="103"/>
      <c r="BQ15" s="103" t="s">
        <v>7947</v>
      </c>
      <c r="BR15" s="100">
        <v>0</v>
      </c>
      <c r="BS15" s="2912"/>
      <c r="BT15" s="2912"/>
      <c r="BU15" s="2912"/>
      <c r="BV15" s="2912"/>
      <c r="BW15" s="2912"/>
      <c r="BX15" s="2912"/>
      <c r="BY15" s="2912"/>
      <c r="BZ15" s="2913" t="s">
        <v>8137</v>
      </c>
      <c r="CA15" s="2499"/>
      <c r="CB15" s="2499"/>
      <c r="CC15" s="2499"/>
      <c r="CD15" s="2499"/>
      <c r="CE15" s="2499"/>
      <c r="CF15" s="2499"/>
      <c r="CG15" s="2499"/>
      <c r="CH15" s="2499"/>
      <c r="CI15" s="2499"/>
      <c r="CJ15" s="2499"/>
      <c r="CK15" s="2499"/>
      <c r="CL15" s="2499"/>
      <c r="CM15" s="2499"/>
      <c r="CN15" s="2499"/>
      <c r="CO15" s="2499"/>
      <c r="CP15" s="2499"/>
      <c r="CQ15" s="2499"/>
      <c r="CR15" s="2499"/>
    </row>
    <row r="16" spans="1:96" ht="15.75" thickBot="1">
      <c r="A16" s="1190"/>
      <c r="B16" s="1255"/>
      <c r="C16" s="1125"/>
      <c r="D16" s="1125"/>
      <c r="E16" s="1259"/>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2004"/>
      <c r="AJ16" s="2004"/>
      <c r="AL16" s="2004"/>
      <c r="AM16" s="2004"/>
      <c r="AN16" s="2004"/>
      <c r="AO16" s="2004"/>
      <c r="AP16" s="2004"/>
      <c r="AQ16" s="2004"/>
      <c r="AR16" s="2004"/>
      <c r="AS16" s="2004"/>
      <c r="AT16" s="85"/>
      <c r="AU16" s="2004"/>
      <c r="AV16" s="2004"/>
      <c r="AW16" s="2004"/>
      <c r="AX16" s="2004"/>
      <c r="AY16" s="2004"/>
      <c r="AZ16" s="2004"/>
      <c r="BA16" s="2004"/>
      <c r="BB16" s="2004"/>
      <c r="BC16" s="2004"/>
      <c r="BD16" s="2004"/>
      <c r="BE16" s="2004"/>
      <c r="BF16" s="2004"/>
      <c r="BG16" s="2004"/>
      <c r="BH16" s="2004"/>
      <c r="BI16" s="2004"/>
      <c r="BJ16" s="2004"/>
      <c r="BK16" s="2004"/>
      <c r="BM16" s="2004"/>
      <c r="BN16" s="2906"/>
      <c r="BO16" s="2902"/>
      <c r="BP16" s="2902"/>
      <c r="BQ16" s="2903"/>
      <c r="BR16" s="2499"/>
      <c r="BS16" s="2499"/>
      <c r="BT16" s="2499"/>
      <c r="BU16" s="2499"/>
      <c r="BV16" s="2499"/>
      <c r="BW16" s="2499"/>
      <c r="BX16" s="2499"/>
      <c r="BY16" s="2499"/>
      <c r="BZ16" s="2499"/>
      <c r="CA16" s="2499"/>
      <c r="CB16" s="2499"/>
      <c r="CC16" s="2499"/>
      <c r="CD16" s="2499"/>
      <c r="CE16" s="2499"/>
      <c r="CF16" s="2499"/>
      <c r="CG16" s="2499"/>
      <c r="CH16" s="2499"/>
      <c r="CI16" s="2499"/>
      <c r="CJ16" s="2499"/>
      <c r="CK16" s="2499"/>
      <c r="CL16" s="2499"/>
      <c r="CM16" s="2499"/>
      <c r="CN16" s="2499"/>
      <c r="CO16" s="2499"/>
      <c r="CP16" s="2499"/>
      <c r="CQ16" s="2499"/>
      <c r="CR16" s="2499"/>
    </row>
    <row r="17" spans="1:96" ht="15.75" thickBot="1">
      <c r="A17" s="1190"/>
      <c r="B17" s="113" t="s">
        <v>177</v>
      </c>
      <c r="C17" s="114" t="s">
        <v>8138</v>
      </c>
      <c r="D17" s="1125"/>
      <c r="E17" s="1259"/>
      <c r="F17" s="1190"/>
      <c r="G17" s="1190"/>
      <c r="H17" s="1190"/>
      <c r="I17" s="1190"/>
      <c r="J17" s="1190"/>
      <c r="K17" s="1190"/>
      <c r="L17" s="1190"/>
      <c r="M17" s="1190"/>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2004"/>
      <c r="AJ17" s="2004"/>
      <c r="AL17" s="2004"/>
      <c r="AM17" s="2004"/>
      <c r="AN17" s="2004"/>
      <c r="AO17" s="2004"/>
      <c r="AP17" s="2004"/>
      <c r="AQ17" s="2004"/>
      <c r="AR17" s="2004"/>
      <c r="AS17" s="2004"/>
      <c r="AT17" s="85"/>
      <c r="AU17" s="2004"/>
      <c r="AV17" s="2004"/>
      <c r="AW17" s="2004"/>
      <c r="AX17" s="2004"/>
      <c r="AY17" s="2004"/>
      <c r="AZ17" s="2004"/>
      <c r="BA17" s="2004"/>
      <c r="BB17" s="2004"/>
      <c r="BC17" s="2004"/>
      <c r="BD17" s="2004"/>
      <c r="BE17" s="2004"/>
      <c r="BF17" s="2004"/>
      <c r="BG17" s="2004"/>
      <c r="BH17" s="2004"/>
      <c r="BI17" s="2004"/>
      <c r="BJ17" s="2004"/>
      <c r="BK17" s="2004"/>
      <c r="BM17" s="2004"/>
      <c r="BN17" s="113" t="s">
        <v>177</v>
      </c>
      <c r="BO17" s="114" t="s">
        <v>8138</v>
      </c>
      <c r="BP17" s="2902"/>
      <c r="BQ17" s="2903"/>
      <c r="BR17" s="2499"/>
      <c r="BS17" s="2499"/>
      <c r="BT17" s="2499"/>
      <c r="BU17" s="2499"/>
      <c r="BV17" s="2499"/>
      <c r="BW17" s="2499"/>
      <c r="BX17" s="2499"/>
      <c r="BY17" s="2499"/>
      <c r="BZ17" s="2499"/>
      <c r="CA17" s="2499"/>
      <c r="CB17" s="2499"/>
      <c r="CC17" s="2499"/>
      <c r="CD17" s="2499"/>
      <c r="CE17" s="2499"/>
      <c r="CF17" s="2499"/>
      <c r="CG17" s="2499"/>
      <c r="CH17" s="2499"/>
      <c r="CI17" s="2499"/>
      <c r="CJ17" s="2499"/>
      <c r="CK17" s="2499"/>
      <c r="CL17" s="2499"/>
      <c r="CM17" s="2499"/>
      <c r="CN17" s="2499"/>
      <c r="CO17" s="2499"/>
      <c r="CP17" s="2499"/>
      <c r="CQ17" s="2499"/>
      <c r="CR17" s="2499"/>
    </row>
    <row r="18" spans="1:96" ht="15">
      <c r="A18" s="1190"/>
      <c r="B18" s="86" t="s">
        <v>8139</v>
      </c>
      <c r="C18" s="117" t="s">
        <v>8140</v>
      </c>
      <c r="D18" s="88"/>
      <c r="E18" s="88" t="s">
        <v>766</v>
      </c>
      <c r="F18" s="89">
        <v>0</v>
      </c>
      <c r="G18" s="1262">
        <v>32</v>
      </c>
      <c r="H18" s="1263">
        <v>68</v>
      </c>
      <c r="I18" s="1263">
        <v>201</v>
      </c>
      <c r="J18" s="1263">
        <v>3</v>
      </c>
      <c r="K18" s="1263">
        <v>0</v>
      </c>
      <c r="L18" s="1263">
        <v>7</v>
      </c>
      <c r="M18" s="1263">
        <v>0</v>
      </c>
      <c r="N18" s="1264">
        <f t="shared" ref="N18:N23" si="7">+SUM(G18:M18)</f>
        <v>311</v>
      </c>
      <c r="O18" s="1190"/>
      <c r="P18" s="1262">
        <v>0</v>
      </c>
      <c r="Q18" s="1263">
        <v>0</v>
      </c>
      <c r="R18" s="1263">
        <v>0</v>
      </c>
      <c r="S18" s="1263">
        <v>311</v>
      </c>
      <c r="T18" s="1264">
        <f t="shared" ref="T18:T23" si="8">+SUM(P18:S18)</f>
        <v>311</v>
      </c>
      <c r="U18" s="1262">
        <v>0</v>
      </c>
      <c r="V18" s="1263">
        <v>0</v>
      </c>
      <c r="W18" s="1263">
        <v>2</v>
      </c>
      <c r="X18" s="1263">
        <v>11</v>
      </c>
      <c r="Y18" s="1263">
        <v>298</v>
      </c>
      <c r="Z18" s="1264">
        <f t="shared" ref="Z18:Z23" si="9">+SUM(U18:Y18)</f>
        <v>311</v>
      </c>
      <c r="AA18" s="1262">
        <v>0</v>
      </c>
      <c r="AB18" s="1263">
        <v>0</v>
      </c>
      <c r="AC18" s="1263">
        <v>1</v>
      </c>
      <c r="AD18" s="1263">
        <v>15</v>
      </c>
      <c r="AE18" s="1263">
        <v>295</v>
      </c>
      <c r="AF18" s="1264">
        <f t="shared" ref="AF18:AF23" si="10">+SUM(AA18:AE18)</f>
        <v>311</v>
      </c>
      <c r="AG18" s="1123"/>
      <c r="AH18" s="1190"/>
      <c r="AI18" s="897">
        <f t="shared" ref="AI18:AI23" si="11" xml:space="preserve"> IF( SUM( AK18:BL18 ) = 0, 0, $AL$5 )</f>
        <v>0</v>
      </c>
      <c r="AJ18" s="192"/>
      <c r="AK18" s="71"/>
      <c r="AL18" s="93">
        <f>IF(Validation!$H$3=1,0,IF(ISNUMBER(G18),0,1))</f>
        <v>0</v>
      </c>
      <c r="AM18" s="93">
        <f>IF(Validation!$H$3=1,0,IF(ISNUMBER(H18),0,1))</f>
        <v>0</v>
      </c>
      <c r="AN18" s="93">
        <f>IF(Validation!$H$3=1,0,IF(ISNUMBER(I18),0,1))</f>
        <v>0</v>
      </c>
      <c r="AO18" s="93">
        <f>IF(Validation!$H$3=1,0,IF(ISNUMBER(J18),0,1))</f>
        <v>0</v>
      </c>
      <c r="AP18" s="93">
        <f>IF(Validation!$H$3=1,0,IF(ISNUMBER(K18),0,1))</f>
        <v>0</v>
      </c>
      <c r="AQ18" s="93">
        <f>IF(Validation!$H$3=1,0,IF(ISNUMBER(L18),0,1))</f>
        <v>0</v>
      </c>
      <c r="AR18" s="93">
        <f>IF(Validation!$H$3=1,0,IF(ISNUMBER(M18),0,1))</f>
        <v>0</v>
      </c>
      <c r="AS18" s="93"/>
      <c r="AT18" s="85"/>
      <c r="AU18" s="93">
        <f>IF(Validation!$H$3=1,0,IF(ISNUMBER(P18),0,1))</f>
        <v>0</v>
      </c>
      <c r="AV18" s="93">
        <f>IF(Validation!$H$3=1,0,IF(ISNUMBER(Q18),0,1))</f>
        <v>0</v>
      </c>
      <c r="AW18" s="93">
        <f>IF(Validation!$H$3=1,0,IF(ISNUMBER(R18),0,1))</f>
        <v>0</v>
      </c>
      <c r="AX18" s="93">
        <f>IF(Validation!$H$3=1,0,IF(ISNUMBER(S18),0,1))</f>
        <v>0</v>
      </c>
      <c r="AY18" s="93"/>
      <c r="AZ18" s="93">
        <f>IF(Validation!$H$3=1,0,IF(ISNUMBER(U18),0,1))</f>
        <v>0</v>
      </c>
      <c r="BA18" s="93">
        <f>IF(Validation!$H$3=1,0,IF(ISNUMBER(V18),0,1))</f>
        <v>0</v>
      </c>
      <c r="BB18" s="93">
        <f>IF(Validation!$H$3=1,0,IF(ISNUMBER(W18),0,1))</f>
        <v>0</v>
      </c>
      <c r="BC18" s="93">
        <f>IF(Validation!$H$3=1,0,IF(ISNUMBER(X18),0,1))</f>
        <v>0</v>
      </c>
      <c r="BD18" s="93">
        <f>IF(Validation!$H$3=1,0,IF(ISNUMBER(Y18),0,1))</f>
        <v>0</v>
      </c>
      <c r="BE18" s="93"/>
      <c r="BF18" s="93">
        <f>IF(Validation!$H$3=1,0,IF(ISNUMBER(AA18),0,1))</f>
        <v>0</v>
      </c>
      <c r="BG18" s="93">
        <f>IF(Validation!$H$3=1,0,IF(ISNUMBER(AB18),0,1))</f>
        <v>0</v>
      </c>
      <c r="BH18" s="93">
        <f>IF(Validation!$H$3=1,0,IF(ISNUMBER(AC18),0,1))</f>
        <v>0</v>
      </c>
      <c r="BI18" s="93">
        <f>IF(Validation!$H$3=1,0,IF(ISNUMBER(AD18),0,1))</f>
        <v>0</v>
      </c>
      <c r="BJ18" s="93">
        <f>IF(Validation!$H$3=1,0,IF(ISNUMBER(AE18),0,1))</f>
        <v>0</v>
      </c>
      <c r="BK18" s="93"/>
      <c r="BL18" s="71"/>
      <c r="BM18" s="2004"/>
      <c r="BN18" s="86" t="s">
        <v>8139</v>
      </c>
      <c r="BO18" s="117" t="s">
        <v>8140</v>
      </c>
      <c r="BP18" s="88"/>
      <c r="BQ18" s="88" t="s">
        <v>766</v>
      </c>
      <c r="BR18" s="89">
        <v>0</v>
      </c>
      <c r="BS18" s="2908" t="s">
        <v>8141</v>
      </c>
      <c r="BT18" s="2909" t="s">
        <v>8142</v>
      </c>
      <c r="BU18" s="2909" t="s">
        <v>8143</v>
      </c>
      <c r="BV18" s="2909" t="s">
        <v>8144</v>
      </c>
      <c r="BW18" s="2909" t="s">
        <v>8145</v>
      </c>
      <c r="BX18" s="2909" t="s">
        <v>8146</v>
      </c>
      <c r="BY18" s="2909" t="s">
        <v>8147</v>
      </c>
      <c r="BZ18" s="1264" t="s">
        <v>8148</v>
      </c>
      <c r="CA18" s="2499"/>
      <c r="CB18" s="2908" t="s">
        <v>8149</v>
      </c>
      <c r="CC18" s="2909" t="s">
        <v>8150</v>
      </c>
      <c r="CD18" s="2909" t="s">
        <v>8151</v>
      </c>
      <c r="CE18" s="2909" t="s">
        <v>8152</v>
      </c>
      <c r="CF18" s="1264" t="s">
        <v>8153</v>
      </c>
      <c r="CG18" s="2908" t="s">
        <v>8154</v>
      </c>
      <c r="CH18" s="2909" t="s">
        <v>8155</v>
      </c>
      <c r="CI18" s="2909" t="s">
        <v>8156</v>
      </c>
      <c r="CJ18" s="2909" t="s">
        <v>8157</v>
      </c>
      <c r="CK18" s="2909" t="s">
        <v>8158</v>
      </c>
      <c r="CL18" s="1264" t="s">
        <v>8159</v>
      </c>
      <c r="CM18" s="2908" t="s">
        <v>8160</v>
      </c>
      <c r="CN18" s="2909" t="s">
        <v>8161</v>
      </c>
      <c r="CO18" s="2909" t="s">
        <v>8162</v>
      </c>
      <c r="CP18" s="2909" t="s">
        <v>8163</v>
      </c>
      <c r="CQ18" s="2909" t="s">
        <v>8164</v>
      </c>
      <c r="CR18" s="1264" t="s">
        <v>8165</v>
      </c>
    </row>
    <row r="19" spans="1:96" ht="15">
      <c r="A19" s="1190"/>
      <c r="B19" s="94" t="s">
        <v>8166</v>
      </c>
      <c r="C19" s="87" t="s">
        <v>8167</v>
      </c>
      <c r="D19" s="95"/>
      <c r="E19" s="95" t="s">
        <v>766</v>
      </c>
      <c r="F19" s="96">
        <v>0</v>
      </c>
      <c r="G19" s="1265">
        <v>1</v>
      </c>
      <c r="H19" s="1266">
        <v>12</v>
      </c>
      <c r="I19" s="1266">
        <v>37</v>
      </c>
      <c r="J19" s="1266">
        <v>1</v>
      </c>
      <c r="K19" s="1266">
        <v>1</v>
      </c>
      <c r="L19" s="1266">
        <v>7</v>
      </c>
      <c r="M19" s="1266">
        <v>4</v>
      </c>
      <c r="N19" s="1267">
        <f t="shared" si="7"/>
        <v>63</v>
      </c>
      <c r="O19" s="1190"/>
      <c r="P19" s="1265">
        <v>0</v>
      </c>
      <c r="Q19" s="1266">
        <v>1</v>
      </c>
      <c r="R19" s="1266">
        <v>0</v>
      </c>
      <c r="S19" s="1266">
        <v>62</v>
      </c>
      <c r="T19" s="1267">
        <f t="shared" si="8"/>
        <v>63</v>
      </c>
      <c r="U19" s="1265">
        <v>0</v>
      </c>
      <c r="V19" s="1266">
        <v>0</v>
      </c>
      <c r="W19" s="1266">
        <v>9</v>
      </c>
      <c r="X19" s="1266">
        <v>28</v>
      </c>
      <c r="Y19" s="1266">
        <v>26</v>
      </c>
      <c r="Z19" s="1267">
        <f t="shared" si="9"/>
        <v>63</v>
      </c>
      <c r="AA19" s="1265">
        <v>0</v>
      </c>
      <c r="AB19" s="1266">
        <v>1</v>
      </c>
      <c r="AC19" s="1266">
        <v>12</v>
      </c>
      <c r="AD19" s="1266">
        <v>27</v>
      </c>
      <c r="AE19" s="1266">
        <v>23</v>
      </c>
      <c r="AF19" s="1267">
        <f t="shared" si="10"/>
        <v>63</v>
      </c>
      <c r="AG19" s="1124"/>
      <c r="AH19" s="1190"/>
      <c r="AI19" s="897">
        <f t="shared" si="11"/>
        <v>0</v>
      </c>
      <c r="AJ19" s="192"/>
      <c r="AK19" s="71"/>
      <c r="AL19" s="93">
        <f>IF(Validation!$H$3=1,0,IF(ISNUMBER(G19),0,1))</f>
        <v>0</v>
      </c>
      <c r="AM19" s="93">
        <f>IF(Validation!$H$3=1,0,IF(ISNUMBER(H19),0,1))</f>
        <v>0</v>
      </c>
      <c r="AN19" s="93">
        <f>IF(Validation!$H$3=1,0,IF(ISNUMBER(I19),0,1))</f>
        <v>0</v>
      </c>
      <c r="AO19" s="93">
        <f>IF(Validation!$H$3=1,0,IF(ISNUMBER(J19),0,1))</f>
        <v>0</v>
      </c>
      <c r="AP19" s="93">
        <f>IF(Validation!$H$3=1,0,IF(ISNUMBER(K19),0,1))</f>
        <v>0</v>
      </c>
      <c r="AQ19" s="93">
        <f>IF(Validation!$H$3=1,0,IF(ISNUMBER(L19),0,1))</f>
        <v>0</v>
      </c>
      <c r="AR19" s="93">
        <f>IF(Validation!$H$3=1,0,IF(ISNUMBER(M19),0,1))</f>
        <v>0</v>
      </c>
      <c r="AS19" s="93"/>
      <c r="AT19" s="85"/>
      <c r="AU19" s="93">
        <f>IF(Validation!$H$3=1,0,IF(ISNUMBER(P19),0,1))</f>
        <v>0</v>
      </c>
      <c r="AV19" s="93">
        <f>IF(Validation!$H$3=1,0,IF(ISNUMBER(Q19),0,1))</f>
        <v>0</v>
      </c>
      <c r="AW19" s="93">
        <f>IF(Validation!$H$3=1,0,IF(ISNUMBER(R19),0,1))</f>
        <v>0</v>
      </c>
      <c r="AX19" s="93">
        <f>IF(Validation!$H$3=1,0,IF(ISNUMBER(S19),0,1))</f>
        <v>0</v>
      </c>
      <c r="AY19" s="93"/>
      <c r="AZ19" s="93">
        <f>IF(Validation!$H$3=1,0,IF(ISNUMBER(U19),0,1))</f>
        <v>0</v>
      </c>
      <c r="BA19" s="93">
        <f>IF(Validation!$H$3=1,0,IF(ISNUMBER(V19),0,1))</f>
        <v>0</v>
      </c>
      <c r="BB19" s="93">
        <f>IF(Validation!$H$3=1,0,IF(ISNUMBER(W19),0,1))</f>
        <v>0</v>
      </c>
      <c r="BC19" s="93">
        <f>IF(Validation!$H$3=1,0,IF(ISNUMBER(X19),0,1))</f>
        <v>0</v>
      </c>
      <c r="BD19" s="93">
        <f>IF(Validation!$H$3=1,0,IF(ISNUMBER(Y19),0,1))</f>
        <v>0</v>
      </c>
      <c r="BE19" s="93"/>
      <c r="BF19" s="93">
        <f>IF(Validation!$H$3=1,0,IF(ISNUMBER(AA19),0,1))</f>
        <v>0</v>
      </c>
      <c r="BG19" s="93">
        <f>IF(Validation!$H$3=1,0,IF(ISNUMBER(AB19),0,1))</f>
        <v>0</v>
      </c>
      <c r="BH19" s="93">
        <f>IF(Validation!$H$3=1,0,IF(ISNUMBER(AC19),0,1))</f>
        <v>0</v>
      </c>
      <c r="BI19" s="93">
        <f>IF(Validation!$H$3=1,0,IF(ISNUMBER(AD19),0,1))</f>
        <v>0</v>
      </c>
      <c r="BJ19" s="93">
        <f>IF(Validation!$H$3=1,0,IF(ISNUMBER(AE19),0,1))</f>
        <v>0</v>
      </c>
      <c r="BK19" s="93"/>
      <c r="BL19" s="71"/>
      <c r="BM19" s="2004"/>
      <c r="BN19" s="94" t="s">
        <v>8166</v>
      </c>
      <c r="BO19" s="87" t="s">
        <v>8167</v>
      </c>
      <c r="BP19" s="95"/>
      <c r="BQ19" s="95" t="s">
        <v>766</v>
      </c>
      <c r="BR19" s="96">
        <v>0</v>
      </c>
      <c r="BS19" s="2910" t="s">
        <v>8168</v>
      </c>
      <c r="BT19" s="2911" t="s">
        <v>8169</v>
      </c>
      <c r="BU19" s="2911" t="s">
        <v>8170</v>
      </c>
      <c r="BV19" s="2911" t="s">
        <v>8171</v>
      </c>
      <c r="BW19" s="2911" t="s">
        <v>8172</v>
      </c>
      <c r="BX19" s="2911" t="s">
        <v>8173</v>
      </c>
      <c r="BY19" s="2911" t="s">
        <v>8174</v>
      </c>
      <c r="BZ19" s="1267" t="s">
        <v>8175</v>
      </c>
      <c r="CA19" s="2499"/>
      <c r="CB19" s="2910" t="s">
        <v>8176</v>
      </c>
      <c r="CC19" s="2911" t="s">
        <v>8177</v>
      </c>
      <c r="CD19" s="2911" t="s">
        <v>8178</v>
      </c>
      <c r="CE19" s="2911" t="s">
        <v>8179</v>
      </c>
      <c r="CF19" s="1267" t="s">
        <v>8180</v>
      </c>
      <c r="CG19" s="2910" t="s">
        <v>8181</v>
      </c>
      <c r="CH19" s="2911" t="s">
        <v>8182</v>
      </c>
      <c r="CI19" s="2911" t="s">
        <v>8183</v>
      </c>
      <c r="CJ19" s="2911" t="s">
        <v>8184</v>
      </c>
      <c r="CK19" s="2911" t="s">
        <v>8185</v>
      </c>
      <c r="CL19" s="1267" t="s">
        <v>8186</v>
      </c>
      <c r="CM19" s="2910" t="s">
        <v>8187</v>
      </c>
      <c r="CN19" s="2911" t="s">
        <v>8188</v>
      </c>
      <c r="CO19" s="2911" t="s">
        <v>8189</v>
      </c>
      <c r="CP19" s="2911" t="s">
        <v>8190</v>
      </c>
      <c r="CQ19" s="2911" t="s">
        <v>8191</v>
      </c>
      <c r="CR19" s="1267" t="s">
        <v>8192</v>
      </c>
    </row>
    <row r="20" spans="1:96" ht="15">
      <c r="A20" s="1190"/>
      <c r="B20" s="94" t="s">
        <v>8193</v>
      </c>
      <c r="C20" s="87" t="s">
        <v>8194</v>
      </c>
      <c r="D20" s="95"/>
      <c r="E20" s="95" t="s">
        <v>766</v>
      </c>
      <c r="F20" s="96">
        <v>0</v>
      </c>
      <c r="G20" s="1265">
        <v>3</v>
      </c>
      <c r="H20" s="1266">
        <v>10</v>
      </c>
      <c r="I20" s="1266">
        <v>39</v>
      </c>
      <c r="J20" s="1266">
        <v>2</v>
      </c>
      <c r="K20" s="1266">
        <v>5</v>
      </c>
      <c r="L20" s="1266">
        <v>12</v>
      </c>
      <c r="M20" s="1266">
        <v>12</v>
      </c>
      <c r="N20" s="1267">
        <f t="shared" si="7"/>
        <v>83</v>
      </c>
      <c r="O20" s="1190"/>
      <c r="P20" s="1265">
        <v>4</v>
      </c>
      <c r="Q20" s="1266">
        <v>0</v>
      </c>
      <c r="R20" s="1266">
        <v>5</v>
      </c>
      <c r="S20" s="1266">
        <v>74</v>
      </c>
      <c r="T20" s="1267">
        <f t="shared" si="8"/>
        <v>83</v>
      </c>
      <c r="U20" s="1265">
        <v>0</v>
      </c>
      <c r="V20" s="1266">
        <v>2</v>
      </c>
      <c r="W20" s="1266">
        <v>22</v>
      </c>
      <c r="X20" s="1266">
        <v>52</v>
      </c>
      <c r="Y20" s="1266">
        <v>7</v>
      </c>
      <c r="Z20" s="1267">
        <f t="shared" si="9"/>
        <v>83</v>
      </c>
      <c r="AA20" s="1265">
        <v>0</v>
      </c>
      <c r="AB20" s="1266">
        <v>1</v>
      </c>
      <c r="AC20" s="1266">
        <v>27</v>
      </c>
      <c r="AD20" s="1266">
        <v>44</v>
      </c>
      <c r="AE20" s="1266">
        <v>11</v>
      </c>
      <c r="AF20" s="1267">
        <f t="shared" si="10"/>
        <v>83</v>
      </c>
      <c r="AG20" s="1124"/>
      <c r="AH20" s="1190"/>
      <c r="AI20" s="897">
        <f t="shared" si="11"/>
        <v>0</v>
      </c>
      <c r="AJ20" s="192"/>
      <c r="AK20" s="71"/>
      <c r="AL20" s="93">
        <f>IF(Validation!$H$3=1,0,IF(ISNUMBER(G20),0,1))</f>
        <v>0</v>
      </c>
      <c r="AM20" s="93">
        <f>IF(Validation!$H$3=1,0,IF(ISNUMBER(H20),0,1))</f>
        <v>0</v>
      </c>
      <c r="AN20" s="93">
        <f>IF(Validation!$H$3=1,0,IF(ISNUMBER(I20),0,1))</f>
        <v>0</v>
      </c>
      <c r="AO20" s="93">
        <f>IF(Validation!$H$3=1,0,IF(ISNUMBER(J20),0,1))</f>
        <v>0</v>
      </c>
      <c r="AP20" s="93">
        <f>IF(Validation!$H$3=1,0,IF(ISNUMBER(K20),0,1))</f>
        <v>0</v>
      </c>
      <c r="AQ20" s="93">
        <f>IF(Validation!$H$3=1,0,IF(ISNUMBER(L20),0,1))</f>
        <v>0</v>
      </c>
      <c r="AR20" s="93">
        <f>IF(Validation!$H$3=1,0,IF(ISNUMBER(M20),0,1))</f>
        <v>0</v>
      </c>
      <c r="AS20" s="93"/>
      <c r="AT20" s="85"/>
      <c r="AU20" s="93">
        <f>IF(Validation!$H$3=1,0,IF(ISNUMBER(P20),0,1))</f>
        <v>0</v>
      </c>
      <c r="AV20" s="93">
        <f>IF(Validation!$H$3=1,0,IF(ISNUMBER(Q20),0,1))</f>
        <v>0</v>
      </c>
      <c r="AW20" s="93">
        <f>IF(Validation!$H$3=1,0,IF(ISNUMBER(R20),0,1))</f>
        <v>0</v>
      </c>
      <c r="AX20" s="93">
        <f>IF(Validation!$H$3=1,0,IF(ISNUMBER(S20),0,1))</f>
        <v>0</v>
      </c>
      <c r="AY20" s="93"/>
      <c r="AZ20" s="93">
        <f>IF(Validation!$H$3=1,0,IF(ISNUMBER(U20),0,1))</f>
        <v>0</v>
      </c>
      <c r="BA20" s="93">
        <f>IF(Validation!$H$3=1,0,IF(ISNUMBER(V20),0,1))</f>
        <v>0</v>
      </c>
      <c r="BB20" s="93">
        <f>IF(Validation!$H$3=1,0,IF(ISNUMBER(W20),0,1))</f>
        <v>0</v>
      </c>
      <c r="BC20" s="93">
        <f>IF(Validation!$H$3=1,0,IF(ISNUMBER(X20),0,1))</f>
        <v>0</v>
      </c>
      <c r="BD20" s="93">
        <f>IF(Validation!$H$3=1,0,IF(ISNUMBER(Y20),0,1))</f>
        <v>0</v>
      </c>
      <c r="BE20" s="93"/>
      <c r="BF20" s="93">
        <f>IF(Validation!$H$3=1,0,IF(ISNUMBER(AA20),0,1))</f>
        <v>0</v>
      </c>
      <c r="BG20" s="93">
        <f>IF(Validation!$H$3=1,0,IF(ISNUMBER(AB20),0,1))</f>
        <v>0</v>
      </c>
      <c r="BH20" s="93">
        <f>IF(Validation!$H$3=1,0,IF(ISNUMBER(AC20),0,1))</f>
        <v>0</v>
      </c>
      <c r="BI20" s="93">
        <f>IF(Validation!$H$3=1,0,IF(ISNUMBER(AD20),0,1))</f>
        <v>0</v>
      </c>
      <c r="BJ20" s="93">
        <f>IF(Validation!$H$3=1,0,IF(ISNUMBER(AE20),0,1))</f>
        <v>0</v>
      </c>
      <c r="BK20" s="93"/>
      <c r="BL20" s="71"/>
      <c r="BM20" s="2004"/>
      <c r="BN20" s="94" t="s">
        <v>8193</v>
      </c>
      <c r="BO20" s="87" t="s">
        <v>8194</v>
      </c>
      <c r="BP20" s="95"/>
      <c r="BQ20" s="95" t="s">
        <v>766</v>
      </c>
      <c r="BR20" s="96">
        <v>0</v>
      </c>
      <c r="BS20" s="2910" t="s">
        <v>8195</v>
      </c>
      <c r="BT20" s="2911" t="s">
        <v>8196</v>
      </c>
      <c r="BU20" s="2911" t="s">
        <v>8197</v>
      </c>
      <c r="BV20" s="2911" t="s">
        <v>8198</v>
      </c>
      <c r="BW20" s="2911" t="s">
        <v>8199</v>
      </c>
      <c r="BX20" s="2911" t="s">
        <v>8200</v>
      </c>
      <c r="BY20" s="2911" t="s">
        <v>8201</v>
      </c>
      <c r="BZ20" s="1267" t="s">
        <v>8202</v>
      </c>
      <c r="CA20" s="2499"/>
      <c r="CB20" s="2910" t="s">
        <v>8203</v>
      </c>
      <c r="CC20" s="2911" t="s">
        <v>8204</v>
      </c>
      <c r="CD20" s="2911" t="s">
        <v>8205</v>
      </c>
      <c r="CE20" s="2911" t="s">
        <v>8206</v>
      </c>
      <c r="CF20" s="1267" t="s">
        <v>8207</v>
      </c>
      <c r="CG20" s="2910" t="s">
        <v>8208</v>
      </c>
      <c r="CH20" s="2911" t="s">
        <v>8209</v>
      </c>
      <c r="CI20" s="2911" t="s">
        <v>8210</v>
      </c>
      <c r="CJ20" s="2911" t="s">
        <v>8211</v>
      </c>
      <c r="CK20" s="2911" t="s">
        <v>8212</v>
      </c>
      <c r="CL20" s="1267" t="s">
        <v>8213</v>
      </c>
      <c r="CM20" s="2910" t="s">
        <v>8214</v>
      </c>
      <c r="CN20" s="2911" t="s">
        <v>8215</v>
      </c>
      <c r="CO20" s="2911" t="s">
        <v>8216</v>
      </c>
      <c r="CP20" s="2911" t="s">
        <v>8217</v>
      </c>
      <c r="CQ20" s="2911" t="s">
        <v>8218</v>
      </c>
      <c r="CR20" s="1267" t="s">
        <v>8219</v>
      </c>
    </row>
    <row r="21" spans="1:96" ht="15">
      <c r="A21" s="1190"/>
      <c r="B21" s="94" t="s">
        <v>8220</v>
      </c>
      <c r="C21" s="87" t="s">
        <v>8221</v>
      </c>
      <c r="D21" s="95"/>
      <c r="E21" s="95" t="s">
        <v>766</v>
      </c>
      <c r="F21" s="96">
        <v>0</v>
      </c>
      <c r="G21" s="1265">
        <v>0</v>
      </c>
      <c r="H21" s="1266">
        <v>12</v>
      </c>
      <c r="I21" s="1266">
        <v>29</v>
      </c>
      <c r="J21" s="1266">
        <v>2</v>
      </c>
      <c r="K21" s="1266">
        <v>9</v>
      </c>
      <c r="L21" s="1266">
        <v>6</v>
      </c>
      <c r="M21" s="1266">
        <v>15</v>
      </c>
      <c r="N21" s="1267">
        <f t="shared" si="7"/>
        <v>73</v>
      </c>
      <c r="O21" s="1190"/>
      <c r="P21" s="1265">
        <v>4</v>
      </c>
      <c r="Q21" s="1266">
        <v>3</v>
      </c>
      <c r="R21" s="1266">
        <v>2</v>
      </c>
      <c r="S21" s="1266">
        <v>64</v>
      </c>
      <c r="T21" s="1267">
        <f t="shared" si="8"/>
        <v>73</v>
      </c>
      <c r="U21" s="1265">
        <v>0</v>
      </c>
      <c r="V21" s="1266">
        <v>5</v>
      </c>
      <c r="W21" s="1266">
        <v>17</v>
      </c>
      <c r="X21" s="1266">
        <v>40</v>
      </c>
      <c r="Y21" s="1266">
        <v>11</v>
      </c>
      <c r="Z21" s="1267">
        <f t="shared" si="9"/>
        <v>73</v>
      </c>
      <c r="AA21" s="1265">
        <v>0</v>
      </c>
      <c r="AB21" s="1266">
        <v>6</v>
      </c>
      <c r="AC21" s="1266">
        <v>25</v>
      </c>
      <c r="AD21" s="1266">
        <v>25</v>
      </c>
      <c r="AE21" s="1266">
        <v>17</v>
      </c>
      <c r="AF21" s="1267">
        <f t="shared" si="10"/>
        <v>73</v>
      </c>
      <c r="AG21" s="1124"/>
      <c r="AH21" s="1190"/>
      <c r="AI21" s="897">
        <f t="shared" si="11"/>
        <v>0</v>
      </c>
      <c r="AJ21" s="192"/>
      <c r="AK21" s="71"/>
      <c r="AL21" s="93">
        <f>IF(Validation!$H$3=1,0,IF(ISNUMBER(G21),0,1))</f>
        <v>0</v>
      </c>
      <c r="AM21" s="93">
        <f>IF(Validation!$H$3=1,0,IF(ISNUMBER(H21),0,1))</f>
        <v>0</v>
      </c>
      <c r="AN21" s="93">
        <f>IF(Validation!$H$3=1,0,IF(ISNUMBER(I21),0,1))</f>
        <v>0</v>
      </c>
      <c r="AO21" s="93">
        <f>IF(Validation!$H$3=1,0,IF(ISNUMBER(J21),0,1))</f>
        <v>0</v>
      </c>
      <c r="AP21" s="93">
        <f>IF(Validation!$H$3=1,0,IF(ISNUMBER(K21),0,1))</f>
        <v>0</v>
      </c>
      <c r="AQ21" s="93">
        <f>IF(Validation!$H$3=1,0,IF(ISNUMBER(L21),0,1))</f>
        <v>0</v>
      </c>
      <c r="AR21" s="93">
        <f>IF(Validation!$H$3=1,0,IF(ISNUMBER(M21),0,1))</f>
        <v>0</v>
      </c>
      <c r="AS21" s="93"/>
      <c r="AT21" s="85"/>
      <c r="AU21" s="93">
        <f>IF(Validation!$H$3=1,0,IF(ISNUMBER(P21),0,1))</f>
        <v>0</v>
      </c>
      <c r="AV21" s="93">
        <f>IF(Validation!$H$3=1,0,IF(ISNUMBER(Q21),0,1))</f>
        <v>0</v>
      </c>
      <c r="AW21" s="93">
        <f>IF(Validation!$H$3=1,0,IF(ISNUMBER(R21),0,1))</f>
        <v>0</v>
      </c>
      <c r="AX21" s="93">
        <f>IF(Validation!$H$3=1,0,IF(ISNUMBER(S21),0,1))</f>
        <v>0</v>
      </c>
      <c r="AY21" s="93"/>
      <c r="AZ21" s="93">
        <f>IF(Validation!$H$3=1,0,IF(ISNUMBER(U21),0,1))</f>
        <v>0</v>
      </c>
      <c r="BA21" s="93">
        <f>IF(Validation!$H$3=1,0,IF(ISNUMBER(V21),0,1))</f>
        <v>0</v>
      </c>
      <c r="BB21" s="93">
        <f>IF(Validation!$H$3=1,0,IF(ISNUMBER(W21),0,1))</f>
        <v>0</v>
      </c>
      <c r="BC21" s="93">
        <f>IF(Validation!$H$3=1,0,IF(ISNUMBER(X21),0,1))</f>
        <v>0</v>
      </c>
      <c r="BD21" s="93">
        <f>IF(Validation!$H$3=1,0,IF(ISNUMBER(Y21),0,1))</f>
        <v>0</v>
      </c>
      <c r="BE21" s="93"/>
      <c r="BF21" s="93">
        <f>IF(Validation!$H$3=1,0,IF(ISNUMBER(AA21),0,1))</f>
        <v>0</v>
      </c>
      <c r="BG21" s="93">
        <f>IF(Validation!$H$3=1,0,IF(ISNUMBER(AB21),0,1))</f>
        <v>0</v>
      </c>
      <c r="BH21" s="93">
        <f>IF(Validation!$H$3=1,0,IF(ISNUMBER(AC21),0,1))</f>
        <v>0</v>
      </c>
      <c r="BI21" s="93">
        <f>IF(Validation!$H$3=1,0,IF(ISNUMBER(AD21),0,1))</f>
        <v>0</v>
      </c>
      <c r="BJ21" s="93">
        <f>IF(Validation!$H$3=1,0,IF(ISNUMBER(AE21),0,1))</f>
        <v>0</v>
      </c>
      <c r="BK21" s="93"/>
      <c r="BL21" s="71"/>
      <c r="BM21" s="2004"/>
      <c r="BN21" s="94" t="s">
        <v>8220</v>
      </c>
      <c r="BO21" s="87" t="s">
        <v>8221</v>
      </c>
      <c r="BP21" s="95"/>
      <c r="BQ21" s="95" t="s">
        <v>766</v>
      </c>
      <c r="BR21" s="96">
        <v>0</v>
      </c>
      <c r="BS21" s="2910" t="s">
        <v>8222</v>
      </c>
      <c r="BT21" s="2911" t="s">
        <v>8223</v>
      </c>
      <c r="BU21" s="2911" t="s">
        <v>8224</v>
      </c>
      <c r="BV21" s="2911" t="s">
        <v>8225</v>
      </c>
      <c r="BW21" s="2911" t="s">
        <v>8226</v>
      </c>
      <c r="BX21" s="2911" t="s">
        <v>8227</v>
      </c>
      <c r="BY21" s="2911" t="s">
        <v>8228</v>
      </c>
      <c r="BZ21" s="1267" t="s">
        <v>8229</v>
      </c>
      <c r="CA21" s="2499"/>
      <c r="CB21" s="2910" t="s">
        <v>8230</v>
      </c>
      <c r="CC21" s="2911" t="s">
        <v>8231</v>
      </c>
      <c r="CD21" s="2911" t="s">
        <v>8232</v>
      </c>
      <c r="CE21" s="2911" t="s">
        <v>8233</v>
      </c>
      <c r="CF21" s="1267" t="s">
        <v>8234</v>
      </c>
      <c r="CG21" s="2910" t="s">
        <v>8235</v>
      </c>
      <c r="CH21" s="2911" t="s">
        <v>8236</v>
      </c>
      <c r="CI21" s="2911" t="s">
        <v>8237</v>
      </c>
      <c r="CJ21" s="2911" t="s">
        <v>8238</v>
      </c>
      <c r="CK21" s="2911" t="s">
        <v>8239</v>
      </c>
      <c r="CL21" s="1267" t="s">
        <v>8240</v>
      </c>
      <c r="CM21" s="2910" t="s">
        <v>8241</v>
      </c>
      <c r="CN21" s="2911" t="s">
        <v>8242</v>
      </c>
      <c r="CO21" s="2911" t="s">
        <v>8243</v>
      </c>
      <c r="CP21" s="2911" t="s">
        <v>8244</v>
      </c>
      <c r="CQ21" s="2911" t="s">
        <v>8245</v>
      </c>
      <c r="CR21" s="1267" t="s">
        <v>8246</v>
      </c>
    </row>
    <row r="22" spans="1:96" ht="15">
      <c r="A22" s="1190"/>
      <c r="B22" s="94" t="s">
        <v>8247</v>
      </c>
      <c r="C22" s="913" t="s">
        <v>8248</v>
      </c>
      <c r="D22" s="1268"/>
      <c r="E22" s="1268" t="s">
        <v>766</v>
      </c>
      <c r="F22" s="1269">
        <v>0</v>
      </c>
      <c r="G22" s="1265">
        <v>0</v>
      </c>
      <c r="H22" s="1266">
        <v>9</v>
      </c>
      <c r="I22" s="1266">
        <v>15</v>
      </c>
      <c r="J22" s="1266">
        <v>3</v>
      </c>
      <c r="K22" s="1266">
        <v>5</v>
      </c>
      <c r="L22" s="1266">
        <v>2</v>
      </c>
      <c r="M22" s="1266">
        <v>9</v>
      </c>
      <c r="N22" s="1267">
        <f t="shared" si="7"/>
        <v>43</v>
      </c>
      <c r="O22" s="1190"/>
      <c r="P22" s="1265">
        <v>5</v>
      </c>
      <c r="Q22" s="1266">
        <v>3</v>
      </c>
      <c r="R22" s="1266">
        <v>5</v>
      </c>
      <c r="S22" s="1266">
        <v>30</v>
      </c>
      <c r="T22" s="1267">
        <f t="shared" si="8"/>
        <v>43</v>
      </c>
      <c r="U22" s="1265">
        <v>0</v>
      </c>
      <c r="V22" s="1266">
        <v>4</v>
      </c>
      <c r="W22" s="1266">
        <v>15</v>
      </c>
      <c r="X22" s="1266">
        <v>21</v>
      </c>
      <c r="Y22" s="1266">
        <v>3</v>
      </c>
      <c r="Z22" s="1267">
        <f t="shared" si="9"/>
        <v>43</v>
      </c>
      <c r="AA22" s="1265">
        <v>0</v>
      </c>
      <c r="AB22" s="1266">
        <v>6</v>
      </c>
      <c r="AC22" s="1266">
        <v>23</v>
      </c>
      <c r="AD22" s="1266">
        <v>7</v>
      </c>
      <c r="AE22" s="1266">
        <v>7</v>
      </c>
      <c r="AF22" s="1267">
        <f t="shared" si="10"/>
        <v>43</v>
      </c>
      <c r="AG22" s="1124"/>
      <c r="AH22" s="1190"/>
      <c r="AI22" s="897">
        <f t="shared" si="11"/>
        <v>0</v>
      </c>
      <c r="AJ22" s="192"/>
      <c r="AK22" s="71"/>
      <c r="AL22" s="93">
        <f>IF(Validation!$H$3=1,0,IF(ISNUMBER(G22),0,1))</f>
        <v>0</v>
      </c>
      <c r="AM22" s="93">
        <f>IF(Validation!$H$3=1,0,IF(ISNUMBER(H22),0,1))</f>
        <v>0</v>
      </c>
      <c r="AN22" s="93">
        <f>IF(Validation!$H$3=1,0,IF(ISNUMBER(I22),0,1))</f>
        <v>0</v>
      </c>
      <c r="AO22" s="93">
        <f>IF(Validation!$H$3=1,0,IF(ISNUMBER(J22),0,1))</f>
        <v>0</v>
      </c>
      <c r="AP22" s="93">
        <f>IF(Validation!$H$3=1,0,IF(ISNUMBER(K22),0,1))</f>
        <v>0</v>
      </c>
      <c r="AQ22" s="93">
        <f>IF(Validation!$H$3=1,0,IF(ISNUMBER(L22),0,1))</f>
        <v>0</v>
      </c>
      <c r="AR22" s="93">
        <f>IF(Validation!$H$3=1,0,IF(ISNUMBER(M22),0,1))</f>
        <v>0</v>
      </c>
      <c r="AS22" s="93"/>
      <c r="AT22" s="85"/>
      <c r="AU22" s="93">
        <f>IF(Validation!$H$3=1,0,IF(ISNUMBER(P22),0,1))</f>
        <v>0</v>
      </c>
      <c r="AV22" s="93">
        <f>IF(Validation!$H$3=1,0,IF(ISNUMBER(Q22),0,1))</f>
        <v>0</v>
      </c>
      <c r="AW22" s="93">
        <f>IF(Validation!$H$3=1,0,IF(ISNUMBER(R22),0,1))</f>
        <v>0</v>
      </c>
      <c r="AX22" s="93">
        <f>IF(Validation!$H$3=1,0,IF(ISNUMBER(S22),0,1))</f>
        <v>0</v>
      </c>
      <c r="AY22" s="93"/>
      <c r="AZ22" s="93">
        <f>IF(Validation!$H$3=1,0,IF(ISNUMBER(U22),0,1))</f>
        <v>0</v>
      </c>
      <c r="BA22" s="93">
        <f>IF(Validation!$H$3=1,0,IF(ISNUMBER(V22),0,1))</f>
        <v>0</v>
      </c>
      <c r="BB22" s="93">
        <f>IF(Validation!$H$3=1,0,IF(ISNUMBER(W22),0,1))</f>
        <v>0</v>
      </c>
      <c r="BC22" s="93">
        <f>IF(Validation!$H$3=1,0,IF(ISNUMBER(X22),0,1))</f>
        <v>0</v>
      </c>
      <c r="BD22" s="93">
        <f>IF(Validation!$H$3=1,0,IF(ISNUMBER(Y22),0,1))</f>
        <v>0</v>
      </c>
      <c r="BE22" s="93"/>
      <c r="BF22" s="93">
        <f>IF(Validation!$H$3=1,0,IF(ISNUMBER(AA22),0,1))</f>
        <v>0</v>
      </c>
      <c r="BG22" s="93">
        <f>IF(Validation!$H$3=1,0,IF(ISNUMBER(AB22),0,1))</f>
        <v>0</v>
      </c>
      <c r="BH22" s="93">
        <f>IF(Validation!$H$3=1,0,IF(ISNUMBER(AC22),0,1))</f>
        <v>0</v>
      </c>
      <c r="BI22" s="93">
        <f>IF(Validation!$H$3=1,0,IF(ISNUMBER(AD22),0,1))</f>
        <v>0</v>
      </c>
      <c r="BJ22" s="93">
        <f>IF(Validation!$H$3=1,0,IF(ISNUMBER(AE22),0,1))</f>
        <v>0</v>
      </c>
      <c r="BK22" s="93"/>
      <c r="BL22" s="71"/>
      <c r="BM22" s="2004"/>
      <c r="BN22" s="94" t="s">
        <v>8247</v>
      </c>
      <c r="BO22" s="913" t="s">
        <v>8248</v>
      </c>
      <c r="BP22" s="1268"/>
      <c r="BQ22" s="1268" t="s">
        <v>766</v>
      </c>
      <c r="BR22" s="1269">
        <v>0</v>
      </c>
      <c r="BS22" s="2910" t="s">
        <v>8249</v>
      </c>
      <c r="BT22" s="2911" t="s">
        <v>8250</v>
      </c>
      <c r="BU22" s="2911" t="s">
        <v>8251</v>
      </c>
      <c r="BV22" s="2911" t="s">
        <v>8252</v>
      </c>
      <c r="BW22" s="2911" t="s">
        <v>8253</v>
      </c>
      <c r="BX22" s="2911" t="s">
        <v>8254</v>
      </c>
      <c r="BY22" s="2911" t="s">
        <v>8255</v>
      </c>
      <c r="BZ22" s="1267" t="s">
        <v>8256</v>
      </c>
      <c r="CA22" s="2499"/>
      <c r="CB22" s="2910" t="s">
        <v>8257</v>
      </c>
      <c r="CC22" s="2911" t="s">
        <v>8258</v>
      </c>
      <c r="CD22" s="2911" t="s">
        <v>8259</v>
      </c>
      <c r="CE22" s="2911" t="s">
        <v>8260</v>
      </c>
      <c r="CF22" s="1267" t="s">
        <v>8261</v>
      </c>
      <c r="CG22" s="2910" t="s">
        <v>8262</v>
      </c>
      <c r="CH22" s="2911" t="s">
        <v>8263</v>
      </c>
      <c r="CI22" s="2911" t="s">
        <v>8264</v>
      </c>
      <c r="CJ22" s="2911" t="s">
        <v>8265</v>
      </c>
      <c r="CK22" s="2911" t="s">
        <v>8266</v>
      </c>
      <c r="CL22" s="1267" t="s">
        <v>8267</v>
      </c>
      <c r="CM22" s="2910" t="s">
        <v>8268</v>
      </c>
      <c r="CN22" s="2911" t="s">
        <v>8269</v>
      </c>
      <c r="CO22" s="2911" t="s">
        <v>8270</v>
      </c>
      <c r="CP22" s="2911" t="s">
        <v>8271</v>
      </c>
      <c r="CQ22" s="2911" t="s">
        <v>8272</v>
      </c>
      <c r="CR22" s="1267" t="s">
        <v>8273</v>
      </c>
    </row>
    <row r="23" spans="1:96" ht="15">
      <c r="A23" s="1190"/>
      <c r="B23" s="94" t="s">
        <v>8274</v>
      </c>
      <c r="C23" s="87" t="s">
        <v>8275</v>
      </c>
      <c r="D23" s="95"/>
      <c r="E23" s="95" t="s">
        <v>766</v>
      </c>
      <c r="F23" s="96">
        <v>0</v>
      </c>
      <c r="G23" s="1265">
        <v>0</v>
      </c>
      <c r="H23" s="1266">
        <v>18</v>
      </c>
      <c r="I23" s="1266">
        <v>6</v>
      </c>
      <c r="J23" s="1266">
        <v>3</v>
      </c>
      <c r="K23" s="1266">
        <v>6</v>
      </c>
      <c r="L23" s="1266">
        <v>1</v>
      </c>
      <c r="M23" s="1266">
        <v>1</v>
      </c>
      <c r="N23" s="1267">
        <f t="shared" si="7"/>
        <v>35</v>
      </c>
      <c r="O23" s="1190"/>
      <c r="P23" s="1265">
        <v>0</v>
      </c>
      <c r="Q23" s="1266">
        <v>1</v>
      </c>
      <c r="R23" s="1266">
        <v>0</v>
      </c>
      <c r="S23" s="1266">
        <v>34</v>
      </c>
      <c r="T23" s="1267">
        <f t="shared" si="8"/>
        <v>35</v>
      </c>
      <c r="U23" s="1265">
        <v>0</v>
      </c>
      <c r="V23" s="1266">
        <v>1</v>
      </c>
      <c r="W23" s="1266">
        <v>13</v>
      </c>
      <c r="X23" s="1266">
        <v>17</v>
      </c>
      <c r="Y23" s="1266">
        <v>4</v>
      </c>
      <c r="Z23" s="1267">
        <f t="shared" si="9"/>
        <v>35</v>
      </c>
      <c r="AA23" s="1265">
        <v>1</v>
      </c>
      <c r="AB23" s="1266">
        <v>10</v>
      </c>
      <c r="AC23" s="1266">
        <v>16</v>
      </c>
      <c r="AD23" s="1266">
        <v>4</v>
      </c>
      <c r="AE23" s="1266">
        <v>4</v>
      </c>
      <c r="AF23" s="1267">
        <f t="shared" si="10"/>
        <v>35</v>
      </c>
      <c r="AG23" s="1110"/>
      <c r="AH23" s="1190"/>
      <c r="AI23" s="897">
        <f t="shared" si="11"/>
        <v>0</v>
      </c>
      <c r="AJ23" s="192"/>
      <c r="AK23" s="71"/>
      <c r="AL23" s="93">
        <f>IF(Validation!$H$3=1,0,IF(ISNUMBER(G23),0,1))</f>
        <v>0</v>
      </c>
      <c r="AM23" s="93">
        <f>IF(Validation!$H$3=1,0,IF(ISNUMBER(H23),0,1))</f>
        <v>0</v>
      </c>
      <c r="AN23" s="93">
        <f>IF(Validation!$H$3=1,0,IF(ISNUMBER(I23),0,1))</f>
        <v>0</v>
      </c>
      <c r="AO23" s="93">
        <f>IF(Validation!$H$3=1,0,IF(ISNUMBER(J23),0,1))</f>
        <v>0</v>
      </c>
      <c r="AP23" s="93">
        <f>IF(Validation!$H$3=1,0,IF(ISNUMBER(K23),0,1))</f>
        <v>0</v>
      </c>
      <c r="AQ23" s="93">
        <f>IF(Validation!$H$3=1,0,IF(ISNUMBER(L23),0,1))</f>
        <v>0</v>
      </c>
      <c r="AR23" s="93">
        <f>IF(Validation!$H$3=1,0,IF(ISNUMBER(M23),0,1))</f>
        <v>0</v>
      </c>
      <c r="AS23" s="93"/>
      <c r="AT23" s="85"/>
      <c r="AU23" s="93">
        <f>IF(Validation!$H$3=1,0,IF(ISNUMBER(P23),0,1))</f>
        <v>0</v>
      </c>
      <c r="AV23" s="93">
        <f>IF(Validation!$H$3=1,0,IF(ISNUMBER(Q23),0,1))</f>
        <v>0</v>
      </c>
      <c r="AW23" s="93">
        <f>IF(Validation!$H$3=1,0,IF(ISNUMBER(R23),0,1))</f>
        <v>0</v>
      </c>
      <c r="AX23" s="93">
        <f>IF(Validation!$H$3=1,0,IF(ISNUMBER(S23),0,1))</f>
        <v>0</v>
      </c>
      <c r="AY23" s="93"/>
      <c r="AZ23" s="93">
        <f>IF(Validation!$H$3=1,0,IF(ISNUMBER(U23),0,1))</f>
        <v>0</v>
      </c>
      <c r="BA23" s="93">
        <f>IF(Validation!$H$3=1,0,IF(ISNUMBER(V23),0,1))</f>
        <v>0</v>
      </c>
      <c r="BB23" s="93">
        <f>IF(Validation!$H$3=1,0,IF(ISNUMBER(W23),0,1))</f>
        <v>0</v>
      </c>
      <c r="BC23" s="93">
        <f>IF(Validation!$H$3=1,0,IF(ISNUMBER(X23),0,1))</f>
        <v>0</v>
      </c>
      <c r="BD23" s="93">
        <f>IF(Validation!$H$3=1,0,IF(ISNUMBER(Y23),0,1))</f>
        <v>0</v>
      </c>
      <c r="BE23" s="93"/>
      <c r="BF23" s="93">
        <f>IF(Validation!$H$3=1,0,IF(ISNUMBER(AA23),0,1))</f>
        <v>0</v>
      </c>
      <c r="BG23" s="93">
        <f>IF(Validation!$H$3=1,0,IF(ISNUMBER(AB23),0,1))</f>
        <v>0</v>
      </c>
      <c r="BH23" s="93">
        <f>IF(Validation!$H$3=1,0,IF(ISNUMBER(AC23),0,1))</f>
        <v>0</v>
      </c>
      <c r="BI23" s="93">
        <f>IF(Validation!$H$3=1,0,IF(ISNUMBER(AD23),0,1))</f>
        <v>0</v>
      </c>
      <c r="BJ23" s="93">
        <f>IF(Validation!$H$3=1,0,IF(ISNUMBER(AE23),0,1))</f>
        <v>0</v>
      </c>
      <c r="BK23" s="93"/>
      <c r="BL23" s="71"/>
      <c r="BM23" s="2004"/>
      <c r="BN23" s="94" t="s">
        <v>8274</v>
      </c>
      <c r="BO23" s="87" t="s">
        <v>8275</v>
      </c>
      <c r="BP23" s="95"/>
      <c r="BQ23" s="95" t="s">
        <v>766</v>
      </c>
      <c r="BR23" s="96">
        <v>0</v>
      </c>
      <c r="BS23" s="2910" t="s">
        <v>8276</v>
      </c>
      <c r="BT23" s="2911" t="s">
        <v>8277</v>
      </c>
      <c r="BU23" s="2911" t="s">
        <v>8278</v>
      </c>
      <c r="BV23" s="2911" t="s">
        <v>8279</v>
      </c>
      <c r="BW23" s="2911" t="s">
        <v>8280</v>
      </c>
      <c r="BX23" s="2911" t="s">
        <v>8281</v>
      </c>
      <c r="BY23" s="2911" t="s">
        <v>8282</v>
      </c>
      <c r="BZ23" s="1267" t="s">
        <v>8283</v>
      </c>
      <c r="CA23" s="2499"/>
      <c r="CB23" s="2910" t="s">
        <v>8284</v>
      </c>
      <c r="CC23" s="2911" t="s">
        <v>8285</v>
      </c>
      <c r="CD23" s="2911" t="s">
        <v>8286</v>
      </c>
      <c r="CE23" s="2911" t="s">
        <v>8287</v>
      </c>
      <c r="CF23" s="1267" t="s">
        <v>8288</v>
      </c>
      <c r="CG23" s="2910" t="s">
        <v>8289</v>
      </c>
      <c r="CH23" s="2911" t="s">
        <v>8290</v>
      </c>
      <c r="CI23" s="2911" t="s">
        <v>8291</v>
      </c>
      <c r="CJ23" s="2911" t="s">
        <v>8292</v>
      </c>
      <c r="CK23" s="2911" t="s">
        <v>8293</v>
      </c>
      <c r="CL23" s="1267" t="s">
        <v>8294</v>
      </c>
      <c r="CM23" s="2910" t="s">
        <v>8295</v>
      </c>
      <c r="CN23" s="2911" t="s">
        <v>8296</v>
      </c>
      <c r="CO23" s="2911" t="s">
        <v>8297</v>
      </c>
      <c r="CP23" s="2911" t="s">
        <v>8298</v>
      </c>
      <c r="CQ23" s="2911" t="s">
        <v>8299</v>
      </c>
      <c r="CR23" s="1267" t="s">
        <v>8300</v>
      </c>
    </row>
    <row r="24" spans="1:96" ht="15.75" thickBot="1">
      <c r="A24" s="1190"/>
      <c r="B24" s="101" t="s">
        <v>8301</v>
      </c>
      <c r="C24" s="102" t="s">
        <v>8302</v>
      </c>
      <c r="D24" s="103"/>
      <c r="E24" s="103" t="s">
        <v>766</v>
      </c>
      <c r="F24" s="100">
        <v>0</v>
      </c>
      <c r="G24" s="1270">
        <f t="shared" ref="G24:N24" si="12">+SUM(G18:G23)</f>
        <v>36</v>
      </c>
      <c r="H24" s="1271">
        <f t="shared" si="12"/>
        <v>129</v>
      </c>
      <c r="I24" s="1271">
        <f t="shared" si="12"/>
        <v>327</v>
      </c>
      <c r="J24" s="1271">
        <f t="shared" si="12"/>
        <v>14</v>
      </c>
      <c r="K24" s="1271">
        <f t="shared" si="12"/>
        <v>26</v>
      </c>
      <c r="L24" s="1271">
        <f t="shared" si="12"/>
        <v>35</v>
      </c>
      <c r="M24" s="1271">
        <f t="shared" si="12"/>
        <v>41</v>
      </c>
      <c r="N24" s="1275">
        <f t="shared" si="12"/>
        <v>608</v>
      </c>
      <c r="O24" s="1190"/>
      <c r="P24" s="1270">
        <f t="shared" ref="P24:AF24" si="13">+SUM(P18:P23)</f>
        <v>13</v>
      </c>
      <c r="Q24" s="1271">
        <f t="shared" si="13"/>
        <v>8</v>
      </c>
      <c r="R24" s="1271">
        <f t="shared" si="13"/>
        <v>12</v>
      </c>
      <c r="S24" s="1271">
        <f t="shared" si="13"/>
        <v>575</v>
      </c>
      <c r="T24" s="1272">
        <f t="shared" si="13"/>
        <v>608</v>
      </c>
      <c r="U24" s="1270">
        <f t="shared" si="13"/>
        <v>0</v>
      </c>
      <c r="V24" s="1271">
        <f t="shared" si="13"/>
        <v>12</v>
      </c>
      <c r="W24" s="1271">
        <f t="shared" si="13"/>
        <v>78</v>
      </c>
      <c r="X24" s="1271">
        <f t="shared" si="13"/>
        <v>169</v>
      </c>
      <c r="Y24" s="1271">
        <f t="shared" si="13"/>
        <v>349</v>
      </c>
      <c r="Z24" s="1272">
        <f t="shared" si="13"/>
        <v>608</v>
      </c>
      <c r="AA24" s="1270">
        <f t="shared" si="13"/>
        <v>1</v>
      </c>
      <c r="AB24" s="1271">
        <f t="shared" si="13"/>
        <v>24</v>
      </c>
      <c r="AC24" s="1271">
        <f t="shared" si="13"/>
        <v>104</v>
      </c>
      <c r="AD24" s="1271">
        <f t="shared" si="13"/>
        <v>122</v>
      </c>
      <c r="AE24" s="1271">
        <f t="shared" si="13"/>
        <v>357</v>
      </c>
      <c r="AF24" s="1272">
        <f t="shared" si="13"/>
        <v>608</v>
      </c>
      <c r="AG24" s="1118"/>
      <c r="AH24" s="1190"/>
      <c r="AI24" s="2004"/>
      <c r="AJ24" s="2004"/>
      <c r="AL24" s="2004"/>
      <c r="AM24" s="2004"/>
      <c r="AN24" s="2004"/>
      <c r="AO24" s="2004"/>
      <c r="AP24" s="2004"/>
      <c r="AQ24" s="2004"/>
      <c r="AR24" s="2004"/>
      <c r="AS24" s="2004"/>
      <c r="AT24" s="85"/>
      <c r="AU24" s="2004"/>
      <c r="AV24" s="2004"/>
      <c r="AW24" s="2004"/>
      <c r="AX24" s="2004"/>
      <c r="AY24" s="2004"/>
      <c r="AZ24" s="2004"/>
      <c r="BA24" s="2004"/>
      <c r="BB24" s="2004"/>
      <c r="BC24" s="2004"/>
      <c r="BD24" s="2004"/>
      <c r="BE24" s="2004"/>
      <c r="BF24" s="2004"/>
      <c r="BG24" s="2004"/>
      <c r="BH24" s="2004"/>
      <c r="BI24" s="2004"/>
      <c r="BJ24" s="2004"/>
      <c r="BK24" s="2004"/>
      <c r="BM24" s="2004"/>
      <c r="BN24" s="101" t="s">
        <v>8301</v>
      </c>
      <c r="BO24" s="102" t="s">
        <v>8302</v>
      </c>
      <c r="BP24" s="103"/>
      <c r="BQ24" s="103" t="s">
        <v>766</v>
      </c>
      <c r="BR24" s="100">
        <v>0</v>
      </c>
      <c r="BS24" s="1270" t="s">
        <v>8303</v>
      </c>
      <c r="BT24" s="1271" t="s">
        <v>8304</v>
      </c>
      <c r="BU24" s="1271" t="s">
        <v>8305</v>
      </c>
      <c r="BV24" s="1271" t="s">
        <v>8306</v>
      </c>
      <c r="BW24" s="1271" t="s">
        <v>8307</v>
      </c>
      <c r="BX24" s="1271" t="s">
        <v>8308</v>
      </c>
      <c r="BY24" s="1271" t="s">
        <v>8309</v>
      </c>
      <c r="BZ24" s="1275" t="s">
        <v>8310</v>
      </c>
      <c r="CA24" s="2499"/>
      <c r="CB24" s="1270" t="s">
        <v>8311</v>
      </c>
      <c r="CC24" s="1271" t="s">
        <v>8312</v>
      </c>
      <c r="CD24" s="1271" t="s">
        <v>8313</v>
      </c>
      <c r="CE24" s="1271" t="s">
        <v>8314</v>
      </c>
      <c r="CF24" s="1272" t="s">
        <v>8315</v>
      </c>
      <c r="CG24" s="1270" t="s">
        <v>8316</v>
      </c>
      <c r="CH24" s="1271" t="s">
        <v>8317</v>
      </c>
      <c r="CI24" s="1271" t="s">
        <v>8318</v>
      </c>
      <c r="CJ24" s="1271" t="s">
        <v>8319</v>
      </c>
      <c r="CK24" s="1271" t="s">
        <v>8320</v>
      </c>
      <c r="CL24" s="1272" t="s">
        <v>8321</v>
      </c>
      <c r="CM24" s="1270" t="s">
        <v>8322</v>
      </c>
      <c r="CN24" s="1271" t="s">
        <v>8323</v>
      </c>
      <c r="CO24" s="1271" t="s">
        <v>8324</v>
      </c>
      <c r="CP24" s="1271" t="s">
        <v>8325</v>
      </c>
      <c r="CQ24" s="1271" t="s">
        <v>8326</v>
      </c>
      <c r="CR24" s="1272" t="s">
        <v>8327</v>
      </c>
    </row>
    <row r="25" spans="1:96" ht="15.75" thickBot="1">
      <c r="A25" s="1190"/>
      <c r="B25" s="1257"/>
      <c r="C25" s="1125"/>
      <c r="D25" s="1125"/>
      <c r="E25" s="1259"/>
      <c r="F25" s="1190"/>
      <c r="G25" s="1190"/>
      <c r="H25" s="1190"/>
      <c r="I25" s="1190"/>
      <c r="J25" s="1190"/>
      <c r="K25" s="1190"/>
      <c r="L25" s="1190"/>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2004"/>
      <c r="AJ25" s="2004"/>
      <c r="AL25" s="2004"/>
      <c r="AM25" s="2004"/>
      <c r="AN25" s="2004"/>
      <c r="AO25" s="2004"/>
      <c r="AP25" s="2004"/>
      <c r="AQ25" s="2004"/>
      <c r="AR25" s="2004"/>
      <c r="AS25" s="2004"/>
      <c r="AT25" s="85"/>
      <c r="AU25" s="2004"/>
      <c r="AV25" s="2004"/>
      <c r="AW25" s="2004"/>
      <c r="AX25" s="2004"/>
      <c r="AY25" s="2004"/>
      <c r="AZ25" s="2004"/>
      <c r="BA25" s="2004"/>
      <c r="BB25" s="2004"/>
      <c r="BC25" s="2004"/>
      <c r="BD25" s="2004"/>
      <c r="BE25" s="2004"/>
      <c r="BF25" s="2004"/>
      <c r="BG25" s="2004"/>
      <c r="BH25" s="2004"/>
      <c r="BI25" s="2004"/>
      <c r="BJ25" s="2004"/>
      <c r="BK25" s="2004"/>
      <c r="BM25" s="2004"/>
      <c r="BN25" s="2898"/>
      <c r="BO25" s="2902"/>
      <c r="BP25" s="2902"/>
      <c r="BQ25" s="2903"/>
      <c r="BR25" s="2499"/>
      <c r="BS25" s="2499"/>
      <c r="BT25" s="2499"/>
      <c r="BU25" s="2499"/>
      <c r="BV25" s="2499"/>
      <c r="BW25" s="2499"/>
      <c r="BX25" s="2499"/>
      <c r="BY25" s="2499"/>
      <c r="BZ25" s="2499"/>
      <c r="CA25" s="2499"/>
      <c r="CB25" s="2499"/>
      <c r="CC25" s="2499"/>
      <c r="CD25" s="2499"/>
      <c r="CE25" s="2499"/>
      <c r="CF25" s="2499"/>
      <c r="CG25" s="2499"/>
      <c r="CH25" s="2499"/>
      <c r="CI25" s="2499"/>
      <c r="CJ25" s="2499"/>
      <c r="CK25" s="2499"/>
      <c r="CL25" s="2499"/>
      <c r="CM25" s="2499"/>
      <c r="CN25" s="2499"/>
      <c r="CO25" s="2499"/>
      <c r="CP25" s="2499"/>
      <c r="CQ25" s="2499"/>
      <c r="CR25" s="2499"/>
    </row>
    <row r="26" spans="1:96" ht="27.75" thickBot="1">
      <c r="A26" s="1190"/>
      <c r="B26" s="3169" t="s">
        <v>36</v>
      </c>
      <c r="C26" s="3170"/>
      <c r="D26" s="184" t="s">
        <v>8328</v>
      </c>
      <c r="E26" s="184" t="s">
        <v>2310</v>
      </c>
      <c r="F26" s="185" t="s">
        <v>39</v>
      </c>
      <c r="G26" s="1480" t="s">
        <v>158</v>
      </c>
      <c r="H26" s="1190"/>
      <c r="I26" s="1190"/>
      <c r="J26" s="1190"/>
      <c r="K26" s="1190"/>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2004"/>
      <c r="AJ26" s="2004"/>
      <c r="AL26" s="2004"/>
      <c r="AM26" s="2004"/>
      <c r="AN26" s="2004"/>
      <c r="AO26" s="2004"/>
      <c r="AP26" s="2004"/>
      <c r="AQ26" s="2004"/>
      <c r="AR26" s="2004"/>
      <c r="AS26" s="2004"/>
      <c r="AT26" s="2004"/>
      <c r="AU26" s="2004"/>
      <c r="AV26" s="2004"/>
      <c r="AW26" s="2004"/>
      <c r="AX26" s="2004"/>
      <c r="AY26" s="2004"/>
      <c r="AZ26" s="2004"/>
      <c r="BA26" s="2004"/>
      <c r="BB26" s="2004"/>
      <c r="BC26" s="2004"/>
      <c r="BD26" s="2004"/>
      <c r="BE26" s="2004"/>
      <c r="BF26" s="2004"/>
      <c r="BG26" s="2004"/>
      <c r="BH26" s="2004"/>
      <c r="BI26" s="2004"/>
      <c r="BJ26" s="2004"/>
      <c r="BK26" s="2004"/>
      <c r="BM26" s="2004"/>
      <c r="BN26" s="3169" t="s">
        <v>36</v>
      </c>
      <c r="BO26" s="3170"/>
      <c r="BP26" s="184" t="s">
        <v>8328</v>
      </c>
      <c r="BQ26" s="184" t="s">
        <v>2310</v>
      </c>
      <c r="BR26" s="185" t="s">
        <v>39</v>
      </c>
      <c r="BS26" s="1480" t="s">
        <v>158</v>
      </c>
      <c r="BT26" s="2499"/>
      <c r="BU26" s="2499"/>
      <c r="BV26" s="2499"/>
      <c r="BW26" s="2499"/>
      <c r="BX26" s="2499"/>
      <c r="BY26" s="2499"/>
      <c r="BZ26" s="2499"/>
      <c r="CA26" s="2499"/>
      <c r="CB26" s="2499"/>
      <c r="CC26" s="2499"/>
      <c r="CD26" s="2499"/>
      <c r="CE26" s="2499"/>
      <c r="CF26" s="2499"/>
      <c r="CG26" s="2499"/>
      <c r="CH26" s="2499"/>
      <c r="CI26" s="2499"/>
      <c r="CJ26" s="2499"/>
      <c r="CK26" s="2499"/>
      <c r="CL26" s="2499"/>
      <c r="CM26" s="2499"/>
      <c r="CN26" s="2499"/>
      <c r="CO26" s="2499"/>
      <c r="CP26" s="2499"/>
      <c r="CQ26" s="2499"/>
      <c r="CR26" s="2499"/>
    </row>
    <row r="27" spans="1:96" ht="15.75" thickBot="1">
      <c r="A27" s="1190"/>
      <c r="B27" s="1257"/>
      <c r="C27" s="1125"/>
      <c r="D27" s="1125"/>
      <c r="E27" s="1259"/>
      <c r="F27" s="1190"/>
      <c r="G27" s="1276"/>
      <c r="H27" s="1190"/>
      <c r="I27" s="1190"/>
      <c r="J27" s="1190"/>
      <c r="K27" s="1190"/>
      <c r="L27" s="1190"/>
      <c r="M27" s="1190"/>
      <c r="N27" s="1190"/>
      <c r="O27" s="1190"/>
      <c r="P27" s="1190"/>
      <c r="Q27" s="1190"/>
      <c r="R27" s="1190"/>
      <c r="S27" s="1190"/>
      <c r="T27" s="1190"/>
      <c r="U27" s="1190"/>
      <c r="V27" s="1190"/>
      <c r="W27" s="1190"/>
      <c r="X27" s="1190"/>
      <c r="Y27" s="1190"/>
      <c r="Z27" s="1190"/>
      <c r="AA27" s="1190"/>
      <c r="AB27" s="1190"/>
      <c r="AC27" s="1190"/>
      <c r="AD27" s="1190"/>
      <c r="AE27" s="1190"/>
      <c r="AF27" s="1190"/>
      <c r="AG27" s="1190"/>
      <c r="AH27" s="1190"/>
      <c r="AI27" s="2004"/>
      <c r="AJ27" s="2004"/>
      <c r="AL27" s="2004"/>
      <c r="AM27" s="2004"/>
      <c r="AN27" s="2004"/>
      <c r="AO27" s="2004"/>
      <c r="AP27" s="2004"/>
      <c r="AQ27" s="2004"/>
      <c r="AR27" s="2004"/>
      <c r="AS27" s="2004"/>
      <c r="AT27" s="2004"/>
      <c r="AU27" s="2004"/>
      <c r="AV27" s="2004"/>
      <c r="AW27" s="2004"/>
      <c r="AX27" s="2004"/>
      <c r="AY27" s="2004"/>
      <c r="AZ27" s="2004"/>
      <c r="BA27" s="2004"/>
      <c r="BB27" s="2004"/>
      <c r="BC27" s="2004"/>
      <c r="BD27" s="2004"/>
      <c r="BE27" s="2004"/>
      <c r="BF27" s="2004"/>
      <c r="BG27" s="2004"/>
      <c r="BH27" s="2004"/>
      <c r="BI27" s="2004"/>
      <c r="BJ27" s="2004"/>
      <c r="BK27" s="2004"/>
      <c r="BM27" s="2004"/>
      <c r="BN27" s="2898"/>
      <c r="BO27" s="2902"/>
      <c r="BP27" s="2902"/>
      <c r="BQ27" s="2903"/>
      <c r="BR27" s="2499"/>
      <c r="BS27" s="1276"/>
      <c r="BT27" s="2499"/>
      <c r="BU27" s="2499"/>
      <c r="BV27" s="2499"/>
      <c r="BW27" s="2499"/>
      <c r="BX27" s="2499"/>
      <c r="BY27" s="2499"/>
      <c r="BZ27" s="2499"/>
      <c r="CA27" s="2499"/>
      <c r="CB27" s="2499"/>
      <c r="CC27" s="2499"/>
      <c r="CD27" s="2499"/>
      <c r="CE27" s="2499"/>
      <c r="CF27" s="2499"/>
      <c r="CG27" s="2499"/>
      <c r="CH27" s="2499"/>
      <c r="CI27" s="2499"/>
      <c r="CJ27" s="2499"/>
      <c r="CK27" s="2499"/>
      <c r="CL27" s="2499"/>
      <c r="CM27" s="2499"/>
      <c r="CN27" s="2499"/>
      <c r="CO27" s="2499"/>
      <c r="CP27" s="2499"/>
      <c r="CQ27" s="2499"/>
      <c r="CR27" s="2499"/>
    </row>
    <row r="28" spans="1:96" ht="15.75" thickBot="1">
      <c r="A28" s="1190"/>
      <c r="B28" s="113" t="s">
        <v>335</v>
      </c>
      <c r="C28" s="114" t="s">
        <v>8329</v>
      </c>
      <c r="D28" s="1125"/>
      <c r="E28" s="1259"/>
      <c r="F28" s="1190"/>
      <c r="G28" s="1276"/>
      <c r="H28" s="1190"/>
      <c r="I28" s="1190"/>
      <c r="J28" s="1190"/>
      <c r="K28" s="1190"/>
      <c r="L28" s="1190"/>
      <c r="M28" s="1190"/>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2004"/>
      <c r="AJ28" s="2004"/>
      <c r="AL28" s="2004"/>
      <c r="AM28" s="2004"/>
      <c r="AN28" s="2004"/>
      <c r="AO28" s="2004"/>
      <c r="AP28" s="2004"/>
      <c r="AQ28" s="2004"/>
      <c r="AR28" s="2004"/>
      <c r="AS28" s="2004"/>
      <c r="AT28" s="2004"/>
      <c r="AU28" s="2004"/>
      <c r="AV28" s="2004"/>
      <c r="AW28" s="2004"/>
      <c r="AX28" s="2004"/>
      <c r="AY28" s="2004"/>
      <c r="AZ28" s="2004"/>
      <c r="BA28" s="2004"/>
      <c r="BB28" s="2004"/>
      <c r="BC28" s="2004"/>
      <c r="BD28" s="2004"/>
      <c r="BE28" s="2004"/>
      <c r="BF28" s="2004"/>
      <c r="BG28" s="2004"/>
      <c r="BH28" s="2004"/>
      <c r="BI28" s="2004"/>
      <c r="BJ28" s="2004"/>
      <c r="BK28" s="2004"/>
      <c r="BM28" s="2004"/>
      <c r="BN28" s="113" t="s">
        <v>335</v>
      </c>
      <c r="BO28" s="114" t="s">
        <v>8329</v>
      </c>
      <c r="BP28" s="2902"/>
      <c r="BQ28" s="2903"/>
      <c r="BR28" s="2499"/>
      <c r="BS28" s="1276"/>
      <c r="BT28" s="2499"/>
      <c r="BU28" s="2499"/>
      <c r="BV28" s="2499"/>
      <c r="BW28" s="2499"/>
      <c r="BX28" s="2499"/>
      <c r="BY28" s="2499"/>
      <c r="BZ28" s="2499"/>
      <c r="CA28" s="2499"/>
      <c r="CB28" s="2499"/>
      <c r="CC28" s="2499"/>
      <c r="CD28" s="2499"/>
      <c r="CE28" s="2499"/>
      <c r="CF28" s="2499"/>
      <c r="CG28" s="2499"/>
      <c r="CH28" s="2499"/>
      <c r="CI28" s="2499"/>
      <c r="CJ28" s="2499"/>
      <c r="CK28" s="2499"/>
      <c r="CL28" s="2499"/>
      <c r="CM28" s="2499"/>
      <c r="CN28" s="2499"/>
      <c r="CO28" s="2499"/>
      <c r="CP28" s="2499"/>
      <c r="CQ28" s="2499"/>
      <c r="CR28" s="2499"/>
    </row>
    <row r="29" spans="1:96" ht="15">
      <c r="A29" s="1255"/>
      <c r="B29" s="86" t="s">
        <v>8330</v>
      </c>
      <c r="C29" s="117" t="s">
        <v>8331</v>
      </c>
      <c r="D29" s="88"/>
      <c r="E29" s="2044" t="s">
        <v>7066</v>
      </c>
      <c r="F29" s="89">
        <v>3</v>
      </c>
      <c r="G29" s="1277">
        <v>6027.26</v>
      </c>
      <c r="H29" s="1190"/>
      <c r="I29" s="1190"/>
      <c r="J29" s="1190"/>
      <c r="K29" s="1190"/>
      <c r="L29" s="1190"/>
      <c r="M29" s="1190"/>
      <c r="N29" s="1190"/>
      <c r="O29" s="1190"/>
      <c r="P29" s="1190"/>
      <c r="Q29" s="1190"/>
      <c r="R29" s="1190"/>
      <c r="S29" s="1190"/>
      <c r="T29" s="1190"/>
      <c r="U29" s="1190"/>
      <c r="V29" s="1190"/>
      <c r="W29" s="1190"/>
      <c r="X29" s="1190"/>
      <c r="Y29" s="1190"/>
      <c r="Z29" s="1190"/>
      <c r="AA29" s="1190"/>
      <c r="AB29" s="1190"/>
      <c r="AC29" s="1190"/>
      <c r="AD29" s="1190"/>
      <c r="AE29" s="1190"/>
      <c r="AF29" s="1190"/>
      <c r="AG29" s="1123"/>
      <c r="AH29" s="1190"/>
      <c r="AI29" s="897">
        <f t="shared" ref="AI29:AI38" si="14" xml:space="preserve"> IF( SUM( AK29:BL29 ) = 0, 0, $AL$5 )</f>
        <v>0</v>
      </c>
      <c r="AJ29" s="192"/>
      <c r="AK29" s="71"/>
      <c r="AL29" s="93">
        <f>IF(Validation!$H$3=1,0,IF(ISNUMBER(G29),0,1))</f>
        <v>0</v>
      </c>
      <c r="AM29" s="2004"/>
      <c r="AN29" s="2004"/>
      <c r="AO29" s="2004"/>
      <c r="AP29" s="2004"/>
      <c r="AQ29" s="2004"/>
      <c r="AR29" s="2004"/>
      <c r="AS29" s="2004"/>
      <c r="AT29" s="2004"/>
      <c r="AU29" s="2004"/>
      <c r="AV29" s="2004"/>
      <c r="AW29" s="2004"/>
      <c r="AX29" s="2004"/>
      <c r="AY29" s="2004"/>
      <c r="AZ29" s="2004"/>
      <c r="BA29" s="2004"/>
      <c r="BB29" s="2004"/>
      <c r="BC29" s="2004"/>
      <c r="BD29" s="2004"/>
      <c r="BE29" s="2004"/>
      <c r="BF29" s="2004"/>
      <c r="BG29" s="2004"/>
      <c r="BH29" s="2004"/>
      <c r="BI29" s="2004"/>
      <c r="BJ29" s="2004"/>
      <c r="BK29" s="2004"/>
      <c r="BL29" s="71"/>
      <c r="BM29" s="2004"/>
      <c r="BN29" s="86" t="s">
        <v>8330</v>
      </c>
      <c r="BO29" s="117" t="s">
        <v>8331</v>
      </c>
      <c r="BP29" s="88" t="s">
        <v>8332</v>
      </c>
      <c r="BQ29" s="88" t="s">
        <v>7066</v>
      </c>
      <c r="BR29" s="89">
        <v>3</v>
      </c>
      <c r="BS29" s="2914"/>
      <c r="BT29" s="2499"/>
      <c r="BU29" s="2499"/>
      <c r="BV29" s="2499"/>
      <c r="BW29" s="2499"/>
      <c r="BX29" s="2499"/>
      <c r="BY29" s="2499"/>
      <c r="BZ29" s="2499"/>
      <c r="CA29" s="2499"/>
      <c r="CB29" s="2499"/>
      <c r="CC29" s="2499"/>
      <c r="CD29" s="2499"/>
      <c r="CE29" s="2499"/>
      <c r="CF29" s="2499"/>
      <c r="CG29" s="2499"/>
      <c r="CH29" s="2499"/>
      <c r="CI29" s="2499"/>
      <c r="CJ29" s="2499"/>
      <c r="CK29" s="2499"/>
      <c r="CL29" s="2499"/>
      <c r="CM29" s="2499"/>
      <c r="CN29" s="2499"/>
      <c r="CO29" s="2499"/>
      <c r="CP29" s="2499"/>
      <c r="CQ29" s="2499"/>
      <c r="CR29" s="2499"/>
    </row>
    <row r="30" spans="1:96" ht="15">
      <c r="A30" s="1255"/>
      <c r="B30" s="94" t="s">
        <v>8333</v>
      </c>
      <c r="C30" s="87" t="s">
        <v>8334</v>
      </c>
      <c r="D30" s="95"/>
      <c r="E30" s="95" t="s">
        <v>3101</v>
      </c>
      <c r="F30" s="96">
        <v>3</v>
      </c>
      <c r="G30" s="1278">
        <v>0</v>
      </c>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24"/>
      <c r="AH30" s="1190"/>
      <c r="AI30" s="897">
        <f t="shared" si="14"/>
        <v>0</v>
      </c>
      <c r="AJ30" s="192"/>
      <c r="AK30" s="71"/>
      <c r="AL30" s="93">
        <f>IF(Validation!$H$3=1,0,IF(ISNUMBER(G30),0,1))</f>
        <v>0</v>
      </c>
      <c r="AM30" s="2004"/>
      <c r="AN30" s="2004"/>
      <c r="AO30" s="2004"/>
      <c r="AP30" s="2004"/>
      <c r="AQ30" s="2004"/>
      <c r="AR30" s="2004"/>
      <c r="AS30" s="2004"/>
      <c r="AT30" s="2004"/>
      <c r="AU30" s="2004"/>
      <c r="AV30" s="2004"/>
      <c r="AW30" s="2004"/>
      <c r="AX30" s="2004"/>
      <c r="AY30" s="2004"/>
      <c r="AZ30" s="2004"/>
      <c r="BA30" s="2004"/>
      <c r="BB30" s="2004"/>
      <c r="BC30" s="2004"/>
      <c r="BD30" s="2004"/>
      <c r="BE30" s="2004"/>
      <c r="BF30" s="2004"/>
      <c r="BG30" s="2004"/>
      <c r="BH30" s="2004"/>
      <c r="BI30" s="2004"/>
      <c r="BJ30" s="2004"/>
      <c r="BK30" s="2004"/>
      <c r="BL30" s="71"/>
      <c r="BM30" s="2004"/>
      <c r="BN30" s="94" t="s">
        <v>8333</v>
      </c>
      <c r="BO30" s="87" t="s">
        <v>8334</v>
      </c>
      <c r="BP30" s="95" t="s">
        <v>8335</v>
      </c>
      <c r="BQ30" s="95" t="s">
        <v>3101</v>
      </c>
      <c r="BR30" s="96">
        <v>3</v>
      </c>
      <c r="BS30" s="2915"/>
      <c r="BT30" s="2499"/>
      <c r="BU30" s="2499"/>
      <c r="BV30" s="2499"/>
      <c r="BW30" s="2499"/>
      <c r="BX30" s="2499"/>
      <c r="BY30" s="2499"/>
      <c r="BZ30" s="2499"/>
      <c r="CA30" s="2499"/>
      <c r="CB30" s="2499"/>
      <c r="CC30" s="2499"/>
      <c r="CD30" s="2499"/>
      <c r="CE30" s="2499"/>
      <c r="CF30" s="2499"/>
      <c r="CG30" s="2499"/>
      <c r="CH30" s="2499"/>
      <c r="CI30" s="2499"/>
      <c r="CJ30" s="2499"/>
      <c r="CK30" s="2499"/>
      <c r="CL30" s="2499"/>
      <c r="CM30" s="2499"/>
      <c r="CN30" s="2499"/>
      <c r="CO30" s="2499"/>
      <c r="CP30" s="2499"/>
      <c r="CQ30" s="2499"/>
      <c r="CR30" s="2499"/>
    </row>
    <row r="31" spans="1:96" ht="15">
      <c r="A31" s="1255"/>
      <c r="B31" s="94" t="s">
        <v>8336</v>
      </c>
      <c r="C31" s="87" t="s">
        <v>8337</v>
      </c>
      <c r="D31" s="95"/>
      <c r="E31" s="95" t="s">
        <v>3101</v>
      </c>
      <c r="F31" s="96">
        <v>3</v>
      </c>
      <c r="G31" s="1278">
        <v>78.936999999999998</v>
      </c>
      <c r="H31" s="1190"/>
      <c r="I31" s="1190"/>
      <c r="J31" s="1190"/>
      <c r="K31" s="1190"/>
      <c r="L31" s="1190"/>
      <c r="M31" s="1190"/>
      <c r="N31" s="1190"/>
      <c r="O31" s="1190"/>
      <c r="P31" s="1190"/>
      <c r="Q31" s="1190"/>
      <c r="R31" s="1190"/>
      <c r="S31" s="1190"/>
      <c r="T31" s="1190"/>
      <c r="U31" s="1190"/>
      <c r="V31" s="1190"/>
      <c r="W31" s="1190"/>
      <c r="X31" s="1190"/>
      <c r="Y31" s="1190"/>
      <c r="Z31" s="1190"/>
      <c r="AA31" s="1190"/>
      <c r="AB31" s="1190"/>
      <c r="AC31" s="1190"/>
      <c r="AD31" s="1190"/>
      <c r="AE31" s="1190"/>
      <c r="AF31" s="1190"/>
      <c r="AG31" s="1124"/>
      <c r="AH31" s="1190"/>
      <c r="AI31" s="897">
        <f t="shared" si="14"/>
        <v>0</v>
      </c>
      <c r="AJ31" s="192"/>
      <c r="AK31" s="71"/>
      <c r="AL31" s="93">
        <f>IF(Validation!$H$3=1,0,IF(ISNUMBER(G31),0,1))</f>
        <v>0</v>
      </c>
      <c r="AM31" s="2004"/>
      <c r="AN31" s="2004"/>
      <c r="AO31" s="2004"/>
      <c r="AP31" s="2004"/>
      <c r="AQ31" s="2004"/>
      <c r="AR31" s="2004"/>
      <c r="AS31" s="2004"/>
      <c r="AT31" s="2004"/>
      <c r="AU31" s="2004"/>
      <c r="AV31" s="2004"/>
      <c r="AW31" s="2004"/>
      <c r="AX31" s="2004"/>
      <c r="AY31" s="2004"/>
      <c r="AZ31" s="2004"/>
      <c r="BA31" s="2004"/>
      <c r="BB31" s="2004"/>
      <c r="BC31" s="2004"/>
      <c r="BD31" s="2004"/>
      <c r="BE31" s="2004"/>
      <c r="BF31" s="2004"/>
      <c r="BG31" s="2004"/>
      <c r="BH31" s="2004"/>
      <c r="BI31" s="2004"/>
      <c r="BJ31" s="2004"/>
      <c r="BK31" s="2004"/>
      <c r="BL31" s="71"/>
      <c r="BM31" s="2004"/>
      <c r="BN31" s="94" t="s">
        <v>8336</v>
      </c>
      <c r="BO31" s="87" t="s">
        <v>8337</v>
      </c>
      <c r="BP31" s="95" t="s">
        <v>8338</v>
      </c>
      <c r="BQ31" s="95" t="s">
        <v>3101</v>
      </c>
      <c r="BR31" s="96">
        <v>3</v>
      </c>
      <c r="BS31" s="2915"/>
      <c r="BT31" s="2499"/>
      <c r="BU31" s="2499"/>
      <c r="BV31" s="2499"/>
      <c r="BW31" s="2499"/>
      <c r="BX31" s="2499"/>
      <c r="BY31" s="2499"/>
      <c r="BZ31" s="2499"/>
      <c r="CA31" s="2499"/>
      <c r="CB31" s="2499"/>
      <c r="CC31" s="2499"/>
      <c r="CD31" s="2499"/>
      <c r="CE31" s="2499"/>
      <c r="CF31" s="2499"/>
      <c r="CG31" s="2499"/>
      <c r="CH31" s="2499"/>
      <c r="CI31" s="2499"/>
      <c r="CJ31" s="2499"/>
      <c r="CK31" s="2499"/>
      <c r="CL31" s="2499"/>
      <c r="CM31" s="2499"/>
      <c r="CN31" s="2499"/>
      <c r="CO31" s="2499"/>
      <c r="CP31" s="2499"/>
      <c r="CQ31" s="2499"/>
      <c r="CR31" s="2499"/>
    </row>
    <row r="32" spans="1:96" ht="15">
      <c r="A32" s="1255"/>
      <c r="B32" s="94" t="s">
        <v>8339</v>
      </c>
      <c r="C32" s="87" t="s">
        <v>8340</v>
      </c>
      <c r="D32" s="95"/>
      <c r="E32" s="95" t="s">
        <v>3101</v>
      </c>
      <c r="F32" s="96">
        <v>3</v>
      </c>
      <c r="G32" s="1278">
        <v>45.728999999999999</v>
      </c>
      <c r="H32" s="1190"/>
      <c r="I32" s="1190"/>
      <c r="J32" s="1190"/>
      <c r="K32" s="1190"/>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24"/>
      <c r="AH32" s="1190"/>
      <c r="AI32" s="897">
        <f t="shared" si="14"/>
        <v>0</v>
      </c>
      <c r="AJ32" s="192"/>
      <c r="AK32" s="71"/>
      <c r="AL32" s="93">
        <f>IF(Validation!$H$3=1,0,IF(ISNUMBER(G32),0,1))</f>
        <v>0</v>
      </c>
      <c r="AM32" s="2004"/>
      <c r="AN32" s="2004"/>
      <c r="AO32" s="2004"/>
      <c r="AP32" s="2004"/>
      <c r="AQ32" s="2004"/>
      <c r="AR32" s="2004"/>
      <c r="AS32" s="2004"/>
      <c r="AT32" s="2004"/>
      <c r="AU32" s="2004"/>
      <c r="AV32" s="2004"/>
      <c r="AW32" s="2004"/>
      <c r="AX32" s="2004"/>
      <c r="AY32" s="2004"/>
      <c r="AZ32" s="2004"/>
      <c r="BA32" s="2004"/>
      <c r="BB32" s="2004"/>
      <c r="BC32" s="2004"/>
      <c r="BD32" s="2004"/>
      <c r="BE32" s="2004"/>
      <c r="BF32" s="2004"/>
      <c r="BG32" s="2004"/>
      <c r="BH32" s="2004"/>
      <c r="BI32" s="2004"/>
      <c r="BJ32" s="2004"/>
      <c r="BK32" s="2004"/>
      <c r="BL32" s="71"/>
      <c r="BM32" s="2004"/>
      <c r="BN32" s="94" t="s">
        <v>8339</v>
      </c>
      <c r="BO32" s="87" t="s">
        <v>8340</v>
      </c>
      <c r="BP32" s="95" t="s">
        <v>8341</v>
      </c>
      <c r="BQ32" s="95" t="s">
        <v>3101</v>
      </c>
      <c r="BR32" s="96">
        <v>3</v>
      </c>
      <c r="BS32" s="2915"/>
      <c r="BT32" s="2499"/>
      <c r="BU32" s="2499"/>
      <c r="BV32" s="2499"/>
      <c r="BW32" s="2499"/>
      <c r="BX32" s="2499"/>
      <c r="BY32" s="2499"/>
      <c r="BZ32" s="2499"/>
      <c r="CA32" s="2499"/>
      <c r="CB32" s="2499"/>
      <c r="CC32" s="2499"/>
      <c r="CD32" s="2499"/>
      <c r="CE32" s="2499"/>
      <c r="CF32" s="2499"/>
      <c r="CG32" s="2499"/>
      <c r="CH32" s="2499"/>
      <c r="CI32" s="2499"/>
      <c r="CJ32" s="2499"/>
      <c r="CK32" s="2499"/>
      <c r="CL32" s="2499"/>
      <c r="CM32" s="2499"/>
      <c r="CN32" s="2499"/>
      <c r="CO32" s="2499"/>
      <c r="CP32" s="2499"/>
      <c r="CQ32" s="2499"/>
      <c r="CR32" s="2499"/>
    </row>
    <row r="33" spans="1:96" ht="15">
      <c r="A33" s="1255"/>
      <c r="B33" s="94" t="s">
        <v>8342</v>
      </c>
      <c r="C33" s="913" t="s">
        <v>8343</v>
      </c>
      <c r="D33" s="1268"/>
      <c r="E33" s="1268" t="s">
        <v>3101</v>
      </c>
      <c r="F33" s="1269">
        <v>3</v>
      </c>
      <c r="G33" s="1278">
        <v>0</v>
      </c>
      <c r="H33" s="1190"/>
      <c r="I33" s="1190"/>
      <c r="J33" s="1190"/>
      <c r="K33" s="1190"/>
      <c r="L33" s="1190"/>
      <c r="M33" s="1190"/>
      <c r="N33" s="1190"/>
      <c r="O33" s="1190"/>
      <c r="P33" s="1190"/>
      <c r="Q33" s="1190"/>
      <c r="R33" s="1190"/>
      <c r="S33" s="1190"/>
      <c r="T33" s="1190"/>
      <c r="U33" s="1190"/>
      <c r="V33" s="1190"/>
      <c r="W33" s="1190"/>
      <c r="X33" s="1190"/>
      <c r="Y33" s="1190"/>
      <c r="Z33" s="1190"/>
      <c r="AA33" s="1190"/>
      <c r="AB33" s="1190"/>
      <c r="AC33" s="1190"/>
      <c r="AD33" s="1190"/>
      <c r="AE33" s="1190"/>
      <c r="AF33" s="1190"/>
      <c r="AG33" s="1124"/>
      <c r="AH33" s="1190"/>
      <c r="AI33" s="897">
        <f t="shared" si="14"/>
        <v>0</v>
      </c>
      <c r="AJ33" s="192"/>
      <c r="AK33" s="71"/>
      <c r="AL33" s="93">
        <f>IF(Validation!$H$3=1,0,IF(ISNUMBER(G33),0,1))</f>
        <v>0</v>
      </c>
      <c r="AM33" s="2004"/>
      <c r="AN33" s="2004"/>
      <c r="AO33" s="2004"/>
      <c r="AP33" s="2004"/>
      <c r="AQ33" s="2004"/>
      <c r="AR33" s="2004"/>
      <c r="AS33" s="2004"/>
      <c r="AT33" s="2004"/>
      <c r="AU33" s="2004"/>
      <c r="AV33" s="2004"/>
      <c r="AW33" s="2004"/>
      <c r="AX33" s="2004"/>
      <c r="AY33" s="2004"/>
      <c r="AZ33" s="2004"/>
      <c r="BA33" s="2004"/>
      <c r="BB33" s="2004"/>
      <c r="BC33" s="2004"/>
      <c r="BD33" s="2004"/>
      <c r="BE33" s="2004"/>
      <c r="BF33" s="2004"/>
      <c r="BG33" s="2004"/>
      <c r="BH33" s="2004"/>
      <c r="BI33" s="2004"/>
      <c r="BJ33" s="2004"/>
      <c r="BK33" s="2004"/>
      <c r="BL33" s="71"/>
      <c r="BM33" s="2004"/>
      <c r="BN33" s="94" t="s">
        <v>8342</v>
      </c>
      <c r="BO33" s="913" t="s">
        <v>8343</v>
      </c>
      <c r="BP33" s="1268" t="s">
        <v>8344</v>
      </c>
      <c r="BQ33" s="1268" t="s">
        <v>3101</v>
      </c>
      <c r="BR33" s="1269">
        <v>3</v>
      </c>
      <c r="BS33" s="2915"/>
      <c r="BT33" s="2499"/>
      <c r="BU33" s="2499"/>
      <c r="BV33" s="2499"/>
      <c r="BW33" s="2499"/>
      <c r="BX33" s="2499"/>
      <c r="BY33" s="2499"/>
      <c r="BZ33" s="2499"/>
      <c r="CA33" s="2499"/>
      <c r="CB33" s="2499"/>
      <c r="CC33" s="2499"/>
      <c r="CD33" s="2499"/>
      <c r="CE33" s="2499"/>
      <c r="CF33" s="2499"/>
      <c r="CG33" s="2499"/>
      <c r="CH33" s="2499"/>
      <c r="CI33" s="2499"/>
      <c r="CJ33" s="2499"/>
      <c r="CK33" s="2499"/>
      <c r="CL33" s="2499"/>
      <c r="CM33" s="2499"/>
      <c r="CN33" s="2499"/>
      <c r="CO33" s="2499"/>
      <c r="CP33" s="2499"/>
      <c r="CQ33" s="2499"/>
      <c r="CR33" s="2499"/>
    </row>
    <row r="34" spans="1:96" ht="15">
      <c r="A34" s="1255"/>
      <c r="B34" s="94" t="s">
        <v>8345</v>
      </c>
      <c r="C34" s="87" t="s">
        <v>8346</v>
      </c>
      <c r="D34" s="95"/>
      <c r="E34" s="95" t="s">
        <v>3101</v>
      </c>
      <c r="F34" s="96">
        <v>3</v>
      </c>
      <c r="G34" s="1278">
        <v>0</v>
      </c>
      <c r="H34" s="1190"/>
      <c r="I34" s="1190"/>
      <c r="J34" s="1190"/>
      <c r="K34" s="1190"/>
      <c r="L34" s="1190"/>
      <c r="M34" s="1190"/>
      <c r="N34" s="1190"/>
      <c r="O34" s="1190"/>
      <c r="P34" s="1190"/>
      <c r="Q34" s="1190"/>
      <c r="R34" s="1190"/>
      <c r="S34" s="1190"/>
      <c r="T34" s="1190"/>
      <c r="U34" s="1190"/>
      <c r="V34" s="1190"/>
      <c r="W34" s="1190"/>
      <c r="X34" s="1190"/>
      <c r="Y34" s="1190"/>
      <c r="Z34" s="1190"/>
      <c r="AA34" s="1190"/>
      <c r="AB34" s="1190"/>
      <c r="AC34" s="1190"/>
      <c r="AD34" s="1190"/>
      <c r="AE34" s="1190"/>
      <c r="AF34" s="1190"/>
      <c r="AG34" s="1124"/>
      <c r="AH34" s="1190"/>
      <c r="AI34" s="897">
        <f t="shared" si="14"/>
        <v>0</v>
      </c>
      <c r="AJ34" s="192"/>
      <c r="AK34" s="71"/>
      <c r="AL34" s="93">
        <f>IF(Validation!$H$3=1,0,IF(ISNUMBER(G34),0,1))</f>
        <v>0</v>
      </c>
      <c r="AM34" s="2004"/>
      <c r="AN34" s="2004"/>
      <c r="AO34" s="2004"/>
      <c r="AP34" s="2004"/>
      <c r="AQ34" s="2004"/>
      <c r="AR34" s="2004"/>
      <c r="AS34" s="2004"/>
      <c r="AT34" s="2004"/>
      <c r="AU34" s="2004"/>
      <c r="AV34" s="2004"/>
      <c r="AW34" s="2004"/>
      <c r="AX34" s="2004"/>
      <c r="AY34" s="2004"/>
      <c r="AZ34" s="2004"/>
      <c r="BA34" s="2004"/>
      <c r="BB34" s="2004"/>
      <c r="BC34" s="2004"/>
      <c r="BD34" s="2004"/>
      <c r="BE34" s="2004"/>
      <c r="BF34" s="2004"/>
      <c r="BG34" s="2004"/>
      <c r="BH34" s="2004"/>
      <c r="BI34" s="2004"/>
      <c r="BJ34" s="2004"/>
      <c r="BK34" s="2004"/>
      <c r="BL34" s="71"/>
      <c r="BM34" s="2004"/>
      <c r="BN34" s="94" t="s">
        <v>8345</v>
      </c>
      <c r="BO34" s="87" t="s">
        <v>8346</v>
      </c>
      <c r="BP34" s="95" t="s">
        <v>8347</v>
      </c>
      <c r="BQ34" s="95" t="s">
        <v>3101</v>
      </c>
      <c r="BR34" s="96">
        <v>3</v>
      </c>
      <c r="BS34" s="2915"/>
      <c r="BT34" s="2499"/>
      <c r="BU34" s="2499"/>
      <c r="BV34" s="2499"/>
      <c r="BW34" s="2499"/>
      <c r="BX34" s="2499"/>
      <c r="BY34" s="2499"/>
      <c r="BZ34" s="2499"/>
      <c r="CA34" s="2499"/>
      <c r="CB34" s="2499"/>
      <c r="CC34" s="2499"/>
      <c r="CD34" s="2499"/>
      <c r="CE34" s="2499"/>
      <c r="CF34" s="2499"/>
      <c r="CG34" s="2499"/>
      <c r="CH34" s="2499"/>
      <c r="CI34" s="2499"/>
      <c r="CJ34" s="2499"/>
      <c r="CK34" s="2499"/>
      <c r="CL34" s="2499"/>
      <c r="CM34" s="2499"/>
      <c r="CN34" s="2499"/>
      <c r="CO34" s="2499"/>
      <c r="CP34" s="2499"/>
      <c r="CQ34" s="2499"/>
      <c r="CR34" s="2499"/>
    </row>
    <row r="35" spans="1:96" ht="15">
      <c r="A35" s="1255"/>
      <c r="B35" s="94" t="s">
        <v>8348</v>
      </c>
      <c r="C35" s="87" t="s">
        <v>8349</v>
      </c>
      <c r="D35" s="95"/>
      <c r="E35" s="95" t="s">
        <v>3101</v>
      </c>
      <c r="F35" s="96">
        <v>3</v>
      </c>
      <c r="G35" s="1278">
        <v>0</v>
      </c>
      <c r="H35" s="1190"/>
      <c r="I35" s="1190"/>
      <c r="J35" s="1190"/>
      <c r="K35" s="1190"/>
      <c r="L35" s="1190"/>
      <c r="M35" s="1190"/>
      <c r="N35" s="1190"/>
      <c r="O35" s="1190"/>
      <c r="P35" s="1190"/>
      <c r="Q35" s="1190"/>
      <c r="R35" s="1190"/>
      <c r="S35" s="1190"/>
      <c r="T35" s="1190"/>
      <c r="U35" s="1190"/>
      <c r="V35" s="1190"/>
      <c r="W35" s="1190"/>
      <c r="X35" s="1190"/>
      <c r="Y35" s="1190"/>
      <c r="Z35" s="1190"/>
      <c r="AA35" s="1190"/>
      <c r="AB35" s="1190"/>
      <c r="AC35" s="1190"/>
      <c r="AD35" s="1190"/>
      <c r="AE35" s="1190"/>
      <c r="AF35" s="1190"/>
      <c r="AG35" s="1124"/>
      <c r="AH35" s="1190"/>
      <c r="AI35" s="897">
        <f t="shared" si="14"/>
        <v>0</v>
      </c>
      <c r="AJ35" s="192"/>
      <c r="AK35" s="71"/>
      <c r="AL35" s="93">
        <f>IF(Validation!$H$3=1,0,IF(ISNUMBER(G35),0,1))</f>
        <v>0</v>
      </c>
      <c r="AM35" s="2004"/>
      <c r="AN35" s="2004"/>
      <c r="AO35" s="2004"/>
      <c r="AP35" s="2004"/>
      <c r="AQ35" s="2004"/>
      <c r="AR35" s="2004"/>
      <c r="AS35" s="2004"/>
      <c r="AT35" s="2004"/>
      <c r="AU35" s="2004"/>
      <c r="AV35" s="2004"/>
      <c r="AW35" s="2004"/>
      <c r="AX35" s="2004"/>
      <c r="AY35" s="2004"/>
      <c r="AZ35" s="2004"/>
      <c r="BA35" s="2004"/>
      <c r="BB35" s="2004"/>
      <c r="BC35" s="2004"/>
      <c r="BD35" s="2004"/>
      <c r="BE35" s="2004"/>
      <c r="BF35" s="2004"/>
      <c r="BG35" s="2004"/>
      <c r="BH35" s="2004"/>
      <c r="BI35" s="2004"/>
      <c r="BJ35" s="2004"/>
      <c r="BK35" s="2004"/>
      <c r="BL35" s="71"/>
      <c r="BM35" s="2004"/>
      <c r="BN35" s="94" t="s">
        <v>8348</v>
      </c>
      <c r="BO35" s="87" t="s">
        <v>8349</v>
      </c>
      <c r="BP35" s="95" t="s">
        <v>8350</v>
      </c>
      <c r="BQ35" s="95" t="s">
        <v>3101</v>
      </c>
      <c r="BR35" s="96">
        <v>3</v>
      </c>
      <c r="BS35" s="2915"/>
      <c r="BT35" s="2499"/>
      <c r="BU35" s="2499"/>
      <c r="BV35" s="2499"/>
      <c r="BW35" s="2499"/>
      <c r="BX35" s="2499"/>
      <c r="BY35" s="2499"/>
      <c r="BZ35" s="2499"/>
      <c r="CA35" s="2499"/>
      <c r="CB35" s="2499"/>
      <c r="CC35" s="2499"/>
      <c r="CD35" s="2499"/>
      <c r="CE35" s="2499"/>
      <c r="CF35" s="2499"/>
      <c r="CG35" s="2499"/>
      <c r="CH35" s="2499"/>
      <c r="CI35" s="2499"/>
      <c r="CJ35" s="2499"/>
      <c r="CK35" s="2499"/>
      <c r="CL35" s="2499"/>
      <c r="CM35" s="2499"/>
      <c r="CN35" s="2499"/>
      <c r="CO35" s="2499"/>
      <c r="CP35" s="2499"/>
      <c r="CQ35" s="2499"/>
      <c r="CR35" s="2499"/>
    </row>
    <row r="36" spans="1:96" ht="15">
      <c r="A36" s="1255"/>
      <c r="B36" s="94" t="s">
        <v>8351</v>
      </c>
      <c r="C36" s="87" t="s">
        <v>8352</v>
      </c>
      <c r="D36" s="95"/>
      <c r="E36" s="95" t="s">
        <v>3101</v>
      </c>
      <c r="F36" s="96">
        <v>3</v>
      </c>
      <c r="G36" s="1278">
        <v>154.88</v>
      </c>
      <c r="H36" s="1190"/>
      <c r="I36" s="1190"/>
      <c r="J36" s="1190"/>
      <c r="K36" s="1190"/>
      <c r="L36" s="1190"/>
      <c r="M36" s="1190"/>
      <c r="N36" s="1190"/>
      <c r="O36" s="1190"/>
      <c r="P36" s="1190"/>
      <c r="Q36" s="1190"/>
      <c r="R36" s="1190"/>
      <c r="S36" s="1190"/>
      <c r="T36" s="1190"/>
      <c r="U36" s="1190"/>
      <c r="V36" s="1190"/>
      <c r="W36" s="1190"/>
      <c r="X36" s="1190"/>
      <c r="Y36" s="1190"/>
      <c r="Z36" s="1190"/>
      <c r="AA36" s="1190"/>
      <c r="AB36" s="1190"/>
      <c r="AC36" s="1190"/>
      <c r="AD36" s="1190"/>
      <c r="AE36" s="1190"/>
      <c r="AF36" s="1190"/>
      <c r="AG36" s="1110"/>
      <c r="AH36" s="1190"/>
      <c r="AI36" s="897">
        <f t="shared" si="14"/>
        <v>0</v>
      </c>
      <c r="AJ36" s="192"/>
      <c r="AK36" s="71"/>
      <c r="AL36" s="93">
        <f>IF(Validation!$H$3=1,0,IF(ISNUMBER(G36),0,1))</f>
        <v>0</v>
      </c>
      <c r="AM36" s="2004"/>
      <c r="AN36" s="2004"/>
      <c r="AO36" s="2004"/>
      <c r="AP36" s="2004"/>
      <c r="AQ36" s="2004"/>
      <c r="AR36" s="2004"/>
      <c r="AS36" s="2004"/>
      <c r="AT36" s="2004"/>
      <c r="AU36" s="2004"/>
      <c r="AV36" s="2004"/>
      <c r="AW36" s="2004"/>
      <c r="AX36" s="2004"/>
      <c r="AY36" s="2004"/>
      <c r="AZ36" s="2004"/>
      <c r="BA36" s="2004"/>
      <c r="BB36" s="2004"/>
      <c r="BC36" s="2004"/>
      <c r="BD36" s="2004"/>
      <c r="BE36" s="2004"/>
      <c r="BF36" s="2004"/>
      <c r="BG36" s="2004"/>
      <c r="BH36" s="2004"/>
      <c r="BI36" s="2004"/>
      <c r="BJ36" s="2004"/>
      <c r="BK36" s="2004"/>
      <c r="BL36" s="71"/>
      <c r="BM36" s="2004"/>
      <c r="BN36" s="94" t="s">
        <v>8351</v>
      </c>
      <c r="BO36" s="87" t="s">
        <v>8352</v>
      </c>
      <c r="BP36" s="95" t="s">
        <v>8353</v>
      </c>
      <c r="BQ36" s="95" t="s">
        <v>3101</v>
      </c>
      <c r="BR36" s="96">
        <v>3</v>
      </c>
      <c r="BS36" s="2915"/>
      <c r="BT36" s="2499"/>
      <c r="BU36" s="2499"/>
      <c r="BV36" s="2499"/>
      <c r="BW36" s="2499"/>
      <c r="BX36" s="2499"/>
      <c r="BY36" s="2499"/>
      <c r="BZ36" s="2499"/>
      <c r="CA36" s="2499"/>
      <c r="CB36" s="2499"/>
      <c r="CC36" s="2499"/>
      <c r="CD36" s="2499"/>
      <c r="CE36" s="2499"/>
      <c r="CF36" s="2499"/>
      <c r="CG36" s="2499"/>
      <c r="CH36" s="2499"/>
      <c r="CI36" s="2499"/>
      <c r="CJ36" s="2499"/>
      <c r="CK36" s="2499"/>
      <c r="CL36" s="2499"/>
      <c r="CM36" s="2499"/>
      <c r="CN36" s="2499"/>
      <c r="CO36" s="2499"/>
      <c r="CP36" s="2499"/>
      <c r="CQ36" s="2499"/>
      <c r="CR36" s="2499"/>
    </row>
    <row r="37" spans="1:96" ht="15">
      <c r="A37" s="1255"/>
      <c r="B37" s="94" t="s">
        <v>8354</v>
      </c>
      <c r="C37" s="87" t="s">
        <v>8355</v>
      </c>
      <c r="D37" s="95"/>
      <c r="E37" s="95" t="s">
        <v>3101</v>
      </c>
      <c r="F37" s="96">
        <v>3</v>
      </c>
      <c r="G37" s="1278">
        <v>0</v>
      </c>
      <c r="H37" s="1190"/>
      <c r="I37" s="1190"/>
      <c r="J37" s="1190"/>
      <c r="K37" s="1190"/>
      <c r="L37" s="1190"/>
      <c r="M37" s="1190"/>
      <c r="N37" s="1190"/>
      <c r="O37" s="1190"/>
      <c r="P37" s="1190"/>
      <c r="Q37" s="1190"/>
      <c r="R37" s="1190"/>
      <c r="S37" s="1190"/>
      <c r="T37" s="1190"/>
      <c r="U37" s="1190"/>
      <c r="V37" s="1190"/>
      <c r="W37" s="1190"/>
      <c r="X37" s="1190"/>
      <c r="Y37" s="1190"/>
      <c r="Z37" s="1190"/>
      <c r="AA37" s="1190"/>
      <c r="AB37" s="1190"/>
      <c r="AC37" s="1190"/>
      <c r="AD37" s="1190"/>
      <c r="AE37" s="1190"/>
      <c r="AF37" s="1190"/>
      <c r="AG37" s="1110"/>
      <c r="AH37" s="1190"/>
      <c r="AI37" s="897">
        <f t="shared" si="14"/>
        <v>0</v>
      </c>
      <c r="AJ37" s="192"/>
      <c r="AK37" s="71"/>
      <c r="AL37" s="93">
        <f>IF(Validation!$H$3=1,0,IF(ISNUMBER(G37),0,1))</f>
        <v>0</v>
      </c>
      <c r="AM37" s="2004"/>
      <c r="AN37" s="2004"/>
      <c r="AO37" s="2004"/>
      <c r="AP37" s="2004"/>
      <c r="AQ37" s="2004"/>
      <c r="AR37" s="2004"/>
      <c r="AS37" s="2004"/>
      <c r="AT37" s="2004"/>
      <c r="AU37" s="2004"/>
      <c r="AV37" s="2004"/>
      <c r="AW37" s="2004"/>
      <c r="AX37" s="2004"/>
      <c r="AY37" s="2004"/>
      <c r="AZ37" s="2004"/>
      <c r="BA37" s="2004"/>
      <c r="BB37" s="2004"/>
      <c r="BC37" s="2004"/>
      <c r="BD37" s="2004"/>
      <c r="BE37" s="2004"/>
      <c r="BF37" s="2004"/>
      <c r="BG37" s="2004"/>
      <c r="BH37" s="2004"/>
      <c r="BI37" s="2004"/>
      <c r="BJ37" s="2004"/>
      <c r="BK37" s="2004"/>
      <c r="BL37" s="71"/>
      <c r="BM37" s="2004"/>
      <c r="BN37" s="94" t="s">
        <v>8354</v>
      </c>
      <c r="BO37" s="87" t="s">
        <v>8355</v>
      </c>
      <c r="BP37" s="95" t="s">
        <v>8356</v>
      </c>
      <c r="BQ37" s="95" t="s">
        <v>3101</v>
      </c>
      <c r="BR37" s="96">
        <v>3</v>
      </c>
      <c r="BS37" s="2915"/>
      <c r="BT37" s="2499"/>
      <c r="BU37" s="2499"/>
      <c r="BV37" s="2499"/>
      <c r="BW37" s="2499"/>
      <c r="BX37" s="2499"/>
      <c r="BY37" s="2499"/>
      <c r="BZ37" s="2499"/>
      <c r="CA37" s="2499"/>
      <c r="CB37" s="2499"/>
      <c r="CC37" s="2499"/>
      <c r="CD37" s="2499"/>
      <c r="CE37" s="2499"/>
      <c r="CF37" s="2499"/>
      <c r="CG37" s="2499"/>
      <c r="CH37" s="2499"/>
      <c r="CI37" s="2499"/>
      <c r="CJ37" s="2499"/>
      <c r="CK37" s="2499"/>
      <c r="CL37" s="2499"/>
      <c r="CM37" s="2499"/>
      <c r="CN37" s="2499"/>
      <c r="CO37" s="2499"/>
      <c r="CP37" s="2499"/>
      <c r="CQ37" s="2499"/>
      <c r="CR37" s="2499"/>
    </row>
    <row r="38" spans="1:96" ht="15.75" thickBot="1">
      <c r="A38" s="1255"/>
      <c r="B38" s="101" t="s">
        <v>8357</v>
      </c>
      <c r="C38" s="102" t="s">
        <v>8358</v>
      </c>
      <c r="D38" s="103"/>
      <c r="E38" s="103" t="s">
        <v>3101</v>
      </c>
      <c r="F38" s="100">
        <v>3</v>
      </c>
      <c r="G38" s="1279">
        <v>0</v>
      </c>
      <c r="H38" s="1190"/>
      <c r="I38" s="1190"/>
      <c r="J38" s="1190"/>
      <c r="K38" s="1190"/>
      <c r="L38" s="1190"/>
      <c r="M38" s="1190"/>
      <c r="N38" s="1190"/>
      <c r="O38" s="1190"/>
      <c r="P38" s="1190"/>
      <c r="Q38" s="1190"/>
      <c r="R38" s="1190"/>
      <c r="S38" s="1190"/>
      <c r="T38" s="1190"/>
      <c r="U38" s="1190"/>
      <c r="V38" s="1190"/>
      <c r="W38" s="1190"/>
      <c r="X38" s="1190"/>
      <c r="Y38" s="1190"/>
      <c r="Z38" s="1190"/>
      <c r="AA38" s="1190"/>
      <c r="AB38" s="1190"/>
      <c r="AC38" s="1190"/>
      <c r="AD38" s="1190"/>
      <c r="AE38" s="1190"/>
      <c r="AF38" s="1190"/>
      <c r="AG38" s="1118"/>
      <c r="AH38" s="1190"/>
      <c r="AI38" s="897">
        <f t="shared" si="14"/>
        <v>0</v>
      </c>
      <c r="AJ38" s="192"/>
      <c r="AK38" s="71"/>
      <c r="AL38" s="93">
        <f>IF(Validation!$H$3=1,0,IF(ISNUMBER(G38),0,1))</f>
        <v>0</v>
      </c>
      <c r="AM38" s="2004"/>
      <c r="AN38" s="2004"/>
      <c r="AO38" s="2004"/>
      <c r="AP38" s="2004"/>
      <c r="AQ38" s="2004"/>
      <c r="AR38" s="2004"/>
      <c r="AS38" s="2004"/>
      <c r="AT38" s="2004"/>
      <c r="AU38" s="2004"/>
      <c r="AV38" s="2004"/>
      <c r="AW38" s="2004"/>
      <c r="AX38" s="2004"/>
      <c r="AY38" s="2004"/>
      <c r="AZ38" s="2004"/>
      <c r="BA38" s="2004"/>
      <c r="BB38" s="2004"/>
      <c r="BC38" s="2004"/>
      <c r="BD38" s="2004"/>
      <c r="BE38" s="2004"/>
      <c r="BF38" s="2004"/>
      <c r="BG38" s="2004"/>
      <c r="BH38" s="2004"/>
      <c r="BI38" s="2004"/>
      <c r="BJ38" s="2004"/>
      <c r="BK38" s="2004"/>
      <c r="BL38" s="71"/>
      <c r="BM38" s="2004"/>
      <c r="BN38" s="101" t="s">
        <v>8357</v>
      </c>
      <c r="BO38" s="102" t="s">
        <v>8358</v>
      </c>
      <c r="BP38" s="103" t="s">
        <v>8359</v>
      </c>
      <c r="BQ38" s="103" t="s">
        <v>3101</v>
      </c>
      <c r="BR38" s="100">
        <v>3</v>
      </c>
      <c r="BS38" s="2916"/>
      <c r="BT38" s="2499"/>
      <c r="BU38" s="2499"/>
      <c r="BV38" s="2499"/>
      <c r="BW38" s="2499"/>
      <c r="BX38" s="2499"/>
      <c r="BY38" s="2499"/>
      <c r="BZ38" s="2499"/>
      <c r="CA38" s="2499"/>
      <c r="CB38" s="2499"/>
      <c r="CC38" s="2499"/>
      <c r="CD38" s="2499"/>
      <c r="CE38" s="2499"/>
      <c r="CF38" s="2499"/>
      <c r="CG38" s="2499"/>
      <c r="CH38" s="2499"/>
      <c r="CI38" s="2499"/>
      <c r="CJ38" s="2499"/>
      <c r="CK38" s="2499"/>
      <c r="CL38" s="2499"/>
      <c r="CM38" s="2499"/>
      <c r="CN38" s="2499"/>
      <c r="CO38" s="2499"/>
      <c r="CP38" s="2499"/>
      <c r="CQ38" s="2499"/>
      <c r="CR38" s="2499"/>
    </row>
    <row r="39" spans="1:96" ht="15">
      <c r="A39" s="1255"/>
      <c r="B39" s="1190"/>
      <c r="C39" s="1190"/>
      <c r="D39" s="1197"/>
      <c r="E39" s="1190"/>
      <c r="F39" s="1252"/>
      <c r="G39" s="1252"/>
      <c r="H39" s="1190"/>
      <c r="I39" s="1190"/>
      <c r="J39" s="1190"/>
      <c r="K39" s="1190"/>
      <c r="L39" s="1190"/>
      <c r="M39" s="1190"/>
      <c r="N39" s="1190"/>
      <c r="O39" s="1190"/>
      <c r="P39" s="1190"/>
      <c r="Q39" s="1190"/>
      <c r="R39" s="1190"/>
      <c r="S39" s="1190"/>
      <c r="T39" s="1190"/>
      <c r="U39" s="1190"/>
      <c r="V39" s="1190"/>
      <c r="W39" s="1190"/>
      <c r="X39" s="1190"/>
      <c r="Y39" s="1190"/>
      <c r="Z39" s="1190"/>
      <c r="AA39" s="1190"/>
      <c r="AB39" s="1190"/>
      <c r="AC39" s="1190"/>
      <c r="AD39" s="1190"/>
      <c r="AE39" s="1190"/>
      <c r="AF39" s="1190"/>
      <c r="AG39" s="1190"/>
      <c r="AH39" s="1190"/>
      <c r="AI39" s="1190"/>
      <c r="AJ39" s="2004"/>
      <c r="AL39" s="2004"/>
      <c r="AM39" s="2004"/>
      <c r="AN39" s="2004"/>
      <c r="AO39" s="2004"/>
      <c r="AP39" s="2004"/>
      <c r="AQ39" s="2004"/>
      <c r="AR39" s="2004"/>
      <c r="AS39" s="2004"/>
      <c r="AT39" s="2004"/>
      <c r="AU39" s="2004"/>
      <c r="AV39" s="2004"/>
      <c r="AW39" s="2004"/>
      <c r="AX39" s="2004"/>
      <c r="AY39" s="2004"/>
      <c r="AZ39" s="2004"/>
      <c r="BA39" s="2004"/>
      <c r="BB39" s="2004"/>
      <c r="BC39" s="2004"/>
      <c r="BD39" s="2004"/>
      <c r="BE39" s="2004"/>
      <c r="BF39" s="2004"/>
      <c r="BG39" s="2004"/>
      <c r="BH39" s="2004"/>
      <c r="BI39" s="2004"/>
      <c r="BJ39" s="2004"/>
      <c r="BK39" s="2004"/>
      <c r="BM39" s="2004"/>
      <c r="BN39" s="479"/>
      <c r="BO39" s="479"/>
      <c r="BP39" s="479"/>
      <c r="BQ39" s="479"/>
      <c r="BR39" s="479"/>
      <c r="BS39" s="479"/>
      <c r="BT39" s="479"/>
      <c r="BU39" s="479"/>
      <c r="BV39" s="479"/>
      <c r="BW39" s="479"/>
      <c r="BX39" s="479"/>
      <c r="BY39" s="479"/>
      <c r="BZ39" s="479"/>
      <c r="CA39" s="479"/>
      <c r="CB39" s="479"/>
      <c r="CC39" s="479"/>
      <c r="CD39" s="479"/>
      <c r="CE39" s="479"/>
      <c r="CF39" s="479"/>
      <c r="CG39" s="479"/>
      <c r="CH39" s="479"/>
      <c r="CI39" s="479"/>
      <c r="CJ39" s="479"/>
      <c r="CK39" s="479"/>
      <c r="CL39" s="479"/>
      <c r="CM39" s="479"/>
      <c r="CN39" s="479"/>
      <c r="CO39" s="479"/>
      <c r="CP39" s="479"/>
      <c r="CQ39" s="479"/>
      <c r="CR39" s="479"/>
    </row>
    <row r="40" spans="1:96" ht="15.75">
      <c r="A40" s="995"/>
      <c r="B40" s="1280" t="s">
        <v>243</v>
      </c>
      <c r="C40" s="3027"/>
      <c r="D40" s="995"/>
      <c r="E40" s="995"/>
      <c r="F40" s="995"/>
      <c r="G40" s="995"/>
      <c r="H40" s="995"/>
      <c r="I40" s="995"/>
      <c r="J40" s="995"/>
      <c r="K40" s="995"/>
      <c r="L40" s="995"/>
      <c r="M40" s="995"/>
      <c r="N40" s="995"/>
      <c r="O40" s="2004"/>
      <c r="P40" s="2004"/>
      <c r="Q40" s="2004"/>
      <c r="R40" s="2004"/>
      <c r="S40" s="2004"/>
      <c r="T40" s="2004"/>
      <c r="U40" s="2004"/>
      <c r="V40" s="2004"/>
      <c r="W40" s="2004"/>
      <c r="X40" s="2004"/>
      <c r="Y40" s="2004"/>
      <c r="Z40" s="2004"/>
      <c r="AA40" s="2004"/>
      <c r="AB40" s="2004"/>
      <c r="AC40" s="2004"/>
      <c r="AD40" s="2004"/>
      <c r="AE40" s="2004"/>
      <c r="AF40" s="2004"/>
      <c r="AG40" s="2004"/>
      <c r="AH40" s="2004"/>
      <c r="AI40" s="2004"/>
      <c r="AJ40" s="2004"/>
      <c r="AL40" s="2004"/>
      <c r="AM40" s="2004"/>
      <c r="AN40" s="2004"/>
      <c r="AO40" s="2004"/>
      <c r="AP40" s="2004"/>
      <c r="AQ40" s="2004"/>
      <c r="AR40" s="2004"/>
      <c r="AS40" s="2004"/>
      <c r="AT40" s="2004"/>
      <c r="AU40" s="2004"/>
      <c r="AV40" s="2004"/>
      <c r="AW40" s="2004"/>
      <c r="AX40" s="2004"/>
      <c r="AY40" s="2004"/>
      <c r="AZ40" s="2004"/>
      <c r="BA40" s="2004"/>
      <c r="BB40" s="2004"/>
      <c r="BC40" s="2004"/>
      <c r="BD40" s="2004"/>
      <c r="BE40" s="2004"/>
      <c r="BF40" s="2004"/>
      <c r="BG40" s="2004"/>
      <c r="BH40" s="2004"/>
      <c r="BI40" s="2004"/>
      <c r="BJ40" s="2004"/>
      <c r="BK40" s="2004"/>
      <c r="BM40" s="2004"/>
      <c r="BN40" s="479"/>
      <c r="BO40" s="479"/>
      <c r="BP40" s="479"/>
      <c r="BQ40" s="479"/>
      <c r="BR40" s="479"/>
      <c r="BS40" s="479"/>
      <c r="BT40" s="479"/>
      <c r="BU40" s="479"/>
      <c r="BV40" s="479"/>
      <c r="BW40" s="479"/>
      <c r="BX40" s="479"/>
      <c r="BY40" s="479"/>
      <c r="BZ40" s="479"/>
      <c r="CA40" s="479"/>
      <c r="CB40" s="479"/>
      <c r="CC40" s="479"/>
      <c r="CD40" s="479"/>
      <c r="CE40" s="479"/>
      <c r="CF40" s="479"/>
      <c r="CG40" s="479"/>
      <c r="CH40" s="479"/>
      <c r="CI40" s="479"/>
      <c r="CJ40" s="479"/>
      <c r="CK40" s="479"/>
      <c r="CL40" s="479"/>
      <c r="CM40" s="479"/>
      <c r="CN40" s="479"/>
      <c r="CO40" s="479"/>
      <c r="CP40" s="479"/>
      <c r="CQ40" s="479"/>
      <c r="CR40" s="479"/>
    </row>
    <row r="41" spans="1:96" ht="15.75">
      <c r="A41" s="995"/>
      <c r="B41" s="1024"/>
      <c r="C41" s="1031"/>
      <c r="D41" s="995"/>
      <c r="E41" s="995"/>
      <c r="F41" s="995"/>
      <c r="G41" s="995"/>
      <c r="H41" s="995"/>
      <c r="I41" s="995"/>
      <c r="J41" s="995"/>
      <c r="K41" s="995"/>
      <c r="L41" s="995"/>
      <c r="M41" s="995"/>
      <c r="N41" s="995"/>
      <c r="O41" s="2004"/>
      <c r="P41" s="2004"/>
      <c r="Q41" s="2004"/>
      <c r="R41" s="2004"/>
      <c r="S41" s="2004"/>
      <c r="T41" s="2004"/>
      <c r="U41" s="2004"/>
      <c r="V41" s="2004"/>
      <c r="W41" s="2004"/>
      <c r="X41" s="2004"/>
      <c r="Y41" s="2004"/>
      <c r="Z41" s="2004"/>
      <c r="AA41" s="2004"/>
      <c r="AB41" s="2004"/>
      <c r="AC41" s="2004"/>
      <c r="AD41" s="2004"/>
      <c r="AE41" s="2004"/>
      <c r="AF41" s="2004"/>
      <c r="AG41" s="2004"/>
      <c r="AH41" s="2004"/>
      <c r="AI41" s="2004"/>
      <c r="AJ41" s="2004"/>
      <c r="AL41" s="2004"/>
      <c r="AM41" s="2004"/>
      <c r="AN41" s="2004"/>
      <c r="AO41" s="2004"/>
      <c r="AP41" s="2004"/>
      <c r="AQ41" s="2004"/>
      <c r="AR41" s="2004"/>
      <c r="AS41" s="2004"/>
      <c r="AT41" s="2004"/>
      <c r="AU41" s="2004"/>
      <c r="AV41" s="2004"/>
      <c r="AW41" s="2004"/>
      <c r="AX41" s="2004"/>
      <c r="AY41" s="2004"/>
      <c r="AZ41" s="2004"/>
      <c r="BA41" s="2004"/>
      <c r="BB41" s="2004"/>
      <c r="BC41" s="2004"/>
      <c r="BD41" s="2004"/>
      <c r="BE41" s="2004"/>
      <c r="BF41" s="2004"/>
      <c r="BG41" s="2004"/>
      <c r="BH41" s="2004"/>
      <c r="BI41" s="2004"/>
      <c r="BJ41" s="2004"/>
      <c r="BK41" s="2004"/>
      <c r="BM41" s="2004"/>
      <c r="BN41" s="2004"/>
      <c r="BO41" s="2004"/>
      <c r="BP41" s="2004"/>
      <c r="BQ41" s="2004"/>
      <c r="BR41" s="2004"/>
      <c r="BS41" s="2004"/>
      <c r="BT41" s="2004"/>
      <c r="BU41" s="2004"/>
      <c r="BV41" s="2004"/>
      <c r="BW41" s="2004"/>
      <c r="BX41" s="2004"/>
      <c r="BY41" s="2004"/>
      <c r="BZ41" s="2004"/>
      <c r="CA41" s="2004"/>
      <c r="CB41" s="2004"/>
      <c r="CC41" s="2004"/>
      <c r="CD41" s="2004"/>
      <c r="CE41" s="2004"/>
      <c r="CF41" s="2004"/>
      <c r="CG41" s="2004"/>
      <c r="CH41" s="2004"/>
      <c r="CI41" s="2004"/>
      <c r="CJ41" s="2004"/>
      <c r="CK41" s="2004"/>
      <c r="CL41" s="2004"/>
      <c r="CM41" s="2004"/>
      <c r="CN41" s="2004"/>
      <c r="CO41" s="2004"/>
      <c r="CP41" s="2004"/>
      <c r="CQ41" s="2004"/>
      <c r="CR41" s="2004"/>
    </row>
    <row r="42" spans="1:96" ht="15.75">
      <c r="A42" s="995"/>
      <c r="B42" s="958"/>
      <c r="C42" s="1281" t="s">
        <v>190</v>
      </c>
      <c r="D42" s="995"/>
      <c r="E42" s="995"/>
      <c r="F42" s="995"/>
      <c r="G42" s="3616"/>
      <c r="H42" s="3617"/>
      <c r="I42" s="3617"/>
      <c r="J42" s="3617"/>
      <c r="K42" s="3617"/>
      <c r="L42" s="3617"/>
      <c r="M42" s="3617"/>
      <c r="N42" s="3617"/>
      <c r="O42" s="2004"/>
      <c r="P42" s="2004"/>
      <c r="Q42" s="2004"/>
      <c r="R42" s="2004"/>
      <c r="S42" s="2004"/>
      <c r="T42" s="2004"/>
      <c r="U42" s="2004"/>
      <c r="V42" s="2004"/>
      <c r="W42" s="2004"/>
      <c r="X42" s="2004"/>
      <c r="Y42" s="2004"/>
      <c r="Z42" s="2004"/>
      <c r="AA42" s="2004"/>
      <c r="AB42" s="2004"/>
      <c r="AC42" s="2004"/>
      <c r="AD42" s="2004"/>
      <c r="AE42" s="2004"/>
      <c r="AF42" s="2004"/>
      <c r="AG42" s="2004"/>
      <c r="AH42" s="2004"/>
      <c r="AI42" s="2004"/>
      <c r="AJ42" s="2004"/>
      <c r="AL42" s="2004"/>
      <c r="AM42" s="2004"/>
      <c r="AN42" s="2004"/>
      <c r="AO42" s="2004"/>
      <c r="AP42" s="2004"/>
      <c r="AQ42" s="2004"/>
      <c r="AR42" s="2004"/>
      <c r="AS42" s="2004"/>
      <c r="AT42" s="2004"/>
      <c r="AU42" s="2004"/>
      <c r="AV42" s="2004"/>
      <c r="AW42" s="2004"/>
      <c r="AX42" s="2004"/>
      <c r="AY42" s="2004"/>
      <c r="AZ42" s="2004"/>
      <c r="BA42" s="2004"/>
      <c r="BB42" s="2004"/>
      <c r="BC42" s="2004"/>
      <c r="BD42" s="2004"/>
      <c r="BE42" s="2004"/>
      <c r="BF42" s="2004"/>
      <c r="BG42" s="2004"/>
      <c r="BH42" s="2004"/>
      <c r="BI42" s="2004"/>
      <c r="BJ42" s="2004"/>
      <c r="BK42" s="2004"/>
      <c r="BM42" s="2004"/>
      <c r="BN42" s="2004"/>
      <c r="BO42" s="2004"/>
      <c r="BP42" s="2004"/>
      <c r="BQ42" s="2004"/>
      <c r="BR42" s="2004"/>
      <c r="BS42" s="2004"/>
      <c r="BT42" s="2004"/>
      <c r="BU42" s="2004"/>
      <c r="BV42" s="2004"/>
      <c r="BW42" s="2004"/>
      <c r="BX42" s="2004"/>
      <c r="BY42" s="2004"/>
      <c r="BZ42" s="2004"/>
      <c r="CA42" s="2004"/>
      <c r="CB42" s="2004"/>
      <c r="CC42" s="2004"/>
      <c r="CD42" s="2004"/>
      <c r="CE42" s="2004"/>
      <c r="CF42" s="2004"/>
      <c r="CG42" s="2004"/>
      <c r="CH42" s="2004"/>
      <c r="CI42" s="2004"/>
      <c r="CJ42" s="2004"/>
      <c r="CK42" s="2004"/>
      <c r="CL42" s="2004"/>
      <c r="CM42" s="2004"/>
      <c r="CN42" s="2004"/>
      <c r="CO42" s="2004"/>
      <c r="CP42" s="2004"/>
      <c r="CQ42" s="2004"/>
      <c r="CR42" s="2004"/>
    </row>
    <row r="43" spans="1:96" ht="15.75">
      <c r="A43" s="995"/>
      <c r="B43" s="956"/>
      <c r="C43" s="957"/>
      <c r="D43" s="995"/>
      <c r="E43" s="995"/>
      <c r="F43" s="995"/>
      <c r="G43" s="3616"/>
      <c r="H43" s="3617"/>
      <c r="I43" s="3617"/>
      <c r="J43" s="3617"/>
      <c r="K43" s="3617"/>
      <c r="L43" s="3617"/>
      <c r="M43" s="3617"/>
      <c r="N43" s="3617"/>
      <c r="O43" s="2004"/>
      <c r="P43" s="2004"/>
      <c r="Q43" s="2004"/>
      <c r="R43" s="2004"/>
      <c r="S43" s="2004"/>
      <c r="T43" s="2004"/>
      <c r="U43" s="2004"/>
      <c r="V43" s="2004"/>
      <c r="W43" s="2004"/>
      <c r="X43" s="2004"/>
      <c r="Y43" s="2004"/>
      <c r="Z43" s="2004"/>
      <c r="AA43" s="2004"/>
      <c r="AB43" s="2004"/>
      <c r="AC43" s="2004"/>
      <c r="AD43" s="2004"/>
      <c r="AE43" s="2004"/>
      <c r="AF43" s="2004"/>
      <c r="AG43" s="2004"/>
      <c r="AH43" s="2004"/>
      <c r="AI43" s="2004"/>
      <c r="AJ43" s="2004"/>
      <c r="AL43" s="2004"/>
      <c r="AM43" s="2004"/>
      <c r="AN43" s="2004"/>
      <c r="AO43" s="2004"/>
      <c r="AP43" s="2004"/>
      <c r="AQ43" s="2004"/>
      <c r="AR43" s="2004"/>
      <c r="AS43" s="2004"/>
      <c r="AT43" s="2004"/>
      <c r="AU43" s="2004"/>
      <c r="AV43" s="2004"/>
      <c r="AW43" s="2004"/>
      <c r="AX43" s="2004"/>
      <c r="AY43" s="2004"/>
      <c r="AZ43" s="2004"/>
      <c r="BA43" s="2004"/>
      <c r="BB43" s="2004"/>
      <c r="BC43" s="2004"/>
      <c r="BD43" s="2004"/>
      <c r="BE43" s="2004"/>
      <c r="BF43" s="2004"/>
      <c r="BG43" s="2004"/>
      <c r="BH43" s="2004"/>
      <c r="BI43" s="2004"/>
      <c r="BJ43" s="2004"/>
      <c r="BK43" s="2004"/>
      <c r="BM43" s="2004"/>
      <c r="BN43" s="2004"/>
      <c r="BO43" s="2004"/>
      <c r="BP43" s="2004"/>
      <c r="BQ43" s="2004"/>
      <c r="BR43" s="2004"/>
      <c r="BS43" s="2004"/>
      <c r="BT43" s="2004"/>
      <c r="BU43" s="2004"/>
      <c r="BV43" s="2004"/>
      <c r="BW43" s="2004"/>
      <c r="BX43" s="2004"/>
      <c r="BY43" s="2004"/>
      <c r="BZ43" s="2004"/>
      <c r="CA43" s="2004"/>
      <c r="CB43" s="2004"/>
      <c r="CC43" s="2004"/>
      <c r="CD43" s="2004"/>
      <c r="CE43" s="2004"/>
      <c r="CF43" s="2004"/>
      <c r="CG43" s="2004"/>
      <c r="CH43" s="2004"/>
      <c r="CI43" s="2004"/>
      <c r="CJ43" s="2004"/>
      <c r="CK43" s="2004"/>
      <c r="CL43" s="2004"/>
      <c r="CM43" s="2004"/>
      <c r="CN43" s="2004"/>
      <c r="CO43" s="2004"/>
      <c r="CP43" s="2004"/>
      <c r="CQ43" s="2004"/>
      <c r="CR43" s="2004"/>
    </row>
    <row r="44" spans="1:96" ht="15.75">
      <c r="A44" s="995"/>
      <c r="B44" s="960"/>
      <c r="C44" s="1249" t="s">
        <v>5294</v>
      </c>
      <c r="D44" s="995"/>
      <c r="E44" s="995"/>
      <c r="F44" s="995"/>
      <c r="G44" s="995"/>
      <c r="H44" s="995"/>
      <c r="I44" s="995"/>
      <c r="J44" s="995"/>
      <c r="K44" s="995"/>
      <c r="L44" s="995"/>
      <c r="M44" s="995"/>
      <c r="N44" s="995"/>
      <c r="O44" s="2004"/>
      <c r="P44" s="2004"/>
      <c r="Q44" s="2004"/>
      <c r="R44" s="2004"/>
      <c r="S44" s="2004"/>
      <c r="T44" s="2004"/>
      <c r="U44" s="2004"/>
      <c r="V44" s="2004"/>
      <c r="W44" s="2004"/>
      <c r="X44" s="2004"/>
      <c r="Y44" s="2004"/>
      <c r="Z44" s="2004"/>
      <c r="AA44" s="2004"/>
      <c r="AB44" s="2004"/>
      <c r="AC44" s="2004"/>
      <c r="AD44" s="2004"/>
      <c r="AE44" s="2004"/>
      <c r="AF44" s="2004"/>
      <c r="AG44" s="2004"/>
      <c r="AH44" s="2004"/>
      <c r="AI44" s="2004"/>
      <c r="AJ44" s="2004"/>
      <c r="AL44" s="2004"/>
      <c r="AM44" s="2004"/>
      <c r="AN44" s="2004"/>
      <c r="AO44" s="2004"/>
      <c r="AP44" s="2004"/>
      <c r="AQ44" s="2004"/>
      <c r="AR44" s="2004"/>
      <c r="AS44" s="2004"/>
      <c r="AT44" s="2004"/>
      <c r="AU44" s="2004"/>
      <c r="AV44" s="2004"/>
      <c r="AW44" s="2004"/>
      <c r="AX44" s="2004"/>
      <c r="AY44" s="2004"/>
      <c r="AZ44" s="2004"/>
      <c r="BA44" s="2004"/>
      <c r="BB44" s="2004"/>
      <c r="BC44" s="2004"/>
      <c r="BD44" s="2004"/>
      <c r="BE44" s="2004"/>
      <c r="BF44" s="2004"/>
      <c r="BG44" s="2004"/>
      <c r="BH44" s="2004"/>
      <c r="BI44" s="2004"/>
      <c r="BJ44" s="2004"/>
      <c r="BK44" s="2004"/>
      <c r="BM44" s="2004"/>
      <c r="BN44" s="2004"/>
      <c r="BO44" s="2004"/>
      <c r="BP44" s="2004"/>
      <c r="BQ44" s="2004"/>
      <c r="BR44" s="2004"/>
      <c r="BS44" s="2004"/>
      <c r="BT44" s="2004"/>
      <c r="BU44" s="2004"/>
      <c r="BV44" s="2004"/>
      <c r="BW44" s="2004"/>
      <c r="BX44" s="2004"/>
      <c r="BY44" s="2004"/>
      <c r="BZ44" s="2004"/>
      <c r="CA44" s="2004"/>
      <c r="CB44" s="2004"/>
      <c r="CC44" s="2004"/>
      <c r="CD44" s="2004"/>
      <c r="CE44" s="2004"/>
      <c r="CF44" s="2004"/>
      <c r="CG44" s="2004"/>
      <c r="CH44" s="2004"/>
      <c r="CI44" s="2004"/>
      <c r="CJ44" s="2004"/>
      <c r="CK44" s="2004"/>
      <c r="CL44" s="2004"/>
      <c r="CM44" s="2004"/>
      <c r="CN44" s="2004"/>
      <c r="CO44" s="2004"/>
      <c r="CP44" s="2004"/>
      <c r="CQ44" s="2004"/>
      <c r="CR44" s="2004"/>
    </row>
    <row r="45" spans="1:96" ht="15">
      <c r="A45" s="1255"/>
      <c r="B45" s="1190"/>
      <c r="C45" s="1190"/>
      <c r="D45" s="1197"/>
      <c r="E45" s="1190"/>
      <c r="F45" s="1190"/>
      <c r="G45" s="1190"/>
      <c r="H45" s="1190"/>
      <c r="I45" s="1190"/>
      <c r="J45" s="1190"/>
      <c r="K45" s="1190"/>
      <c r="L45" s="1190"/>
      <c r="M45" s="1190"/>
      <c r="N45" s="1190"/>
      <c r="O45" s="2004"/>
      <c r="P45" s="2004"/>
      <c r="Q45" s="2004"/>
      <c r="R45" s="2004"/>
      <c r="S45" s="2004"/>
      <c r="T45" s="2004"/>
      <c r="U45" s="2004"/>
      <c r="V45" s="2004"/>
      <c r="W45" s="2004"/>
      <c r="X45" s="2004"/>
      <c r="Y45" s="2004"/>
      <c r="Z45" s="2004"/>
      <c r="AA45" s="2004"/>
      <c r="AB45" s="2004"/>
      <c r="AC45" s="2004"/>
      <c r="AD45" s="2004"/>
      <c r="AE45" s="2004"/>
      <c r="AF45" s="2004"/>
      <c r="AG45" s="2004"/>
      <c r="AH45" s="2004"/>
      <c r="AI45" s="2004"/>
      <c r="AJ45" s="2004"/>
      <c r="AL45" s="2004"/>
      <c r="AM45" s="2004"/>
      <c r="AN45" s="2004"/>
      <c r="AO45" s="2004"/>
      <c r="AP45" s="2004"/>
      <c r="AQ45" s="2004"/>
      <c r="AR45" s="2004"/>
      <c r="AS45" s="2004"/>
      <c r="AT45" s="2004"/>
      <c r="AU45" s="2004"/>
      <c r="AV45" s="2004"/>
      <c r="AW45" s="2004"/>
      <c r="AX45" s="2004"/>
      <c r="AY45" s="2004"/>
      <c r="AZ45" s="2004"/>
      <c r="BA45" s="2004"/>
      <c r="BB45" s="2004"/>
      <c r="BC45" s="2004"/>
      <c r="BD45" s="2004"/>
      <c r="BE45" s="2004"/>
      <c r="BF45" s="2004"/>
      <c r="BG45" s="2004"/>
      <c r="BH45" s="2004"/>
      <c r="BI45" s="2004"/>
      <c r="BJ45" s="2004"/>
      <c r="BK45" s="2004"/>
      <c r="BM45" s="2004"/>
      <c r="BN45" s="2004"/>
      <c r="BO45" s="2004"/>
      <c r="BP45" s="2004"/>
      <c r="BQ45" s="2004"/>
      <c r="BR45" s="2004"/>
      <c r="BS45" s="2004"/>
      <c r="BT45" s="2004"/>
      <c r="BU45" s="2004"/>
      <c r="BV45" s="2004"/>
      <c r="BW45" s="2004"/>
      <c r="BX45" s="2004"/>
      <c r="BY45" s="2004"/>
      <c r="BZ45" s="2004"/>
      <c r="CA45" s="2004"/>
      <c r="CB45" s="2004"/>
      <c r="CC45" s="2004"/>
      <c r="CD45" s="2004"/>
      <c r="CE45" s="2004"/>
      <c r="CF45" s="2004"/>
      <c r="CG45" s="2004"/>
      <c r="CH45" s="2004"/>
      <c r="CI45" s="2004"/>
      <c r="CJ45" s="2004"/>
      <c r="CK45" s="2004"/>
      <c r="CL45" s="2004"/>
      <c r="CM45" s="2004"/>
      <c r="CN45" s="2004"/>
      <c r="CO45" s="2004"/>
      <c r="CP45" s="2004"/>
      <c r="CQ45" s="2004"/>
      <c r="CR45" s="2004"/>
    </row>
    <row r="46" spans="1:96" ht="15.75" thickBot="1">
      <c r="A46" s="1255"/>
      <c r="B46" s="1190"/>
      <c r="C46" s="1190"/>
      <c r="D46" s="1197"/>
      <c r="E46" s="1190"/>
      <c r="F46" s="1190"/>
      <c r="G46" s="1190"/>
      <c r="H46" s="1190"/>
      <c r="I46" s="1190"/>
      <c r="J46" s="1190"/>
      <c r="K46" s="1190"/>
      <c r="L46" s="1190"/>
      <c r="M46" s="1190"/>
      <c r="N46" s="1190"/>
      <c r="O46" s="2004"/>
      <c r="P46" s="2004"/>
      <c r="Q46" s="2004"/>
      <c r="R46" s="2004"/>
      <c r="S46" s="2004"/>
      <c r="T46" s="2004"/>
      <c r="U46" s="2004"/>
      <c r="V46" s="2004"/>
      <c r="W46" s="2004"/>
      <c r="X46" s="2004"/>
      <c r="Y46" s="2004"/>
      <c r="Z46" s="2004"/>
      <c r="AA46" s="2004"/>
      <c r="AB46" s="2004"/>
      <c r="AC46" s="2004"/>
      <c r="AD46" s="2004"/>
      <c r="AE46" s="2004"/>
      <c r="AF46" s="2004"/>
      <c r="AG46" s="2004"/>
      <c r="AH46" s="2004"/>
      <c r="AI46" s="2004"/>
      <c r="AJ46" s="2004"/>
      <c r="AL46" s="2004"/>
      <c r="AM46" s="2004"/>
      <c r="AN46" s="2004"/>
      <c r="AO46" s="2004"/>
      <c r="AP46" s="2004"/>
      <c r="AQ46" s="2004"/>
      <c r="AR46" s="2004"/>
      <c r="AS46" s="2004"/>
      <c r="AT46" s="2004"/>
      <c r="AU46" s="2004"/>
      <c r="AV46" s="2004"/>
      <c r="AW46" s="2004"/>
      <c r="AX46" s="2004"/>
      <c r="AY46" s="2004"/>
      <c r="AZ46" s="2004"/>
      <c r="BA46" s="2004"/>
      <c r="BB46" s="2004"/>
      <c r="BC46" s="2004"/>
      <c r="BD46" s="2004"/>
      <c r="BE46" s="2004"/>
      <c r="BF46" s="2004"/>
      <c r="BG46" s="2004"/>
      <c r="BH46" s="2004"/>
      <c r="BI46" s="2004"/>
      <c r="BJ46" s="2004"/>
      <c r="BK46" s="2004"/>
      <c r="BM46" s="2004"/>
      <c r="BN46" s="2004"/>
      <c r="BO46" s="2004"/>
      <c r="BP46" s="2004"/>
      <c r="BQ46" s="2004"/>
      <c r="BR46" s="2004"/>
      <c r="BS46" s="2004"/>
      <c r="BT46" s="2004"/>
      <c r="BU46" s="2004"/>
      <c r="BV46" s="2004"/>
      <c r="BW46" s="2004"/>
      <c r="BX46" s="2004"/>
      <c r="BY46" s="2004"/>
      <c r="BZ46" s="2004"/>
      <c r="CA46" s="2004"/>
      <c r="CB46" s="2004"/>
      <c r="CC46" s="2004"/>
      <c r="CD46" s="2004"/>
      <c r="CE46" s="2004"/>
      <c r="CF46" s="2004"/>
      <c r="CG46" s="2004"/>
      <c r="CH46" s="2004"/>
      <c r="CI46" s="2004"/>
      <c r="CJ46" s="2004"/>
      <c r="CK46" s="2004"/>
      <c r="CL46" s="2004"/>
      <c r="CM46" s="2004"/>
      <c r="CN46" s="2004"/>
      <c r="CO46" s="2004"/>
      <c r="CP46" s="2004"/>
      <c r="CQ46" s="2004"/>
      <c r="CR46" s="2004"/>
    </row>
    <row r="47" spans="1:96" ht="16.5" thickBot="1">
      <c r="A47" s="1255"/>
      <c r="B47" s="1373" t="str">
        <f>'4R'!B64</f>
        <v>Please refer to RAG 4.08 - Guideline for the table definitions in the annual performance report for the reporting year 2019-20</v>
      </c>
      <c r="C47" s="961"/>
      <c r="D47" s="961"/>
      <c r="E47" s="962"/>
      <c r="F47" s="962"/>
      <c r="G47" s="962"/>
      <c r="H47" s="962"/>
      <c r="I47" s="962"/>
      <c r="J47" s="962"/>
      <c r="K47" s="962"/>
      <c r="L47" s="963"/>
      <c r="M47" s="1190"/>
      <c r="N47" s="1190"/>
      <c r="O47" s="2004"/>
      <c r="P47" s="2004"/>
      <c r="Q47" s="2004"/>
      <c r="R47" s="2004"/>
      <c r="S47" s="2004"/>
      <c r="T47" s="2004"/>
      <c r="U47" s="2004"/>
      <c r="V47" s="2004"/>
      <c r="W47" s="2004"/>
      <c r="X47" s="2004"/>
      <c r="Y47" s="2004"/>
      <c r="Z47" s="2004"/>
      <c r="AA47" s="2004"/>
      <c r="AB47" s="2004"/>
      <c r="AC47" s="2004"/>
      <c r="AD47" s="2004"/>
      <c r="AE47" s="2004"/>
      <c r="AF47" s="2004"/>
      <c r="AG47" s="2004"/>
      <c r="AH47" s="2004"/>
      <c r="AI47" s="2004"/>
      <c r="AJ47" s="2004"/>
      <c r="AL47" s="2004"/>
      <c r="AM47" s="2004"/>
      <c r="AN47" s="2004"/>
      <c r="AO47" s="2004"/>
      <c r="AP47" s="2004"/>
      <c r="AQ47" s="2004"/>
      <c r="AR47" s="2004"/>
      <c r="AS47" s="2004"/>
      <c r="AT47" s="2004"/>
      <c r="AU47" s="2004"/>
      <c r="AV47" s="2004"/>
      <c r="AW47" s="2004"/>
      <c r="AX47" s="2004"/>
      <c r="AY47" s="2004"/>
      <c r="AZ47" s="2004"/>
      <c r="BA47" s="2004"/>
      <c r="BB47" s="2004"/>
      <c r="BC47" s="2004"/>
      <c r="BD47" s="2004"/>
      <c r="BE47" s="2004"/>
      <c r="BF47" s="2004"/>
      <c r="BG47" s="2004"/>
      <c r="BH47" s="2004"/>
      <c r="BI47" s="2004"/>
      <c r="BJ47" s="2004"/>
      <c r="BK47" s="2004"/>
      <c r="BM47" s="2004"/>
      <c r="BN47" s="2004"/>
      <c r="BO47" s="2004"/>
      <c r="BP47" s="2004"/>
      <c r="BQ47" s="2004"/>
      <c r="BR47" s="2004"/>
      <c r="BS47" s="2004"/>
      <c r="BT47" s="2004"/>
      <c r="BU47" s="2004"/>
      <c r="BV47" s="2004"/>
      <c r="BW47" s="2004"/>
      <c r="BX47" s="2004"/>
      <c r="BY47" s="2004"/>
      <c r="BZ47" s="2004"/>
      <c r="CA47" s="2004"/>
      <c r="CB47" s="2004"/>
      <c r="CC47" s="2004"/>
      <c r="CD47" s="2004"/>
      <c r="CE47" s="2004"/>
      <c r="CF47" s="2004"/>
      <c r="CG47" s="2004"/>
      <c r="CH47" s="2004"/>
      <c r="CI47" s="2004"/>
      <c r="CJ47" s="2004"/>
      <c r="CK47" s="2004"/>
      <c r="CL47" s="2004"/>
      <c r="CM47" s="2004"/>
      <c r="CN47" s="2004"/>
      <c r="CO47" s="2004"/>
      <c r="CP47" s="2004"/>
      <c r="CQ47" s="2004"/>
      <c r="CR47" s="2004"/>
    </row>
    <row r="48" spans="1:96" ht="15.75" thickBot="1">
      <c r="A48" s="1255"/>
      <c r="B48" s="1190"/>
      <c r="C48" s="1190"/>
      <c r="D48" s="1197"/>
      <c r="E48" s="1190"/>
      <c r="F48" s="1190"/>
      <c r="G48" s="1190"/>
      <c r="H48" s="1190"/>
      <c r="I48" s="1190"/>
      <c r="J48" s="1190"/>
      <c r="K48" s="1190"/>
      <c r="L48" s="1190"/>
      <c r="M48" s="1190"/>
      <c r="N48" s="1190"/>
      <c r="O48" s="2004"/>
      <c r="P48" s="2004"/>
      <c r="Q48" s="2004"/>
      <c r="R48" s="2004"/>
      <c r="S48" s="2004"/>
      <c r="T48" s="2004"/>
      <c r="U48" s="2004"/>
      <c r="V48" s="2004"/>
      <c r="W48" s="2004"/>
      <c r="X48" s="2004"/>
      <c r="Y48" s="2004"/>
      <c r="Z48" s="2004"/>
      <c r="AA48" s="2004"/>
      <c r="AB48" s="2004"/>
      <c r="AC48" s="2004"/>
      <c r="AD48" s="2004"/>
      <c r="AE48" s="2004"/>
      <c r="AF48" s="2004"/>
      <c r="AG48" s="2004"/>
      <c r="AH48" s="2004"/>
      <c r="AI48" s="2004"/>
      <c r="AJ48" s="2004"/>
      <c r="AL48" s="2004"/>
      <c r="AM48" s="2004"/>
      <c r="AN48" s="2004"/>
      <c r="AO48" s="2004"/>
      <c r="AP48" s="2004"/>
      <c r="AQ48" s="2004"/>
      <c r="AR48" s="2004"/>
      <c r="AS48" s="2004"/>
      <c r="AT48" s="2004"/>
      <c r="AU48" s="2004"/>
      <c r="AV48" s="2004"/>
      <c r="AW48" s="2004"/>
      <c r="AX48" s="2004"/>
      <c r="AY48" s="2004"/>
      <c r="AZ48" s="2004"/>
      <c r="BA48" s="2004"/>
      <c r="BB48" s="2004"/>
      <c r="BC48" s="2004"/>
      <c r="BD48" s="2004"/>
      <c r="BE48" s="2004"/>
      <c r="BF48" s="2004"/>
      <c r="BG48" s="2004"/>
      <c r="BH48" s="2004"/>
      <c r="BI48" s="2004"/>
      <c r="BJ48" s="2004"/>
      <c r="BK48" s="2004"/>
      <c r="BM48" s="2004"/>
      <c r="BN48" s="2004"/>
      <c r="BO48" s="2004"/>
      <c r="BP48" s="2004"/>
      <c r="BQ48" s="2004"/>
      <c r="BR48" s="2004"/>
      <c r="BS48" s="2004"/>
      <c r="BT48" s="2004"/>
      <c r="BU48" s="2004"/>
      <c r="BV48" s="2004"/>
      <c r="BW48" s="2004"/>
      <c r="BX48" s="2004"/>
      <c r="BY48" s="2004"/>
      <c r="BZ48" s="2004"/>
      <c r="CA48" s="2004"/>
      <c r="CB48" s="2004"/>
      <c r="CC48" s="2004"/>
      <c r="CD48" s="2004"/>
      <c r="CE48" s="2004"/>
      <c r="CF48" s="2004"/>
      <c r="CG48" s="2004"/>
      <c r="CH48" s="2004"/>
      <c r="CI48" s="2004"/>
      <c r="CJ48" s="2004"/>
      <c r="CK48" s="2004"/>
      <c r="CL48" s="2004"/>
      <c r="CM48" s="2004"/>
      <c r="CN48" s="2004"/>
      <c r="CO48" s="2004"/>
      <c r="CP48" s="2004"/>
      <c r="CQ48" s="2004"/>
      <c r="CR48" s="2004"/>
    </row>
    <row r="49" spans="1:14" ht="16.5" hidden="1" thickBot="1">
      <c r="A49" s="1694"/>
      <c r="B49" s="34" t="str">
        <f ca="1" xml:space="preserve"> RIGHT(CELL("filename", $A$1), LEN(CELL("filename", $A$1)) - SEARCH("]", CELL("filename", $A$1)))&amp;" - Line definitions"</f>
        <v>4S - Line definitions</v>
      </c>
      <c r="C49" s="961"/>
      <c r="D49" s="961"/>
      <c r="E49" s="962"/>
      <c r="F49" s="962"/>
      <c r="G49" s="962"/>
      <c r="H49" s="962"/>
      <c r="I49" s="962"/>
      <c r="J49" s="962"/>
      <c r="K49" s="962"/>
      <c r="L49" s="963"/>
      <c r="M49" s="1190"/>
      <c r="N49" s="1190"/>
    </row>
    <row r="50" spans="1:14" ht="15.75" hidden="1" thickBot="1">
      <c r="A50" s="1694"/>
      <c r="B50" s="1190"/>
      <c r="C50" s="1190"/>
      <c r="D50" s="1197"/>
      <c r="E50" s="1190"/>
      <c r="F50" s="1190"/>
      <c r="G50" s="1252"/>
      <c r="H50" s="1190"/>
      <c r="I50" s="1190"/>
      <c r="J50" s="1190"/>
      <c r="K50" s="1190"/>
      <c r="L50" s="1190"/>
      <c r="M50" s="1190"/>
      <c r="N50" s="1190"/>
    </row>
    <row r="51" spans="1:14" ht="15.75" hidden="1" thickBot="1">
      <c r="A51" s="1694"/>
      <c r="B51" s="1072" t="s">
        <v>193</v>
      </c>
      <c r="C51" s="3431" t="s">
        <v>6886</v>
      </c>
      <c r="D51" s="3432"/>
      <c r="E51" s="3432"/>
      <c r="F51" s="3432"/>
      <c r="G51" s="3432"/>
      <c r="H51" s="3432"/>
      <c r="I51" s="3432"/>
      <c r="J51" s="3432"/>
      <c r="K51" s="3432"/>
      <c r="L51" s="3433"/>
      <c r="M51" s="1190"/>
      <c r="N51" s="1190"/>
    </row>
    <row r="52" spans="1:14" ht="15" hidden="1">
      <c r="A52" s="1694"/>
      <c r="B52" s="1073">
        <v>1</v>
      </c>
      <c r="C52" s="3618" t="s">
        <v>8360</v>
      </c>
      <c r="D52" s="3619"/>
      <c r="E52" s="3619"/>
      <c r="F52" s="3619"/>
      <c r="G52" s="3619"/>
      <c r="H52" s="3619"/>
      <c r="I52" s="3619"/>
      <c r="J52" s="3619"/>
      <c r="K52" s="3619"/>
      <c r="L52" s="3620"/>
      <c r="M52" s="1190"/>
      <c r="N52" s="1190"/>
    </row>
    <row r="53" spans="1:14" ht="15" hidden="1">
      <c r="A53" s="1694"/>
      <c r="B53" s="1074">
        <f>B52+1</f>
        <v>2</v>
      </c>
      <c r="C53" s="3621" t="s">
        <v>8361</v>
      </c>
      <c r="D53" s="3622"/>
      <c r="E53" s="3622"/>
      <c r="F53" s="3622"/>
      <c r="G53" s="3622"/>
      <c r="H53" s="3622"/>
      <c r="I53" s="3622"/>
      <c r="J53" s="3622"/>
      <c r="K53" s="3622"/>
      <c r="L53" s="3623"/>
      <c r="M53" s="1190"/>
      <c r="N53" s="1190"/>
    </row>
    <row r="54" spans="1:14" ht="15" hidden="1">
      <c r="A54" s="1694"/>
      <c r="B54" s="1074">
        <f t="shared" ref="B54:B76" si="15">B53+1</f>
        <v>3</v>
      </c>
      <c r="C54" s="3609" t="s">
        <v>8362</v>
      </c>
      <c r="D54" s="3610"/>
      <c r="E54" s="3610"/>
      <c r="F54" s="3610"/>
      <c r="G54" s="3610"/>
      <c r="H54" s="3610"/>
      <c r="I54" s="3610"/>
      <c r="J54" s="3610"/>
      <c r="K54" s="3610"/>
      <c r="L54" s="3611"/>
      <c r="M54" s="1190"/>
      <c r="N54" s="1190"/>
    </row>
    <row r="55" spans="1:14" ht="15" hidden="1">
      <c r="A55" s="1694"/>
      <c r="B55" s="1074">
        <f t="shared" si="15"/>
        <v>4</v>
      </c>
      <c r="C55" s="3609" t="s">
        <v>8363</v>
      </c>
      <c r="D55" s="3610"/>
      <c r="E55" s="3610"/>
      <c r="F55" s="3610"/>
      <c r="G55" s="3610"/>
      <c r="H55" s="3610"/>
      <c r="I55" s="3610"/>
      <c r="J55" s="3610"/>
      <c r="K55" s="3610"/>
      <c r="L55" s="3611"/>
      <c r="M55" s="1190"/>
      <c r="N55" s="1190"/>
    </row>
    <row r="56" spans="1:14" ht="15" hidden="1">
      <c r="A56" s="1694"/>
      <c r="B56" s="1074">
        <f t="shared" si="15"/>
        <v>5</v>
      </c>
      <c r="C56" s="3609" t="s">
        <v>8364</v>
      </c>
      <c r="D56" s="3610"/>
      <c r="E56" s="3610"/>
      <c r="F56" s="3610"/>
      <c r="G56" s="3610"/>
      <c r="H56" s="3610"/>
      <c r="I56" s="3610"/>
      <c r="J56" s="3610"/>
      <c r="K56" s="3610"/>
      <c r="L56" s="3611"/>
      <c r="M56" s="1190"/>
      <c r="N56" s="1190"/>
    </row>
    <row r="57" spans="1:14" ht="15" hidden="1">
      <c r="A57" s="1694"/>
      <c r="B57" s="1074">
        <f t="shared" si="15"/>
        <v>6</v>
      </c>
      <c r="C57" s="3609" t="s">
        <v>8365</v>
      </c>
      <c r="D57" s="3610"/>
      <c r="E57" s="3610"/>
      <c r="F57" s="3610"/>
      <c r="G57" s="3610"/>
      <c r="H57" s="3610"/>
      <c r="I57" s="3610"/>
      <c r="J57" s="3610"/>
      <c r="K57" s="3610"/>
      <c r="L57" s="3611"/>
      <c r="M57" s="1190"/>
      <c r="N57" s="1190"/>
    </row>
    <row r="58" spans="1:14" ht="15" hidden="1">
      <c r="A58" s="1694"/>
      <c r="B58" s="1074">
        <f t="shared" si="15"/>
        <v>7</v>
      </c>
      <c r="C58" s="3609" t="s">
        <v>8366</v>
      </c>
      <c r="D58" s="3610"/>
      <c r="E58" s="3610"/>
      <c r="F58" s="3610"/>
      <c r="G58" s="3610"/>
      <c r="H58" s="3610"/>
      <c r="I58" s="3610"/>
      <c r="J58" s="3610"/>
      <c r="K58" s="3610"/>
      <c r="L58" s="3611"/>
      <c r="M58" s="1190"/>
      <c r="N58" s="1190"/>
    </row>
    <row r="59" spans="1:14" ht="15" hidden="1">
      <c r="A59" s="1694"/>
      <c r="B59" s="1074">
        <f t="shared" si="15"/>
        <v>8</v>
      </c>
      <c r="C59" s="3609" t="s">
        <v>8367</v>
      </c>
      <c r="D59" s="3610"/>
      <c r="E59" s="3610"/>
      <c r="F59" s="3610"/>
      <c r="G59" s="3610"/>
      <c r="H59" s="3610"/>
      <c r="I59" s="3610"/>
      <c r="J59" s="3610"/>
      <c r="K59" s="3610"/>
      <c r="L59" s="3611"/>
      <c r="M59" s="1190"/>
      <c r="N59" s="1190"/>
    </row>
    <row r="60" spans="1:14" ht="15" hidden="1">
      <c r="A60" s="1694"/>
      <c r="B60" s="1074">
        <f t="shared" si="15"/>
        <v>9</v>
      </c>
      <c r="C60" s="3609" t="s">
        <v>8368</v>
      </c>
      <c r="D60" s="3610"/>
      <c r="E60" s="3610"/>
      <c r="F60" s="3610"/>
      <c r="G60" s="3610"/>
      <c r="H60" s="3610"/>
      <c r="I60" s="3610"/>
      <c r="J60" s="3610"/>
      <c r="K60" s="3610"/>
      <c r="L60" s="3611"/>
      <c r="M60" s="1190"/>
      <c r="N60" s="1190"/>
    </row>
    <row r="61" spans="1:14" ht="15" hidden="1">
      <c r="A61" s="1694"/>
      <c r="B61" s="1074">
        <f t="shared" si="15"/>
        <v>10</v>
      </c>
      <c r="C61" s="3609" t="s">
        <v>8369</v>
      </c>
      <c r="D61" s="3610"/>
      <c r="E61" s="3610"/>
      <c r="F61" s="3610"/>
      <c r="G61" s="3610"/>
      <c r="H61" s="3610"/>
      <c r="I61" s="3610"/>
      <c r="J61" s="3610"/>
      <c r="K61" s="3610"/>
      <c r="L61" s="3611"/>
      <c r="M61" s="1190"/>
      <c r="N61" s="1190"/>
    </row>
    <row r="62" spans="1:14" ht="15" hidden="1">
      <c r="A62" s="1694"/>
      <c r="B62" s="1074">
        <f t="shared" si="15"/>
        <v>11</v>
      </c>
      <c r="C62" s="3609" t="s">
        <v>8370</v>
      </c>
      <c r="D62" s="3610"/>
      <c r="E62" s="3610"/>
      <c r="F62" s="3610"/>
      <c r="G62" s="3610"/>
      <c r="H62" s="3610"/>
      <c r="I62" s="3610"/>
      <c r="J62" s="3610"/>
      <c r="K62" s="3610"/>
      <c r="L62" s="3611"/>
      <c r="M62" s="1190"/>
      <c r="N62" s="1190"/>
    </row>
    <row r="63" spans="1:14" ht="15" hidden="1">
      <c r="A63" s="1694"/>
      <c r="B63" s="1074">
        <f t="shared" si="15"/>
        <v>12</v>
      </c>
      <c r="C63" s="3609" t="s">
        <v>8371</v>
      </c>
      <c r="D63" s="3610"/>
      <c r="E63" s="3610"/>
      <c r="F63" s="3610"/>
      <c r="G63" s="3610"/>
      <c r="H63" s="3610"/>
      <c r="I63" s="3610"/>
      <c r="J63" s="3610"/>
      <c r="K63" s="3610"/>
      <c r="L63" s="3611"/>
      <c r="M63" s="1190"/>
      <c r="N63" s="1190"/>
    </row>
    <row r="64" spans="1:14" ht="15" hidden="1">
      <c r="A64" s="1694"/>
      <c r="B64" s="1074">
        <f t="shared" si="15"/>
        <v>13</v>
      </c>
      <c r="C64" s="3609" t="s">
        <v>8372</v>
      </c>
      <c r="D64" s="3610"/>
      <c r="E64" s="3610"/>
      <c r="F64" s="3610"/>
      <c r="G64" s="3610"/>
      <c r="H64" s="3610"/>
      <c r="I64" s="3610"/>
      <c r="J64" s="3610"/>
      <c r="K64" s="3610"/>
      <c r="L64" s="3611"/>
      <c r="M64" s="1190"/>
      <c r="N64" s="1190"/>
    </row>
    <row r="65" spans="1:14" ht="15" hidden="1">
      <c r="A65" s="1694"/>
      <c r="B65" s="1074">
        <f t="shared" si="15"/>
        <v>14</v>
      </c>
      <c r="C65" s="3609" t="s">
        <v>8373</v>
      </c>
      <c r="D65" s="3610"/>
      <c r="E65" s="3610"/>
      <c r="F65" s="3610"/>
      <c r="G65" s="3610"/>
      <c r="H65" s="3610"/>
      <c r="I65" s="3610"/>
      <c r="J65" s="3610"/>
      <c r="K65" s="3610"/>
      <c r="L65" s="3611"/>
      <c r="M65" s="1190"/>
      <c r="N65" s="1190"/>
    </row>
    <row r="66" spans="1:14" ht="15" hidden="1">
      <c r="A66" s="1694"/>
      <c r="B66" s="1074">
        <f t="shared" si="15"/>
        <v>15</v>
      </c>
      <c r="C66" s="3609" t="s">
        <v>8374</v>
      </c>
      <c r="D66" s="3610"/>
      <c r="E66" s="3610"/>
      <c r="F66" s="3610"/>
      <c r="G66" s="3610"/>
      <c r="H66" s="3610"/>
      <c r="I66" s="3610"/>
      <c r="J66" s="3610"/>
      <c r="K66" s="3610"/>
      <c r="L66" s="3611"/>
      <c r="M66" s="1190"/>
      <c r="N66" s="1190"/>
    </row>
    <row r="67" spans="1:14" ht="30.2" hidden="1" customHeight="1">
      <c r="A67" s="1694"/>
      <c r="B67" s="1074">
        <f t="shared" si="15"/>
        <v>16</v>
      </c>
      <c r="C67" s="3609" t="s">
        <v>8375</v>
      </c>
      <c r="D67" s="3610"/>
      <c r="E67" s="3610"/>
      <c r="F67" s="3610"/>
      <c r="G67" s="3610"/>
      <c r="H67" s="3610"/>
      <c r="I67" s="3610"/>
      <c r="J67" s="3610"/>
      <c r="K67" s="3610"/>
      <c r="L67" s="3611"/>
      <c r="M67" s="1190"/>
      <c r="N67" s="1190"/>
    </row>
    <row r="68" spans="1:14" ht="31.7" hidden="1" customHeight="1">
      <c r="A68" s="1694"/>
      <c r="B68" s="1074">
        <f t="shared" si="15"/>
        <v>17</v>
      </c>
      <c r="C68" s="3609" t="s">
        <v>8376</v>
      </c>
      <c r="D68" s="3610"/>
      <c r="E68" s="3610"/>
      <c r="F68" s="3610"/>
      <c r="G68" s="3610"/>
      <c r="H68" s="3610"/>
      <c r="I68" s="3610"/>
      <c r="J68" s="3610"/>
      <c r="K68" s="3610"/>
      <c r="L68" s="3611"/>
      <c r="M68" s="1190"/>
      <c r="N68" s="1190"/>
    </row>
    <row r="69" spans="1:14" ht="32.25" hidden="1" customHeight="1">
      <c r="A69" s="1694"/>
      <c r="B69" s="1074">
        <f t="shared" si="15"/>
        <v>18</v>
      </c>
      <c r="C69" s="3609" t="s">
        <v>8377</v>
      </c>
      <c r="D69" s="3610"/>
      <c r="E69" s="3610"/>
      <c r="F69" s="3610"/>
      <c r="G69" s="3610"/>
      <c r="H69" s="3610"/>
      <c r="I69" s="3610"/>
      <c r="J69" s="3610"/>
      <c r="K69" s="3610"/>
      <c r="L69" s="3611"/>
      <c r="M69" s="1190"/>
      <c r="N69" s="1190"/>
    </row>
    <row r="70" spans="1:14" ht="32.25" hidden="1" customHeight="1">
      <c r="A70" s="1694"/>
      <c r="B70" s="1074">
        <f t="shared" si="15"/>
        <v>19</v>
      </c>
      <c r="C70" s="3609" t="s">
        <v>8378</v>
      </c>
      <c r="D70" s="3610"/>
      <c r="E70" s="3610"/>
      <c r="F70" s="3610"/>
      <c r="G70" s="3610"/>
      <c r="H70" s="3610"/>
      <c r="I70" s="3610"/>
      <c r="J70" s="3610"/>
      <c r="K70" s="3610"/>
      <c r="L70" s="3611"/>
      <c r="M70" s="1190"/>
      <c r="N70" s="1190"/>
    </row>
    <row r="71" spans="1:14" ht="32.25" hidden="1" customHeight="1">
      <c r="A71" s="1694"/>
      <c r="B71" s="1074">
        <f t="shared" si="15"/>
        <v>20</v>
      </c>
      <c r="C71" s="3609" t="s">
        <v>8379</v>
      </c>
      <c r="D71" s="3610"/>
      <c r="E71" s="3610"/>
      <c r="F71" s="3610"/>
      <c r="G71" s="3610"/>
      <c r="H71" s="3610"/>
      <c r="I71" s="3610"/>
      <c r="J71" s="3610"/>
      <c r="K71" s="3610"/>
      <c r="L71" s="3611"/>
      <c r="M71" s="1190"/>
      <c r="N71" s="1190"/>
    </row>
    <row r="72" spans="1:14" ht="32.25" hidden="1" customHeight="1">
      <c r="A72" s="1694"/>
      <c r="B72" s="1074">
        <f t="shared" si="15"/>
        <v>21</v>
      </c>
      <c r="C72" s="3609" t="s">
        <v>8380</v>
      </c>
      <c r="D72" s="3610"/>
      <c r="E72" s="3610"/>
      <c r="F72" s="3610"/>
      <c r="G72" s="3610"/>
      <c r="H72" s="3610"/>
      <c r="I72" s="3610"/>
      <c r="J72" s="3610"/>
      <c r="K72" s="3610"/>
      <c r="L72" s="3611"/>
      <c r="M72" s="1190"/>
      <c r="N72" s="1190"/>
    </row>
    <row r="73" spans="1:14" ht="32.25" hidden="1" customHeight="1">
      <c r="A73" s="1694"/>
      <c r="B73" s="1074">
        <f t="shared" si="15"/>
        <v>22</v>
      </c>
      <c r="C73" s="3609" t="s">
        <v>8381</v>
      </c>
      <c r="D73" s="3610"/>
      <c r="E73" s="3610"/>
      <c r="F73" s="3610"/>
      <c r="G73" s="3610"/>
      <c r="H73" s="3610"/>
      <c r="I73" s="3610"/>
      <c r="J73" s="3610"/>
      <c r="K73" s="3610"/>
      <c r="L73" s="3611"/>
      <c r="M73" s="1190"/>
      <c r="N73" s="1190"/>
    </row>
    <row r="74" spans="1:14" ht="32.25" hidden="1" customHeight="1">
      <c r="A74" s="1694"/>
      <c r="B74" s="1074">
        <f t="shared" si="15"/>
        <v>23</v>
      </c>
      <c r="C74" s="3609" t="s">
        <v>8382</v>
      </c>
      <c r="D74" s="3610"/>
      <c r="E74" s="3610"/>
      <c r="F74" s="3610"/>
      <c r="G74" s="3610"/>
      <c r="H74" s="3610"/>
      <c r="I74" s="3610"/>
      <c r="J74" s="3610"/>
      <c r="K74" s="3610"/>
      <c r="L74" s="3611"/>
      <c r="M74" s="1190"/>
      <c r="N74" s="1190"/>
    </row>
    <row r="75" spans="1:14" ht="38.85" hidden="1" customHeight="1">
      <c r="A75" s="1694"/>
      <c r="B75" s="1074">
        <f t="shared" si="15"/>
        <v>24</v>
      </c>
      <c r="C75" s="3609" t="s">
        <v>8383</v>
      </c>
      <c r="D75" s="3610"/>
      <c r="E75" s="3610"/>
      <c r="F75" s="3610"/>
      <c r="G75" s="3610"/>
      <c r="H75" s="3610"/>
      <c r="I75" s="3610"/>
      <c r="J75" s="3610"/>
      <c r="K75" s="3610"/>
      <c r="L75" s="3611"/>
      <c r="M75" s="1190"/>
      <c r="N75" s="1190"/>
    </row>
    <row r="76" spans="1:14" ht="32.25" hidden="1" customHeight="1" thickBot="1">
      <c r="A76" s="1694"/>
      <c r="B76" s="1075">
        <f t="shared" si="15"/>
        <v>25</v>
      </c>
      <c r="C76" s="3418" t="s">
        <v>8384</v>
      </c>
      <c r="D76" s="3419"/>
      <c r="E76" s="3419"/>
      <c r="F76" s="3419"/>
      <c r="G76" s="3419"/>
      <c r="H76" s="3419"/>
      <c r="I76" s="3419"/>
      <c r="J76" s="3419"/>
      <c r="K76" s="3419"/>
      <c r="L76" s="3420"/>
      <c r="M76" s="1190"/>
      <c r="N76" s="1190"/>
    </row>
    <row r="77" spans="1:14" ht="15.75" hidden="1" thickBot="1">
      <c r="A77" s="1694"/>
      <c r="B77" s="1190"/>
      <c r="C77" s="1190"/>
      <c r="D77" s="1197"/>
      <c r="E77" s="1190"/>
      <c r="F77" s="1190"/>
      <c r="G77" s="1190"/>
      <c r="H77" s="1190"/>
      <c r="I77" s="1190"/>
      <c r="J77" s="1190"/>
      <c r="K77" s="1190"/>
      <c r="L77" s="1190"/>
      <c r="M77" s="1190"/>
      <c r="N77" s="1190"/>
    </row>
    <row r="78" spans="1:14" ht="16.5" thickBot="1">
      <c r="A78" s="1255"/>
      <c r="B78" s="3428" t="s">
        <v>8385</v>
      </c>
      <c r="C78" s="3612"/>
      <c r="D78" s="3612"/>
      <c r="E78" s="3612"/>
      <c r="F78" s="3612"/>
      <c r="G78" s="3612"/>
      <c r="H78" s="3612"/>
      <c r="I78" s="3612"/>
      <c r="J78" s="3612"/>
      <c r="K78" s="3612"/>
      <c r="L78" s="3613"/>
      <c r="M78" s="1190"/>
      <c r="N78" s="1190"/>
    </row>
    <row r="79" spans="1:14" ht="15.75" thickBot="1">
      <c r="A79" s="1255"/>
      <c r="B79" s="1256"/>
      <c r="C79" s="1190"/>
      <c r="D79" s="1197"/>
      <c r="E79" s="1190"/>
      <c r="F79" s="1190"/>
      <c r="G79" s="1190"/>
      <c r="H79" s="1190"/>
      <c r="I79" s="1190"/>
      <c r="J79" s="1190"/>
      <c r="K79" s="1190"/>
      <c r="L79" s="1190"/>
      <c r="M79" s="1190"/>
      <c r="N79" s="1190"/>
    </row>
    <row r="80" spans="1:14" ht="51">
      <c r="A80" s="1255"/>
      <c r="B80" s="2061" t="s">
        <v>8386</v>
      </c>
      <c r="C80" s="3603" t="s">
        <v>8387</v>
      </c>
      <c r="D80" s="3603"/>
      <c r="E80" s="3603"/>
      <c r="F80" s="3603"/>
      <c r="G80" s="3603"/>
      <c r="H80" s="3603"/>
      <c r="I80" s="3603"/>
      <c r="J80" s="3603"/>
      <c r="K80" s="3604"/>
      <c r="L80" s="2062"/>
      <c r="M80" s="1190"/>
      <c r="N80" s="1190"/>
    </row>
    <row r="81" spans="1:14" ht="51">
      <c r="A81" s="1255"/>
      <c r="B81" s="2063" t="s">
        <v>8388</v>
      </c>
      <c r="C81" s="3605" t="s">
        <v>8389</v>
      </c>
      <c r="D81" s="3605"/>
      <c r="E81" s="3605"/>
      <c r="F81" s="3605"/>
      <c r="G81" s="3605"/>
      <c r="H81" s="3605"/>
      <c r="I81" s="3605"/>
      <c r="J81" s="3605"/>
      <c r="K81" s="3606"/>
      <c r="L81" s="2062"/>
      <c r="M81" s="1190"/>
      <c r="N81" s="1190"/>
    </row>
    <row r="82" spans="1:14" ht="51">
      <c r="A82" s="1255"/>
      <c r="B82" s="2063" t="s">
        <v>8390</v>
      </c>
      <c r="C82" s="3605" t="s">
        <v>8391</v>
      </c>
      <c r="D82" s="3605"/>
      <c r="E82" s="3605"/>
      <c r="F82" s="3605"/>
      <c r="G82" s="3605"/>
      <c r="H82" s="3605"/>
      <c r="I82" s="3605"/>
      <c r="J82" s="3605"/>
      <c r="K82" s="3606"/>
      <c r="L82" s="2062"/>
      <c r="M82" s="1190"/>
      <c r="N82" s="1190"/>
    </row>
    <row r="83" spans="1:14" ht="67.7" customHeight="1">
      <c r="A83" s="1255"/>
      <c r="B83" s="2063" t="s">
        <v>8392</v>
      </c>
      <c r="C83" s="3605" t="s">
        <v>8393</v>
      </c>
      <c r="D83" s="3605"/>
      <c r="E83" s="3605"/>
      <c r="F83" s="3605"/>
      <c r="G83" s="3605"/>
      <c r="H83" s="3605"/>
      <c r="I83" s="3605"/>
      <c r="J83" s="3605"/>
      <c r="K83" s="3606"/>
      <c r="L83" s="2062"/>
      <c r="M83" s="1190"/>
      <c r="N83" s="1190"/>
    </row>
    <row r="84" spans="1:14" ht="70.5" customHeight="1" thickBot="1">
      <c r="A84" s="1255"/>
      <c r="B84" s="2064" t="s">
        <v>8394</v>
      </c>
      <c r="C84" s="3607" t="s">
        <v>8395</v>
      </c>
      <c r="D84" s="3607"/>
      <c r="E84" s="3607"/>
      <c r="F84" s="3607"/>
      <c r="G84" s="3607"/>
      <c r="H84" s="3607"/>
      <c r="I84" s="3607"/>
      <c r="J84" s="3607"/>
      <c r="K84" s="3608"/>
      <c r="L84" s="2062"/>
      <c r="M84" s="1190"/>
      <c r="N84" s="1190"/>
    </row>
    <row r="85" spans="1:14" ht="15.75" thickBot="1">
      <c r="A85" s="1255"/>
      <c r="B85" s="2062"/>
      <c r="C85" s="2065"/>
      <c r="D85" s="2062"/>
      <c r="E85" s="2062"/>
      <c r="F85" s="2062"/>
      <c r="G85" s="2062"/>
      <c r="H85" s="2062"/>
      <c r="I85" s="2062"/>
      <c r="J85" s="2062"/>
      <c r="K85" s="2062"/>
      <c r="L85" s="2062"/>
      <c r="M85" s="1190"/>
      <c r="N85" s="1190"/>
    </row>
    <row r="86" spans="1:14" ht="63.75">
      <c r="A86" s="1255"/>
      <c r="B86" s="2061" t="s">
        <v>7946</v>
      </c>
      <c r="C86" s="3603" t="s">
        <v>8396</v>
      </c>
      <c r="D86" s="3603"/>
      <c r="E86" s="3603"/>
      <c r="F86" s="3603"/>
      <c r="G86" s="3603"/>
      <c r="H86" s="3603"/>
      <c r="I86" s="3603"/>
      <c r="J86" s="3603"/>
      <c r="K86" s="3604"/>
      <c r="L86" s="2062"/>
      <c r="M86" s="1190"/>
      <c r="N86" s="1190"/>
    </row>
    <row r="87" spans="1:14" ht="63.75">
      <c r="A87" s="1255"/>
      <c r="B87" s="2063" t="s">
        <v>7974</v>
      </c>
      <c r="C87" s="3605" t="s">
        <v>8397</v>
      </c>
      <c r="D87" s="3605"/>
      <c r="E87" s="3605"/>
      <c r="F87" s="3605"/>
      <c r="G87" s="3605"/>
      <c r="H87" s="3605"/>
      <c r="I87" s="3605"/>
      <c r="J87" s="3605"/>
      <c r="K87" s="3606"/>
      <c r="L87" s="2062"/>
      <c r="M87" s="1190"/>
      <c r="N87" s="1190"/>
    </row>
    <row r="88" spans="1:14" ht="63.75">
      <c r="A88" s="1255"/>
      <c r="B88" s="2063" t="s">
        <v>8001</v>
      </c>
      <c r="C88" s="3605" t="s">
        <v>8398</v>
      </c>
      <c r="D88" s="3605"/>
      <c r="E88" s="3605"/>
      <c r="F88" s="3605"/>
      <c r="G88" s="3605"/>
      <c r="H88" s="3605"/>
      <c r="I88" s="3605"/>
      <c r="J88" s="3605"/>
      <c r="K88" s="3606"/>
      <c r="L88" s="2062"/>
      <c r="M88" s="1190"/>
      <c r="N88" s="1190"/>
    </row>
    <row r="89" spans="1:14" ht="63.75">
      <c r="A89" s="1255"/>
      <c r="B89" s="2063" t="s">
        <v>8028</v>
      </c>
      <c r="C89" s="3605" t="s">
        <v>8399</v>
      </c>
      <c r="D89" s="3605"/>
      <c r="E89" s="3605"/>
      <c r="F89" s="3605"/>
      <c r="G89" s="3605"/>
      <c r="H89" s="3605"/>
      <c r="I89" s="3605"/>
      <c r="J89" s="3605"/>
      <c r="K89" s="3606"/>
      <c r="L89" s="2062"/>
      <c r="M89" s="1190"/>
      <c r="N89" s="1190"/>
    </row>
    <row r="90" spans="1:14" ht="63.75">
      <c r="A90" s="1255"/>
      <c r="B90" s="2063" t="s">
        <v>8055</v>
      </c>
      <c r="C90" s="3605" t="s">
        <v>8400</v>
      </c>
      <c r="D90" s="3605"/>
      <c r="E90" s="3605"/>
      <c r="F90" s="3605"/>
      <c r="G90" s="3605"/>
      <c r="H90" s="3605"/>
      <c r="I90" s="3605"/>
      <c r="J90" s="3605"/>
      <c r="K90" s="3606"/>
      <c r="L90" s="2062"/>
      <c r="M90" s="1190"/>
      <c r="N90" s="1190"/>
    </row>
    <row r="91" spans="1:14" ht="64.5" thickBot="1">
      <c r="A91" s="1255"/>
      <c r="B91" s="2064" t="s">
        <v>8082</v>
      </c>
      <c r="C91" s="3607" t="s">
        <v>8401</v>
      </c>
      <c r="D91" s="3607"/>
      <c r="E91" s="3607"/>
      <c r="F91" s="3607"/>
      <c r="G91" s="3607"/>
      <c r="H91" s="3607"/>
      <c r="I91" s="3607"/>
      <c r="J91" s="3607"/>
      <c r="K91" s="3608"/>
      <c r="L91" s="2062"/>
      <c r="M91" s="1190"/>
      <c r="N91" s="1190"/>
    </row>
    <row r="92" spans="1:14" ht="15">
      <c r="A92" s="1255"/>
      <c r="B92" s="2062"/>
      <c r="C92" s="2066"/>
      <c r="D92" s="2054"/>
      <c r="E92" s="2054"/>
      <c r="F92" s="2054"/>
      <c r="G92" s="2054"/>
      <c r="H92" s="2054"/>
      <c r="I92" s="2054"/>
      <c r="J92" s="2054"/>
      <c r="K92" s="2054"/>
      <c r="L92" s="2054"/>
      <c r="M92" s="1190"/>
      <c r="N92" s="1190"/>
    </row>
    <row r="93" spans="1:14" ht="15.75" thickBot="1">
      <c r="A93" s="1205"/>
      <c r="B93" s="2060" t="s">
        <v>5313</v>
      </c>
      <c r="C93" s="2057"/>
      <c r="D93" s="2057"/>
      <c r="E93" s="2057"/>
      <c r="F93" s="2058"/>
      <c r="G93" s="2057"/>
      <c r="H93" s="2057"/>
      <c r="I93" s="2057"/>
      <c r="J93" s="2057"/>
      <c r="K93" s="2057"/>
      <c r="L93" s="2057"/>
      <c r="M93" s="1205"/>
      <c r="N93" s="1205"/>
    </row>
    <row r="94" spans="1:14" ht="29.25" customHeight="1" thickBot="1">
      <c r="A94" s="1205"/>
      <c r="B94" s="3600" t="s">
        <v>8402</v>
      </c>
      <c r="C94" s="3601"/>
      <c r="D94" s="3601"/>
      <c r="E94" s="3601"/>
      <c r="F94" s="3601"/>
      <c r="G94" s="3601"/>
      <c r="H94" s="3601"/>
      <c r="I94" s="3601"/>
      <c r="J94" s="3601"/>
      <c r="K94" s="3602"/>
      <c r="L94" s="2057"/>
      <c r="M94" s="1205"/>
      <c r="N94" s="1205"/>
    </row>
    <row r="95" spans="1:14">
      <c r="A95" s="2004"/>
      <c r="B95" s="2004"/>
      <c r="C95" s="2004"/>
      <c r="D95" s="2004"/>
      <c r="E95" s="2004"/>
      <c r="F95" s="2004"/>
      <c r="G95" s="2004"/>
      <c r="H95" s="2004"/>
      <c r="I95" s="2004"/>
      <c r="J95" s="2004"/>
      <c r="K95" s="2004"/>
      <c r="L95" s="2004"/>
      <c r="M95" s="2004"/>
      <c r="N95" s="2004"/>
    </row>
  </sheetData>
  <sheetProtection algorithmName="SHA-512" hashValue="aeOMflmVp1W9zOA/2FTjQUmR04tSn8EJra+/qMYzVr3rsgzuuc14R8EbKx0oxkocqYt19Sd/Prmt9wwq/kCjVg==" saltValue="FQUtVVZweQ2vq358/rpvNQ==" spinCount="100000" sheet="1" objects="1" scenarios="1"/>
  <mergeCells count="67">
    <mergeCell ref="D3:D5"/>
    <mergeCell ref="P3:AF3"/>
    <mergeCell ref="AG3:AG5"/>
    <mergeCell ref="AI3:AI5"/>
    <mergeCell ref="G4:G5"/>
    <mergeCell ref="H4:I4"/>
    <mergeCell ref="J4:M4"/>
    <mergeCell ref="N4:N5"/>
    <mergeCell ref="P4:T4"/>
    <mergeCell ref="U4:Z4"/>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C70:L70"/>
    <mergeCell ref="C59:L59"/>
    <mergeCell ref="C60:L60"/>
    <mergeCell ref="C61:L61"/>
    <mergeCell ref="C62:L62"/>
    <mergeCell ref="C63:L63"/>
    <mergeCell ref="C64:L64"/>
    <mergeCell ref="C65:L65"/>
    <mergeCell ref="C66:L66"/>
    <mergeCell ref="C67:L67"/>
    <mergeCell ref="C68:L68"/>
    <mergeCell ref="C69:L69"/>
    <mergeCell ref="C84:K84"/>
    <mergeCell ref="C71:L71"/>
    <mergeCell ref="C72:L72"/>
    <mergeCell ref="C73:L73"/>
    <mergeCell ref="C74:L74"/>
    <mergeCell ref="C75:L75"/>
    <mergeCell ref="C76:L76"/>
    <mergeCell ref="B78:L78"/>
    <mergeCell ref="C80:K80"/>
    <mergeCell ref="C81:K81"/>
    <mergeCell ref="C82:K82"/>
    <mergeCell ref="C83:K83"/>
    <mergeCell ref="B94:K94"/>
    <mergeCell ref="C86:K86"/>
    <mergeCell ref="C87:K87"/>
    <mergeCell ref="C88:K88"/>
    <mergeCell ref="C89:K89"/>
    <mergeCell ref="C90:K90"/>
    <mergeCell ref="C91:K91"/>
    <mergeCell ref="BN26:BO26"/>
    <mergeCell ref="BS3:BZ3"/>
    <mergeCell ref="CB3:CR3"/>
    <mergeCell ref="BS4:BS5"/>
    <mergeCell ref="BT4:BU4"/>
    <mergeCell ref="BV4:BY4"/>
    <mergeCell ref="BZ4:BZ5"/>
    <mergeCell ref="CB4:CF4"/>
    <mergeCell ref="CG4:CL4"/>
    <mergeCell ref="CM4:CR4"/>
  </mergeCells>
  <conditionalFormatting sqref="AI8">
    <cfRule type="cellIs" dxfId="95" priority="5" operator="equal">
      <formula>0</formula>
    </cfRule>
  </conditionalFormatting>
  <conditionalFormatting sqref="AI29:AI38 AI18:AI23 AI9:AI13">
    <cfRule type="cellIs" dxfId="94"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AE54"/>
  <sheetViews>
    <sheetView workbookViewId="0">
      <selection activeCell="H21" sqref="H21"/>
    </sheetView>
  </sheetViews>
  <sheetFormatPr defaultColWidth="0" defaultRowHeight="14.25" zeroHeight="1"/>
  <cols>
    <col min="1" max="1" width="0.5" customWidth="1"/>
    <col min="2" max="2" width="8.5" customWidth="1"/>
    <col min="3" max="3" width="55" customWidth="1"/>
    <col min="4" max="4" width="0.125" hidden="1" customWidth="1"/>
    <col min="5" max="6" width="6.125" customWidth="1"/>
    <col min="7" max="8" width="15.125" customWidth="1"/>
    <col min="9" max="9" width="28.5" customWidth="1"/>
    <col min="10" max="10" width="2.125" customWidth="1"/>
    <col min="11" max="11" width="24.5" customWidth="1"/>
    <col min="12" max="12" width="2.125" customWidth="1"/>
    <col min="13" max="13" width="1.5" style="1665" hidden="1" customWidth="1"/>
    <col min="14" max="14" width="18.5" hidden="1" customWidth="1"/>
    <col min="15" max="15" width="1.5" hidden="1" customWidth="1"/>
    <col min="16" max="16" width="1.5" style="1665" hidden="1" customWidth="1"/>
    <col min="17" max="17" width="8.125" hidden="1" customWidth="1"/>
    <col min="18" max="18" width="1.5" style="1665" hidden="1" customWidth="1"/>
    <col min="19" max="20" width="0" hidden="1" customWidth="1"/>
    <col min="21" max="21" width="27.125" hidden="1" customWidth="1"/>
    <col min="22" max="22" width="1.5" style="1665" hidden="1" customWidth="1"/>
    <col min="23" max="24" width="8.5" customWidth="1"/>
    <col min="25" max="25" width="46" bestFit="1" customWidth="1"/>
    <col min="26" max="28" width="8.5" customWidth="1"/>
    <col min="29" max="30" width="15.375" customWidth="1"/>
    <col min="31" max="31" width="1.5" customWidth="1"/>
    <col min="32" max="16384" width="8.5" hidden="1"/>
  </cols>
  <sheetData>
    <row r="1" spans="1:30" ht="20.25">
      <c r="A1" s="880"/>
      <c r="B1" s="66" t="s">
        <v>8403</v>
      </c>
      <c r="C1" s="66"/>
      <c r="D1" s="66"/>
      <c r="E1" s="66"/>
      <c r="F1" s="66"/>
      <c r="G1" s="66"/>
      <c r="H1" s="66"/>
      <c r="I1" s="68" t="str">
        <f>Validation!B3</f>
        <v>Yorkshire Water</v>
      </c>
      <c r="J1" s="66"/>
      <c r="K1" s="69" t="s">
        <v>34</v>
      </c>
      <c r="L1" s="70"/>
      <c r="M1" s="71"/>
      <c r="N1" s="70"/>
      <c r="O1" s="70"/>
      <c r="P1" s="1673"/>
      <c r="Q1" s="2004"/>
      <c r="S1" s="2004"/>
      <c r="T1" s="2004"/>
      <c r="U1" s="2004"/>
      <c r="W1" s="2004"/>
      <c r="X1" s="66" t="s">
        <v>8403</v>
      </c>
      <c r="Y1" s="66"/>
      <c r="Z1" s="66"/>
      <c r="AA1" s="66"/>
      <c r="AB1" s="66"/>
      <c r="AC1" s="66"/>
      <c r="AD1" s="66"/>
    </row>
    <row r="2" spans="1:30" ht="15.75" thickBot="1">
      <c r="A2" s="1218"/>
      <c r="B2" s="73" t="str">
        <f>'4S'!B2</f>
        <v>For the 12 months ended 31 March 2020</v>
      </c>
      <c r="C2" s="1218"/>
      <c r="D2" s="1218"/>
      <c r="E2" s="1218"/>
      <c r="F2" s="1218"/>
      <c r="G2" s="1218"/>
      <c r="H2" s="1218"/>
      <c r="I2" s="1190"/>
      <c r="J2" s="1190"/>
      <c r="K2" s="70"/>
      <c r="L2" s="70"/>
      <c r="M2" s="71"/>
      <c r="N2" s="70"/>
      <c r="O2" s="70"/>
      <c r="P2" s="1673"/>
      <c r="Q2" s="2004"/>
      <c r="S2" s="2004"/>
      <c r="T2" s="2004"/>
      <c r="U2" s="2004"/>
      <c r="W2" s="2004"/>
      <c r="X2" s="73" t="str">
        <f>+B2</f>
        <v>For the 12 months ended 31 March 2020</v>
      </c>
      <c r="Y2" s="2917"/>
      <c r="Z2" s="2917"/>
      <c r="AA2" s="2917"/>
      <c r="AB2" s="2917"/>
      <c r="AC2" s="2917"/>
      <c r="AD2" s="2917"/>
    </row>
    <row r="3" spans="1:30" ht="33" customHeight="1" thickBot="1">
      <c r="A3" s="1205"/>
      <c r="B3" s="1481" t="s">
        <v>193</v>
      </c>
      <c r="C3" s="1483" t="s">
        <v>4916</v>
      </c>
      <c r="D3" s="1482" t="s">
        <v>3098</v>
      </c>
      <c r="E3" s="1483" t="s">
        <v>2310</v>
      </c>
      <c r="F3" s="1484" t="s">
        <v>39</v>
      </c>
      <c r="G3" s="1485" t="s">
        <v>8404</v>
      </c>
      <c r="H3" s="1486" t="s">
        <v>8405</v>
      </c>
      <c r="I3" s="1408" t="s">
        <v>4567</v>
      </c>
      <c r="J3" s="1257"/>
      <c r="K3" s="2990" t="s">
        <v>43</v>
      </c>
      <c r="L3" s="70"/>
      <c r="M3" s="71"/>
      <c r="N3" s="76" t="s">
        <v>47</v>
      </c>
      <c r="O3" s="1605"/>
      <c r="P3" s="71"/>
      <c r="Q3" s="2987" t="s">
        <v>26</v>
      </c>
      <c r="R3" s="71"/>
      <c r="S3" s="76" t="s">
        <v>904</v>
      </c>
      <c r="T3" s="2987"/>
      <c r="U3" s="2987"/>
      <c r="V3" s="71"/>
      <c r="W3" s="2004"/>
      <c r="X3" s="1481" t="s">
        <v>193</v>
      </c>
      <c r="Y3" s="1481" t="s">
        <v>4916</v>
      </c>
      <c r="Z3" s="1482" t="s">
        <v>3098</v>
      </c>
      <c r="AA3" s="1483" t="s">
        <v>2310</v>
      </c>
      <c r="AB3" s="1484" t="s">
        <v>39</v>
      </c>
      <c r="AC3" s="1485" t="s">
        <v>8404</v>
      </c>
      <c r="AD3" s="1486" t="s">
        <v>8405</v>
      </c>
    </row>
    <row r="4" spans="1:30" ht="15.75" thickBot="1">
      <c r="A4" s="1205"/>
      <c r="B4" s="1205"/>
      <c r="C4" s="1205"/>
      <c r="D4" s="1205"/>
      <c r="E4" s="1205"/>
      <c r="F4" s="1205"/>
      <c r="G4" s="1205"/>
      <c r="H4" s="1205"/>
      <c r="I4" s="2004"/>
      <c r="J4" s="2004"/>
      <c r="K4" s="2004"/>
      <c r="L4" s="2004"/>
      <c r="M4" s="71"/>
      <c r="N4" s="85" t="s">
        <v>48</v>
      </c>
      <c r="O4" s="85"/>
      <c r="P4" s="71"/>
      <c r="Q4" s="2004"/>
      <c r="S4" s="2004"/>
      <c r="T4" s="2004"/>
      <c r="U4" s="2004"/>
      <c r="W4" s="2004"/>
      <c r="X4" s="2918"/>
      <c r="Y4" s="2918"/>
      <c r="Z4" s="2918"/>
      <c r="AA4" s="2918"/>
      <c r="AB4" s="2918"/>
      <c r="AC4" s="2919" t="s">
        <v>8406</v>
      </c>
      <c r="AD4" s="2919" t="s">
        <v>8407</v>
      </c>
    </row>
    <row r="5" spans="1:30" ht="15.75" thickBot="1">
      <c r="A5" s="1205"/>
      <c r="B5" s="3034" t="s">
        <v>155</v>
      </c>
      <c r="C5" s="1060" t="s">
        <v>8408</v>
      </c>
      <c r="D5" s="1205"/>
      <c r="E5" s="1205"/>
      <c r="F5" s="1205"/>
      <c r="G5" s="1205"/>
      <c r="H5" s="1205"/>
      <c r="I5" s="2004"/>
      <c r="J5" s="2004"/>
      <c r="K5" s="2004"/>
      <c r="L5" s="2004"/>
      <c r="M5" s="71"/>
      <c r="N5" s="85"/>
      <c r="O5" s="85"/>
      <c r="P5" s="71"/>
      <c r="Q5" s="2004"/>
      <c r="S5" s="2004"/>
      <c r="T5" s="2004"/>
      <c r="U5" s="2004"/>
      <c r="W5" s="2004"/>
      <c r="X5" s="3034" t="s">
        <v>155</v>
      </c>
      <c r="Y5" s="2920" t="s">
        <v>8408</v>
      </c>
      <c r="Z5" s="2918"/>
      <c r="AA5" s="2918"/>
      <c r="AB5" s="2918"/>
      <c r="AC5" s="2918"/>
      <c r="AD5" s="2918"/>
    </row>
    <row r="6" spans="1:30" ht="15">
      <c r="A6" s="1205"/>
      <c r="B6" s="86" t="s">
        <v>8409</v>
      </c>
      <c r="C6" s="117" t="s">
        <v>8410</v>
      </c>
      <c r="D6" s="1637" t="s">
        <v>8411</v>
      </c>
      <c r="E6" s="88" t="s">
        <v>734</v>
      </c>
      <c r="F6" s="89">
        <v>1</v>
      </c>
      <c r="G6" s="1282">
        <v>3.3000000000000002E-2</v>
      </c>
      <c r="H6" s="1586">
        <v>0</v>
      </c>
      <c r="I6" s="1777"/>
      <c r="J6" s="2004"/>
      <c r="K6" s="24">
        <f t="shared" ref="K6:K13" si="0" xml:space="preserve"> IF( SUM( M6:P6 ) = 0, 0, $N$4 )</f>
        <v>0</v>
      </c>
      <c r="L6" s="70"/>
      <c r="M6" s="71"/>
      <c r="N6" s="93">
        <f>IF(Validation!$H$3=1,0,IF(ISNUMBER(G6),0,1))</f>
        <v>0</v>
      </c>
      <c r="O6" s="93">
        <f>IF(Validation!$H$3=1,0,IF(ISNUMBER(H6),0,1))</f>
        <v>0</v>
      </c>
      <c r="P6" s="71"/>
      <c r="Q6" s="2004"/>
      <c r="S6" s="2004"/>
      <c r="T6" s="2004"/>
      <c r="U6" s="2004"/>
      <c r="W6" s="2004"/>
      <c r="X6" s="86" t="s">
        <v>8409</v>
      </c>
      <c r="Y6" s="117" t="s">
        <v>8410</v>
      </c>
      <c r="Z6" s="2484" t="s">
        <v>8411</v>
      </c>
      <c r="AA6" s="88" t="s">
        <v>734</v>
      </c>
      <c r="AB6" s="89">
        <v>1</v>
      </c>
      <c r="AC6" s="2921" t="str">
        <f>$D6&amp;AC$4</f>
        <v>BN5611INC</v>
      </c>
      <c r="AD6" s="2922" t="str">
        <f t="shared" ref="AD6:AD14" si="1">$D6&amp;AD$4</f>
        <v>BN5611TPS</v>
      </c>
    </row>
    <row r="7" spans="1:30" ht="15.75" customHeight="1">
      <c r="A7" s="1205"/>
      <c r="B7" s="1009" t="s">
        <v>8412</v>
      </c>
      <c r="C7" s="1010" t="s">
        <v>8413</v>
      </c>
      <c r="D7" s="1638" t="s">
        <v>8414</v>
      </c>
      <c r="E7" s="2003" t="s">
        <v>734</v>
      </c>
      <c r="F7" s="1007">
        <v>1</v>
      </c>
      <c r="G7" s="1283">
        <v>3.0000000000000001E-3</v>
      </c>
      <c r="H7" s="1587">
        <v>1.2E-2</v>
      </c>
      <c r="I7" s="1778"/>
      <c r="J7" s="2004"/>
      <c r="K7" s="24">
        <f t="shared" si="0"/>
        <v>0</v>
      </c>
      <c r="L7" s="70"/>
      <c r="M7" s="71"/>
      <c r="N7" s="93">
        <f>IF(Validation!$H$3=1,0,IF(ISNUMBER(G7),0,1))</f>
        <v>0</v>
      </c>
      <c r="O7" s="93">
        <f>IF(Validation!$H$3=1,0,IF(ISNUMBER(H7),0,1))</f>
        <v>0</v>
      </c>
      <c r="P7" s="71"/>
      <c r="Q7" s="2004"/>
      <c r="S7" s="2004"/>
      <c r="T7" s="2004"/>
      <c r="U7" s="2004"/>
      <c r="W7" s="2004"/>
      <c r="X7" s="1009" t="s">
        <v>8412</v>
      </c>
      <c r="Y7" s="2923" t="s">
        <v>8413</v>
      </c>
      <c r="Z7" s="2924" t="s">
        <v>8414</v>
      </c>
      <c r="AA7" s="2003" t="s">
        <v>734</v>
      </c>
      <c r="AB7" s="1007">
        <v>1</v>
      </c>
      <c r="AC7" s="2925" t="str">
        <f t="shared" ref="AC7:AC14" si="2">$D7&amp;AC$4</f>
        <v>BN5612INC</v>
      </c>
      <c r="AD7" s="2926" t="str">
        <f t="shared" si="1"/>
        <v>BN5612TPS</v>
      </c>
    </row>
    <row r="8" spans="1:30" ht="15.75" customHeight="1">
      <c r="A8" s="1205"/>
      <c r="B8" s="1009" t="s">
        <v>8415</v>
      </c>
      <c r="C8" s="1010" t="s">
        <v>8416</v>
      </c>
      <c r="D8" s="1638" t="s">
        <v>8417</v>
      </c>
      <c r="E8" s="2003" t="s">
        <v>734</v>
      </c>
      <c r="F8" s="1007">
        <v>1</v>
      </c>
      <c r="G8" s="1283">
        <v>0.78100000000000003</v>
      </c>
      <c r="H8" s="1587">
        <v>1E-3</v>
      </c>
      <c r="I8" s="1778"/>
      <c r="J8" s="2004"/>
      <c r="K8" s="24">
        <f t="shared" si="0"/>
        <v>0</v>
      </c>
      <c r="L8" s="70"/>
      <c r="M8" s="71"/>
      <c r="N8" s="93">
        <f>IF(Validation!$H$3=1,0,IF(ISNUMBER(G8),0,1))</f>
        <v>0</v>
      </c>
      <c r="O8" s="93">
        <f>IF(Validation!$H$3=1,0,IF(ISNUMBER(H8),0,1))</f>
        <v>0</v>
      </c>
      <c r="P8" s="71"/>
      <c r="Q8" s="2004"/>
      <c r="S8" s="2004"/>
      <c r="T8" s="2004"/>
      <c r="U8" s="2004"/>
      <c r="W8" s="2004"/>
      <c r="X8" s="1009" t="s">
        <v>8415</v>
      </c>
      <c r="Y8" s="2923" t="s">
        <v>8416</v>
      </c>
      <c r="Z8" s="2924" t="s">
        <v>8417</v>
      </c>
      <c r="AA8" s="2003" t="s">
        <v>734</v>
      </c>
      <c r="AB8" s="1007">
        <v>1</v>
      </c>
      <c r="AC8" s="2925" t="str">
        <f t="shared" si="2"/>
        <v>BN5613INC</v>
      </c>
      <c r="AD8" s="2926" t="str">
        <f t="shared" si="1"/>
        <v>BN5613TPS</v>
      </c>
    </row>
    <row r="9" spans="1:30" ht="15.75" customHeight="1">
      <c r="A9" s="1205"/>
      <c r="B9" s="1009" t="s">
        <v>8418</v>
      </c>
      <c r="C9" s="1010" t="s">
        <v>8419</v>
      </c>
      <c r="D9" s="1638" t="s">
        <v>8420</v>
      </c>
      <c r="E9" s="2003" t="s">
        <v>734</v>
      </c>
      <c r="F9" s="1007">
        <v>1</v>
      </c>
      <c r="G9" s="1283">
        <v>0.16900000000000001</v>
      </c>
      <c r="H9" s="1587">
        <v>1E-3</v>
      </c>
      <c r="I9" s="1778"/>
      <c r="J9" s="2004"/>
      <c r="K9" s="24">
        <f t="shared" si="0"/>
        <v>0</v>
      </c>
      <c r="L9" s="70"/>
      <c r="M9" s="71"/>
      <c r="N9" s="93">
        <f>IF(Validation!$H$3=1,0,IF(ISNUMBER(G9),0,1))</f>
        <v>0</v>
      </c>
      <c r="O9" s="93">
        <f>IF(Validation!$H$3=1,0,IF(ISNUMBER(H9),0,1))</f>
        <v>0</v>
      </c>
      <c r="P9" s="71"/>
      <c r="Q9" s="2004"/>
      <c r="S9" s="2004"/>
      <c r="T9" s="2004"/>
      <c r="U9" s="2004"/>
      <c r="W9" s="2004"/>
      <c r="X9" s="1009" t="s">
        <v>8418</v>
      </c>
      <c r="Y9" s="2923" t="s">
        <v>8419</v>
      </c>
      <c r="Z9" s="2924" t="s">
        <v>8420</v>
      </c>
      <c r="AA9" s="2003" t="s">
        <v>734</v>
      </c>
      <c r="AB9" s="1007">
        <v>1</v>
      </c>
      <c r="AC9" s="2925" t="str">
        <f t="shared" si="2"/>
        <v>BN5614INC</v>
      </c>
      <c r="AD9" s="2926" t="str">
        <f t="shared" si="1"/>
        <v>BN5614TPS</v>
      </c>
    </row>
    <row r="10" spans="1:30" ht="15.75" customHeight="1">
      <c r="A10" s="1205"/>
      <c r="B10" s="1009" t="s">
        <v>8421</v>
      </c>
      <c r="C10" s="1010" t="s">
        <v>8422</v>
      </c>
      <c r="D10" s="1638" t="s">
        <v>8423</v>
      </c>
      <c r="E10" s="2003" t="s">
        <v>734</v>
      </c>
      <c r="F10" s="1007">
        <v>1</v>
      </c>
      <c r="G10" s="1284">
        <v>0</v>
      </c>
      <c r="H10" s="1588">
        <v>0</v>
      </c>
      <c r="I10" s="1779"/>
      <c r="J10" s="2004"/>
      <c r="K10" s="24">
        <f t="shared" si="0"/>
        <v>0</v>
      </c>
      <c r="L10" s="70"/>
      <c r="M10" s="71"/>
      <c r="N10" s="93">
        <f>IF(Validation!$H$3=1,0,IF(ISNUMBER(G10),0,1))</f>
        <v>0</v>
      </c>
      <c r="O10" s="93">
        <f>IF(Validation!$H$3=1,0,IF(ISNUMBER(H10),0,1))</f>
        <v>0</v>
      </c>
      <c r="P10" s="71"/>
      <c r="Q10" s="2004"/>
      <c r="S10" s="2004"/>
      <c r="T10" s="2004"/>
      <c r="U10" s="2004"/>
      <c r="W10" s="2004"/>
      <c r="X10" s="1009" t="s">
        <v>8421</v>
      </c>
      <c r="Y10" s="2923" t="s">
        <v>8422</v>
      </c>
      <c r="Z10" s="2924" t="s">
        <v>8423</v>
      </c>
      <c r="AA10" s="2003" t="s">
        <v>734</v>
      </c>
      <c r="AB10" s="1007">
        <v>1</v>
      </c>
      <c r="AC10" s="2927" t="str">
        <f t="shared" si="2"/>
        <v>BN5615INC</v>
      </c>
      <c r="AD10" s="2928" t="str">
        <f t="shared" si="1"/>
        <v>BN5615TPS</v>
      </c>
    </row>
    <row r="11" spans="1:30" ht="15.75" customHeight="1">
      <c r="A11" s="1205"/>
      <c r="B11" s="1009" t="s">
        <v>8424</v>
      </c>
      <c r="C11" s="1010" t="s">
        <v>8425</v>
      </c>
      <c r="D11" s="1638" t="s">
        <v>8426</v>
      </c>
      <c r="E11" s="2003" t="s">
        <v>734</v>
      </c>
      <c r="F11" s="1007">
        <v>1</v>
      </c>
      <c r="G11" s="1283">
        <v>0</v>
      </c>
      <c r="H11" s="1587">
        <v>0</v>
      </c>
      <c r="I11" s="1778"/>
      <c r="J11" s="2004"/>
      <c r="K11" s="24">
        <f t="shared" si="0"/>
        <v>0</v>
      </c>
      <c r="L11" s="70"/>
      <c r="M11" s="71"/>
      <c r="N11" s="93">
        <f>IF(Validation!$H$3=1,0,IF(ISNUMBER(G11),0,1))</f>
        <v>0</v>
      </c>
      <c r="O11" s="93">
        <f>IF(Validation!$H$3=1,0,IF(ISNUMBER(H11),0,1))</f>
        <v>0</v>
      </c>
      <c r="P11" s="71"/>
      <c r="Q11" s="2004"/>
      <c r="S11" s="2004"/>
      <c r="T11" s="2004"/>
      <c r="U11" s="2004"/>
      <c r="W11" s="2004"/>
      <c r="X11" s="1009" t="s">
        <v>8424</v>
      </c>
      <c r="Y11" s="2923" t="s">
        <v>8425</v>
      </c>
      <c r="Z11" s="2924" t="s">
        <v>8426</v>
      </c>
      <c r="AA11" s="2003" t="s">
        <v>734</v>
      </c>
      <c r="AB11" s="1007">
        <v>1</v>
      </c>
      <c r="AC11" s="2925" t="str">
        <f t="shared" si="2"/>
        <v>BN5616INC</v>
      </c>
      <c r="AD11" s="2926" t="str">
        <f t="shared" si="1"/>
        <v>BN5616TPS</v>
      </c>
    </row>
    <row r="12" spans="1:30" ht="15.75" customHeight="1">
      <c r="A12" s="1205"/>
      <c r="B12" s="1009" t="s">
        <v>8427</v>
      </c>
      <c r="C12" s="1010" t="s">
        <v>8428</v>
      </c>
      <c r="D12" s="1638" t="s">
        <v>8429</v>
      </c>
      <c r="E12" s="2003" t="s">
        <v>734</v>
      </c>
      <c r="F12" s="1007">
        <v>1</v>
      </c>
      <c r="G12" s="1283">
        <v>0</v>
      </c>
      <c r="H12" s="1587">
        <v>0</v>
      </c>
      <c r="I12" s="1778"/>
      <c r="J12" s="2004"/>
      <c r="K12" s="24">
        <f t="shared" si="0"/>
        <v>0</v>
      </c>
      <c r="L12" s="70"/>
      <c r="M12" s="71"/>
      <c r="N12" s="93">
        <f>IF(Validation!$H$3=1,0,IF(ISNUMBER(G12),0,1))</f>
        <v>0</v>
      </c>
      <c r="O12" s="93">
        <f>IF(Validation!$H$3=1,0,IF(ISNUMBER(H12),0,1))</f>
        <v>0</v>
      </c>
      <c r="P12" s="71"/>
      <c r="Q12" s="2004"/>
      <c r="S12" s="2004"/>
      <c r="T12" s="2004"/>
      <c r="U12" s="2004"/>
      <c r="W12" s="2004"/>
      <c r="X12" s="1009" t="s">
        <v>8427</v>
      </c>
      <c r="Y12" s="2923" t="s">
        <v>8428</v>
      </c>
      <c r="Z12" s="2924" t="s">
        <v>8429</v>
      </c>
      <c r="AA12" s="2003" t="s">
        <v>734</v>
      </c>
      <c r="AB12" s="1007">
        <v>1</v>
      </c>
      <c r="AC12" s="2925" t="str">
        <f t="shared" si="2"/>
        <v>BN5617INC</v>
      </c>
      <c r="AD12" s="2926" t="str">
        <f t="shared" si="1"/>
        <v>BN5617TPS</v>
      </c>
    </row>
    <row r="13" spans="1:30" ht="15.75" customHeight="1">
      <c r="A13" s="1205"/>
      <c r="B13" s="1009" t="s">
        <v>8430</v>
      </c>
      <c r="C13" s="1010" t="s">
        <v>8431</v>
      </c>
      <c r="D13" s="1638" t="s">
        <v>8432</v>
      </c>
      <c r="E13" s="2003" t="s">
        <v>734</v>
      </c>
      <c r="F13" s="1007">
        <v>1</v>
      </c>
      <c r="G13" s="1283">
        <v>0</v>
      </c>
      <c r="H13" s="1587">
        <v>0</v>
      </c>
      <c r="I13" s="1778"/>
      <c r="J13" s="2004"/>
      <c r="K13" s="24">
        <f t="shared" si="0"/>
        <v>0</v>
      </c>
      <c r="L13" s="70"/>
      <c r="M13" s="71"/>
      <c r="N13" s="93">
        <f>IF(Validation!$H$3=1,0,IF(ISNUMBER(G13),0,1))</f>
        <v>0</v>
      </c>
      <c r="O13" s="93">
        <f>IF(Validation!$H$3=1,0,IF(ISNUMBER(H13),0,1))</f>
        <v>0</v>
      </c>
      <c r="P13" s="71"/>
      <c r="Q13" s="2004"/>
      <c r="S13" s="2004"/>
      <c r="T13" s="2004"/>
      <c r="U13" s="2004"/>
      <c r="W13" s="2004"/>
      <c r="X13" s="1009" t="s">
        <v>8430</v>
      </c>
      <c r="Y13" s="2923" t="s">
        <v>8431</v>
      </c>
      <c r="Z13" s="2924" t="s">
        <v>8432</v>
      </c>
      <c r="AA13" s="2003" t="s">
        <v>734</v>
      </c>
      <c r="AB13" s="1007">
        <v>1</v>
      </c>
      <c r="AC13" s="2925" t="str">
        <f t="shared" si="2"/>
        <v>BN5618INC</v>
      </c>
      <c r="AD13" s="2926" t="str">
        <f t="shared" si="1"/>
        <v>BN5618TPS</v>
      </c>
    </row>
    <row r="14" spans="1:30" ht="21.75" customHeight="1" thickBot="1">
      <c r="A14" s="1218"/>
      <c r="B14" s="1014" t="s">
        <v>8433</v>
      </c>
      <c r="C14" s="1115" t="s">
        <v>8434</v>
      </c>
      <c r="D14" s="1639" t="s">
        <v>8435</v>
      </c>
      <c r="E14" s="1016" t="s">
        <v>734</v>
      </c>
      <c r="F14" s="1017">
        <v>1</v>
      </c>
      <c r="G14" s="1285">
        <f>+SUM(G6:G13)</f>
        <v>0.9860000000000001</v>
      </c>
      <c r="H14" s="1738">
        <f>+SUM(H6:H13)</f>
        <v>1.4000000000000002E-2</v>
      </c>
      <c r="I14" s="1780"/>
      <c r="J14" s="2004"/>
      <c r="K14" s="1370">
        <f>IF(SUM(P14:R15) = 0, 0, $U$14)</f>
        <v>0</v>
      </c>
      <c r="L14" s="2004"/>
      <c r="N14" s="2004"/>
      <c r="O14" s="2004"/>
      <c r="P14" s="71"/>
      <c r="Q14" s="93">
        <f xml:space="preserve"> IF( (S14 - T14) = 0, 0, 1 )</f>
        <v>0</v>
      </c>
      <c r="R14" s="119"/>
      <c r="S14" s="112">
        <f>SUM(G6:H13)</f>
        <v>1</v>
      </c>
      <c r="T14" s="112">
        <v>1</v>
      </c>
      <c r="U14" s="139" t="s">
        <v>8436</v>
      </c>
      <c r="V14" s="119"/>
      <c r="W14" s="2004"/>
      <c r="X14" s="1014" t="s">
        <v>8433</v>
      </c>
      <c r="Y14" s="2929" t="s">
        <v>8434</v>
      </c>
      <c r="Z14" s="2930" t="s">
        <v>8435</v>
      </c>
      <c r="AA14" s="1016" t="s">
        <v>734</v>
      </c>
      <c r="AB14" s="1017">
        <v>1</v>
      </c>
      <c r="AC14" s="1285" t="str">
        <f t="shared" si="2"/>
        <v>BN5619INC</v>
      </c>
      <c r="AD14" s="1285" t="str">
        <f t="shared" si="1"/>
        <v>BN5619TPS</v>
      </c>
    </row>
    <row r="15" spans="1:30" ht="15" thickBot="1">
      <c r="A15" s="1218"/>
      <c r="B15" s="1217"/>
      <c r="C15" s="1218"/>
      <c r="D15" s="1217"/>
      <c r="E15" s="1217"/>
      <c r="F15" s="1217"/>
      <c r="G15" s="1217"/>
      <c r="H15" s="1217"/>
      <c r="I15" s="2004"/>
      <c r="J15" s="2004"/>
      <c r="K15" s="2004"/>
      <c r="L15" s="2004"/>
      <c r="N15" s="2004"/>
      <c r="O15" s="2004"/>
      <c r="Q15" s="2004"/>
      <c r="S15" s="2004"/>
      <c r="T15" s="2004"/>
      <c r="U15" s="2004"/>
      <c r="W15" s="2004"/>
      <c r="X15" s="2931"/>
      <c r="Y15" s="2917"/>
      <c r="Z15" s="2932"/>
      <c r="AA15" s="2931"/>
      <c r="AB15" s="2931"/>
      <c r="AC15" s="2931"/>
      <c r="AD15" s="2931"/>
    </row>
    <row r="16" spans="1:30" ht="15.75" thickBot="1">
      <c r="A16" s="1218"/>
      <c r="B16" s="3034" t="s">
        <v>177</v>
      </c>
      <c r="C16" s="1060" t="s">
        <v>8437</v>
      </c>
      <c r="D16" s="1217"/>
      <c r="E16" s="1217"/>
      <c r="F16" s="1217"/>
      <c r="G16" s="1217"/>
      <c r="H16" s="1217"/>
      <c r="I16" s="2004"/>
      <c r="J16" s="2004"/>
      <c r="K16" s="2004"/>
      <c r="L16" s="2004"/>
      <c r="N16" s="2004"/>
      <c r="O16" s="2004"/>
      <c r="Q16" s="2004"/>
      <c r="S16" s="2004"/>
      <c r="T16" s="2004"/>
      <c r="U16" s="2004"/>
      <c r="W16" s="2004"/>
      <c r="X16" s="3034" t="s">
        <v>177</v>
      </c>
      <c r="Y16" s="2920" t="s">
        <v>8437</v>
      </c>
      <c r="Z16" s="2932"/>
      <c r="AA16" s="2931"/>
      <c r="AB16" s="2931"/>
      <c r="AC16" s="2931"/>
      <c r="AD16" s="2931"/>
    </row>
    <row r="17" spans="1:30" ht="15" customHeight="1">
      <c r="A17" s="1218"/>
      <c r="B17" s="86" t="s">
        <v>8438</v>
      </c>
      <c r="C17" s="117" t="s">
        <v>8439</v>
      </c>
      <c r="D17" s="1637" t="s">
        <v>8440</v>
      </c>
      <c r="E17" s="88" t="s">
        <v>734</v>
      </c>
      <c r="F17" s="89">
        <v>1</v>
      </c>
      <c r="G17" s="1282">
        <v>0</v>
      </c>
      <c r="H17" s="1586">
        <v>0</v>
      </c>
      <c r="I17" s="1777"/>
      <c r="J17" s="2004"/>
      <c r="K17" s="24">
        <f xml:space="preserve"> IF( SUM( M17:P17 ) = 0, 0, $N$4 )</f>
        <v>0</v>
      </c>
      <c r="L17" s="70"/>
      <c r="M17" s="71"/>
      <c r="N17" s="93">
        <f>IF(Validation!$H$3=1,0,IF(ISNUMBER(G17),0,1))</f>
        <v>0</v>
      </c>
      <c r="O17" s="93">
        <f>IF(Validation!$H$3=1,0,IF(ISNUMBER(H17),0,1))</f>
        <v>0</v>
      </c>
      <c r="P17" s="71"/>
      <c r="Q17" s="2004"/>
      <c r="S17" s="2004"/>
      <c r="T17" s="2004"/>
      <c r="U17" s="2004"/>
      <c r="W17" s="2004"/>
      <c r="X17" s="86" t="s">
        <v>8438</v>
      </c>
      <c r="Y17" s="117" t="s">
        <v>8439</v>
      </c>
      <c r="Z17" s="2484" t="s">
        <v>8440</v>
      </c>
      <c r="AA17" s="88" t="s">
        <v>734</v>
      </c>
      <c r="AB17" s="89">
        <v>1</v>
      </c>
      <c r="AC17" s="2921" t="str">
        <f t="shared" ref="AC17:AD22" si="3">$D17&amp;AC$4</f>
        <v>BN5620INC</v>
      </c>
      <c r="AD17" s="2922" t="str">
        <f t="shared" si="3"/>
        <v>BN5620TPS</v>
      </c>
    </row>
    <row r="18" spans="1:30" ht="15" customHeight="1">
      <c r="A18" s="1218"/>
      <c r="B18" s="1009" t="s">
        <v>8441</v>
      </c>
      <c r="C18" s="1010" t="s">
        <v>8442</v>
      </c>
      <c r="D18" s="1638" t="s">
        <v>8443</v>
      </c>
      <c r="E18" s="2003" t="s">
        <v>734</v>
      </c>
      <c r="F18" s="1007">
        <v>1</v>
      </c>
      <c r="G18" s="1283">
        <v>0</v>
      </c>
      <c r="H18" s="1587">
        <v>0</v>
      </c>
      <c r="I18" s="1778"/>
      <c r="J18" s="2004"/>
      <c r="K18" s="24">
        <f xml:space="preserve"> IF( SUM( M18:P18 ) = 0, 0, $N$4 )</f>
        <v>0</v>
      </c>
      <c r="L18" s="70"/>
      <c r="M18" s="71"/>
      <c r="N18" s="93">
        <f>IF(Validation!$H$3=1,0,IF(ISNUMBER(G18),0,1))</f>
        <v>0</v>
      </c>
      <c r="O18" s="93">
        <f>IF(Validation!$H$3=1,0,IF(ISNUMBER(H18),0,1))</f>
        <v>0</v>
      </c>
      <c r="P18" s="71"/>
      <c r="Q18" s="2004"/>
      <c r="S18" s="2004"/>
      <c r="T18" s="2004"/>
      <c r="U18" s="2004"/>
      <c r="W18" s="2004"/>
      <c r="X18" s="1009" t="s">
        <v>8441</v>
      </c>
      <c r="Y18" s="2923" t="s">
        <v>8442</v>
      </c>
      <c r="Z18" s="2924" t="s">
        <v>8443</v>
      </c>
      <c r="AA18" s="2003" t="s">
        <v>734</v>
      </c>
      <c r="AB18" s="1007">
        <v>1</v>
      </c>
      <c r="AC18" s="2925" t="str">
        <f t="shared" si="3"/>
        <v>BN5621INC</v>
      </c>
      <c r="AD18" s="2926" t="str">
        <f t="shared" si="3"/>
        <v>BN5621TPS</v>
      </c>
    </row>
    <row r="19" spans="1:30" ht="15" customHeight="1">
      <c r="A19" s="1218"/>
      <c r="B19" s="1009" t="s">
        <v>8444</v>
      </c>
      <c r="C19" s="1010" t="s">
        <v>8445</v>
      </c>
      <c r="D19" s="1638" t="s">
        <v>8446</v>
      </c>
      <c r="E19" s="2003" t="s">
        <v>734</v>
      </c>
      <c r="F19" s="1007">
        <v>1</v>
      </c>
      <c r="G19" s="1283">
        <v>7.1999999999999995E-2</v>
      </c>
      <c r="H19" s="1587">
        <v>0</v>
      </c>
      <c r="I19" s="1778"/>
      <c r="J19" s="2004"/>
      <c r="K19" s="24">
        <f xml:space="preserve"> IF( SUM( M19:P19 ) = 0, 0, $N$4 )</f>
        <v>0</v>
      </c>
      <c r="L19" s="70"/>
      <c r="M19" s="71"/>
      <c r="N19" s="93">
        <f>IF(Validation!$H$3=1,0,IF(ISNUMBER(G19),0,1))</f>
        <v>0</v>
      </c>
      <c r="O19" s="93">
        <f>IF(Validation!$H$3=1,0,IF(ISNUMBER(H19),0,1))</f>
        <v>0</v>
      </c>
      <c r="P19" s="71"/>
      <c r="Q19" s="2004"/>
      <c r="S19" s="2004"/>
      <c r="T19" s="2004"/>
      <c r="U19" s="2004"/>
      <c r="W19" s="2004"/>
      <c r="X19" s="1009" t="s">
        <v>8444</v>
      </c>
      <c r="Y19" s="2923" t="s">
        <v>8445</v>
      </c>
      <c r="Z19" s="2924" t="s">
        <v>8446</v>
      </c>
      <c r="AA19" s="2003" t="s">
        <v>734</v>
      </c>
      <c r="AB19" s="1007">
        <v>1</v>
      </c>
      <c r="AC19" s="2925" t="str">
        <f t="shared" si="3"/>
        <v>BN5622INC</v>
      </c>
      <c r="AD19" s="2926" t="str">
        <f t="shared" si="3"/>
        <v>BN5622TPS</v>
      </c>
    </row>
    <row r="20" spans="1:30" ht="15" customHeight="1">
      <c r="A20" s="1218"/>
      <c r="B20" s="1009" t="s">
        <v>8447</v>
      </c>
      <c r="C20" s="1010" t="s">
        <v>8448</v>
      </c>
      <c r="D20" s="1638" t="s">
        <v>8449</v>
      </c>
      <c r="E20" s="2003" t="s">
        <v>734</v>
      </c>
      <c r="F20" s="1007">
        <v>1</v>
      </c>
      <c r="G20" s="1283">
        <v>0.90300000000000002</v>
      </c>
      <c r="H20" s="1587">
        <v>2.1999999999999999E-2</v>
      </c>
      <c r="I20" s="1778"/>
      <c r="J20" s="2004"/>
      <c r="K20" s="24">
        <f xml:space="preserve"> IF( SUM( M20:P20 ) = 0, 0, $N$4 )</f>
        <v>0</v>
      </c>
      <c r="L20" s="70"/>
      <c r="M20" s="71"/>
      <c r="N20" s="93">
        <f>IF(Validation!$H$3=1,0,IF(ISNUMBER(G20),0,1))</f>
        <v>0</v>
      </c>
      <c r="O20" s="93">
        <f>IF(Validation!$H$3=1,0,IF(ISNUMBER(H20),0,1))</f>
        <v>0</v>
      </c>
      <c r="P20" s="71"/>
      <c r="Q20" s="2004"/>
      <c r="S20" s="2004"/>
      <c r="T20" s="2004"/>
      <c r="U20" s="2004"/>
      <c r="W20" s="2004"/>
      <c r="X20" s="1009" t="s">
        <v>8447</v>
      </c>
      <c r="Y20" s="2923" t="s">
        <v>8448</v>
      </c>
      <c r="Z20" s="2924" t="s">
        <v>8449</v>
      </c>
      <c r="AA20" s="2003" t="s">
        <v>734</v>
      </c>
      <c r="AB20" s="1007">
        <v>1</v>
      </c>
      <c r="AC20" s="2925" t="str">
        <f t="shared" si="3"/>
        <v>BN5623INC</v>
      </c>
      <c r="AD20" s="2926" t="str">
        <f t="shared" si="3"/>
        <v>BN5623TPS</v>
      </c>
    </row>
    <row r="21" spans="1:30" ht="15" customHeight="1">
      <c r="A21" s="1218"/>
      <c r="B21" s="1009" t="s">
        <v>8450</v>
      </c>
      <c r="C21" s="1010" t="s">
        <v>8451</v>
      </c>
      <c r="D21" s="1638" t="s">
        <v>8452</v>
      </c>
      <c r="E21" s="2003" t="s">
        <v>734</v>
      </c>
      <c r="F21" s="1007">
        <v>1</v>
      </c>
      <c r="G21" s="1283">
        <v>0</v>
      </c>
      <c r="H21" s="1587">
        <v>3.0000000000000001E-3</v>
      </c>
      <c r="I21" s="1778"/>
      <c r="J21" s="2004"/>
      <c r="K21" s="24">
        <f xml:space="preserve"> IF( SUM( M21:P21 ) = 0, 0, $N$4 )</f>
        <v>0</v>
      </c>
      <c r="L21" s="70"/>
      <c r="M21" s="71"/>
      <c r="N21" s="93">
        <f>IF(Validation!$H$3=1,0,IF(ISNUMBER(G21),0,1))</f>
        <v>0</v>
      </c>
      <c r="O21" s="93">
        <f>IF(Validation!$H$3=1,0,IF(ISNUMBER(H21),0,1))</f>
        <v>0</v>
      </c>
      <c r="P21" s="71"/>
      <c r="Q21" s="2004"/>
      <c r="S21" s="2004"/>
      <c r="T21" s="2004"/>
      <c r="U21" s="2004"/>
      <c r="W21" s="2004"/>
      <c r="X21" s="1009" t="s">
        <v>8450</v>
      </c>
      <c r="Y21" s="2923" t="s">
        <v>8451</v>
      </c>
      <c r="Z21" s="2924" t="s">
        <v>8452</v>
      </c>
      <c r="AA21" s="2003" t="s">
        <v>734</v>
      </c>
      <c r="AB21" s="1007">
        <v>1</v>
      </c>
      <c r="AC21" s="2925" t="str">
        <f t="shared" si="3"/>
        <v>BN5624INC</v>
      </c>
      <c r="AD21" s="2926" t="str">
        <f t="shared" si="3"/>
        <v>BN5624TPS</v>
      </c>
    </row>
    <row r="22" spans="1:30" ht="21.75" customHeight="1" thickBot="1">
      <c r="A22" s="1218"/>
      <c r="B22" s="1014" t="s">
        <v>8453</v>
      </c>
      <c r="C22" s="1115" t="s">
        <v>8454</v>
      </c>
      <c r="D22" s="1639" t="s">
        <v>8455</v>
      </c>
      <c r="E22" s="1016" t="s">
        <v>734</v>
      </c>
      <c r="F22" s="1017">
        <v>1</v>
      </c>
      <c r="G22" s="1285">
        <f>+SUM(G17:G21)</f>
        <v>0.97499999999999998</v>
      </c>
      <c r="H22" s="1738">
        <f>+SUM(H17:H21)</f>
        <v>2.4999999999999998E-2</v>
      </c>
      <c r="I22" s="1780"/>
      <c r="J22" s="2004"/>
      <c r="K22" s="1370">
        <f>IF(SUM(P22:R23) = 0, 0, $U$22)</f>
        <v>0</v>
      </c>
      <c r="L22" s="2004"/>
      <c r="N22" s="2004"/>
      <c r="O22" s="2004"/>
      <c r="P22" s="71"/>
      <c r="Q22" s="93">
        <f xml:space="preserve"> IF( (S22 - T22) = 0, 0, 1 )</f>
        <v>0</v>
      </c>
      <c r="R22" s="119"/>
      <c r="S22" s="112">
        <f>SUM(G17:H21)</f>
        <v>1</v>
      </c>
      <c r="T22" s="112">
        <v>1</v>
      </c>
      <c r="U22" s="139" t="s">
        <v>8456</v>
      </c>
      <c r="V22" s="119"/>
      <c r="W22" s="2004"/>
      <c r="X22" s="1014" t="s">
        <v>8453</v>
      </c>
      <c r="Y22" s="2929" t="s">
        <v>8454</v>
      </c>
      <c r="Z22" s="2930" t="s">
        <v>8455</v>
      </c>
      <c r="AA22" s="1016" t="s">
        <v>734</v>
      </c>
      <c r="AB22" s="1017">
        <v>1</v>
      </c>
      <c r="AC22" s="1285" t="str">
        <f t="shared" si="3"/>
        <v>BN5625INC</v>
      </c>
      <c r="AD22" s="1286" t="str">
        <f t="shared" si="3"/>
        <v>BN5625TPS</v>
      </c>
    </row>
    <row r="23" spans="1:30">
      <c r="A23" s="2004"/>
      <c r="B23" s="2004"/>
      <c r="C23" s="2004"/>
      <c r="D23" s="2004"/>
      <c r="E23" s="2004"/>
      <c r="F23" s="2004"/>
      <c r="G23" s="2004"/>
      <c r="H23" s="2004"/>
      <c r="I23" s="2004"/>
      <c r="J23" s="2004"/>
      <c r="K23" s="2004"/>
      <c r="L23" s="2004"/>
      <c r="N23" s="2004"/>
      <c r="O23" s="2004"/>
      <c r="Q23" s="2004"/>
      <c r="S23" s="2004"/>
      <c r="T23" s="2004"/>
      <c r="U23" s="2004"/>
      <c r="V23" s="119"/>
      <c r="W23" s="2004"/>
      <c r="X23" s="479"/>
      <c r="Y23" s="479"/>
      <c r="Z23" s="2482"/>
      <c r="AA23" s="479"/>
      <c r="AB23" s="479"/>
      <c r="AC23" s="479"/>
      <c r="AD23" s="479"/>
    </row>
    <row r="24" spans="1:30" ht="15">
      <c r="A24" s="2004"/>
      <c r="B24" s="3641" t="s">
        <v>243</v>
      </c>
      <c r="C24" s="3642"/>
      <c r="D24" s="2004"/>
      <c r="E24" s="2004"/>
      <c r="F24" s="2004"/>
      <c r="G24" s="2004"/>
      <c r="H24" s="2004"/>
      <c r="I24" s="2004"/>
      <c r="J24" s="2004"/>
      <c r="K24" s="2004"/>
      <c r="L24" s="2004"/>
      <c r="N24" s="2004"/>
      <c r="O24" s="2004"/>
      <c r="Q24" s="2004"/>
      <c r="S24" s="2004"/>
      <c r="T24" s="2004"/>
      <c r="U24" s="2004"/>
      <c r="W24" s="2004"/>
      <c r="X24" s="479"/>
      <c r="Y24" s="479"/>
      <c r="Z24" s="2482"/>
      <c r="AA24" s="479"/>
      <c r="AB24" s="479"/>
      <c r="AC24" s="479"/>
      <c r="AD24" s="479"/>
    </row>
    <row r="25" spans="1:30" ht="15">
      <c r="A25" s="2004"/>
      <c r="B25" s="1126"/>
      <c r="C25" s="1126"/>
      <c r="D25" s="2004"/>
      <c r="E25" s="2004"/>
      <c r="F25" s="2004"/>
      <c r="G25" s="2004"/>
      <c r="H25" s="2004"/>
      <c r="I25" s="2004"/>
      <c r="J25" s="2004"/>
      <c r="K25" s="2004"/>
      <c r="L25" s="2004"/>
      <c r="N25" s="2004"/>
      <c r="O25" s="2004"/>
      <c r="Q25" s="2004"/>
      <c r="S25" s="2004"/>
      <c r="T25" s="2004"/>
      <c r="U25" s="2004"/>
      <c r="W25" s="2004"/>
      <c r="X25" s="2004"/>
      <c r="Y25" s="2004"/>
      <c r="Z25" s="2004"/>
      <c r="AA25" s="2004"/>
      <c r="AB25" s="2004"/>
      <c r="AC25" s="2004"/>
      <c r="AD25" s="2004"/>
    </row>
    <row r="26" spans="1:30" ht="15.75">
      <c r="A26" s="2004"/>
      <c r="B26" s="958"/>
      <c r="C26" s="1249" t="s">
        <v>190</v>
      </c>
      <c r="D26" s="2004"/>
      <c r="E26" s="2004"/>
      <c r="F26" s="2004"/>
      <c r="G26" s="2004"/>
      <c r="H26" s="2004"/>
      <c r="I26" s="2004"/>
      <c r="J26" s="2004"/>
      <c r="K26" s="2004"/>
      <c r="L26" s="2004"/>
      <c r="N26" s="2004"/>
      <c r="O26" s="2004"/>
      <c r="Q26" s="2004"/>
      <c r="S26" s="2004"/>
      <c r="T26" s="2004"/>
      <c r="U26" s="2004"/>
      <c r="W26" s="2004"/>
      <c r="X26" s="2004"/>
      <c r="Y26" s="2004"/>
      <c r="Z26" s="2004"/>
      <c r="AA26" s="2004"/>
      <c r="AB26" s="2004"/>
      <c r="AC26" s="2004"/>
      <c r="AD26" s="2004"/>
    </row>
    <row r="27" spans="1:30" ht="15">
      <c r="A27" s="2004"/>
      <c r="B27" s="1126"/>
      <c r="C27" s="1126"/>
      <c r="D27" s="2004"/>
      <c r="E27" s="2004"/>
      <c r="F27" s="2004"/>
      <c r="G27" s="2004"/>
      <c r="H27" s="2004"/>
      <c r="I27" s="2004"/>
      <c r="J27" s="2004"/>
      <c r="K27" s="2004"/>
      <c r="L27" s="2004"/>
      <c r="N27" s="2004"/>
      <c r="O27" s="2004"/>
      <c r="Q27" s="2004"/>
      <c r="S27" s="2004"/>
      <c r="T27" s="2004"/>
      <c r="U27" s="2004"/>
      <c r="W27" s="2004"/>
      <c r="X27" s="2004"/>
      <c r="Y27" s="2004"/>
      <c r="Z27" s="2004"/>
      <c r="AA27" s="2004"/>
      <c r="AB27" s="2004"/>
      <c r="AC27" s="2004"/>
      <c r="AD27" s="2004"/>
    </row>
    <row r="28" spans="1:30" ht="15.75">
      <c r="A28" s="2004"/>
      <c r="B28" s="960"/>
      <c r="C28" s="1249" t="s">
        <v>5294</v>
      </c>
      <c r="D28" s="2004"/>
      <c r="E28" s="2004"/>
      <c r="F28" s="2004"/>
      <c r="G28" s="2004"/>
      <c r="H28" s="2004"/>
      <c r="I28" s="2004"/>
      <c r="J28" s="2004"/>
      <c r="K28" s="2004"/>
      <c r="L28" s="2004"/>
      <c r="N28" s="2004"/>
      <c r="O28" s="2004"/>
      <c r="Q28" s="2004"/>
      <c r="S28" s="2004"/>
      <c r="T28" s="2004"/>
      <c r="U28" s="2004"/>
      <c r="W28" s="2004"/>
      <c r="X28" s="2004"/>
      <c r="Y28" s="2004"/>
      <c r="Z28" s="2004"/>
      <c r="AA28" s="2004"/>
      <c r="AB28" s="2004"/>
      <c r="AC28" s="2004"/>
      <c r="AD28" s="2004"/>
    </row>
    <row r="29" spans="1:30">
      <c r="A29" s="2004"/>
      <c r="B29" s="2004"/>
      <c r="C29" s="2004"/>
      <c r="D29" s="2004"/>
      <c r="E29" s="2004"/>
      <c r="F29" s="2004"/>
      <c r="G29" s="2004"/>
      <c r="H29" s="2004"/>
      <c r="I29" s="2004"/>
      <c r="J29" s="2004"/>
      <c r="K29" s="2004"/>
      <c r="L29" s="2004"/>
      <c r="N29" s="2004"/>
      <c r="O29" s="2004"/>
      <c r="Q29" s="2004"/>
      <c r="S29" s="2004"/>
      <c r="T29" s="2004"/>
      <c r="U29" s="2004"/>
      <c r="W29" s="2004"/>
      <c r="X29" s="2004"/>
      <c r="Y29" s="2004"/>
      <c r="Z29" s="2004"/>
      <c r="AA29" s="2004"/>
      <c r="AB29" s="2004"/>
      <c r="AC29" s="2004"/>
      <c r="AD29" s="2004"/>
    </row>
    <row r="30" spans="1:30" ht="15" thickBot="1">
      <c r="A30" s="2004"/>
      <c r="B30" s="2004"/>
      <c r="C30" s="2004"/>
      <c r="D30" s="2004"/>
      <c r="E30" s="2004"/>
      <c r="F30" s="2004"/>
      <c r="G30" s="2004"/>
      <c r="H30" s="2004"/>
      <c r="I30" s="2004"/>
      <c r="J30" s="2004"/>
      <c r="K30" s="2004"/>
      <c r="L30" s="2004"/>
      <c r="N30" s="2004"/>
      <c r="O30" s="2004"/>
      <c r="Q30" s="2004"/>
      <c r="S30" s="2004"/>
      <c r="T30" s="2004"/>
      <c r="U30" s="2004"/>
      <c r="W30" s="2004"/>
      <c r="X30" s="2004"/>
      <c r="Y30" s="2004"/>
      <c r="Z30" s="2004"/>
      <c r="AA30" s="2004"/>
      <c r="AB30" s="2004"/>
      <c r="AC30" s="2004"/>
      <c r="AD30" s="2004"/>
    </row>
    <row r="31" spans="1:30" ht="16.5" thickBot="1">
      <c r="A31" s="2004"/>
      <c r="B31" s="1373" t="str">
        <f>'4S'!B47</f>
        <v>Please refer to RAG 4.08 - Guideline for the table definitions in the annual performance report for the reporting year 2019-20</v>
      </c>
      <c r="C31" s="961"/>
      <c r="D31" s="961"/>
      <c r="E31" s="961"/>
      <c r="F31" s="962"/>
      <c r="G31" s="962"/>
      <c r="H31" s="962"/>
      <c r="I31" s="963"/>
      <c r="J31" s="2004"/>
      <c r="K31" s="2004"/>
      <c r="L31" s="2004"/>
      <c r="N31" s="2004"/>
      <c r="O31" s="2004"/>
      <c r="Q31" s="2004"/>
      <c r="S31" s="2004"/>
      <c r="T31" s="2004"/>
      <c r="U31" s="2004"/>
      <c r="W31" s="2004"/>
      <c r="X31" s="2004"/>
      <c r="Y31" s="2004"/>
      <c r="Z31" s="2004"/>
      <c r="AA31" s="2004"/>
      <c r="AB31" s="2004"/>
      <c r="AC31" s="2004"/>
      <c r="AD31" s="2004"/>
    </row>
    <row r="32" spans="1:30" ht="15" thickBot="1">
      <c r="A32" s="2004"/>
      <c r="B32" s="2004"/>
      <c r="C32" s="2004"/>
      <c r="D32" s="2004"/>
      <c r="E32" s="2004"/>
      <c r="F32" s="2004"/>
      <c r="G32" s="2004"/>
      <c r="H32" s="2004"/>
      <c r="I32" s="2004"/>
      <c r="J32" s="2004"/>
      <c r="K32" s="2004"/>
      <c r="L32" s="2004"/>
      <c r="N32" s="2004"/>
      <c r="O32" s="2004"/>
      <c r="Q32" s="2004"/>
      <c r="S32" s="2004"/>
      <c r="T32" s="2004"/>
      <c r="U32" s="2004"/>
      <c r="W32" s="2004"/>
      <c r="X32" s="2004"/>
      <c r="Y32" s="2004"/>
      <c r="Z32" s="2004"/>
      <c r="AA32" s="2004"/>
      <c r="AB32" s="2004"/>
      <c r="AC32" s="2004"/>
      <c r="AD32" s="2004"/>
    </row>
    <row r="33" spans="1:9" ht="16.5" hidden="1" thickBot="1">
      <c r="A33" s="1602"/>
      <c r="B33" s="34" t="str">
        <f ca="1" xml:space="preserve"> RIGHT(CELL("filename", $A$1), LEN(CELL("filename", $A$1)) - SEARCH("]", CELL("filename", $A$1)))&amp;" - Line definitions"</f>
        <v>4T - Line definitions</v>
      </c>
      <c r="C33" s="961"/>
      <c r="D33" s="961"/>
      <c r="E33" s="961"/>
      <c r="F33" s="962"/>
      <c r="G33" s="962"/>
      <c r="H33" s="962"/>
      <c r="I33" s="963"/>
    </row>
    <row r="34" spans="1:9" ht="15" hidden="1" thickBot="1">
      <c r="A34" s="1602"/>
      <c r="B34" s="880"/>
      <c r="C34" s="1034"/>
      <c r="D34" s="1034"/>
      <c r="E34" s="1034"/>
      <c r="F34" s="880"/>
      <c r="G34" s="880"/>
      <c r="H34" s="880"/>
      <c r="I34" s="1287"/>
    </row>
    <row r="35" spans="1:9" ht="15" hidden="1" thickBot="1">
      <c r="A35" s="1602"/>
      <c r="B35" s="1288" t="s">
        <v>193</v>
      </c>
      <c r="C35" s="3643" t="s">
        <v>194</v>
      </c>
      <c r="D35" s="3643"/>
      <c r="E35" s="3644"/>
      <c r="F35" s="3644"/>
      <c r="G35" s="3644"/>
      <c r="H35" s="3644"/>
      <c r="I35" s="3645"/>
    </row>
    <row r="36" spans="1:9" ht="15" hidden="1">
      <c r="A36" s="1602"/>
      <c r="B36" s="1289">
        <v>1</v>
      </c>
      <c r="C36" s="3646" t="s">
        <v>8457</v>
      </c>
      <c r="D36" s="3647"/>
      <c r="E36" s="3647"/>
      <c r="F36" s="3647"/>
      <c r="G36" s="3647"/>
      <c r="H36" s="3647"/>
      <c r="I36" s="3648"/>
    </row>
    <row r="37" spans="1:9" ht="15" hidden="1">
      <c r="A37" s="1602"/>
      <c r="B37" s="1290">
        <f t="shared" ref="B37:B50" si="4">+B36+1</f>
        <v>2</v>
      </c>
      <c r="C37" s="3635" t="s">
        <v>8458</v>
      </c>
      <c r="D37" s="3636"/>
      <c r="E37" s="3636"/>
      <c r="F37" s="3636"/>
      <c r="G37" s="3636"/>
      <c r="H37" s="3636"/>
      <c r="I37" s="3637"/>
    </row>
    <row r="38" spans="1:9" ht="15" hidden="1">
      <c r="A38" s="1602"/>
      <c r="B38" s="1290">
        <f t="shared" si="4"/>
        <v>3</v>
      </c>
      <c r="C38" s="3635" t="s">
        <v>8459</v>
      </c>
      <c r="D38" s="3636"/>
      <c r="E38" s="3636"/>
      <c r="F38" s="3636"/>
      <c r="G38" s="3636"/>
      <c r="H38" s="3636"/>
      <c r="I38" s="3637"/>
    </row>
    <row r="39" spans="1:9" ht="15" hidden="1">
      <c r="A39" s="1602"/>
      <c r="B39" s="1290">
        <f t="shared" si="4"/>
        <v>4</v>
      </c>
      <c r="C39" s="3635" t="s">
        <v>8460</v>
      </c>
      <c r="D39" s="3636"/>
      <c r="E39" s="3636"/>
      <c r="F39" s="3636"/>
      <c r="G39" s="3636"/>
      <c r="H39" s="3636"/>
      <c r="I39" s="3637"/>
    </row>
    <row r="40" spans="1:9" ht="15" hidden="1">
      <c r="A40" s="1602"/>
      <c r="B40" s="1290">
        <f t="shared" si="4"/>
        <v>5</v>
      </c>
      <c r="C40" s="3635" t="s">
        <v>8461</v>
      </c>
      <c r="D40" s="3636"/>
      <c r="E40" s="3636"/>
      <c r="F40" s="3636"/>
      <c r="G40" s="3636"/>
      <c r="H40" s="3636"/>
      <c r="I40" s="3637"/>
    </row>
    <row r="41" spans="1:9" ht="15" hidden="1">
      <c r="A41" s="1602"/>
      <c r="B41" s="1290">
        <f t="shared" si="4"/>
        <v>6</v>
      </c>
      <c r="C41" s="3635" t="s">
        <v>8462</v>
      </c>
      <c r="D41" s="3636"/>
      <c r="E41" s="3636"/>
      <c r="F41" s="3636"/>
      <c r="G41" s="3636"/>
      <c r="H41" s="3636"/>
      <c r="I41" s="3637"/>
    </row>
    <row r="42" spans="1:9" ht="15" hidden="1">
      <c r="A42" s="1602"/>
      <c r="B42" s="1290">
        <f t="shared" si="4"/>
        <v>7</v>
      </c>
      <c r="C42" s="3635" t="s">
        <v>8463</v>
      </c>
      <c r="D42" s="3636"/>
      <c r="E42" s="3636"/>
      <c r="F42" s="3636"/>
      <c r="G42" s="3636"/>
      <c r="H42" s="3636"/>
      <c r="I42" s="3637"/>
    </row>
    <row r="43" spans="1:9" ht="15" hidden="1">
      <c r="A43" s="1602"/>
      <c r="B43" s="1290">
        <f t="shared" si="4"/>
        <v>8</v>
      </c>
      <c r="C43" s="3635" t="s">
        <v>8464</v>
      </c>
      <c r="D43" s="3636"/>
      <c r="E43" s="3636"/>
      <c r="F43" s="3636"/>
      <c r="G43" s="3636"/>
      <c r="H43" s="3636"/>
      <c r="I43" s="3637"/>
    </row>
    <row r="44" spans="1:9" ht="15" hidden="1">
      <c r="A44" s="1602"/>
      <c r="B44" s="1290">
        <f t="shared" si="4"/>
        <v>9</v>
      </c>
      <c r="C44" s="3635" t="s">
        <v>8465</v>
      </c>
      <c r="D44" s="3636"/>
      <c r="E44" s="3636"/>
      <c r="F44" s="3636"/>
      <c r="G44" s="3636"/>
      <c r="H44" s="3636"/>
      <c r="I44" s="3637"/>
    </row>
    <row r="45" spans="1:9" ht="15" hidden="1">
      <c r="A45" s="1602"/>
      <c r="B45" s="1290">
        <f t="shared" si="4"/>
        <v>10</v>
      </c>
      <c r="C45" s="3635" t="s">
        <v>8466</v>
      </c>
      <c r="D45" s="3636"/>
      <c r="E45" s="3636"/>
      <c r="F45" s="3636"/>
      <c r="G45" s="3636"/>
      <c r="H45" s="3636"/>
      <c r="I45" s="3637"/>
    </row>
    <row r="46" spans="1:9" ht="15" hidden="1">
      <c r="A46" s="1602"/>
      <c r="B46" s="1290">
        <f t="shared" si="4"/>
        <v>11</v>
      </c>
      <c r="C46" s="3635" t="s">
        <v>8467</v>
      </c>
      <c r="D46" s="3636"/>
      <c r="E46" s="3636"/>
      <c r="F46" s="3636"/>
      <c r="G46" s="3636"/>
      <c r="H46" s="3636"/>
      <c r="I46" s="3637"/>
    </row>
    <row r="47" spans="1:9" ht="15" hidden="1">
      <c r="A47" s="1602"/>
      <c r="B47" s="1290">
        <f t="shared" si="4"/>
        <v>12</v>
      </c>
      <c r="C47" s="3635" t="s">
        <v>8468</v>
      </c>
      <c r="D47" s="3636"/>
      <c r="E47" s="3636"/>
      <c r="F47" s="3636"/>
      <c r="G47" s="3636"/>
      <c r="H47" s="3636"/>
      <c r="I47" s="3637"/>
    </row>
    <row r="48" spans="1:9" ht="15" hidden="1">
      <c r="A48" s="1602"/>
      <c r="B48" s="1290">
        <f t="shared" si="4"/>
        <v>13</v>
      </c>
      <c r="C48" s="3635" t="s">
        <v>8469</v>
      </c>
      <c r="D48" s="3636"/>
      <c r="E48" s="3636"/>
      <c r="F48" s="3636"/>
      <c r="G48" s="3636"/>
      <c r="H48" s="3636"/>
      <c r="I48" s="3637"/>
    </row>
    <row r="49" spans="1:9" ht="15" hidden="1">
      <c r="A49" s="1602"/>
      <c r="B49" s="1290">
        <f t="shared" si="4"/>
        <v>14</v>
      </c>
      <c r="C49" s="3635" t="s">
        <v>8470</v>
      </c>
      <c r="D49" s="3636"/>
      <c r="E49" s="3636"/>
      <c r="F49" s="3636"/>
      <c r="G49" s="3636"/>
      <c r="H49" s="3636"/>
      <c r="I49" s="3637"/>
    </row>
    <row r="50" spans="1:9" ht="15.75" hidden="1" thickBot="1">
      <c r="A50" s="1602"/>
      <c r="B50" s="1291">
        <f t="shared" si="4"/>
        <v>15</v>
      </c>
      <c r="C50" s="3635" t="s">
        <v>8471</v>
      </c>
      <c r="D50" s="3636"/>
      <c r="E50" s="3636"/>
      <c r="F50" s="3636"/>
      <c r="G50" s="3636"/>
      <c r="H50" s="3636"/>
      <c r="I50" s="3637"/>
    </row>
    <row r="51" spans="1:9" ht="15" hidden="1" thickBot="1">
      <c r="A51" s="1602"/>
      <c r="B51" s="1218"/>
      <c r="C51" s="1218"/>
      <c r="D51" s="1218"/>
      <c r="E51" s="1218"/>
      <c r="F51" s="1218"/>
      <c r="G51" s="1218"/>
      <c r="H51" s="1218"/>
      <c r="I51" s="1218"/>
    </row>
    <row r="52" spans="1:9" ht="16.5" thickBot="1">
      <c r="A52" s="2004"/>
      <c r="B52" s="1898" t="s">
        <v>5313</v>
      </c>
      <c r="C52" s="1899"/>
      <c r="D52" s="1899"/>
      <c r="E52" s="1899"/>
      <c r="F52" s="1899"/>
      <c r="G52" s="1900"/>
      <c r="H52" s="1900"/>
      <c r="I52" s="1901"/>
    </row>
    <row r="53" spans="1:9" ht="16.5" thickBot="1">
      <c r="A53" s="2004"/>
      <c r="B53" s="3638" t="s">
        <v>8472</v>
      </c>
      <c r="C53" s="3639"/>
      <c r="D53" s="3639"/>
      <c r="E53" s="3639"/>
      <c r="F53" s="3639"/>
      <c r="G53" s="3639"/>
      <c r="H53" s="3639"/>
      <c r="I53" s="3640"/>
    </row>
    <row r="54" spans="1:9">
      <c r="A54" s="2004"/>
      <c r="B54" s="2004"/>
      <c r="C54" s="2004"/>
      <c r="D54" s="2004"/>
      <c r="E54" s="2004"/>
      <c r="F54" s="2004"/>
      <c r="G54" s="2004"/>
      <c r="H54" s="2004"/>
      <c r="I54" s="2004"/>
    </row>
  </sheetData>
  <sheetProtection algorithmName="SHA-512" hashValue="Gnf5WhteO4vETxD85WRT29NAQb7wK1dfEYw7Ve7omB6/mTRBBH5VFV7yseTtMmQQSuYTKhZG3I1tBclz4RnHRQ==" saltValue="A2ex7dFm8LMrenmQjr51XA==" spinCount="100000" sheet="1" objects="1" scenarios="1"/>
  <mergeCells count="18">
    <mergeCell ref="C40:I40"/>
    <mergeCell ref="C41:I41"/>
    <mergeCell ref="C38:I38"/>
    <mergeCell ref="B24:C24"/>
    <mergeCell ref="C35:I35"/>
    <mergeCell ref="C36:I36"/>
    <mergeCell ref="C37:I37"/>
    <mergeCell ref="C39:I39"/>
    <mergeCell ref="C42:I42"/>
    <mergeCell ref="C43:I43"/>
    <mergeCell ref="B53:I53"/>
    <mergeCell ref="C45:I45"/>
    <mergeCell ref="C46:I46"/>
    <mergeCell ref="C47:I47"/>
    <mergeCell ref="C48:I48"/>
    <mergeCell ref="C49:I49"/>
    <mergeCell ref="C50:I50"/>
    <mergeCell ref="C44:I44"/>
  </mergeCells>
  <conditionalFormatting sqref="K17:K21">
    <cfRule type="cellIs" dxfId="89" priority="5" operator="equal">
      <formula>0</formula>
    </cfRule>
  </conditionalFormatting>
  <conditionalFormatting sqref="K6:K13">
    <cfRule type="cellIs" dxfId="88" priority="6" operator="equal">
      <formula>0</formula>
    </cfRule>
  </conditionalFormatting>
  <conditionalFormatting sqref="K14">
    <cfRule type="cellIs" dxfId="87" priority="3" operator="equal">
      <formula>0</formula>
    </cfRule>
  </conditionalFormatting>
  <conditionalFormatting sqref="K22">
    <cfRule type="cellIs" dxfId="8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A1:N81"/>
  <sheetViews>
    <sheetView workbookViewId="0">
      <selection activeCell="G24" sqref="G24"/>
    </sheetView>
  </sheetViews>
  <sheetFormatPr defaultColWidth="0" defaultRowHeight="14.25" zeroHeight="1"/>
  <cols>
    <col min="1" max="1" width="0.5" customWidth="1"/>
    <col min="2" max="2" width="8.5" customWidth="1"/>
    <col min="3" max="3" width="93.125" customWidth="1"/>
    <col min="4" max="4" width="13.5" customWidth="1"/>
    <col min="5" max="6" width="8.5" customWidth="1"/>
    <col min="7" max="7" width="12.5" customWidth="1"/>
    <col min="8" max="8" width="26.125" bestFit="1" customWidth="1"/>
    <col min="9" max="9" width="1.5" customWidth="1"/>
    <col min="10" max="10" width="21.5" customWidth="1"/>
    <col min="11" max="11" width="2.125" customWidth="1"/>
    <col min="12" max="12" width="1.125" style="1665" hidden="1" customWidth="1"/>
    <col min="13" max="13" width="19.125" hidden="1" customWidth="1"/>
    <col min="14" max="14" width="1.125" style="1665" hidden="1" customWidth="1"/>
    <col min="15" max="16384" width="8.5" hidden="1"/>
  </cols>
  <sheetData>
    <row r="1" spans="1:14" ht="20.25">
      <c r="A1" s="880"/>
      <c r="B1" s="66" t="s">
        <v>8473</v>
      </c>
      <c r="C1" s="66"/>
      <c r="D1" s="66"/>
      <c r="E1" s="66"/>
      <c r="F1" s="66"/>
      <c r="G1" s="66"/>
      <c r="H1" s="68" t="str">
        <f>Validation!B3</f>
        <v>Yorkshire Water</v>
      </c>
      <c r="I1" s="66"/>
      <c r="J1" s="69" t="s">
        <v>34</v>
      </c>
      <c r="K1" s="70"/>
      <c r="L1" s="71"/>
      <c r="M1" s="880"/>
      <c r="N1" s="71"/>
    </row>
    <row r="2" spans="1:14" ht="15.75" thickBot="1">
      <c r="A2" s="1190"/>
      <c r="B2" s="73" t="str">
        <f>'4T'!B2</f>
        <v>For the 12 months ended 31 March 2020</v>
      </c>
      <c r="C2" s="1190"/>
      <c r="D2" s="1190"/>
      <c r="E2" s="1190"/>
      <c r="F2" s="1190"/>
      <c r="G2" s="1190"/>
      <c r="H2" s="880"/>
      <c r="I2" s="70"/>
      <c r="J2" s="70"/>
      <c r="K2" s="70"/>
      <c r="L2" s="71"/>
      <c r="M2" s="880"/>
      <c r="N2" s="71"/>
    </row>
    <row r="3" spans="1:14" ht="15.75" thickBot="1">
      <c r="A3" s="1076"/>
      <c r="B3" s="996" t="s">
        <v>193</v>
      </c>
      <c r="C3" s="997" t="s">
        <v>4916</v>
      </c>
      <c r="D3" s="998" t="s">
        <v>3098</v>
      </c>
      <c r="E3" s="998" t="s">
        <v>2310</v>
      </c>
      <c r="F3" s="998" t="s">
        <v>39</v>
      </c>
      <c r="G3" s="3038" t="s">
        <v>158</v>
      </c>
      <c r="H3" s="1292" t="s">
        <v>4567</v>
      </c>
      <c r="I3" s="70"/>
      <c r="J3" s="2990" t="s">
        <v>43</v>
      </c>
      <c r="K3" s="70"/>
      <c r="L3" s="71"/>
      <c r="M3" s="76" t="s">
        <v>47</v>
      </c>
      <c r="N3" s="71"/>
    </row>
    <row r="4" spans="1:14" ht="15.75" thickBot="1">
      <c r="A4" s="1195"/>
      <c r="B4" s="1196"/>
      <c r="C4" s="1196"/>
      <c r="D4" s="564"/>
      <c r="E4" s="1195"/>
      <c r="F4" s="1195"/>
      <c r="G4" s="1195"/>
      <c r="H4" s="880"/>
      <c r="I4" s="70"/>
      <c r="J4" s="1092"/>
      <c r="K4" s="70"/>
      <c r="L4" s="71"/>
      <c r="M4" s="85" t="s">
        <v>48</v>
      </c>
      <c r="N4" s="71"/>
    </row>
    <row r="5" spans="1:14" ht="15.75" thickBot="1">
      <c r="A5" s="1195"/>
      <c r="B5" s="3034" t="s">
        <v>155</v>
      </c>
      <c r="C5" s="1060" t="s">
        <v>7616</v>
      </c>
      <c r="D5" s="564"/>
      <c r="E5" s="1195"/>
      <c r="F5" s="1195"/>
      <c r="G5" s="1195"/>
      <c r="H5" s="880"/>
      <c r="I5" s="70"/>
      <c r="J5" s="1092"/>
      <c r="K5" s="70"/>
      <c r="L5" s="71"/>
      <c r="M5" s="85"/>
      <c r="N5" s="71"/>
    </row>
    <row r="6" spans="1:14" ht="18" customHeight="1">
      <c r="A6" s="1192"/>
      <c r="B6" s="1293" t="s">
        <v>8474</v>
      </c>
      <c r="C6" s="1294" t="s">
        <v>8475</v>
      </c>
      <c r="D6" s="1612" t="s">
        <v>8476</v>
      </c>
      <c r="E6" s="1295" t="s">
        <v>7066</v>
      </c>
      <c r="F6" s="1296">
        <v>3</v>
      </c>
      <c r="G6" s="1297">
        <v>14.696999999999999</v>
      </c>
      <c r="H6" s="1781"/>
      <c r="I6" s="70"/>
      <c r="J6" s="24">
        <f xml:space="preserve"> IF( SUM( L6:N6 ) = 0, 0, $M$4 )</f>
        <v>0</v>
      </c>
      <c r="K6" s="70"/>
      <c r="L6" s="71"/>
      <c r="M6" s="93">
        <f>IF(Validation!$H$3=1,0,IF(ISNUMBER(G6),0,1))</f>
        <v>0</v>
      </c>
      <c r="N6" s="71"/>
    </row>
    <row r="7" spans="1:14" ht="18" customHeight="1">
      <c r="A7" s="1192"/>
      <c r="B7" s="1086" t="s">
        <v>8477</v>
      </c>
      <c r="C7" s="1298" t="s">
        <v>8478</v>
      </c>
      <c r="D7" s="1613" t="s">
        <v>8479</v>
      </c>
      <c r="E7" s="1299" t="s">
        <v>7066</v>
      </c>
      <c r="F7" s="1089">
        <v>3</v>
      </c>
      <c r="G7" s="1300">
        <v>0.80900000000000005</v>
      </c>
      <c r="H7" s="1763"/>
      <c r="I7" s="70"/>
      <c r="J7" s="24">
        <f t="shared" ref="J7:J14" si="0" xml:space="preserve"> IF( SUM( L7:N7 ) = 0, 0, $M$4 )</f>
        <v>0</v>
      </c>
      <c r="K7" s="70"/>
      <c r="L7" s="71"/>
      <c r="M7" s="93">
        <f>IF(Validation!$H$3=1,0,IF(ISNUMBER(G7),0,1))</f>
        <v>0</v>
      </c>
      <c r="N7" s="71"/>
    </row>
    <row r="8" spans="1:14" ht="18" customHeight="1">
      <c r="A8" s="1192"/>
      <c r="B8" s="1086" t="s">
        <v>8480</v>
      </c>
      <c r="C8" s="1298" t="s">
        <v>8481</v>
      </c>
      <c r="D8" s="1613" t="s">
        <v>8482</v>
      </c>
      <c r="E8" s="1299" t="s">
        <v>7066</v>
      </c>
      <c r="F8" s="1089">
        <v>3</v>
      </c>
      <c r="G8" s="1300">
        <v>906.86599999999999</v>
      </c>
      <c r="H8" s="1763"/>
      <c r="I8" s="70"/>
      <c r="J8" s="24">
        <f t="shared" si="0"/>
        <v>0</v>
      </c>
      <c r="K8" s="70"/>
      <c r="L8" s="71"/>
      <c r="M8" s="93">
        <f>IF(Validation!$H$3=1,0,IF(ISNUMBER(G8),0,1))</f>
        <v>0</v>
      </c>
      <c r="N8" s="71"/>
    </row>
    <row r="9" spans="1:14" ht="18" customHeight="1">
      <c r="A9" s="1192"/>
      <c r="B9" s="1086" t="s">
        <v>8483</v>
      </c>
      <c r="C9" s="1298" t="s">
        <v>8484</v>
      </c>
      <c r="D9" s="1613" t="s">
        <v>8485</v>
      </c>
      <c r="E9" s="1299" t="s">
        <v>7066</v>
      </c>
      <c r="F9" s="1089">
        <v>3</v>
      </c>
      <c r="G9" s="1300">
        <v>1172.653</v>
      </c>
      <c r="H9" s="1763"/>
      <c r="I9" s="70"/>
      <c r="J9" s="24">
        <f t="shared" si="0"/>
        <v>0</v>
      </c>
      <c r="K9" s="70"/>
      <c r="L9" s="71"/>
      <c r="M9" s="93">
        <f>IF(Validation!$H$3=1,0,IF(ISNUMBER(G9),0,1))</f>
        <v>0</v>
      </c>
      <c r="N9" s="71"/>
    </row>
    <row r="10" spans="1:14" ht="18" customHeight="1">
      <c r="A10" s="1192"/>
      <c r="B10" s="1086" t="s">
        <v>8486</v>
      </c>
      <c r="C10" s="1298" t="s">
        <v>8487</v>
      </c>
      <c r="D10" s="1613" t="s">
        <v>8488</v>
      </c>
      <c r="E10" s="1299" t="s">
        <v>7066</v>
      </c>
      <c r="F10" s="1089">
        <v>3</v>
      </c>
      <c r="G10" s="2508">
        <f>+G8+G9</f>
        <v>2079.5190000000002</v>
      </c>
      <c r="H10" s="1763"/>
      <c r="I10" s="70"/>
      <c r="J10" s="1216"/>
      <c r="K10" s="2004"/>
      <c r="M10" s="2004"/>
    </row>
    <row r="11" spans="1:14" ht="18" customHeight="1">
      <c r="A11" s="1192"/>
      <c r="B11" s="1086" t="s">
        <v>8489</v>
      </c>
      <c r="C11" s="1298" t="s">
        <v>8490</v>
      </c>
      <c r="D11" s="1613" t="s">
        <v>8491</v>
      </c>
      <c r="E11" s="1299" t="s">
        <v>7066</v>
      </c>
      <c r="F11" s="1089">
        <v>3</v>
      </c>
      <c r="G11" s="1300">
        <v>14.994</v>
      </c>
      <c r="H11" s="1763"/>
      <c r="I11" s="70"/>
      <c r="J11" s="24">
        <f t="shared" si="0"/>
        <v>0</v>
      </c>
      <c r="K11" s="70"/>
      <c r="L11" s="71"/>
      <c r="M11" s="93">
        <f>IF(Validation!$H$3=1,0,IF(ISNUMBER(G11),0,1))</f>
        <v>0</v>
      </c>
      <c r="N11" s="71"/>
    </row>
    <row r="12" spans="1:14" ht="18" customHeight="1">
      <c r="A12" s="1192"/>
      <c r="B12" s="1086" t="s">
        <v>8492</v>
      </c>
      <c r="C12" s="1298" t="s">
        <v>8493</v>
      </c>
      <c r="D12" s="1613" t="s">
        <v>8494</v>
      </c>
      <c r="E12" s="1299" t="s">
        <v>7066</v>
      </c>
      <c r="F12" s="1089">
        <v>3</v>
      </c>
      <c r="G12" s="1300">
        <v>86.442999999999998</v>
      </c>
      <c r="H12" s="1763"/>
      <c r="I12" s="70"/>
      <c r="J12" s="24">
        <f t="shared" si="0"/>
        <v>0</v>
      </c>
      <c r="K12" s="70"/>
      <c r="L12" s="71"/>
      <c r="M12" s="93">
        <f>IF(Validation!$H$3=1,0,IF(ISNUMBER(G12),0,1))</f>
        <v>0</v>
      </c>
      <c r="N12" s="71"/>
    </row>
    <row r="13" spans="1:14" ht="18" customHeight="1">
      <c r="A13" s="1192"/>
      <c r="B13" s="1086" t="s">
        <v>8495</v>
      </c>
      <c r="C13" s="1298" t="s">
        <v>8496</v>
      </c>
      <c r="D13" s="1613" t="s">
        <v>8497</v>
      </c>
      <c r="E13" s="1299" t="s">
        <v>7066</v>
      </c>
      <c r="F13" s="1089">
        <v>3</v>
      </c>
      <c r="G13" s="2508">
        <f>+G11+G12</f>
        <v>101.437</v>
      </c>
      <c r="H13" s="1763"/>
      <c r="I13" s="70"/>
      <c r="J13" s="1216"/>
      <c r="K13" s="2004"/>
      <c r="M13" s="2004"/>
    </row>
    <row r="14" spans="1:14" ht="18" customHeight="1">
      <c r="A14" s="1192"/>
      <c r="B14" s="1086" t="s">
        <v>8498</v>
      </c>
      <c r="C14" s="1298" t="s">
        <v>8499</v>
      </c>
      <c r="D14" s="1613" t="s">
        <v>8500</v>
      </c>
      <c r="E14" s="1299" t="s">
        <v>7066</v>
      </c>
      <c r="F14" s="1089">
        <v>3</v>
      </c>
      <c r="G14" s="1300">
        <v>132.023</v>
      </c>
      <c r="H14" s="1763" t="s">
        <v>8501</v>
      </c>
      <c r="I14" s="70"/>
      <c r="J14" s="24">
        <f t="shared" si="0"/>
        <v>0</v>
      </c>
      <c r="K14" s="70"/>
      <c r="L14" s="71"/>
      <c r="M14" s="93">
        <f>IF(Validation!$H$3=1,0,IF(ISNUMBER(G14),0,1))</f>
        <v>0</v>
      </c>
      <c r="N14" s="71"/>
    </row>
    <row r="15" spans="1:14" ht="17.45" customHeight="1" thickBot="1">
      <c r="A15" s="1192"/>
      <c r="B15" s="1301" t="s">
        <v>8502</v>
      </c>
      <c r="C15" s="1302" t="s">
        <v>8503</v>
      </c>
      <c r="D15" s="1614" t="s">
        <v>8504</v>
      </c>
      <c r="E15" s="1303" t="s">
        <v>3101</v>
      </c>
      <c r="F15" s="1304">
        <v>3</v>
      </c>
      <c r="G15" s="2509">
        <f>+G10+G13+G14</f>
        <v>2312.9790000000003</v>
      </c>
      <c r="H15" s="1764"/>
      <c r="I15" s="70"/>
      <c r="J15" s="1216"/>
      <c r="K15" s="2004"/>
      <c r="M15" s="2004"/>
    </row>
    <row r="16" spans="1:14" ht="15.75" thickBot="1">
      <c r="A16" s="1192"/>
      <c r="B16" s="1305"/>
      <c r="C16" s="1192"/>
      <c r="D16" s="1305"/>
      <c r="E16" s="1305"/>
      <c r="F16" s="1305"/>
      <c r="G16" s="1703"/>
      <c r="H16" s="26"/>
      <c r="I16" s="2004"/>
      <c r="J16" s="1216"/>
      <c r="K16" s="2004"/>
      <c r="M16" s="2004"/>
    </row>
    <row r="17" spans="1:14" ht="19.5" customHeight="1">
      <c r="A17" s="1192"/>
      <c r="B17" s="1293" t="s">
        <v>8505</v>
      </c>
      <c r="C17" s="1294" t="s">
        <v>8506</v>
      </c>
      <c r="D17" s="1612" t="s">
        <v>8507</v>
      </c>
      <c r="E17" s="1295" t="s">
        <v>7066</v>
      </c>
      <c r="F17" s="1296">
        <v>3</v>
      </c>
      <c r="G17" s="1297">
        <v>5169.5889999999999</v>
      </c>
      <c r="H17" s="1781"/>
      <c r="I17" s="70"/>
      <c r="J17" s="24">
        <f xml:space="preserve"> IF( SUM( L17:N17 ) = 0, 0, $M$4 )</f>
        <v>0</v>
      </c>
      <c r="K17" s="70"/>
      <c r="L17" s="71"/>
      <c r="M17" s="93">
        <f>IF(Validation!$H$3=1,0,IF(ISNUMBER(G17),0,1))</f>
        <v>0</v>
      </c>
      <c r="N17" s="71"/>
    </row>
    <row r="18" spans="1:14" ht="19.5" customHeight="1" thickBot="1">
      <c r="A18" s="1192"/>
      <c r="B18" s="1301" t="s">
        <v>8508</v>
      </c>
      <c r="C18" s="1302" t="s">
        <v>8509</v>
      </c>
      <c r="D18" s="1614" t="s">
        <v>8510</v>
      </c>
      <c r="E18" s="1303" t="s">
        <v>7066</v>
      </c>
      <c r="F18" s="1304">
        <v>3</v>
      </c>
      <c r="G18" s="1306">
        <v>46.723999999999997</v>
      </c>
      <c r="H18" s="1764"/>
      <c r="I18" s="70"/>
      <c r="J18" s="24">
        <f t="shared" ref="J18" si="1" xml:space="preserve"> IF( SUM( L18:N18 ) = 0, 0, $M$4 )</f>
        <v>0</v>
      </c>
      <c r="K18" s="70"/>
      <c r="L18" s="71"/>
      <c r="M18" s="93">
        <f>IF(Validation!$H$3=1,0,IF(ISNUMBER(G18),0,1))</f>
        <v>0</v>
      </c>
      <c r="N18" s="71"/>
    </row>
    <row r="19" spans="1:14" ht="15" thickBot="1">
      <c r="A19" s="2004"/>
      <c r="B19" s="2004"/>
      <c r="C19" s="2004"/>
      <c r="D19" s="564"/>
      <c r="E19" s="2004"/>
      <c r="F19" s="2004"/>
      <c r="G19" s="26"/>
      <c r="H19" s="26"/>
      <c r="I19" s="2004"/>
      <c r="J19" s="2004"/>
      <c r="K19" s="2004"/>
      <c r="M19" s="2004"/>
    </row>
    <row r="20" spans="1:14" ht="15.75" thickBot="1">
      <c r="A20" s="2004"/>
      <c r="B20" s="3034" t="s">
        <v>177</v>
      </c>
      <c r="C20" s="1060" t="s">
        <v>31</v>
      </c>
      <c r="D20" s="564"/>
      <c r="E20" s="2004"/>
      <c r="F20" s="2004"/>
      <c r="G20" s="26"/>
      <c r="H20" s="26"/>
      <c r="I20" s="2004"/>
      <c r="J20" s="2004"/>
      <c r="K20" s="2004"/>
      <c r="M20" s="2004"/>
    </row>
    <row r="21" spans="1:14" ht="20.25" customHeight="1">
      <c r="A21" s="1190"/>
      <c r="B21" s="1000" t="s">
        <v>8511</v>
      </c>
      <c r="C21" s="1140" t="s">
        <v>7688</v>
      </c>
      <c r="D21" s="1147" t="s">
        <v>8512</v>
      </c>
      <c r="E21" s="1147" t="s">
        <v>7690</v>
      </c>
      <c r="F21" s="1003">
        <v>3</v>
      </c>
      <c r="G21" s="1740">
        <v>344160.18400000001</v>
      </c>
      <c r="H21" s="1782"/>
      <c r="I21" s="70"/>
      <c r="J21" s="24">
        <f xml:space="preserve"> IF( SUM( L21:N21 ) = 0, 0, $M$4 )</f>
        <v>0</v>
      </c>
      <c r="K21" s="70"/>
      <c r="L21" s="71"/>
      <c r="M21" s="93">
        <f>IF(Validation!$H$3=1,0,IF(ISNUMBER(G21),0,1))</f>
        <v>0</v>
      </c>
      <c r="N21" s="71"/>
    </row>
    <row r="22" spans="1:14" ht="20.25" customHeight="1">
      <c r="A22" s="1190"/>
      <c r="B22" s="1009" t="s">
        <v>8513</v>
      </c>
      <c r="C22" s="1143" t="s">
        <v>8514</v>
      </c>
      <c r="D22" s="1149" t="s">
        <v>8515</v>
      </c>
      <c r="E22" s="1149" t="s">
        <v>7690</v>
      </c>
      <c r="F22" s="1007">
        <v>3</v>
      </c>
      <c r="G22" s="1741">
        <v>71929.475999999995</v>
      </c>
      <c r="H22" s="1783"/>
      <c r="I22" s="70"/>
      <c r="J22" s="24">
        <f t="shared" ref="J22:J30" si="2" xml:space="preserve"> IF( SUM( L22:N22 ) = 0, 0, $M$4 )</f>
        <v>0</v>
      </c>
      <c r="K22" s="70"/>
      <c r="L22" s="71"/>
      <c r="M22" s="93">
        <f>IF(Validation!$H$3=1,0,IF(ISNUMBER(G22),0,1))</f>
        <v>0</v>
      </c>
      <c r="N22" s="71"/>
    </row>
    <row r="23" spans="1:14" ht="20.25" customHeight="1">
      <c r="A23" s="1190"/>
      <c r="B23" s="1009" t="s">
        <v>8516</v>
      </c>
      <c r="C23" s="1143" t="s">
        <v>7695</v>
      </c>
      <c r="D23" s="1149" t="s">
        <v>8517</v>
      </c>
      <c r="E23" s="1149" t="s">
        <v>7690</v>
      </c>
      <c r="F23" s="1007">
        <v>3</v>
      </c>
      <c r="G23" s="2510">
        <f>+G21+G22</f>
        <v>416089.66000000003</v>
      </c>
      <c r="H23" s="1783"/>
      <c r="I23" s="70"/>
      <c r="J23" s="1216"/>
      <c r="K23" s="2004"/>
      <c r="M23" s="2004"/>
    </row>
    <row r="24" spans="1:14" ht="20.25" customHeight="1">
      <c r="A24" s="1190"/>
      <c r="B24" s="1009" t="s">
        <v>8518</v>
      </c>
      <c r="C24" s="1143" t="s">
        <v>8519</v>
      </c>
      <c r="D24" s="1149" t="s">
        <v>8520</v>
      </c>
      <c r="E24" s="1149" t="s">
        <v>3101</v>
      </c>
      <c r="F24" s="1007">
        <v>3</v>
      </c>
      <c r="G24" s="1584">
        <v>70.036000000000001</v>
      </c>
      <c r="H24" s="1783"/>
      <c r="I24" s="70"/>
      <c r="J24" s="24">
        <f t="shared" si="2"/>
        <v>0</v>
      </c>
      <c r="K24" s="70"/>
      <c r="L24" s="71"/>
      <c r="M24" s="93">
        <f>IF(Validation!$H$3=1,0,IF(ISNUMBER(G24),0,1))</f>
        <v>0</v>
      </c>
      <c r="N24" s="71"/>
    </row>
    <row r="25" spans="1:14" ht="20.25" customHeight="1">
      <c r="A25" s="1190"/>
      <c r="B25" s="1009" t="s">
        <v>8521</v>
      </c>
      <c r="C25" s="1143" t="s">
        <v>8522</v>
      </c>
      <c r="D25" s="1149" t="s">
        <v>8523</v>
      </c>
      <c r="E25" s="1149" t="s">
        <v>7671</v>
      </c>
      <c r="F25" s="1007">
        <v>0</v>
      </c>
      <c r="G25" s="1091">
        <v>1693</v>
      </c>
      <c r="H25" s="1783"/>
      <c r="I25" s="70"/>
      <c r="J25" s="24">
        <f t="shared" si="2"/>
        <v>0</v>
      </c>
      <c r="K25" s="70"/>
      <c r="L25" s="71"/>
      <c r="M25" s="93">
        <f>IF(Validation!$H$3=1,0,IF(ISNUMBER(G25),0,1))</f>
        <v>0</v>
      </c>
      <c r="N25" s="71"/>
    </row>
    <row r="26" spans="1:14" ht="20.25" customHeight="1">
      <c r="A26" s="1190"/>
      <c r="B26" s="1009" t="s">
        <v>8524</v>
      </c>
      <c r="C26" s="1143" t="s">
        <v>8525</v>
      </c>
      <c r="D26" s="1149" t="s">
        <v>8526</v>
      </c>
      <c r="E26" s="1149" t="s">
        <v>766</v>
      </c>
      <c r="F26" s="1007">
        <v>0</v>
      </c>
      <c r="G26" s="1742">
        <v>19</v>
      </c>
      <c r="H26" s="1783"/>
      <c r="I26" s="70"/>
      <c r="J26" s="24">
        <f t="shared" si="2"/>
        <v>0</v>
      </c>
      <c r="K26" s="70"/>
      <c r="L26" s="71"/>
      <c r="M26" s="93">
        <f>IF(Validation!$H$3=1,0,IF(ISNUMBER(G26),0,1))</f>
        <v>0</v>
      </c>
      <c r="N26" s="71"/>
    </row>
    <row r="27" spans="1:14" ht="20.25" customHeight="1">
      <c r="A27" s="1190"/>
      <c r="B27" s="1009" t="s">
        <v>8527</v>
      </c>
      <c r="C27" s="1143" t="s">
        <v>8528</v>
      </c>
      <c r="D27" s="1149" t="s">
        <v>8529</v>
      </c>
      <c r="E27" s="1149" t="s">
        <v>766</v>
      </c>
      <c r="F27" s="1007">
        <v>0</v>
      </c>
      <c r="G27" s="1742">
        <v>489</v>
      </c>
      <c r="H27" s="1783"/>
      <c r="I27" s="70"/>
      <c r="J27" s="24">
        <f t="shared" si="2"/>
        <v>0</v>
      </c>
      <c r="K27" s="70"/>
      <c r="L27" s="71"/>
      <c r="M27" s="93">
        <f>IF(Validation!$H$3=1,0,IF(ISNUMBER(G27),0,1))</f>
        <v>0</v>
      </c>
      <c r="N27" s="71"/>
    </row>
    <row r="28" spans="1:14" ht="20.25" customHeight="1">
      <c r="A28" s="1190"/>
      <c r="B28" s="1009" t="s">
        <v>8530</v>
      </c>
      <c r="C28" s="1143" t="s">
        <v>8531</v>
      </c>
      <c r="D28" s="1149" t="s">
        <v>8532</v>
      </c>
      <c r="E28" s="1149" t="s">
        <v>7431</v>
      </c>
      <c r="F28" s="1007">
        <v>0</v>
      </c>
      <c r="G28" s="1091">
        <v>15</v>
      </c>
      <c r="H28" s="1783"/>
      <c r="I28" s="70"/>
      <c r="J28" s="24">
        <f t="shared" si="2"/>
        <v>0</v>
      </c>
      <c r="K28" s="70"/>
      <c r="L28" s="71"/>
      <c r="M28" s="93">
        <f>IF(Validation!$H$3=1,0,IF(ISNUMBER(G28),0,1))</f>
        <v>0</v>
      </c>
      <c r="N28" s="71"/>
    </row>
    <row r="29" spans="1:14" ht="20.25" customHeight="1">
      <c r="A29" s="1190"/>
      <c r="B29" s="1009" t="s">
        <v>8533</v>
      </c>
      <c r="C29" s="1143" t="s">
        <v>8534</v>
      </c>
      <c r="D29" s="1149" t="s">
        <v>8535</v>
      </c>
      <c r="E29" s="1149" t="s">
        <v>766</v>
      </c>
      <c r="F29" s="1007">
        <v>0</v>
      </c>
      <c r="G29" s="1091">
        <v>2857</v>
      </c>
      <c r="H29" s="1783"/>
      <c r="I29" s="70"/>
      <c r="J29" s="24">
        <f t="shared" si="2"/>
        <v>0</v>
      </c>
      <c r="K29" s="70"/>
      <c r="L29" s="71"/>
      <c r="M29" s="93">
        <f>IF(Validation!$H$3=1,0,IF(ISNUMBER(G29),0,1))</f>
        <v>0</v>
      </c>
      <c r="N29" s="71"/>
    </row>
    <row r="30" spans="1:14" ht="20.25" customHeight="1">
      <c r="A30" s="1190"/>
      <c r="B30" s="1009" t="s">
        <v>8536</v>
      </c>
      <c r="C30" s="1143" t="s">
        <v>8537</v>
      </c>
      <c r="D30" s="1149" t="s">
        <v>8538</v>
      </c>
      <c r="E30" s="1149" t="s">
        <v>3784</v>
      </c>
      <c r="F30" s="1007">
        <v>0</v>
      </c>
      <c r="G30" s="1742">
        <v>16100</v>
      </c>
      <c r="H30" s="1783"/>
      <c r="I30" s="70"/>
      <c r="J30" s="24">
        <f t="shared" si="2"/>
        <v>0</v>
      </c>
      <c r="K30" s="70"/>
      <c r="L30" s="71"/>
      <c r="M30" s="93">
        <f>IF(Validation!$H$3=1,0,IF(ISNUMBER(G30),0,1))</f>
        <v>0</v>
      </c>
      <c r="N30" s="71"/>
    </row>
    <row r="31" spans="1:14" ht="20.25" customHeight="1" thickBot="1">
      <c r="A31" s="1190"/>
      <c r="B31" s="1014" t="s">
        <v>8539</v>
      </c>
      <c r="C31" s="1145" t="s">
        <v>8540</v>
      </c>
      <c r="D31" s="1153" t="s">
        <v>8541</v>
      </c>
      <c r="E31" s="1153" t="s">
        <v>3784</v>
      </c>
      <c r="F31" s="1017">
        <v>0</v>
      </c>
      <c r="G31" s="1743">
        <v>4534062</v>
      </c>
      <c r="H31" s="1784" t="s">
        <v>2337</v>
      </c>
      <c r="I31" s="70"/>
      <c r="J31" s="24">
        <f t="shared" ref="J31" si="3" xml:space="preserve"> IF( SUM( L31:N31 ) = 0, 0, $M$4 )</f>
        <v>0</v>
      </c>
      <c r="K31" s="70"/>
      <c r="L31" s="71"/>
      <c r="M31" s="93">
        <f>IF(Validation!$H$3=1,0,IF(ISNUMBER(G31),0,1))</f>
        <v>0</v>
      </c>
      <c r="N31" s="71"/>
    </row>
    <row r="32" spans="1:14">
      <c r="A32" s="2004"/>
      <c r="B32" s="2004"/>
      <c r="C32" s="2004"/>
      <c r="D32" s="2004"/>
      <c r="E32" s="2004"/>
      <c r="F32" s="2004"/>
      <c r="G32" s="2004"/>
      <c r="H32" s="2004"/>
      <c r="I32" s="2004"/>
      <c r="J32" s="2004"/>
      <c r="K32" s="2004"/>
      <c r="M32" s="2004"/>
    </row>
    <row r="33" spans="1:14" ht="15">
      <c r="A33" s="2004"/>
      <c r="B33" s="1307" t="s">
        <v>243</v>
      </c>
      <c r="C33" s="2004"/>
      <c r="D33" s="2004"/>
      <c r="E33" s="2004"/>
      <c r="F33" s="2004"/>
      <c r="G33" s="2004"/>
      <c r="H33" s="2004"/>
      <c r="I33" s="2004"/>
      <c r="J33" s="2004"/>
      <c r="K33" s="2004"/>
      <c r="M33" s="2004"/>
    </row>
    <row r="34" spans="1:14">
      <c r="A34" s="2004"/>
      <c r="B34" s="1024"/>
      <c r="C34" s="1031"/>
      <c r="D34" s="2004"/>
      <c r="E34" s="2004"/>
      <c r="F34" s="2004"/>
      <c r="G34" s="2004"/>
      <c r="H34" s="2004"/>
      <c r="I34" s="2004"/>
      <c r="J34" s="2004"/>
      <c r="K34" s="2004"/>
      <c r="M34" s="2004"/>
    </row>
    <row r="35" spans="1:14" ht="15">
      <c r="A35" s="2004"/>
      <c r="B35" s="1247"/>
      <c r="C35" s="1125" t="s">
        <v>190</v>
      </c>
      <c r="D35" s="2004"/>
      <c r="E35" s="2004"/>
      <c r="F35" s="2004"/>
      <c r="G35" s="2004"/>
      <c r="H35" s="2004"/>
      <c r="I35" s="2004"/>
      <c r="J35" s="2004"/>
      <c r="K35" s="2004"/>
      <c r="M35" s="2004"/>
    </row>
    <row r="36" spans="1:14">
      <c r="A36" s="2004"/>
      <c r="B36" s="956"/>
      <c r="C36" s="957"/>
      <c r="D36" s="959"/>
      <c r="E36" s="1216"/>
      <c r="F36" s="1216"/>
      <c r="G36" s="1216"/>
      <c r="H36" s="1216"/>
      <c r="I36" s="1216"/>
      <c r="J36" s="1216"/>
      <c r="K36" s="1216"/>
      <c r="L36" s="1672"/>
      <c r="M36" s="1216"/>
      <c r="N36" s="1672"/>
    </row>
    <row r="37" spans="1:14" ht="15">
      <c r="A37" s="2004"/>
      <c r="B37" s="960"/>
      <c r="C37" s="1125" t="s">
        <v>5294</v>
      </c>
      <c r="D37" s="959"/>
      <c r="E37" s="1216"/>
      <c r="F37" s="1216"/>
      <c r="G37" s="1216"/>
      <c r="H37" s="1216"/>
      <c r="I37" s="1216"/>
      <c r="J37" s="1216"/>
      <c r="K37" s="1216"/>
      <c r="L37" s="1672"/>
      <c r="M37" s="1216"/>
      <c r="N37" s="1672"/>
    </row>
    <row r="38" spans="1:14" ht="15">
      <c r="A38" s="2004"/>
      <c r="B38" s="1190"/>
      <c r="C38" s="1190"/>
      <c r="D38" s="959"/>
      <c r="E38" s="1216"/>
      <c r="F38" s="1216"/>
      <c r="G38" s="1216"/>
      <c r="H38" s="1216"/>
      <c r="I38" s="1216"/>
      <c r="J38" s="1216"/>
      <c r="K38" s="1216"/>
      <c r="L38" s="1672"/>
      <c r="M38" s="1216"/>
      <c r="N38" s="1672"/>
    </row>
    <row r="39" spans="1:14" ht="15.75" thickBot="1">
      <c r="A39" s="2004"/>
      <c r="B39" s="1190"/>
      <c r="C39" s="1190"/>
      <c r="D39" s="959"/>
      <c r="E39" s="1216"/>
      <c r="F39" s="1216"/>
      <c r="G39" s="1216"/>
      <c r="H39" s="1216"/>
      <c r="I39" s="1216"/>
      <c r="J39" s="1216"/>
      <c r="K39" s="1216"/>
      <c r="L39" s="1672"/>
      <c r="M39" s="1216"/>
      <c r="N39" s="1672"/>
    </row>
    <row r="40" spans="1:14" ht="21" thickBot="1">
      <c r="A40" s="2004"/>
      <c r="B40" s="3053" t="str">
        <f>'4T'!B31</f>
        <v>Please refer to RAG 4.08 - Guideline for the table definitions in the annual performance report for the reporting year 2019-20</v>
      </c>
      <c r="C40" s="147"/>
      <c r="D40" s="148"/>
      <c r="E40" s="148"/>
      <c r="F40" s="148"/>
      <c r="G40" s="148"/>
      <c r="H40" s="148"/>
      <c r="I40" s="154"/>
      <c r="J40" s="1216"/>
      <c r="K40" s="1216"/>
      <c r="L40" s="1672"/>
      <c r="M40" s="1216"/>
      <c r="N40" s="1672"/>
    </row>
    <row r="41" spans="1:14" ht="15.75" thickBot="1">
      <c r="A41" s="2004"/>
      <c r="B41" s="1190"/>
      <c r="C41" s="1190"/>
      <c r="D41" s="959"/>
      <c r="E41" s="1216"/>
      <c r="F41" s="1216"/>
      <c r="G41" s="1216"/>
      <c r="H41" s="1216"/>
      <c r="I41" s="1216"/>
      <c r="J41" s="1216"/>
      <c r="K41" s="1216"/>
      <c r="L41" s="1672"/>
      <c r="M41" s="1216"/>
      <c r="N41" s="1672"/>
    </row>
    <row r="42" spans="1:14" ht="15" hidden="1" thickBot="1">
      <c r="A42" s="1602"/>
      <c r="B42" s="3039" t="str">
        <f ca="1" xml:space="preserve"> RIGHT(CELL("filename", $A$1), LEN(CELL("filename", $A$1)) - SEARCH("]", CELL("filename", $A$1)))&amp;" - Line definitions"</f>
        <v>4U - Line definitions</v>
      </c>
      <c r="C42" s="2067"/>
      <c r="D42" s="959"/>
      <c r="E42" s="1216"/>
      <c r="F42" s="1216"/>
      <c r="G42" s="1216"/>
      <c r="H42" s="1216"/>
      <c r="I42" s="1216"/>
      <c r="J42" s="1216"/>
      <c r="K42" s="1216"/>
      <c r="L42" s="1672"/>
      <c r="M42" s="1216"/>
      <c r="N42" s="1672"/>
    </row>
    <row r="43" spans="1:14" ht="15.75" hidden="1" thickBot="1">
      <c r="A43" s="1602"/>
      <c r="B43" s="1190"/>
      <c r="C43" s="1190"/>
      <c r="D43" s="959"/>
      <c r="E43" s="1216"/>
      <c r="F43" s="1216"/>
      <c r="G43" s="1216"/>
      <c r="H43" s="1216"/>
      <c r="I43" s="1216"/>
      <c r="J43" s="1216"/>
      <c r="K43" s="1216"/>
      <c r="L43" s="1672"/>
      <c r="M43" s="1216"/>
      <c r="N43" s="1672"/>
    </row>
    <row r="44" spans="1:14" ht="15" hidden="1" thickBot="1">
      <c r="A44" s="1602"/>
      <c r="B44" s="1309" t="s">
        <v>193</v>
      </c>
      <c r="C44" s="1310" t="s">
        <v>6886</v>
      </c>
      <c r="D44" s="959"/>
      <c r="E44" s="1216"/>
      <c r="F44" s="1216"/>
      <c r="G44" s="1216"/>
      <c r="H44" s="1216"/>
      <c r="I44" s="1216"/>
      <c r="J44" s="1216"/>
      <c r="K44" s="1216"/>
      <c r="L44" s="1672"/>
      <c r="M44" s="1216"/>
      <c r="N44" s="1672"/>
    </row>
    <row r="45" spans="1:14" hidden="1">
      <c r="A45" s="1602"/>
      <c r="B45" s="1127">
        <v>1</v>
      </c>
      <c r="C45" s="1311" t="s">
        <v>8542</v>
      </c>
      <c r="D45" s="959"/>
      <c r="E45" s="1216"/>
      <c r="F45" s="1216"/>
      <c r="G45" s="1216"/>
      <c r="H45" s="1216"/>
      <c r="I45" s="1216"/>
      <c r="J45" s="1216"/>
      <c r="K45" s="1216"/>
      <c r="L45" s="1672"/>
      <c r="M45" s="1216"/>
      <c r="N45" s="1672"/>
    </row>
    <row r="46" spans="1:14" ht="14.25" hidden="1" customHeight="1">
      <c r="A46" s="1602"/>
      <c r="B46" s="1250">
        <f>+B45+1</f>
        <v>2</v>
      </c>
      <c r="C46" s="1312" t="s">
        <v>8543</v>
      </c>
      <c r="D46" s="959"/>
      <c r="E46" s="1216"/>
      <c r="F46" s="1216"/>
      <c r="G46" s="1216"/>
      <c r="H46" s="1216"/>
      <c r="I46" s="1216"/>
      <c r="J46" s="1216"/>
      <c r="K46" s="1216"/>
      <c r="L46" s="1672"/>
      <c r="M46" s="1216"/>
      <c r="N46" s="1672"/>
    </row>
    <row r="47" spans="1:14" hidden="1">
      <c r="A47" s="1602"/>
      <c r="B47" s="1250">
        <f t="shared" ref="B47:B56" si="4">+B46+1</f>
        <v>3</v>
      </c>
      <c r="C47" s="1312" t="s">
        <v>8544</v>
      </c>
      <c r="D47" s="959"/>
      <c r="E47" s="1216"/>
      <c r="F47" s="1216"/>
      <c r="G47" s="1216"/>
      <c r="H47" s="1216"/>
      <c r="I47" s="1216"/>
      <c r="J47" s="1216"/>
      <c r="K47" s="1216"/>
      <c r="L47" s="1672"/>
      <c r="M47" s="1216"/>
      <c r="N47" s="1672"/>
    </row>
    <row r="48" spans="1:14" ht="25.5" hidden="1" customHeight="1">
      <c r="A48" s="1602"/>
      <c r="B48" s="1250">
        <f t="shared" si="4"/>
        <v>4</v>
      </c>
      <c r="C48" s="1312" t="s">
        <v>8545</v>
      </c>
      <c r="D48" s="959"/>
      <c r="E48" s="1216"/>
      <c r="F48" s="1216"/>
      <c r="G48" s="1216"/>
      <c r="H48" s="1216"/>
      <c r="I48" s="1216"/>
      <c r="J48" s="1216"/>
      <c r="K48" s="1216"/>
      <c r="L48" s="1672"/>
      <c r="M48" s="1216"/>
      <c r="N48" s="1672"/>
    </row>
    <row r="49" spans="1:14" hidden="1">
      <c r="A49" s="1602"/>
      <c r="B49" s="1250">
        <f t="shared" si="4"/>
        <v>5</v>
      </c>
      <c r="C49" s="1312" t="s">
        <v>8546</v>
      </c>
      <c r="D49" s="959"/>
      <c r="E49" s="1216"/>
      <c r="F49" s="1216"/>
      <c r="G49" s="1216"/>
      <c r="H49" s="1216"/>
      <c r="I49" s="1216"/>
      <c r="J49" s="1216"/>
      <c r="K49" s="1216"/>
      <c r="L49" s="1672"/>
      <c r="M49" s="1216"/>
      <c r="N49" s="1672"/>
    </row>
    <row r="50" spans="1:14" hidden="1">
      <c r="A50" s="1602"/>
      <c r="B50" s="1250">
        <f t="shared" si="4"/>
        <v>6</v>
      </c>
      <c r="C50" s="1312" t="s">
        <v>8547</v>
      </c>
      <c r="D50" s="959"/>
      <c r="E50" s="1216"/>
      <c r="F50" s="1216"/>
      <c r="G50" s="1216"/>
      <c r="H50" s="1216"/>
      <c r="I50" s="1216"/>
      <c r="J50" s="1216"/>
      <c r="K50" s="1216"/>
      <c r="L50" s="1672"/>
      <c r="M50" s="1216"/>
      <c r="N50" s="1672"/>
    </row>
    <row r="51" spans="1:14" hidden="1">
      <c r="A51" s="1602"/>
      <c r="B51" s="1250">
        <f t="shared" si="4"/>
        <v>7</v>
      </c>
      <c r="C51" s="1312" t="s">
        <v>8548</v>
      </c>
      <c r="D51" s="959"/>
      <c r="E51" s="1216"/>
      <c r="F51" s="1216"/>
      <c r="G51" s="1216"/>
      <c r="H51" s="1216"/>
      <c r="I51" s="1216"/>
      <c r="J51" s="1216"/>
      <c r="K51" s="1216"/>
      <c r="L51" s="1672"/>
      <c r="M51" s="1216"/>
      <c r="N51" s="1672"/>
    </row>
    <row r="52" spans="1:14" hidden="1">
      <c r="A52" s="1602"/>
      <c r="B52" s="1250">
        <f t="shared" si="4"/>
        <v>8</v>
      </c>
      <c r="C52" s="1312" t="s">
        <v>8549</v>
      </c>
      <c r="D52" s="959"/>
      <c r="E52" s="1216"/>
      <c r="F52" s="1216"/>
      <c r="G52" s="1216"/>
      <c r="H52" s="1216"/>
      <c r="I52" s="1216"/>
      <c r="J52" s="1216"/>
      <c r="K52" s="1216"/>
      <c r="L52" s="1672"/>
      <c r="M52" s="1216"/>
      <c r="N52" s="1672"/>
    </row>
    <row r="53" spans="1:14" ht="36" hidden="1" customHeight="1">
      <c r="A53" s="1602"/>
      <c r="B53" s="1250">
        <f t="shared" si="4"/>
        <v>9</v>
      </c>
      <c r="C53" s="1312" t="s">
        <v>8550</v>
      </c>
      <c r="D53" s="959"/>
      <c r="E53" s="1216"/>
      <c r="F53" s="1216"/>
      <c r="G53" s="1216"/>
      <c r="H53" s="1216"/>
      <c r="I53" s="1216"/>
      <c r="J53" s="1216"/>
      <c r="K53" s="1216"/>
      <c r="L53" s="1672"/>
      <c r="M53" s="1216"/>
      <c r="N53" s="1672"/>
    </row>
    <row r="54" spans="1:14" hidden="1">
      <c r="A54" s="1602"/>
      <c r="B54" s="1250">
        <f t="shared" si="4"/>
        <v>10</v>
      </c>
      <c r="C54" s="1312" t="s">
        <v>8551</v>
      </c>
      <c r="D54" s="959"/>
      <c r="E54" s="1216"/>
      <c r="F54" s="1216"/>
      <c r="G54" s="1216"/>
      <c r="H54" s="1216"/>
      <c r="I54" s="1216"/>
      <c r="J54" s="1216"/>
      <c r="K54" s="1216"/>
      <c r="L54" s="1672"/>
      <c r="M54" s="1216"/>
      <c r="N54" s="1672"/>
    </row>
    <row r="55" spans="1:14" hidden="1">
      <c r="A55" s="1602"/>
      <c r="B55" s="1250">
        <f t="shared" si="4"/>
        <v>11</v>
      </c>
      <c r="C55" s="1312" t="s">
        <v>8552</v>
      </c>
      <c r="D55" s="959"/>
      <c r="E55" s="1216"/>
      <c r="F55" s="1216"/>
      <c r="G55" s="1216"/>
      <c r="H55" s="1216"/>
      <c r="I55" s="1216"/>
      <c r="J55" s="1216"/>
      <c r="K55" s="1216"/>
      <c r="L55" s="1672"/>
      <c r="M55" s="1216"/>
      <c r="N55" s="1672"/>
    </row>
    <row r="56" spans="1:14" ht="24.75" hidden="1" thickBot="1">
      <c r="A56" s="1602"/>
      <c r="B56" s="1251">
        <f t="shared" si="4"/>
        <v>12</v>
      </c>
      <c r="C56" s="1313" t="s">
        <v>8553</v>
      </c>
      <c r="D56" s="959"/>
      <c r="E56" s="1216"/>
      <c r="F56" s="1216"/>
      <c r="G56" s="1216"/>
      <c r="H56" s="1216"/>
      <c r="I56" s="1216"/>
      <c r="J56" s="1216"/>
      <c r="K56" s="1216"/>
      <c r="L56" s="1672"/>
      <c r="M56" s="1216"/>
      <c r="N56" s="1672"/>
    </row>
    <row r="57" spans="1:14" ht="15" hidden="1">
      <c r="A57" s="1602"/>
      <c r="B57" s="1190"/>
      <c r="C57" s="1190"/>
      <c r="D57" s="959"/>
      <c r="E57" s="1216"/>
      <c r="F57" s="1216"/>
      <c r="G57" s="1216"/>
      <c r="H57" s="1216"/>
      <c r="I57" s="1216"/>
      <c r="J57" s="1216"/>
      <c r="K57" s="1216"/>
      <c r="L57" s="1672"/>
      <c r="M57" s="1216"/>
      <c r="N57" s="1672"/>
    </row>
    <row r="58" spans="1:14" ht="15" hidden="1">
      <c r="A58" s="1602"/>
      <c r="B58" s="3051" t="s">
        <v>5313</v>
      </c>
      <c r="C58" s="1205"/>
      <c r="D58" s="959"/>
      <c r="E58" s="1216"/>
      <c r="F58" s="1216"/>
      <c r="G58" s="1216"/>
      <c r="H58" s="1216"/>
      <c r="I58" s="1216"/>
      <c r="J58" s="1216"/>
      <c r="K58" s="1216"/>
      <c r="L58" s="1672"/>
      <c r="M58" s="1216"/>
      <c r="N58" s="1672"/>
    </row>
    <row r="59" spans="1:14" ht="15" hidden="1">
      <c r="A59" s="1602"/>
      <c r="B59" s="1190"/>
      <c r="C59" s="1190"/>
      <c r="D59" s="959"/>
      <c r="E59" s="1216"/>
      <c r="F59" s="1216"/>
      <c r="G59" s="1216"/>
      <c r="H59" s="1216"/>
      <c r="I59" s="1216"/>
      <c r="J59" s="1216"/>
      <c r="K59" s="1216"/>
      <c r="L59" s="1672"/>
      <c r="M59" s="1216"/>
      <c r="N59" s="1672"/>
    </row>
    <row r="60" spans="1:14" ht="16.5" hidden="1" customHeight="1">
      <c r="A60" s="1602"/>
      <c r="B60" s="3651" t="s">
        <v>8554</v>
      </c>
      <c r="C60" s="3652"/>
      <c r="D60" s="959"/>
      <c r="E60" s="1216"/>
      <c r="F60" s="1216"/>
      <c r="G60" s="1216"/>
      <c r="H60" s="1216"/>
      <c r="I60" s="1216"/>
      <c r="J60" s="1216"/>
      <c r="K60" s="1216"/>
      <c r="L60" s="1672"/>
      <c r="M60" s="1216"/>
      <c r="N60" s="1672"/>
    </row>
    <row r="61" spans="1:14" ht="16.5" hidden="1" customHeight="1">
      <c r="A61" s="1602"/>
      <c r="B61" s="3653"/>
      <c r="C61" s="3654"/>
      <c r="D61" s="959"/>
      <c r="E61" s="1216"/>
      <c r="F61" s="1216"/>
      <c r="G61" s="1216"/>
      <c r="H61" s="1216"/>
      <c r="I61" s="1216"/>
      <c r="J61" s="1216"/>
      <c r="K61" s="1216"/>
      <c r="L61" s="1672"/>
      <c r="M61" s="1216"/>
      <c r="N61" s="1672"/>
    </row>
    <row r="62" spans="1:14" ht="15" hidden="1" thickBot="1">
      <c r="A62" s="1602"/>
      <c r="B62" s="2004"/>
      <c r="C62" s="2004"/>
      <c r="D62" s="959"/>
      <c r="E62" s="1216"/>
      <c r="F62" s="1216"/>
      <c r="G62" s="1216"/>
      <c r="H62" s="1216"/>
      <c r="I62" s="1216"/>
      <c r="J62" s="1216"/>
      <c r="K62" s="1216"/>
      <c r="L62" s="1672"/>
      <c r="M62" s="1216"/>
      <c r="N62" s="1672"/>
    </row>
    <row r="63" spans="1:14" ht="15" hidden="1" thickBot="1">
      <c r="A63" s="1602"/>
      <c r="B63" s="1288" t="s">
        <v>193</v>
      </c>
      <c r="C63" s="1314" t="s">
        <v>194</v>
      </c>
      <c r="D63" s="959"/>
      <c r="E63" s="1216"/>
      <c r="F63" s="1216"/>
      <c r="G63" s="1216"/>
      <c r="H63" s="1216"/>
      <c r="I63" s="1216"/>
      <c r="J63" s="1216"/>
      <c r="K63" s="1216"/>
      <c r="L63" s="1672"/>
      <c r="M63" s="1216"/>
      <c r="N63" s="1672"/>
    </row>
    <row r="64" spans="1:14" ht="57.75" hidden="1" customHeight="1">
      <c r="A64" s="1602"/>
      <c r="B64" s="1073">
        <f>+B56+1</f>
        <v>13</v>
      </c>
      <c r="C64" s="1315" t="s">
        <v>8555</v>
      </c>
      <c r="D64" s="959"/>
      <c r="E64" s="1216"/>
      <c r="F64" s="1216"/>
      <c r="G64" s="1216"/>
      <c r="H64" s="1216"/>
      <c r="I64" s="1216"/>
      <c r="J64" s="1216"/>
      <c r="K64" s="1216"/>
      <c r="L64" s="1672"/>
      <c r="M64" s="1216"/>
      <c r="N64" s="1672"/>
    </row>
    <row r="65" spans="1:14" ht="57.75" hidden="1" customHeight="1">
      <c r="A65" s="1602"/>
      <c r="B65" s="1316">
        <f t="shared" ref="B65:B74" si="5">+B64+1</f>
        <v>14</v>
      </c>
      <c r="C65" s="1317" t="s">
        <v>8556</v>
      </c>
      <c r="D65" s="959"/>
      <c r="E65" s="1216"/>
      <c r="F65" s="1216"/>
      <c r="G65" s="1216"/>
      <c r="H65" s="1216"/>
      <c r="I65" s="1216"/>
      <c r="J65" s="1216"/>
      <c r="K65" s="1216"/>
      <c r="L65" s="1672"/>
      <c r="M65" s="1216"/>
      <c r="N65" s="1672"/>
    </row>
    <row r="66" spans="1:14" ht="18.75" hidden="1" customHeight="1">
      <c r="A66" s="1602"/>
      <c r="B66" s="1074">
        <f t="shared" si="5"/>
        <v>15</v>
      </c>
      <c r="C66" s="1317" t="s">
        <v>8557</v>
      </c>
      <c r="D66" s="959"/>
      <c r="E66" s="1216"/>
      <c r="F66" s="1216"/>
      <c r="G66" s="1216"/>
      <c r="H66" s="1216"/>
      <c r="I66" s="1216"/>
      <c r="J66" s="1216"/>
      <c r="K66" s="1216"/>
      <c r="L66" s="1672"/>
      <c r="M66" s="1216"/>
      <c r="N66" s="1672"/>
    </row>
    <row r="67" spans="1:14" ht="57.75" hidden="1" customHeight="1">
      <c r="A67" s="1602"/>
      <c r="B67" s="1074">
        <f t="shared" si="5"/>
        <v>16</v>
      </c>
      <c r="C67" s="1318" t="s">
        <v>8558</v>
      </c>
      <c r="D67" s="959"/>
      <c r="E67" s="1216"/>
      <c r="F67" s="1216"/>
      <c r="G67" s="1216"/>
      <c r="H67" s="1216"/>
      <c r="I67" s="1216"/>
      <c r="J67" s="1216"/>
      <c r="K67" s="1216"/>
      <c r="L67" s="1672"/>
      <c r="M67" s="1216"/>
      <c r="N67" s="1672"/>
    </row>
    <row r="68" spans="1:14" ht="57.75" hidden="1" customHeight="1">
      <c r="A68" s="1602"/>
      <c r="B68" s="1074">
        <f t="shared" si="5"/>
        <v>17</v>
      </c>
      <c r="C68" s="1318" t="s">
        <v>8559</v>
      </c>
      <c r="D68" s="959"/>
      <c r="E68" s="1216"/>
      <c r="F68" s="1216"/>
      <c r="G68" s="1216"/>
      <c r="H68" s="1216"/>
      <c r="I68" s="1216"/>
      <c r="J68" s="1216"/>
      <c r="K68" s="1216"/>
      <c r="L68" s="1672"/>
      <c r="M68" s="1216"/>
      <c r="N68" s="1672"/>
    </row>
    <row r="69" spans="1:14" ht="57.75" hidden="1" customHeight="1">
      <c r="A69" s="1602"/>
      <c r="B69" s="1074">
        <f t="shared" si="5"/>
        <v>18</v>
      </c>
      <c r="C69" s="1318" t="s">
        <v>8560</v>
      </c>
      <c r="D69" s="959"/>
      <c r="E69" s="1216"/>
      <c r="F69" s="1216"/>
      <c r="G69" s="1216"/>
      <c r="H69" s="1216"/>
      <c r="I69" s="1216"/>
      <c r="J69" s="1216"/>
      <c r="K69" s="1216"/>
      <c r="L69" s="1672"/>
      <c r="M69" s="1216"/>
      <c r="N69" s="1672"/>
    </row>
    <row r="70" spans="1:14" ht="67.7" hidden="1" customHeight="1">
      <c r="A70" s="1602"/>
      <c r="B70" s="1074">
        <f t="shared" si="5"/>
        <v>19</v>
      </c>
      <c r="C70" s="1318" t="s">
        <v>8561</v>
      </c>
      <c r="D70" s="959"/>
      <c r="E70" s="1216"/>
      <c r="F70" s="1216"/>
      <c r="G70" s="1216"/>
      <c r="H70" s="1216"/>
      <c r="I70" s="1216"/>
      <c r="J70" s="1216"/>
      <c r="K70" s="1216"/>
      <c r="L70" s="1672"/>
      <c r="M70" s="1216"/>
      <c r="N70" s="1672"/>
    </row>
    <row r="71" spans="1:14" ht="33.75" hidden="1" customHeight="1">
      <c r="A71" s="1602"/>
      <c r="B71" s="1319">
        <f t="shared" si="5"/>
        <v>20</v>
      </c>
      <c r="C71" s="1318" t="s">
        <v>8562</v>
      </c>
      <c r="D71" s="959"/>
      <c r="E71" s="1216"/>
      <c r="F71" s="1216"/>
      <c r="G71" s="1216"/>
      <c r="H71" s="1216"/>
      <c r="I71" s="1216"/>
      <c r="J71" s="1216"/>
      <c r="K71" s="1216"/>
      <c r="L71" s="1672"/>
      <c r="M71" s="1216"/>
      <c r="N71" s="1672"/>
    </row>
    <row r="72" spans="1:14" ht="17.45" hidden="1" customHeight="1">
      <c r="A72" s="1602"/>
      <c r="B72" s="1319">
        <f t="shared" si="5"/>
        <v>21</v>
      </c>
      <c r="C72" s="1318" t="s">
        <v>8563</v>
      </c>
      <c r="D72" s="959"/>
      <c r="E72" s="1216"/>
      <c r="F72" s="1216"/>
      <c r="G72" s="1216"/>
      <c r="H72" s="1216"/>
      <c r="I72" s="1216"/>
      <c r="J72" s="1216"/>
      <c r="K72" s="1216"/>
      <c r="L72" s="1672"/>
      <c r="M72" s="1216"/>
      <c r="N72" s="1672"/>
    </row>
    <row r="73" spans="1:14" ht="98.45" hidden="1" customHeight="1">
      <c r="A73" s="1602"/>
      <c r="B73" s="1319">
        <f t="shared" si="5"/>
        <v>22</v>
      </c>
      <c r="C73" s="1318" t="s">
        <v>8564</v>
      </c>
      <c r="D73" s="959"/>
      <c r="E73" s="1216"/>
      <c r="F73" s="1216"/>
      <c r="G73" s="1216"/>
      <c r="H73" s="1216"/>
      <c r="I73" s="1216"/>
      <c r="J73" s="1216"/>
      <c r="K73" s="1216"/>
      <c r="L73" s="1672"/>
      <c r="M73" s="1216"/>
      <c r="N73" s="1672"/>
    </row>
    <row r="74" spans="1:14" ht="57.75" hidden="1" customHeight="1" thickBot="1">
      <c r="A74" s="1602"/>
      <c r="B74" s="1075">
        <f t="shared" si="5"/>
        <v>23</v>
      </c>
      <c r="C74" s="1320" t="s">
        <v>8565</v>
      </c>
      <c r="D74" s="959"/>
      <c r="E74" s="1216"/>
      <c r="F74" s="1216"/>
      <c r="G74" s="1216"/>
      <c r="H74" s="1216"/>
      <c r="I74" s="1216"/>
      <c r="J74" s="1216"/>
      <c r="K74" s="1216"/>
      <c r="L74" s="1672"/>
      <c r="M74" s="1216"/>
      <c r="N74" s="1672"/>
    </row>
    <row r="75" spans="1:14" ht="15" hidden="1" thickBot="1">
      <c r="A75" s="1602"/>
      <c r="B75" s="2004"/>
      <c r="C75" s="2004"/>
      <c r="D75" s="959"/>
      <c r="E75" s="1216"/>
      <c r="F75" s="1216"/>
      <c r="G75" s="1216"/>
      <c r="H75" s="1216"/>
      <c r="I75" s="1216"/>
      <c r="J75" s="1216"/>
      <c r="K75" s="1216"/>
      <c r="L75" s="1672"/>
      <c r="M75" s="1216"/>
      <c r="N75" s="1672"/>
    </row>
    <row r="76" spans="1:14" ht="15.75">
      <c r="A76" s="2004"/>
      <c r="B76" s="1902" t="s">
        <v>5313</v>
      </c>
      <c r="C76" s="1903"/>
      <c r="D76" s="959"/>
      <c r="E76" s="1216"/>
      <c r="F76" s="1216"/>
      <c r="G76" s="1216"/>
      <c r="H76" s="1216"/>
      <c r="I76" s="1216"/>
      <c r="J76" s="1216"/>
      <c r="K76" s="1216"/>
      <c r="L76" s="1672"/>
      <c r="M76" s="1216"/>
      <c r="N76" s="1672"/>
    </row>
    <row r="77" spans="1:14" ht="86.25" customHeight="1">
      <c r="A77" s="2004"/>
      <c r="B77" s="3655" t="s">
        <v>8566</v>
      </c>
      <c r="C77" s="3656"/>
      <c r="D77" s="959"/>
      <c r="E77" s="1216"/>
      <c r="F77" s="1216"/>
      <c r="G77" s="1216"/>
      <c r="H77" s="1216"/>
      <c r="I77" s="1216"/>
      <c r="J77" s="1216"/>
      <c r="K77" s="1216"/>
      <c r="L77" s="1672"/>
      <c r="M77" s="1216"/>
      <c r="N77" s="1672"/>
    </row>
    <row r="78" spans="1:14" ht="25.5" customHeight="1" thickBot="1">
      <c r="A78" s="2004"/>
      <c r="B78" s="3649" t="s">
        <v>8567</v>
      </c>
      <c r="C78" s="3650"/>
      <c r="D78" s="959"/>
      <c r="E78" s="1216"/>
      <c r="F78" s="1216"/>
      <c r="G78" s="1216"/>
      <c r="H78" s="1216"/>
      <c r="I78" s="1216"/>
      <c r="J78" s="1216"/>
      <c r="K78" s="1216"/>
      <c r="L78" s="1672"/>
      <c r="M78" s="1216"/>
      <c r="N78" s="1672"/>
    </row>
    <row r="79" spans="1:14">
      <c r="A79" s="2004"/>
      <c r="B79" s="2004"/>
      <c r="C79" s="2004"/>
      <c r="D79" s="959"/>
      <c r="E79" s="1216"/>
      <c r="F79" s="1216"/>
      <c r="G79" s="1216"/>
      <c r="H79" s="1216"/>
      <c r="I79" s="1216"/>
      <c r="J79" s="1216"/>
      <c r="K79" s="1216"/>
      <c r="L79" s="1672"/>
      <c r="M79" s="1216"/>
      <c r="N79" s="1672"/>
    </row>
    <row r="80" spans="1:14" hidden="1">
      <c r="A80" s="2004"/>
      <c r="B80" s="2004"/>
      <c r="C80" s="2004"/>
      <c r="D80" s="959"/>
      <c r="E80" s="1216"/>
      <c r="F80" s="1216"/>
      <c r="G80" s="1216"/>
      <c r="H80" s="1216"/>
      <c r="I80" s="1216"/>
      <c r="J80" s="1216"/>
      <c r="K80" s="1216"/>
      <c r="L80" s="1672"/>
      <c r="M80" s="1216"/>
      <c r="N80" s="1672"/>
    </row>
    <row r="81" spans="4:14" hidden="1">
      <c r="D81" s="959"/>
      <c r="E81" s="1216"/>
      <c r="F81" s="1216"/>
      <c r="G81" s="1216"/>
      <c r="H81" s="1216"/>
      <c r="I81" s="1216"/>
      <c r="J81" s="1216"/>
      <c r="K81" s="1216"/>
      <c r="L81" s="1672"/>
      <c r="M81" s="1216"/>
      <c r="N81" s="1672"/>
    </row>
  </sheetData>
  <sheetProtection algorithmName="SHA-512" hashValue="vuJmRHYUkYLR9BZW14kA522giTtfOyQxSHayhjNwoFeeZ1iDtNSdXLzvHyfHRQzmyQ/kunlnFaM1xTgDRQnCqg==" saltValue="HEL7+iuCyMbm070ENvMaAA==" spinCount="100000" sheet="1" objects="1" scenarios="1"/>
  <mergeCells count="3">
    <mergeCell ref="B78:C78"/>
    <mergeCell ref="B60:C61"/>
    <mergeCell ref="B77:C77"/>
  </mergeCells>
  <conditionalFormatting sqref="J6:J9 J14 J11:J12">
    <cfRule type="cellIs" dxfId="83" priority="7" operator="equal">
      <formula>0</formula>
    </cfRule>
  </conditionalFormatting>
  <conditionalFormatting sqref="J17">
    <cfRule type="cellIs" dxfId="82" priority="6" operator="equal">
      <formula>0</formula>
    </cfRule>
  </conditionalFormatting>
  <conditionalFormatting sqref="J18">
    <cfRule type="cellIs" dxfId="81" priority="5" operator="equal">
      <formula>0</formula>
    </cfRule>
  </conditionalFormatting>
  <conditionalFormatting sqref="J21">
    <cfRule type="cellIs" dxfId="80" priority="4" operator="equal">
      <formula>0</formula>
    </cfRule>
  </conditionalFormatting>
  <conditionalFormatting sqref="J31">
    <cfRule type="cellIs" dxfId="79" priority="3" operator="equal">
      <formula>0</formula>
    </cfRule>
  </conditionalFormatting>
  <conditionalFormatting sqref="J22 J24:J30">
    <cfRule type="cellIs" dxfId="7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K28"/>
  <sheetViews>
    <sheetView workbookViewId="0">
      <selection activeCell="G8" sqref="G8"/>
    </sheetView>
  </sheetViews>
  <sheetFormatPr defaultColWidth="0" defaultRowHeight="14.25" zeroHeight="1"/>
  <cols>
    <col min="1" max="1" width="0.5" style="70" customWidth="1"/>
    <col min="2" max="2" width="4.125" style="70" customWidth="1"/>
    <col min="3" max="3" width="38.5" style="70" customWidth="1"/>
    <col min="4" max="4" width="2.5" style="70" hidden="1" customWidth="1"/>
    <col min="5" max="6" width="5.125" style="70" customWidth="1"/>
    <col min="7" max="10" width="12.5" style="70" customWidth="1"/>
    <col min="11" max="11" width="15.125" style="70" customWidth="1"/>
    <col min="12" max="12" width="2.5" style="70" customWidth="1"/>
    <col min="13" max="13" width="18.5" style="70" bestFit="1" customWidth="1"/>
    <col min="14" max="14" width="2.5" style="70" customWidth="1"/>
    <col min="15" max="15" width="1.5" style="71" hidden="1" customWidth="1"/>
    <col min="16" max="18" width="5.5" style="70" hidden="1" customWidth="1"/>
    <col min="19" max="19" width="1.5" style="71" hidden="1" customWidth="1"/>
    <col min="20" max="20" width="8.125" style="70" hidden="1" customWidth="1"/>
    <col min="21" max="23" width="8.5" style="70" hidden="1" customWidth="1"/>
    <col min="24" max="26" width="0" style="70" hidden="1" customWidth="1"/>
    <col min="27" max="27" width="4.125" style="70" customWidth="1"/>
    <col min="28" max="28" width="38.5" style="70" customWidth="1"/>
    <col min="29" max="29" width="2.5" style="70" hidden="1" customWidth="1"/>
    <col min="30" max="31" width="5.125" style="70" customWidth="1"/>
    <col min="32" max="35" width="12.5" style="70" customWidth="1"/>
    <col min="36" max="36" width="15.125" style="70" customWidth="1"/>
    <col min="37" max="37" width="1.5" style="70" customWidth="1"/>
    <col min="38" max="16384" width="8.125" style="70" hidden="1"/>
  </cols>
  <sheetData>
    <row r="1" spans="2:36" ht="20.25">
      <c r="B1" s="66" t="s">
        <v>220</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5" thickBot="1">
      <c r="B2" s="73" t="str">
        <f>'1A'!B2</f>
        <v>For the 12 months ended 31 March 2020</v>
      </c>
      <c r="P2" s="192"/>
      <c r="AA2" s="73" t="str">
        <f>B2</f>
        <v>For the 12 months ended 31 March 2020</v>
      </c>
    </row>
    <row r="3" spans="2:36" ht="15" customHeight="1">
      <c r="B3" s="3057" t="s">
        <v>36</v>
      </c>
      <c r="C3" s="3058"/>
      <c r="D3" s="2985" t="s">
        <v>37</v>
      </c>
      <c r="E3" s="3061" t="s">
        <v>38</v>
      </c>
      <c r="F3" s="3063" t="s">
        <v>39</v>
      </c>
      <c r="G3" s="3065" t="s">
        <v>40</v>
      </c>
      <c r="H3" s="3067" t="s">
        <v>41</v>
      </c>
      <c r="I3" s="3068"/>
      <c r="J3" s="3069"/>
      <c r="K3" s="3070" t="s">
        <v>42</v>
      </c>
      <c r="M3" s="3070" t="s">
        <v>43</v>
      </c>
      <c r="AA3" s="3057" t="s">
        <v>36</v>
      </c>
      <c r="AB3" s="3058"/>
      <c r="AC3" s="2985" t="s">
        <v>37</v>
      </c>
      <c r="AD3" s="3061" t="s">
        <v>38</v>
      </c>
      <c r="AE3" s="3063" t="s">
        <v>39</v>
      </c>
      <c r="AF3" s="3065" t="s">
        <v>40</v>
      </c>
      <c r="AG3" s="3067" t="s">
        <v>41</v>
      </c>
      <c r="AH3" s="3068"/>
      <c r="AI3" s="3069"/>
      <c r="AJ3" s="3070" t="s">
        <v>42</v>
      </c>
    </row>
    <row r="4" spans="2:36" ht="54.75" thickBot="1">
      <c r="B4" s="3059"/>
      <c r="C4" s="3060"/>
      <c r="D4" s="2986"/>
      <c r="E4" s="3062"/>
      <c r="F4" s="3064"/>
      <c r="G4" s="3066"/>
      <c r="H4" s="2997" t="s">
        <v>44</v>
      </c>
      <c r="I4" s="78" t="s">
        <v>45</v>
      </c>
      <c r="J4" s="2998" t="s">
        <v>46</v>
      </c>
      <c r="K4" s="3071"/>
      <c r="M4" s="3071"/>
      <c r="N4" s="79"/>
      <c r="P4" s="3072" t="s">
        <v>47</v>
      </c>
      <c r="Q4" s="3072"/>
      <c r="R4" s="3072"/>
      <c r="AA4" s="3059"/>
      <c r="AB4" s="3060"/>
      <c r="AC4" s="2986"/>
      <c r="AD4" s="3062"/>
      <c r="AE4" s="3064"/>
      <c r="AF4" s="3066"/>
      <c r="AG4" s="2997" t="s">
        <v>44</v>
      </c>
      <c r="AH4" s="78" t="s">
        <v>45</v>
      </c>
      <c r="AI4" s="2998" t="s">
        <v>46</v>
      </c>
      <c r="AJ4" s="3071"/>
    </row>
    <row r="5" spans="2:36" ht="15" thickBot="1"/>
    <row r="6" spans="2:36">
      <c r="B6" s="86" t="s">
        <v>221</v>
      </c>
      <c r="C6" s="117" t="s">
        <v>142</v>
      </c>
      <c r="D6" s="117"/>
      <c r="E6" s="88" t="s">
        <v>51</v>
      </c>
      <c r="F6" s="215">
        <v>3</v>
      </c>
      <c r="G6" s="2325">
        <f>'1A'!G22</f>
        <v>-1.7270000000001104</v>
      </c>
      <c r="H6" s="2326">
        <f>'1A'!H22</f>
        <v>-8.3010000000000019</v>
      </c>
      <c r="I6" s="2327">
        <f>'1A'!I22</f>
        <v>1.605999999999999</v>
      </c>
      <c r="J6" s="190">
        <f xml:space="preserve"> H6 - I6</f>
        <v>-9.907</v>
      </c>
      <c r="K6" s="196">
        <f xml:space="preserve"> G6 + J6</f>
        <v>-11.63400000000011</v>
      </c>
      <c r="M6" s="126"/>
      <c r="P6" s="85" t="s">
        <v>48</v>
      </c>
      <c r="AA6" s="86" t="s">
        <v>221</v>
      </c>
      <c r="AB6" s="117" t="s">
        <v>142</v>
      </c>
      <c r="AC6" s="117"/>
      <c r="AD6" s="88" t="s">
        <v>51</v>
      </c>
      <c r="AE6" s="215">
        <v>3</v>
      </c>
      <c r="AF6" s="379" t="str">
        <f>'1A'!AF22</f>
        <v>BO2530STAT</v>
      </c>
      <c r="AG6" s="741" t="str">
        <f>'1A'!AG22</f>
        <v>BO2530DSR</v>
      </c>
      <c r="AH6" s="675" t="str">
        <f>'1A'!AH22</f>
        <v>BO2530NA</v>
      </c>
      <c r="AI6" s="190" t="s">
        <v>146</v>
      </c>
      <c r="AJ6" s="196" t="s">
        <v>147</v>
      </c>
    </row>
    <row r="7" spans="2:36">
      <c r="B7" s="94" t="s">
        <v>222</v>
      </c>
      <c r="C7" s="87" t="s">
        <v>223</v>
      </c>
      <c r="D7" s="87"/>
      <c r="E7" s="95" t="s">
        <v>51</v>
      </c>
      <c r="F7" s="217">
        <v>3</v>
      </c>
      <c r="G7" s="2981">
        <v>0</v>
      </c>
      <c r="H7" s="425">
        <v>0</v>
      </c>
      <c r="I7" s="412">
        <v>0</v>
      </c>
      <c r="J7" s="191">
        <f xml:space="preserve"> H7 - I7</f>
        <v>0</v>
      </c>
      <c r="K7" s="197">
        <f xml:space="preserve"> G7 + J7</f>
        <v>0</v>
      </c>
      <c r="M7" s="24">
        <f xml:space="preserve"> IF( SUM( O7:S7 ) = 0, 0, $P$6 )</f>
        <v>0</v>
      </c>
      <c r="P7" s="93">
        <f t="shared" ref="P7:R8" si="0" xml:space="preserve"> IF( ISNUMBER( G7 ), 0, 1 )</f>
        <v>0</v>
      </c>
      <c r="Q7" s="93">
        <f t="shared" si="0"/>
        <v>0</v>
      </c>
      <c r="R7" s="93">
        <f t="shared" si="0"/>
        <v>0</v>
      </c>
      <c r="AA7" s="94" t="s">
        <v>222</v>
      </c>
      <c r="AB7" s="87" t="s">
        <v>223</v>
      </c>
      <c r="AC7" s="87"/>
      <c r="AD7" s="95" t="s">
        <v>51</v>
      </c>
      <c r="AE7" s="217">
        <v>3</v>
      </c>
      <c r="AF7" s="2531" t="s">
        <v>224</v>
      </c>
      <c r="AG7" s="2532" t="s">
        <v>225</v>
      </c>
      <c r="AH7" s="2520" t="s">
        <v>226</v>
      </c>
      <c r="AI7" s="191" t="s">
        <v>227</v>
      </c>
      <c r="AJ7" s="197" t="s">
        <v>228</v>
      </c>
    </row>
    <row r="8" spans="2:36">
      <c r="B8" s="94" t="s">
        <v>229</v>
      </c>
      <c r="C8" s="87" t="s">
        <v>230</v>
      </c>
      <c r="D8" s="87"/>
      <c r="E8" s="95" t="s">
        <v>51</v>
      </c>
      <c r="F8" s="217">
        <v>3</v>
      </c>
      <c r="G8" s="2981">
        <v>-165.43600000000001</v>
      </c>
      <c r="H8" s="425">
        <v>0</v>
      </c>
      <c r="I8" s="412">
        <v>0</v>
      </c>
      <c r="J8" s="191">
        <f xml:space="preserve"> H8 - I8</f>
        <v>0</v>
      </c>
      <c r="K8" s="197">
        <f xml:space="preserve"> G8 + J8</f>
        <v>-165.43600000000001</v>
      </c>
      <c r="M8" s="24">
        <f xml:space="preserve"> IF( SUM( O8:S8 ) = 0, 0, $P$6 )</f>
        <v>0</v>
      </c>
      <c r="P8" s="93">
        <f t="shared" si="0"/>
        <v>0</v>
      </c>
      <c r="Q8" s="93">
        <f t="shared" si="0"/>
        <v>0</v>
      </c>
      <c r="R8" s="93">
        <f t="shared" si="0"/>
        <v>0</v>
      </c>
      <c r="AA8" s="94" t="s">
        <v>229</v>
      </c>
      <c r="AB8" s="87" t="s">
        <v>230</v>
      </c>
      <c r="AC8" s="87"/>
      <c r="AD8" s="95" t="s">
        <v>51</v>
      </c>
      <c r="AE8" s="217">
        <v>3</v>
      </c>
      <c r="AF8" s="2531" t="s">
        <v>231</v>
      </c>
      <c r="AG8" s="2532" t="s">
        <v>232</v>
      </c>
      <c r="AH8" s="2520" t="s">
        <v>233</v>
      </c>
      <c r="AI8" s="191" t="s">
        <v>234</v>
      </c>
      <c r="AJ8" s="197" t="s">
        <v>235</v>
      </c>
    </row>
    <row r="9" spans="2:36" ht="15" thickBot="1">
      <c r="B9" s="101" t="s">
        <v>236</v>
      </c>
      <c r="C9" s="102" t="s">
        <v>237</v>
      </c>
      <c r="D9" s="102"/>
      <c r="E9" s="103" t="s">
        <v>51</v>
      </c>
      <c r="F9" s="225">
        <v>3</v>
      </c>
      <c r="G9" s="200">
        <f>SUM( G6:G8 )</f>
        <v>-167.16300000000012</v>
      </c>
      <c r="H9" s="242">
        <f>SUM( H6:H8 )</f>
        <v>-8.3010000000000019</v>
      </c>
      <c r="I9" s="194">
        <f>SUM( I6:I8 )</f>
        <v>1.605999999999999</v>
      </c>
      <c r="J9" s="195">
        <f xml:space="preserve"> H9 - I9</f>
        <v>-9.907</v>
      </c>
      <c r="K9" s="198">
        <f xml:space="preserve"> G9 + J9</f>
        <v>-177.07000000000014</v>
      </c>
      <c r="M9" s="126"/>
      <c r="AA9" s="101" t="s">
        <v>236</v>
      </c>
      <c r="AB9" s="102" t="s">
        <v>237</v>
      </c>
      <c r="AC9" s="102"/>
      <c r="AD9" s="103" t="s">
        <v>51</v>
      </c>
      <c r="AE9" s="225">
        <v>3</v>
      </c>
      <c r="AF9" s="200" t="s">
        <v>238</v>
      </c>
      <c r="AG9" s="242" t="s">
        <v>239</v>
      </c>
      <c r="AH9" s="194" t="s">
        <v>240</v>
      </c>
      <c r="AI9" s="195" t="s">
        <v>241</v>
      </c>
      <c r="AJ9" s="198" t="s">
        <v>242</v>
      </c>
    </row>
    <row r="10" spans="2:36">
      <c r="M10" s="126"/>
    </row>
    <row r="11" spans="2:36" s="163" customFormat="1">
      <c r="B11" s="3077" t="s">
        <v>243</v>
      </c>
      <c r="C11" s="3077"/>
      <c r="D11" s="2988"/>
      <c r="J11" s="126"/>
      <c r="K11" s="126"/>
      <c r="L11" s="126"/>
      <c r="M11" s="126"/>
      <c r="N11" s="126"/>
      <c r="O11" s="71"/>
      <c r="P11" s="126"/>
      <c r="Q11" s="126"/>
      <c r="R11" s="203"/>
      <c r="S11" s="71"/>
    </row>
    <row r="12" spans="2:36" s="163" customFormat="1">
      <c r="B12" s="141"/>
      <c r="C12" s="142"/>
      <c r="D12" s="142"/>
      <c r="J12" s="126"/>
      <c r="K12" s="126"/>
      <c r="L12" s="126"/>
      <c r="M12" s="126"/>
      <c r="N12" s="126"/>
      <c r="O12" s="71"/>
      <c r="P12" s="126"/>
      <c r="Q12" s="126"/>
      <c r="R12" s="203"/>
      <c r="S12" s="71"/>
    </row>
    <row r="13" spans="2:36" s="163" customFormat="1">
      <c r="B13" s="25"/>
      <c r="C13" s="143" t="s">
        <v>190</v>
      </c>
      <c r="D13" s="143"/>
      <c r="J13" s="126"/>
      <c r="K13" s="126"/>
      <c r="L13" s="126"/>
      <c r="M13" s="126"/>
      <c r="N13" s="126"/>
      <c r="O13" s="71"/>
      <c r="P13" s="126"/>
      <c r="Q13" s="126"/>
      <c r="R13" s="203"/>
      <c r="S13" s="71"/>
    </row>
    <row r="14" spans="2:36" s="163" customFormat="1">
      <c r="B14" s="141"/>
      <c r="C14" s="142"/>
      <c r="D14" s="142"/>
      <c r="J14" s="126"/>
      <c r="K14" s="126"/>
      <c r="L14" s="126"/>
      <c r="M14" s="126"/>
      <c r="N14" s="126"/>
      <c r="O14" s="71"/>
      <c r="P14" s="126"/>
      <c r="Q14" s="126"/>
      <c r="R14" s="203"/>
      <c r="S14" s="71"/>
    </row>
    <row r="15" spans="2:36" s="163" customFormat="1">
      <c r="B15" s="144"/>
      <c r="C15" s="143" t="s">
        <v>191</v>
      </c>
      <c r="D15" s="143"/>
      <c r="J15" s="126"/>
      <c r="K15" s="126"/>
      <c r="L15" s="126"/>
      <c r="M15" s="126"/>
      <c r="N15" s="126"/>
      <c r="O15" s="71"/>
      <c r="P15" s="126"/>
      <c r="Q15" s="126"/>
      <c r="R15" s="203"/>
      <c r="S15" s="71"/>
    </row>
    <row r="16" spans="2:36" s="163" customFormat="1">
      <c r="B16" s="145"/>
      <c r="C16" s="143"/>
      <c r="D16" s="143"/>
      <c r="J16" s="126"/>
      <c r="K16" s="126"/>
      <c r="L16" s="126"/>
      <c r="M16" s="126"/>
      <c r="N16" s="126"/>
      <c r="O16" s="71"/>
      <c r="P16" s="126"/>
      <c r="Q16" s="126"/>
      <c r="R16" s="203"/>
      <c r="S16" s="71"/>
    </row>
    <row r="17" spans="1:19" s="178" customFormat="1">
      <c r="B17" s="2324"/>
      <c r="C17" s="179" t="s">
        <v>244</v>
      </c>
      <c r="D17" s="179"/>
      <c r="J17" s="130"/>
      <c r="K17" s="130"/>
      <c r="L17" s="130"/>
      <c r="M17" s="126"/>
      <c r="N17" s="126"/>
      <c r="O17" s="71"/>
      <c r="P17" s="126"/>
      <c r="Q17" s="126"/>
      <c r="R17" s="302"/>
      <c r="S17" s="71"/>
    </row>
    <row r="18" spans="1:19" s="178" customFormat="1" ht="15" thickBot="1">
      <c r="B18" s="179"/>
      <c r="C18" s="179"/>
      <c r="D18" s="179"/>
      <c r="J18" s="130"/>
      <c r="K18" s="130"/>
      <c r="L18" s="130"/>
      <c r="M18" s="126"/>
      <c r="N18" s="126"/>
      <c r="O18" s="71"/>
      <c r="P18" s="126"/>
      <c r="Q18" s="126"/>
      <c r="R18" s="302"/>
      <c r="S18" s="71"/>
    </row>
    <row r="19" spans="1:19" s="178" customFormat="1" ht="21" thickBot="1">
      <c r="B19" s="3053" t="str">
        <f>'1A'!B43</f>
        <v>Please refer to RAG 4.08 - Guideline for the table definitions in the annual performance report for the reporting year 2019-20</v>
      </c>
      <c r="C19" s="147"/>
      <c r="D19" s="147"/>
      <c r="E19" s="148"/>
      <c r="F19" s="148"/>
      <c r="G19" s="148"/>
      <c r="H19" s="148"/>
      <c r="I19" s="148"/>
      <c r="J19" s="148"/>
      <c r="K19" s="154"/>
      <c r="L19" s="130"/>
      <c r="M19" s="126"/>
      <c r="N19" s="126"/>
      <c r="O19" s="71"/>
      <c r="P19" s="126"/>
      <c r="Q19" s="126"/>
      <c r="R19" s="302"/>
      <c r="S19" s="71"/>
    </row>
    <row r="20" spans="1:19" s="178" customFormat="1">
      <c r="C20" s="179"/>
      <c r="D20" s="179"/>
      <c r="J20" s="130"/>
      <c r="K20" s="130"/>
      <c r="L20" s="130"/>
      <c r="M20" s="126"/>
      <c r="N20" s="126"/>
      <c r="O20" s="71"/>
      <c r="P20" s="126"/>
      <c r="Q20" s="126"/>
      <c r="R20" s="302"/>
      <c r="S20" s="71"/>
    </row>
    <row r="21" spans="1:19" s="110" customFormat="1" ht="21" hidden="1" thickBot="1">
      <c r="A21" s="1560"/>
      <c r="B21" s="146" t="str">
        <f ca="1" xml:space="preserve"> RIGHT(CELL("filename", $A$1), LEN(CELL("filename", $A$1)) - SEARCH("]", CELL("filename", $A$1)))&amp;" - Line definitions"</f>
        <v>1B - Line definitions</v>
      </c>
      <c r="C21" s="147"/>
      <c r="D21" s="147"/>
      <c r="E21" s="148"/>
      <c r="F21" s="148"/>
      <c r="G21" s="148"/>
      <c r="H21" s="148"/>
      <c r="I21" s="148"/>
      <c r="J21" s="148"/>
      <c r="K21" s="154"/>
      <c r="L21" s="118"/>
      <c r="M21" s="120"/>
      <c r="N21" s="118"/>
      <c r="O21" s="71"/>
      <c r="P21" s="120"/>
      <c r="Q21" s="118"/>
      <c r="R21" s="280"/>
      <c r="S21" s="71"/>
    </row>
    <row r="22" spans="1:19" s="110" customFormat="1" ht="15" hidden="1" thickBot="1">
      <c r="A22" s="1560"/>
      <c r="B22" s="74"/>
      <c r="C22" s="155"/>
      <c r="D22" s="155"/>
      <c r="E22" s="74"/>
      <c r="F22" s="74"/>
      <c r="G22" s="74"/>
      <c r="J22" s="118"/>
      <c r="K22" s="118"/>
      <c r="L22" s="118"/>
      <c r="M22" s="120"/>
      <c r="N22" s="118"/>
      <c r="O22" s="71"/>
      <c r="P22" s="120"/>
      <c r="Q22" s="118"/>
      <c r="R22" s="280"/>
      <c r="S22" s="71"/>
    </row>
    <row r="23" spans="1:19" s="178" customFormat="1" ht="15" hidden="1" thickBot="1">
      <c r="A23" s="1561"/>
      <c r="B23" s="287" t="s">
        <v>193</v>
      </c>
      <c r="C23" s="3013" t="s">
        <v>194</v>
      </c>
      <c r="D23" s="3014"/>
      <c r="E23" s="3014"/>
      <c r="F23" s="3014"/>
      <c r="G23" s="3014"/>
      <c r="H23" s="3014"/>
      <c r="I23" s="3014"/>
      <c r="J23" s="3014"/>
      <c r="K23" s="157"/>
      <c r="L23" s="346"/>
      <c r="M23" s="130"/>
      <c r="N23" s="118"/>
      <c r="O23" s="71"/>
      <c r="P23" s="85" t="s">
        <v>195</v>
      </c>
      <c r="Q23" s="118"/>
      <c r="S23" s="71"/>
    </row>
    <row r="24" spans="1:19" s="110" customFormat="1" ht="13.7" hidden="1" customHeight="1">
      <c r="A24" s="1560"/>
      <c r="B24" s="181" t="str">
        <f>B6</f>
        <v>1B.1</v>
      </c>
      <c r="C24" s="3073" t="s">
        <v>245</v>
      </c>
      <c r="D24" s="3073"/>
      <c r="E24" s="3073"/>
      <c r="F24" s="3073"/>
      <c r="G24" s="3073"/>
      <c r="H24" s="3073"/>
      <c r="I24" s="3073"/>
      <c r="J24" s="3073"/>
      <c r="K24" s="3074"/>
      <c r="L24" s="348"/>
      <c r="M24" s="120"/>
      <c r="N24" s="118"/>
      <c r="O24" s="124"/>
      <c r="P24" s="161">
        <v>1</v>
      </c>
      <c r="Q24" s="118"/>
      <c r="R24" s="280"/>
      <c r="S24" s="124"/>
    </row>
    <row r="25" spans="1:19" s="110" customFormat="1" hidden="1">
      <c r="A25" s="1560"/>
      <c r="B25" s="159" t="str">
        <f>B7</f>
        <v>1B.2</v>
      </c>
      <c r="C25" s="3055" t="s">
        <v>246</v>
      </c>
      <c r="D25" s="3055"/>
      <c r="E25" s="3055"/>
      <c r="F25" s="3055"/>
      <c r="G25" s="3055"/>
      <c r="H25" s="3055"/>
      <c r="I25" s="3055"/>
      <c r="J25" s="3055"/>
      <c r="K25" s="3056"/>
      <c r="L25" s="349"/>
      <c r="M25" s="120"/>
      <c r="N25" s="118"/>
      <c r="O25" s="119"/>
      <c r="P25" s="253">
        <v>1</v>
      </c>
      <c r="Q25" s="118"/>
      <c r="R25" s="280"/>
      <c r="S25" s="119"/>
    </row>
    <row r="26" spans="1:19" s="110" customFormat="1" hidden="1">
      <c r="A26" s="1560"/>
      <c r="B26" s="159" t="str">
        <f>B8</f>
        <v>1B.3</v>
      </c>
      <c r="C26" s="3055" t="s">
        <v>247</v>
      </c>
      <c r="D26" s="3055"/>
      <c r="E26" s="3055"/>
      <c r="F26" s="3055"/>
      <c r="G26" s="3055"/>
      <c r="H26" s="3055"/>
      <c r="I26" s="3055"/>
      <c r="J26" s="3055"/>
      <c r="K26" s="3056"/>
      <c r="L26" s="348"/>
      <c r="M26" s="120"/>
      <c r="N26" s="118"/>
      <c r="O26" s="119"/>
      <c r="P26" s="253">
        <v>1</v>
      </c>
      <c r="Q26" s="118"/>
      <c r="R26" s="280"/>
      <c r="S26" s="119"/>
    </row>
    <row r="27" spans="1:19" s="120" customFormat="1" ht="14.25" hidden="1" customHeight="1" thickBot="1">
      <c r="A27" s="1562"/>
      <c r="B27" s="183" t="str">
        <f>B9</f>
        <v>1B.4</v>
      </c>
      <c r="C27" s="3075" t="s">
        <v>248</v>
      </c>
      <c r="D27" s="3075"/>
      <c r="E27" s="3075"/>
      <c r="F27" s="3075"/>
      <c r="G27" s="3075"/>
      <c r="H27" s="3075"/>
      <c r="I27" s="3075"/>
      <c r="J27" s="3075"/>
      <c r="K27" s="3076"/>
      <c r="L27" s="349"/>
      <c r="N27" s="118"/>
      <c r="O27" s="119"/>
      <c r="P27" s="253">
        <v>1</v>
      </c>
      <c r="Q27" s="118"/>
      <c r="R27" s="280"/>
      <c r="S27" s="119"/>
    </row>
    <row r="28" spans="1:19" hidden="1">
      <c r="A28" s="1563"/>
      <c r="O28" s="119"/>
      <c r="P28" s="375"/>
      <c r="S28" s="119"/>
    </row>
  </sheetData>
  <sheetProtection algorithmName="SHA-512" hashValue="qDVKehB3Qf96850XKQehUDkzDuIBsFp3NV5ddVDVY2U+nCeadbtP9Y0/25qnibSduviyluxmacLBTI27hzwlWQ==" saltValue="9qbEwvZ/or7y/YZnIvVXAQ==" spinCount="100000" sheet="1" objects="1" scenarios="1"/>
  <mergeCells count="19">
    <mergeCell ref="AJ3:AJ4"/>
    <mergeCell ref="AA3:AB4"/>
    <mergeCell ref="AD3:AD4"/>
    <mergeCell ref="AE3:AE4"/>
    <mergeCell ref="AF3:AF4"/>
    <mergeCell ref="AG3:AI3"/>
    <mergeCell ref="C27:K27"/>
    <mergeCell ref="M3:M4"/>
    <mergeCell ref="P4:R4"/>
    <mergeCell ref="B11:C11"/>
    <mergeCell ref="C24:K24"/>
    <mergeCell ref="C25:K25"/>
    <mergeCell ref="C26:K26"/>
    <mergeCell ref="B3:C4"/>
    <mergeCell ref="E3:E4"/>
    <mergeCell ref="F3:F4"/>
    <mergeCell ref="G3:G4"/>
    <mergeCell ref="H3:J3"/>
    <mergeCell ref="K3:K4"/>
  </mergeCells>
  <conditionalFormatting sqref="M7:M8">
    <cfRule type="cellIs" dxfId="137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WXQ116"/>
  <sheetViews>
    <sheetView topLeftCell="A8" zoomScaleNormal="100" workbookViewId="0">
      <selection activeCell="I25" sqref="I25"/>
    </sheetView>
  </sheetViews>
  <sheetFormatPr defaultColWidth="0" defaultRowHeight="0" customHeight="1" zeroHeight="1"/>
  <cols>
    <col min="1" max="1" width="0.5" customWidth="1"/>
    <col min="2" max="2" width="6.5" customWidth="1"/>
    <col min="3" max="3" width="50.125" customWidth="1"/>
    <col min="4" max="4" width="9.5" customWidth="1"/>
    <col min="5" max="6" width="8.5" customWidth="1"/>
    <col min="7" max="12" width="12.5" customWidth="1"/>
    <col min="13" max="13" width="12.5" style="2004" customWidth="1"/>
    <col min="14" max="14" width="9.125" customWidth="1"/>
    <col min="15" max="15" width="30.125" customWidth="1"/>
    <col min="16" max="16" width="2.5" customWidth="1"/>
    <col min="17" max="17" width="40.5" customWidth="1"/>
    <col min="18" max="18" width="1.5" hidden="1" customWidth="1"/>
    <col min="19" max="19" width="1.5" style="1665" hidden="1" customWidth="1"/>
    <col min="20" max="24" width="3.5" hidden="1" customWidth="1"/>
    <col min="25" max="25" width="3.5" style="2004" hidden="1" customWidth="1"/>
    <col min="26" max="26" width="3.5" hidden="1" customWidth="1"/>
    <col min="27" max="27" width="1.5" style="1665" hidden="1" customWidth="1"/>
    <col min="28" max="28" width="7.5" hidden="1" customWidth="1"/>
    <col min="29" max="29" width="1.125" style="1665" hidden="1" customWidth="1"/>
    <col min="30" max="31" width="8.5" hidden="1" customWidth="1"/>
    <col min="32" max="32" width="68.5" hidden="1" customWidth="1"/>
    <col min="33" max="33" width="1.125" style="1665" hidden="1" customWidth="1"/>
    <col min="34" max="35" width="8.5" customWidth="1"/>
    <col min="36" max="36" width="49.5" bestFit="1" customWidth="1"/>
    <col min="37" max="37" width="11.5" customWidth="1"/>
    <col min="38" max="39" width="8.5" customWidth="1"/>
    <col min="40" max="45" width="13.5" customWidth="1"/>
    <col min="46" max="46" width="15" style="2004" bestFit="1" customWidth="1"/>
    <col min="47" max="47" width="14.5" bestFit="1" customWidth="1"/>
    <col min="48" max="48" width="8.5" customWidth="1"/>
    <col min="49" max="182" width="8.5" hidden="1" customWidth="1"/>
    <col min="183" max="183" width="0.5" hidden="1" customWidth="1"/>
    <col min="184" max="184" width="6.5" hidden="1" customWidth="1"/>
    <col min="185" max="185" width="50.125" hidden="1" customWidth="1"/>
    <col min="186" max="186" width="0.125" hidden="1" customWidth="1"/>
    <col min="187" max="188" width="8.5" hidden="1" customWidth="1"/>
    <col min="189" max="189" width="10.5" hidden="1" customWidth="1"/>
    <col min="190" max="190" width="10" hidden="1" customWidth="1"/>
    <col min="191" max="191" width="11.5" hidden="1" customWidth="1"/>
    <col min="192" max="194" width="10.5" hidden="1" customWidth="1"/>
    <col min="195" max="195" width="9.125" hidden="1" customWidth="1"/>
    <col min="196" max="200" width="9.5" hidden="1" customWidth="1"/>
    <col min="201" max="201" width="8.5" hidden="1" customWidth="1"/>
    <col min="202" max="202" width="10.5" hidden="1" customWidth="1"/>
    <col min="203" max="204" width="8.5" hidden="1" customWidth="1"/>
    <col min="205" max="208" width="10.125" hidden="1" customWidth="1"/>
    <col min="209" max="209" width="8.5" hidden="1" customWidth="1"/>
    <col min="210" max="210" width="10.125" hidden="1" customWidth="1"/>
    <col min="211" max="212" width="8.5" hidden="1" customWidth="1"/>
    <col min="213" max="214" width="9.5" hidden="1" customWidth="1"/>
    <col min="215" max="215" width="10" hidden="1" customWidth="1"/>
    <col min="216" max="216" width="9.5" hidden="1" customWidth="1"/>
    <col min="217" max="217" width="8.5" hidden="1" customWidth="1"/>
    <col min="218" max="218" width="9.5" hidden="1" customWidth="1"/>
    <col min="219" max="220" width="8.5" hidden="1" customWidth="1"/>
    <col min="221" max="221" width="9.125" hidden="1" customWidth="1"/>
    <col min="222" max="222" width="9.5" hidden="1" customWidth="1"/>
    <col min="223" max="223" width="10.5" hidden="1" customWidth="1"/>
    <col min="224" max="224" width="9.5" hidden="1" customWidth="1"/>
    <col min="225" max="225" width="8.5" hidden="1" customWidth="1"/>
    <col min="226" max="226" width="11.125" hidden="1" customWidth="1"/>
    <col min="227" max="228" width="8.5" hidden="1" customWidth="1"/>
    <col min="229" max="229" width="9.125" hidden="1" customWidth="1"/>
    <col min="230" max="232" width="9.5" hidden="1" customWidth="1"/>
    <col min="233" max="233" width="8.5" hidden="1" customWidth="1"/>
    <col min="234" max="234" width="10.125" hidden="1" customWidth="1"/>
    <col min="235" max="236" width="8.5" hidden="1" customWidth="1"/>
    <col min="237" max="237" width="30.125" hidden="1" customWidth="1"/>
    <col min="238" max="238" width="2.5" hidden="1" customWidth="1"/>
    <col min="239" max="239" width="18.5" hidden="1" customWidth="1"/>
    <col min="240" max="240" width="1.5" hidden="1" customWidth="1"/>
    <col min="241" max="289" width="8.5" hidden="1" customWidth="1"/>
    <col min="290" max="438" width="8.5" hidden="1"/>
    <col min="439" max="439" width="0.5" hidden="1" customWidth="1"/>
    <col min="440" max="440" width="6.5" hidden="1" customWidth="1"/>
    <col min="441" max="441" width="50.125" hidden="1" customWidth="1"/>
    <col min="442" max="442" width="0.125" hidden="1" customWidth="1"/>
    <col min="443" max="444" width="8.5" hidden="1" customWidth="1"/>
    <col min="445" max="445" width="10.5" hidden="1" customWidth="1"/>
    <col min="446" max="446" width="10" hidden="1" customWidth="1"/>
    <col min="447" max="447" width="11.5" hidden="1" customWidth="1"/>
    <col min="448" max="450" width="10.5" hidden="1" customWidth="1"/>
    <col min="451" max="451" width="9.125" hidden="1" customWidth="1"/>
    <col min="452" max="456" width="9.5" hidden="1" customWidth="1"/>
    <col min="457" max="457" width="8.5" hidden="1" customWidth="1"/>
    <col min="458" max="458" width="10.5" hidden="1" customWidth="1"/>
    <col min="459" max="460" width="8.5" hidden="1" customWidth="1"/>
    <col min="461" max="464" width="10.125" hidden="1" customWidth="1"/>
    <col min="465" max="465" width="8.5" hidden="1" customWidth="1"/>
    <col min="466" max="466" width="10.125" hidden="1" customWidth="1"/>
    <col min="467" max="468" width="8.5" hidden="1" customWidth="1"/>
    <col min="469" max="470" width="9.5" hidden="1" customWidth="1"/>
    <col min="471" max="471" width="10" hidden="1" customWidth="1"/>
    <col min="472" max="472" width="9.5" hidden="1" customWidth="1"/>
    <col min="473" max="473" width="8.5" hidden="1" customWidth="1"/>
    <col min="474" max="474" width="9.5" hidden="1" customWidth="1"/>
    <col min="475" max="476" width="8.5" hidden="1" customWidth="1"/>
    <col min="477" max="477" width="9.125" hidden="1" customWidth="1"/>
    <col min="478" max="478" width="9.5" hidden="1" customWidth="1"/>
    <col min="479" max="479" width="10.5" hidden="1" customWidth="1"/>
    <col min="480" max="480" width="9.5" hidden="1" customWidth="1"/>
    <col min="481" max="481" width="8.5" hidden="1" customWidth="1"/>
    <col min="482" max="482" width="11.125" hidden="1" customWidth="1"/>
    <col min="483" max="484" width="8.5" hidden="1" customWidth="1"/>
    <col min="485" max="485" width="9.125" hidden="1" customWidth="1"/>
    <col min="486" max="488" width="9.5" hidden="1" customWidth="1"/>
    <col min="489" max="489" width="8.5" hidden="1" customWidth="1"/>
    <col min="490" max="490" width="10.125" hidden="1" customWidth="1"/>
    <col min="491" max="492" width="8.5" hidden="1" customWidth="1"/>
    <col min="493" max="493" width="30.125" hidden="1" customWidth="1"/>
    <col min="494" max="494" width="2.5" hidden="1" customWidth="1"/>
    <col min="495" max="495" width="18.5" hidden="1" customWidth="1"/>
    <col min="496" max="496" width="1.5" hidden="1" customWidth="1"/>
    <col min="497" max="545" width="8.5" hidden="1" customWidth="1"/>
    <col min="546" max="694" width="8.5" hidden="1"/>
    <col min="695" max="695" width="0.5" hidden="1" customWidth="1"/>
    <col min="696" max="696" width="6.5" hidden="1" customWidth="1"/>
    <col min="697" max="697" width="50.125" hidden="1" customWidth="1"/>
    <col min="698" max="698" width="0.125" hidden="1" customWidth="1"/>
    <col min="699" max="700" width="8.5" hidden="1" customWidth="1"/>
    <col min="701" max="701" width="10.5" hidden="1" customWidth="1"/>
    <col min="702" max="702" width="10" hidden="1" customWidth="1"/>
    <col min="703" max="703" width="11.5" hidden="1" customWidth="1"/>
    <col min="704" max="706" width="10.5" hidden="1" customWidth="1"/>
    <col min="707" max="707" width="9.125" hidden="1" customWidth="1"/>
    <col min="708" max="712" width="9.5" hidden="1" customWidth="1"/>
    <col min="713" max="713" width="8.5" hidden="1" customWidth="1"/>
    <col min="714" max="714" width="10.5" hidden="1" customWidth="1"/>
    <col min="715" max="716" width="8.5" hidden="1" customWidth="1"/>
    <col min="717" max="720" width="10.125" hidden="1" customWidth="1"/>
    <col min="721" max="721" width="8.5" hidden="1" customWidth="1"/>
    <col min="722" max="722" width="10.125" hidden="1" customWidth="1"/>
    <col min="723" max="724" width="8.5" hidden="1" customWidth="1"/>
    <col min="725" max="726" width="9.5" hidden="1" customWidth="1"/>
    <col min="727" max="727" width="10" hidden="1" customWidth="1"/>
    <col min="728" max="728" width="9.5" hidden="1" customWidth="1"/>
    <col min="729" max="729" width="8.5" hidden="1" customWidth="1"/>
    <col min="730" max="730" width="9.5" hidden="1" customWidth="1"/>
    <col min="731" max="732" width="8.5" hidden="1" customWidth="1"/>
    <col min="733" max="733" width="9.125" hidden="1" customWidth="1"/>
    <col min="734" max="734" width="9.5" hidden="1" customWidth="1"/>
    <col min="735" max="735" width="10.5" hidden="1" customWidth="1"/>
    <col min="736" max="736" width="9.5" hidden="1" customWidth="1"/>
    <col min="737" max="737" width="8.5" hidden="1" customWidth="1"/>
    <col min="738" max="738" width="11.125" hidden="1" customWidth="1"/>
    <col min="739" max="740" width="8.5" hidden="1" customWidth="1"/>
    <col min="741" max="741" width="9.125" hidden="1" customWidth="1"/>
    <col min="742" max="744" width="9.5" hidden="1" customWidth="1"/>
    <col min="745" max="745" width="8.5" hidden="1" customWidth="1"/>
    <col min="746" max="746" width="10.125" hidden="1" customWidth="1"/>
    <col min="747" max="748" width="8.5" hidden="1" customWidth="1"/>
    <col min="749" max="749" width="30.125" hidden="1" customWidth="1"/>
    <col min="750" max="750" width="2.5" hidden="1" customWidth="1"/>
    <col min="751" max="751" width="18.5" hidden="1" customWidth="1"/>
    <col min="752" max="752" width="1.5" hidden="1" customWidth="1"/>
    <col min="753" max="801" width="8.5" hidden="1" customWidth="1"/>
    <col min="802" max="950" width="8.5" hidden="1"/>
    <col min="951" max="951" width="0.5" hidden="1" customWidth="1"/>
    <col min="952" max="952" width="6.5" hidden="1" customWidth="1"/>
    <col min="953" max="953" width="50.125" hidden="1" customWidth="1"/>
    <col min="954" max="954" width="0.125" hidden="1" customWidth="1"/>
    <col min="955" max="956" width="8.5" hidden="1" customWidth="1"/>
    <col min="957" max="957" width="10.5" hidden="1" customWidth="1"/>
    <col min="958" max="958" width="10" hidden="1" customWidth="1"/>
    <col min="959" max="959" width="11.5" hidden="1" customWidth="1"/>
    <col min="960" max="962" width="10.5" hidden="1" customWidth="1"/>
    <col min="963" max="963" width="9.125" hidden="1" customWidth="1"/>
    <col min="964" max="968" width="9.5" hidden="1" customWidth="1"/>
    <col min="969" max="969" width="8.5" hidden="1" customWidth="1"/>
    <col min="970" max="970" width="10.5" hidden="1" customWidth="1"/>
    <col min="971" max="972" width="8.5" hidden="1" customWidth="1"/>
    <col min="973" max="976" width="10.125" hidden="1" customWidth="1"/>
    <col min="977" max="977" width="8.5" hidden="1" customWidth="1"/>
    <col min="978" max="978" width="10.125" hidden="1" customWidth="1"/>
    <col min="979" max="980" width="8.5" hidden="1" customWidth="1"/>
    <col min="981" max="982" width="9.5" hidden="1" customWidth="1"/>
    <col min="983" max="983" width="10" hidden="1" customWidth="1"/>
    <col min="984" max="984" width="9.5" hidden="1" customWidth="1"/>
    <col min="985" max="985" width="8.5" hidden="1" customWidth="1"/>
    <col min="986" max="986" width="9.5" hidden="1" customWidth="1"/>
    <col min="987" max="988" width="8.5" hidden="1" customWidth="1"/>
    <col min="989" max="989" width="9.125" hidden="1" customWidth="1"/>
    <col min="990" max="990" width="9.5" hidden="1" customWidth="1"/>
    <col min="991" max="991" width="10.5" hidden="1" customWidth="1"/>
    <col min="992" max="992" width="9.5" hidden="1" customWidth="1"/>
    <col min="993" max="993" width="8.5" hidden="1" customWidth="1"/>
    <col min="994" max="994" width="11.125" hidden="1" customWidth="1"/>
    <col min="995" max="996" width="8.5" hidden="1" customWidth="1"/>
    <col min="997" max="997" width="9.125" hidden="1" customWidth="1"/>
    <col min="998" max="1000" width="9.5" hidden="1" customWidth="1"/>
    <col min="1001" max="1001" width="8.5" hidden="1" customWidth="1"/>
    <col min="1002" max="1002" width="10.125" hidden="1" customWidth="1"/>
    <col min="1003" max="1004" width="8.5" hidden="1" customWidth="1"/>
    <col min="1005" max="1005" width="30.125" hidden="1" customWidth="1"/>
    <col min="1006" max="1006" width="2.5" hidden="1" customWidth="1"/>
    <col min="1007" max="1007" width="18.5" hidden="1" customWidth="1"/>
    <col min="1008" max="1008" width="1.5" hidden="1" customWidth="1"/>
    <col min="1009" max="1057" width="8.5" hidden="1" customWidth="1"/>
    <col min="1058" max="1206" width="8.5" hidden="1"/>
    <col min="1207" max="1207" width="0.5" hidden="1" customWidth="1"/>
    <col min="1208" max="1208" width="6.5" hidden="1" customWidth="1"/>
    <col min="1209" max="1209" width="50.125" hidden="1" customWidth="1"/>
    <col min="1210" max="1210" width="0.125" hidden="1" customWidth="1"/>
    <col min="1211" max="1212" width="8.5" hidden="1" customWidth="1"/>
    <col min="1213" max="1213" width="10.5" hidden="1" customWidth="1"/>
    <col min="1214" max="1214" width="10" hidden="1" customWidth="1"/>
    <col min="1215" max="1215" width="11.5" hidden="1" customWidth="1"/>
    <col min="1216" max="1218" width="10.5" hidden="1" customWidth="1"/>
    <col min="1219" max="1219" width="9.125" hidden="1" customWidth="1"/>
    <col min="1220" max="1224" width="9.5" hidden="1" customWidth="1"/>
    <col min="1225" max="1225" width="8.5" hidden="1" customWidth="1"/>
    <col min="1226" max="1226" width="10.5" hidden="1" customWidth="1"/>
    <col min="1227" max="1228" width="8.5" hidden="1" customWidth="1"/>
    <col min="1229" max="1232" width="10.125" hidden="1" customWidth="1"/>
    <col min="1233" max="1233" width="8.5" hidden="1" customWidth="1"/>
    <col min="1234" max="1234" width="10.125" hidden="1" customWidth="1"/>
    <col min="1235" max="1236" width="8.5" hidden="1" customWidth="1"/>
    <col min="1237" max="1238" width="9.5" hidden="1" customWidth="1"/>
    <col min="1239" max="1239" width="10" hidden="1" customWidth="1"/>
    <col min="1240" max="1240" width="9.5" hidden="1" customWidth="1"/>
    <col min="1241" max="1241" width="8.5" hidden="1" customWidth="1"/>
    <col min="1242" max="1242" width="9.5" hidden="1" customWidth="1"/>
    <col min="1243" max="1244" width="8.5" hidden="1" customWidth="1"/>
    <col min="1245" max="1245" width="9.125" hidden="1" customWidth="1"/>
    <col min="1246" max="1246" width="9.5" hidden="1" customWidth="1"/>
    <col min="1247" max="1247" width="10.5" hidden="1" customWidth="1"/>
    <col min="1248" max="1248" width="9.5" hidden="1" customWidth="1"/>
    <col min="1249" max="1249" width="8.5" hidden="1" customWidth="1"/>
    <col min="1250" max="1250" width="11.125" hidden="1" customWidth="1"/>
    <col min="1251" max="1252" width="8.5" hidden="1" customWidth="1"/>
    <col min="1253" max="1253" width="9.125" hidden="1" customWidth="1"/>
    <col min="1254" max="1256" width="9.5" hidden="1" customWidth="1"/>
    <col min="1257" max="1257" width="8.5" hidden="1" customWidth="1"/>
    <col min="1258" max="1258" width="10.125" hidden="1" customWidth="1"/>
    <col min="1259" max="1260" width="8.5" hidden="1" customWidth="1"/>
    <col min="1261" max="1261" width="30.125" hidden="1" customWidth="1"/>
    <col min="1262" max="1262" width="2.5" hidden="1" customWidth="1"/>
    <col min="1263" max="1263" width="18.5" hidden="1" customWidth="1"/>
    <col min="1264" max="1264" width="1.5" hidden="1" customWidth="1"/>
    <col min="1265" max="1313" width="8.5" hidden="1" customWidth="1"/>
    <col min="1314" max="1462" width="8.5" hidden="1"/>
    <col min="1463" max="1463" width="0.5" hidden="1" customWidth="1"/>
    <col min="1464" max="1464" width="6.5" hidden="1" customWidth="1"/>
    <col min="1465" max="1465" width="50.125" hidden="1" customWidth="1"/>
    <col min="1466" max="1466" width="0.125" hidden="1" customWidth="1"/>
    <col min="1467" max="1468" width="8.5" hidden="1" customWidth="1"/>
    <col min="1469" max="1469" width="10.5" hidden="1" customWidth="1"/>
    <col min="1470" max="1470" width="10" hidden="1" customWidth="1"/>
    <col min="1471" max="1471" width="11.5" hidden="1" customWidth="1"/>
    <col min="1472" max="1474" width="10.5" hidden="1" customWidth="1"/>
    <col min="1475" max="1475" width="9.125" hidden="1" customWidth="1"/>
    <col min="1476" max="1480" width="9.5" hidden="1" customWidth="1"/>
    <col min="1481" max="1481" width="8.5" hidden="1" customWidth="1"/>
    <col min="1482" max="1482" width="10.5" hidden="1" customWidth="1"/>
    <col min="1483" max="1484" width="8.5" hidden="1" customWidth="1"/>
    <col min="1485" max="1488" width="10.125" hidden="1" customWidth="1"/>
    <col min="1489" max="1489" width="8.5" hidden="1" customWidth="1"/>
    <col min="1490" max="1490" width="10.125" hidden="1" customWidth="1"/>
    <col min="1491" max="1492" width="8.5" hidden="1" customWidth="1"/>
    <col min="1493" max="1494" width="9.5" hidden="1" customWidth="1"/>
    <col min="1495" max="1495" width="10" hidden="1" customWidth="1"/>
    <col min="1496" max="1496" width="9.5" hidden="1" customWidth="1"/>
    <col min="1497" max="1497" width="8.5" hidden="1" customWidth="1"/>
    <col min="1498" max="1498" width="9.5" hidden="1" customWidth="1"/>
    <col min="1499" max="1500" width="8.5" hidden="1" customWidth="1"/>
    <col min="1501" max="1501" width="9.125" hidden="1" customWidth="1"/>
    <col min="1502" max="1502" width="9.5" hidden="1" customWidth="1"/>
    <col min="1503" max="1503" width="10.5" hidden="1" customWidth="1"/>
    <col min="1504" max="1504" width="9.5" hidden="1" customWidth="1"/>
    <col min="1505" max="1505" width="8.5" hidden="1" customWidth="1"/>
    <col min="1506" max="1506" width="11.125" hidden="1" customWidth="1"/>
    <col min="1507" max="1508" width="8.5" hidden="1" customWidth="1"/>
    <col min="1509" max="1509" width="9.125" hidden="1" customWidth="1"/>
    <col min="1510" max="1512" width="9.5" hidden="1" customWidth="1"/>
    <col min="1513" max="1513" width="8.5" hidden="1" customWidth="1"/>
    <col min="1514" max="1514" width="10.125" hidden="1" customWidth="1"/>
    <col min="1515" max="1516" width="8.5" hidden="1" customWidth="1"/>
    <col min="1517" max="1517" width="30.125" hidden="1" customWidth="1"/>
    <col min="1518" max="1518" width="2.5" hidden="1" customWidth="1"/>
    <col min="1519" max="1519" width="18.5" hidden="1" customWidth="1"/>
    <col min="1520" max="1520" width="1.5" hidden="1" customWidth="1"/>
    <col min="1521" max="1569" width="8.5" hidden="1" customWidth="1"/>
    <col min="1570" max="1718" width="8.5" hidden="1"/>
    <col min="1719" max="1719" width="0.5" hidden="1" customWidth="1"/>
    <col min="1720" max="1720" width="6.5" hidden="1" customWidth="1"/>
    <col min="1721" max="1721" width="50.125" hidden="1" customWidth="1"/>
    <col min="1722" max="1722" width="0.125" hidden="1" customWidth="1"/>
    <col min="1723" max="1724" width="8.5" hidden="1" customWidth="1"/>
    <col min="1725" max="1725" width="10.5" hidden="1" customWidth="1"/>
    <col min="1726" max="1726" width="10" hidden="1" customWidth="1"/>
    <col min="1727" max="1727" width="11.5" hidden="1" customWidth="1"/>
    <col min="1728" max="1730" width="10.5" hidden="1" customWidth="1"/>
    <col min="1731" max="1731" width="9.125" hidden="1" customWidth="1"/>
    <col min="1732" max="1736" width="9.5" hidden="1" customWidth="1"/>
    <col min="1737" max="1737" width="8.5" hidden="1" customWidth="1"/>
    <col min="1738" max="1738" width="10.5" hidden="1" customWidth="1"/>
    <col min="1739" max="1740" width="8.5" hidden="1" customWidth="1"/>
    <col min="1741" max="1744" width="10.125" hidden="1" customWidth="1"/>
    <col min="1745" max="1745" width="8.5" hidden="1" customWidth="1"/>
    <col min="1746" max="1746" width="10.125" hidden="1" customWidth="1"/>
    <col min="1747" max="1748" width="8.5" hidden="1" customWidth="1"/>
    <col min="1749" max="1750" width="9.5" hidden="1" customWidth="1"/>
    <col min="1751" max="1751" width="10" hidden="1" customWidth="1"/>
    <col min="1752" max="1752" width="9.5" hidden="1" customWidth="1"/>
    <col min="1753" max="1753" width="8.5" hidden="1" customWidth="1"/>
    <col min="1754" max="1754" width="9.5" hidden="1" customWidth="1"/>
    <col min="1755" max="1756" width="8.5" hidden="1" customWidth="1"/>
    <col min="1757" max="1757" width="9.125" hidden="1" customWidth="1"/>
    <col min="1758" max="1758" width="9.5" hidden="1" customWidth="1"/>
    <col min="1759" max="1759" width="10.5" hidden="1" customWidth="1"/>
    <col min="1760" max="1760" width="9.5" hidden="1" customWidth="1"/>
    <col min="1761" max="1761" width="8.5" hidden="1" customWidth="1"/>
    <col min="1762" max="1762" width="11.125" hidden="1" customWidth="1"/>
    <col min="1763" max="1764" width="8.5" hidden="1" customWidth="1"/>
    <col min="1765" max="1765" width="9.125" hidden="1" customWidth="1"/>
    <col min="1766" max="1768" width="9.5" hidden="1" customWidth="1"/>
    <col min="1769" max="1769" width="8.5" hidden="1" customWidth="1"/>
    <col min="1770" max="1770" width="10.125" hidden="1" customWidth="1"/>
    <col min="1771" max="1772" width="8.5" hidden="1" customWidth="1"/>
    <col min="1773" max="1773" width="30.125" hidden="1" customWidth="1"/>
    <col min="1774" max="1774" width="2.5" hidden="1" customWidth="1"/>
    <col min="1775" max="1775" width="18.5" hidden="1" customWidth="1"/>
    <col min="1776" max="1776" width="1.5" hidden="1" customWidth="1"/>
    <col min="1777" max="1825" width="8.5" hidden="1" customWidth="1"/>
    <col min="1826" max="1974" width="8.5" hidden="1"/>
    <col min="1975" max="1975" width="0.5" hidden="1" customWidth="1"/>
    <col min="1976" max="1976" width="6.5" hidden="1" customWidth="1"/>
    <col min="1977" max="1977" width="50.125" hidden="1" customWidth="1"/>
    <col min="1978" max="1978" width="0.125" hidden="1" customWidth="1"/>
    <col min="1979" max="1980" width="8.5" hidden="1" customWidth="1"/>
    <col min="1981" max="1981" width="10.5" hidden="1" customWidth="1"/>
    <col min="1982" max="1982" width="10" hidden="1" customWidth="1"/>
    <col min="1983" max="1983" width="11.5" hidden="1" customWidth="1"/>
    <col min="1984" max="1986" width="10.5" hidden="1" customWidth="1"/>
    <col min="1987" max="1987" width="9.125" hidden="1" customWidth="1"/>
    <col min="1988" max="1992" width="9.5" hidden="1" customWidth="1"/>
    <col min="1993" max="1993" width="8.5" hidden="1" customWidth="1"/>
    <col min="1994" max="1994" width="10.5" hidden="1" customWidth="1"/>
    <col min="1995" max="1996" width="8.5" hidden="1" customWidth="1"/>
    <col min="1997" max="2000" width="10.125" hidden="1" customWidth="1"/>
    <col min="2001" max="2001" width="8.5" hidden="1" customWidth="1"/>
    <col min="2002" max="2002" width="10.125" hidden="1" customWidth="1"/>
    <col min="2003" max="2004" width="8.5" hidden="1" customWidth="1"/>
    <col min="2005" max="2006" width="9.5" hidden="1" customWidth="1"/>
    <col min="2007" max="2007" width="10" hidden="1" customWidth="1"/>
    <col min="2008" max="2008" width="9.5" hidden="1" customWidth="1"/>
    <col min="2009" max="2009" width="8.5" hidden="1" customWidth="1"/>
    <col min="2010" max="2010" width="9.5" hidden="1" customWidth="1"/>
    <col min="2011" max="2012" width="8.5" hidden="1" customWidth="1"/>
    <col min="2013" max="2013" width="9.125" hidden="1" customWidth="1"/>
    <col min="2014" max="2014" width="9.5" hidden="1" customWidth="1"/>
    <col min="2015" max="2015" width="10.5" hidden="1" customWidth="1"/>
    <col min="2016" max="2016" width="9.5" hidden="1" customWidth="1"/>
    <col min="2017" max="2017" width="8.5" hidden="1" customWidth="1"/>
    <col min="2018" max="2018" width="11.125" hidden="1" customWidth="1"/>
    <col min="2019" max="2020" width="8.5" hidden="1" customWidth="1"/>
    <col min="2021" max="2021" width="9.125" hidden="1" customWidth="1"/>
    <col min="2022" max="2024" width="9.5" hidden="1" customWidth="1"/>
    <col min="2025" max="2025" width="8.5" hidden="1" customWidth="1"/>
    <col min="2026" max="2026" width="10.125" hidden="1" customWidth="1"/>
    <col min="2027" max="2028" width="8.5" hidden="1" customWidth="1"/>
    <col min="2029" max="2029" width="30.125" hidden="1" customWidth="1"/>
    <col min="2030" max="2030" width="2.5" hidden="1" customWidth="1"/>
    <col min="2031" max="2031" width="18.5" hidden="1" customWidth="1"/>
    <col min="2032" max="2032" width="1.5" hidden="1" customWidth="1"/>
    <col min="2033" max="2081" width="8.5" hidden="1" customWidth="1"/>
    <col min="2082" max="2230" width="8.5" hidden="1"/>
    <col min="2231" max="2231" width="0.5" hidden="1" customWidth="1"/>
    <col min="2232" max="2232" width="6.5" hidden="1" customWidth="1"/>
    <col min="2233" max="2233" width="50.125" hidden="1" customWidth="1"/>
    <col min="2234" max="2234" width="0.125" hidden="1" customWidth="1"/>
    <col min="2235" max="2236" width="8.5" hidden="1" customWidth="1"/>
    <col min="2237" max="2237" width="10.5" hidden="1" customWidth="1"/>
    <col min="2238" max="2238" width="10" hidden="1" customWidth="1"/>
    <col min="2239" max="2239" width="11.5" hidden="1" customWidth="1"/>
    <col min="2240" max="2242" width="10.5" hidden="1" customWidth="1"/>
    <col min="2243" max="2243" width="9.125" hidden="1" customWidth="1"/>
    <col min="2244" max="2248" width="9.5" hidden="1" customWidth="1"/>
    <col min="2249" max="2249" width="8.5" hidden="1" customWidth="1"/>
    <col min="2250" max="2250" width="10.5" hidden="1" customWidth="1"/>
    <col min="2251" max="2252" width="8.5" hidden="1" customWidth="1"/>
    <col min="2253" max="2256" width="10.125" hidden="1" customWidth="1"/>
    <col min="2257" max="2257" width="8.5" hidden="1" customWidth="1"/>
    <col min="2258" max="2258" width="10.125" hidden="1" customWidth="1"/>
    <col min="2259" max="2260" width="8.5" hidden="1" customWidth="1"/>
    <col min="2261" max="2262" width="9.5" hidden="1" customWidth="1"/>
    <col min="2263" max="2263" width="10" hidden="1" customWidth="1"/>
    <col min="2264" max="2264" width="9.5" hidden="1" customWidth="1"/>
    <col min="2265" max="2265" width="8.5" hidden="1" customWidth="1"/>
    <col min="2266" max="2266" width="9.5" hidden="1" customWidth="1"/>
    <col min="2267" max="2268" width="8.5" hidden="1" customWidth="1"/>
    <col min="2269" max="2269" width="9.125" hidden="1" customWidth="1"/>
    <col min="2270" max="2270" width="9.5" hidden="1" customWidth="1"/>
    <col min="2271" max="2271" width="10.5" hidden="1" customWidth="1"/>
    <col min="2272" max="2272" width="9.5" hidden="1" customWidth="1"/>
    <col min="2273" max="2273" width="8.5" hidden="1" customWidth="1"/>
    <col min="2274" max="2274" width="11.125" hidden="1" customWidth="1"/>
    <col min="2275" max="2276" width="8.5" hidden="1" customWidth="1"/>
    <col min="2277" max="2277" width="9.125" hidden="1" customWidth="1"/>
    <col min="2278" max="2280" width="9.5" hidden="1" customWidth="1"/>
    <col min="2281" max="2281" width="8.5" hidden="1" customWidth="1"/>
    <col min="2282" max="2282" width="10.125" hidden="1" customWidth="1"/>
    <col min="2283" max="2284" width="8.5" hidden="1" customWidth="1"/>
    <col min="2285" max="2285" width="30.125" hidden="1" customWidth="1"/>
    <col min="2286" max="2286" width="2.5" hidden="1" customWidth="1"/>
    <col min="2287" max="2287" width="18.5" hidden="1" customWidth="1"/>
    <col min="2288" max="2288" width="1.5" hidden="1" customWidth="1"/>
    <col min="2289" max="2337" width="8.5" hidden="1" customWidth="1"/>
    <col min="2338" max="2486" width="8.5" hidden="1"/>
    <col min="2487" max="2487" width="0.5" hidden="1" customWidth="1"/>
    <col min="2488" max="2488" width="6.5" hidden="1" customWidth="1"/>
    <col min="2489" max="2489" width="50.125" hidden="1" customWidth="1"/>
    <col min="2490" max="2490" width="0.125" hidden="1" customWidth="1"/>
    <col min="2491" max="2492" width="8.5" hidden="1" customWidth="1"/>
    <col min="2493" max="2493" width="10.5" hidden="1" customWidth="1"/>
    <col min="2494" max="2494" width="10" hidden="1" customWidth="1"/>
    <col min="2495" max="2495" width="11.5" hidden="1" customWidth="1"/>
    <col min="2496" max="2498" width="10.5" hidden="1" customWidth="1"/>
    <col min="2499" max="2499" width="9.125" hidden="1" customWidth="1"/>
    <col min="2500" max="2504" width="9.5" hidden="1" customWidth="1"/>
    <col min="2505" max="2505" width="8.5" hidden="1" customWidth="1"/>
    <col min="2506" max="2506" width="10.5" hidden="1" customWidth="1"/>
    <col min="2507" max="2508" width="8.5" hidden="1" customWidth="1"/>
    <col min="2509" max="2512" width="10.125" hidden="1" customWidth="1"/>
    <col min="2513" max="2513" width="8.5" hidden="1" customWidth="1"/>
    <col min="2514" max="2514" width="10.125" hidden="1" customWidth="1"/>
    <col min="2515" max="2516" width="8.5" hidden="1" customWidth="1"/>
    <col min="2517" max="2518" width="9.5" hidden="1" customWidth="1"/>
    <col min="2519" max="2519" width="10" hidden="1" customWidth="1"/>
    <col min="2520" max="2520" width="9.5" hidden="1" customWidth="1"/>
    <col min="2521" max="2521" width="8.5" hidden="1" customWidth="1"/>
    <col min="2522" max="2522" width="9.5" hidden="1" customWidth="1"/>
    <col min="2523" max="2524" width="8.5" hidden="1" customWidth="1"/>
    <col min="2525" max="2525" width="9.125" hidden="1" customWidth="1"/>
    <col min="2526" max="2526" width="9.5" hidden="1" customWidth="1"/>
    <col min="2527" max="2527" width="10.5" hidden="1" customWidth="1"/>
    <col min="2528" max="2528" width="9.5" hidden="1" customWidth="1"/>
    <col min="2529" max="2529" width="8.5" hidden="1" customWidth="1"/>
    <col min="2530" max="2530" width="11.125" hidden="1" customWidth="1"/>
    <col min="2531" max="2532" width="8.5" hidden="1" customWidth="1"/>
    <col min="2533" max="2533" width="9.125" hidden="1" customWidth="1"/>
    <col min="2534" max="2536" width="9.5" hidden="1" customWidth="1"/>
    <col min="2537" max="2537" width="8.5" hidden="1" customWidth="1"/>
    <col min="2538" max="2538" width="10.125" hidden="1" customWidth="1"/>
    <col min="2539" max="2540" width="8.5" hidden="1" customWidth="1"/>
    <col min="2541" max="2541" width="30.125" hidden="1" customWidth="1"/>
    <col min="2542" max="2542" width="2.5" hidden="1" customWidth="1"/>
    <col min="2543" max="2543" width="18.5" hidden="1" customWidth="1"/>
    <col min="2544" max="2544" width="1.5" hidden="1" customWidth="1"/>
    <col min="2545" max="2593" width="8.5" hidden="1" customWidth="1"/>
    <col min="2594" max="2742" width="8.5" hidden="1"/>
    <col min="2743" max="2743" width="0.5" hidden="1" customWidth="1"/>
    <col min="2744" max="2744" width="6.5" hidden="1" customWidth="1"/>
    <col min="2745" max="2745" width="50.125" hidden="1" customWidth="1"/>
    <col min="2746" max="2746" width="0.125" hidden="1" customWidth="1"/>
    <col min="2747" max="2748" width="8.5" hidden="1" customWidth="1"/>
    <col min="2749" max="2749" width="10.5" hidden="1" customWidth="1"/>
    <col min="2750" max="2750" width="10" hidden="1" customWidth="1"/>
    <col min="2751" max="2751" width="11.5" hidden="1" customWidth="1"/>
    <col min="2752" max="2754" width="10.5" hidden="1" customWidth="1"/>
    <col min="2755" max="2755" width="9.125" hidden="1" customWidth="1"/>
    <col min="2756" max="2760" width="9.5" hidden="1" customWidth="1"/>
    <col min="2761" max="2761" width="8.5" hidden="1" customWidth="1"/>
    <col min="2762" max="2762" width="10.5" hidden="1" customWidth="1"/>
    <col min="2763" max="2764" width="8.5" hidden="1" customWidth="1"/>
    <col min="2765" max="2768" width="10.125" hidden="1" customWidth="1"/>
    <col min="2769" max="2769" width="8.5" hidden="1" customWidth="1"/>
    <col min="2770" max="2770" width="10.125" hidden="1" customWidth="1"/>
    <col min="2771" max="2772" width="8.5" hidden="1" customWidth="1"/>
    <col min="2773" max="2774" width="9.5" hidden="1" customWidth="1"/>
    <col min="2775" max="2775" width="10" hidden="1" customWidth="1"/>
    <col min="2776" max="2776" width="9.5" hidden="1" customWidth="1"/>
    <col min="2777" max="2777" width="8.5" hidden="1" customWidth="1"/>
    <col min="2778" max="2778" width="9.5" hidden="1" customWidth="1"/>
    <col min="2779" max="2780" width="8.5" hidden="1" customWidth="1"/>
    <col min="2781" max="2781" width="9.125" hidden="1" customWidth="1"/>
    <col min="2782" max="2782" width="9.5" hidden="1" customWidth="1"/>
    <col min="2783" max="2783" width="10.5" hidden="1" customWidth="1"/>
    <col min="2784" max="2784" width="9.5" hidden="1" customWidth="1"/>
    <col min="2785" max="2785" width="8.5" hidden="1" customWidth="1"/>
    <col min="2786" max="2786" width="11.125" hidden="1" customWidth="1"/>
    <col min="2787" max="2788" width="8.5" hidden="1" customWidth="1"/>
    <col min="2789" max="2789" width="9.125" hidden="1" customWidth="1"/>
    <col min="2790" max="2792" width="9.5" hidden="1" customWidth="1"/>
    <col min="2793" max="2793" width="8.5" hidden="1" customWidth="1"/>
    <col min="2794" max="2794" width="10.125" hidden="1" customWidth="1"/>
    <col min="2795" max="2796" width="8.5" hidden="1" customWidth="1"/>
    <col min="2797" max="2797" width="30.125" hidden="1" customWidth="1"/>
    <col min="2798" max="2798" width="2.5" hidden="1" customWidth="1"/>
    <col min="2799" max="2799" width="18.5" hidden="1" customWidth="1"/>
    <col min="2800" max="2800" width="1.5" hidden="1" customWidth="1"/>
    <col min="2801" max="2849" width="8.5" hidden="1" customWidth="1"/>
    <col min="2850" max="2998" width="8.5" hidden="1"/>
    <col min="2999" max="2999" width="0.5" hidden="1" customWidth="1"/>
    <col min="3000" max="3000" width="6.5" hidden="1" customWidth="1"/>
    <col min="3001" max="3001" width="50.125" hidden="1" customWidth="1"/>
    <col min="3002" max="3002" width="0.125" hidden="1" customWidth="1"/>
    <col min="3003" max="3004" width="8.5" hidden="1" customWidth="1"/>
    <col min="3005" max="3005" width="10.5" hidden="1" customWidth="1"/>
    <col min="3006" max="3006" width="10" hidden="1" customWidth="1"/>
    <col min="3007" max="3007" width="11.5" hidden="1" customWidth="1"/>
    <col min="3008" max="3010" width="10.5" hidden="1" customWidth="1"/>
    <col min="3011" max="3011" width="9.125" hidden="1" customWidth="1"/>
    <col min="3012" max="3016" width="9.5" hidden="1" customWidth="1"/>
    <col min="3017" max="3017" width="8.5" hidden="1" customWidth="1"/>
    <col min="3018" max="3018" width="10.5" hidden="1" customWidth="1"/>
    <col min="3019" max="3020" width="8.5" hidden="1" customWidth="1"/>
    <col min="3021" max="3024" width="10.125" hidden="1" customWidth="1"/>
    <col min="3025" max="3025" width="8.5" hidden="1" customWidth="1"/>
    <col min="3026" max="3026" width="10.125" hidden="1" customWidth="1"/>
    <col min="3027" max="3028" width="8.5" hidden="1" customWidth="1"/>
    <col min="3029" max="3030" width="9.5" hidden="1" customWidth="1"/>
    <col min="3031" max="3031" width="10" hidden="1" customWidth="1"/>
    <col min="3032" max="3032" width="9.5" hidden="1" customWidth="1"/>
    <col min="3033" max="3033" width="8.5" hidden="1" customWidth="1"/>
    <col min="3034" max="3034" width="9.5" hidden="1" customWidth="1"/>
    <col min="3035" max="3036" width="8.5" hidden="1" customWidth="1"/>
    <col min="3037" max="3037" width="9.125" hidden="1" customWidth="1"/>
    <col min="3038" max="3038" width="9.5" hidden="1" customWidth="1"/>
    <col min="3039" max="3039" width="10.5" hidden="1" customWidth="1"/>
    <col min="3040" max="3040" width="9.5" hidden="1" customWidth="1"/>
    <col min="3041" max="3041" width="8.5" hidden="1" customWidth="1"/>
    <col min="3042" max="3042" width="11.125" hidden="1" customWidth="1"/>
    <col min="3043" max="3044" width="8.5" hidden="1" customWidth="1"/>
    <col min="3045" max="3045" width="9.125" hidden="1" customWidth="1"/>
    <col min="3046" max="3048" width="9.5" hidden="1" customWidth="1"/>
    <col min="3049" max="3049" width="8.5" hidden="1" customWidth="1"/>
    <col min="3050" max="3050" width="10.125" hidden="1" customWidth="1"/>
    <col min="3051" max="3052" width="8.5" hidden="1" customWidth="1"/>
    <col min="3053" max="3053" width="30.125" hidden="1" customWidth="1"/>
    <col min="3054" max="3054" width="2.5" hidden="1" customWidth="1"/>
    <col min="3055" max="3055" width="18.5" hidden="1" customWidth="1"/>
    <col min="3056" max="3056" width="1.5" hidden="1" customWidth="1"/>
    <col min="3057" max="3105" width="8.5" hidden="1" customWidth="1"/>
    <col min="3106" max="3254" width="8.5" hidden="1"/>
    <col min="3255" max="3255" width="0.5" hidden="1" customWidth="1"/>
    <col min="3256" max="3256" width="6.5" hidden="1" customWidth="1"/>
    <col min="3257" max="3257" width="50.125" hidden="1" customWidth="1"/>
    <col min="3258" max="3258" width="0.125" hidden="1" customWidth="1"/>
    <col min="3259" max="3260" width="8.5" hidden="1" customWidth="1"/>
    <col min="3261" max="3261" width="10.5" hidden="1" customWidth="1"/>
    <col min="3262" max="3262" width="10" hidden="1" customWidth="1"/>
    <col min="3263" max="3263" width="11.5" hidden="1" customWidth="1"/>
    <col min="3264" max="3266" width="10.5" hidden="1" customWidth="1"/>
    <col min="3267" max="3267" width="9.125" hidden="1" customWidth="1"/>
    <col min="3268" max="3272" width="9.5" hidden="1" customWidth="1"/>
    <col min="3273" max="3273" width="8.5" hidden="1" customWidth="1"/>
    <col min="3274" max="3274" width="10.5" hidden="1" customWidth="1"/>
    <col min="3275" max="3276" width="8.5" hidden="1" customWidth="1"/>
    <col min="3277" max="3280" width="10.125" hidden="1" customWidth="1"/>
    <col min="3281" max="3281" width="8.5" hidden="1" customWidth="1"/>
    <col min="3282" max="3282" width="10.125" hidden="1" customWidth="1"/>
    <col min="3283" max="3284" width="8.5" hidden="1" customWidth="1"/>
    <col min="3285" max="3286" width="9.5" hidden="1" customWidth="1"/>
    <col min="3287" max="3287" width="10" hidden="1" customWidth="1"/>
    <col min="3288" max="3288" width="9.5" hidden="1" customWidth="1"/>
    <col min="3289" max="3289" width="8.5" hidden="1" customWidth="1"/>
    <col min="3290" max="3290" width="9.5" hidden="1" customWidth="1"/>
    <col min="3291" max="3292" width="8.5" hidden="1" customWidth="1"/>
    <col min="3293" max="3293" width="9.125" hidden="1" customWidth="1"/>
    <col min="3294" max="3294" width="9.5" hidden="1" customWidth="1"/>
    <col min="3295" max="3295" width="10.5" hidden="1" customWidth="1"/>
    <col min="3296" max="3296" width="9.5" hidden="1" customWidth="1"/>
    <col min="3297" max="3297" width="8.5" hidden="1" customWidth="1"/>
    <col min="3298" max="3298" width="11.125" hidden="1" customWidth="1"/>
    <col min="3299" max="3300" width="8.5" hidden="1" customWidth="1"/>
    <col min="3301" max="3301" width="9.125" hidden="1" customWidth="1"/>
    <col min="3302" max="3304" width="9.5" hidden="1" customWidth="1"/>
    <col min="3305" max="3305" width="8.5" hidden="1" customWidth="1"/>
    <col min="3306" max="3306" width="10.125" hidden="1" customWidth="1"/>
    <col min="3307" max="3308" width="8.5" hidden="1" customWidth="1"/>
    <col min="3309" max="3309" width="30.125" hidden="1" customWidth="1"/>
    <col min="3310" max="3310" width="2.5" hidden="1" customWidth="1"/>
    <col min="3311" max="3311" width="18.5" hidden="1" customWidth="1"/>
    <col min="3312" max="3312" width="1.5" hidden="1" customWidth="1"/>
    <col min="3313" max="3361" width="8.5" hidden="1" customWidth="1"/>
    <col min="3362" max="3510" width="8.5" hidden="1"/>
    <col min="3511" max="3511" width="0.5" hidden="1" customWidth="1"/>
    <col min="3512" max="3512" width="6.5" hidden="1" customWidth="1"/>
    <col min="3513" max="3513" width="50.125" hidden="1" customWidth="1"/>
    <col min="3514" max="3514" width="0.125" hidden="1" customWidth="1"/>
    <col min="3515" max="3516" width="8.5" hidden="1" customWidth="1"/>
    <col min="3517" max="3517" width="10.5" hidden="1" customWidth="1"/>
    <col min="3518" max="3518" width="10" hidden="1" customWidth="1"/>
    <col min="3519" max="3519" width="11.5" hidden="1" customWidth="1"/>
    <col min="3520" max="3522" width="10.5" hidden="1" customWidth="1"/>
    <col min="3523" max="3523" width="9.125" hidden="1" customWidth="1"/>
    <col min="3524" max="3528" width="9.5" hidden="1" customWidth="1"/>
    <col min="3529" max="3529" width="8.5" hidden="1" customWidth="1"/>
    <col min="3530" max="3530" width="10.5" hidden="1" customWidth="1"/>
    <col min="3531" max="3532" width="8.5" hidden="1" customWidth="1"/>
    <col min="3533" max="3536" width="10.125" hidden="1" customWidth="1"/>
    <col min="3537" max="3537" width="8.5" hidden="1" customWidth="1"/>
    <col min="3538" max="3538" width="10.125" hidden="1" customWidth="1"/>
    <col min="3539" max="3540" width="8.5" hidden="1" customWidth="1"/>
    <col min="3541" max="3542" width="9.5" hidden="1" customWidth="1"/>
    <col min="3543" max="3543" width="10" hidden="1" customWidth="1"/>
    <col min="3544" max="3544" width="9.5" hidden="1" customWidth="1"/>
    <col min="3545" max="3545" width="8.5" hidden="1" customWidth="1"/>
    <col min="3546" max="3546" width="9.5" hidden="1" customWidth="1"/>
    <col min="3547" max="3548" width="8.5" hidden="1" customWidth="1"/>
    <col min="3549" max="3549" width="9.125" hidden="1" customWidth="1"/>
    <col min="3550" max="3550" width="9.5" hidden="1" customWidth="1"/>
    <col min="3551" max="3551" width="10.5" hidden="1" customWidth="1"/>
    <col min="3552" max="3552" width="9.5" hidden="1" customWidth="1"/>
    <col min="3553" max="3553" width="8.5" hidden="1" customWidth="1"/>
    <col min="3554" max="3554" width="11.125" hidden="1" customWidth="1"/>
    <col min="3555" max="3556" width="8.5" hidden="1" customWidth="1"/>
    <col min="3557" max="3557" width="9.125" hidden="1" customWidth="1"/>
    <col min="3558" max="3560" width="9.5" hidden="1" customWidth="1"/>
    <col min="3561" max="3561" width="8.5" hidden="1" customWidth="1"/>
    <col min="3562" max="3562" width="10.125" hidden="1" customWidth="1"/>
    <col min="3563" max="3564" width="8.5" hidden="1" customWidth="1"/>
    <col min="3565" max="3565" width="30.125" hidden="1" customWidth="1"/>
    <col min="3566" max="3566" width="2.5" hidden="1" customWidth="1"/>
    <col min="3567" max="3567" width="18.5" hidden="1" customWidth="1"/>
    <col min="3568" max="3568" width="1.5" hidden="1" customWidth="1"/>
    <col min="3569" max="3617" width="8.5" hidden="1" customWidth="1"/>
    <col min="3618" max="3766" width="8.5" hidden="1"/>
    <col min="3767" max="3767" width="0.5" hidden="1" customWidth="1"/>
    <col min="3768" max="3768" width="6.5" hidden="1" customWidth="1"/>
    <col min="3769" max="3769" width="50.125" hidden="1" customWidth="1"/>
    <col min="3770" max="3770" width="0.125" hidden="1" customWidth="1"/>
    <col min="3771" max="3772" width="8.5" hidden="1" customWidth="1"/>
    <col min="3773" max="3773" width="10.5" hidden="1" customWidth="1"/>
    <col min="3774" max="3774" width="10" hidden="1" customWidth="1"/>
    <col min="3775" max="3775" width="11.5" hidden="1" customWidth="1"/>
    <col min="3776" max="3778" width="10.5" hidden="1" customWidth="1"/>
    <col min="3779" max="3779" width="9.125" hidden="1" customWidth="1"/>
    <col min="3780" max="3784" width="9.5" hidden="1" customWidth="1"/>
    <col min="3785" max="3785" width="8.5" hidden="1" customWidth="1"/>
    <col min="3786" max="3786" width="10.5" hidden="1" customWidth="1"/>
    <col min="3787" max="3788" width="8.5" hidden="1" customWidth="1"/>
    <col min="3789" max="3792" width="10.125" hidden="1" customWidth="1"/>
    <col min="3793" max="3793" width="8.5" hidden="1" customWidth="1"/>
    <col min="3794" max="3794" width="10.125" hidden="1" customWidth="1"/>
    <col min="3795" max="3796" width="8.5" hidden="1" customWidth="1"/>
    <col min="3797" max="3798" width="9.5" hidden="1" customWidth="1"/>
    <col min="3799" max="3799" width="10" hidden="1" customWidth="1"/>
    <col min="3800" max="3800" width="9.5" hidden="1" customWidth="1"/>
    <col min="3801" max="3801" width="8.5" hidden="1" customWidth="1"/>
    <col min="3802" max="3802" width="9.5" hidden="1" customWidth="1"/>
    <col min="3803" max="3804" width="8.5" hidden="1" customWidth="1"/>
    <col min="3805" max="3805" width="9.125" hidden="1" customWidth="1"/>
    <col min="3806" max="3806" width="9.5" hidden="1" customWidth="1"/>
    <col min="3807" max="3807" width="10.5" hidden="1" customWidth="1"/>
    <col min="3808" max="3808" width="9.5" hidden="1" customWidth="1"/>
    <col min="3809" max="3809" width="8.5" hidden="1" customWidth="1"/>
    <col min="3810" max="3810" width="11.125" hidden="1" customWidth="1"/>
    <col min="3811" max="3812" width="8.5" hidden="1" customWidth="1"/>
    <col min="3813" max="3813" width="9.125" hidden="1" customWidth="1"/>
    <col min="3814" max="3816" width="9.5" hidden="1" customWidth="1"/>
    <col min="3817" max="3817" width="8.5" hidden="1" customWidth="1"/>
    <col min="3818" max="3818" width="10.125" hidden="1" customWidth="1"/>
    <col min="3819" max="3820" width="8.5" hidden="1" customWidth="1"/>
    <col min="3821" max="3821" width="30.125" hidden="1" customWidth="1"/>
    <col min="3822" max="3822" width="2.5" hidden="1" customWidth="1"/>
    <col min="3823" max="3823" width="18.5" hidden="1" customWidth="1"/>
    <col min="3824" max="3824" width="1.5" hidden="1" customWidth="1"/>
    <col min="3825" max="3873" width="8.5" hidden="1" customWidth="1"/>
    <col min="3874" max="4022" width="8.5" hidden="1"/>
    <col min="4023" max="4023" width="0.5" hidden="1" customWidth="1"/>
    <col min="4024" max="4024" width="6.5" hidden="1" customWidth="1"/>
    <col min="4025" max="4025" width="50.125" hidden="1" customWidth="1"/>
    <col min="4026" max="4026" width="0.125" hidden="1" customWidth="1"/>
    <col min="4027" max="4028" width="8.5" hidden="1" customWidth="1"/>
    <col min="4029" max="4029" width="10.5" hidden="1" customWidth="1"/>
    <col min="4030" max="4030" width="10" hidden="1" customWidth="1"/>
    <col min="4031" max="4031" width="11.5" hidden="1" customWidth="1"/>
    <col min="4032" max="4034" width="10.5" hidden="1" customWidth="1"/>
    <col min="4035" max="4035" width="9.125" hidden="1" customWidth="1"/>
    <col min="4036" max="4040" width="9.5" hidden="1" customWidth="1"/>
    <col min="4041" max="4041" width="8.5" hidden="1" customWidth="1"/>
    <col min="4042" max="4042" width="10.5" hidden="1" customWidth="1"/>
    <col min="4043" max="4044" width="8.5" hidden="1" customWidth="1"/>
    <col min="4045" max="4048" width="10.125" hidden="1" customWidth="1"/>
    <col min="4049" max="4049" width="8.5" hidden="1" customWidth="1"/>
    <col min="4050" max="4050" width="10.125" hidden="1" customWidth="1"/>
    <col min="4051" max="4052" width="8.5" hidden="1" customWidth="1"/>
    <col min="4053" max="4054" width="9.5" hidden="1" customWidth="1"/>
    <col min="4055" max="4055" width="10" hidden="1" customWidth="1"/>
    <col min="4056" max="4056" width="9.5" hidden="1" customWidth="1"/>
    <col min="4057" max="4057" width="8.5" hidden="1" customWidth="1"/>
    <col min="4058" max="4058" width="9.5" hidden="1" customWidth="1"/>
    <col min="4059" max="4060" width="8.5" hidden="1" customWidth="1"/>
    <col min="4061" max="4061" width="9.125" hidden="1" customWidth="1"/>
    <col min="4062" max="4062" width="9.5" hidden="1" customWidth="1"/>
    <col min="4063" max="4063" width="10.5" hidden="1" customWidth="1"/>
    <col min="4064" max="4064" width="9.5" hidden="1" customWidth="1"/>
    <col min="4065" max="4065" width="8.5" hidden="1" customWidth="1"/>
    <col min="4066" max="4066" width="11.125" hidden="1" customWidth="1"/>
    <col min="4067" max="4068" width="8.5" hidden="1" customWidth="1"/>
    <col min="4069" max="4069" width="9.125" hidden="1" customWidth="1"/>
    <col min="4070" max="4072" width="9.5" hidden="1" customWidth="1"/>
    <col min="4073" max="4073" width="8.5" hidden="1" customWidth="1"/>
    <col min="4074" max="4074" width="10.125" hidden="1" customWidth="1"/>
    <col min="4075" max="4076" width="8.5" hidden="1" customWidth="1"/>
    <col min="4077" max="4077" width="30.125" hidden="1" customWidth="1"/>
    <col min="4078" max="4078" width="2.5" hidden="1" customWidth="1"/>
    <col min="4079" max="4079" width="18.5" hidden="1" customWidth="1"/>
    <col min="4080" max="4080" width="1.5" hidden="1" customWidth="1"/>
    <col min="4081" max="4129" width="8.5" hidden="1" customWidth="1"/>
    <col min="4130" max="4278" width="8.5" hidden="1"/>
    <col min="4279" max="4279" width="0.5" hidden="1" customWidth="1"/>
    <col min="4280" max="4280" width="6.5" hidden="1" customWidth="1"/>
    <col min="4281" max="4281" width="50.125" hidden="1" customWidth="1"/>
    <col min="4282" max="4282" width="0.125" hidden="1" customWidth="1"/>
    <col min="4283" max="4284" width="8.5" hidden="1" customWidth="1"/>
    <col min="4285" max="4285" width="10.5" hidden="1" customWidth="1"/>
    <col min="4286" max="4286" width="10" hidden="1" customWidth="1"/>
    <col min="4287" max="4287" width="11.5" hidden="1" customWidth="1"/>
    <col min="4288" max="4290" width="10.5" hidden="1" customWidth="1"/>
    <col min="4291" max="4291" width="9.125" hidden="1" customWidth="1"/>
    <col min="4292" max="4296" width="9.5" hidden="1" customWidth="1"/>
    <col min="4297" max="4297" width="8.5" hidden="1" customWidth="1"/>
    <col min="4298" max="4298" width="10.5" hidden="1" customWidth="1"/>
    <col min="4299" max="4300" width="8.5" hidden="1" customWidth="1"/>
    <col min="4301" max="4304" width="10.125" hidden="1" customWidth="1"/>
    <col min="4305" max="4305" width="8.5" hidden="1" customWidth="1"/>
    <col min="4306" max="4306" width="10.125" hidden="1" customWidth="1"/>
    <col min="4307" max="4308" width="8.5" hidden="1" customWidth="1"/>
    <col min="4309" max="4310" width="9.5" hidden="1" customWidth="1"/>
    <col min="4311" max="4311" width="10" hidden="1" customWidth="1"/>
    <col min="4312" max="4312" width="9.5" hidden="1" customWidth="1"/>
    <col min="4313" max="4313" width="8.5" hidden="1" customWidth="1"/>
    <col min="4314" max="4314" width="9.5" hidden="1" customWidth="1"/>
    <col min="4315" max="4316" width="8.5" hidden="1" customWidth="1"/>
    <col min="4317" max="4317" width="9.125" hidden="1" customWidth="1"/>
    <col min="4318" max="4318" width="9.5" hidden="1" customWidth="1"/>
    <col min="4319" max="4319" width="10.5" hidden="1" customWidth="1"/>
    <col min="4320" max="4320" width="9.5" hidden="1" customWidth="1"/>
    <col min="4321" max="4321" width="8.5" hidden="1" customWidth="1"/>
    <col min="4322" max="4322" width="11.125" hidden="1" customWidth="1"/>
    <col min="4323" max="4324" width="8.5" hidden="1" customWidth="1"/>
    <col min="4325" max="4325" width="9.125" hidden="1" customWidth="1"/>
    <col min="4326" max="4328" width="9.5" hidden="1" customWidth="1"/>
    <col min="4329" max="4329" width="8.5" hidden="1" customWidth="1"/>
    <col min="4330" max="4330" width="10.125" hidden="1" customWidth="1"/>
    <col min="4331" max="4332" width="8.5" hidden="1" customWidth="1"/>
    <col min="4333" max="4333" width="30.125" hidden="1" customWidth="1"/>
    <col min="4334" max="4334" width="2.5" hidden="1" customWidth="1"/>
    <col min="4335" max="4335" width="18.5" hidden="1" customWidth="1"/>
    <col min="4336" max="4336" width="1.5" hidden="1" customWidth="1"/>
    <col min="4337" max="4385" width="8.5" hidden="1" customWidth="1"/>
    <col min="4386" max="4534" width="8.5" hidden="1"/>
    <col min="4535" max="4535" width="0.5" hidden="1" customWidth="1"/>
    <col min="4536" max="4536" width="6.5" hidden="1" customWidth="1"/>
    <col min="4537" max="4537" width="50.125" hidden="1" customWidth="1"/>
    <col min="4538" max="4538" width="0.125" hidden="1" customWidth="1"/>
    <col min="4539" max="4540" width="8.5" hidden="1" customWidth="1"/>
    <col min="4541" max="4541" width="10.5" hidden="1" customWidth="1"/>
    <col min="4542" max="4542" width="10" hidden="1" customWidth="1"/>
    <col min="4543" max="4543" width="11.5" hidden="1" customWidth="1"/>
    <col min="4544" max="4546" width="10.5" hidden="1" customWidth="1"/>
    <col min="4547" max="4547" width="9.125" hidden="1" customWidth="1"/>
    <col min="4548" max="4552" width="9.5" hidden="1" customWidth="1"/>
    <col min="4553" max="4553" width="8.5" hidden="1" customWidth="1"/>
    <col min="4554" max="4554" width="10.5" hidden="1" customWidth="1"/>
    <col min="4555" max="4556" width="8.5" hidden="1" customWidth="1"/>
    <col min="4557" max="4560" width="10.125" hidden="1" customWidth="1"/>
    <col min="4561" max="4561" width="8.5" hidden="1" customWidth="1"/>
    <col min="4562" max="4562" width="10.125" hidden="1" customWidth="1"/>
    <col min="4563" max="4564" width="8.5" hidden="1" customWidth="1"/>
    <col min="4565" max="4566" width="9.5" hidden="1" customWidth="1"/>
    <col min="4567" max="4567" width="10" hidden="1" customWidth="1"/>
    <col min="4568" max="4568" width="9.5" hidden="1" customWidth="1"/>
    <col min="4569" max="4569" width="8.5" hidden="1" customWidth="1"/>
    <col min="4570" max="4570" width="9.5" hidden="1" customWidth="1"/>
    <col min="4571" max="4572" width="8.5" hidden="1" customWidth="1"/>
    <col min="4573" max="4573" width="9.125" hidden="1" customWidth="1"/>
    <col min="4574" max="4574" width="9.5" hidden="1" customWidth="1"/>
    <col min="4575" max="4575" width="10.5" hidden="1" customWidth="1"/>
    <col min="4576" max="4576" width="9.5" hidden="1" customWidth="1"/>
    <col min="4577" max="4577" width="8.5" hidden="1" customWidth="1"/>
    <col min="4578" max="4578" width="11.125" hidden="1" customWidth="1"/>
    <col min="4579" max="4580" width="8.5" hidden="1" customWidth="1"/>
    <col min="4581" max="4581" width="9.125" hidden="1" customWidth="1"/>
    <col min="4582" max="4584" width="9.5" hidden="1" customWidth="1"/>
    <col min="4585" max="4585" width="8.5" hidden="1" customWidth="1"/>
    <col min="4586" max="4586" width="10.125" hidden="1" customWidth="1"/>
    <col min="4587" max="4588" width="8.5" hidden="1" customWidth="1"/>
    <col min="4589" max="4589" width="30.125" hidden="1" customWidth="1"/>
    <col min="4590" max="4590" width="2.5" hidden="1" customWidth="1"/>
    <col min="4591" max="4591" width="18.5" hidden="1" customWidth="1"/>
    <col min="4592" max="4592" width="1.5" hidden="1" customWidth="1"/>
    <col min="4593" max="4641" width="8.5" hidden="1" customWidth="1"/>
    <col min="4642" max="4790" width="8.5" hidden="1"/>
    <col min="4791" max="4791" width="0.5" hidden="1" customWidth="1"/>
    <col min="4792" max="4792" width="6.5" hidden="1" customWidth="1"/>
    <col min="4793" max="4793" width="50.125" hidden="1" customWidth="1"/>
    <col min="4794" max="4794" width="0.125" hidden="1" customWidth="1"/>
    <col min="4795" max="4796" width="8.5" hidden="1" customWidth="1"/>
    <col min="4797" max="4797" width="10.5" hidden="1" customWidth="1"/>
    <col min="4798" max="4798" width="10" hidden="1" customWidth="1"/>
    <col min="4799" max="4799" width="11.5" hidden="1" customWidth="1"/>
    <col min="4800" max="4802" width="10.5" hidden="1" customWidth="1"/>
    <col min="4803" max="4803" width="9.125" hidden="1" customWidth="1"/>
    <col min="4804" max="4808" width="9.5" hidden="1" customWidth="1"/>
    <col min="4809" max="4809" width="8.5" hidden="1" customWidth="1"/>
    <col min="4810" max="4810" width="10.5" hidden="1" customWidth="1"/>
    <col min="4811" max="4812" width="8.5" hidden="1" customWidth="1"/>
    <col min="4813" max="4816" width="10.125" hidden="1" customWidth="1"/>
    <col min="4817" max="4817" width="8.5" hidden="1" customWidth="1"/>
    <col min="4818" max="4818" width="10.125" hidden="1" customWidth="1"/>
    <col min="4819" max="4820" width="8.5" hidden="1" customWidth="1"/>
    <col min="4821" max="4822" width="9.5" hidden="1" customWidth="1"/>
    <col min="4823" max="4823" width="10" hidden="1" customWidth="1"/>
    <col min="4824" max="4824" width="9.5" hidden="1" customWidth="1"/>
    <col min="4825" max="4825" width="8.5" hidden="1" customWidth="1"/>
    <col min="4826" max="4826" width="9.5" hidden="1" customWidth="1"/>
    <col min="4827" max="4828" width="8.5" hidden="1" customWidth="1"/>
    <col min="4829" max="4829" width="9.125" hidden="1" customWidth="1"/>
    <col min="4830" max="4830" width="9.5" hidden="1" customWidth="1"/>
    <col min="4831" max="4831" width="10.5" hidden="1" customWidth="1"/>
    <col min="4832" max="4832" width="9.5" hidden="1" customWidth="1"/>
    <col min="4833" max="4833" width="8.5" hidden="1" customWidth="1"/>
    <col min="4834" max="4834" width="11.125" hidden="1" customWidth="1"/>
    <col min="4835" max="4836" width="8.5" hidden="1" customWidth="1"/>
    <col min="4837" max="4837" width="9.125" hidden="1" customWidth="1"/>
    <col min="4838" max="4840" width="9.5" hidden="1" customWidth="1"/>
    <col min="4841" max="4841" width="8.5" hidden="1" customWidth="1"/>
    <col min="4842" max="4842" width="10.125" hidden="1" customWidth="1"/>
    <col min="4843" max="4844" width="8.5" hidden="1" customWidth="1"/>
    <col min="4845" max="4845" width="30.125" hidden="1" customWidth="1"/>
    <col min="4846" max="4846" width="2.5" hidden="1" customWidth="1"/>
    <col min="4847" max="4847" width="18.5" hidden="1" customWidth="1"/>
    <col min="4848" max="4848" width="1.5" hidden="1" customWidth="1"/>
    <col min="4849" max="4897" width="8.5" hidden="1" customWidth="1"/>
    <col min="4898" max="5046" width="8.5" hidden="1"/>
    <col min="5047" max="5047" width="0.5" hidden="1" customWidth="1"/>
    <col min="5048" max="5048" width="6.5" hidden="1" customWidth="1"/>
    <col min="5049" max="5049" width="50.125" hidden="1" customWidth="1"/>
    <col min="5050" max="5050" width="0.125" hidden="1" customWidth="1"/>
    <col min="5051" max="5052" width="8.5" hidden="1" customWidth="1"/>
    <col min="5053" max="5053" width="10.5" hidden="1" customWidth="1"/>
    <col min="5054" max="5054" width="10" hidden="1" customWidth="1"/>
    <col min="5055" max="5055" width="11.5" hidden="1" customWidth="1"/>
    <col min="5056" max="5058" width="10.5" hidden="1" customWidth="1"/>
    <col min="5059" max="5059" width="9.125" hidden="1" customWidth="1"/>
    <col min="5060" max="5064" width="9.5" hidden="1" customWidth="1"/>
    <col min="5065" max="5065" width="8.5" hidden="1" customWidth="1"/>
    <col min="5066" max="5066" width="10.5" hidden="1" customWidth="1"/>
    <col min="5067" max="5068" width="8.5" hidden="1" customWidth="1"/>
    <col min="5069" max="5072" width="10.125" hidden="1" customWidth="1"/>
    <col min="5073" max="5073" width="8.5" hidden="1" customWidth="1"/>
    <col min="5074" max="5074" width="10.125" hidden="1" customWidth="1"/>
    <col min="5075" max="5076" width="8.5" hidden="1" customWidth="1"/>
    <col min="5077" max="5078" width="9.5" hidden="1" customWidth="1"/>
    <col min="5079" max="5079" width="10" hidden="1" customWidth="1"/>
    <col min="5080" max="5080" width="9.5" hidden="1" customWidth="1"/>
    <col min="5081" max="5081" width="8.5" hidden="1" customWidth="1"/>
    <col min="5082" max="5082" width="9.5" hidden="1" customWidth="1"/>
    <col min="5083" max="5084" width="8.5" hidden="1" customWidth="1"/>
    <col min="5085" max="5085" width="9.125" hidden="1" customWidth="1"/>
    <col min="5086" max="5086" width="9.5" hidden="1" customWidth="1"/>
    <col min="5087" max="5087" width="10.5" hidden="1" customWidth="1"/>
    <col min="5088" max="5088" width="9.5" hidden="1" customWidth="1"/>
    <col min="5089" max="5089" width="8.5" hidden="1" customWidth="1"/>
    <col min="5090" max="5090" width="11.125" hidden="1" customWidth="1"/>
    <col min="5091" max="5092" width="8.5" hidden="1" customWidth="1"/>
    <col min="5093" max="5093" width="9.125" hidden="1" customWidth="1"/>
    <col min="5094" max="5096" width="9.5" hidden="1" customWidth="1"/>
    <col min="5097" max="5097" width="8.5" hidden="1" customWidth="1"/>
    <col min="5098" max="5098" width="10.125" hidden="1" customWidth="1"/>
    <col min="5099" max="5100" width="8.5" hidden="1" customWidth="1"/>
    <col min="5101" max="5101" width="30.125" hidden="1" customWidth="1"/>
    <col min="5102" max="5102" width="2.5" hidden="1" customWidth="1"/>
    <col min="5103" max="5103" width="18.5" hidden="1" customWidth="1"/>
    <col min="5104" max="5104" width="1.5" hidden="1" customWidth="1"/>
    <col min="5105" max="5153" width="8.5" hidden="1" customWidth="1"/>
    <col min="5154" max="5302" width="8.5" hidden="1"/>
    <col min="5303" max="5303" width="0.5" hidden="1" customWidth="1"/>
    <col min="5304" max="5304" width="6.5" hidden="1" customWidth="1"/>
    <col min="5305" max="5305" width="50.125" hidden="1" customWidth="1"/>
    <col min="5306" max="5306" width="0.125" hidden="1" customWidth="1"/>
    <col min="5307" max="5308" width="8.5" hidden="1" customWidth="1"/>
    <col min="5309" max="5309" width="10.5" hidden="1" customWidth="1"/>
    <col min="5310" max="5310" width="10" hidden="1" customWidth="1"/>
    <col min="5311" max="5311" width="11.5" hidden="1" customWidth="1"/>
    <col min="5312" max="5314" width="10.5" hidden="1" customWidth="1"/>
    <col min="5315" max="5315" width="9.125" hidden="1" customWidth="1"/>
    <col min="5316" max="5320" width="9.5" hidden="1" customWidth="1"/>
    <col min="5321" max="5321" width="8.5" hidden="1" customWidth="1"/>
    <col min="5322" max="5322" width="10.5" hidden="1" customWidth="1"/>
    <col min="5323" max="5324" width="8.5" hidden="1" customWidth="1"/>
    <col min="5325" max="5328" width="10.125" hidden="1" customWidth="1"/>
    <col min="5329" max="5329" width="8.5" hidden="1" customWidth="1"/>
    <col min="5330" max="5330" width="10.125" hidden="1" customWidth="1"/>
    <col min="5331" max="5332" width="8.5" hidden="1" customWidth="1"/>
    <col min="5333" max="5334" width="9.5" hidden="1" customWidth="1"/>
    <col min="5335" max="5335" width="10" hidden="1" customWidth="1"/>
    <col min="5336" max="5336" width="9.5" hidden="1" customWidth="1"/>
    <col min="5337" max="5337" width="8.5" hidden="1" customWidth="1"/>
    <col min="5338" max="5338" width="9.5" hidden="1" customWidth="1"/>
    <col min="5339" max="5340" width="8.5" hidden="1" customWidth="1"/>
    <col min="5341" max="5341" width="9.125" hidden="1" customWidth="1"/>
    <col min="5342" max="5342" width="9.5" hidden="1" customWidth="1"/>
    <col min="5343" max="5343" width="10.5" hidden="1" customWidth="1"/>
    <col min="5344" max="5344" width="9.5" hidden="1" customWidth="1"/>
    <col min="5345" max="5345" width="8.5" hidden="1" customWidth="1"/>
    <col min="5346" max="5346" width="11.125" hidden="1" customWidth="1"/>
    <col min="5347" max="5348" width="8.5" hidden="1" customWidth="1"/>
    <col min="5349" max="5349" width="9.125" hidden="1" customWidth="1"/>
    <col min="5350" max="5352" width="9.5" hidden="1" customWidth="1"/>
    <col min="5353" max="5353" width="8.5" hidden="1" customWidth="1"/>
    <col min="5354" max="5354" width="10.125" hidden="1" customWidth="1"/>
    <col min="5355" max="5356" width="8.5" hidden="1" customWidth="1"/>
    <col min="5357" max="5357" width="30.125" hidden="1" customWidth="1"/>
    <col min="5358" max="5358" width="2.5" hidden="1" customWidth="1"/>
    <col min="5359" max="5359" width="18.5" hidden="1" customWidth="1"/>
    <col min="5360" max="5360" width="1.5" hidden="1" customWidth="1"/>
    <col min="5361" max="5409" width="8.5" hidden="1" customWidth="1"/>
    <col min="5410" max="5558" width="8.5" hidden="1"/>
    <col min="5559" max="5559" width="0.5" hidden="1" customWidth="1"/>
    <col min="5560" max="5560" width="6.5" hidden="1" customWidth="1"/>
    <col min="5561" max="5561" width="50.125" hidden="1" customWidth="1"/>
    <col min="5562" max="5562" width="0.125" hidden="1" customWidth="1"/>
    <col min="5563" max="5564" width="8.5" hidden="1" customWidth="1"/>
    <col min="5565" max="5565" width="10.5" hidden="1" customWidth="1"/>
    <col min="5566" max="5566" width="10" hidden="1" customWidth="1"/>
    <col min="5567" max="5567" width="11.5" hidden="1" customWidth="1"/>
    <col min="5568" max="5570" width="10.5" hidden="1" customWidth="1"/>
    <col min="5571" max="5571" width="9.125" hidden="1" customWidth="1"/>
    <col min="5572" max="5576" width="9.5" hidden="1" customWidth="1"/>
    <col min="5577" max="5577" width="8.5" hidden="1" customWidth="1"/>
    <col min="5578" max="5578" width="10.5" hidden="1" customWidth="1"/>
    <col min="5579" max="5580" width="8.5" hidden="1" customWidth="1"/>
    <col min="5581" max="5584" width="10.125" hidden="1" customWidth="1"/>
    <col min="5585" max="5585" width="8.5" hidden="1" customWidth="1"/>
    <col min="5586" max="5586" width="10.125" hidden="1" customWidth="1"/>
    <col min="5587" max="5588" width="8.5" hidden="1" customWidth="1"/>
    <col min="5589" max="5590" width="9.5" hidden="1" customWidth="1"/>
    <col min="5591" max="5591" width="10" hidden="1" customWidth="1"/>
    <col min="5592" max="5592" width="9.5" hidden="1" customWidth="1"/>
    <col min="5593" max="5593" width="8.5" hidden="1" customWidth="1"/>
    <col min="5594" max="5594" width="9.5" hidden="1" customWidth="1"/>
    <col min="5595" max="5596" width="8.5" hidden="1" customWidth="1"/>
    <col min="5597" max="5597" width="9.125" hidden="1" customWidth="1"/>
    <col min="5598" max="5598" width="9.5" hidden="1" customWidth="1"/>
    <col min="5599" max="5599" width="10.5" hidden="1" customWidth="1"/>
    <col min="5600" max="5600" width="9.5" hidden="1" customWidth="1"/>
    <col min="5601" max="5601" width="8.5" hidden="1" customWidth="1"/>
    <col min="5602" max="5602" width="11.125" hidden="1" customWidth="1"/>
    <col min="5603" max="5604" width="8.5" hidden="1" customWidth="1"/>
    <col min="5605" max="5605" width="9.125" hidden="1" customWidth="1"/>
    <col min="5606" max="5608" width="9.5" hidden="1" customWidth="1"/>
    <col min="5609" max="5609" width="8.5" hidden="1" customWidth="1"/>
    <col min="5610" max="5610" width="10.125" hidden="1" customWidth="1"/>
    <col min="5611" max="5612" width="8.5" hidden="1" customWidth="1"/>
    <col min="5613" max="5613" width="30.125" hidden="1" customWidth="1"/>
    <col min="5614" max="5614" width="2.5" hidden="1" customWidth="1"/>
    <col min="5615" max="5615" width="18.5" hidden="1" customWidth="1"/>
    <col min="5616" max="5616" width="1.5" hidden="1" customWidth="1"/>
    <col min="5617" max="5665" width="8.5" hidden="1" customWidth="1"/>
    <col min="5666" max="5814" width="8.5" hidden="1"/>
    <col min="5815" max="5815" width="0.5" hidden="1" customWidth="1"/>
    <col min="5816" max="5816" width="6.5" hidden="1" customWidth="1"/>
    <col min="5817" max="5817" width="50.125" hidden="1" customWidth="1"/>
    <col min="5818" max="5818" width="0.125" hidden="1" customWidth="1"/>
    <col min="5819" max="5820" width="8.5" hidden="1" customWidth="1"/>
    <col min="5821" max="5821" width="10.5" hidden="1" customWidth="1"/>
    <col min="5822" max="5822" width="10" hidden="1" customWidth="1"/>
    <col min="5823" max="5823" width="11.5" hidden="1" customWidth="1"/>
    <col min="5824" max="5826" width="10.5" hidden="1" customWidth="1"/>
    <col min="5827" max="5827" width="9.125" hidden="1" customWidth="1"/>
    <col min="5828" max="5832" width="9.5" hidden="1" customWidth="1"/>
    <col min="5833" max="5833" width="8.5" hidden="1" customWidth="1"/>
    <col min="5834" max="5834" width="10.5" hidden="1" customWidth="1"/>
    <col min="5835" max="5836" width="8.5" hidden="1" customWidth="1"/>
    <col min="5837" max="5840" width="10.125" hidden="1" customWidth="1"/>
    <col min="5841" max="5841" width="8.5" hidden="1" customWidth="1"/>
    <col min="5842" max="5842" width="10.125" hidden="1" customWidth="1"/>
    <col min="5843" max="5844" width="8.5" hidden="1" customWidth="1"/>
    <col min="5845" max="5846" width="9.5" hidden="1" customWidth="1"/>
    <col min="5847" max="5847" width="10" hidden="1" customWidth="1"/>
    <col min="5848" max="5848" width="9.5" hidden="1" customWidth="1"/>
    <col min="5849" max="5849" width="8.5" hidden="1" customWidth="1"/>
    <col min="5850" max="5850" width="9.5" hidden="1" customWidth="1"/>
    <col min="5851" max="5852" width="8.5" hidden="1" customWidth="1"/>
    <col min="5853" max="5853" width="9.125" hidden="1" customWidth="1"/>
    <col min="5854" max="5854" width="9.5" hidden="1" customWidth="1"/>
    <col min="5855" max="5855" width="10.5" hidden="1" customWidth="1"/>
    <col min="5856" max="5856" width="9.5" hidden="1" customWidth="1"/>
    <col min="5857" max="5857" width="8.5" hidden="1" customWidth="1"/>
    <col min="5858" max="5858" width="11.125" hidden="1" customWidth="1"/>
    <col min="5859" max="5860" width="8.5" hidden="1" customWidth="1"/>
    <col min="5861" max="5861" width="9.125" hidden="1" customWidth="1"/>
    <col min="5862" max="5864" width="9.5" hidden="1" customWidth="1"/>
    <col min="5865" max="5865" width="8.5" hidden="1" customWidth="1"/>
    <col min="5866" max="5866" width="10.125" hidden="1" customWidth="1"/>
    <col min="5867" max="5868" width="8.5" hidden="1" customWidth="1"/>
    <col min="5869" max="5869" width="30.125" hidden="1" customWidth="1"/>
    <col min="5870" max="5870" width="2.5" hidden="1" customWidth="1"/>
    <col min="5871" max="5871" width="18.5" hidden="1" customWidth="1"/>
    <col min="5872" max="5872" width="1.5" hidden="1" customWidth="1"/>
    <col min="5873" max="5921" width="8.5" hidden="1" customWidth="1"/>
    <col min="5922" max="6070" width="8.5" hidden="1"/>
    <col min="6071" max="6071" width="0.5" hidden="1" customWidth="1"/>
    <col min="6072" max="6072" width="6.5" hidden="1" customWidth="1"/>
    <col min="6073" max="6073" width="50.125" hidden="1" customWidth="1"/>
    <col min="6074" max="6074" width="0.125" hidden="1" customWidth="1"/>
    <col min="6075" max="6076" width="8.5" hidden="1" customWidth="1"/>
    <col min="6077" max="6077" width="10.5" hidden="1" customWidth="1"/>
    <col min="6078" max="6078" width="10" hidden="1" customWidth="1"/>
    <col min="6079" max="6079" width="11.5" hidden="1" customWidth="1"/>
    <col min="6080" max="6082" width="10.5" hidden="1" customWidth="1"/>
    <col min="6083" max="6083" width="9.125" hidden="1" customWidth="1"/>
    <col min="6084" max="6088" width="9.5" hidden="1" customWidth="1"/>
    <col min="6089" max="6089" width="8.5" hidden="1" customWidth="1"/>
    <col min="6090" max="6090" width="10.5" hidden="1" customWidth="1"/>
    <col min="6091" max="6092" width="8.5" hidden="1" customWidth="1"/>
    <col min="6093" max="6096" width="10.125" hidden="1" customWidth="1"/>
    <col min="6097" max="6097" width="8.5" hidden="1" customWidth="1"/>
    <col min="6098" max="6098" width="10.125" hidden="1" customWidth="1"/>
    <col min="6099" max="6100" width="8.5" hidden="1" customWidth="1"/>
    <col min="6101" max="6102" width="9.5" hidden="1" customWidth="1"/>
    <col min="6103" max="6103" width="10" hidden="1" customWidth="1"/>
    <col min="6104" max="6104" width="9.5" hidden="1" customWidth="1"/>
    <col min="6105" max="6105" width="8.5" hidden="1" customWidth="1"/>
    <col min="6106" max="6106" width="9.5" hidden="1" customWidth="1"/>
    <col min="6107" max="6108" width="8.5" hidden="1" customWidth="1"/>
    <col min="6109" max="6109" width="9.125" hidden="1" customWidth="1"/>
    <col min="6110" max="6110" width="9.5" hidden="1" customWidth="1"/>
    <col min="6111" max="6111" width="10.5" hidden="1" customWidth="1"/>
    <col min="6112" max="6112" width="9.5" hidden="1" customWidth="1"/>
    <col min="6113" max="6113" width="8.5" hidden="1" customWidth="1"/>
    <col min="6114" max="6114" width="11.125" hidden="1" customWidth="1"/>
    <col min="6115" max="6116" width="8.5" hidden="1" customWidth="1"/>
    <col min="6117" max="6117" width="9.125" hidden="1" customWidth="1"/>
    <col min="6118" max="6120" width="9.5" hidden="1" customWidth="1"/>
    <col min="6121" max="6121" width="8.5" hidden="1" customWidth="1"/>
    <col min="6122" max="6122" width="10.125" hidden="1" customWidth="1"/>
    <col min="6123" max="6124" width="8.5" hidden="1" customWidth="1"/>
    <col min="6125" max="6125" width="30.125" hidden="1" customWidth="1"/>
    <col min="6126" max="6126" width="2.5" hidden="1" customWidth="1"/>
    <col min="6127" max="6127" width="18.5" hidden="1" customWidth="1"/>
    <col min="6128" max="6128" width="1.5" hidden="1" customWidth="1"/>
    <col min="6129" max="6177" width="8.5" hidden="1" customWidth="1"/>
    <col min="6178" max="6326" width="8.5" hidden="1"/>
    <col min="6327" max="6327" width="0.5" hidden="1" customWidth="1"/>
    <col min="6328" max="6328" width="6.5" hidden="1" customWidth="1"/>
    <col min="6329" max="6329" width="50.125" hidden="1" customWidth="1"/>
    <col min="6330" max="6330" width="0.125" hidden="1" customWidth="1"/>
    <col min="6331" max="6332" width="8.5" hidden="1" customWidth="1"/>
    <col min="6333" max="6333" width="10.5" hidden="1" customWidth="1"/>
    <col min="6334" max="6334" width="10" hidden="1" customWidth="1"/>
    <col min="6335" max="6335" width="11.5" hidden="1" customWidth="1"/>
    <col min="6336" max="6338" width="10.5" hidden="1" customWidth="1"/>
    <col min="6339" max="6339" width="9.125" hidden="1" customWidth="1"/>
    <col min="6340" max="6344" width="9.5" hidden="1" customWidth="1"/>
    <col min="6345" max="6345" width="8.5" hidden="1" customWidth="1"/>
    <col min="6346" max="6346" width="10.5" hidden="1" customWidth="1"/>
    <col min="6347" max="6348" width="8.5" hidden="1" customWidth="1"/>
    <col min="6349" max="6352" width="10.125" hidden="1" customWidth="1"/>
    <col min="6353" max="6353" width="8.5" hidden="1" customWidth="1"/>
    <col min="6354" max="6354" width="10.125" hidden="1" customWidth="1"/>
    <col min="6355" max="6356" width="8.5" hidden="1" customWidth="1"/>
    <col min="6357" max="6358" width="9.5" hidden="1" customWidth="1"/>
    <col min="6359" max="6359" width="10" hidden="1" customWidth="1"/>
    <col min="6360" max="6360" width="9.5" hidden="1" customWidth="1"/>
    <col min="6361" max="6361" width="8.5" hidden="1" customWidth="1"/>
    <col min="6362" max="6362" width="9.5" hidden="1" customWidth="1"/>
    <col min="6363" max="6364" width="8.5" hidden="1" customWidth="1"/>
    <col min="6365" max="6365" width="9.125" hidden="1" customWidth="1"/>
    <col min="6366" max="6366" width="9.5" hidden="1" customWidth="1"/>
    <col min="6367" max="6367" width="10.5" hidden="1" customWidth="1"/>
    <col min="6368" max="6368" width="9.5" hidden="1" customWidth="1"/>
    <col min="6369" max="6369" width="8.5" hidden="1" customWidth="1"/>
    <col min="6370" max="6370" width="11.125" hidden="1" customWidth="1"/>
    <col min="6371" max="6372" width="8.5" hidden="1" customWidth="1"/>
    <col min="6373" max="6373" width="9.125" hidden="1" customWidth="1"/>
    <col min="6374" max="6376" width="9.5" hidden="1" customWidth="1"/>
    <col min="6377" max="6377" width="8.5" hidden="1" customWidth="1"/>
    <col min="6378" max="6378" width="10.125" hidden="1" customWidth="1"/>
    <col min="6379" max="6380" width="8.5" hidden="1" customWidth="1"/>
    <col min="6381" max="6381" width="30.125" hidden="1" customWidth="1"/>
    <col min="6382" max="6382" width="2.5" hidden="1" customWidth="1"/>
    <col min="6383" max="6383" width="18.5" hidden="1" customWidth="1"/>
    <col min="6384" max="6384" width="1.5" hidden="1" customWidth="1"/>
    <col min="6385" max="6433" width="8.5" hidden="1" customWidth="1"/>
    <col min="6434" max="6582" width="8.5" hidden="1"/>
    <col min="6583" max="6583" width="0.5" hidden="1" customWidth="1"/>
    <col min="6584" max="6584" width="6.5" hidden="1" customWidth="1"/>
    <col min="6585" max="6585" width="50.125" hidden="1" customWidth="1"/>
    <col min="6586" max="6586" width="0.125" hidden="1" customWidth="1"/>
    <col min="6587" max="6588" width="8.5" hidden="1" customWidth="1"/>
    <col min="6589" max="6589" width="10.5" hidden="1" customWidth="1"/>
    <col min="6590" max="6590" width="10" hidden="1" customWidth="1"/>
    <col min="6591" max="6591" width="11.5" hidden="1" customWidth="1"/>
    <col min="6592" max="6594" width="10.5" hidden="1" customWidth="1"/>
    <col min="6595" max="6595" width="9.125" hidden="1" customWidth="1"/>
    <col min="6596" max="6600" width="9.5" hidden="1" customWidth="1"/>
    <col min="6601" max="6601" width="8.5" hidden="1" customWidth="1"/>
    <col min="6602" max="6602" width="10.5" hidden="1" customWidth="1"/>
    <col min="6603" max="6604" width="8.5" hidden="1" customWidth="1"/>
    <col min="6605" max="6608" width="10.125" hidden="1" customWidth="1"/>
    <col min="6609" max="6609" width="8.5" hidden="1" customWidth="1"/>
    <col min="6610" max="6610" width="10.125" hidden="1" customWidth="1"/>
    <col min="6611" max="6612" width="8.5" hidden="1" customWidth="1"/>
    <col min="6613" max="6614" width="9.5" hidden="1" customWidth="1"/>
    <col min="6615" max="6615" width="10" hidden="1" customWidth="1"/>
    <col min="6616" max="6616" width="9.5" hidden="1" customWidth="1"/>
    <col min="6617" max="6617" width="8.5" hidden="1" customWidth="1"/>
    <col min="6618" max="6618" width="9.5" hidden="1" customWidth="1"/>
    <col min="6619" max="6620" width="8.5" hidden="1" customWidth="1"/>
    <col min="6621" max="6621" width="9.125" hidden="1" customWidth="1"/>
    <col min="6622" max="6622" width="9.5" hidden="1" customWidth="1"/>
    <col min="6623" max="6623" width="10.5" hidden="1" customWidth="1"/>
    <col min="6624" max="6624" width="9.5" hidden="1" customWidth="1"/>
    <col min="6625" max="6625" width="8.5" hidden="1" customWidth="1"/>
    <col min="6626" max="6626" width="11.125" hidden="1" customWidth="1"/>
    <col min="6627" max="6628" width="8.5" hidden="1" customWidth="1"/>
    <col min="6629" max="6629" width="9.125" hidden="1" customWidth="1"/>
    <col min="6630" max="6632" width="9.5" hidden="1" customWidth="1"/>
    <col min="6633" max="6633" width="8.5" hidden="1" customWidth="1"/>
    <col min="6634" max="6634" width="10.125" hidden="1" customWidth="1"/>
    <col min="6635" max="6636" width="8.5" hidden="1" customWidth="1"/>
    <col min="6637" max="6637" width="30.125" hidden="1" customWidth="1"/>
    <col min="6638" max="6638" width="2.5" hidden="1" customWidth="1"/>
    <col min="6639" max="6639" width="18.5" hidden="1" customWidth="1"/>
    <col min="6640" max="6640" width="1.5" hidden="1" customWidth="1"/>
    <col min="6641" max="6689" width="8.5" hidden="1" customWidth="1"/>
    <col min="6690" max="6838" width="8.5" hidden="1"/>
    <col min="6839" max="6839" width="0.5" hidden="1" customWidth="1"/>
    <col min="6840" max="6840" width="6.5" hidden="1" customWidth="1"/>
    <col min="6841" max="6841" width="50.125" hidden="1" customWidth="1"/>
    <col min="6842" max="6842" width="0.125" hidden="1" customWidth="1"/>
    <col min="6843" max="6844" width="8.5" hidden="1" customWidth="1"/>
    <col min="6845" max="6845" width="10.5" hidden="1" customWidth="1"/>
    <col min="6846" max="6846" width="10" hidden="1" customWidth="1"/>
    <col min="6847" max="6847" width="11.5" hidden="1" customWidth="1"/>
    <col min="6848" max="6850" width="10.5" hidden="1" customWidth="1"/>
    <col min="6851" max="6851" width="9.125" hidden="1" customWidth="1"/>
    <col min="6852" max="6856" width="9.5" hidden="1" customWidth="1"/>
    <col min="6857" max="6857" width="8.5" hidden="1" customWidth="1"/>
    <col min="6858" max="6858" width="10.5" hidden="1" customWidth="1"/>
    <col min="6859" max="6860" width="8.5" hidden="1" customWidth="1"/>
    <col min="6861" max="6864" width="10.125" hidden="1" customWidth="1"/>
    <col min="6865" max="6865" width="8.5" hidden="1" customWidth="1"/>
    <col min="6866" max="6866" width="10.125" hidden="1" customWidth="1"/>
    <col min="6867" max="6868" width="8.5" hidden="1" customWidth="1"/>
    <col min="6869" max="6870" width="9.5" hidden="1" customWidth="1"/>
    <col min="6871" max="6871" width="10" hidden="1" customWidth="1"/>
    <col min="6872" max="6872" width="9.5" hidden="1" customWidth="1"/>
    <col min="6873" max="6873" width="8.5" hidden="1" customWidth="1"/>
    <col min="6874" max="6874" width="9.5" hidden="1" customWidth="1"/>
    <col min="6875" max="6876" width="8.5" hidden="1" customWidth="1"/>
    <col min="6877" max="6877" width="9.125" hidden="1" customWidth="1"/>
    <col min="6878" max="6878" width="9.5" hidden="1" customWidth="1"/>
    <col min="6879" max="6879" width="10.5" hidden="1" customWidth="1"/>
    <col min="6880" max="6880" width="9.5" hidden="1" customWidth="1"/>
    <col min="6881" max="6881" width="8.5" hidden="1" customWidth="1"/>
    <col min="6882" max="6882" width="11.125" hidden="1" customWidth="1"/>
    <col min="6883" max="6884" width="8.5" hidden="1" customWidth="1"/>
    <col min="6885" max="6885" width="9.125" hidden="1" customWidth="1"/>
    <col min="6886" max="6888" width="9.5" hidden="1" customWidth="1"/>
    <col min="6889" max="6889" width="8.5" hidden="1" customWidth="1"/>
    <col min="6890" max="6890" width="10.125" hidden="1" customWidth="1"/>
    <col min="6891" max="6892" width="8.5" hidden="1" customWidth="1"/>
    <col min="6893" max="6893" width="30.125" hidden="1" customWidth="1"/>
    <col min="6894" max="6894" width="2.5" hidden="1" customWidth="1"/>
    <col min="6895" max="6895" width="18.5" hidden="1" customWidth="1"/>
    <col min="6896" max="6896" width="1.5" hidden="1" customWidth="1"/>
    <col min="6897" max="6945" width="8.5" hidden="1" customWidth="1"/>
    <col min="6946" max="7094" width="8.5" hidden="1"/>
    <col min="7095" max="7095" width="0.5" hidden="1" customWidth="1"/>
    <col min="7096" max="7096" width="6.5" hidden="1" customWidth="1"/>
    <col min="7097" max="7097" width="50.125" hidden="1" customWidth="1"/>
    <col min="7098" max="7098" width="0.125" hidden="1" customWidth="1"/>
    <col min="7099" max="7100" width="8.5" hidden="1" customWidth="1"/>
    <col min="7101" max="7101" width="10.5" hidden="1" customWidth="1"/>
    <col min="7102" max="7102" width="10" hidden="1" customWidth="1"/>
    <col min="7103" max="7103" width="11.5" hidden="1" customWidth="1"/>
    <col min="7104" max="7106" width="10.5" hidden="1" customWidth="1"/>
    <col min="7107" max="7107" width="9.125" hidden="1" customWidth="1"/>
    <col min="7108" max="7112" width="9.5" hidden="1" customWidth="1"/>
    <col min="7113" max="7113" width="8.5" hidden="1" customWidth="1"/>
    <col min="7114" max="7114" width="10.5" hidden="1" customWidth="1"/>
    <col min="7115" max="7116" width="8.5" hidden="1" customWidth="1"/>
    <col min="7117" max="7120" width="10.125" hidden="1" customWidth="1"/>
    <col min="7121" max="7121" width="8.5" hidden="1" customWidth="1"/>
    <col min="7122" max="7122" width="10.125" hidden="1" customWidth="1"/>
    <col min="7123" max="7124" width="8.5" hidden="1" customWidth="1"/>
    <col min="7125" max="7126" width="9.5" hidden="1" customWidth="1"/>
    <col min="7127" max="7127" width="10" hidden="1" customWidth="1"/>
    <col min="7128" max="7128" width="9.5" hidden="1" customWidth="1"/>
    <col min="7129" max="7129" width="8.5" hidden="1" customWidth="1"/>
    <col min="7130" max="7130" width="9.5" hidden="1" customWidth="1"/>
    <col min="7131" max="7132" width="8.5" hidden="1" customWidth="1"/>
    <col min="7133" max="7133" width="9.125" hidden="1" customWidth="1"/>
    <col min="7134" max="7134" width="9.5" hidden="1" customWidth="1"/>
    <col min="7135" max="7135" width="10.5" hidden="1" customWidth="1"/>
    <col min="7136" max="7136" width="9.5" hidden="1" customWidth="1"/>
    <col min="7137" max="7137" width="8.5" hidden="1" customWidth="1"/>
    <col min="7138" max="7138" width="11.125" hidden="1" customWidth="1"/>
    <col min="7139" max="7140" width="8.5" hidden="1" customWidth="1"/>
    <col min="7141" max="7141" width="9.125" hidden="1" customWidth="1"/>
    <col min="7142" max="7144" width="9.5" hidden="1" customWidth="1"/>
    <col min="7145" max="7145" width="8.5" hidden="1" customWidth="1"/>
    <col min="7146" max="7146" width="10.125" hidden="1" customWidth="1"/>
    <col min="7147" max="7148" width="8.5" hidden="1" customWidth="1"/>
    <col min="7149" max="7149" width="30.125" hidden="1" customWidth="1"/>
    <col min="7150" max="7150" width="2.5" hidden="1" customWidth="1"/>
    <col min="7151" max="7151" width="18.5" hidden="1" customWidth="1"/>
    <col min="7152" max="7152" width="1.5" hidden="1" customWidth="1"/>
    <col min="7153" max="7201" width="8.5" hidden="1" customWidth="1"/>
    <col min="7202" max="7350" width="8.5" hidden="1"/>
    <col min="7351" max="7351" width="0.5" hidden="1" customWidth="1"/>
    <col min="7352" max="7352" width="6.5" hidden="1" customWidth="1"/>
    <col min="7353" max="7353" width="50.125" hidden="1" customWidth="1"/>
    <col min="7354" max="7354" width="0.125" hidden="1" customWidth="1"/>
    <col min="7355" max="7356" width="8.5" hidden="1" customWidth="1"/>
    <col min="7357" max="7357" width="10.5" hidden="1" customWidth="1"/>
    <col min="7358" max="7358" width="10" hidden="1" customWidth="1"/>
    <col min="7359" max="7359" width="11.5" hidden="1" customWidth="1"/>
    <col min="7360" max="7362" width="10.5" hidden="1" customWidth="1"/>
    <col min="7363" max="7363" width="9.125" hidden="1" customWidth="1"/>
    <col min="7364" max="7368" width="9.5" hidden="1" customWidth="1"/>
    <col min="7369" max="7369" width="8.5" hidden="1" customWidth="1"/>
    <col min="7370" max="7370" width="10.5" hidden="1" customWidth="1"/>
    <col min="7371" max="7372" width="8.5" hidden="1" customWidth="1"/>
    <col min="7373" max="7376" width="10.125" hidden="1" customWidth="1"/>
    <col min="7377" max="7377" width="8.5" hidden="1" customWidth="1"/>
    <col min="7378" max="7378" width="10.125" hidden="1" customWidth="1"/>
    <col min="7379" max="7380" width="8.5" hidden="1" customWidth="1"/>
    <col min="7381" max="7382" width="9.5" hidden="1" customWidth="1"/>
    <col min="7383" max="7383" width="10" hidden="1" customWidth="1"/>
    <col min="7384" max="7384" width="9.5" hidden="1" customWidth="1"/>
    <col min="7385" max="7385" width="8.5" hidden="1" customWidth="1"/>
    <col min="7386" max="7386" width="9.5" hidden="1" customWidth="1"/>
    <col min="7387" max="7388" width="8.5" hidden="1" customWidth="1"/>
    <col min="7389" max="7389" width="9.125" hidden="1" customWidth="1"/>
    <col min="7390" max="7390" width="9.5" hidden="1" customWidth="1"/>
    <col min="7391" max="7391" width="10.5" hidden="1" customWidth="1"/>
    <col min="7392" max="7392" width="9.5" hidden="1" customWidth="1"/>
    <col min="7393" max="7393" width="8.5" hidden="1" customWidth="1"/>
    <col min="7394" max="7394" width="11.125" hidden="1" customWidth="1"/>
    <col min="7395" max="7396" width="8.5" hidden="1" customWidth="1"/>
    <col min="7397" max="7397" width="9.125" hidden="1" customWidth="1"/>
    <col min="7398" max="7400" width="9.5" hidden="1" customWidth="1"/>
    <col min="7401" max="7401" width="8.5" hidden="1" customWidth="1"/>
    <col min="7402" max="7402" width="10.125" hidden="1" customWidth="1"/>
    <col min="7403" max="7404" width="8.5" hidden="1" customWidth="1"/>
    <col min="7405" max="7405" width="30.125" hidden="1" customWidth="1"/>
    <col min="7406" max="7406" width="2.5" hidden="1" customWidth="1"/>
    <col min="7407" max="7407" width="18.5" hidden="1" customWidth="1"/>
    <col min="7408" max="7408" width="1.5" hidden="1" customWidth="1"/>
    <col min="7409" max="7457" width="8.5" hidden="1" customWidth="1"/>
    <col min="7458" max="7606" width="8.5" hidden="1"/>
    <col min="7607" max="7607" width="0.5" hidden="1" customWidth="1"/>
    <col min="7608" max="7608" width="6.5" hidden="1" customWidth="1"/>
    <col min="7609" max="7609" width="50.125" hidden="1" customWidth="1"/>
    <col min="7610" max="7610" width="0.125" hidden="1" customWidth="1"/>
    <col min="7611" max="7612" width="8.5" hidden="1" customWidth="1"/>
    <col min="7613" max="7613" width="10.5" hidden="1" customWidth="1"/>
    <col min="7614" max="7614" width="10" hidden="1" customWidth="1"/>
    <col min="7615" max="7615" width="11.5" hidden="1" customWidth="1"/>
    <col min="7616" max="7618" width="10.5" hidden="1" customWidth="1"/>
    <col min="7619" max="7619" width="9.125" hidden="1" customWidth="1"/>
    <col min="7620" max="7624" width="9.5" hidden="1" customWidth="1"/>
    <col min="7625" max="7625" width="8.5" hidden="1" customWidth="1"/>
    <col min="7626" max="7626" width="10.5" hidden="1" customWidth="1"/>
    <col min="7627" max="7628" width="8.5" hidden="1" customWidth="1"/>
    <col min="7629" max="7632" width="10.125" hidden="1" customWidth="1"/>
    <col min="7633" max="7633" width="8.5" hidden="1" customWidth="1"/>
    <col min="7634" max="7634" width="10.125" hidden="1" customWidth="1"/>
    <col min="7635" max="7636" width="8.5" hidden="1" customWidth="1"/>
    <col min="7637" max="7638" width="9.5" hidden="1" customWidth="1"/>
    <col min="7639" max="7639" width="10" hidden="1" customWidth="1"/>
    <col min="7640" max="7640" width="9.5" hidden="1" customWidth="1"/>
    <col min="7641" max="7641" width="8.5" hidden="1" customWidth="1"/>
    <col min="7642" max="7642" width="9.5" hidden="1" customWidth="1"/>
    <col min="7643" max="7644" width="8.5" hidden="1" customWidth="1"/>
    <col min="7645" max="7645" width="9.125" hidden="1" customWidth="1"/>
    <col min="7646" max="7646" width="9.5" hidden="1" customWidth="1"/>
    <col min="7647" max="7647" width="10.5" hidden="1" customWidth="1"/>
    <col min="7648" max="7648" width="9.5" hidden="1" customWidth="1"/>
    <col min="7649" max="7649" width="8.5" hidden="1" customWidth="1"/>
    <col min="7650" max="7650" width="11.125" hidden="1" customWidth="1"/>
    <col min="7651" max="7652" width="8.5" hidden="1" customWidth="1"/>
    <col min="7653" max="7653" width="9.125" hidden="1" customWidth="1"/>
    <col min="7654" max="7656" width="9.5" hidden="1" customWidth="1"/>
    <col min="7657" max="7657" width="8.5" hidden="1" customWidth="1"/>
    <col min="7658" max="7658" width="10.125" hidden="1" customWidth="1"/>
    <col min="7659" max="7660" width="8.5" hidden="1" customWidth="1"/>
    <col min="7661" max="7661" width="30.125" hidden="1" customWidth="1"/>
    <col min="7662" max="7662" width="2.5" hidden="1" customWidth="1"/>
    <col min="7663" max="7663" width="18.5" hidden="1" customWidth="1"/>
    <col min="7664" max="7664" width="1.5" hidden="1" customWidth="1"/>
    <col min="7665" max="7713" width="8.5" hidden="1" customWidth="1"/>
    <col min="7714" max="7862" width="8.5" hidden="1"/>
    <col min="7863" max="7863" width="0.5" hidden="1" customWidth="1"/>
    <col min="7864" max="7864" width="6.5" hidden="1" customWidth="1"/>
    <col min="7865" max="7865" width="50.125" hidden="1" customWidth="1"/>
    <col min="7866" max="7866" width="0.125" hidden="1" customWidth="1"/>
    <col min="7867" max="7868" width="8.5" hidden="1" customWidth="1"/>
    <col min="7869" max="7869" width="10.5" hidden="1" customWidth="1"/>
    <col min="7870" max="7870" width="10" hidden="1" customWidth="1"/>
    <col min="7871" max="7871" width="11.5" hidden="1" customWidth="1"/>
    <col min="7872" max="7874" width="10.5" hidden="1" customWidth="1"/>
    <col min="7875" max="7875" width="9.125" hidden="1" customWidth="1"/>
    <col min="7876" max="7880" width="9.5" hidden="1" customWidth="1"/>
    <col min="7881" max="7881" width="8.5" hidden="1" customWidth="1"/>
    <col min="7882" max="7882" width="10.5" hidden="1" customWidth="1"/>
    <col min="7883" max="7884" width="8.5" hidden="1" customWidth="1"/>
    <col min="7885" max="7888" width="10.125" hidden="1" customWidth="1"/>
    <col min="7889" max="7889" width="8.5" hidden="1" customWidth="1"/>
    <col min="7890" max="7890" width="10.125" hidden="1" customWidth="1"/>
    <col min="7891" max="7892" width="8.5" hidden="1" customWidth="1"/>
    <col min="7893" max="7894" width="9.5" hidden="1" customWidth="1"/>
    <col min="7895" max="7895" width="10" hidden="1" customWidth="1"/>
    <col min="7896" max="7896" width="9.5" hidden="1" customWidth="1"/>
    <col min="7897" max="7897" width="8.5" hidden="1" customWidth="1"/>
    <col min="7898" max="7898" width="9.5" hidden="1" customWidth="1"/>
    <col min="7899" max="7900" width="8.5" hidden="1" customWidth="1"/>
    <col min="7901" max="7901" width="9.125" hidden="1" customWidth="1"/>
    <col min="7902" max="7902" width="9.5" hidden="1" customWidth="1"/>
    <col min="7903" max="7903" width="10.5" hidden="1" customWidth="1"/>
    <col min="7904" max="7904" width="9.5" hidden="1" customWidth="1"/>
    <col min="7905" max="7905" width="8.5" hidden="1" customWidth="1"/>
    <col min="7906" max="7906" width="11.125" hidden="1" customWidth="1"/>
    <col min="7907" max="7908" width="8.5" hidden="1" customWidth="1"/>
    <col min="7909" max="7909" width="9.125" hidden="1" customWidth="1"/>
    <col min="7910" max="7912" width="9.5" hidden="1" customWidth="1"/>
    <col min="7913" max="7913" width="8.5" hidden="1" customWidth="1"/>
    <col min="7914" max="7914" width="10.125" hidden="1" customWidth="1"/>
    <col min="7915" max="7916" width="8.5" hidden="1" customWidth="1"/>
    <col min="7917" max="7917" width="30.125" hidden="1" customWidth="1"/>
    <col min="7918" max="7918" width="2.5" hidden="1" customWidth="1"/>
    <col min="7919" max="7919" width="18.5" hidden="1" customWidth="1"/>
    <col min="7920" max="7920" width="1.5" hidden="1" customWidth="1"/>
    <col min="7921" max="7969" width="8.5" hidden="1" customWidth="1"/>
    <col min="7970" max="8118" width="8.5" hidden="1"/>
    <col min="8119" max="8119" width="0.5" hidden="1" customWidth="1"/>
    <col min="8120" max="8120" width="6.5" hidden="1" customWidth="1"/>
    <col min="8121" max="8121" width="50.125" hidden="1" customWidth="1"/>
    <col min="8122" max="8122" width="0.125" hidden="1" customWidth="1"/>
    <col min="8123" max="8124" width="8.5" hidden="1" customWidth="1"/>
    <col min="8125" max="8125" width="10.5" hidden="1" customWidth="1"/>
    <col min="8126" max="8126" width="10" hidden="1" customWidth="1"/>
    <col min="8127" max="8127" width="11.5" hidden="1" customWidth="1"/>
    <col min="8128" max="8130" width="10.5" hidden="1" customWidth="1"/>
    <col min="8131" max="8131" width="9.125" hidden="1" customWidth="1"/>
    <col min="8132" max="8136" width="9.5" hidden="1" customWidth="1"/>
    <col min="8137" max="8137" width="8.5" hidden="1" customWidth="1"/>
    <col min="8138" max="8138" width="10.5" hidden="1" customWidth="1"/>
    <col min="8139" max="8140" width="8.5" hidden="1" customWidth="1"/>
    <col min="8141" max="8144" width="10.125" hidden="1" customWidth="1"/>
    <col min="8145" max="8145" width="8.5" hidden="1" customWidth="1"/>
    <col min="8146" max="8146" width="10.125" hidden="1" customWidth="1"/>
    <col min="8147" max="8148" width="8.5" hidden="1" customWidth="1"/>
    <col min="8149" max="8150" width="9.5" hidden="1" customWidth="1"/>
    <col min="8151" max="8151" width="10" hidden="1" customWidth="1"/>
    <col min="8152" max="8152" width="9.5" hidden="1" customWidth="1"/>
    <col min="8153" max="8153" width="8.5" hidden="1" customWidth="1"/>
    <col min="8154" max="8154" width="9.5" hidden="1" customWidth="1"/>
    <col min="8155" max="8156" width="8.5" hidden="1" customWidth="1"/>
    <col min="8157" max="8157" width="9.125" hidden="1" customWidth="1"/>
    <col min="8158" max="8158" width="9.5" hidden="1" customWidth="1"/>
    <col min="8159" max="8159" width="10.5" hidden="1" customWidth="1"/>
    <col min="8160" max="8160" width="9.5" hidden="1" customWidth="1"/>
    <col min="8161" max="8161" width="8.5" hidden="1" customWidth="1"/>
    <col min="8162" max="8162" width="11.125" hidden="1" customWidth="1"/>
    <col min="8163" max="8164" width="8.5" hidden="1" customWidth="1"/>
    <col min="8165" max="8165" width="9.125" hidden="1" customWidth="1"/>
    <col min="8166" max="8168" width="9.5" hidden="1" customWidth="1"/>
    <col min="8169" max="8169" width="8.5" hidden="1" customWidth="1"/>
    <col min="8170" max="8170" width="10.125" hidden="1" customWidth="1"/>
    <col min="8171" max="8172" width="8.5" hidden="1" customWidth="1"/>
    <col min="8173" max="8173" width="30.125" hidden="1" customWidth="1"/>
    <col min="8174" max="8174" width="2.5" hidden="1" customWidth="1"/>
    <col min="8175" max="8175" width="18.5" hidden="1" customWidth="1"/>
    <col min="8176" max="8176" width="1.5" hidden="1" customWidth="1"/>
    <col min="8177" max="8225" width="8.5" hidden="1" customWidth="1"/>
    <col min="8226" max="8374" width="8.5" hidden="1"/>
    <col min="8375" max="8375" width="0.5" hidden="1" customWidth="1"/>
    <col min="8376" max="8376" width="6.5" hidden="1" customWidth="1"/>
    <col min="8377" max="8377" width="50.125" hidden="1" customWidth="1"/>
    <col min="8378" max="8378" width="0.125" hidden="1" customWidth="1"/>
    <col min="8379" max="8380" width="8.5" hidden="1" customWidth="1"/>
    <col min="8381" max="8381" width="10.5" hidden="1" customWidth="1"/>
    <col min="8382" max="8382" width="10" hidden="1" customWidth="1"/>
    <col min="8383" max="8383" width="11.5" hidden="1" customWidth="1"/>
    <col min="8384" max="8386" width="10.5" hidden="1" customWidth="1"/>
    <col min="8387" max="8387" width="9.125" hidden="1" customWidth="1"/>
    <col min="8388" max="8392" width="9.5" hidden="1" customWidth="1"/>
    <col min="8393" max="8393" width="8.5" hidden="1" customWidth="1"/>
    <col min="8394" max="8394" width="10.5" hidden="1" customWidth="1"/>
    <col min="8395" max="8396" width="8.5" hidden="1" customWidth="1"/>
    <col min="8397" max="8400" width="10.125" hidden="1" customWidth="1"/>
    <col min="8401" max="8401" width="8.5" hidden="1" customWidth="1"/>
    <col min="8402" max="8402" width="10.125" hidden="1" customWidth="1"/>
    <col min="8403" max="8404" width="8.5" hidden="1" customWidth="1"/>
    <col min="8405" max="8406" width="9.5" hidden="1" customWidth="1"/>
    <col min="8407" max="8407" width="10" hidden="1" customWidth="1"/>
    <col min="8408" max="8408" width="9.5" hidden="1" customWidth="1"/>
    <col min="8409" max="8409" width="8.5" hidden="1" customWidth="1"/>
    <col min="8410" max="8410" width="9.5" hidden="1" customWidth="1"/>
    <col min="8411" max="8412" width="8.5" hidden="1" customWidth="1"/>
    <col min="8413" max="8413" width="9.125" hidden="1" customWidth="1"/>
    <col min="8414" max="8414" width="9.5" hidden="1" customWidth="1"/>
    <col min="8415" max="8415" width="10.5" hidden="1" customWidth="1"/>
    <col min="8416" max="8416" width="9.5" hidden="1" customWidth="1"/>
    <col min="8417" max="8417" width="8.5" hidden="1" customWidth="1"/>
    <col min="8418" max="8418" width="11.125" hidden="1" customWidth="1"/>
    <col min="8419" max="8420" width="8.5" hidden="1" customWidth="1"/>
    <col min="8421" max="8421" width="9.125" hidden="1" customWidth="1"/>
    <col min="8422" max="8424" width="9.5" hidden="1" customWidth="1"/>
    <col min="8425" max="8425" width="8.5" hidden="1" customWidth="1"/>
    <col min="8426" max="8426" width="10.125" hidden="1" customWidth="1"/>
    <col min="8427" max="8428" width="8.5" hidden="1" customWidth="1"/>
    <col min="8429" max="8429" width="30.125" hidden="1" customWidth="1"/>
    <col min="8430" max="8430" width="2.5" hidden="1" customWidth="1"/>
    <col min="8431" max="8431" width="18.5" hidden="1" customWidth="1"/>
    <col min="8432" max="8432" width="1.5" hidden="1" customWidth="1"/>
    <col min="8433" max="8481" width="8.5" hidden="1" customWidth="1"/>
    <col min="8482" max="8630" width="8.5" hidden="1"/>
    <col min="8631" max="8631" width="0.5" hidden="1" customWidth="1"/>
    <col min="8632" max="8632" width="6.5" hidden="1" customWidth="1"/>
    <col min="8633" max="8633" width="50.125" hidden="1" customWidth="1"/>
    <col min="8634" max="8634" width="0.125" hidden="1" customWidth="1"/>
    <col min="8635" max="8636" width="8.5" hidden="1" customWidth="1"/>
    <col min="8637" max="8637" width="10.5" hidden="1" customWidth="1"/>
    <col min="8638" max="8638" width="10" hidden="1" customWidth="1"/>
    <col min="8639" max="8639" width="11.5" hidden="1" customWidth="1"/>
    <col min="8640" max="8642" width="10.5" hidden="1" customWidth="1"/>
    <col min="8643" max="8643" width="9.125" hidden="1" customWidth="1"/>
    <col min="8644" max="8648" width="9.5" hidden="1" customWidth="1"/>
    <col min="8649" max="8649" width="8.5" hidden="1" customWidth="1"/>
    <col min="8650" max="8650" width="10.5" hidden="1" customWidth="1"/>
    <col min="8651" max="8652" width="8.5" hidden="1" customWidth="1"/>
    <col min="8653" max="8656" width="10.125" hidden="1" customWidth="1"/>
    <col min="8657" max="8657" width="8.5" hidden="1" customWidth="1"/>
    <col min="8658" max="8658" width="10.125" hidden="1" customWidth="1"/>
    <col min="8659" max="8660" width="8.5" hidden="1" customWidth="1"/>
    <col min="8661" max="8662" width="9.5" hidden="1" customWidth="1"/>
    <col min="8663" max="8663" width="10" hidden="1" customWidth="1"/>
    <col min="8664" max="8664" width="9.5" hidden="1" customWidth="1"/>
    <col min="8665" max="8665" width="8.5" hidden="1" customWidth="1"/>
    <col min="8666" max="8666" width="9.5" hidden="1" customWidth="1"/>
    <col min="8667" max="8668" width="8.5" hidden="1" customWidth="1"/>
    <col min="8669" max="8669" width="9.125" hidden="1" customWidth="1"/>
    <col min="8670" max="8670" width="9.5" hidden="1" customWidth="1"/>
    <col min="8671" max="8671" width="10.5" hidden="1" customWidth="1"/>
    <col min="8672" max="8672" width="9.5" hidden="1" customWidth="1"/>
    <col min="8673" max="8673" width="8.5" hidden="1" customWidth="1"/>
    <col min="8674" max="8674" width="11.125" hidden="1" customWidth="1"/>
    <col min="8675" max="8676" width="8.5" hidden="1" customWidth="1"/>
    <col min="8677" max="8677" width="9.125" hidden="1" customWidth="1"/>
    <col min="8678" max="8680" width="9.5" hidden="1" customWidth="1"/>
    <col min="8681" max="8681" width="8.5" hidden="1" customWidth="1"/>
    <col min="8682" max="8682" width="10.125" hidden="1" customWidth="1"/>
    <col min="8683" max="8684" width="8.5" hidden="1" customWidth="1"/>
    <col min="8685" max="8685" width="30.125" hidden="1" customWidth="1"/>
    <col min="8686" max="8686" width="2.5" hidden="1" customWidth="1"/>
    <col min="8687" max="8687" width="18.5" hidden="1" customWidth="1"/>
    <col min="8688" max="8688" width="1.5" hidden="1" customWidth="1"/>
    <col min="8689" max="8737" width="8.5" hidden="1" customWidth="1"/>
    <col min="8738" max="8886" width="8.5" hidden="1"/>
    <col min="8887" max="8887" width="0.5" hidden="1" customWidth="1"/>
    <col min="8888" max="8888" width="6.5" hidden="1" customWidth="1"/>
    <col min="8889" max="8889" width="50.125" hidden="1" customWidth="1"/>
    <col min="8890" max="8890" width="0.125" hidden="1" customWidth="1"/>
    <col min="8891" max="8892" width="8.5" hidden="1" customWidth="1"/>
    <col min="8893" max="8893" width="10.5" hidden="1" customWidth="1"/>
    <col min="8894" max="8894" width="10" hidden="1" customWidth="1"/>
    <col min="8895" max="8895" width="11.5" hidden="1" customWidth="1"/>
    <col min="8896" max="8898" width="10.5" hidden="1" customWidth="1"/>
    <col min="8899" max="8899" width="9.125" hidden="1" customWidth="1"/>
    <col min="8900" max="8904" width="9.5" hidden="1" customWidth="1"/>
    <col min="8905" max="8905" width="8.5" hidden="1" customWidth="1"/>
    <col min="8906" max="8906" width="10.5" hidden="1" customWidth="1"/>
    <col min="8907" max="8908" width="8.5" hidden="1" customWidth="1"/>
    <col min="8909" max="8912" width="10.125" hidden="1" customWidth="1"/>
    <col min="8913" max="8913" width="8.5" hidden="1" customWidth="1"/>
    <col min="8914" max="8914" width="10.125" hidden="1" customWidth="1"/>
    <col min="8915" max="8916" width="8.5" hidden="1" customWidth="1"/>
    <col min="8917" max="8918" width="9.5" hidden="1" customWidth="1"/>
    <col min="8919" max="8919" width="10" hidden="1" customWidth="1"/>
    <col min="8920" max="8920" width="9.5" hidden="1" customWidth="1"/>
    <col min="8921" max="8921" width="8.5" hidden="1" customWidth="1"/>
    <col min="8922" max="8922" width="9.5" hidden="1" customWidth="1"/>
    <col min="8923" max="8924" width="8.5" hidden="1" customWidth="1"/>
    <col min="8925" max="8925" width="9.125" hidden="1" customWidth="1"/>
    <col min="8926" max="8926" width="9.5" hidden="1" customWidth="1"/>
    <col min="8927" max="8927" width="10.5" hidden="1" customWidth="1"/>
    <col min="8928" max="8928" width="9.5" hidden="1" customWidth="1"/>
    <col min="8929" max="8929" width="8.5" hidden="1" customWidth="1"/>
    <col min="8930" max="8930" width="11.125" hidden="1" customWidth="1"/>
    <col min="8931" max="8932" width="8.5" hidden="1" customWidth="1"/>
    <col min="8933" max="8933" width="9.125" hidden="1" customWidth="1"/>
    <col min="8934" max="8936" width="9.5" hidden="1" customWidth="1"/>
    <col min="8937" max="8937" width="8.5" hidden="1" customWidth="1"/>
    <col min="8938" max="8938" width="10.125" hidden="1" customWidth="1"/>
    <col min="8939" max="8940" width="8.5" hidden="1" customWidth="1"/>
    <col min="8941" max="8941" width="30.125" hidden="1" customWidth="1"/>
    <col min="8942" max="8942" width="2.5" hidden="1" customWidth="1"/>
    <col min="8943" max="8943" width="18.5" hidden="1" customWidth="1"/>
    <col min="8944" max="8944" width="1.5" hidden="1" customWidth="1"/>
    <col min="8945" max="8993" width="8.5" hidden="1" customWidth="1"/>
    <col min="8994" max="9142" width="8.5" hidden="1"/>
    <col min="9143" max="9143" width="0.5" hidden="1" customWidth="1"/>
    <col min="9144" max="9144" width="6.5" hidden="1" customWidth="1"/>
    <col min="9145" max="9145" width="50.125" hidden="1" customWidth="1"/>
    <col min="9146" max="9146" width="0.125" hidden="1" customWidth="1"/>
    <col min="9147" max="9148" width="8.5" hidden="1" customWidth="1"/>
    <col min="9149" max="9149" width="10.5" hidden="1" customWidth="1"/>
    <col min="9150" max="9150" width="10" hidden="1" customWidth="1"/>
    <col min="9151" max="9151" width="11.5" hidden="1" customWidth="1"/>
    <col min="9152" max="9154" width="10.5" hidden="1" customWidth="1"/>
    <col min="9155" max="9155" width="9.125" hidden="1" customWidth="1"/>
    <col min="9156" max="9160" width="9.5" hidden="1" customWidth="1"/>
    <col min="9161" max="9161" width="8.5" hidden="1" customWidth="1"/>
    <col min="9162" max="9162" width="10.5" hidden="1" customWidth="1"/>
    <col min="9163" max="9164" width="8.5" hidden="1" customWidth="1"/>
    <col min="9165" max="9168" width="10.125" hidden="1" customWidth="1"/>
    <col min="9169" max="9169" width="8.5" hidden="1" customWidth="1"/>
    <col min="9170" max="9170" width="10.125" hidden="1" customWidth="1"/>
    <col min="9171" max="9172" width="8.5" hidden="1" customWidth="1"/>
    <col min="9173" max="9174" width="9.5" hidden="1" customWidth="1"/>
    <col min="9175" max="9175" width="10" hidden="1" customWidth="1"/>
    <col min="9176" max="9176" width="9.5" hidden="1" customWidth="1"/>
    <col min="9177" max="9177" width="8.5" hidden="1" customWidth="1"/>
    <col min="9178" max="9178" width="9.5" hidden="1" customWidth="1"/>
    <col min="9179" max="9180" width="8.5" hidden="1" customWidth="1"/>
    <col min="9181" max="9181" width="9.125" hidden="1" customWidth="1"/>
    <col min="9182" max="9182" width="9.5" hidden="1" customWidth="1"/>
    <col min="9183" max="9183" width="10.5" hidden="1" customWidth="1"/>
    <col min="9184" max="9184" width="9.5" hidden="1" customWidth="1"/>
    <col min="9185" max="9185" width="8.5" hidden="1" customWidth="1"/>
    <col min="9186" max="9186" width="11.125" hidden="1" customWidth="1"/>
    <col min="9187" max="9188" width="8.5" hidden="1" customWidth="1"/>
    <col min="9189" max="9189" width="9.125" hidden="1" customWidth="1"/>
    <col min="9190" max="9192" width="9.5" hidden="1" customWidth="1"/>
    <col min="9193" max="9193" width="8.5" hidden="1" customWidth="1"/>
    <col min="9194" max="9194" width="10.125" hidden="1" customWidth="1"/>
    <col min="9195" max="9196" width="8.5" hidden="1" customWidth="1"/>
    <col min="9197" max="9197" width="30.125" hidden="1" customWidth="1"/>
    <col min="9198" max="9198" width="2.5" hidden="1" customWidth="1"/>
    <col min="9199" max="9199" width="18.5" hidden="1" customWidth="1"/>
    <col min="9200" max="9200" width="1.5" hidden="1" customWidth="1"/>
    <col min="9201" max="9249" width="8.5" hidden="1" customWidth="1"/>
    <col min="9250" max="9398" width="8.5" hidden="1"/>
    <col min="9399" max="9399" width="0.5" hidden="1" customWidth="1"/>
    <col min="9400" max="9400" width="6.5" hidden="1" customWidth="1"/>
    <col min="9401" max="9401" width="50.125" hidden="1" customWidth="1"/>
    <col min="9402" max="9402" width="0.125" hidden="1" customWidth="1"/>
    <col min="9403" max="9404" width="8.5" hidden="1" customWidth="1"/>
    <col min="9405" max="9405" width="10.5" hidden="1" customWidth="1"/>
    <col min="9406" max="9406" width="10" hidden="1" customWidth="1"/>
    <col min="9407" max="9407" width="11.5" hidden="1" customWidth="1"/>
    <col min="9408" max="9410" width="10.5" hidden="1" customWidth="1"/>
    <col min="9411" max="9411" width="9.125" hidden="1" customWidth="1"/>
    <col min="9412" max="9416" width="9.5" hidden="1" customWidth="1"/>
    <col min="9417" max="9417" width="8.5" hidden="1" customWidth="1"/>
    <col min="9418" max="9418" width="10.5" hidden="1" customWidth="1"/>
    <col min="9419" max="9420" width="8.5" hidden="1" customWidth="1"/>
    <col min="9421" max="9424" width="10.125" hidden="1" customWidth="1"/>
    <col min="9425" max="9425" width="8.5" hidden="1" customWidth="1"/>
    <col min="9426" max="9426" width="10.125" hidden="1" customWidth="1"/>
    <col min="9427" max="9428" width="8.5" hidden="1" customWidth="1"/>
    <col min="9429" max="9430" width="9.5" hidden="1" customWidth="1"/>
    <col min="9431" max="9431" width="10" hidden="1" customWidth="1"/>
    <col min="9432" max="9432" width="9.5" hidden="1" customWidth="1"/>
    <col min="9433" max="9433" width="8.5" hidden="1" customWidth="1"/>
    <col min="9434" max="9434" width="9.5" hidden="1" customWidth="1"/>
    <col min="9435" max="9436" width="8.5" hidden="1" customWidth="1"/>
    <col min="9437" max="9437" width="9.125" hidden="1" customWidth="1"/>
    <col min="9438" max="9438" width="9.5" hidden="1" customWidth="1"/>
    <col min="9439" max="9439" width="10.5" hidden="1" customWidth="1"/>
    <col min="9440" max="9440" width="9.5" hidden="1" customWidth="1"/>
    <col min="9441" max="9441" width="8.5" hidden="1" customWidth="1"/>
    <col min="9442" max="9442" width="11.125" hidden="1" customWidth="1"/>
    <col min="9443" max="9444" width="8.5" hidden="1" customWidth="1"/>
    <col min="9445" max="9445" width="9.125" hidden="1" customWidth="1"/>
    <col min="9446" max="9448" width="9.5" hidden="1" customWidth="1"/>
    <col min="9449" max="9449" width="8.5" hidden="1" customWidth="1"/>
    <col min="9450" max="9450" width="10.125" hidden="1" customWidth="1"/>
    <col min="9451" max="9452" width="8.5" hidden="1" customWidth="1"/>
    <col min="9453" max="9453" width="30.125" hidden="1" customWidth="1"/>
    <col min="9454" max="9454" width="2.5" hidden="1" customWidth="1"/>
    <col min="9455" max="9455" width="18.5" hidden="1" customWidth="1"/>
    <col min="9456" max="9456" width="1.5" hidden="1" customWidth="1"/>
    <col min="9457" max="9505" width="8.5" hidden="1" customWidth="1"/>
    <col min="9506" max="9654" width="8.5" hidden="1"/>
    <col min="9655" max="9655" width="0.5" hidden="1" customWidth="1"/>
    <col min="9656" max="9656" width="6.5" hidden="1" customWidth="1"/>
    <col min="9657" max="9657" width="50.125" hidden="1" customWidth="1"/>
    <col min="9658" max="9658" width="0.125" hidden="1" customWidth="1"/>
    <col min="9659" max="9660" width="8.5" hidden="1" customWidth="1"/>
    <col min="9661" max="9661" width="10.5" hidden="1" customWidth="1"/>
    <col min="9662" max="9662" width="10" hidden="1" customWidth="1"/>
    <col min="9663" max="9663" width="11.5" hidden="1" customWidth="1"/>
    <col min="9664" max="9666" width="10.5" hidden="1" customWidth="1"/>
    <col min="9667" max="9667" width="9.125" hidden="1" customWidth="1"/>
    <col min="9668" max="9672" width="9.5" hidden="1" customWidth="1"/>
    <col min="9673" max="9673" width="8.5" hidden="1" customWidth="1"/>
    <col min="9674" max="9674" width="10.5" hidden="1" customWidth="1"/>
    <col min="9675" max="9676" width="8.5" hidden="1" customWidth="1"/>
    <col min="9677" max="9680" width="10.125" hidden="1" customWidth="1"/>
    <col min="9681" max="9681" width="8.5" hidden="1" customWidth="1"/>
    <col min="9682" max="9682" width="10.125" hidden="1" customWidth="1"/>
    <col min="9683" max="9684" width="8.5" hidden="1" customWidth="1"/>
    <col min="9685" max="9686" width="9.5" hidden="1" customWidth="1"/>
    <col min="9687" max="9687" width="10" hidden="1" customWidth="1"/>
    <col min="9688" max="9688" width="9.5" hidden="1" customWidth="1"/>
    <col min="9689" max="9689" width="8.5" hidden="1" customWidth="1"/>
    <col min="9690" max="9690" width="9.5" hidden="1" customWidth="1"/>
    <col min="9691" max="9692" width="8.5" hidden="1" customWidth="1"/>
    <col min="9693" max="9693" width="9.125" hidden="1" customWidth="1"/>
    <col min="9694" max="9694" width="9.5" hidden="1" customWidth="1"/>
    <col min="9695" max="9695" width="10.5" hidden="1" customWidth="1"/>
    <col min="9696" max="9696" width="9.5" hidden="1" customWidth="1"/>
    <col min="9697" max="9697" width="8.5" hidden="1" customWidth="1"/>
    <col min="9698" max="9698" width="11.125" hidden="1" customWidth="1"/>
    <col min="9699" max="9700" width="8.5" hidden="1" customWidth="1"/>
    <col min="9701" max="9701" width="9.125" hidden="1" customWidth="1"/>
    <col min="9702" max="9704" width="9.5" hidden="1" customWidth="1"/>
    <col min="9705" max="9705" width="8.5" hidden="1" customWidth="1"/>
    <col min="9706" max="9706" width="10.125" hidden="1" customWidth="1"/>
    <col min="9707" max="9708" width="8.5" hidden="1" customWidth="1"/>
    <col min="9709" max="9709" width="30.125" hidden="1" customWidth="1"/>
    <col min="9710" max="9710" width="2.5" hidden="1" customWidth="1"/>
    <col min="9711" max="9711" width="18.5" hidden="1" customWidth="1"/>
    <col min="9712" max="9712" width="1.5" hidden="1" customWidth="1"/>
    <col min="9713" max="9761" width="8.5" hidden="1" customWidth="1"/>
    <col min="9762" max="9910" width="8.5" hidden="1"/>
    <col min="9911" max="9911" width="0.5" hidden="1" customWidth="1"/>
    <col min="9912" max="9912" width="6.5" hidden="1" customWidth="1"/>
    <col min="9913" max="9913" width="50.125" hidden="1" customWidth="1"/>
    <col min="9914" max="9914" width="0.125" hidden="1" customWidth="1"/>
    <col min="9915" max="9916" width="8.5" hidden="1" customWidth="1"/>
    <col min="9917" max="9917" width="10.5" hidden="1" customWidth="1"/>
    <col min="9918" max="9918" width="10" hidden="1" customWidth="1"/>
    <col min="9919" max="9919" width="11.5" hidden="1" customWidth="1"/>
    <col min="9920" max="9922" width="10.5" hidden="1" customWidth="1"/>
    <col min="9923" max="9923" width="9.125" hidden="1" customWidth="1"/>
    <col min="9924" max="9928" width="9.5" hidden="1" customWidth="1"/>
    <col min="9929" max="9929" width="8.5" hidden="1" customWidth="1"/>
    <col min="9930" max="9930" width="10.5" hidden="1" customWidth="1"/>
    <col min="9931" max="9932" width="8.5" hidden="1" customWidth="1"/>
    <col min="9933" max="9936" width="10.125" hidden="1" customWidth="1"/>
    <col min="9937" max="9937" width="8.5" hidden="1" customWidth="1"/>
    <col min="9938" max="9938" width="10.125" hidden="1" customWidth="1"/>
    <col min="9939" max="9940" width="8.5" hidden="1" customWidth="1"/>
    <col min="9941" max="9942" width="9.5" hidden="1" customWidth="1"/>
    <col min="9943" max="9943" width="10" hidden="1" customWidth="1"/>
    <col min="9944" max="9944" width="9.5" hidden="1" customWidth="1"/>
    <col min="9945" max="9945" width="8.5" hidden="1" customWidth="1"/>
    <col min="9946" max="9946" width="9.5" hidden="1" customWidth="1"/>
    <col min="9947" max="9948" width="8.5" hidden="1" customWidth="1"/>
    <col min="9949" max="9949" width="9.125" hidden="1" customWidth="1"/>
    <col min="9950" max="9950" width="9.5" hidden="1" customWidth="1"/>
    <col min="9951" max="9951" width="10.5" hidden="1" customWidth="1"/>
    <col min="9952" max="9952" width="9.5" hidden="1" customWidth="1"/>
    <col min="9953" max="9953" width="8.5" hidden="1" customWidth="1"/>
    <col min="9954" max="9954" width="11.125" hidden="1" customWidth="1"/>
    <col min="9955" max="9956" width="8.5" hidden="1" customWidth="1"/>
    <col min="9957" max="9957" width="9.125" hidden="1" customWidth="1"/>
    <col min="9958" max="9960" width="9.5" hidden="1" customWidth="1"/>
    <col min="9961" max="9961" width="8.5" hidden="1" customWidth="1"/>
    <col min="9962" max="9962" width="10.125" hidden="1" customWidth="1"/>
    <col min="9963" max="9964" width="8.5" hidden="1" customWidth="1"/>
    <col min="9965" max="9965" width="30.125" hidden="1" customWidth="1"/>
    <col min="9966" max="9966" width="2.5" hidden="1" customWidth="1"/>
    <col min="9967" max="9967" width="18.5" hidden="1" customWidth="1"/>
    <col min="9968" max="9968" width="1.5" hidden="1" customWidth="1"/>
    <col min="9969" max="10017" width="8.5" hidden="1" customWidth="1"/>
    <col min="10018" max="10166" width="8.5" hidden="1"/>
    <col min="10167" max="10167" width="0.5" hidden="1" customWidth="1"/>
    <col min="10168" max="10168" width="6.5" hidden="1" customWidth="1"/>
    <col min="10169" max="10169" width="50.125" hidden="1" customWidth="1"/>
    <col min="10170" max="10170" width="0.125" hidden="1" customWidth="1"/>
    <col min="10171" max="10172" width="8.5" hidden="1" customWidth="1"/>
    <col min="10173" max="10173" width="10.5" hidden="1" customWidth="1"/>
    <col min="10174" max="10174" width="10" hidden="1" customWidth="1"/>
    <col min="10175" max="10175" width="11.5" hidden="1" customWidth="1"/>
    <col min="10176" max="10178" width="10.5" hidden="1" customWidth="1"/>
    <col min="10179" max="10179" width="9.125" hidden="1" customWidth="1"/>
    <col min="10180" max="10184" width="9.5" hidden="1" customWidth="1"/>
    <col min="10185" max="10185" width="8.5" hidden="1" customWidth="1"/>
    <col min="10186" max="10186" width="10.5" hidden="1" customWidth="1"/>
    <col min="10187" max="10188" width="8.5" hidden="1" customWidth="1"/>
    <col min="10189" max="10192" width="10.125" hidden="1" customWidth="1"/>
    <col min="10193" max="10193" width="8.5" hidden="1" customWidth="1"/>
    <col min="10194" max="10194" width="10.125" hidden="1" customWidth="1"/>
    <col min="10195" max="10196" width="8.5" hidden="1" customWidth="1"/>
    <col min="10197" max="10198" width="9.5" hidden="1" customWidth="1"/>
    <col min="10199" max="10199" width="10" hidden="1" customWidth="1"/>
    <col min="10200" max="10200" width="9.5" hidden="1" customWidth="1"/>
    <col min="10201" max="10201" width="8.5" hidden="1" customWidth="1"/>
    <col min="10202" max="10202" width="9.5" hidden="1" customWidth="1"/>
    <col min="10203" max="10204" width="8.5" hidden="1" customWidth="1"/>
    <col min="10205" max="10205" width="9.125" hidden="1" customWidth="1"/>
    <col min="10206" max="10206" width="9.5" hidden="1" customWidth="1"/>
    <col min="10207" max="10207" width="10.5" hidden="1" customWidth="1"/>
    <col min="10208" max="10208" width="9.5" hidden="1" customWidth="1"/>
    <col min="10209" max="10209" width="8.5" hidden="1" customWidth="1"/>
    <col min="10210" max="10210" width="11.125" hidden="1" customWidth="1"/>
    <col min="10211" max="10212" width="8.5" hidden="1" customWidth="1"/>
    <col min="10213" max="10213" width="9.125" hidden="1" customWidth="1"/>
    <col min="10214" max="10216" width="9.5" hidden="1" customWidth="1"/>
    <col min="10217" max="10217" width="8.5" hidden="1" customWidth="1"/>
    <col min="10218" max="10218" width="10.125" hidden="1" customWidth="1"/>
    <col min="10219" max="10220" width="8.5" hidden="1" customWidth="1"/>
    <col min="10221" max="10221" width="30.125" hidden="1" customWidth="1"/>
    <col min="10222" max="10222" width="2.5" hidden="1" customWidth="1"/>
    <col min="10223" max="10223" width="18.5" hidden="1" customWidth="1"/>
    <col min="10224" max="10224" width="1.5" hidden="1" customWidth="1"/>
    <col min="10225" max="10273" width="8.5" hidden="1" customWidth="1"/>
    <col min="10274" max="10422" width="8.5" hidden="1"/>
    <col min="10423" max="10423" width="0.5" hidden="1" customWidth="1"/>
    <col min="10424" max="10424" width="6.5" hidden="1" customWidth="1"/>
    <col min="10425" max="10425" width="50.125" hidden="1" customWidth="1"/>
    <col min="10426" max="10426" width="0.125" hidden="1" customWidth="1"/>
    <col min="10427" max="10428" width="8.5" hidden="1" customWidth="1"/>
    <col min="10429" max="10429" width="10.5" hidden="1" customWidth="1"/>
    <col min="10430" max="10430" width="10" hidden="1" customWidth="1"/>
    <col min="10431" max="10431" width="11.5" hidden="1" customWidth="1"/>
    <col min="10432" max="10434" width="10.5" hidden="1" customWidth="1"/>
    <col min="10435" max="10435" width="9.125" hidden="1" customWidth="1"/>
    <col min="10436" max="10440" width="9.5" hidden="1" customWidth="1"/>
    <col min="10441" max="10441" width="8.5" hidden="1" customWidth="1"/>
    <col min="10442" max="10442" width="10.5" hidden="1" customWidth="1"/>
    <col min="10443" max="10444" width="8.5" hidden="1" customWidth="1"/>
    <col min="10445" max="10448" width="10.125" hidden="1" customWidth="1"/>
    <col min="10449" max="10449" width="8.5" hidden="1" customWidth="1"/>
    <col min="10450" max="10450" width="10.125" hidden="1" customWidth="1"/>
    <col min="10451" max="10452" width="8.5" hidden="1" customWidth="1"/>
    <col min="10453" max="10454" width="9.5" hidden="1" customWidth="1"/>
    <col min="10455" max="10455" width="10" hidden="1" customWidth="1"/>
    <col min="10456" max="10456" width="9.5" hidden="1" customWidth="1"/>
    <col min="10457" max="10457" width="8.5" hidden="1" customWidth="1"/>
    <col min="10458" max="10458" width="9.5" hidden="1" customWidth="1"/>
    <col min="10459" max="10460" width="8.5" hidden="1" customWidth="1"/>
    <col min="10461" max="10461" width="9.125" hidden="1" customWidth="1"/>
    <col min="10462" max="10462" width="9.5" hidden="1" customWidth="1"/>
    <col min="10463" max="10463" width="10.5" hidden="1" customWidth="1"/>
    <col min="10464" max="10464" width="9.5" hidden="1" customWidth="1"/>
    <col min="10465" max="10465" width="8.5" hidden="1" customWidth="1"/>
    <col min="10466" max="10466" width="11.125" hidden="1" customWidth="1"/>
    <col min="10467" max="10468" width="8.5" hidden="1" customWidth="1"/>
    <col min="10469" max="10469" width="9.125" hidden="1" customWidth="1"/>
    <col min="10470" max="10472" width="9.5" hidden="1" customWidth="1"/>
    <col min="10473" max="10473" width="8.5" hidden="1" customWidth="1"/>
    <col min="10474" max="10474" width="10.125" hidden="1" customWidth="1"/>
    <col min="10475" max="10476" width="8.5" hidden="1" customWidth="1"/>
    <col min="10477" max="10477" width="30.125" hidden="1" customWidth="1"/>
    <col min="10478" max="10478" width="2.5" hidden="1" customWidth="1"/>
    <col min="10479" max="10479" width="18.5" hidden="1" customWidth="1"/>
    <col min="10480" max="10480" width="1.5" hidden="1" customWidth="1"/>
    <col min="10481" max="10529" width="8.5" hidden="1" customWidth="1"/>
    <col min="10530" max="10678" width="8.5" hidden="1"/>
    <col min="10679" max="10679" width="0.5" hidden="1" customWidth="1"/>
    <col min="10680" max="10680" width="6.5" hidden="1" customWidth="1"/>
    <col min="10681" max="10681" width="50.125" hidden="1" customWidth="1"/>
    <col min="10682" max="10682" width="0.125" hidden="1" customWidth="1"/>
    <col min="10683" max="10684" width="8.5" hidden="1" customWidth="1"/>
    <col min="10685" max="10685" width="10.5" hidden="1" customWidth="1"/>
    <col min="10686" max="10686" width="10" hidden="1" customWidth="1"/>
    <col min="10687" max="10687" width="11.5" hidden="1" customWidth="1"/>
    <col min="10688" max="10690" width="10.5" hidden="1" customWidth="1"/>
    <col min="10691" max="10691" width="9.125" hidden="1" customWidth="1"/>
    <col min="10692" max="10696" width="9.5" hidden="1" customWidth="1"/>
    <col min="10697" max="10697" width="8.5" hidden="1" customWidth="1"/>
    <col min="10698" max="10698" width="10.5" hidden="1" customWidth="1"/>
    <col min="10699" max="10700" width="8.5" hidden="1" customWidth="1"/>
    <col min="10701" max="10704" width="10.125" hidden="1" customWidth="1"/>
    <col min="10705" max="10705" width="8.5" hidden="1" customWidth="1"/>
    <col min="10706" max="10706" width="10.125" hidden="1" customWidth="1"/>
    <col min="10707" max="10708" width="8.5" hidden="1" customWidth="1"/>
    <col min="10709" max="10710" width="9.5" hidden="1" customWidth="1"/>
    <col min="10711" max="10711" width="10" hidden="1" customWidth="1"/>
    <col min="10712" max="10712" width="9.5" hidden="1" customWidth="1"/>
    <col min="10713" max="10713" width="8.5" hidden="1" customWidth="1"/>
    <col min="10714" max="10714" width="9.5" hidden="1" customWidth="1"/>
    <col min="10715" max="10716" width="8.5" hidden="1" customWidth="1"/>
    <col min="10717" max="10717" width="9.125" hidden="1" customWidth="1"/>
    <col min="10718" max="10718" width="9.5" hidden="1" customWidth="1"/>
    <col min="10719" max="10719" width="10.5" hidden="1" customWidth="1"/>
    <col min="10720" max="10720" width="9.5" hidden="1" customWidth="1"/>
    <col min="10721" max="10721" width="8.5" hidden="1" customWidth="1"/>
    <col min="10722" max="10722" width="11.125" hidden="1" customWidth="1"/>
    <col min="10723" max="10724" width="8.5" hidden="1" customWidth="1"/>
    <col min="10725" max="10725" width="9.125" hidden="1" customWidth="1"/>
    <col min="10726" max="10728" width="9.5" hidden="1" customWidth="1"/>
    <col min="10729" max="10729" width="8.5" hidden="1" customWidth="1"/>
    <col min="10730" max="10730" width="10.125" hidden="1" customWidth="1"/>
    <col min="10731" max="10732" width="8.5" hidden="1" customWidth="1"/>
    <col min="10733" max="10733" width="30.125" hidden="1" customWidth="1"/>
    <col min="10734" max="10734" width="2.5" hidden="1" customWidth="1"/>
    <col min="10735" max="10735" width="18.5" hidden="1" customWidth="1"/>
    <col min="10736" max="10736" width="1.5" hidden="1" customWidth="1"/>
    <col min="10737" max="10785" width="8.5" hidden="1" customWidth="1"/>
    <col min="10786" max="10934" width="8.5" hidden="1"/>
    <col min="10935" max="10935" width="0.5" hidden="1" customWidth="1"/>
    <col min="10936" max="10936" width="6.5" hidden="1" customWidth="1"/>
    <col min="10937" max="10937" width="50.125" hidden="1" customWidth="1"/>
    <col min="10938" max="10938" width="0.125" hidden="1" customWidth="1"/>
    <col min="10939" max="10940" width="8.5" hidden="1" customWidth="1"/>
    <col min="10941" max="10941" width="10.5" hidden="1" customWidth="1"/>
    <col min="10942" max="10942" width="10" hidden="1" customWidth="1"/>
    <col min="10943" max="10943" width="11.5" hidden="1" customWidth="1"/>
    <col min="10944" max="10946" width="10.5" hidden="1" customWidth="1"/>
    <col min="10947" max="10947" width="9.125" hidden="1" customWidth="1"/>
    <col min="10948" max="10952" width="9.5" hidden="1" customWidth="1"/>
    <col min="10953" max="10953" width="8.5" hidden="1" customWidth="1"/>
    <col min="10954" max="10954" width="10.5" hidden="1" customWidth="1"/>
    <col min="10955" max="10956" width="8.5" hidden="1" customWidth="1"/>
    <col min="10957" max="10960" width="10.125" hidden="1" customWidth="1"/>
    <col min="10961" max="10961" width="8.5" hidden="1" customWidth="1"/>
    <col min="10962" max="10962" width="10.125" hidden="1" customWidth="1"/>
    <col min="10963" max="10964" width="8.5" hidden="1" customWidth="1"/>
    <col min="10965" max="10966" width="9.5" hidden="1" customWidth="1"/>
    <col min="10967" max="10967" width="10" hidden="1" customWidth="1"/>
    <col min="10968" max="10968" width="9.5" hidden="1" customWidth="1"/>
    <col min="10969" max="10969" width="8.5" hidden="1" customWidth="1"/>
    <col min="10970" max="10970" width="9.5" hidden="1" customWidth="1"/>
    <col min="10971" max="10972" width="8.5" hidden="1" customWidth="1"/>
    <col min="10973" max="10973" width="9.125" hidden="1" customWidth="1"/>
    <col min="10974" max="10974" width="9.5" hidden="1" customWidth="1"/>
    <col min="10975" max="10975" width="10.5" hidden="1" customWidth="1"/>
    <col min="10976" max="10976" width="9.5" hidden="1" customWidth="1"/>
    <col min="10977" max="10977" width="8.5" hidden="1" customWidth="1"/>
    <col min="10978" max="10978" width="11.125" hidden="1" customWidth="1"/>
    <col min="10979" max="10980" width="8.5" hidden="1" customWidth="1"/>
    <col min="10981" max="10981" width="9.125" hidden="1" customWidth="1"/>
    <col min="10982" max="10984" width="9.5" hidden="1" customWidth="1"/>
    <col min="10985" max="10985" width="8.5" hidden="1" customWidth="1"/>
    <col min="10986" max="10986" width="10.125" hidden="1" customWidth="1"/>
    <col min="10987" max="10988" width="8.5" hidden="1" customWidth="1"/>
    <col min="10989" max="10989" width="30.125" hidden="1" customWidth="1"/>
    <col min="10990" max="10990" width="2.5" hidden="1" customWidth="1"/>
    <col min="10991" max="10991" width="18.5" hidden="1" customWidth="1"/>
    <col min="10992" max="10992" width="1.5" hidden="1" customWidth="1"/>
    <col min="10993" max="11041" width="8.5" hidden="1" customWidth="1"/>
    <col min="11042" max="11190" width="8.5" hidden="1"/>
    <col min="11191" max="11191" width="0.5" hidden="1" customWidth="1"/>
    <col min="11192" max="11192" width="6.5" hidden="1" customWidth="1"/>
    <col min="11193" max="11193" width="50.125" hidden="1" customWidth="1"/>
    <col min="11194" max="11194" width="0.125" hidden="1" customWidth="1"/>
    <col min="11195" max="11196" width="8.5" hidden="1" customWidth="1"/>
    <col min="11197" max="11197" width="10.5" hidden="1" customWidth="1"/>
    <col min="11198" max="11198" width="10" hidden="1" customWidth="1"/>
    <col min="11199" max="11199" width="11.5" hidden="1" customWidth="1"/>
    <col min="11200" max="11202" width="10.5" hidden="1" customWidth="1"/>
    <col min="11203" max="11203" width="9.125" hidden="1" customWidth="1"/>
    <col min="11204" max="11208" width="9.5" hidden="1" customWidth="1"/>
    <col min="11209" max="11209" width="8.5" hidden="1" customWidth="1"/>
    <col min="11210" max="11210" width="10.5" hidden="1" customWidth="1"/>
    <col min="11211" max="11212" width="8.5" hidden="1" customWidth="1"/>
    <col min="11213" max="11216" width="10.125" hidden="1" customWidth="1"/>
    <col min="11217" max="11217" width="8.5" hidden="1" customWidth="1"/>
    <col min="11218" max="11218" width="10.125" hidden="1" customWidth="1"/>
    <col min="11219" max="11220" width="8.5" hidden="1" customWidth="1"/>
    <col min="11221" max="11222" width="9.5" hidden="1" customWidth="1"/>
    <col min="11223" max="11223" width="10" hidden="1" customWidth="1"/>
    <col min="11224" max="11224" width="9.5" hidden="1" customWidth="1"/>
    <col min="11225" max="11225" width="8.5" hidden="1" customWidth="1"/>
    <col min="11226" max="11226" width="9.5" hidden="1" customWidth="1"/>
    <col min="11227" max="11228" width="8.5" hidden="1" customWidth="1"/>
    <col min="11229" max="11229" width="9.125" hidden="1" customWidth="1"/>
    <col min="11230" max="11230" width="9.5" hidden="1" customWidth="1"/>
    <col min="11231" max="11231" width="10.5" hidden="1" customWidth="1"/>
    <col min="11232" max="11232" width="9.5" hidden="1" customWidth="1"/>
    <col min="11233" max="11233" width="8.5" hidden="1" customWidth="1"/>
    <col min="11234" max="11234" width="11.125" hidden="1" customWidth="1"/>
    <col min="11235" max="11236" width="8.5" hidden="1" customWidth="1"/>
    <col min="11237" max="11237" width="9.125" hidden="1" customWidth="1"/>
    <col min="11238" max="11240" width="9.5" hidden="1" customWidth="1"/>
    <col min="11241" max="11241" width="8.5" hidden="1" customWidth="1"/>
    <col min="11242" max="11242" width="10.125" hidden="1" customWidth="1"/>
    <col min="11243" max="11244" width="8.5" hidden="1" customWidth="1"/>
    <col min="11245" max="11245" width="30.125" hidden="1" customWidth="1"/>
    <col min="11246" max="11246" width="2.5" hidden="1" customWidth="1"/>
    <col min="11247" max="11247" width="18.5" hidden="1" customWidth="1"/>
    <col min="11248" max="11248" width="1.5" hidden="1" customWidth="1"/>
    <col min="11249" max="11297" width="8.5" hidden="1" customWidth="1"/>
    <col min="11298" max="11446" width="8.5" hidden="1"/>
    <col min="11447" max="11447" width="0.5" hidden="1" customWidth="1"/>
    <col min="11448" max="11448" width="6.5" hidden="1" customWidth="1"/>
    <col min="11449" max="11449" width="50.125" hidden="1" customWidth="1"/>
    <col min="11450" max="11450" width="0.125" hidden="1" customWidth="1"/>
    <col min="11451" max="11452" width="8.5" hidden="1" customWidth="1"/>
    <col min="11453" max="11453" width="10.5" hidden="1" customWidth="1"/>
    <col min="11454" max="11454" width="10" hidden="1" customWidth="1"/>
    <col min="11455" max="11455" width="11.5" hidden="1" customWidth="1"/>
    <col min="11456" max="11458" width="10.5" hidden="1" customWidth="1"/>
    <col min="11459" max="11459" width="9.125" hidden="1" customWidth="1"/>
    <col min="11460" max="11464" width="9.5" hidden="1" customWidth="1"/>
    <col min="11465" max="11465" width="8.5" hidden="1" customWidth="1"/>
    <col min="11466" max="11466" width="10.5" hidden="1" customWidth="1"/>
    <col min="11467" max="11468" width="8.5" hidden="1" customWidth="1"/>
    <col min="11469" max="11472" width="10.125" hidden="1" customWidth="1"/>
    <col min="11473" max="11473" width="8.5" hidden="1" customWidth="1"/>
    <col min="11474" max="11474" width="10.125" hidden="1" customWidth="1"/>
    <col min="11475" max="11476" width="8.5" hidden="1" customWidth="1"/>
    <col min="11477" max="11478" width="9.5" hidden="1" customWidth="1"/>
    <col min="11479" max="11479" width="10" hidden="1" customWidth="1"/>
    <col min="11480" max="11480" width="9.5" hidden="1" customWidth="1"/>
    <col min="11481" max="11481" width="8.5" hidden="1" customWidth="1"/>
    <col min="11482" max="11482" width="9.5" hidden="1" customWidth="1"/>
    <col min="11483" max="11484" width="8.5" hidden="1" customWidth="1"/>
    <col min="11485" max="11485" width="9.125" hidden="1" customWidth="1"/>
    <col min="11486" max="11486" width="9.5" hidden="1" customWidth="1"/>
    <col min="11487" max="11487" width="10.5" hidden="1" customWidth="1"/>
    <col min="11488" max="11488" width="9.5" hidden="1" customWidth="1"/>
    <col min="11489" max="11489" width="8.5" hidden="1" customWidth="1"/>
    <col min="11490" max="11490" width="11.125" hidden="1" customWidth="1"/>
    <col min="11491" max="11492" width="8.5" hidden="1" customWidth="1"/>
    <col min="11493" max="11493" width="9.125" hidden="1" customWidth="1"/>
    <col min="11494" max="11496" width="9.5" hidden="1" customWidth="1"/>
    <col min="11497" max="11497" width="8.5" hidden="1" customWidth="1"/>
    <col min="11498" max="11498" width="10.125" hidden="1" customWidth="1"/>
    <col min="11499" max="11500" width="8.5" hidden="1" customWidth="1"/>
    <col min="11501" max="11501" width="30.125" hidden="1" customWidth="1"/>
    <col min="11502" max="11502" width="2.5" hidden="1" customWidth="1"/>
    <col min="11503" max="11503" width="18.5" hidden="1" customWidth="1"/>
    <col min="11504" max="11504" width="1.5" hidden="1" customWidth="1"/>
    <col min="11505" max="11553" width="8.5" hidden="1" customWidth="1"/>
    <col min="11554" max="11702" width="8.5" hidden="1"/>
    <col min="11703" max="11703" width="0.5" hidden="1" customWidth="1"/>
    <col min="11704" max="11704" width="6.5" hidden="1" customWidth="1"/>
    <col min="11705" max="11705" width="50.125" hidden="1" customWidth="1"/>
    <col min="11706" max="11706" width="0.125" hidden="1" customWidth="1"/>
    <col min="11707" max="11708" width="8.5" hidden="1" customWidth="1"/>
    <col min="11709" max="11709" width="10.5" hidden="1" customWidth="1"/>
    <col min="11710" max="11710" width="10" hidden="1" customWidth="1"/>
    <col min="11711" max="11711" width="11.5" hidden="1" customWidth="1"/>
    <col min="11712" max="11714" width="10.5" hidden="1" customWidth="1"/>
    <col min="11715" max="11715" width="9.125" hidden="1" customWidth="1"/>
    <col min="11716" max="11720" width="9.5" hidden="1" customWidth="1"/>
    <col min="11721" max="11721" width="8.5" hidden="1" customWidth="1"/>
    <col min="11722" max="11722" width="10.5" hidden="1" customWidth="1"/>
    <col min="11723" max="11724" width="8.5" hidden="1" customWidth="1"/>
    <col min="11725" max="11728" width="10.125" hidden="1" customWidth="1"/>
    <col min="11729" max="11729" width="8.5" hidden="1" customWidth="1"/>
    <col min="11730" max="11730" width="10.125" hidden="1" customWidth="1"/>
    <col min="11731" max="11732" width="8.5" hidden="1" customWidth="1"/>
    <col min="11733" max="11734" width="9.5" hidden="1" customWidth="1"/>
    <col min="11735" max="11735" width="10" hidden="1" customWidth="1"/>
    <col min="11736" max="11736" width="9.5" hidden="1" customWidth="1"/>
    <col min="11737" max="11737" width="8.5" hidden="1" customWidth="1"/>
    <col min="11738" max="11738" width="9.5" hidden="1" customWidth="1"/>
    <col min="11739" max="11740" width="8.5" hidden="1" customWidth="1"/>
    <col min="11741" max="11741" width="9.125" hidden="1" customWidth="1"/>
    <col min="11742" max="11742" width="9.5" hidden="1" customWidth="1"/>
    <col min="11743" max="11743" width="10.5" hidden="1" customWidth="1"/>
    <col min="11744" max="11744" width="9.5" hidden="1" customWidth="1"/>
    <col min="11745" max="11745" width="8.5" hidden="1" customWidth="1"/>
    <col min="11746" max="11746" width="11.125" hidden="1" customWidth="1"/>
    <col min="11747" max="11748" width="8.5" hidden="1" customWidth="1"/>
    <col min="11749" max="11749" width="9.125" hidden="1" customWidth="1"/>
    <col min="11750" max="11752" width="9.5" hidden="1" customWidth="1"/>
    <col min="11753" max="11753" width="8.5" hidden="1" customWidth="1"/>
    <col min="11754" max="11754" width="10.125" hidden="1" customWidth="1"/>
    <col min="11755" max="11756" width="8.5" hidden="1" customWidth="1"/>
    <col min="11757" max="11757" width="30.125" hidden="1" customWidth="1"/>
    <col min="11758" max="11758" width="2.5" hidden="1" customWidth="1"/>
    <col min="11759" max="11759" width="18.5" hidden="1" customWidth="1"/>
    <col min="11760" max="11760" width="1.5" hidden="1" customWidth="1"/>
    <col min="11761" max="11809" width="8.5" hidden="1" customWidth="1"/>
    <col min="11810" max="11958" width="8.5" hidden="1"/>
    <col min="11959" max="11959" width="0.5" hidden="1" customWidth="1"/>
    <col min="11960" max="11960" width="6.5" hidden="1" customWidth="1"/>
    <col min="11961" max="11961" width="50.125" hidden="1" customWidth="1"/>
    <col min="11962" max="11962" width="0.125" hidden="1" customWidth="1"/>
    <col min="11963" max="11964" width="8.5" hidden="1" customWidth="1"/>
    <col min="11965" max="11965" width="10.5" hidden="1" customWidth="1"/>
    <col min="11966" max="11966" width="10" hidden="1" customWidth="1"/>
    <col min="11967" max="11967" width="11.5" hidden="1" customWidth="1"/>
    <col min="11968" max="11970" width="10.5" hidden="1" customWidth="1"/>
    <col min="11971" max="11971" width="9.125" hidden="1" customWidth="1"/>
    <col min="11972" max="11976" width="9.5" hidden="1" customWidth="1"/>
    <col min="11977" max="11977" width="8.5" hidden="1" customWidth="1"/>
    <col min="11978" max="11978" width="10.5" hidden="1" customWidth="1"/>
    <col min="11979" max="11980" width="8.5" hidden="1" customWidth="1"/>
    <col min="11981" max="11984" width="10.125" hidden="1" customWidth="1"/>
    <col min="11985" max="11985" width="8.5" hidden="1" customWidth="1"/>
    <col min="11986" max="11986" width="10.125" hidden="1" customWidth="1"/>
    <col min="11987" max="11988" width="8.5" hidden="1" customWidth="1"/>
    <col min="11989" max="11990" width="9.5" hidden="1" customWidth="1"/>
    <col min="11991" max="11991" width="10" hidden="1" customWidth="1"/>
    <col min="11992" max="11992" width="9.5" hidden="1" customWidth="1"/>
    <col min="11993" max="11993" width="8.5" hidden="1" customWidth="1"/>
    <col min="11994" max="11994" width="9.5" hidden="1" customWidth="1"/>
    <col min="11995" max="11996" width="8.5" hidden="1" customWidth="1"/>
    <col min="11997" max="11997" width="9.125" hidden="1" customWidth="1"/>
    <col min="11998" max="11998" width="9.5" hidden="1" customWidth="1"/>
    <col min="11999" max="11999" width="10.5" hidden="1" customWidth="1"/>
    <col min="12000" max="12000" width="9.5" hidden="1" customWidth="1"/>
    <col min="12001" max="12001" width="8.5" hidden="1" customWidth="1"/>
    <col min="12002" max="12002" width="11.125" hidden="1" customWidth="1"/>
    <col min="12003" max="12004" width="8.5" hidden="1" customWidth="1"/>
    <col min="12005" max="12005" width="9.125" hidden="1" customWidth="1"/>
    <col min="12006" max="12008" width="9.5" hidden="1" customWidth="1"/>
    <col min="12009" max="12009" width="8.5" hidden="1" customWidth="1"/>
    <col min="12010" max="12010" width="10.125" hidden="1" customWidth="1"/>
    <col min="12011" max="12012" width="8.5" hidden="1" customWidth="1"/>
    <col min="12013" max="12013" width="30.125" hidden="1" customWidth="1"/>
    <col min="12014" max="12014" width="2.5" hidden="1" customWidth="1"/>
    <col min="12015" max="12015" width="18.5" hidden="1" customWidth="1"/>
    <col min="12016" max="12016" width="1.5" hidden="1" customWidth="1"/>
    <col min="12017" max="12065" width="8.5" hidden="1" customWidth="1"/>
    <col min="12066" max="12214" width="8.5" hidden="1"/>
    <col min="12215" max="12215" width="0.5" hidden="1" customWidth="1"/>
    <col min="12216" max="12216" width="6.5" hidden="1" customWidth="1"/>
    <col min="12217" max="12217" width="50.125" hidden="1" customWidth="1"/>
    <col min="12218" max="12218" width="0.125" hidden="1" customWidth="1"/>
    <col min="12219" max="12220" width="8.5" hidden="1" customWidth="1"/>
    <col min="12221" max="12221" width="10.5" hidden="1" customWidth="1"/>
    <col min="12222" max="12222" width="10" hidden="1" customWidth="1"/>
    <col min="12223" max="12223" width="11.5" hidden="1" customWidth="1"/>
    <col min="12224" max="12226" width="10.5" hidden="1" customWidth="1"/>
    <col min="12227" max="12227" width="9.125" hidden="1" customWidth="1"/>
    <col min="12228" max="12232" width="9.5" hidden="1" customWidth="1"/>
    <col min="12233" max="12233" width="8.5" hidden="1" customWidth="1"/>
    <col min="12234" max="12234" width="10.5" hidden="1" customWidth="1"/>
    <col min="12235" max="12236" width="8.5" hidden="1" customWidth="1"/>
    <col min="12237" max="12240" width="10.125" hidden="1" customWidth="1"/>
    <col min="12241" max="12241" width="8.5" hidden="1" customWidth="1"/>
    <col min="12242" max="12242" width="10.125" hidden="1" customWidth="1"/>
    <col min="12243" max="12244" width="8.5" hidden="1" customWidth="1"/>
    <col min="12245" max="12246" width="9.5" hidden="1" customWidth="1"/>
    <col min="12247" max="12247" width="10" hidden="1" customWidth="1"/>
    <col min="12248" max="12248" width="9.5" hidden="1" customWidth="1"/>
    <col min="12249" max="12249" width="8.5" hidden="1" customWidth="1"/>
    <col min="12250" max="12250" width="9.5" hidden="1" customWidth="1"/>
    <col min="12251" max="12252" width="8.5" hidden="1" customWidth="1"/>
    <col min="12253" max="12253" width="9.125" hidden="1" customWidth="1"/>
    <col min="12254" max="12254" width="9.5" hidden="1" customWidth="1"/>
    <col min="12255" max="12255" width="10.5" hidden="1" customWidth="1"/>
    <col min="12256" max="12256" width="9.5" hidden="1" customWidth="1"/>
    <col min="12257" max="12257" width="8.5" hidden="1" customWidth="1"/>
    <col min="12258" max="12258" width="11.125" hidden="1" customWidth="1"/>
    <col min="12259" max="12260" width="8.5" hidden="1" customWidth="1"/>
    <col min="12261" max="12261" width="9.125" hidden="1" customWidth="1"/>
    <col min="12262" max="12264" width="9.5" hidden="1" customWidth="1"/>
    <col min="12265" max="12265" width="8.5" hidden="1" customWidth="1"/>
    <col min="12266" max="12266" width="10.125" hidden="1" customWidth="1"/>
    <col min="12267" max="12268" width="8.5" hidden="1" customWidth="1"/>
    <col min="12269" max="12269" width="30.125" hidden="1" customWidth="1"/>
    <col min="12270" max="12270" width="2.5" hidden="1" customWidth="1"/>
    <col min="12271" max="12271" width="18.5" hidden="1" customWidth="1"/>
    <col min="12272" max="12272" width="1.5" hidden="1" customWidth="1"/>
    <col min="12273" max="12321" width="8.5" hidden="1" customWidth="1"/>
    <col min="12322" max="12470" width="8.5" hidden="1"/>
    <col min="12471" max="12471" width="0.5" hidden="1" customWidth="1"/>
    <col min="12472" max="12472" width="6.5" hidden="1" customWidth="1"/>
    <col min="12473" max="12473" width="50.125" hidden="1" customWidth="1"/>
    <col min="12474" max="12474" width="0.125" hidden="1" customWidth="1"/>
    <col min="12475" max="12476" width="8.5" hidden="1" customWidth="1"/>
    <col min="12477" max="12477" width="10.5" hidden="1" customWidth="1"/>
    <col min="12478" max="12478" width="10" hidden="1" customWidth="1"/>
    <col min="12479" max="12479" width="11.5" hidden="1" customWidth="1"/>
    <col min="12480" max="12482" width="10.5" hidden="1" customWidth="1"/>
    <col min="12483" max="12483" width="9.125" hidden="1" customWidth="1"/>
    <col min="12484" max="12488" width="9.5" hidden="1" customWidth="1"/>
    <col min="12489" max="12489" width="8.5" hidden="1" customWidth="1"/>
    <col min="12490" max="12490" width="10.5" hidden="1" customWidth="1"/>
    <col min="12491" max="12492" width="8.5" hidden="1" customWidth="1"/>
    <col min="12493" max="12496" width="10.125" hidden="1" customWidth="1"/>
    <col min="12497" max="12497" width="8.5" hidden="1" customWidth="1"/>
    <col min="12498" max="12498" width="10.125" hidden="1" customWidth="1"/>
    <col min="12499" max="12500" width="8.5" hidden="1" customWidth="1"/>
    <col min="12501" max="12502" width="9.5" hidden="1" customWidth="1"/>
    <col min="12503" max="12503" width="10" hidden="1" customWidth="1"/>
    <col min="12504" max="12504" width="9.5" hidden="1" customWidth="1"/>
    <col min="12505" max="12505" width="8.5" hidden="1" customWidth="1"/>
    <col min="12506" max="12506" width="9.5" hidden="1" customWidth="1"/>
    <col min="12507" max="12508" width="8.5" hidden="1" customWidth="1"/>
    <col min="12509" max="12509" width="9.125" hidden="1" customWidth="1"/>
    <col min="12510" max="12510" width="9.5" hidden="1" customWidth="1"/>
    <col min="12511" max="12511" width="10.5" hidden="1" customWidth="1"/>
    <col min="12512" max="12512" width="9.5" hidden="1" customWidth="1"/>
    <col min="12513" max="12513" width="8.5" hidden="1" customWidth="1"/>
    <col min="12514" max="12514" width="11.125" hidden="1" customWidth="1"/>
    <col min="12515" max="12516" width="8.5" hidden="1" customWidth="1"/>
    <col min="12517" max="12517" width="9.125" hidden="1" customWidth="1"/>
    <col min="12518" max="12520" width="9.5" hidden="1" customWidth="1"/>
    <col min="12521" max="12521" width="8.5" hidden="1" customWidth="1"/>
    <col min="12522" max="12522" width="10.125" hidden="1" customWidth="1"/>
    <col min="12523" max="12524" width="8.5" hidden="1" customWidth="1"/>
    <col min="12525" max="12525" width="30.125" hidden="1" customWidth="1"/>
    <col min="12526" max="12526" width="2.5" hidden="1" customWidth="1"/>
    <col min="12527" max="12527" width="18.5" hidden="1" customWidth="1"/>
    <col min="12528" max="12528" width="1.5" hidden="1" customWidth="1"/>
    <col min="12529" max="12577" width="8.5" hidden="1" customWidth="1"/>
    <col min="12578" max="12726" width="8.5" hidden="1"/>
    <col min="12727" max="12727" width="0.5" hidden="1" customWidth="1"/>
    <col min="12728" max="12728" width="6.5" hidden="1" customWidth="1"/>
    <col min="12729" max="12729" width="50.125" hidden="1" customWidth="1"/>
    <col min="12730" max="12730" width="0.125" hidden="1" customWidth="1"/>
    <col min="12731" max="12732" width="8.5" hidden="1" customWidth="1"/>
    <col min="12733" max="12733" width="10.5" hidden="1" customWidth="1"/>
    <col min="12734" max="12734" width="10" hidden="1" customWidth="1"/>
    <col min="12735" max="12735" width="11.5" hidden="1" customWidth="1"/>
    <col min="12736" max="12738" width="10.5" hidden="1" customWidth="1"/>
    <col min="12739" max="12739" width="9.125" hidden="1" customWidth="1"/>
    <col min="12740" max="12744" width="9.5" hidden="1" customWidth="1"/>
    <col min="12745" max="12745" width="8.5" hidden="1" customWidth="1"/>
    <col min="12746" max="12746" width="10.5" hidden="1" customWidth="1"/>
    <col min="12747" max="12748" width="8.5" hidden="1" customWidth="1"/>
    <col min="12749" max="12752" width="10.125" hidden="1" customWidth="1"/>
    <col min="12753" max="12753" width="8.5" hidden="1" customWidth="1"/>
    <col min="12754" max="12754" width="10.125" hidden="1" customWidth="1"/>
    <col min="12755" max="12756" width="8.5" hidden="1" customWidth="1"/>
    <col min="12757" max="12758" width="9.5" hidden="1" customWidth="1"/>
    <col min="12759" max="12759" width="10" hidden="1" customWidth="1"/>
    <col min="12760" max="12760" width="9.5" hidden="1" customWidth="1"/>
    <col min="12761" max="12761" width="8.5" hidden="1" customWidth="1"/>
    <col min="12762" max="12762" width="9.5" hidden="1" customWidth="1"/>
    <col min="12763" max="12764" width="8.5" hidden="1" customWidth="1"/>
    <col min="12765" max="12765" width="9.125" hidden="1" customWidth="1"/>
    <col min="12766" max="12766" width="9.5" hidden="1" customWidth="1"/>
    <col min="12767" max="12767" width="10.5" hidden="1" customWidth="1"/>
    <col min="12768" max="12768" width="9.5" hidden="1" customWidth="1"/>
    <col min="12769" max="12769" width="8.5" hidden="1" customWidth="1"/>
    <col min="12770" max="12770" width="11.125" hidden="1" customWidth="1"/>
    <col min="12771" max="12772" width="8.5" hidden="1" customWidth="1"/>
    <col min="12773" max="12773" width="9.125" hidden="1" customWidth="1"/>
    <col min="12774" max="12776" width="9.5" hidden="1" customWidth="1"/>
    <col min="12777" max="12777" width="8.5" hidden="1" customWidth="1"/>
    <col min="12778" max="12778" width="10.125" hidden="1" customWidth="1"/>
    <col min="12779" max="12780" width="8.5" hidden="1" customWidth="1"/>
    <col min="12781" max="12781" width="30.125" hidden="1" customWidth="1"/>
    <col min="12782" max="12782" width="2.5" hidden="1" customWidth="1"/>
    <col min="12783" max="12783" width="18.5" hidden="1" customWidth="1"/>
    <col min="12784" max="12784" width="1.5" hidden="1" customWidth="1"/>
    <col min="12785" max="12833" width="8.5" hidden="1" customWidth="1"/>
    <col min="12834" max="12982" width="8.5" hidden="1"/>
    <col min="12983" max="12983" width="0.5" hidden="1" customWidth="1"/>
    <col min="12984" max="12984" width="6.5" hidden="1" customWidth="1"/>
    <col min="12985" max="12985" width="50.125" hidden="1" customWidth="1"/>
    <col min="12986" max="12986" width="0.125" hidden="1" customWidth="1"/>
    <col min="12987" max="12988" width="8.5" hidden="1" customWidth="1"/>
    <col min="12989" max="12989" width="10.5" hidden="1" customWidth="1"/>
    <col min="12990" max="12990" width="10" hidden="1" customWidth="1"/>
    <col min="12991" max="12991" width="11.5" hidden="1" customWidth="1"/>
    <col min="12992" max="12994" width="10.5" hidden="1" customWidth="1"/>
    <col min="12995" max="12995" width="9.125" hidden="1" customWidth="1"/>
    <col min="12996" max="13000" width="9.5" hidden="1" customWidth="1"/>
    <col min="13001" max="13001" width="8.5" hidden="1" customWidth="1"/>
    <col min="13002" max="13002" width="10.5" hidden="1" customWidth="1"/>
    <col min="13003" max="13004" width="8.5" hidden="1" customWidth="1"/>
    <col min="13005" max="13008" width="10.125" hidden="1" customWidth="1"/>
    <col min="13009" max="13009" width="8.5" hidden="1" customWidth="1"/>
    <col min="13010" max="13010" width="10.125" hidden="1" customWidth="1"/>
    <col min="13011" max="13012" width="8.5" hidden="1" customWidth="1"/>
    <col min="13013" max="13014" width="9.5" hidden="1" customWidth="1"/>
    <col min="13015" max="13015" width="10" hidden="1" customWidth="1"/>
    <col min="13016" max="13016" width="9.5" hidden="1" customWidth="1"/>
    <col min="13017" max="13017" width="8.5" hidden="1" customWidth="1"/>
    <col min="13018" max="13018" width="9.5" hidden="1" customWidth="1"/>
    <col min="13019" max="13020" width="8.5" hidden="1" customWidth="1"/>
    <col min="13021" max="13021" width="9.125" hidden="1" customWidth="1"/>
    <col min="13022" max="13022" width="9.5" hidden="1" customWidth="1"/>
    <col min="13023" max="13023" width="10.5" hidden="1" customWidth="1"/>
    <col min="13024" max="13024" width="9.5" hidden="1" customWidth="1"/>
    <col min="13025" max="13025" width="8.5" hidden="1" customWidth="1"/>
    <col min="13026" max="13026" width="11.125" hidden="1" customWidth="1"/>
    <col min="13027" max="13028" width="8.5" hidden="1" customWidth="1"/>
    <col min="13029" max="13029" width="9.125" hidden="1" customWidth="1"/>
    <col min="13030" max="13032" width="9.5" hidden="1" customWidth="1"/>
    <col min="13033" max="13033" width="8.5" hidden="1" customWidth="1"/>
    <col min="13034" max="13034" width="10.125" hidden="1" customWidth="1"/>
    <col min="13035" max="13036" width="8.5" hidden="1" customWidth="1"/>
    <col min="13037" max="13037" width="30.125" hidden="1" customWidth="1"/>
    <col min="13038" max="13038" width="2.5" hidden="1" customWidth="1"/>
    <col min="13039" max="13039" width="18.5" hidden="1" customWidth="1"/>
    <col min="13040" max="13040" width="1.5" hidden="1" customWidth="1"/>
    <col min="13041" max="13089" width="8.5" hidden="1" customWidth="1"/>
    <col min="13090" max="13238" width="8.5" hidden="1"/>
    <col min="13239" max="13239" width="0.5" hidden="1" customWidth="1"/>
    <col min="13240" max="13240" width="6.5" hidden="1" customWidth="1"/>
    <col min="13241" max="13241" width="50.125" hidden="1" customWidth="1"/>
    <col min="13242" max="13242" width="0.125" hidden="1" customWidth="1"/>
    <col min="13243" max="13244" width="8.5" hidden="1" customWidth="1"/>
    <col min="13245" max="13245" width="10.5" hidden="1" customWidth="1"/>
    <col min="13246" max="13246" width="10" hidden="1" customWidth="1"/>
    <col min="13247" max="13247" width="11.5" hidden="1" customWidth="1"/>
    <col min="13248" max="13250" width="10.5" hidden="1" customWidth="1"/>
    <col min="13251" max="13251" width="9.125" hidden="1" customWidth="1"/>
    <col min="13252" max="13256" width="9.5" hidden="1" customWidth="1"/>
    <col min="13257" max="13257" width="8.5" hidden="1" customWidth="1"/>
    <col min="13258" max="13258" width="10.5" hidden="1" customWidth="1"/>
    <col min="13259" max="13260" width="8.5" hidden="1" customWidth="1"/>
    <col min="13261" max="13264" width="10.125" hidden="1" customWidth="1"/>
    <col min="13265" max="13265" width="8.5" hidden="1" customWidth="1"/>
    <col min="13266" max="13266" width="10.125" hidden="1" customWidth="1"/>
    <col min="13267" max="13268" width="8.5" hidden="1" customWidth="1"/>
    <col min="13269" max="13270" width="9.5" hidden="1" customWidth="1"/>
    <col min="13271" max="13271" width="10" hidden="1" customWidth="1"/>
    <col min="13272" max="13272" width="9.5" hidden="1" customWidth="1"/>
    <col min="13273" max="13273" width="8.5" hidden="1" customWidth="1"/>
    <col min="13274" max="13274" width="9.5" hidden="1" customWidth="1"/>
    <col min="13275" max="13276" width="8.5" hidden="1" customWidth="1"/>
    <col min="13277" max="13277" width="9.125" hidden="1" customWidth="1"/>
    <col min="13278" max="13278" width="9.5" hidden="1" customWidth="1"/>
    <col min="13279" max="13279" width="10.5" hidden="1" customWidth="1"/>
    <col min="13280" max="13280" width="9.5" hidden="1" customWidth="1"/>
    <col min="13281" max="13281" width="8.5" hidden="1" customWidth="1"/>
    <col min="13282" max="13282" width="11.125" hidden="1" customWidth="1"/>
    <col min="13283" max="13284" width="8.5" hidden="1" customWidth="1"/>
    <col min="13285" max="13285" width="9.125" hidden="1" customWidth="1"/>
    <col min="13286" max="13288" width="9.5" hidden="1" customWidth="1"/>
    <col min="13289" max="13289" width="8.5" hidden="1" customWidth="1"/>
    <col min="13290" max="13290" width="10.125" hidden="1" customWidth="1"/>
    <col min="13291" max="13292" width="8.5" hidden="1" customWidth="1"/>
    <col min="13293" max="13293" width="30.125" hidden="1" customWidth="1"/>
    <col min="13294" max="13294" width="2.5" hidden="1" customWidth="1"/>
    <col min="13295" max="13295" width="18.5" hidden="1" customWidth="1"/>
    <col min="13296" max="13296" width="1.5" hidden="1" customWidth="1"/>
    <col min="13297" max="13345" width="8.5" hidden="1" customWidth="1"/>
    <col min="13346" max="13494" width="8.5" hidden="1"/>
    <col min="13495" max="13495" width="0.5" hidden="1" customWidth="1"/>
    <col min="13496" max="13496" width="6.5" hidden="1" customWidth="1"/>
    <col min="13497" max="13497" width="50.125" hidden="1" customWidth="1"/>
    <col min="13498" max="13498" width="0.125" hidden="1" customWidth="1"/>
    <col min="13499" max="13500" width="8.5" hidden="1" customWidth="1"/>
    <col min="13501" max="13501" width="10.5" hidden="1" customWidth="1"/>
    <col min="13502" max="13502" width="10" hidden="1" customWidth="1"/>
    <col min="13503" max="13503" width="11.5" hidden="1" customWidth="1"/>
    <col min="13504" max="13506" width="10.5" hidden="1" customWidth="1"/>
    <col min="13507" max="13507" width="9.125" hidden="1" customWidth="1"/>
    <col min="13508" max="13512" width="9.5" hidden="1" customWidth="1"/>
    <col min="13513" max="13513" width="8.5" hidden="1" customWidth="1"/>
    <col min="13514" max="13514" width="10.5" hidden="1" customWidth="1"/>
    <col min="13515" max="13516" width="8.5" hidden="1" customWidth="1"/>
    <col min="13517" max="13520" width="10.125" hidden="1" customWidth="1"/>
    <col min="13521" max="13521" width="8.5" hidden="1" customWidth="1"/>
    <col min="13522" max="13522" width="10.125" hidden="1" customWidth="1"/>
    <col min="13523" max="13524" width="8.5" hidden="1" customWidth="1"/>
    <col min="13525" max="13526" width="9.5" hidden="1" customWidth="1"/>
    <col min="13527" max="13527" width="10" hidden="1" customWidth="1"/>
    <col min="13528" max="13528" width="9.5" hidden="1" customWidth="1"/>
    <col min="13529" max="13529" width="8.5" hidden="1" customWidth="1"/>
    <col min="13530" max="13530" width="9.5" hidden="1" customWidth="1"/>
    <col min="13531" max="13532" width="8.5" hidden="1" customWidth="1"/>
    <col min="13533" max="13533" width="9.125" hidden="1" customWidth="1"/>
    <col min="13534" max="13534" width="9.5" hidden="1" customWidth="1"/>
    <col min="13535" max="13535" width="10.5" hidden="1" customWidth="1"/>
    <col min="13536" max="13536" width="9.5" hidden="1" customWidth="1"/>
    <col min="13537" max="13537" width="8.5" hidden="1" customWidth="1"/>
    <col min="13538" max="13538" width="11.125" hidden="1" customWidth="1"/>
    <col min="13539" max="13540" width="8.5" hidden="1" customWidth="1"/>
    <col min="13541" max="13541" width="9.125" hidden="1" customWidth="1"/>
    <col min="13542" max="13544" width="9.5" hidden="1" customWidth="1"/>
    <col min="13545" max="13545" width="8.5" hidden="1" customWidth="1"/>
    <col min="13546" max="13546" width="10.125" hidden="1" customWidth="1"/>
    <col min="13547" max="13548" width="8.5" hidden="1" customWidth="1"/>
    <col min="13549" max="13549" width="30.125" hidden="1" customWidth="1"/>
    <col min="13550" max="13550" width="2.5" hidden="1" customWidth="1"/>
    <col min="13551" max="13551" width="18.5" hidden="1" customWidth="1"/>
    <col min="13552" max="13552" width="1.5" hidden="1" customWidth="1"/>
    <col min="13553" max="13601" width="8.5" hidden="1" customWidth="1"/>
    <col min="13602" max="13750" width="8.5" hidden="1"/>
    <col min="13751" max="13751" width="0.5" hidden="1" customWidth="1"/>
    <col min="13752" max="13752" width="6.5" hidden="1" customWidth="1"/>
    <col min="13753" max="13753" width="50.125" hidden="1" customWidth="1"/>
    <col min="13754" max="13754" width="0.125" hidden="1" customWidth="1"/>
    <col min="13755" max="13756" width="8.5" hidden="1" customWidth="1"/>
    <col min="13757" max="13757" width="10.5" hidden="1" customWidth="1"/>
    <col min="13758" max="13758" width="10" hidden="1" customWidth="1"/>
    <col min="13759" max="13759" width="11.5" hidden="1" customWidth="1"/>
    <col min="13760" max="13762" width="10.5" hidden="1" customWidth="1"/>
    <col min="13763" max="13763" width="9.125" hidden="1" customWidth="1"/>
    <col min="13764" max="13768" width="9.5" hidden="1" customWidth="1"/>
    <col min="13769" max="13769" width="8.5" hidden="1" customWidth="1"/>
    <col min="13770" max="13770" width="10.5" hidden="1" customWidth="1"/>
    <col min="13771" max="13772" width="8.5" hidden="1" customWidth="1"/>
    <col min="13773" max="13776" width="10.125" hidden="1" customWidth="1"/>
    <col min="13777" max="13777" width="8.5" hidden="1" customWidth="1"/>
    <col min="13778" max="13778" width="10.125" hidden="1" customWidth="1"/>
    <col min="13779" max="13780" width="8.5" hidden="1" customWidth="1"/>
    <col min="13781" max="13782" width="9.5" hidden="1" customWidth="1"/>
    <col min="13783" max="13783" width="10" hidden="1" customWidth="1"/>
    <col min="13784" max="13784" width="9.5" hidden="1" customWidth="1"/>
    <col min="13785" max="13785" width="8.5" hidden="1" customWidth="1"/>
    <col min="13786" max="13786" width="9.5" hidden="1" customWidth="1"/>
    <col min="13787" max="13788" width="8.5" hidden="1" customWidth="1"/>
    <col min="13789" max="13789" width="9.125" hidden="1" customWidth="1"/>
    <col min="13790" max="13790" width="9.5" hidden="1" customWidth="1"/>
    <col min="13791" max="13791" width="10.5" hidden="1" customWidth="1"/>
    <col min="13792" max="13792" width="9.5" hidden="1" customWidth="1"/>
    <col min="13793" max="13793" width="8.5" hidden="1" customWidth="1"/>
    <col min="13794" max="13794" width="11.125" hidden="1" customWidth="1"/>
    <col min="13795" max="13796" width="8.5" hidden="1" customWidth="1"/>
    <col min="13797" max="13797" width="9.125" hidden="1" customWidth="1"/>
    <col min="13798" max="13800" width="9.5" hidden="1" customWidth="1"/>
    <col min="13801" max="13801" width="8.5" hidden="1" customWidth="1"/>
    <col min="13802" max="13802" width="10.125" hidden="1" customWidth="1"/>
    <col min="13803" max="13804" width="8.5" hidden="1" customWidth="1"/>
    <col min="13805" max="13805" width="30.125" hidden="1" customWidth="1"/>
    <col min="13806" max="13806" width="2.5" hidden="1" customWidth="1"/>
    <col min="13807" max="13807" width="18.5" hidden="1" customWidth="1"/>
    <col min="13808" max="13808" width="1.5" hidden="1" customWidth="1"/>
    <col min="13809" max="13857" width="8.5" hidden="1" customWidth="1"/>
    <col min="13858" max="14006" width="8.5" hidden="1"/>
    <col min="14007" max="14007" width="0.5" hidden="1" customWidth="1"/>
    <col min="14008" max="14008" width="6.5" hidden="1" customWidth="1"/>
    <col min="14009" max="14009" width="50.125" hidden="1" customWidth="1"/>
    <col min="14010" max="14010" width="0.125" hidden="1" customWidth="1"/>
    <col min="14011" max="14012" width="8.5" hidden="1" customWidth="1"/>
    <col min="14013" max="14013" width="10.5" hidden="1" customWidth="1"/>
    <col min="14014" max="14014" width="10" hidden="1" customWidth="1"/>
    <col min="14015" max="14015" width="11.5" hidden="1" customWidth="1"/>
    <col min="14016" max="14018" width="10.5" hidden="1" customWidth="1"/>
    <col min="14019" max="14019" width="9.125" hidden="1" customWidth="1"/>
    <col min="14020" max="14024" width="9.5" hidden="1" customWidth="1"/>
    <col min="14025" max="14025" width="8.5" hidden="1" customWidth="1"/>
    <col min="14026" max="14026" width="10.5" hidden="1" customWidth="1"/>
    <col min="14027" max="14028" width="8.5" hidden="1" customWidth="1"/>
    <col min="14029" max="14032" width="10.125" hidden="1" customWidth="1"/>
    <col min="14033" max="14033" width="8.5" hidden="1" customWidth="1"/>
    <col min="14034" max="14034" width="10.125" hidden="1" customWidth="1"/>
    <col min="14035" max="14036" width="8.5" hidden="1" customWidth="1"/>
    <col min="14037" max="14038" width="9.5" hidden="1" customWidth="1"/>
    <col min="14039" max="14039" width="10" hidden="1" customWidth="1"/>
    <col min="14040" max="14040" width="9.5" hidden="1" customWidth="1"/>
    <col min="14041" max="14041" width="8.5" hidden="1" customWidth="1"/>
    <col min="14042" max="14042" width="9.5" hidden="1" customWidth="1"/>
    <col min="14043" max="14044" width="8.5" hidden="1" customWidth="1"/>
    <col min="14045" max="14045" width="9.125" hidden="1" customWidth="1"/>
    <col min="14046" max="14046" width="9.5" hidden="1" customWidth="1"/>
    <col min="14047" max="14047" width="10.5" hidden="1" customWidth="1"/>
    <col min="14048" max="14048" width="9.5" hidden="1" customWidth="1"/>
    <col min="14049" max="14049" width="8.5" hidden="1" customWidth="1"/>
    <col min="14050" max="14050" width="11.125" hidden="1" customWidth="1"/>
    <col min="14051" max="14052" width="8.5" hidden="1" customWidth="1"/>
    <col min="14053" max="14053" width="9.125" hidden="1" customWidth="1"/>
    <col min="14054" max="14056" width="9.5" hidden="1" customWidth="1"/>
    <col min="14057" max="14057" width="8.5" hidden="1" customWidth="1"/>
    <col min="14058" max="14058" width="10.125" hidden="1" customWidth="1"/>
    <col min="14059" max="14060" width="8.5" hidden="1" customWidth="1"/>
    <col min="14061" max="14061" width="30.125" hidden="1" customWidth="1"/>
    <col min="14062" max="14062" width="2.5" hidden="1" customWidth="1"/>
    <col min="14063" max="14063" width="18.5" hidden="1" customWidth="1"/>
    <col min="14064" max="14064" width="1.5" hidden="1" customWidth="1"/>
    <col min="14065" max="14113" width="8.5" hidden="1" customWidth="1"/>
    <col min="14114" max="14262" width="8.5" hidden="1"/>
    <col min="14263" max="14263" width="0.5" hidden="1" customWidth="1"/>
    <col min="14264" max="14264" width="6.5" hidden="1" customWidth="1"/>
    <col min="14265" max="14265" width="50.125" hidden="1" customWidth="1"/>
    <col min="14266" max="14266" width="0.125" hidden="1" customWidth="1"/>
    <col min="14267" max="14268" width="8.5" hidden="1" customWidth="1"/>
    <col min="14269" max="14269" width="10.5" hidden="1" customWidth="1"/>
    <col min="14270" max="14270" width="10" hidden="1" customWidth="1"/>
    <col min="14271" max="14271" width="11.5" hidden="1" customWidth="1"/>
    <col min="14272" max="14274" width="10.5" hidden="1" customWidth="1"/>
    <col min="14275" max="14275" width="9.125" hidden="1" customWidth="1"/>
    <col min="14276" max="14280" width="9.5" hidden="1" customWidth="1"/>
    <col min="14281" max="14281" width="8.5" hidden="1" customWidth="1"/>
    <col min="14282" max="14282" width="10.5" hidden="1" customWidth="1"/>
    <col min="14283" max="14284" width="8.5" hidden="1" customWidth="1"/>
    <col min="14285" max="14288" width="10.125" hidden="1" customWidth="1"/>
    <col min="14289" max="14289" width="8.5" hidden="1" customWidth="1"/>
    <col min="14290" max="14290" width="10.125" hidden="1" customWidth="1"/>
    <col min="14291" max="14292" width="8.5" hidden="1" customWidth="1"/>
    <col min="14293" max="14294" width="9.5" hidden="1" customWidth="1"/>
    <col min="14295" max="14295" width="10" hidden="1" customWidth="1"/>
    <col min="14296" max="14296" width="9.5" hidden="1" customWidth="1"/>
    <col min="14297" max="14297" width="8.5" hidden="1" customWidth="1"/>
    <col min="14298" max="14298" width="9.5" hidden="1" customWidth="1"/>
    <col min="14299" max="14300" width="8.5" hidden="1" customWidth="1"/>
    <col min="14301" max="14301" width="9.125" hidden="1" customWidth="1"/>
    <col min="14302" max="14302" width="9.5" hidden="1" customWidth="1"/>
    <col min="14303" max="14303" width="10.5" hidden="1" customWidth="1"/>
    <col min="14304" max="14304" width="9.5" hidden="1" customWidth="1"/>
    <col min="14305" max="14305" width="8.5" hidden="1" customWidth="1"/>
    <col min="14306" max="14306" width="11.125" hidden="1" customWidth="1"/>
    <col min="14307" max="14308" width="8.5" hidden="1" customWidth="1"/>
    <col min="14309" max="14309" width="9.125" hidden="1" customWidth="1"/>
    <col min="14310" max="14312" width="9.5" hidden="1" customWidth="1"/>
    <col min="14313" max="14313" width="8.5" hidden="1" customWidth="1"/>
    <col min="14314" max="14314" width="10.125" hidden="1" customWidth="1"/>
    <col min="14315" max="14316" width="8.5" hidden="1" customWidth="1"/>
    <col min="14317" max="14317" width="30.125" hidden="1" customWidth="1"/>
    <col min="14318" max="14318" width="2.5" hidden="1" customWidth="1"/>
    <col min="14319" max="14319" width="18.5" hidden="1" customWidth="1"/>
    <col min="14320" max="14320" width="1.5" hidden="1" customWidth="1"/>
    <col min="14321" max="14369" width="8.5" hidden="1" customWidth="1"/>
    <col min="14370" max="14518" width="8.5" hidden="1"/>
    <col min="14519" max="14519" width="0.5" hidden="1" customWidth="1"/>
    <col min="14520" max="14520" width="6.5" hidden="1" customWidth="1"/>
    <col min="14521" max="14521" width="50.125" hidden="1" customWidth="1"/>
    <col min="14522" max="14522" width="0.125" hidden="1" customWidth="1"/>
    <col min="14523" max="14524" width="8.5" hidden="1" customWidth="1"/>
    <col min="14525" max="14525" width="10.5" hidden="1" customWidth="1"/>
    <col min="14526" max="14526" width="10" hidden="1" customWidth="1"/>
    <col min="14527" max="14527" width="11.5" hidden="1" customWidth="1"/>
    <col min="14528" max="14530" width="10.5" hidden="1" customWidth="1"/>
    <col min="14531" max="14531" width="9.125" hidden="1" customWidth="1"/>
    <col min="14532" max="14536" width="9.5" hidden="1" customWidth="1"/>
    <col min="14537" max="14537" width="8.5" hidden="1" customWidth="1"/>
    <col min="14538" max="14538" width="10.5" hidden="1" customWidth="1"/>
    <col min="14539" max="14540" width="8.5" hidden="1" customWidth="1"/>
    <col min="14541" max="14544" width="10.125" hidden="1" customWidth="1"/>
    <col min="14545" max="14545" width="8.5" hidden="1" customWidth="1"/>
    <col min="14546" max="14546" width="10.125" hidden="1" customWidth="1"/>
    <col min="14547" max="14548" width="8.5" hidden="1" customWidth="1"/>
    <col min="14549" max="14550" width="9.5" hidden="1" customWidth="1"/>
    <col min="14551" max="14551" width="10" hidden="1" customWidth="1"/>
    <col min="14552" max="14552" width="9.5" hidden="1" customWidth="1"/>
    <col min="14553" max="14553" width="8.5" hidden="1" customWidth="1"/>
    <col min="14554" max="14554" width="9.5" hidden="1" customWidth="1"/>
    <col min="14555" max="14556" width="8.5" hidden="1" customWidth="1"/>
    <col min="14557" max="14557" width="9.125" hidden="1" customWidth="1"/>
    <col min="14558" max="14558" width="9.5" hidden="1" customWidth="1"/>
    <col min="14559" max="14559" width="10.5" hidden="1" customWidth="1"/>
    <col min="14560" max="14560" width="9.5" hidden="1" customWidth="1"/>
    <col min="14561" max="14561" width="8.5" hidden="1" customWidth="1"/>
    <col min="14562" max="14562" width="11.125" hidden="1" customWidth="1"/>
    <col min="14563" max="14564" width="8.5" hidden="1" customWidth="1"/>
    <col min="14565" max="14565" width="9.125" hidden="1" customWidth="1"/>
    <col min="14566" max="14568" width="9.5" hidden="1" customWidth="1"/>
    <col min="14569" max="14569" width="8.5" hidden="1" customWidth="1"/>
    <col min="14570" max="14570" width="10.125" hidden="1" customWidth="1"/>
    <col min="14571" max="14572" width="8.5" hidden="1" customWidth="1"/>
    <col min="14573" max="14573" width="30.125" hidden="1" customWidth="1"/>
    <col min="14574" max="14574" width="2.5" hidden="1" customWidth="1"/>
    <col min="14575" max="14575" width="18.5" hidden="1" customWidth="1"/>
    <col min="14576" max="14576" width="1.5" hidden="1" customWidth="1"/>
    <col min="14577" max="14625" width="8.5" hidden="1" customWidth="1"/>
    <col min="14626" max="14774" width="8.5" hidden="1"/>
    <col min="14775" max="14775" width="0.5" hidden="1" customWidth="1"/>
    <col min="14776" max="14776" width="6.5" hidden="1" customWidth="1"/>
    <col min="14777" max="14777" width="50.125" hidden="1" customWidth="1"/>
    <col min="14778" max="14778" width="0.125" hidden="1" customWidth="1"/>
    <col min="14779" max="14780" width="8.5" hidden="1" customWidth="1"/>
    <col min="14781" max="14781" width="10.5" hidden="1" customWidth="1"/>
    <col min="14782" max="14782" width="10" hidden="1" customWidth="1"/>
    <col min="14783" max="14783" width="11.5" hidden="1" customWidth="1"/>
    <col min="14784" max="14786" width="10.5" hidden="1" customWidth="1"/>
    <col min="14787" max="14787" width="9.125" hidden="1" customWidth="1"/>
    <col min="14788" max="14792" width="9.5" hidden="1" customWidth="1"/>
    <col min="14793" max="14793" width="8.5" hidden="1" customWidth="1"/>
    <col min="14794" max="14794" width="10.5" hidden="1" customWidth="1"/>
    <col min="14795" max="14796" width="8.5" hidden="1" customWidth="1"/>
    <col min="14797" max="14800" width="10.125" hidden="1" customWidth="1"/>
    <col min="14801" max="14801" width="8.5" hidden="1" customWidth="1"/>
    <col min="14802" max="14802" width="10.125" hidden="1" customWidth="1"/>
    <col min="14803" max="14804" width="8.5" hidden="1" customWidth="1"/>
    <col min="14805" max="14806" width="9.5" hidden="1" customWidth="1"/>
    <col min="14807" max="14807" width="10" hidden="1" customWidth="1"/>
    <col min="14808" max="14808" width="9.5" hidden="1" customWidth="1"/>
    <col min="14809" max="14809" width="8.5" hidden="1" customWidth="1"/>
    <col min="14810" max="14810" width="9.5" hidden="1" customWidth="1"/>
    <col min="14811" max="14812" width="8.5" hidden="1" customWidth="1"/>
    <col min="14813" max="14813" width="9.125" hidden="1" customWidth="1"/>
    <col min="14814" max="14814" width="9.5" hidden="1" customWidth="1"/>
    <col min="14815" max="14815" width="10.5" hidden="1" customWidth="1"/>
    <col min="14816" max="14816" width="9.5" hidden="1" customWidth="1"/>
    <col min="14817" max="14817" width="8.5" hidden="1" customWidth="1"/>
    <col min="14818" max="14818" width="11.125" hidden="1" customWidth="1"/>
    <col min="14819" max="14820" width="8.5" hidden="1" customWidth="1"/>
    <col min="14821" max="14821" width="9.125" hidden="1" customWidth="1"/>
    <col min="14822" max="14824" width="9.5" hidden="1" customWidth="1"/>
    <col min="14825" max="14825" width="8.5" hidden="1" customWidth="1"/>
    <col min="14826" max="14826" width="10.125" hidden="1" customWidth="1"/>
    <col min="14827" max="14828" width="8.5" hidden="1" customWidth="1"/>
    <col min="14829" max="14829" width="30.125" hidden="1" customWidth="1"/>
    <col min="14830" max="14830" width="2.5" hidden="1" customWidth="1"/>
    <col min="14831" max="14831" width="18.5" hidden="1" customWidth="1"/>
    <col min="14832" max="14832" width="1.5" hidden="1" customWidth="1"/>
    <col min="14833" max="14881" width="8.5" hidden="1" customWidth="1"/>
    <col min="14882" max="15030" width="8.5" hidden="1"/>
    <col min="15031" max="15031" width="0.5" hidden="1" customWidth="1"/>
    <col min="15032" max="15032" width="6.5" hidden="1" customWidth="1"/>
    <col min="15033" max="15033" width="50.125" hidden="1" customWidth="1"/>
    <col min="15034" max="15034" width="0.125" hidden="1" customWidth="1"/>
    <col min="15035" max="15036" width="8.5" hidden="1" customWidth="1"/>
    <col min="15037" max="15037" width="10.5" hidden="1" customWidth="1"/>
    <col min="15038" max="15038" width="10" hidden="1" customWidth="1"/>
    <col min="15039" max="15039" width="11.5" hidden="1" customWidth="1"/>
    <col min="15040" max="15042" width="10.5" hidden="1" customWidth="1"/>
    <col min="15043" max="15043" width="9.125" hidden="1" customWidth="1"/>
    <col min="15044" max="15048" width="9.5" hidden="1" customWidth="1"/>
    <col min="15049" max="15049" width="8.5" hidden="1" customWidth="1"/>
    <col min="15050" max="15050" width="10.5" hidden="1" customWidth="1"/>
    <col min="15051" max="15052" width="8.5" hidden="1" customWidth="1"/>
    <col min="15053" max="15056" width="10.125" hidden="1" customWidth="1"/>
    <col min="15057" max="15057" width="8.5" hidden="1" customWidth="1"/>
    <col min="15058" max="15058" width="10.125" hidden="1" customWidth="1"/>
    <col min="15059" max="15060" width="8.5" hidden="1" customWidth="1"/>
    <col min="15061" max="15062" width="9.5" hidden="1" customWidth="1"/>
    <col min="15063" max="15063" width="10" hidden="1" customWidth="1"/>
    <col min="15064" max="15064" width="9.5" hidden="1" customWidth="1"/>
    <col min="15065" max="15065" width="8.5" hidden="1" customWidth="1"/>
    <col min="15066" max="15066" width="9.5" hidden="1" customWidth="1"/>
    <col min="15067" max="15068" width="8.5" hidden="1" customWidth="1"/>
    <col min="15069" max="15069" width="9.125" hidden="1" customWidth="1"/>
    <col min="15070" max="15070" width="9.5" hidden="1" customWidth="1"/>
    <col min="15071" max="15071" width="10.5" hidden="1" customWidth="1"/>
    <col min="15072" max="15072" width="9.5" hidden="1" customWidth="1"/>
    <col min="15073" max="15073" width="8.5" hidden="1" customWidth="1"/>
    <col min="15074" max="15074" width="11.125" hidden="1" customWidth="1"/>
    <col min="15075" max="15076" width="8.5" hidden="1" customWidth="1"/>
    <col min="15077" max="15077" width="9.125" hidden="1" customWidth="1"/>
    <col min="15078" max="15080" width="9.5" hidden="1" customWidth="1"/>
    <col min="15081" max="15081" width="8.5" hidden="1" customWidth="1"/>
    <col min="15082" max="15082" width="10.125" hidden="1" customWidth="1"/>
    <col min="15083" max="15084" width="8.5" hidden="1" customWidth="1"/>
    <col min="15085" max="15085" width="30.125" hidden="1" customWidth="1"/>
    <col min="15086" max="15086" width="2.5" hidden="1" customWidth="1"/>
    <col min="15087" max="15087" width="18.5" hidden="1" customWidth="1"/>
    <col min="15088" max="15088" width="1.5" hidden="1" customWidth="1"/>
    <col min="15089" max="15137" width="8.5" hidden="1" customWidth="1"/>
    <col min="15138" max="15286" width="8.5" hidden="1"/>
    <col min="15287" max="15287" width="0.5" hidden="1" customWidth="1"/>
    <col min="15288" max="15288" width="6.5" hidden="1" customWidth="1"/>
    <col min="15289" max="15289" width="50.125" hidden="1" customWidth="1"/>
    <col min="15290" max="15290" width="0.125" hidden="1" customWidth="1"/>
    <col min="15291" max="15292" width="8.5" hidden="1" customWidth="1"/>
    <col min="15293" max="15293" width="10.5" hidden="1" customWidth="1"/>
    <col min="15294" max="15294" width="10" hidden="1" customWidth="1"/>
    <col min="15295" max="15295" width="11.5" hidden="1" customWidth="1"/>
    <col min="15296" max="15298" width="10.5" hidden="1" customWidth="1"/>
    <col min="15299" max="15299" width="9.125" hidden="1" customWidth="1"/>
    <col min="15300" max="15304" width="9.5" hidden="1" customWidth="1"/>
    <col min="15305" max="15305" width="8.5" hidden="1" customWidth="1"/>
    <col min="15306" max="15306" width="10.5" hidden="1" customWidth="1"/>
    <col min="15307" max="15308" width="8.5" hidden="1" customWidth="1"/>
    <col min="15309" max="15312" width="10.125" hidden="1" customWidth="1"/>
    <col min="15313" max="15313" width="8.5" hidden="1" customWidth="1"/>
    <col min="15314" max="15314" width="10.125" hidden="1" customWidth="1"/>
    <col min="15315" max="15316" width="8.5" hidden="1" customWidth="1"/>
    <col min="15317" max="15318" width="9.5" hidden="1" customWidth="1"/>
    <col min="15319" max="15319" width="10" hidden="1" customWidth="1"/>
    <col min="15320" max="15320" width="9.5" hidden="1" customWidth="1"/>
    <col min="15321" max="15321" width="8.5" hidden="1" customWidth="1"/>
    <col min="15322" max="15322" width="9.5" hidden="1" customWidth="1"/>
    <col min="15323" max="15324" width="8.5" hidden="1" customWidth="1"/>
    <col min="15325" max="15325" width="9.125" hidden="1" customWidth="1"/>
    <col min="15326" max="15326" width="9.5" hidden="1" customWidth="1"/>
    <col min="15327" max="15327" width="10.5" hidden="1" customWidth="1"/>
    <col min="15328" max="15328" width="9.5" hidden="1" customWidth="1"/>
    <col min="15329" max="15329" width="8.5" hidden="1" customWidth="1"/>
    <col min="15330" max="15330" width="11.125" hidden="1" customWidth="1"/>
    <col min="15331" max="15332" width="8.5" hidden="1" customWidth="1"/>
    <col min="15333" max="15333" width="9.125" hidden="1" customWidth="1"/>
    <col min="15334" max="15336" width="9.5" hidden="1" customWidth="1"/>
    <col min="15337" max="15337" width="8.5" hidden="1" customWidth="1"/>
    <col min="15338" max="15338" width="10.125" hidden="1" customWidth="1"/>
    <col min="15339" max="15340" width="8.5" hidden="1" customWidth="1"/>
    <col min="15341" max="15341" width="30.125" hidden="1" customWidth="1"/>
    <col min="15342" max="15342" width="2.5" hidden="1" customWidth="1"/>
    <col min="15343" max="15343" width="18.5" hidden="1" customWidth="1"/>
    <col min="15344" max="15344" width="1.5" hidden="1" customWidth="1"/>
    <col min="15345" max="15393" width="8.5" hidden="1" customWidth="1"/>
    <col min="15394" max="15542" width="8.5" hidden="1"/>
    <col min="15543" max="15543" width="0.5" hidden="1" customWidth="1"/>
    <col min="15544" max="15544" width="6.5" hidden="1" customWidth="1"/>
    <col min="15545" max="15545" width="50.125" hidden="1" customWidth="1"/>
    <col min="15546" max="15546" width="0.125" hidden="1" customWidth="1"/>
    <col min="15547" max="15548" width="8.5" hidden="1" customWidth="1"/>
    <col min="15549" max="15549" width="10.5" hidden="1" customWidth="1"/>
    <col min="15550" max="15550" width="10" hidden="1" customWidth="1"/>
    <col min="15551" max="15551" width="11.5" hidden="1" customWidth="1"/>
    <col min="15552" max="15554" width="10.5" hidden="1" customWidth="1"/>
    <col min="15555" max="15555" width="9.125" hidden="1" customWidth="1"/>
    <col min="15556" max="15560" width="9.5" hidden="1" customWidth="1"/>
    <col min="15561" max="15561" width="8.5" hidden="1" customWidth="1"/>
    <col min="15562" max="15562" width="10.5" hidden="1" customWidth="1"/>
    <col min="15563" max="15564" width="8.5" hidden="1" customWidth="1"/>
    <col min="15565" max="15568" width="10.125" hidden="1" customWidth="1"/>
    <col min="15569" max="15569" width="8.5" hidden="1" customWidth="1"/>
    <col min="15570" max="15570" width="10.125" hidden="1" customWidth="1"/>
    <col min="15571" max="15572" width="8.5" hidden="1" customWidth="1"/>
    <col min="15573" max="15574" width="9.5" hidden="1" customWidth="1"/>
    <col min="15575" max="15575" width="10" hidden="1" customWidth="1"/>
    <col min="15576" max="15576" width="9.5" hidden="1" customWidth="1"/>
    <col min="15577" max="15577" width="8.5" hidden="1" customWidth="1"/>
    <col min="15578" max="15578" width="9.5" hidden="1" customWidth="1"/>
    <col min="15579" max="15580" width="8.5" hidden="1" customWidth="1"/>
    <col min="15581" max="15581" width="9.125" hidden="1" customWidth="1"/>
    <col min="15582" max="15582" width="9.5" hidden="1" customWidth="1"/>
    <col min="15583" max="15583" width="10.5" hidden="1" customWidth="1"/>
    <col min="15584" max="15584" width="9.5" hidden="1" customWidth="1"/>
    <col min="15585" max="15585" width="8.5" hidden="1" customWidth="1"/>
    <col min="15586" max="15586" width="11.125" hidden="1" customWidth="1"/>
    <col min="15587" max="15588" width="8.5" hidden="1" customWidth="1"/>
    <col min="15589" max="15589" width="9.125" hidden="1" customWidth="1"/>
    <col min="15590" max="15592" width="9.5" hidden="1" customWidth="1"/>
    <col min="15593" max="15593" width="8.5" hidden="1" customWidth="1"/>
    <col min="15594" max="15594" width="10.125" hidden="1" customWidth="1"/>
    <col min="15595" max="15596" width="8.5" hidden="1" customWidth="1"/>
    <col min="15597" max="15597" width="30.125" hidden="1" customWidth="1"/>
    <col min="15598" max="15598" width="2.5" hidden="1" customWidth="1"/>
    <col min="15599" max="15599" width="18.5" hidden="1" customWidth="1"/>
    <col min="15600" max="15600" width="1.5" hidden="1" customWidth="1"/>
    <col min="15601" max="15649" width="8.5" hidden="1" customWidth="1"/>
    <col min="15650" max="15798" width="8.5" hidden="1"/>
    <col min="15799" max="15799" width="0.5" hidden="1" customWidth="1"/>
    <col min="15800" max="15800" width="6.5" hidden="1" customWidth="1"/>
    <col min="15801" max="15801" width="50.125" hidden="1" customWidth="1"/>
    <col min="15802" max="15802" width="0.125" hidden="1" customWidth="1"/>
    <col min="15803" max="15804" width="8.5" hidden="1" customWidth="1"/>
    <col min="15805" max="15805" width="10.5" hidden="1" customWidth="1"/>
    <col min="15806" max="15806" width="10" hidden="1" customWidth="1"/>
    <col min="15807" max="15807" width="11.5" hidden="1" customWidth="1"/>
    <col min="15808" max="15810" width="10.5" hidden="1" customWidth="1"/>
    <col min="15811" max="15811" width="9.125" hidden="1" customWidth="1"/>
    <col min="15812" max="15816" width="9.5" hidden="1" customWidth="1"/>
    <col min="15817" max="15817" width="8.5" hidden="1" customWidth="1"/>
    <col min="15818" max="15818" width="10.5" hidden="1" customWidth="1"/>
    <col min="15819" max="15820" width="8.5" hidden="1" customWidth="1"/>
    <col min="15821" max="15824" width="10.125" hidden="1" customWidth="1"/>
    <col min="15825" max="15825" width="8.5" hidden="1" customWidth="1"/>
    <col min="15826" max="15826" width="10.125" hidden="1" customWidth="1"/>
    <col min="15827" max="15828" width="8.5" hidden="1" customWidth="1"/>
    <col min="15829" max="15830" width="9.5" hidden="1" customWidth="1"/>
    <col min="15831" max="15831" width="10" hidden="1" customWidth="1"/>
    <col min="15832" max="15832" width="9.5" hidden="1" customWidth="1"/>
    <col min="15833" max="15833" width="8.5" hidden="1" customWidth="1"/>
    <col min="15834" max="15834" width="9.5" hidden="1" customWidth="1"/>
    <col min="15835" max="15836" width="8.5" hidden="1" customWidth="1"/>
    <col min="15837" max="15837" width="9.125" hidden="1" customWidth="1"/>
    <col min="15838" max="15838" width="9.5" hidden="1" customWidth="1"/>
    <col min="15839" max="15839" width="10.5" hidden="1" customWidth="1"/>
    <col min="15840" max="15840" width="9.5" hidden="1" customWidth="1"/>
    <col min="15841" max="15841" width="8.5" hidden="1" customWidth="1"/>
    <col min="15842" max="15842" width="11.125" hidden="1" customWidth="1"/>
    <col min="15843" max="15844" width="8.5" hidden="1" customWidth="1"/>
    <col min="15845" max="15845" width="9.125" hidden="1" customWidth="1"/>
    <col min="15846" max="15848" width="9.5" hidden="1" customWidth="1"/>
    <col min="15849" max="15849" width="8.5" hidden="1" customWidth="1"/>
    <col min="15850" max="15850" width="10.125" hidden="1" customWidth="1"/>
    <col min="15851" max="15852" width="8.5" hidden="1" customWidth="1"/>
    <col min="15853" max="15853" width="30.125" hidden="1" customWidth="1"/>
    <col min="15854" max="15854" width="2.5" hidden="1" customWidth="1"/>
    <col min="15855" max="15855" width="18.5" hidden="1" customWidth="1"/>
    <col min="15856" max="15856" width="1.5" hidden="1" customWidth="1"/>
    <col min="15857" max="15905" width="8.5" hidden="1" customWidth="1"/>
    <col min="15906" max="16054" width="8.5" hidden="1"/>
    <col min="16055" max="16055" width="0.5" hidden="1" customWidth="1"/>
    <col min="16056" max="16056" width="6.5" hidden="1" customWidth="1"/>
    <col min="16057" max="16057" width="50.125" hidden="1" customWidth="1"/>
    <col min="16058" max="16058" width="0.125" hidden="1" customWidth="1"/>
    <col min="16059" max="16060" width="8.5" hidden="1" customWidth="1"/>
    <col min="16061" max="16061" width="10.5" hidden="1" customWidth="1"/>
    <col min="16062" max="16062" width="10" hidden="1" customWidth="1"/>
    <col min="16063" max="16063" width="11.5" hidden="1" customWidth="1"/>
    <col min="16064" max="16066" width="10.5" hidden="1" customWidth="1"/>
    <col min="16067" max="16067" width="9.125" hidden="1" customWidth="1"/>
    <col min="16068" max="16072" width="9.5" hidden="1" customWidth="1"/>
    <col min="16073" max="16073" width="8.5" hidden="1" customWidth="1"/>
    <col min="16074" max="16074" width="10.5" hidden="1" customWidth="1"/>
    <col min="16075" max="16076" width="8.5" hidden="1" customWidth="1"/>
    <col min="16077" max="16080" width="10.125" hidden="1" customWidth="1"/>
    <col min="16081" max="16081" width="8.5" hidden="1" customWidth="1"/>
    <col min="16082" max="16082" width="10.125" hidden="1" customWidth="1"/>
    <col min="16083" max="16084" width="8.5" hidden="1" customWidth="1"/>
    <col min="16085" max="16086" width="9.5" hidden="1" customWidth="1"/>
    <col min="16087" max="16087" width="10" hidden="1" customWidth="1"/>
    <col min="16088" max="16088" width="9.5" hidden="1" customWidth="1"/>
    <col min="16089" max="16089" width="8.5" hidden="1" customWidth="1"/>
    <col min="16090" max="16090" width="9.5" hidden="1" customWidth="1"/>
    <col min="16091" max="16092" width="8.5" hidden="1" customWidth="1"/>
    <col min="16093" max="16093" width="9.125" hidden="1" customWidth="1"/>
    <col min="16094" max="16094" width="9.5" hidden="1" customWidth="1"/>
    <col min="16095" max="16095" width="10.5" hidden="1" customWidth="1"/>
    <col min="16096" max="16096" width="9.5" hidden="1" customWidth="1"/>
    <col min="16097" max="16097" width="8.5" hidden="1" customWidth="1"/>
    <col min="16098" max="16098" width="11.125" hidden="1" customWidth="1"/>
    <col min="16099" max="16100" width="8.5" hidden="1" customWidth="1"/>
    <col min="16101" max="16101" width="9.125" hidden="1" customWidth="1"/>
    <col min="16102" max="16104" width="9.5" hidden="1" customWidth="1"/>
    <col min="16105" max="16105" width="8.5" hidden="1" customWidth="1"/>
    <col min="16106" max="16106" width="10.125" hidden="1" customWidth="1"/>
    <col min="16107" max="16108" width="8.5" hidden="1" customWidth="1"/>
    <col min="16109" max="16109" width="30.125" hidden="1" customWidth="1"/>
    <col min="16110" max="16110" width="2.5" hidden="1" customWidth="1"/>
    <col min="16111" max="16111" width="18.5" hidden="1" customWidth="1"/>
    <col min="16112" max="16112" width="1.5" hidden="1" customWidth="1"/>
    <col min="16113" max="16161" width="0" hidden="1" customWidth="1"/>
    <col min="16190" max="16384" width="8.5" hidden="1"/>
  </cols>
  <sheetData>
    <row r="1" spans="1:48" ht="20.25">
      <c r="A1" s="2004"/>
      <c r="B1" s="67" t="s">
        <v>8568</v>
      </c>
      <c r="C1" s="66"/>
      <c r="D1" s="66"/>
      <c r="E1" s="66"/>
      <c r="F1" s="66"/>
      <c r="G1" s="66"/>
      <c r="H1" s="66"/>
      <c r="I1" s="66"/>
      <c r="J1" s="66"/>
      <c r="K1" s="66"/>
      <c r="L1" s="66"/>
      <c r="M1" s="66"/>
      <c r="N1" s="66"/>
      <c r="O1" s="66" t="str">
        <f>Validation!B3</f>
        <v>Yorkshire Water</v>
      </c>
      <c r="P1" s="66"/>
      <c r="Q1" s="67" t="s">
        <v>34</v>
      </c>
      <c r="R1" s="2004"/>
      <c r="T1" s="2004"/>
      <c r="U1" s="2004"/>
      <c r="V1" s="2004"/>
      <c r="W1" s="2004"/>
      <c r="X1" s="2004"/>
      <c r="Z1" s="2004"/>
      <c r="AB1" s="2004"/>
      <c r="AD1" s="2004"/>
      <c r="AE1" s="2004"/>
      <c r="AF1" s="2004"/>
      <c r="AH1" s="2004"/>
      <c r="AI1" s="67" t="s">
        <v>8568</v>
      </c>
      <c r="AJ1" s="66"/>
      <c r="AK1" s="66"/>
      <c r="AL1" s="66"/>
      <c r="AM1" s="66"/>
      <c r="AN1" s="66"/>
      <c r="AO1" s="66"/>
      <c r="AP1" s="66"/>
      <c r="AQ1" s="66"/>
      <c r="AR1" s="66"/>
      <c r="AS1" s="66"/>
      <c r="AT1" s="66"/>
      <c r="AU1" s="66"/>
      <c r="AV1" s="2004"/>
    </row>
    <row r="2" spans="1:48" ht="15" thickBot="1">
      <c r="A2" s="2004"/>
      <c r="B2" s="73" t="str">
        <f>'4U'!B2</f>
        <v>For the 12 months ended 31 March 2020</v>
      </c>
      <c r="C2" s="2004"/>
      <c r="D2" s="2004"/>
      <c r="E2" s="2004"/>
      <c r="F2" s="2004"/>
      <c r="G2" s="2004"/>
      <c r="H2" s="2004"/>
      <c r="I2" s="2004"/>
      <c r="J2" s="2004"/>
      <c r="K2" s="2004"/>
      <c r="L2" s="2004"/>
      <c r="N2" s="2004"/>
      <c r="O2" s="2004"/>
      <c r="P2" s="2004"/>
      <c r="Q2" s="2004"/>
      <c r="R2" s="2004"/>
      <c r="T2" s="2004"/>
      <c r="U2" s="2004"/>
      <c r="V2" s="2004"/>
      <c r="W2" s="2004"/>
      <c r="X2" s="2004"/>
      <c r="Z2" s="2004"/>
      <c r="AB2" s="2004"/>
      <c r="AD2" s="2004"/>
      <c r="AE2" s="2004"/>
      <c r="AF2" s="2004"/>
      <c r="AH2" s="2004"/>
      <c r="AI2" s="73" t="str">
        <f>+B2</f>
        <v>For the 12 months ended 31 March 2020</v>
      </c>
      <c r="AJ2" s="2004"/>
      <c r="AK2" s="2004"/>
      <c r="AL2" s="2004"/>
      <c r="AM2" s="2004"/>
      <c r="AN2" s="2004"/>
      <c r="AO2" s="2004"/>
      <c r="AP2" s="2004"/>
      <c r="AQ2" s="2004"/>
      <c r="AR2" s="2004"/>
      <c r="AS2" s="2004"/>
      <c r="AU2" s="2004"/>
      <c r="AV2" s="2004"/>
    </row>
    <row r="3" spans="1:48" ht="70.5" customHeight="1" thickBot="1">
      <c r="A3" s="1322"/>
      <c r="B3" s="1050" t="s">
        <v>193</v>
      </c>
      <c r="C3" s="997" t="s">
        <v>4916</v>
      </c>
      <c r="D3" s="998" t="s">
        <v>3098</v>
      </c>
      <c r="E3" s="998" t="s">
        <v>2310</v>
      </c>
      <c r="F3" s="1321" t="s">
        <v>39</v>
      </c>
      <c r="G3" s="186" t="s">
        <v>8569</v>
      </c>
      <c r="H3" s="361" t="s">
        <v>8570</v>
      </c>
      <c r="I3" s="1487" t="s">
        <v>8571</v>
      </c>
      <c r="J3" s="361" t="s">
        <v>8572</v>
      </c>
      <c r="K3" s="361" t="s">
        <v>8573</v>
      </c>
      <c r="L3" s="361" t="s">
        <v>8574</v>
      </c>
      <c r="M3" s="361" t="s">
        <v>31</v>
      </c>
      <c r="N3" s="187" t="s">
        <v>710</v>
      </c>
      <c r="O3" s="2990" t="s">
        <v>4567</v>
      </c>
      <c r="P3" s="70"/>
      <c r="Q3" s="2990" t="s">
        <v>43</v>
      </c>
      <c r="R3" s="1322"/>
      <c r="T3" s="76" t="s">
        <v>47</v>
      </c>
      <c r="U3" s="1710"/>
      <c r="V3" s="1710"/>
      <c r="W3" s="1710"/>
      <c r="X3" s="678"/>
      <c r="Y3" s="678"/>
      <c r="Z3" s="678"/>
      <c r="AB3" s="2987" t="s">
        <v>26</v>
      </c>
      <c r="AC3" s="71"/>
      <c r="AD3" s="76" t="s">
        <v>904</v>
      </c>
      <c r="AE3" s="2987"/>
      <c r="AF3" s="2987"/>
      <c r="AG3" s="71"/>
      <c r="AH3" s="2004"/>
      <c r="AI3" s="3034" t="s">
        <v>193</v>
      </c>
      <c r="AJ3" s="996" t="s">
        <v>4916</v>
      </c>
      <c r="AK3" s="998" t="s">
        <v>3098</v>
      </c>
      <c r="AL3" s="998" t="s">
        <v>2310</v>
      </c>
      <c r="AM3" s="1321" t="s">
        <v>39</v>
      </c>
      <c r="AN3" s="186" t="s">
        <v>8569</v>
      </c>
      <c r="AO3" s="361" t="s">
        <v>8570</v>
      </c>
      <c r="AP3" s="1487" t="s">
        <v>8571</v>
      </c>
      <c r="AQ3" s="361" t="s">
        <v>8572</v>
      </c>
      <c r="AR3" s="361" t="s">
        <v>8573</v>
      </c>
      <c r="AS3" s="361" t="s">
        <v>8574</v>
      </c>
      <c r="AT3" s="361" t="s">
        <v>31</v>
      </c>
      <c r="AU3" s="187" t="s">
        <v>710</v>
      </c>
      <c r="AV3" s="2004"/>
    </row>
    <row r="4" spans="1:48" ht="15" thickBot="1">
      <c r="A4" s="1322"/>
      <c r="B4" s="1323"/>
      <c r="C4" s="1322"/>
      <c r="D4" s="1322"/>
      <c r="E4" s="1322"/>
      <c r="F4" s="1322"/>
      <c r="G4" s="1322"/>
      <c r="H4" s="1322"/>
      <c r="I4" s="1322"/>
      <c r="J4" s="1322"/>
      <c r="K4" s="1322"/>
      <c r="L4" s="643"/>
      <c r="M4" s="643"/>
      <c r="N4" s="1322"/>
      <c r="O4" s="1324"/>
      <c r="P4" s="600"/>
      <c r="Q4" s="2004"/>
      <c r="R4" s="1322"/>
      <c r="S4" s="1666"/>
      <c r="T4" s="164" t="s">
        <v>48</v>
      </c>
      <c r="U4" s="1322"/>
      <c r="V4" s="1322"/>
      <c r="W4" s="1322"/>
      <c r="X4" s="2004"/>
      <c r="Z4" s="2004"/>
      <c r="AB4" s="2004"/>
      <c r="AD4" s="2004"/>
      <c r="AE4" s="2004"/>
      <c r="AF4" s="2004"/>
      <c r="AH4" s="2004"/>
      <c r="AI4" s="1323"/>
      <c r="AJ4" s="1322"/>
      <c r="AK4" s="1322"/>
      <c r="AL4" s="1322"/>
      <c r="AM4" s="1322"/>
      <c r="AN4" s="2442" t="s">
        <v>2697</v>
      </c>
      <c r="AO4" s="2442" t="s">
        <v>8575</v>
      </c>
      <c r="AP4" s="2442" t="s">
        <v>8576</v>
      </c>
      <c r="AQ4" s="2442" t="s">
        <v>2512</v>
      </c>
      <c r="AR4" s="2442" t="s">
        <v>2489</v>
      </c>
      <c r="AS4" s="2443" t="s">
        <v>8577</v>
      </c>
      <c r="AT4" s="2443" t="s">
        <v>8578</v>
      </c>
      <c r="AU4" s="2442" t="s">
        <v>8579</v>
      </c>
      <c r="AV4" s="2004"/>
    </row>
    <row r="5" spans="1:48" ht="15" thickBot="1">
      <c r="A5" s="1322"/>
      <c r="B5" s="3664" t="s">
        <v>907</v>
      </c>
      <c r="C5" s="3665"/>
      <c r="D5" s="1322"/>
      <c r="E5" s="1322"/>
      <c r="F5" s="1322"/>
      <c r="G5" s="1322"/>
      <c r="H5" s="1322"/>
      <c r="I5" s="1322"/>
      <c r="J5" s="1322"/>
      <c r="K5" s="1322"/>
      <c r="L5" s="643"/>
      <c r="M5" s="643"/>
      <c r="N5" s="1322"/>
      <c r="O5" s="1324"/>
      <c r="P5" s="600"/>
      <c r="Q5" s="2004"/>
      <c r="R5" s="1322"/>
      <c r="S5" s="1666"/>
      <c r="T5" s="1322"/>
      <c r="U5" s="1322"/>
      <c r="V5" s="1322"/>
      <c r="W5" s="1322"/>
      <c r="X5" s="2004"/>
      <c r="Z5" s="2004"/>
      <c r="AB5" s="2004"/>
      <c r="AD5" s="2004"/>
      <c r="AE5" s="2004"/>
      <c r="AF5" s="2004"/>
      <c r="AH5" s="2004"/>
      <c r="AI5" s="3443" t="s">
        <v>907</v>
      </c>
      <c r="AJ5" s="3663"/>
      <c r="AK5" s="1322"/>
      <c r="AL5" s="1322"/>
      <c r="AM5" s="1322"/>
      <c r="AN5" s="1322"/>
      <c r="AO5" s="1322"/>
      <c r="AP5" s="1322"/>
      <c r="AQ5" s="1322"/>
      <c r="AR5" s="1322"/>
      <c r="AS5" s="643"/>
      <c r="AT5" s="643"/>
      <c r="AU5" s="1322"/>
      <c r="AV5" s="2004"/>
    </row>
    <row r="6" spans="1:48" ht="15.75" thickBot="1">
      <c r="A6" s="2004"/>
      <c r="B6" s="1704" t="s">
        <v>155</v>
      </c>
      <c r="C6" s="1705" t="s">
        <v>8580</v>
      </c>
      <c r="D6" s="2004"/>
      <c r="E6" s="2004"/>
      <c r="F6" s="2004"/>
      <c r="G6" s="2004"/>
      <c r="H6" s="2004"/>
      <c r="I6" s="2004"/>
      <c r="J6" s="2004"/>
      <c r="K6" s="2004"/>
      <c r="L6" s="2004"/>
      <c r="N6" s="2004"/>
      <c r="O6" s="2004"/>
      <c r="P6" s="2004"/>
      <c r="Q6" s="2004"/>
      <c r="R6" s="2004"/>
      <c r="T6" s="2004"/>
      <c r="U6" s="2004"/>
      <c r="V6" s="2004"/>
      <c r="W6" s="2004"/>
      <c r="X6" s="2004"/>
      <c r="Z6" s="2004"/>
      <c r="AB6" s="2004"/>
      <c r="AD6" s="2004"/>
      <c r="AE6" s="2004"/>
      <c r="AF6" s="2004"/>
      <c r="AH6" s="2004"/>
      <c r="AI6" s="3034" t="s">
        <v>155</v>
      </c>
      <c r="AJ6" s="1060" t="s">
        <v>8580</v>
      </c>
      <c r="AK6" s="2004"/>
      <c r="AL6" s="2004"/>
      <c r="AM6" s="2004"/>
      <c r="AN6" s="2004"/>
      <c r="AO6" s="2004"/>
      <c r="AP6" s="2004"/>
      <c r="AQ6" s="2004"/>
      <c r="AR6" s="2004"/>
      <c r="AS6" s="2004"/>
      <c r="AU6" s="2004"/>
      <c r="AV6" s="2004"/>
    </row>
    <row r="7" spans="1:48" ht="15">
      <c r="A7" s="2004"/>
      <c r="B7" s="1711" t="s">
        <v>8581</v>
      </c>
      <c r="C7" s="1714" t="s">
        <v>1042</v>
      </c>
      <c r="D7" s="2332" t="s">
        <v>8582</v>
      </c>
      <c r="E7" s="1719" t="s">
        <v>51</v>
      </c>
      <c r="F7" s="1720">
        <v>3</v>
      </c>
      <c r="G7" s="1330">
        <v>0.13900000000000001</v>
      </c>
      <c r="H7" s="1331">
        <v>2.1000000000000001E-2</v>
      </c>
      <c r="I7" s="1331">
        <v>0.71699999999999997</v>
      </c>
      <c r="J7" s="1331">
        <v>1.343</v>
      </c>
      <c r="K7" s="1332">
        <v>0</v>
      </c>
      <c r="L7" s="1332">
        <v>0</v>
      </c>
      <c r="M7" s="1332">
        <v>0</v>
      </c>
      <c r="N7" s="2280">
        <f>SUM(G7:M7)</f>
        <v>2.2199999999999998</v>
      </c>
      <c r="O7" s="1785"/>
      <c r="P7" s="2004"/>
      <c r="Q7" s="24">
        <f xml:space="preserve"> IF( SUM( S7:AA7 ) = 0, 0, $T$4 )</f>
        <v>0</v>
      </c>
      <c r="R7" s="1190"/>
      <c r="S7" s="71"/>
      <c r="T7" s="93">
        <f t="shared" ref="T7:X8" si="0" xml:space="preserve"> IF( ISNUMBER( G7 ), 0, 1 )</f>
        <v>0</v>
      </c>
      <c r="U7" s="93">
        <f t="shared" si="0"/>
        <v>0</v>
      </c>
      <c r="V7" s="93">
        <f t="shared" si="0"/>
        <v>0</v>
      </c>
      <c r="W7" s="93">
        <f t="shared" si="0"/>
        <v>0</v>
      </c>
      <c r="X7" s="93">
        <f t="shared" si="0"/>
        <v>0</v>
      </c>
      <c r="Y7" s="93">
        <f t="shared" ref="Y7:Y10" si="1" xml:space="preserve"> IF( ISNUMBER( L7 ), 0, 1 )</f>
        <v>0</v>
      </c>
      <c r="Z7" s="93">
        <f t="shared" ref="Z7:Z10" si="2" xml:space="preserve"> IF( ISNUMBER( M7 ), 0, 1 )</f>
        <v>0</v>
      </c>
      <c r="AA7" s="71"/>
      <c r="AB7" s="2004"/>
      <c r="AD7" s="2004"/>
      <c r="AE7" s="2004"/>
      <c r="AF7" s="2004"/>
      <c r="AH7" s="2004"/>
      <c r="AI7" s="1325" t="s">
        <v>8581</v>
      </c>
      <c r="AJ7" s="1326" t="s">
        <v>1042</v>
      </c>
      <c r="AK7" s="2338" t="s">
        <v>8582</v>
      </c>
      <c r="AL7" s="1328" t="s">
        <v>51</v>
      </c>
      <c r="AM7" s="1329">
        <v>3</v>
      </c>
      <c r="AN7" s="1330" t="str">
        <f>$D7&amp;AN$4</f>
        <v>BM102IR</v>
      </c>
      <c r="AO7" s="1331" t="str">
        <f t="shared" ref="AO7:AU20" si="3">$D7&amp;AO$4</f>
        <v>BM102PS</v>
      </c>
      <c r="AP7" s="1331" t="str">
        <f t="shared" si="3"/>
        <v>BM102RS</v>
      </c>
      <c r="AQ7" s="1331" t="str">
        <f t="shared" si="3"/>
        <v>BM102BO</v>
      </c>
      <c r="AR7" s="1332" t="str">
        <f t="shared" si="3"/>
        <v>BM102AR</v>
      </c>
      <c r="AS7" s="1332" t="str">
        <f t="shared" si="3"/>
        <v>BM102ASR</v>
      </c>
      <c r="AT7" s="1332" t="str">
        <f t="shared" si="3"/>
        <v>BM102WROT</v>
      </c>
      <c r="AU7" s="1333" t="str">
        <f t="shared" si="3"/>
        <v>BM102WRTOT</v>
      </c>
      <c r="AV7" s="2004"/>
    </row>
    <row r="8" spans="1:48" ht="15">
      <c r="A8" s="2004"/>
      <c r="B8" s="1712" t="s">
        <v>8583</v>
      </c>
      <c r="C8" s="1715" t="s">
        <v>8584</v>
      </c>
      <c r="D8" s="2333" t="s">
        <v>8585</v>
      </c>
      <c r="E8" s="1721" t="s">
        <v>51</v>
      </c>
      <c r="F8" s="1722">
        <v>3</v>
      </c>
      <c r="G8" s="1339">
        <v>0</v>
      </c>
      <c r="H8" s="1340">
        <v>0</v>
      </c>
      <c r="I8" s="1340">
        <v>0</v>
      </c>
      <c r="J8" s="1340">
        <v>0</v>
      </c>
      <c r="K8" s="1341">
        <v>0</v>
      </c>
      <c r="L8" s="1341">
        <v>0</v>
      </c>
      <c r="M8" s="1341">
        <v>0</v>
      </c>
      <c r="N8" s="2282">
        <f t="shared" ref="N8:N16" si="4">SUM(G8:M8)</f>
        <v>0</v>
      </c>
      <c r="O8" s="1786"/>
      <c r="P8" s="2004"/>
      <c r="Q8" s="24">
        <f xml:space="preserve"> IF( SUM( S8:AA8 ) = 0, 0, $T$4 )</f>
        <v>0</v>
      </c>
      <c r="R8" s="1190"/>
      <c r="S8" s="71"/>
      <c r="T8" s="93">
        <f t="shared" si="0"/>
        <v>0</v>
      </c>
      <c r="U8" s="93">
        <f t="shared" si="0"/>
        <v>0</v>
      </c>
      <c r="V8" s="93">
        <f t="shared" si="0"/>
        <v>0</v>
      </c>
      <c r="W8" s="93">
        <f t="shared" si="0"/>
        <v>0</v>
      </c>
      <c r="X8" s="93">
        <f t="shared" si="0"/>
        <v>0</v>
      </c>
      <c r="Y8" s="93">
        <f t="shared" si="1"/>
        <v>0</v>
      </c>
      <c r="Z8" s="93">
        <f t="shared" si="2"/>
        <v>0</v>
      </c>
      <c r="AA8" s="71"/>
      <c r="AB8" s="2004"/>
      <c r="AD8" s="2004"/>
      <c r="AE8" s="2004"/>
      <c r="AF8" s="2004"/>
      <c r="AH8" s="2004"/>
      <c r="AI8" s="1334" t="s">
        <v>8583</v>
      </c>
      <c r="AJ8" s="1335" t="s">
        <v>8584</v>
      </c>
      <c r="AK8" s="2339" t="s">
        <v>8585</v>
      </c>
      <c r="AL8" s="1337" t="s">
        <v>51</v>
      </c>
      <c r="AM8" s="1338">
        <v>3</v>
      </c>
      <c r="AN8" s="1339" t="str">
        <f t="shared" ref="AN8:AN20" si="5">$D8&amp;AN$4</f>
        <v>BM836IR</v>
      </c>
      <c r="AO8" s="1340" t="str">
        <f t="shared" si="3"/>
        <v>BM836PS</v>
      </c>
      <c r="AP8" s="1340" t="str">
        <f t="shared" si="3"/>
        <v>BM836RS</v>
      </c>
      <c r="AQ8" s="1340" t="str">
        <f t="shared" si="3"/>
        <v>BM836BO</v>
      </c>
      <c r="AR8" s="1341" t="str">
        <f t="shared" si="3"/>
        <v>BM836AR</v>
      </c>
      <c r="AS8" s="1341" t="str">
        <f t="shared" si="3"/>
        <v>BM836ASR</v>
      </c>
      <c r="AT8" s="1341" t="str">
        <f t="shared" si="3"/>
        <v>BM836WROT</v>
      </c>
      <c r="AU8" s="1342" t="str">
        <f t="shared" si="3"/>
        <v>BM836WRTOT</v>
      </c>
      <c r="AV8" s="2004"/>
    </row>
    <row r="9" spans="1:48" s="2004" customFormat="1" ht="15">
      <c r="B9" s="1712" t="s">
        <v>8586</v>
      </c>
      <c r="C9" s="1716" t="s">
        <v>1058</v>
      </c>
      <c r="D9" s="2431" t="s">
        <v>8587</v>
      </c>
      <c r="E9" s="1723" t="s">
        <v>51</v>
      </c>
      <c r="F9" s="1722">
        <v>3</v>
      </c>
      <c r="G9" s="1339">
        <v>5.9210000000000003</v>
      </c>
      <c r="H9" s="1340">
        <v>0.27200000000000002</v>
      </c>
      <c r="I9" s="1340">
        <v>0.28799999999999998</v>
      </c>
      <c r="J9" s="1340">
        <v>2.4580000000000002</v>
      </c>
      <c r="K9" s="1341">
        <v>0</v>
      </c>
      <c r="L9" s="1341">
        <v>0</v>
      </c>
      <c r="M9" s="1341">
        <v>0</v>
      </c>
      <c r="N9" s="2281">
        <f t="shared" si="4"/>
        <v>8.9390000000000001</v>
      </c>
      <c r="O9" s="1786"/>
      <c r="Q9" s="24">
        <f t="shared" ref="Q9:Q10" si="6" xml:space="preserve"> IF( SUM( S9:AA9 ) = 0, 0, $T$4 )</f>
        <v>0</v>
      </c>
      <c r="R9" s="1190"/>
      <c r="S9" s="71"/>
      <c r="T9" s="93">
        <f t="shared" ref="T9:T10" si="7" xml:space="preserve"> IF( ISNUMBER( G9 ), 0, 1 )</f>
        <v>0</v>
      </c>
      <c r="U9" s="93">
        <f t="shared" ref="U9:U10" si="8" xml:space="preserve"> IF( ISNUMBER( H9 ), 0, 1 )</f>
        <v>0</v>
      </c>
      <c r="V9" s="93">
        <f t="shared" ref="V9:V10" si="9" xml:space="preserve"> IF( ISNUMBER( I9 ), 0, 1 )</f>
        <v>0</v>
      </c>
      <c r="W9" s="93">
        <f t="shared" ref="W9:W10" si="10" xml:space="preserve"> IF( ISNUMBER( J9 ), 0, 1 )</f>
        <v>0</v>
      </c>
      <c r="X9" s="93">
        <f t="shared" ref="X9:X10" si="11" xml:space="preserve"> IF( ISNUMBER( K9 ), 0, 1 )</f>
        <v>0</v>
      </c>
      <c r="Y9" s="93">
        <f t="shared" si="1"/>
        <v>0</v>
      </c>
      <c r="Z9" s="93">
        <f t="shared" si="2"/>
        <v>0</v>
      </c>
      <c r="AA9" s="71"/>
      <c r="AC9" s="1665"/>
      <c r="AG9" s="1665"/>
      <c r="AI9" s="1712" t="s">
        <v>8586</v>
      </c>
      <c r="AJ9" s="1716" t="s">
        <v>1058</v>
      </c>
      <c r="AK9" s="2431" t="s">
        <v>8587</v>
      </c>
      <c r="AL9" s="1723" t="s">
        <v>51</v>
      </c>
      <c r="AM9" s="1722">
        <v>3</v>
      </c>
      <c r="AN9" s="1339" t="str">
        <f t="shared" si="5"/>
        <v>WS1003IR</v>
      </c>
      <c r="AO9" s="1340" t="str">
        <f t="shared" si="3"/>
        <v>WS1003PS</v>
      </c>
      <c r="AP9" s="1340" t="str">
        <f t="shared" si="3"/>
        <v>WS1003RS</v>
      </c>
      <c r="AQ9" s="1340" t="str">
        <f t="shared" si="3"/>
        <v>WS1003BO</v>
      </c>
      <c r="AR9" s="1341" t="str">
        <f t="shared" si="3"/>
        <v>WS1003AR</v>
      </c>
      <c r="AS9" s="1341" t="str">
        <f t="shared" si="3"/>
        <v>WS1003ASR</v>
      </c>
      <c r="AT9" s="1341" t="str">
        <f t="shared" si="3"/>
        <v>WS1003WROT</v>
      </c>
      <c r="AU9" s="1342" t="str">
        <f t="shared" si="3"/>
        <v>WS1003WRTOT</v>
      </c>
      <c r="AV9" s="1659"/>
    </row>
    <row r="10" spans="1:48" s="2004" customFormat="1" ht="15">
      <c r="B10" s="1712" t="s">
        <v>8588</v>
      </c>
      <c r="C10" s="1716" t="s">
        <v>3282</v>
      </c>
      <c r="D10" s="2431" t="s">
        <v>8589</v>
      </c>
      <c r="E10" s="1723" t="s">
        <v>51</v>
      </c>
      <c r="F10" s="1722">
        <v>3</v>
      </c>
      <c r="G10" s="1339">
        <v>0</v>
      </c>
      <c r="H10" s="1340">
        <v>0</v>
      </c>
      <c r="I10" s="1340">
        <v>0</v>
      </c>
      <c r="J10" s="1340">
        <v>0</v>
      </c>
      <c r="K10" s="1341">
        <v>0</v>
      </c>
      <c r="L10" s="1341">
        <v>0</v>
      </c>
      <c r="M10" s="1341">
        <v>0</v>
      </c>
      <c r="N10" s="2284">
        <f t="shared" si="4"/>
        <v>0</v>
      </c>
      <c r="O10" s="1786"/>
      <c r="Q10" s="24">
        <f t="shared" si="6"/>
        <v>0</v>
      </c>
      <c r="R10" s="1190"/>
      <c r="S10" s="71"/>
      <c r="T10" s="93">
        <f t="shared" si="7"/>
        <v>0</v>
      </c>
      <c r="U10" s="93">
        <f t="shared" si="8"/>
        <v>0</v>
      </c>
      <c r="V10" s="93">
        <f t="shared" si="9"/>
        <v>0</v>
      </c>
      <c r="W10" s="93">
        <f t="shared" si="10"/>
        <v>0</v>
      </c>
      <c r="X10" s="93">
        <f t="shared" si="11"/>
        <v>0</v>
      </c>
      <c r="Y10" s="93">
        <f t="shared" si="1"/>
        <v>0</v>
      </c>
      <c r="Z10" s="93">
        <f t="shared" si="2"/>
        <v>0</v>
      </c>
      <c r="AA10" s="71"/>
      <c r="AC10" s="1665"/>
      <c r="AG10" s="1665"/>
      <c r="AI10" s="1712" t="s">
        <v>8588</v>
      </c>
      <c r="AJ10" s="1716" t="s">
        <v>3282</v>
      </c>
      <c r="AK10" s="2431" t="s">
        <v>8590</v>
      </c>
      <c r="AL10" s="1723" t="s">
        <v>51</v>
      </c>
      <c r="AM10" s="1722">
        <v>3</v>
      </c>
      <c r="AN10" s="1339" t="str">
        <f t="shared" si="5"/>
        <v>BM240IR</v>
      </c>
      <c r="AO10" s="1340" t="str">
        <f t="shared" si="3"/>
        <v>BM240PS</v>
      </c>
      <c r="AP10" s="1340" t="str">
        <f t="shared" si="3"/>
        <v>BM240RS</v>
      </c>
      <c r="AQ10" s="1340" t="str">
        <f t="shared" si="3"/>
        <v>BM240BO</v>
      </c>
      <c r="AR10" s="1341" t="str">
        <f t="shared" si="3"/>
        <v>BM240AR</v>
      </c>
      <c r="AS10" s="1341" t="str">
        <f t="shared" si="3"/>
        <v>BM240ASR</v>
      </c>
      <c r="AT10" s="1341" t="str">
        <f t="shared" si="3"/>
        <v>BM240WROT</v>
      </c>
      <c r="AU10" s="1342" t="str">
        <f t="shared" si="3"/>
        <v>BM240WRTOT</v>
      </c>
      <c r="AV10" s="1659"/>
    </row>
    <row r="11" spans="1:48" s="2004" customFormat="1" ht="15">
      <c r="B11" s="2491"/>
      <c r="C11" s="2432" t="s">
        <v>1282</v>
      </c>
      <c r="D11" s="2492"/>
      <c r="E11" s="2493"/>
      <c r="F11" s="2494"/>
      <c r="G11" s="2495"/>
      <c r="H11" s="2496"/>
      <c r="I11" s="2496"/>
      <c r="J11" s="2496"/>
      <c r="K11" s="2497"/>
      <c r="L11" s="2497"/>
      <c r="M11" s="2497"/>
      <c r="N11" s="2285"/>
      <c r="O11" s="2498"/>
      <c r="P11" s="82"/>
      <c r="Q11" s="24"/>
      <c r="R11" s="2499"/>
      <c r="S11" s="71"/>
      <c r="T11" s="93"/>
      <c r="U11" s="93"/>
      <c r="V11" s="93"/>
      <c r="W11" s="93"/>
      <c r="X11" s="93"/>
      <c r="Y11" s="93"/>
      <c r="Z11" s="93"/>
      <c r="AA11" s="71"/>
      <c r="AB11" s="479"/>
      <c r="AC11" s="2500"/>
      <c r="AD11" s="479"/>
      <c r="AE11" s="479"/>
      <c r="AF11" s="479"/>
      <c r="AG11" s="2500"/>
      <c r="AH11" s="479"/>
      <c r="AI11" s="2491"/>
      <c r="AJ11" s="2432" t="s">
        <v>1282</v>
      </c>
      <c r="AK11" s="2492"/>
      <c r="AL11" s="2493"/>
      <c r="AM11" s="2494"/>
      <c r="AN11" s="2501"/>
      <c r="AO11" s="2501"/>
      <c r="AP11" s="2501"/>
      <c r="AQ11" s="2501"/>
      <c r="AR11" s="2501"/>
      <c r="AS11" s="2501"/>
      <c r="AT11" s="2501"/>
      <c r="AU11" s="2501"/>
      <c r="AV11" s="2104"/>
    </row>
    <row r="12" spans="1:48" s="2004" customFormat="1" ht="15">
      <c r="B12" s="1712" t="s">
        <v>8591</v>
      </c>
      <c r="C12" s="913" t="s">
        <v>4602</v>
      </c>
      <c r="D12" s="2431" t="s">
        <v>8592</v>
      </c>
      <c r="E12" s="1723" t="s">
        <v>51</v>
      </c>
      <c r="F12" s="1722">
        <v>3</v>
      </c>
      <c r="G12" s="1339">
        <v>0</v>
      </c>
      <c r="H12" s="1339">
        <v>0</v>
      </c>
      <c r="I12" s="1339">
        <v>0</v>
      </c>
      <c r="J12" s="1339">
        <v>0</v>
      </c>
      <c r="K12" s="1339">
        <v>0</v>
      </c>
      <c r="L12" s="1339">
        <v>0</v>
      </c>
      <c r="M12" s="1339">
        <v>0</v>
      </c>
      <c r="N12" s="2284">
        <f t="shared" si="4"/>
        <v>0</v>
      </c>
      <c r="O12" s="1786"/>
      <c r="Q12" s="24">
        <f t="shared" ref="Q12:Q15" si="12" xml:space="preserve"> IF( SUM( S12:AA12 ) = 0, 0, $T$4 )</f>
        <v>0</v>
      </c>
      <c r="R12" s="1190"/>
      <c r="S12" s="71"/>
      <c r="T12" s="93">
        <f t="shared" ref="T12:T15" si="13" xml:space="preserve"> IF( ISNUMBER( G12 ), 0, 1 )</f>
        <v>0</v>
      </c>
      <c r="U12" s="93">
        <f t="shared" ref="U12:U15" si="14" xml:space="preserve"> IF( ISNUMBER( H12 ), 0, 1 )</f>
        <v>0</v>
      </c>
      <c r="V12" s="93">
        <f t="shared" ref="V12:V15" si="15" xml:space="preserve"> IF( ISNUMBER( I12 ), 0, 1 )</f>
        <v>0</v>
      </c>
      <c r="W12" s="93">
        <f t="shared" ref="W12:W15" si="16" xml:space="preserve"> IF( ISNUMBER( J12 ), 0, 1 )</f>
        <v>0</v>
      </c>
      <c r="X12" s="93">
        <f t="shared" ref="X12:X15" si="17" xml:space="preserve"> IF( ISNUMBER( K12 ), 0, 1 )</f>
        <v>0</v>
      </c>
      <c r="Y12" s="93">
        <f t="shared" ref="Y12:Y15" si="18" xml:space="preserve"> IF( ISNUMBER( L12 ), 0, 1 )</f>
        <v>0</v>
      </c>
      <c r="Z12" s="93">
        <f t="shared" ref="Z12:Z15" si="19" xml:space="preserve"> IF( ISNUMBER( M12 ), 0, 1 )</f>
        <v>0</v>
      </c>
      <c r="AA12" s="71"/>
      <c r="AC12" s="1665"/>
      <c r="AG12" s="1665"/>
      <c r="AI12" s="1712" t="s">
        <v>8591</v>
      </c>
      <c r="AJ12" s="913" t="s">
        <v>4602</v>
      </c>
      <c r="AK12" s="2431" t="s">
        <v>8592</v>
      </c>
      <c r="AL12" s="1723" t="s">
        <v>51</v>
      </c>
      <c r="AM12" s="1722">
        <v>3</v>
      </c>
      <c r="AN12" s="1339" t="str">
        <f t="shared" si="5"/>
        <v>WS1005IR</v>
      </c>
      <c r="AO12" s="1340" t="str">
        <f t="shared" si="3"/>
        <v>WS1005PS</v>
      </c>
      <c r="AP12" s="1340" t="str">
        <f t="shared" si="3"/>
        <v>WS1005RS</v>
      </c>
      <c r="AQ12" s="1340" t="str">
        <f t="shared" si="3"/>
        <v>WS1005BO</v>
      </c>
      <c r="AR12" s="1341" t="str">
        <f t="shared" si="3"/>
        <v>WS1005AR</v>
      </c>
      <c r="AS12" s="1341" t="str">
        <f t="shared" si="3"/>
        <v>WS1005ASR</v>
      </c>
      <c r="AT12" s="1341" t="str">
        <f t="shared" si="3"/>
        <v>WS1005WROT</v>
      </c>
      <c r="AU12" s="1342" t="str">
        <f t="shared" si="3"/>
        <v>WS1005WRTOT</v>
      </c>
      <c r="AV12" s="1659"/>
    </row>
    <row r="13" spans="1:48" s="2004" customFormat="1" ht="15">
      <c r="B13" s="1712" t="s">
        <v>8593</v>
      </c>
      <c r="C13" s="913" t="s">
        <v>4611</v>
      </c>
      <c r="D13" s="2431" t="s">
        <v>8594</v>
      </c>
      <c r="E13" s="1723" t="s">
        <v>51</v>
      </c>
      <c r="F13" s="1722">
        <v>3</v>
      </c>
      <c r="G13" s="1339">
        <v>0</v>
      </c>
      <c r="H13" s="1339">
        <v>0</v>
      </c>
      <c r="I13" s="1339">
        <v>0</v>
      </c>
      <c r="J13" s="1339">
        <v>0</v>
      </c>
      <c r="K13" s="1339">
        <v>0</v>
      </c>
      <c r="L13" s="1339">
        <v>0</v>
      </c>
      <c r="M13" s="1339">
        <v>0</v>
      </c>
      <c r="N13" s="2281">
        <f t="shared" si="4"/>
        <v>0</v>
      </c>
      <c r="O13" s="1786"/>
      <c r="Q13" s="24">
        <f t="shared" si="12"/>
        <v>0</v>
      </c>
      <c r="R13" s="1190"/>
      <c r="S13" s="71"/>
      <c r="T13" s="93">
        <f t="shared" si="13"/>
        <v>0</v>
      </c>
      <c r="U13" s="93">
        <f t="shared" si="14"/>
        <v>0</v>
      </c>
      <c r="V13" s="93">
        <f t="shared" si="15"/>
        <v>0</v>
      </c>
      <c r="W13" s="93">
        <f t="shared" si="16"/>
        <v>0</v>
      </c>
      <c r="X13" s="93">
        <f t="shared" si="17"/>
        <v>0</v>
      </c>
      <c r="Y13" s="93">
        <f t="shared" si="18"/>
        <v>0</v>
      </c>
      <c r="Z13" s="93">
        <f t="shared" si="19"/>
        <v>0</v>
      </c>
      <c r="AA13" s="71"/>
      <c r="AC13" s="1665"/>
      <c r="AG13" s="1665"/>
      <c r="AI13" s="1712" t="s">
        <v>8593</v>
      </c>
      <c r="AJ13" s="913" t="s">
        <v>4611</v>
      </c>
      <c r="AK13" s="2431" t="s">
        <v>8594</v>
      </c>
      <c r="AL13" s="1723" t="s">
        <v>51</v>
      </c>
      <c r="AM13" s="1722">
        <v>3</v>
      </c>
      <c r="AN13" s="1339" t="str">
        <f t="shared" si="5"/>
        <v>WS1006IR</v>
      </c>
      <c r="AO13" s="1340" t="str">
        <f t="shared" si="3"/>
        <v>WS1006PS</v>
      </c>
      <c r="AP13" s="1340" t="str">
        <f t="shared" si="3"/>
        <v>WS1006RS</v>
      </c>
      <c r="AQ13" s="1340" t="str">
        <f t="shared" si="3"/>
        <v>WS1006BO</v>
      </c>
      <c r="AR13" s="1341" t="str">
        <f t="shared" si="3"/>
        <v>WS1006AR</v>
      </c>
      <c r="AS13" s="1341" t="str">
        <f t="shared" si="3"/>
        <v>WS1006ASR</v>
      </c>
      <c r="AT13" s="1341" t="str">
        <f t="shared" si="3"/>
        <v>WS1006WROT</v>
      </c>
      <c r="AU13" s="1342" t="str">
        <f t="shared" si="3"/>
        <v>WS1006WRTOT</v>
      </c>
      <c r="AV13" s="1659"/>
    </row>
    <row r="14" spans="1:48" s="2004" customFormat="1" ht="15">
      <c r="B14" s="1712" t="s">
        <v>8595</v>
      </c>
      <c r="C14" s="2433" t="s">
        <v>8596</v>
      </c>
      <c r="D14" s="2431" t="s">
        <v>8597</v>
      </c>
      <c r="E14" s="1723" t="s">
        <v>51</v>
      </c>
      <c r="F14" s="1722">
        <v>3</v>
      </c>
      <c r="G14" s="1339">
        <v>2.5779999999999998</v>
      </c>
      <c r="H14" s="1340">
        <v>0.11799999999999999</v>
      </c>
      <c r="I14" s="1340">
        <v>0.125</v>
      </c>
      <c r="J14" s="1340">
        <v>1.07</v>
      </c>
      <c r="K14" s="1341">
        <v>0</v>
      </c>
      <c r="L14" s="1341">
        <v>0</v>
      </c>
      <c r="M14" s="1341">
        <v>0</v>
      </c>
      <c r="N14" s="2284">
        <f t="shared" si="4"/>
        <v>3.891</v>
      </c>
      <c r="O14" s="1786"/>
      <c r="Q14" s="24">
        <f t="shared" si="12"/>
        <v>0</v>
      </c>
      <c r="R14" s="1190"/>
      <c r="S14" s="71"/>
      <c r="T14" s="93">
        <f t="shared" si="13"/>
        <v>0</v>
      </c>
      <c r="U14" s="93">
        <f t="shared" si="14"/>
        <v>0</v>
      </c>
      <c r="V14" s="93">
        <f t="shared" si="15"/>
        <v>0</v>
      </c>
      <c r="W14" s="93">
        <f t="shared" si="16"/>
        <v>0</v>
      </c>
      <c r="X14" s="93">
        <f t="shared" si="17"/>
        <v>0</v>
      </c>
      <c r="Y14" s="93">
        <f t="shared" si="18"/>
        <v>0</v>
      </c>
      <c r="Z14" s="93">
        <f t="shared" si="19"/>
        <v>0</v>
      </c>
      <c r="AA14" s="71"/>
      <c r="AC14" s="1665"/>
      <c r="AG14" s="1665"/>
      <c r="AI14" s="1712" t="s">
        <v>8595</v>
      </c>
      <c r="AJ14" s="2433" t="s">
        <v>8596</v>
      </c>
      <c r="AK14" s="2431" t="s">
        <v>8597</v>
      </c>
      <c r="AL14" s="1723" t="s">
        <v>51</v>
      </c>
      <c r="AM14" s="1722">
        <v>3</v>
      </c>
      <c r="AN14" s="1339" t="str">
        <f t="shared" si="5"/>
        <v>BM108IR</v>
      </c>
      <c r="AO14" s="1340" t="str">
        <f t="shared" si="3"/>
        <v>BM108PS</v>
      </c>
      <c r="AP14" s="1340" t="str">
        <f t="shared" si="3"/>
        <v>BM108RS</v>
      </c>
      <c r="AQ14" s="1340" t="str">
        <f t="shared" si="3"/>
        <v>BM108BO</v>
      </c>
      <c r="AR14" s="1341" t="str">
        <f t="shared" si="3"/>
        <v>BM108AR</v>
      </c>
      <c r="AS14" s="1341" t="str">
        <f t="shared" si="3"/>
        <v>BM108ASR</v>
      </c>
      <c r="AT14" s="1341" t="str">
        <f t="shared" si="3"/>
        <v>BM108WROT</v>
      </c>
      <c r="AU14" s="1342" t="str">
        <f t="shared" si="3"/>
        <v>BM108WRTOT</v>
      </c>
      <c r="AV14" s="1659"/>
    </row>
    <row r="15" spans="1:48" s="2004" customFormat="1" ht="15">
      <c r="B15" s="1712" t="s">
        <v>8598</v>
      </c>
      <c r="C15" s="2433" t="s">
        <v>8599</v>
      </c>
      <c r="D15" s="2431" t="s">
        <v>8600</v>
      </c>
      <c r="E15" s="1723" t="s">
        <v>51</v>
      </c>
      <c r="F15" s="1722">
        <v>3</v>
      </c>
      <c r="G15" s="1339">
        <v>3.8769999999999998</v>
      </c>
      <c r="H15" s="1340">
        <v>0.17799999999999999</v>
      </c>
      <c r="I15" s="1340">
        <v>0.189</v>
      </c>
      <c r="J15" s="1340">
        <v>1.61</v>
      </c>
      <c r="K15" s="1341">
        <v>0</v>
      </c>
      <c r="L15" s="1341">
        <v>0</v>
      </c>
      <c r="M15" s="1341">
        <v>0</v>
      </c>
      <c r="N15" s="2281">
        <f t="shared" si="4"/>
        <v>5.8540000000000001</v>
      </c>
      <c r="O15" s="1786"/>
      <c r="Q15" s="24">
        <f t="shared" si="12"/>
        <v>0</v>
      </c>
      <c r="R15" s="1190"/>
      <c r="S15" s="71"/>
      <c r="T15" s="93">
        <f t="shared" si="13"/>
        <v>0</v>
      </c>
      <c r="U15" s="93">
        <f t="shared" si="14"/>
        <v>0</v>
      </c>
      <c r="V15" s="93">
        <f t="shared" si="15"/>
        <v>0</v>
      </c>
      <c r="W15" s="93">
        <f t="shared" si="16"/>
        <v>0</v>
      </c>
      <c r="X15" s="93">
        <f t="shared" si="17"/>
        <v>0</v>
      </c>
      <c r="Y15" s="93">
        <f t="shared" si="18"/>
        <v>0</v>
      </c>
      <c r="Z15" s="93">
        <f t="shared" si="19"/>
        <v>0</v>
      </c>
      <c r="AA15" s="71"/>
      <c r="AC15" s="1665"/>
      <c r="AG15" s="1665"/>
      <c r="AI15" s="1712" t="s">
        <v>8598</v>
      </c>
      <c r="AJ15" s="2433" t="s">
        <v>8599</v>
      </c>
      <c r="AK15" s="2431" t="s">
        <v>8600</v>
      </c>
      <c r="AL15" s="1723" t="s">
        <v>51</v>
      </c>
      <c r="AM15" s="1722">
        <v>3</v>
      </c>
      <c r="AN15" s="1339" t="str">
        <f t="shared" si="5"/>
        <v>BM110IR</v>
      </c>
      <c r="AO15" s="1340" t="str">
        <f t="shared" si="3"/>
        <v>BM110PS</v>
      </c>
      <c r="AP15" s="1340" t="str">
        <f t="shared" si="3"/>
        <v>BM110RS</v>
      </c>
      <c r="AQ15" s="1340" t="str">
        <f t="shared" si="3"/>
        <v>BM110BO</v>
      </c>
      <c r="AR15" s="1341" t="str">
        <f t="shared" si="3"/>
        <v>BM110AR</v>
      </c>
      <c r="AS15" s="1341" t="str">
        <f t="shared" si="3"/>
        <v>BM110ASR</v>
      </c>
      <c r="AT15" s="1341" t="str">
        <f t="shared" si="3"/>
        <v>BM110WROT</v>
      </c>
      <c r="AU15" s="1342" t="str">
        <f t="shared" si="3"/>
        <v>BM110WRTOT</v>
      </c>
      <c r="AV15" s="1659"/>
    </row>
    <row r="16" spans="1:48" s="2004" customFormat="1" ht="15">
      <c r="B16" s="1712" t="s">
        <v>8601</v>
      </c>
      <c r="C16" s="2434" t="s">
        <v>8602</v>
      </c>
      <c r="D16" s="2431" t="s">
        <v>8603</v>
      </c>
      <c r="E16" s="1723" t="s">
        <v>51</v>
      </c>
      <c r="F16" s="1722">
        <v>3</v>
      </c>
      <c r="G16" s="1707">
        <f>SUM(G7:G15)</f>
        <v>12.515000000000001</v>
      </c>
      <c r="H16" s="1707">
        <f t="shared" ref="H16:M16" si="20">SUM(H7:H15)</f>
        <v>0.58899999999999997</v>
      </c>
      <c r="I16" s="1707">
        <f t="shared" si="20"/>
        <v>1.319</v>
      </c>
      <c r="J16" s="1707">
        <f t="shared" si="20"/>
        <v>6.4810000000000008</v>
      </c>
      <c r="K16" s="1707">
        <f t="shared" si="20"/>
        <v>0</v>
      </c>
      <c r="L16" s="1707">
        <f t="shared" si="20"/>
        <v>0</v>
      </c>
      <c r="M16" s="1707">
        <f t="shared" si="20"/>
        <v>0</v>
      </c>
      <c r="N16" s="2283">
        <f t="shared" si="4"/>
        <v>20.904000000000003</v>
      </c>
      <c r="O16" s="1786"/>
      <c r="Q16" s="24"/>
      <c r="R16" s="1190"/>
      <c r="S16" s="71"/>
      <c r="T16" s="1190"/>
      <c r="U16" s="1190"/>
      <c r="V16" s="1190"/>
      <c r="W16" s="1190"/>
      <c r="X16" s="1190"/>
      <c r="Y16" s="1190"/>
      <c r="Z16" s="1190"/>
      <c r="AA16" s="71"/>
      <c r="AC16" s="1665"/>
      <c r="AG16" s="1665"/>
      <c r="AI16" s="1712" t="s">
        <v>8601</v>
      </c>
      <c r="AJ16" s="2434" t="s">
        <v>8602</v>
      </c>
      <c r="AK16" s="2431" t="s">
        <v>8603</v>
      </c>
      <c r="AL16" s="1723" t="s">
        <v>51</v>
      </c>
      <c r="AM16" s="1722">
        <v>3</v>
      </c>
      <c r="AN16" s="1339" t="str">
        <f t="shared" si="5"/>
        <v>BM816IR</v>
      </c>
      <c r="AO16" s="1340" t="str">
        <f t="shared" si="3"/>
        <v>BM816PS</v>
      </c>
      <c r="AP16" s="1340" t="str">
        <f t="shared" si="3"/>
        <v>BM816RS</v>
      </c>
      <c r="AQ16" s="1340" t="str">
        <f t="shared" si="3"/>
        <v>BM816BO</v>
      </c>
      <c r="AR16" s="1341" t="str">
        <f t="shared" si="3"/>
        <v>BM816AR</v>
      </c>
      <c r="AS16" s="1341" t="str">
        <f t="shared" si="3"/>
        <v>BM816ASR</v>
      </c>
      <c r="AT16" s="1341" t="str">
        <f t="shared" si="3"/>
        <v>BM816WROT</v>
      </c>
      <c r="AU16" s="1342" t="str">
        <f t="shared" si="3"/>
        <v>BM816WRTOT</v>
      </c>
      <c r="AV16" s="1659"/>
    </row>
    <row r="17" spans="1:48" ht="15">
      <c r="A17" s="2004"/>
      <c r="B17" s="1712" t="s">
        <v>8604</v>
      </c>
      <c r="C17" s="1716" t="s">
        <v>1098</v>
      </c>
      <c r="D17" s="2431" t="s">
        <v>8605</v>
      </c>
      <c r="E17" s="1721" t="s">
        <v>51</v>
      </c>
      <c r="F17" s="1722">
        <v>3</v>
      </c>
      <c r="G17" s="1339">
        <v>5.2480000000000002</v>
      </c>
      <c r="H17" s="1340">
        <v>0.24099999999999999</v>
      </c>
      <c r="I17" s="1340">
        <v>0.255</v>
      </c>
      <c r="J17" s="1340">
        <v>2.1789999999999998</v>
      </c>
      <c r="K17" s="1341">
        <v>0</v>
      </c>
      <c r="L17" s="1341">
        <v>0</v>
      </c>
      <c r="M17" s="1341">
        <v>0</v>
      </c>
      <c r="N17" s="1342">
        <f t="shared" ref="N17:N20" si="21">SUM(G17:M17)</f>
        <v>7.923</v>
      </c>
      <c r="O17" s="1786"/>
      <c r="P17" s="2004"/>
      <c r="Q17" s="24">
        <f xml:space="preserve"> IF( SUM( S17:AA17 ) = 0, 0, $T$4 )</f>
        <v>0</v>
      </c>
      <c r="R17" s="1190"/>
      <c r="S17" s="71"/>
      <c r="T17" s="93">
        <f t="shared" ref="T17" si="22" xml:space="preserve"> IF( ISNUMBER( G17 ), 0, 1 )</f>
        <v>0</v>
      </c>
      <c r="U17" s="93">
        <f t="shared" ref="U17" si="23" xml:space="preserve"> IF( ISNUMBER( H17 ), 0, 1 )</f>
        <v>0</v>
      </c>
      <c r="V17" s="93">
        <f t="shared" ref="V17" si="24" xml:space="preserve"> IF( ISNUMBER( I17 ), 0, 1 )</f>
        <v>0</v>
      </c>
      <c r="W17" s="93">
        <f t="shared" ref="W17" si="25" xml:space="preserve"> IF( ISNUMBER( J17 ), 0, 1 )</f>
        <v>0</v>
      </c>
      <c r="X17" s="93">
        <f t="shared" ref="X17" si="26" xml:space="preserve"> IF( ISNUMBER( K17 ), 0, 1 )</f>
        <v>0</v>
      </c>
      <c r="Y17" s="93">
        <f t="shared" ref="Y17" si="27" xml:space="preserve"> IF( ISNUMBER( L17 ), 0, 1 )</f>
        <v>0</v>
      </c>
      <c r="Z17" s="93">
        <f t="shared" ref="Z17" si="28" xml:space="preserve"> IF( ISNUMBER( M17 ), 0, 1 )</f>
        <v>0</v>
      </c>
      <c r="AA17" s="71"/>
      <c r="AB17" s="2004"/>
      <c r="AD17" s="2004"/>
      <c r="AE17" s="2004"/>
      <c r="AF17" s="2004"/>
      <c r="AH17" s="2004"/>
      <c r="AI17" s="1712" t="s">
        <v>8604</v>
      </c>
      <c r="AJ17" s="1715" t="s">
        <v>1098</v>
      </c>
      <c r="AK17" s="2333" t="s">
        <v>8605</v>
      </c>
      <c r="AL17" s="1721" t="s">
        <v>51</v>
      </c>
      <c r="AM17" s="1722">
        <v>3</v>
      </c>
      <c r="AN17" s="1339" t="str">
        <f t="shared" si="5"/>
        <v>BM817IR</v>
      </c>
      <c r="AO17" s="1340" t="str">
        <f t="shared" si="3"/>
        <v>BM817PS</v>
      </c>
      <c r="AP17" s="1340" t="str">
        <f t="shared" si="3"/>
        <v>BM817RS</v>
      </c>
      <c r="AQ17" s="1340" t="str">
        <f t="shared" si="3"/>
        <v>BM817BO</v>
      </c>
      <c r="AR17" s="1341" t="str">
        <f t="shared" si="3"/>
        <v>BM817AR</v>
      </c>
      <c r="AS17" s="1341" t="str">
        <f t="shared" si="3"/>
        <v>BM817ASR</v>
      </c>
      <c r="AT17" s="1341" t="str">
        <f t="shared" si="3"/>
        <v>BM817WROT</v>
      </c>
      <c r="AU17" s="1342" t="str">
        <f t="shared" si="3"/>
        <v>BM817WRTOT</v>
      </c>
      <c r="AV17" s="1659"/>
    </row>
    <row r="18" spans="1:48" ht="24">
      <c r="A18" s="2004"/>
      <c r="B18" s="1712" t="s">
        <v>8606</v>
      </c>
      <c r="C18" s="2435" t="s">
        <v>8607</v>
      </c>
      <c r="D18" s="2436" t="s">
        <v>8608</v>
      </c>
      <c r="E18" s="1724" t="s">
        <v>51</v>
      </c>
      <c r="F18" s="1725">
        <v>3</v>
      </c>
      <c r="G18" s="1707">
        <f>+G16+G17</f>
        <v>17.763000000000002</v>
      </c>
      <c r="H18" s="1707">
        <f t="shared" ref="H18:M18" si="29">+H16+H17</f>
        <v>0.83</v>
      </c>
      <c r="I18" s="1707">
        <f t="shared" si="29"/>
        <v>1.5739999999999998</v>
      </c>
      <c r="J18" s="1707">
        <f t="shared" si="29"/>
        <v>8.66</v>
      </c>
      <c r="K18" s="1707">
        <f t="shared" si="29"/>
        <v>0</v>
      </c>
      <c r="L18" s="1707">
        <f t="shared" si="29"/>
        <v>0</v>
      </c>
      <c r="M18" s="1707">
        <f t="shared" si="29"/>
        <v>0</v>
      </c>
      <c r="N18" s="1342">
        <f t="shared" si="21"/>
        <v>28.827000000000002</v>
      </c>
      <c r="O18" s="1787"/>
      <c r="P18" s="2004"/>
      <c r="Q18" s="1370">
        <f>IF(SUM(AA18:AC18)=0,0,$AF$18)</f>
        <v>0</v>
      </c>
      <c r="R18" s="1190"/>
      <c r="S18" s="71"/>
      <c r="T18" s="2004"/>
      <c r="U18" s="2004"/>
      <c r="V18" s="2004"/>
      <c r="W18" s="2004"/>
      <c r="X18" s="2004"/>
      <c r="Z18" s="2004"/>
      <c r="AA18" s="71"/>
      <c r="AB18" s="93">
        <f xml:space="preserve"> IF( (AD18 - AE18) = 0, 0, 1 )</f>
        <v>0</v>
      </c>
      <c r="AD18" s="112">
        <f>ROUND(N18,3)</f>
        <v>28.827000000000002</v>
      </c>
      <c r="AE18" s="1358">
        <f>ROUND('4D'!G15+'4D'!H15,3)</f>
        <v>28.827000000000002</v>
      </c>
      <c r="AF18" s="2068" t="s">
        <v>8609</v>
      </c>
      <c r="AH18" s="2004"/>
      <c r="AI18" s="1712" t="s">
        <v>8606</v>
      </c>
      <c r="AJ18" s="1717" t="s">
        <v>8607</v>
      </c>
      <c r="AK18" s="2334" t="s">
        <v>8608</v>
      </c>
      <c r="AL18" s="1724" t="s">
        <v>51</v>
      </c>
      <c r="AM18" s="1725">
        <v>3</v>
      </c>
      <c r="AN18" s="1342" t="str">
        <f t="shared" si="5"/>
        <v>BM316IR</v>
      </c>
      <c r="AO18" s="1342" t="str">
        <f t="shared" si="3"/>
        <v>BM316PS</v>
      </c>
      <c r="AP18" s="1342" t="str">
        <f t="shared" si="3"/>
        <v>BM316RS</v>
      </c>
      <c r="AQ18" s="1342" t="str">
        <f t="shared" si="3"/>
        <v>BM316BO</v>
      </c>
      <c r="AR18" s="1342" t="str">
        <f t="shared" si="3"/>
        <v>BM316AR</v>
      </c>
      <c r="AS18" s="1342" t="str">
        <f t="shared" si="3"/>
        <v>BM316ASR</v>
      </c>
      <c r="AT18" s="1342" t="str">
        <f t="shared" si="3"/>
        <v>BM316WROT</v>
      </c>
      <c r="AU18" s="1342" t="str">
        <f t="shared" si="3"/>
        <v>BM316WRTOT</v>
      </c>
      <c r="AV18" s="1659"/>
    </row>
    <row r="19" spans="1:48" ht="15">
      <c r="A19" s="2004"/>
      <c r="B19" s="1712" t="s">
        <v>8610</v>
      </c>
      <c r="C19" s="1716" t="s">
        <v>533</v>
      </c>
      <c r="D19" s="2431" t="s">
        <v>8611</v>
      </c>
      <c r="E19" s="1724" t="s">
        <v>51</v>
      </c>
      <c r="F19" s="1725">
        <v>3</v>
      </c>
      <c r="G19" s="1345">
        <v>5.5590000000000002</v>
      </c>
      <c r="H19" s="1340">
        <v>8.9999999999999993E-3</v>
      </c>
      <c r="I19" s="1346">
        <v>0.73</v>
      </c>
      <c r="J19" s="1340">
        <v>1.2450000000000001</v>
      </c>
      <c r="K19" s="1340">
        <v>0</v>
      </c>
      <c r="L19" s="1708">
        <v>0</v>
      </c>
      <c r="M19" s="2045">
        <v>1.7390000000000001</v>
      </c>
      <c r="N19" s="1342">
        <f t="shared" si="21"/>
        <v>9.282</v>
      </c>
      <c r="O19" s="1787"/>
      <c r="P19" s="2004"/>
      <c r="Q19" s="24">
        <f xml:space="preserve"> IF( SUM( S19:AA19 ) = 0, 0, $T$4 )</f>
        <v>0</v>
      </c>
      <c r="R19" s="1190"/>
      <c r="S19" s="71"/>
      <c r="T19" s="93">
        <f t="shared" ref="T19" si="30" xml:space="preserve"> IF( ISNUMBER( G19 ), 0, 1 )</f>
        <v>0</v>
      </c>
      <c r="U19" s="93">
        <f t="shared" ref="U19" si="31" xml:space="preserve"> IF( ISNUMBER( H19 ), 0, 1 )</f>
        <v>0</v>
      </c>
      <c r="V19" s="93">
        <f t="shared" ref="V19" si="32" xml:space="preserve"> IF( ISNUMBER( I19 ), 0, 1 )</f>
        <v>0</v>
      </c>
      <c r="W19" s="93">
        <f t="shared" ref="W19" si="33" xml:space="preserve"> IF( ISNUMBER( J19 ), 0, 1 )</f>
        <v>0</v>
      </c>
      <c r="X19" s="93">
        <f t="shared" ref="X19" si="34" xml:space="preserve"> IF( ISNUMBER( K19 ), 0, 1 )</f>
        <v>0</v>
      </c>
      <c r="Y19" s="93">
        <f t="shared" ref="Y19" si="35" xml:space="preserve"> IF( ISNUMBER( L19 ), 0, 1 )</f>
        <v>0</v>
      </c>
      <c r="Z19" s="93">
        <f t="shared" ref="Z19" si="36" xml:space="preserve"> IF( ISNUMBER( M19 ), 0, 1 )</f>
        <v>0</v>
      </c>
      <c r="AA19" s="71"/>
      <c r="AB19" s="2004"/>
      <c r="AD19" s="2004"/>
      <c r="AE19" s="2004"/>
      <c r="AF19" s="2004"/>
      <c r="AH19" s="2004"/>
      <c r="AI19" s="1712" t="s">
        <v>8610</v>
      </c>
      <c r="AJ19" s="1715" t="s">
        <v>533</v>
      </c>
      <c r="AK19" s="2333" t="s">
        <v>8611</v>
      </c>
      <c r="AL19" s="1724" t="s">
        <v>51</v>
      </c>
      <c r="AM19" s="1725">
        <v>3</v>
      </c>
      <c r="AN19" s="1345" t="str">
        <f t="shared" si="5"/>
        <v>FT00865IR</v>
      </c>
      <c r="AO19" s="1340" t="str">
        <f t="shared" si="3"/>
        <v>FT00865PS</v>
      </c>
      <c r="AP19" s="1346" t="str">
        <f t="shared" si="3"/>
        <v>FT00865RS</v>
      </c>
      <c r="AQ19" s="1340" t="str">
        <f t="shared" si="3"/>
        <v>FT00865BO</v>
      </c>
      <c r="AR19" s="1341" t="str">
        <f t="shared" si="3"/>
        <v>FT00865AR</v>
      </c>
      <c r="AS19" s="1341" t="str">
        <f t="shared" si="3"/>
        <v>FT00865ASR</v>
      </c>
      <c r="AT19" s="1341" t="str">
        <f t="shared" si="3"/>
        <v>FT00865WROT</v>
      </c>
      <c r="AU19" s="1342" t="str">
        <f t="shared" si="3"/>
        <v>FT00865WRTOT</v>
      </c>
      <c r="AV19" s="2004"/>
    </row>
    <row r="20" spans="1:48" ht="15.75" thickBot="1">
      <c r="A20" s="2004"/>
      <c r="B20" s="1713" t="s">
        <v>8612</v>
      </c>
      <c r="C20" s="1728" t="s">
        <v>8613</v>
      </c>
      <c r="D20" s="2437" t="s">
        <v>8614</v>
      </c>
      <c r="E20" s="1726" t="s">
        <v>51</v>
      </c>
      <c r="F20" s="1727">
        <v>3</v>
      </c>
      <c r="G20" s="1709">
        <f>+G18+G19</f>
        <v>23.322000000000003</v>
      </c>
      <c r="H20" s="1709">
        <f t="shared" ref="H20:M20" si="37">+H18+H19</f>
        <v>0.83899999999999997</v>
      </c>
      <c r="I20" s="1709">
        <f t="shared" si="37"/>
        <v>2.3039999999999998</v>
      </c>
      <c r="J20" s="1709">
        <f t="shared" si="37"/>
        <v>9.9050000000000011</v>
      </c>
      <c r="K20" s="1709">
        <f t="shared" si="37"/>
        <v>0</v>
      </c>
      <c r="L20" s="1709">
        <f t="shared" si="37"/>
        <v>0</v>
      </c>
      <c r="M20" s="1709">
        <f t="shared" si="37"/>
        <v>1.7390000000000001</v>
      </c>
      <c r="N20" s="1352">
        <f t="shared" si="21"/>
        <v>38.109000000000002</v>
      </c>
      <c r="O20" s="1788"/>
      <c r="P20" s="2004"/>
      <c r="Q20" s="2004"/>
      <c r="R20" s="1190"/>
      <c r="S20" s="71"/>
      <c r="T20" s="2004"/>
      <c r="U20" s="2004"/>
      <c r="V20" s="2004"/>
      <c r="W20" s="2004"/>
      <c r="X20" s="2004"/>
      <c r="Z20" s="2004"/>
      <c r="AA20" s="71"/>
      <c r="AB20" s="2004"/>
      <c r="AD20" s="2004"/>
      <c r="AE20" s="2004"/>
      <c r="AF20" s="2004"/>
      <c r="AG20" s="124"/>
      <c r="AH20" s="2004"/>
      <c r="AI20" s="1713" t="s">
        <v>8612</v>
      </c>
      <c r="AJ20" s="1718" t="s">
        <v>8613</v>
      </c>
      <c r="AK20" s="2335" t="s">
        <v>8614</v>
      </c>
      <c r="AL20" s="1726" t="s">
        <v>51</v>
      </c>
      <c r="AM20" s="1727">
        <v>3</v>
      </c>
      <c r="AN20" s="1352" t="str">
        <f t="shared" si="5"/>
        <v>BM319IR</v>
      </c>
      <c r="AO20" s="1352" t="str">
        <f t="shared" si="3"/>
        <v>BM319PS</v>
      </c>
      <c r="AP20" s="1352" t="str">
        <f t="shared" si="3"/>
        <v>BM319RS</v>
      </c>
      <c r="AQ20" s="1352" t="str">
        <f t="shared" si="3"/>
        <v>BM319BO</v>
      </c>
      <c r="AR20" s="1352" t="str">
        <f t="shared" si="3"/>
        <v>BM319AR</v>
      </c>
      <c r="AS20" s="1352" t="str">
        <f t="shared" si="3"/>
        <v>BM319ASR</v>
      </c>
      <c r="AT20" s="1352" t="str">
        <f t="shared" si="3"/>
        <v>BM319WROT</v>
      </c>
      <c r="AU20" s="1352" t="str">
        <f t="shared" si="3"/>
        <v>BM319WRTOT</v>
      </c>
      <c r="AV20" s="2004"/>
    </row>
    <row r="21" spans="1:48" ht="15.75" thickBot="1">
      <c r="A21" s="2004"/>
      <c r="B21" s="564"/>
      <c r="C21" s="1659"/>
      <c r="D21" s="2438"/>
      <c r="E21" s="2004"/>
      <c r="F21" s="2004"/>
      <c r="G21" s="2004"/>
      <c r="H21" s="2004"/>
      <c r="I21" s="2004"/>
      <c r="J21" s="2004"/>
      <c r="K21" s="2004"/>
      <c r="L21" s="2004"/>
      <c r="N21" s="2004"/>
      <c r="O21" s="2004"/>
      <c r="P21" s="2004"/>
      <c r="Q21" s="2004"/>
      <c r="R21" s="1190"/>
      <c r="T21" s="2004"/>
      <c r="U21" s="2004"/>
      <c r="V21" s="2004"/>
      <c r="W21" s="2004"/>
      <c r="X21" s="2004"/>
      <c r="Z21" s="2004"/>
      <c r="AB21" s="2004"/>
      <c r="AD21" s="2004"/>
      <c r="AE21" s="2004"/>
      <c r="AF21" s="2004"/>
      <c r="AH21" s="2004"/>
      <c r="AI21" s="564"/>
      <c r="AJ21" s="2004"/>
      <c r="AK21" s="2336"/>
      <c r="AL21" s="2004"/>
      <c r="AM21" s="2004"/>
      <c r="AN21" s="2004"/>
      <c r="AO21" s="2004"/>
      <c r="AP21" s="2004"/>
      <c r="AQ21" s="2004"/>
      <c r="AR21" s="2004"/>
      <c r="AS21" s="2004"/>
      <c r="AU21" s="2004"/>
      <c r="AV21" s="2004"/>
    </row>
    <row r="22" spans="1:48" ht="27.75" thickBot="1">
      <c r="A22" s="1322"/>
      <c r="B22" s="1050" t="s">
        <v>193</v>
      </c>
      <c r="C22" s="997" t="s">
        <v>4916</v>
      </c>
      <c r="D22" s="998" t="s">
        <v>8615</v>
      </c>
      <c r="E22" s="998" t="s">
        <v>2310</v>
      </c>
      <c r="F22" s="998" t="s">
        <v>39</v>
      </c>
      <c r="G22" s="186" t="s">
        <v>907</v>
      </c>
      <c r="H22" s="361" t="s">
        <v>8616</v>
      </c>
      <c r="I22" s="361" t="s">
        <v>3255</v>
      </c>
      <c r="J22" s="1487" t="s">
        <v>3256</v>
      </c>
      <c r="K22" s="2990" t="s">
        <v>710</v>
      </c>
      <c r="L22" s="2004"/>
      <c r="N22" s="2004"/>
      <c r="O22" s="2004"/>
      <c r="P22" s="2004"/>
      <c r="Q22" s="2004"/>
      <c r="R22" s="2004"/>
      <c r="T22" s="2004"/>
      <c r="U22" s="2004"/>
      <c r="V22" s="2004"/>
      <c r="W22" s="2004"/>
      <c r="X22" s="2004"/>
      <c r="Z22" s="2004"/>
      <c r="AB22" s="2004"/>
      <c r="AD22" s="2004"/>
      <c r="AE22" s="2004"/>
      <c r="AF22" s="2004"/>
      <c r="AH22" s="2004"/>
      <c r="AI22" s="1050" t="s">
        <v>193</v>
      </c>
      <c r="AJ22" s="997" t="s">
        <v>4916</v>
      </c>
      <c r="AK22" s="998" t="s">
        <v>8615</v>
      </c>
      <c r="AL22" s="998" t="s">
        <v>2310</v>
      </c>
      <c r="AM22" s="998" t="s">
        <v>39</v>
      </c>
      <c r="AN22" s="186" t="s">
        <v>907</v>
      </c>
      <c r="AO22" s="361" t="s">
        <v>8616</v>
      </c>
      <c r="AP22" s="361" t="s">
        <v>3255</v>
      </c>
      <c r="AQ22" s="1487" t="s">
        <v>3256</v>
      </c>
      <c r="AR22" s="2990" t="s">
        <v>710</v>
      </c>
      <c r="AS22" s="2004"/>
      <c r="AU22" s="2004"/>
      <c r="AV22" s="2004"/>
    </row>
    <row r="23" spans="1:48" ht="15" thickBot="1">
      <c r="A23" s="1322"/>
      <c r="B23" s="1323"/>
      <c r="C23" s="2153"/>
      <c r="D23" s="2439"/>
      <c r="E23" s="1322"/>
      <c r="F23" s="1322"/>
      <c r="G23" s="1322"/>
      <c r="H23" s="1322"/>
      <c r="I23" s="1322"/>
      <c r="J23" s="1322"/>
      <c r="K23" s="1322"/>
      <c r="L23" s="2004"/>
      <c r="N23" s="2004"/>
      <c r="O23" s="2004"/>
      <c r="P23" s="2004"/>
      <c r="Q23" s="2004"/>
      <c r="R23" s="2004"/>
      <c r="T23" s="2004"/>
      <c r="U23" s="2004"/>
      <c r="V23" s="2004"/>
      <c r="W23" s="2004"/>
      <c r="X23" s="2004"/>
      <c r="Z23" s="2004"/>
      <c r="AB23" s="2004"/>
      <c r="AD23" s="2004"/>
      <c r="AE23" s="2004"/>
      <c r="AF23" s="2004"/>
      <c r="AH23" s="2004"/>
      <c r="AI23" s="1323"/>
      <c r="AJ23" s="1322"/>
      <c r="AK23" s="2337"/>
      <c r="AL23" s="1322"/>
      <c r="AM23" s="1322"/>
      <c r="AN23" s="2442" t="s">
        <v>8617</v>
      </c>
      <c r="AO23" s="2442" t="s">
        <v>8618</v>
      </c>
      <c r="AP23" s="2442" t="s">
        <v>8619</v>
      </c>
      <c r="AQ23" s="2442" t="s">
        <v>8620</v>
      </c>
      <c r="AR23" s="2442" t="s">
        <v>8621</v>
      </c>
      <c r="AS23" s="2004"/>
      <c r="AU23" s="2004"/>
      <c r="AV23" s="2004"/>
    </row>
    <row r="24" spans="1:48" ht="15.75" thickBot="1">
      <c r="A24" s="2004"/>
      <c r="B24" s="3034" t="s">
        <v>177</v>
      </c>
      <c r="C24" s="1060" t="s">
        <v>8622</v>
      </c>
      <c r="D24" s="2438"/>
      <c r="E24" s="2004"/>
      <c r="F24" s="2004"/>
      <c r="G24" s="2004"/>
      <c r="H24" s="2004"/>
      <c r="I24" s="2004"/>
      <c r="J24" s="2004"/>
      <c r="K24" s="2004"/>
      <c r="L24" s="2004"/>
      <c r="N24" s="2004"/>
      <c r="O24" s="2004"/>
      <c r="P24" s="2004"/>
      <c r="Q24" s="2004"/>
      <c r="R24" s="2004"/>
      <c r="T24" s="2004"/>
      <c r="U24" s="2004"/>
      <c r="V24" s="2004"/>
      <c r="W24" s="2004"/>
      <c r="X24" s="2004"/>
      <c r="Z24" s="2004"/>
      <c r="AB24" s="2004"/>
      <c r="AD24" s="2004"/>
      <c r="AE24" s="2004"/>
      <c r="AF24" s="2004"/>
      <c r="AH24" s="2004"/>
      <c r="AI24" s="3034" t="s">
        <v>177</v>
      </c>
      <c r="AJ24" s="1060" t="s">
        <v>8622</v>
      </c>
      <c r="AK24" s="2336"/>
      <c r="AL24" s="2004"/>
      <c r="AM24" s="2004"/>
      <c r="AN24" s="2004"/>
      <c r="AO24" s="2004"/>
      <c r="AP24" s="2004"/>
      <c r="AQ24" s="2004"/>
      <c r="AR24" s="2004"/>
      <c r="AS24" s="2004"/>
      <c r="AU24" s="2004"/>
      <c r="AV24" s="2004"/>
    </row>
    <row r="25" spans="1:48" ht="15">
      <c r="A25" s="2004"/>
      <c r="B25" s="1711" t="s">
        <v>8623</v>
      </c>
      <c r="C25" s="2440" t="s">
        <v>8624</v>
      </c>
      <c r="D25" s="2441" t="s">
        <v>8625</v>
      </c>
      <c r="E25" s="1719" t="s">
        <v>51</v>
      </c>
      <c r="F25" s="1720">
        <v>3</v>
      </c>
      <c r="G25" s="1330">
        <v>2.6360000000000001</v>
      </c>
      <c r="H25" s="1331">
        <v>1.343</v>
      </c>
      <c r="I25" s="1331">
        <v>13.989000000000001</v>
      </c>
      <c r="J25" s="1331">
        <v>33.204999999999998</v>
      </c>
      <c r="K25" s="1500">
        <f>SUM(G25:J25)</f>
        <v>51.173000000000002</v>
      </c>
      <c r="L25" s="2004"/>
      <c r="N25" s="2004"/>
      <c r="O25" s="2004"/>
      <c r="P25" s="2004"/>
      <c r="Q25" s="24">
        <f xml:space="preserve"> IF( SUM( S25:AA25 ) = 0, 0, $T$4 )</f>
        <v>0</v>
      </c>
      <c r="R25" s="1190"/>
      <c r="S25" s="71"/>
      <c r="T25" s="93">
        <f t="shared" ref="T25:W29" si="38" xml:space="preserve"> IF( ISNUMBER( G25 ), 0, 1 )</f>
        <v>0</v>
      </c>
      <c r="U25" s="93">
        <f t="shared" si="38"/>
        <v>0</v>
      </c>
      <c r="V25" s="93">
        <f t="shared" si="38"/>
        <v>0</v>
      </c>
      <c r="W25" s="93">
        <f t="shared" si="38"/>
        <v>0</v>
      </c>
      <c r="X25" s="2004"/>
      <c r="Z25" s="2004"/>
      <c r="AA25" s="71"/>
      <c r="AB25" s="2004"/>
      <c r="AD25" s="2004"/>
      <c r="AE25" s="2004"/>
      <c r="AF25" s="2004"/>
      <c r="AH25" s="2004"/>
      <c r="AI25" s="1325" t="s">
        <v>8601</v>
      </c>
      <c r="AJ25" s="1326" t="s">
        <v>8624</v>
      </c>
      <c r="AK25" s="2338" t="s">
        <v>8625</v>
      </c>
      <c r="AL25" s="1328" t="s">
        <v>51</v>
      </c>
      <c r="AM25" s="1329">
        <v>3</v>
      </c>
      <c r="AN25" s="1330" t="str">
        <f>$D25&amp;AN$23</f>
        <v>BM3010WR</v>
      </c>
      <c r="AO25" s="1331" t="str">
        <f t="shared" ref="AO25:AR29" si="39">$D25&amp;AO$23</f>
        <v>BM3010RWD</v>
      </c>
      <c r="AP25" s="1331" t="str">
        <f t="shared" si="39"/>
        <v>BM3010WT</v>
      </c>
      <c r="AQ25" s="1331" t="str">
        <f t="shared" si="39"/>
        <v>BM3010TWD</v>
      </c>
      <c r="AR25" s="1500" t="str">
        <f t="shared" si="39"/>
        <v>BM3010CAW</v>
      </c>
      <c r="AS25" s="2004"/>
      <c r="AU25" s="2004"/>
      <c r="AV25" s="2004"/>
    </row>
    <row r="26" spans="1:48" ht="15">
      <c r="A26" s="2004"/>
      <c r="B26" s="1712" t="s">
        <v>8626</v>
      </c>
      <c r="C26" s="1716" t="s">
        <v>8627</v>
      </c>
      <c r="D26" s="2431" t="s">
        <v>8628</v>
      </c>
      <c r="E26" s="1721" t="s">
        <v>51</v>
      </c>
      <c r="F26" s="1722">
        <v>3</v>
      </c>
      <c r="G26" s="1339">
        <v>1.2789999999999999</v>
      </c>
      <c r="H26" s="1340">
        <v>0.54100000000000004</v>
      </c>
      <c r="I26" s="1340">
        <v>3.637</v>
      </c>
      <c r="J26" s="1340">
        <v>12.712</v>
      </c>
      <c r="K26" s="1501">
        <f>SUM(G26:J26)</f>
        <v>18.169</v>
      </c>
      <c r="L26" s="2004"/>
      <c r="N26" s="2004"/>
      <c r="O26" s="2004"/>
      <c r="P26" s="2004"/>
      <c r="Q26" s="24">
        <f xml:space="preserve"> IF( SUM( S26:AA26 ) = 0, 0, $T$4 )</f>
        <v>0</v>
      </c>
      <c r="R26" s="1190"/>
      <c r="S26" s="71"/>
      <c r="T26" s="93">
        <f t="shared" si="38"/>
        <v>0</v>
      </c>
      <c r="U26" s="93">
        <f t="shared" si="38"/>
        <v>0</v>
      </c>
      <c r="V26" s="93">
        <f t="shared" si="38"/>
        <v>0</v>
      </c>
      <c r="W26" s="93">
        <f t="shared" si="38"/>
        <v>0</v>
      </c>
      <c r="X26" s="2004"/>
      <c r="Z26" s="2004"/>
      <c r="AA26" s="71"/>
      <c r="AB26" s="2004"/>
      <c r="AD26" s="2004"/>
      <c r="AE26" s="2004"/>
      <c r="AF26" s="2004"/>
      <c r="AH26" s="2004"/>
      <c r="AI26" s="1334" t="s">
        <v>8604</v>
      </c>
      <c r="AJ26" s="1335" t="s">
        <v>8627</v>
      </c>
      <c r="AK26" s="2339" t="s">
        <v>8628</v>
      </c>
      <c r="AL26" s="1337" t="s">
        <v>51</v>
      </c>
      <c r="AM26" s="1338">
        <v>3</v>
      </c>
      <c r="AN26" s="1339" t="str">
        <f t="shared" ref="AN26:AN29" si="40">$D26&amp;AN$23</f>
        <v>BM3011WR</v>
      </c>
      <c r="AO26" s="1340" t="str">
        <f t="shared" si="39"/>
        <v>BM3011RWD</v>
      </c>
      <c r="AP26" s="1340" t="str">
        <f t="shared" si="39"/>
        <v>BM3011WT</v>
      </c>
      <c r="AQ26" s="1340" t="str">
        <f t="shared" si="39"/>
        <v>BM3011TWD</v>
      </c>
      <c r="AR26" s="1501" t="str">
        <f t="shared" si="39"/>
        <v>BM3011CAW</v>
      </c>
      <c r="AS26" s="2004"/>
      <c r="AU26" s="2004"/>
      <c r="AV26" s="2004"/>
    </row>
    <row r="27" spans="1:48" ht="15">
      <c r="A27" s="2004"/>
      <c r="B27" s="1712" t="s">
        <v>8629</v>
      </c>
      <c r="C27" s="1716" t="s">
        <v>8630</v>
      </c>
      <c r="D27" s="2431" t="s">
        <v>8631</v>
      </c>
      <c r="E27" s="1721" t="s">
        <v>7431</v>
      </c>
      <c r="F27" s="1722">
        <v>0</v>
      </c>
      <c r="G27" s="1353">
        <v>61</v>
      </c>
      <c r="H27" s="1354">
        <v>31</v>
      </c>
      <c r="I27" s="1354">
        <v>325</v>
      </c>
      <c r="J27" s="1354">
        <v>933</v>
      </c>
      <c r="K27" s="1501">
        <f>SUM(G27:J27)</f>
        <v>1350</v>
      </c>
      <c r="L27" s="2004"/>
      <c r="N27" s="2004"/>
      <c r="O27" s="2004"/>
      <c r="P27" s="2004"/>
      <c r="Q27" s="24">
        <f xml:space="preserve"> IF( SUM( S27:AA27 ) = 0, 0, $T$4 )</f>
        <v>0</v>
      </c>
      <c r="R27" s="1190"/>
      <c r="S27" s="71"/>
      <c r="T27" s="93">
        <f t="shared" si="38"/>
        <v>0</v>
      </c>
      <c r="U27" s="93">
        <f t="shared" si="38"/>
        <v>0</v>
      </c>
      <c r="V27" s="93">
        <f t="shared" si="38"/>
        <v>0</v>
      </c>
      <c r="W27" s="93">
        <f t="shared" si="38"/>
        <v>0</v>
      </c>
      <c r="X27" s="2004"/>
      <c r="Z27" s="2004"/>
      <c r="AA27" s="71"/>
      <c r="AB27" s="2004"/>
      <c r="AD27" s="2004"/>
      <c r="AE27" s="2004"/>
      <c r="AF27" s="2004"/>
      <c r="AH27" s="2004"/>
      <c r="AI27" s="1334" t="s">
        <v>8606</v>
      </c>
      <c r="AJ27" s="1335" t="s">
        <v>8632</v>
      </c>
      <c r="AK27" s="2339" t="s">
        <v>8631</v>
      </c>
      <c r="AL27" s="1721" t="s">
        <v>7431</v>
      </c>
      <c r="AM27" s="1338">
        <v>0</v>
      </c>
      <c r="AN27" s="1353" t="str">
        <f t="shared" si="40"/>
        <v>W3030WR</v>
      </c>
      <c r="AO27" s="1354" t="str">
        <f t="shared" si="39"/>
        <v>W3030RWD</v>
      </c>
      <c r="AP27" s="1354" t="str">
        <f t="shared" si="39"/>
        <v>W3030WT</v>
      </c>
      <c r="AQ27" s="1354" t="str">
        <f t="shared" si="39"/>
        <v>W3030TWD</v>
      </c>
      <c r="AR27" s="1501" t="str">
        <f t="shared" si="39"/>
        <v>W3030CAW</v>
      </c>
      <c r="AS27" s="2004"/>
      <c r="AU27" s="2004"/>
      <c r="AV27" s="2004"/>
    </row>
    <row r="28" spans="1:48" ht="15">
      <c r="A28" s="2004"/>
      <c r="B28" s="1712" t="s">
        <v>8633</v>
      </c>
      <c r="C28" s="1716" t="s">
        <v>8634</v>
      </c>
      <c r="D28" s="2431" t="s">
        <v>8635</v>
      </c>
      <c r="E28" s="1721" t="s">
        <v>7431</v>
      </c>
      <c r="F28" s="1722">
        <v>0</v>
      </c>
      <c r="G28" s="1353">
        <v>34</v>
      </c>
      <c r="H28" s="1354">
        <v>12</v>
      </c>
      <c r="I28" s="1354">
        <v>86</v>
      </c>
      <c r="J28" s="1354">
        <v>286</v>
      </c>
      <c r="K28" s="1501">
        <f>SUM(G28:J28)</f>
        <v>418</v>
      </c>
      <c r="L28" s="2004"/>
      <c r="N28" s="2004"/>
      <c r="O28" s="2004"/>
      <c r="P28" s="2004"/>
      <c r="Q28" s="24">
        <f xml:space="preserve"> IF( SUM( S28:AA28 ) = 0, 0, $T$4 )</f>
        <v>0</v>
      </c>
      <c r="R28" s="1190"/>
      <c r="S28" s="71"/>
      <c r="T28" s="93">
        <f t="shared" si="38"/>
        <v>0</v>
      </c>
      <c r="U28" s="93">
        <f t="shared" si="38"/>
        <v>0</v>
      </c>
      <c r="V28" s="93">
        <f t="shared" si="38"/>
        <v>0</v>
      </c>
      <c r="W28" s="93">
        <f t="shared" si="38"/>
        <v>0</v>
      </c>
      <c r="X28" s="2004"/>
      <c r="Z28" s="2004"/>
      <c r="AA28" s="71"/>
      <c r="AB28" s="2004"/>
      <c r="AD28" s="2004"/>
      <c r="AE28" s="2004"/>
      <c r="AF28" s="2004"/>
      <c r="AH28" s="2004"/>
      <c r="AI28" s="1334" t="s">
        <v>8610</v>
      </c>
      <c r="AJ28" s="1335" t="s">
        <v>8636</v>
      </c>
      <c r="AK28" s="2339" t="s">
        <v>8635</v>
      </c>
      <c r="AL28" s="1721" t="s">
        <v>7431</v>
      </c>
      <c r="AM28" s="1338">
        <v>0</v>
      </c>
      <c r="AN28" s="1353" t="str">
        <f t="shared" si="40"/>
        <v>W3031WR</v>
      </c>
      <c r="AO28" s="1354" t="str">
        <f t="shared" si="39"/>
        <v>W3031RWD</v>
      </c>
      <c r="AP28" s="1354" t="str">
        <f t="shared" si="39"/>
        <v>W3031WT</v>
      </c>
      <c r="AQ28" s="1354" t="str">
        <f t="shared" si="39"/>
        <v>W3031TWD</v>
      </c>
      <c r="AR28" s="1501" t="str">
        <f t="shared" si="39"/>
        <v>W3031CAW</v>
      </c>
      <c r="AS28" s="2004"/>
      <c r="AU28" s="2004"/>
      <c r="AV28" s="2004"/>
    </row>
    <row r="29" spans="1:48" ht="15.75" thickBot="1">
      <c r="A29" s="2004"/>
      <c r="B29" s="1713" t="s">
        <v>8637</v>
      </c>
      <c r="C29" s="1728" t="s">
        <v>8638</v>
      </c>
      <c r="D29" s="2335" t="s">
        <v>8639</v>
      </c>
      <c r="E29" s="1726" t="s">
        <v>51</v>
      </c>
      <c r="F29" s="1727">
        <v>3</v>
      </c>
      <c r="G29" s="1355">
        <v>0</v>
      </c>
      <c r="H29" s="1356">
        <v>0</v>
      </c>
      <c r="I29" s="1356">
        <v>0</v>
      </c>
      <c r="J29" s="1356">
        <v>3.5110000000000001</v>
      </c>
      <c r="K29" s="1502">
        <f>SUM(G29:J29)</f>
        <v>3.5110000000000001</v>
      </c>
      <c r="L29" s="2004"/>
      <c r="N29" s="2004"/>
      <c r="O29" s="2004"/>
      <c r="P29" s="2004"/>
      <c r="Q29" s="24">
        <f xml:space="preserve"> IF( SUM( S29:AA29 ) = 0, 0, $T$4 )</f>
        <v>0</v>
      </c>
      <c r="R29" s="1190"/>
      <c r="S29" s="71"/>
      <c r="T29" s="93">
        <f t="shared" si="38"/>
        <v>0</v>
      </c>
      <c r="U29" s="93">
        <f t="shared" si="38"/>
        <v>0</v>
      </c>
      <c r="V29" s="93">
        <f t="shared" si="38"/>
        <v>0</v>
      </c>
      <c r="W29" s="93">
        <f t="shared" si="38"/>
        <v>0</v>
      </c>
      <c r="X29" s="2004"/>
      <c r="Z29" s="2004"/>
      <c r="AA29" s="71"/>
      <c r="AB29" s="2004"/>
      <c r="AD29" s="2004"/>
      <c r="AE29" s="2004"/>
      <c r="AF29" s="2004"/>
      <c r="AH29" s="2004"/>
      <c r="AI29" s="1347" t="s">
        <v>8612</v>
      </c>
      <c r="AJ29" s="1489" t="s">
        <v>8638</v>
      </c>
      <c r="AK29" s="2340" t="s">
        <v>8639</v>
      </c>
      <c r="AL29" s="1350" t="s">
        <v>51</v>
      </c>
      <c r="AM29" s="1488">
        <v>3</v>
      </c>
      <c r="AN29" s="1355" t="str">
        <f t="shared" si="40"/>
        <v>W3032WR</v>
      </c>
      <c r="AO29" s="1356" t="str">
        <f t="shared" si="39"/>
        <v>W3032RWD</v>
      </c>
      <c r="AP29" s="1356" t="str">
        <f t="shared" si="39"/>
        <v>W3032WT</v>
      </c>
      <c r="AQ29" s="1356" t="str">
        <f t="shared" si="39"/>
        <v>W3032TWD</v>
      </c>
      <c r="AR29" s="1502" t="str">
        <f t="shared" si="39"/>
        <v>W3032CAW</v>
      </c>
      <c r="AS29" s="2004"/>
      <c r="AU29" s="2004"/>
      <c r="AV29" s="2004"/>
    </row>
    <row r="30" spans="1:48" ht="15" thickBot="1">
      <c r="A30" s="1322"/>
      <c r="B30" s="1323"/>
      <c r="C30" s="1322"/>
      <c r="D30" s="2337"/>
      <c r="E30" s="1322"/>
      <c r="F30" s="1172"/>
      <c r="G30" s="1357"/>
      <c r="H30" s="1357"/>
      <c r="I30" s="1357"/>
      <c r="J30" s="1357"/>
      <c r="K30" s="1322"/>
      <c r="L30" s="2004"/>
      <c r="N30" s="2004"/>
      <c r="O30" s="2004"/>
      <c r="P30" s="2004"/>
      <c r="Q30" s="2004"/>
      <c r="R30" s="2004"/>
      <c r="T30" s="2004"/>
      <c r="U30" s="2004"/>
      <c r="V30" s="2004"/>
      <c r="W30" s="2004"/>
      <c r="X30" s="2004"/>
      <c r="Z30" s="2004"/>
      <c r="AB30" s="2004"/>
      <c r="AD30" s="2004"/>
      <c r="AE30" s="2004"/>
      <c r="AF30" s="2004"/>
      <c r="AH30" s="2004"/>
      <c r="AI30" s="1323"/>
      <c r="AJ30" s="1322"/>
      <c r="AK30" s="2337"/>
      <c r="AL30" s="1322"/>
      <c r="AM30" s="1322"/>
      <c r="AN30" s="1357"/>
      <c r="AO30" s="1357"/>
      <c r="AP30" s="1357"/>
      <c r="AQ30" s="1357"/>
      <c r="AR30" s="1322"/>
      <c r="AS30" s="2004"/>
      <c r="AU30" s="2004"/>
      <c r="AV30" s="2004"/>
    </row>
    <row r="31" spans="1:48" ht="15.75" thickBot="1">
      <c r="A31" s="2004"/>
      <c r="B31" s="3034" t="s">
        <v>335</v>
      </c>
      <c r="C31" s="1060" t="s">
        <v>7094</v>
      </c>
      <c r="D31" s="2336"/>
      <c r="E31" s="2004"/>
      <c r="F31" s="26"/>
      <c r="G31" s="1358"/>
      <c r="H31" s="1358"/>
      <c r="I31" s="1358"/>
      <c r="J31" s="1358"/>
      <c r="K31" s="2004"/>
      <c r="L31" s="2004"/>
      <c r="N31" s="2004"/>
      <c r="O31" s="2004"/>
      <c r="P31" s="2004"/>
      <c r="Q31" s="2004"/>
      <c r="R31" s="2004"/>
      <c r="T31" s="2004"/>
      <c r="U31" s="2004"/>
      <c r="V31" s="2004"/>
      <c r="W31" s="2004"/>
      <c r="X31" s="2004"/>
      <c r="Z31" s="2004"/>
      <c r="AB31" s="2004"/>
      <c r="AD31" s="2004"/>
      <c r="AE31" s="2004"/>
      <c r="AF31" s="2004"/>
      <c r="AH31" s="2004"/>
      <c r="AI31" s="3034" t="s">
        <v>335</v>
      </c>
      <c r="AJ31" s="1060" t="s">
        <v>7094</v>
      </c>
      <c r="AK31" s="2336"/>
      <c r="AL31" s="2004"/>
      <c r="AM31" s="2004"/>
      <c r="AN31" s="1358"/>
      <c r="AO31" s="1358"/>
      <c r="AP31" s="1358"/>
      <c r="AQ31" s="1358"/>
      <c r="AR31" s="2004"/>
      <c r="AS31" s="2004"/>
      <c r="AU31" s="2004"/>
      <c r="AV31" s="2004"/>
    </row>
    <row r="32" spans="1:48" ht="15">
      <c r="A32" s="2004"/>
      <c r="B32" s="1712" t="s">
        <v>8640</v>
      </c>
      <c r="C32" s="1715" t="s">
        <v>8641</v>
      </c>
      <c r="D32" s="2332" t="s">
        <v>8642</v>
      </c>
      <c r="E32" s="1729" t="s">
        <v>51</v>
      </c>
      <c r="F32" s="1720">
        <v>3</v>
      </c>
      <c r="G32" s="1490">
        <v>4.968</v>
      </c>
      <c r="H32" s="1332">
        <v>0</v>
      </c>
      <c r="I32" s="1331">
        <v>5.0000000000000001E-3</v>
      </c>
      <c r="J32" s="1331">
        <v>0</v>
      </c>
      <c r="K32" s="1670">
        <f>SUM(G32:J32)</f>
        <v>4.9729999999999999</v>
      </c>
      <c r="L32" s="2004"/>
      <c r="N32" s="2004"/>
      <c r="O32" s="2004"/>
      <c r="P32" s="2004"/>
      <c r="Q32" s="24">
        <f xml:space="preserve"> IF( SUM( S32:AA32 ) = 0, 0, $T$4 )</f>
        <v>0</v>
      </c>
      <c r="R32" s="1190"/>
      <c r="S32" s="71"/>
      <c r="T32" s="93">
        <f t="shared" ref="T32:T34" si="41" xml:space="preserve"> IF( ISNUMBER( G32 ), 0, 1 )</f>
        <v>0</v>
      </c>
      <c r="U32" s="93">
        <f t="shared" ref="U32:U34" si="42" xml:space="preserve"> IF( ISNUMBER( H32 ), 0, 1 )</f>
        <v>0</v>
      </c>
      <c r="V32" s="93">
        <f t="shared" ref="V32:W34" si="43" xml:space="preserve"> IF( ISNUMBER( I32 ), 0, 1 )</f>
        <v>0</v>
      </c>
      <c r="W32" s="93">
        <f t="shared" si="43"/>
        <v>0</v>
      </c>
      <c r="X32" s="2004"/>
      <c r="Z32" s="2004"/>
      <c r="AA32" s="71"/>
      <c r="AB32" s="2004"/>
      <c r="AD32" s="2004"/>
      <c r="AE32" s="2004"/>
      <c r="AF32" s="2004"/>
      <c r="AH32" s="2004"/>
      <c r="AI32" s="1334" t="s">
        <v>8623</v>
      </c>
      <c r="AJ32" s="1335" t="s">
        <v>8641</v>
      </c>
      <c r="AK32" s="2341" t="s">
        <v>8642</v>
      </c>
      <c r="AL32" s="1494" t="s">
        <v>51</v>
      </c>
      <c r="AM32" s="1329">
        <v>3</v>
      </c>
      <c r="AN32" s="1490" t="str">
        <f t="shared" ref="AN32:AR34" si="44">$D32&amp;AN$23</f>
        <v>W3033WR</v>
      </c>
      <c r="AO32" s="1490" t="str">
        <f t="shared" si="44"/>
        <v>W3033RWD</v>
      </c>
      <c r="AP32" s="1490" t="str">
        <f t="shared" si="44"/>
        <v>W3033WT</v>
      </c>
      <c r="AQ32" s="1490" t="str">
        <f t="shared" si="44"/>
        <v>W3033TWD</v>
      </c>
      <c r="AR32" s="1670" t="str">
        <f t="shared" si="44"/>
        <v>W3033CAW</v>
      </c>
      <c r="AS32" s="2004"/>
      <c r="AU32" s="2004"/>
      <c r="AV32" s="2004"/>
    </row>
    <row r="33" spans="1:44" ht="15">
      <c r="A33" s="2004"/>
      <c r="B33" s="1712" t="s">
        <v>8643</v>
      </c>
      <c r="C33" s="1715" t="s">
        <v>8644</v>
      </c>
      <c r="D33" s="2333" t="s">
        <v>8645</v>
      </c>
      <c r="E33" s="1723" t="s">
        <v>51</v>
      </c>
      <c r="F33" s="1722">
        <v>3</v>
      </c>
      <c r="G33" s="1345">
        <v>0.57999999999999996</v>
      </c>
      <c r="H33" s="1341">
        <v>0</v>
      </c>
      <c r="I33" s="1340">
        <v>0</v>
      </c>
      <c r="J33" s="1340">
        <v>0</v>
      </c>
      <c r="K33" s="1501">
        <f>SUM(G33:J33)</f>
        <v>0.57999999999999996</v>
      </c>
      <c r="L33" s="2004"/>
      <c r="N33" s="2004"/>
      <c r="O33" s="2004"/>
      <c r="P33" s="2004"/>
      <c r="Q33" s="24">
        <f xml:space="preserve"> IF( SUM( S33:AA33 ) = 0, 0, $T$4 )</f>
        <v>0</v>
      </c>
      <c r="R33" s="1190"/>
      <c r="S33" s="71"/>
      <c r="T33" s="93">
        <f t="shared" si="41"/>
        <v>0</v>
      </c>
      <c r="U33" s="93">
        <f t="shared" si="42"/>
        <v>0</v>
      </c>
      <c r="V33" s="93">
        <f t="shared" si="43"/>
        <v>0</v>
      </c>
      <c r="W33" s="93">
        <f t="shared" si="43"/>
        <v>0</v>
      </c>
      <c r="X33" s="2004"/>
      <c r="Z33" s="2004"/>
      <c r="AA33" s="71"/>
      <c r="AB33" s="2004"/>
      <c r="AD33" s="2004"/>
      <c r="AE33" s="2004"/>
      <c r="AF33" s="2004"/>
      <c r="AH33" s="2004"/>
      <c r="AI33" s="1334" t="s">
        <v>8626</v>
      </c>
      <c r="AJ33" s="1335" t="s">
        <v>8644</v>
      </c>
      <c r="AK33" s="2342" t="s">
        <v>8645</v>
      </c>
      <c r="AL33" s="1344" t="s">
        <v>51</v>
      </c>
      <c r="AM33" s="1338">
        <v>3</v>
      </c>
      <c r="AN33" s="1345" t="str">
        <f t="shared" si="44"/>
        <v>W3034WR</v>
      </c>
      <c r="AO33" s="1345" t="str">
        <f t="shared" si="44"/>
        <v>W3034RWD</v>
      </c>
      <c r="AP33" s="1345" t="str">
        <f t="shared" si="44"/>
        <v>W3034WT</v>
      </c>
      <c r="AQ33" s="1345" t="str">
        <f t="shared" si="44"/>
        <v>W3034TWD</v>
      </c>
      <c r="AR33" s="1501" t="str">
        <f t="shared" si="44"/>
        <v>W3034CAW</v>
      </c>
    </row>
    <row r="34" spans="1:44" ht="18" customHeight="1" thickBot="1">
      <c r="A34" s="2004"/>
      <c r="B34" s="1713" t="s">
        <v>8646</v>
      </c>
      <c r="C34" s="1718" t="s">
        <v>8647</v>
      </c>
      <c r="D34" s="2335" t="s">
        <v>8648</v>
      </c>
      <c r="E34" s="1726" t="s">
        <v>51</v>
      </c>
      <c r="F34" s="1727">
        <v>3</v>
      </c>
      <c r="G34" s="1355">
        <v>0</v>
      </c>
      <c r="H34" s="1356">
        <v>0</v>
      </c>
      <c r="I34" s="1356">
        <v>0</v>
      </c>
      <c r="J34" s="2935">
        <v>0</v>
      </c>
      <c r="K34" s="1502">
        <f>SUM(G34:J34)</f>
        <v>0</v>
      </c>
      <c r="L34" s="2004"/>
      <c r="N34" s="2004"/>
      <c r="O34" s="2004"/>
      <c r="P34" s="2004"/>
      <c r="Q34" s="1370">
        <f>IF(SUM(S34:AA34)&lt;&gt;0,T4,IF(SUM(AA34:AC34)=0,0,$AF$34))</f>
        <v>0</v>
      </c>
      <c r="R34" s="1190"/>
      <c r="S34" s="71"/>
      <c r="T34" s="93">
        <f t="shared" si="41"/>
        <v>0</v>
      </c>
      <c r="U34" s="93">
        <f t="shared" si="42"/>
        <v>0</v>
      </c>
      <c r="V34" s="93">
        <f t="shared" si="43"/>
        <v>0</v>
      </c>
      <c r="W34" s="93">
        <f t="shared" si="43"/>
        <v>0</v>
      </c>
      <c r="X34" s="2004"/>
      <c r="Z34" s="2004"/>
      <c r="AA34" s="71"/>
      <c r="AB34" s="93">
        <f xml:space="preserve"> IF( (AD34 - AE34) = 0, 0, 1 )</f>
        <v>0</v>
      </c>
      <c r="AC34" s="124"/>
      <c r="AD34" s="112">
        <f>ROUND(+K34+K33+K32,3)</f>
        <v>5.5529999999999999</v>
      </c>
      <c r="AE34" s="112">
        <f>ROUND(+'4D'!M9,3)</f>
        <v>5.5529999999999999</v>
      </c>
      <c r="AF34" s="2068" t="s">
        <v>8649</v>
      </c>
      <c r="AG34" s="124"/>
      <c r="AH34" s="2004"/>
      <c r="AI34" s="1347" t="s">
        <v>8629</v>
      </c>
      <c r="AJ34" s="1348" t="s">
        <v>8650</v>
      </c>
      <c r="AK34" s="2340" t="s">
        <v>8648</v>
      </c>
      <c r="AL34" s="1350" t="s">
        <v>51</v>
      </c>
      <c r="AM34" s="1488">
        <v>3</v>
      </c>
      <c r="AN34" s="1355" t="str">
        <f t="shared" si="44"/>
        <v>W3035WR</v>
      </c>
      <c r="AO34" s="1355" t="str">
        <f t="shared" si="44"/>
        <v>W3035RWD</v>
      </c>
      <c r="AP34" s="1355" t="str">
        <f t="shared" si="44"/>
        <v>W3035WT</v>
      </c>
      <c r="AQ34" s="1355" t="str">
        <f t="shared" si="44"/>
        <v>W3035TWD</v>
      </c>
      <c r="AR34" s="1502" t="str">
        <f t="shared" si="44"/>
        <v>W3035CAW</v>
      </c>
    </row>
    <row r="35" spans="1:44" ht="15" thickBot="1">
      <c r="A35" s="1322"/>
      <c r="B35" s="1323"/>
      <c r="C35" s="1322"/>
      <c r="D35" s="2337"/>
      <c r="E35" s="1172"/>
      <c r="F35" s="1172"/>
      <c r="G35" s="1357"/>
      <c r="H35" s="1357"/>
      <c r="I35" s="1357"/>
      <c r="J35" s="1357"/>
      <c r="K35" s="1322"/>
      <c r="L35" s="2004"/>
      <c r="N35" s="2004"/>
      <c r="O35" s="2004"/>
      <c r="P35" s="2004"/>
      <c r="Q35" s="2004"/>
      <c r="R35" s="2004"/>
      <c r="T35" s="2004"/>
      <c r="U35" s="2004"/>
      <c r="V35" s="2004"/>
      <c r="W35" s="2004"/>
      <c r="X35" s="2004"/>
      <c r="Z35" s="2004"/>
      <c r="AB35" s="2004"/>
      <c r="AD35" s="2004"/>
      <c r="AE35" s="2004"/>
      <c r="AF35" s="2004"/>
      <c r="AH35" s="2004"/>
      <c r="AI35" s="1323"/>
      <c r="AJ35" s="1322"/>
      <c r="AK35" s="2337"/>
      <c r="AL35" s="1322"/>
      <c r="AM35" s="1322"/>
      <c r="AN35" s="1357"/>
      <c r="AO35" s="1357"/>
      <c r="AP35" s="1357"/>
      <c r="AQ35" s="1357"/>
      <c r="AR35" s="1322"/>
    </row>
    <row r="36" spans="1:44" ht="15.75" thickBot="1">
      <c r="A36" s="2004"/>
      <c r="B36" s="1713" t="s">
        <v>8651</v>
      </c>
      <c r="C36" s="1718" t="s">
        <v>8652</v>
      </c>
      <c r="D36" s="1706" t="s">
        <v>8653</v>
      </c>
      <c r="E36" s="1730" t="s">
        <v>51</v>
      </c>
      <c r="F36" s="1731">
        <v>3</v>
      </c>
      <c r="G36" s="1492">
        <v>0</v>
      </c>
      <c r="H36" s="1493">
        <v>0</v>
      </c>
      <c r="I36" s="1493">
        <v>0</v>
      </c>
      <c r="J36" s="1493">
        <v>0</v>
      </c>
      <c r="K36" s="1671">
        <f>SUM(G36:J36)</f>
        <v>0</v>
      </c>
      <c r="L36" s="2004"/>
      <c r="N36" s="2004"/>
      <c r="O36" s="2004"/>
      <c r="P36" s="2004"/>
      <c r="Q36" s="24">
        <f xml:space="preserve"> IF( SUM( S36:AA36 ) = 0, 0, $T$4 )</f>
        <v>0</v>
      </c>
      <c r="R36" s="1190"/>
      <c r="S36" s="71"/>
      <c r="T36" s="93">
        <f xml:space="preserve"> IF( ISNUMBER( G36 ), 0, 1 )</f>
        <v>0</v>
      </c>
      <c r="U36" s="93">
        <f xml:space="preserve"> IF( ISNUMBER( H36 ), 0, 1 )</f>
        <v>0</v>
      </c>
      <c r="V36" s="93">
        <f xml:space="preserve"> IF( ISNUMBER( I36 ), 0, 1 )</f>
        <v>0</v>
      </c>
      <c r="W36" s="93">
        <f xml:space="preserve"> IF( ISNUMBER( J36 ), 0, 1 )</f>
        <v>0</v>
      </c>
      <c r="X36" s="2004"/>
      <c r="Z36" s="2004"/>
      <c r="AA36" s="71"/>
      <c r="AB36" s="2004"/>
      <c r="AD36" s="2004"/>
      <c r="AE36" s="2004"/>
      <c r="AF36" s="2004"/>
      <c r="AH36" s="2004"/>
      <c r="AI36" s="1347" t="s">
        <v>8633</v>
      </c>
      <c r="AJ36" s="1348" t="s">
        <v>8652</v>
      </c>
      <c r="AK36" s="2343" t="s">
        <v>8653</v>
      </c>
      <c r="AL36" s="1495" t="s">
        <v>51</v>
      </c>
      <c r="AM36" s="1496">
        <v>3</v>
      </c>
      <c r="AN36" s="1492" t="str">
        <f t="shared" ref="AN36:AR36" si="45">$D36&amp;AN$23</f>
        <v>W3036WR</v>
      </c>
      <c r="AO36" s="1493" t="str">
        <f t="shared" si="45"/>
        <v>W3036RWD</v>
      </c>
      <c r="AP36" s="1493" t="str">
        <f t="shared" si="45"/>
        <v>W3036WT</v>
      </c>
      <c r="AQ36" s="1493" t="str">
        <f t="shared" si="45"/>
        <v>W3036TWD</v>
      </c>
      <c r="AR36" s="1671" t="str">
        <f t="shared" si="45"/>
        <v>W3036CAW</v>
      </c>
    </row>
    <row r="37" spans="1:44" ht="14.25">
      <c r="A37" s="1322"/>
      <c r="B37" s="1323"/>
      <c r="C37" s="1322"/>
      <c r="D37" s="1322"/>
      <c r="E37" s="1322"/>
      <c r="F37" s="1322"/>
      <c r="G37" s="1357"/>
      <c r="H37" s="1357"/>
      <c r="I37" s="1357"/>
      <c r="J37" s="1357"/>
      <c r="K37" s="1322"/>
      <c r="L37" s="2004"/>
      <c r="N37" s="2004"/>
      <c r="O37" s="2004"/>
      <c r="P37" s="2004"/>
      <c r="Q37" s="2004"/>
      <c r="R37" s="2004"/>
      <c r="T37" s="2004"/>
      <c r="U37" s="2004"/>
      <c r="V37" s="2004"/>
      <c r="W37" s="2004"/>
      <c r="X37" s="2004"/>
      <c r="Z37" s="2004"/>
      <c r="AB37" s="2004"/>
      <c r="AD37" s="2004"/>
      <c r="AE37" s="2004"/>
      <c r="AF37" s="2004"/>
      <c r="AH37" s="2004"/>
      <c r="AI37" s="2004"/>
      <c r="AJ37" s="2004"/>
      <c r="AK37" s="49"/>
      <c r="AL37" s="2004"/>
      <c r="AM37" s="2004"/>
      <c r="AN37" s="2004"/>
      <c r="AO37" s="2004"/>
      <c r="AP37" s="2004"/>
      <c r="AQ37" s="2004"/>
      <c r="AR37" s="2004"/>
    </row>
    <row r="38" spans="1:44" ht="15">
      <c r="A38" s="1030"/>
      <c r="B38" s="3581" t="s">
        <v>243</v>
      </c>
      <c r="C38" s="3581"/>
      <c r="D38" s="1025"/>
      <c r="E38" s="1026"/>
      <c r="F38" s="1027"/>
      <c r="G38" s="2004"/>
      <c r="H38" s="2004"/>
      <c r="I38" s="2004"/>
      <c r="J38" s="2004"/>
      <c r="K38" s="2004"/>
      <c r="L38" s="2004"/>
      <c r="N38" s="2004"/>
      <c r="O38" s="1033"/>
      <c r="P38" s="1033"/>
      <c r="Q38" s="1033"/>
      <c r="R38" s="1190"/>
      <c r="T38" s="2004"/>
      <c r="U38" s="2004"/>
      <c r="V38" s="1033"/>
      <c r="W38" s="1033"/>
      <c r="X38" s="2004"/>
      <c r="Z38" s="2004"/>
      <c r="AB38" s="2004"/>
      <c r="AD38" s="2004"/>
      <c r="AE38" s="2004"/>
      <c r="AF38" s="2004"/>
      <c r="AH38" s="2004"/>
      <c r="AI38" s="2004"/>
      <c r="AJ38" s="2004"/>
      <c r="AK38" s="49"/>
      <c r="AL38" s="2004"/>
      <c r="AM38" s="2004"/>
      <c r="AN38" s="2004"/>
      <c r="AO38" s="2004"/>
      <c r="AP38" s="2004"/>
      <c r="AQ38" s="2004"/>
      <c r="AR38" s="2004"/>
    </row>
    <row r="39" spans="1:44" ht="15">
      <c r="A39" s="1030"/>
      <c r="B39" s="1024"/>
      <c r="C39" s="1031"/>
      <c r="D39" s="1025"/>
      <c r="E39" s="1026"/>
      <c r="F39" s="1027"/>
      <c r="G39" s="2002"/>
      <c r="H39" s="2002"/>
      <c r="I39" s="2002"/>
      <c r="J39" s="2002"/>
      <c r="K39" s="2002"/>
      <c r="L39" s="2002"/>
      <c r="M39" s="2002"/>
      <c r="N39" s="2002"/>
      <c r="O39" s="1033"/>
      <c r="P39" s="1033"/>
      <c r="Q39" s="1033"/>
      <c r="R39" s="1190"/>
      <c r="T39" s="2004"/>
      <c r="U39" s="2004"/>
      <c r="V39" s="1033"/>
      <c r="W39" s="1033"/>
      <c r="X39" s="2004"/>
      <c r="Z39" s="2004"/>
      <c r="AB39" s="2004"/>
      <c r="AD39" s="2004"/>
      <c r="AE39" s="2004"/>
      <c r="AF39" s="2004"/>
      <c r="AH39" s="2004"/>
      <c r="AI39" s="2004"/>
      <c r="AJ39" s="2004"/>
      <c r="AK39" s="49"/>
      <c r="AL39" s="2004"/>
      <c r="AM39" s="2004"/>
      <c r="AN39" s="2004"/>
      <c r="AO39" s="2004"/>
      <c r="AP39" s="2004"/>
      <c r="AQ39" s="2004"/>
      <c r="AR39" s="2004"/>
    </row>
    <row r="40" spans="1:44" ht="15">
      <c r="A40" s="1216"/>
      <c r="B40" s="1247"/>
      <c r="C40" s="1125" t="s">
        <v>190</v>
      </c>
      <c r="D40" s="959"/>
      <c r="E40" s="1216"/>
      <c r="F40" s="1216"/>
      <c r="G40" s="1216"/>
      <c r="H40" s="1216"/>
      <c r="I40" s="1216"/>
      <c r="J40" s="1216"/>
      <c r="K40" s="1216"/>
      <c r="L40" s="1216"/>
      <c r="M40" s="1216"/>
      <c r="N40" s="1216"/>
      <c r="O40" s="1216"/>
      <c r="P40" s="1216"/>
      <c r="Q40" s="1216"/>
      <c r="R40" s="1216"/>
      <c r="S40" s="1672"/>
      <c r="T40" s="1308"/>
      <c r="U40" s="1308"/>
      <c r="V40" s="1308"/>
      <c r="W40" s="1308"/>
      <c r="X40" s="1359"/>
      <c r="Y40" s="1359"/>
      <c r="Z40" s="2004"/>
      <c r="AB40" s="2004"/>
      <c r="AD40" s="2004"/>
      <c r="AE40" s="2004"/>
      <c r="AF40" s="2004"/>
      <c r="AH40" s="2004"/>
      <c r="AI40" s="2004"/>
      <c r="AJ40" s="2004"/>
      <c r="AK40" s="49"/>
      <c r="AL40" s="2004"/>
      <c r="AM40" s="2004"/>
      <c r="AN40" s="2004"/>
      <c r="AO40" s="2004"/>
      <c r="AP40" s="2004"/>
      <c r="AQ40" s="2004"/>
      <c r="AR40" s="2004"/>
    </row>
    <row r="41" spans="1:44" ht="15">
      <c r="A41" s="1190"/>
      <c r="B41" s="1190"/>
      <c r="C41" s="1190"/>
      <c r="D41" s="1190"/>
      <c r="E41" s="1190"/>
      <c r="F41" s="1190"/>
      <c r="G41" s="1190"/>
      <c r="H41" s="1190"/>
      <c r="I41" s="1190"/>
      <c r="J41" s="1190"/>
      <c r="K41" s="1190"/>
      <c r="L41" s="1190"/>
      <c r="M41" s="1190"/>
      <c r="N41" s="1190"/>
      <c r="O41" s="1190"/>
      <c r="P41" s="1190"/>
      <c r="Q41" s="1190"/>
      <c r="R41" s="1190"/>
      <c r="S41" s="1668"/>
      <c r="T41" s="1190"/>
      <c r="U41" s="1190"/>
      <c r="V41" s="1190"/>
      <c r="W41" s="1190"/>
      <c r="X41" s="1190"/>
      <c r="Y41" s="1190"/>
      <c r="Z41" s="2004"/>
      <c r="AB41" s="2004"/>
      <c r="AD41" s="2004"/>
      <c r="AE41" s="2004"/>
      <c r="AF41" s="2004"/>
      <c r="AH41" s="2004"/>
      <c r="AI41" s="2004"/>
      <c r="AJ41" s="2004"/>
      <c r="AK41" s="49"/>
      <c r="AL41" s="2004"/>
      <c r="AM41" s="2004"/>
      <c r="AN41" s="2004"/>
      <c r="AO41" s="2004"/>
      <c r="AP41" s="2004"/>
      <c r="AQ41" s="2004"/>
      <c r="AR41" s="2004"/>
    </row>
    <row r="42" spans="1:44" ht="14.25" customHeight="1">
      <c r="A42" s="1218"/>
      <c r="B42" s="960"/>
      <c r="C42" s="1249" t="s">
        <v>5294</v>
      </c>
      <c r="D42" s="1218"/>
      <c r="E42" s="1218"/>
      <c r="F42" s="1218"/>
      <c r="G42" s="1218"/>
      <c r="H42" s="1218"/>
      <c r="I42" s="1218"/>
      <c r="J42" s="1218"/>
      <c r="K42" s="1218"/>
      <c r="L42" s="1218"/>
      <c r="M42" s="1218"/>
      <c r="N42" s="1218"/>
      <c r="O42" s="1218"/>
      <c r="P42" s="1218"/>
      <c r="Q42" s="1218"/>
      <c r="R42" s="1218"/>
      <c r="S42" s="1669"/>
      <c r="T42" s="1218"/>
      <c r="U42" s="1218"/>
      <c r="V42" s="1218"/>
      <c r="W42" s="1218"/>
      <c r="X42" s="1218"/>
      <c r="Y42" s="1218"/>
      <c r="Z42" s="2004"/>
      <c r="AB42" s="2004"/>
      <c r="AD42" s="2004"/>
      <c r="AE42" s="2004"/>
      <c r="AF42" s="2004"/>
      <c r="AH42" s="2004"/>
      <c r="AI42" s="2004"/>
      <c r="AJ42" s="2004"/>
      <c r="AK42" s="2004"/>
      <c r="AL42" s="2004"/>
      <c r="AM42" s="2004"/>
      <c r="AN42" s="2004"/>
      <c r="AO42" s="2004"/>
      <c r="AP42" s="2004"/>
      <c r="AQ42" s="2004"/>
      <c r="AR42" s="2004"/>
    </row>
    <row r="43" spans="1:44" ht="14.25" customHeight="1">
      <c r="A43" s="2004"/>
      <c r="B43" s="564"/>
      <c r="C43" s="2004"/>
      <c r="D43" s="2004"/>
      <c r="E43" s="2004"/>
      <c r="F43" s="2004"/>
      <c r="G43" s="2004"/>
      <c r="H43" s="2004"/>
      <c r="I43" s="2004"/>
      <c r="J43" s="2004"/>
      <c r="K43" s="2004"/>
      <c r="L43" s="2004"/>
      <c r="N43" s="2004"/>
      <c r="O43" s="2004"/>
      <c r="P43" s="2004"/>
      <c r="Q43" s="2004"/>
      <c r="R43" s="2004"/>
      <c r="T43" s="2004"/>
      <c r="U43" s="2004"/>
      <c r="V43" s="2004"/>
      <c r="W43" s="2004"/>
      <c r="X43" s="2004"/>
      <c r="Z43" s="2004"/>
      <c r="AB43" s="2004"/>
      <c r="AD43" s="2004"/>
      <c r="AE43" s="2004"/>
      <c r="AF43" s="2004"/>
      <c r="AH43" s="2004"/>
      <c r="AI43" s="2004"/>
      <c r="AJ43" s="2004"/>
      <c r="AK43" s="2004"/>
      <c r="AL43" s="2004"/>
      <c r="AM43" s="2004"/>
      <c r="AN43" s="2004"/>
      <c r="AO43" s="2004"/>
      <c r="AP43" s="2004"/>
      <c r="AQ43" s="2004"/>
      <c r="AR43" s="2004"/>
    </row>
    <row r="44" spans="1:44" ht="14.25" customHeight="1" thickBot="1">
      <c r="A44" s="2004"/>
      <c r="B44" s="564"/>
      <c r="C44" s="2004"/>
      <c r="D44" s="2004"/>
      <c r="E44" s="2004"/>
      <c r="F44" s="2004"/>
      <c r="G44" s="2004"/>
      <c r="H44" s="2004"/>
      <c r="I44" s="2004"/>
      <c r="J44" s="2004"/>
      <c r="K44" s="2004"/>
      <c r="L44" s="2004"/>
      <c r="N44" s="2004"/>
      <c r="O44" s="2004"/>
      <c r="P44" s="2004"/>
      <c r="Q44" s="2004"/>
      <c r="R44" s="2004"/>
      <c r="T44" s="2004"/>
      <c r="U44" s="2004"/>
      <c r="V44" s="2004"/>
      <c r="W44" s="2004"/>
      <c r="X44" s="2004"/>
      <c r="Z44" s="2004"/>
      <c r="AB44" s="2004"/>
      <c r="AD44" s="2004"/>
      <c r="AE44" s="2004"/>
      <c r="AF44" s="2004"/>
      <c r="AH44" s="2004"/>
      <c r="AI44" s="2004"/>
      <c r="AJ44" s="2004"/>
      <c r="AK44" s="2004"/>
      <c r="AL44" s="2004"/>
      <c r="AM44" s="2004"/>
      <c r="AN44" s="2004"/>
      <c r="AO44" s="2004"/>
      <c r="AP44" s="2004"/>
      <c r="AQ44" s="2004"/>
      <c r="AR44" s="2004"/>
    </row>
    <row r="45" spans="1:44" ht="14.25" customHeight="1" thickBot="1">
      <c r="A45" s="2004"/>
      <c r="B45" s="3675" t="s">
        <v>192</v>
      </c>
      <c r="C45" s="3454"/>
      <c r="D45" s="3454"/>
      <c r="E45" s="3454"/>
      <c r="F45" s="3454"/>
      <c r="G45" s="3454"/>
      <c r="H45" s="3454"/>
      <c r="I45" s="3454"/>
      <c r="J45" s="3454"/>
      <c r="K45" s="3455"/>
      <c r="L45" s="2004"/>
      <c r="N45" s="2004"/>
      <c r="O45" s="2004"/>
      <c r="P45" s="2004"/>
      <c r="Q45" s="2004"/>
      <c r="R45" s="2004"/>
      <c r="T45" s="2004"/>
      <c r="U45" s="2004"/>
      <c r="V45" s="2004"/>
      <c r="W45" s="2004"/>
      <c r="X45" s="2004"/>
      <c r="Z45" s="2004"/>
      <c r="AB45" s="2004"/>
      <c r="AD45" s="2004"/>
      <c r="AE45" s="2004"/>
      <c r="AF45" s="2004"/>
      <c r="AH45" s="2004"/>
      <c r="AI45" s="2004"/>
      <c r="AJ45" s="2004"/>
      <c r="AK45" s="2004"/>
      <c r="AL45" s="2004"/>
      <c r="AM45" s="2004"/>
      <c r="AN45" s="2004"/>
      <c r="AO45" s="2004"/>
      <c r="AP45" s="2004"/>
      <c r="AQ45" s="2004"/>
      <c r="AR45" s="2004"/>
    </row>
    <row r="46" spans="1:44" s="2004" customFormat="1" ht="14.25" customHeight="1" thickBot="1">
      <c r="S46" s="1665"/>
      <c r="AA46" s="1665"/>
      <c r="AC46" s="1665"/>
      <c r="AG46" s="1665"/>
    </row>
    <row r="47" spans="1:44" s="2004" customFormat="1" ht="99" customHeight="1" thickBot="1">
      <c r="B47" s="3676" t="s">
        <v>8654</v>
      </c>
      <c r="C47" s="3677"/>
      <c r="D47" s="3677"/>
      <c r="E47" s="3677"/>
      <c r="F47" s="3677"/>
      <c r="G47" s="3677"/>
      <c r="H47" s="3677"/>
      <c r="I47" s="3677"/>
      <c r="J47" s="3677"/>
      <c r="K47" s="3678"/>
      <c r="S47" s="1665"/>
      <c r="AA47" s="1665"/>
      <c r="AC47" s="1665"/>
      <c r="AG47" s="1665"/>
    </row>
    <row r="48" spans="1:44" ht="14.25" customHeight="1">
      <c r="A48" s="2004"/>
      <c r="B48" s="564"/>
      <c r="C48" s="2004"/>
      <c r="D48" s="2004"/>
      <c r="E48" s="2004"/>
      <c r="F48" s="2004"/>
      <c r="G48" s="2004"/>
      <c r="H48" s="2004"/>
      <c r="I48" s="2004"/>
      <c r="J48" s="2004"/>
      <c r="K48" s="2004"/>
      <c r="L48" s="2004"/>
      <c r="N48" s="2004"/>
      <c r="O48" s="2004"/>
      <c r="P48" s="2004"/>
      <c r="Q48" s="2004"/>
      <c r="R48" s="2004"/>
      <c r="T48" s="2004"/>
      <c r="U48" s="2004"/>
      <c r="V48" s="2004"/>
      <c r="W48" s="2004"/>
      <c r="X48" s="2004"/>
      <c r="Z48" s="2004"/>
      <c r="AB48" s="2004"/>
      <c r="AD48" s="2004"/>
      <c r="AE48" s="2004"/>
      <c r="AF48" s="2004"/>
      <c r="AH48" s="2004"/>
      <c r="AI48" s="2004"/>
      <c r="AJ48" s="2004"/>
      <c r="AK48" s="2004"/>
      <c r="AL48" s="2004"/>
      <c r="AM48" s="2004"/>
      <c r="AN48" s="2004"/>
      <c r="AO48" s="2004"/>
      <c r="AP48" s="2004"/>
      <c r="AQ48" s="2004"/>
      <c r="AR48" s="2004"/>
    </row>
    <row r="49" spans="1:33" ht="14.25" hidden="1" customHeight="1" thickBot="1">
      <c r="A49" s="1602"/>
      <c r="B49" s="3375" t="str">
        <f ca="1" xml:space="preserve"> RIGHT(CELL("filename", $A$1), LEN(CELL("filename", $A$1)) - SEARCH("]", CELL("filename", $A$1)))&amp;" - Line definitions"</f>
        <v>4V - Line definitions</v>
      </c>
      <c r="C49" s="3513"/>
      <c r="D49" s="3513"/>
      <c r="E49" s="3513"/>
      <c r="F49" s="3513"/>
      <c r="G49" s="3513"/>
      <c r="H49" s="3513"/>
      <c r="I49" s="3513"/>
      <c r="J49" s="3513"/>
      <c r="K49" s="3514"/>
      <c r="L49" s="2004"/>
      <c r="N49" s="2004"/>
      <c r="O49" s="2004"/>
      <c r="P49" s="2004"/>
      <c r="Q49" s="2004"/>
      <c r="R49" s="2004"/>
      <c r="T49" s="2004"/>
      <c r="U49" s="2004"/>
      <c r="V49" s="2004"/>
      <c r="W49" s="2004"/>
      <c r="X49" s="2004"/>
      <c r="Z49" s="2004"/>
      <c r="AB49" s="2004"/>
      <c r="AD49" s="2004"/>
      <c r="AE49" s="2004"/>
      <c r="AF49" s="2004"/>
    </row>
    <row r="50" spans="1:33" ht="14.25" hidden="1" customHeight="1" thickBot="1">
      <c r="A50" s="1602"/>
      <c r="B50" s="564"/>
      <c r="C50" s="2004"/>
      <c r="D50" s="2004"/>
      <c r="E50" s="2004"/>
      <c r="F50" s="2004"/>
      <c r="G50" s="2004"/>
      <c r="H50" s="2004"/>
      <c r="I50" s="2004"/>
      <c r="J50" s="2004"/>
      <c r="K50" s="2004"/>
      <c r="L50" s="2004"/>
      <c r="N50" s="2004"/>
      <c r="O50" s="2004"/>
      <c r="P50" s="2004"/>
      <c r="Q50" s="2004"/>
      <c r="R50" s="2004"/>
      <c r="T50" s="2004"/>
      <c r="U50" s="2004"/>
      <c r="V50" s="2004"/>
      <c r="W50" s="2004"/>
      <c r="X50" s="2004"/>
      <c r="Z50" s="2004"/>
      <c r="AB50" s="2004"/>
      <c r="AD50" s="2004"/>
      <c r="AE50" s="2004"/>
      <c r="AF50" s="2004"/>
    </row>
    <row r="51" spans="1:33" ht="14.25" hidden="1" customHeight="1" thickBot="1">
      <c r="A51" s="1602"/>
      <c r="B51" s="2082" t="s">
        <v>193</v>
      </c>
      <c r="C51" s="3669" t="s">
        <v>194</v>
      </c>
      <c r="D51" s="3670"/>
      <c r="E51" s="3670"/>
      <c r="F51" s="3670"/>
      <c r="G51" s="3670"/>
      <c r="H51" s="3670"/>
      <c r="I51" s="3670"/>
      <c r="J51" s="3670"/>
      <c r="K51" s="3671"/>
      <c r="L51" s="2004"/>
      <c r="N51" s="2004"/>
      <c r="O51" s="2004"/>
      <c r="P51" s="2004"/>
      <c r="Q51" s="2004"/>
      <c r="R51" s="2004"/>
      <c r="T51" s="2004"/>
      <c r="U51" s="2004"/>
      <c r="V51" s="2004"/>
      <c r="W51" s="2004"/>
      <c r="X51" s="2004"/>
      <c r="Z51" s="2004"/>
      <c r="AB51" s="2004"/>
      <c r="AD51" s="2004"/>
      <c r="AE51" s="2004"/>
      <c r="AF51" s="2004"/>
    </row>
    <row r="52" spans="1:33" ht="14.25" hidden="1" customHeight="1">
      <c r="A52" s="1602"/>
      <c r="B52" s="2083">
        <v>1</v>
      </c>
      <c r="C52" s="3657" t="s">
        <v>1235</v>
      </c>
      <c r="D52" s="3658"/>
      <c r="E52" s="3658"/>
      <c r="F52" s="3658"/>
      <c r="G52" s="3658"/>
      <c r="H52" s="3658"/>
      <c r="I52" s="3658"/>
      <c r="J52" s="3658"/>
      <c r="K52" s="3659"/>
      <c r="L52" s="2004"/>
      <c r="N52" s="2004"/>
      <c r="O52" s="2004"/>
      <c r="P52" s="2004"/>
      <c r="Q52" s="2004"/>
      <c r="R52" s="2004"/>
      <c r="T52" s="2004"/>
      <c r="U52" s="2004"/>
      <c r="V52" s="2004"/>
      <c r="W52" s="2004"/>
      <c r="X52" s="2004"/>
      <c r="Z52" s="2004"/>
      <c r="AB52" s="2004"/>
      <c r="AD52" s="2004"/>
      <c r="AE52" s="2004"/>
      <c r="AF52" s="2004"/>
    </row>
    <row r="53" spans="1:33" ht="57.2" hidden="1" customHeight="1">
      <c r="A53" s="1602"/>
      <c r="B53" s="2083">
        <f t="shared" ref="B53:B58" si="46">+B52+1</f>
        <v>2</v>
      </c>
      <c r="C53" s="3657" t="s">
        <v>3492</v>
      </c>
      <c r="D53" s="3658"/>
      <c r="E53" s="3658"/>
      <c r="F53" s="3658"/>
      <c r="G53" s="3658"/>
      <c r="H53" s="3658"/>
      <c r="I53" s="3658"/>
      <c r="J53" s="3658"/>
      <c r="K53" s="3659"/>
      <c r="L53" s="2004"/>
      <c r="N53" s="2004"/>
      <c r="O53" s="2004"/>
      <c r="P53" s="2004"/>
      <c r="Q53" s="2004"/>
      <c r="R53" s="2004"/>
      <c r="T53" s="2004"/>
      <c r="U53" s="2004"/>
      <c r="V53" s="2004"/>
      <c r="W53" s="2004"/>
      <c r="X53" s="2004"/>
      <c r="Z53" s="2004"/>
      <c r="AB53" s="2004"/>
      <c r="AD53" s="2004"/>
      <c r="AE53" s="2004"/>
      <c r="AF53" s="2004"/>
    </row>
    <row r="54" spans="1:33" s="2004" customFormat="1" ht="14.25" hidden="1">
      <c r="A54" s="1602"/>
      <c r="B54" s="2083">
        <f t="shared" si="46"/>
        <v>3</v>
      </c>
      <c r="C54" s="3657" t="s">
        <v>3493</v>
      </c>
      <c r="D54" s="3658"/>
      <c r="E54" s="3658"/>
      <c r="F54" s="3658"/>
      <c r="G54" s="3658"/>
      <c r="H54" s="3658"/>
      <c r="I54" s="3658"/>
      <c r="J54" s="3658"/>
      <c r="K54" s="3659"/>
      <c r="S54" s="1665"/>
      <c r="AA54" s="1665"/>
      <c r="AC54" s="1665"/>
      <c r="AG54" s="1665"/>
    </row>
    <row r="55" spans="1:33" s="2004" customFormat="1" ht="14.25" hidden="1">
      <c r="A55" s="1602"/>
      <c r="B55" s="2083">
        <f t="shared" si="46"/>
        <v>4</v>
      </c>
      <c r="C55" s="3657" t="s">
        <v>3494</v>
      </c>
      <c r="D55" s="3658"/>
      <c r="E55" s="3658"/>
      <c r="F55" s="3658"/>
      <c r="G55" s="3658"/>
      <c r="H55" s="3658"/>
      <c r="I55" s="3658"/>
      <c r="J55" s="3658"/>
      <c r="K55" s="3659"/>
      <c r="S55" s="1665"/>
      <c r="AA55" s="1665"/>
      <c r="AC55" s="1665"/>
      <c r="AG55" s="1665"/>
    </row>
    <row r="56" spans="1:33" s="2004" customFormat="1" ht="33" hidden="1" customHeight="1">
      <c r="A56" s="1602"/>
      <c r="B56" s="2083">
        <f t="shared" si="46"/>
        <v>5</v>
      </c>
      <c r="C56" s="3657" t="s">
        <v>1239</v>
      </c>
      <c r="D56" s="3658"/>
      <c r="E56" s="3658"/>
      <c r="F56" s="3658"/>
      <c r="G56" s="3658"/>
      <c r="H56" s="3658"/>
      <c r="I56" s="3658"/>
      <c r="J56" s="3658"/>
      <c r="K56" s="3659"/>
      <c r="S56" s="1665"/>
      <c r="AA56" s="1665"/>
      <c r="AC56" s="1665"/>
      <c r="AG56" s="1665"/>
    </row>
    <row r="57" spans="1:33" s="2004" customFormat="1" ht="14.25" hidden="1">
      <c r="A57" s="1602"/>
      <c r="B57" s="2083">
        <f t="shared" si="46"/>
        <v>6</v>
      </c>
      <c r="C57" s="3657" t="s">
        <v>1240</v>
      </c>
      <c r="D57" s="3658"/>
      <c r="E57" s="3658"/>
      <c r="F57" s="3658"/>
      <c r="G57" s="3658"/>
      <c r="H57" s="3658"/>
      <c r="I57" s="3658"/>
      <c r="J57" s="3658"/>
      <c r="K57" s="3659"/>
      <c r="S57" s="1665"/>
      <c r="AA57" s="1665"/>
      <c r="AC57" s="1665"/>
      <c r="AG57" s="1665"/>
    </row>
    <row r="58" spans="1:33" ht="14.25" hidden="1" customHeight="1">
      <c r="A58" s="1602"/>
      <c r="B58" s="2083">
        <f t="shared" si="46"/>
        <v>7</v>
      </c>
      <c r="C58" s="3657" t="s">
        <v>8655</v>
      </c>
      <c r="D58" s="3658"/>
      <c r="E58" s="3658"/>
      <c r="F58" s="3658"/>
      <c r="G58" s="3658"/>
      <c r="H58" s="3658"/>
      <c r="I58" s="3658"/>
      <c r="J58" s="3658"/>
      <c r="K58" s="3659"/>
      <c r="L58" s="2004"/>
      <c r="N58" s="2004"/>
      <c r="O58" s="2004"/>
      <c r="P58" s="2004"/>
      <c r="Q58" s="2004"/>
      <c r="R58" s="2004"/>
      <c r="T58" s="2004"/>
      <c r="U58" s="2004"/>
      <c r="V58" s="2004"/>
      <c r="W58" s="2004"/>
      <c r="X58" s="2004"/>
      <c r="Z58" s="2004"/>
      <c r="AB58" s="2004"/>
      <c r="AD58" s="2004"/>
      <c r="AE58" s="2004"/>
      <c r="AF58" s="2004"/>
    </row>
    <row r="59" spans="1:33" ht="14.25" hidden="1" customHeight="1">
      <c r="A59" s="1602"/>
      <c r="B59" s="2083">
        <f t="shared" ref="B59:B64" si="47">+B58+1</f>
        <v>8</v>
      </c>
      <c r="C59" s="3657" t="s">
        <v>8656</v>
      </c>
      <c r="D59" s="3658"/>
      <c r="E59" s="3658"/>
      <c r="F59" s="3658"/>
      <c r="G59" s="3658"/>
      <c r="H59" s="3658"/>
      <c r="I59" s="3658"/>
      <c r="J59" s="3658"/>
      <c r="K59" s="3659"/>
      <c r="L59" s="2004"/>
      <c r="N59" s="2004"/>
      <c r="O59" s="2004"/>
      <c r="P59" s="2004"/>
      <c r="Q59" s="2004"/>
      <c r="R59" s="2004"/>
      <c r="T59" s="2004"/>
      <c r="U59" s="2004"/>
      <c r="V59" s="2004"/>
      <c r="W59" s="2004"/>
      <c r="X59" s="2004"/>
      <c r="Z59" s="2004"/>
      <c r="AB59" s="2004"/>
      <c r="AD59" s="2004"/>
      <c r="AE59" s="2004"/>
      <c r="AF59" s="2004"/>
    </row>
    <row r="60" spans="1:33" ht="14.25" hidden="1" customHeight="1">
      <c r="A60" s="1602"/>
      <c r="B60" s="2083">
        <f t="shared" si="47"/>
        <v>9</v>
      </c>
      <c r="C60" s="3657" t="s">
        <v>8657</v>
      </c>
      <c r="D60" s="3658"/>
      <c r="E60" s="3658"/>
      <c r="F60" s="3658"/>
      <c r="G60" s="3658"/>
      <c r="H60" s="3658"/>
      <c r="I60" s="3658"/>
      <c r="J60" s="3658"/>
      <c r="K60" s="3659"/>
      <c r="L60" s="2004"/>
      <c r="N60" s="2004"/>
      <c r="O60" s="2004"/>
      <c r="P60" s="2004"/>
      <c r="Q60" s="2004"/>
      <c r="R60" s="2004"/>
      <c r="T60" s="2004"/>
      <c r="U60" s="2004"/>
      <c r="V60" s="2004"/>
      <c r="W60" s="2004"/>
      <c r="X60" s="2004"/>
      <c r="Z60" s="2004"/>
      <c r="AB60" s="2004"/>
      <c r="AD60" s="2004"/>
      <c r="AE60" s="2004"/>
      <c r="AF60" s="2004"/>
    </row>
    <row r="61" spans="1:33" ht="14.25" hidden="1" customHeight="1">
      <c r="A61" s="1602"/>
      <c r="B61" s="2083">
        <f t="shared" si="47"/>
        <v>10</v>
      </c>
      <c r="C61" s="3657" t="s">
        <v>3497</v>
      </c>
      <c r="D61" s="3658"/>
      <c r="E61" s="3658"/>
      <c r="F61" s="3658"/>
      <c r="G61" s="3658"/>
      <c r="H61" s="3658"/>
      <c r="I61" s="3658"/>
      <c r="J61" s="3658"/>
      <c r="K61" s="3659"/>
      <c r="L61" s="2004"/>
      <c r="N61" s="2004"/>
      <c r="O61" s="2004"/>
      <c r="P61" s="2004"/>
      <c r="Q61" s="2004"/>
      <c r="R61" s="2004"/>
      <c r="T61" s="2004"/>
      <c r="U61" s="2004"/>
      <c r="V61" s="2004"/>
      <c r="W61" s="2004"/>
      <c r="X61" s="2004"/>
      <c r="Z61" s="2004"/>
      <c r="AB61" s="2004"/>
      <c r="AD61" s="2004"/>
      <c r="AE61" s="2004"/>
      <c r="AF61" s="2004"/>
    </row>
    <row r="62" spans="1:33" s="2004" customFormat="1" ht="14.25" hidden="1" customHeight="1">
      <c r="A62" s="1602"/>
      <c r="B62" s="2083">
        <f t="shared" si="47"/>
        <v>11</v>
      </c>
      <c r="C62" s="3657" t="s">
        <v>8658</v>
      </c>
      <c r="D62" s="3658"/>
      <c r="E62" s="3658"/>
      <c r="F62" s="3658"/>
      <c r="G62" s="3658"/>
      <c r="H62" s="3658"/>
      <c r="I62" s="3658"/>
      <c r="J62" s="3658"/>
      <c r="K62" s="3659"/>
      <c r="S62" s="1665"/>
      <c r="AA62" s="1665"/>
      <c r="AC62" s="1665"/>
      <c r="AG62" s="1665"/>
    </row>
    <row r="63" spans="1:33" ht="14.25" hidden="1" customHeight="1">
      <c r="A63" s="1602"/>
      <c r="B63" s="2083">
        <f t="shared" si="47"/>
        <v>12</v>
      </c>
      <c r="C63" s="3657" t="s">
        <v>8659</v>
      </c>
      <c r="D63" s="3658"/>
      <c r="E63" s="3658"/>
      <c r="F63" s="3658"/>
      <c r="G63" s="3658"/>
      <c r="H63" s="3658"/>
      <c r="I63" s="3658"/>
      <c r="J63" s="3658"/>
      <c r="K63" s="3659"/>
      <c r="L63" s="2004"/>
      <c r="N63" s="2004"/>
      <c r="O63" s="2004"/>
      <c r="P63" s="2004"/>
      <c r="Q63" s="2004"/>
      <c r="R63" s="2004"/>
      <c r="T63" s="2004"/>
      <c r="U63" s="2004"/>
      <c r="V63" s="2004"/>
      <c r="W63" s="2004"/>
      <c r="X63" s="2004"/>
      <c r="Z63" s="2004"/>
      <c r="AB63" s="2004"/>
      <c r="AD63" s="2004"/>
      <c r="AE63" s="2004"/>
      <c r="AF63" s="2004"/>
    </row>
    <row r="64" spans="1:33" ht="14.25" hidden="1" customHeight="1" thickBot="1">
      <c r="A64" s="1602"/>
      <c r="B64" s="1360">
        <f t="shared" si="47"/>
        <v>13</v>
      </c>
      <c r="C64" s="3660" t="s">
        <v>8660</v>
      </c>
      <c r="D64" s="3661"/>
      <c r="E64" s="3661"/>
      <c r="F64" s="3661"/>
      <c r="G64" s="3661"/>
      <c r="H64" s="3661"/>
      <c r="I64" s="3661"/>
      <c r="J64" s="3661"/>
      <c r="K64" s="3662"/>
      <c r="L64" s="2004"/>
      <c r="N64" s="2004"/>
      <c r="O64" s="2004"/>
      <c r="P64" s="2004"/>
      <c r="Q64" s="2004"/>
      <c r="R64" s="2004"/>
      <c r="T64" s="2004"/>
      <c r="U64" s="2004"/>
      <c r="V64" s="2004"/>
      <c r="W64" s="2004"/>
      <c r="X64" s="2004"/>
      <c r="Z64" s="2004"/>
      <c r="AB64" s="2004"/>
      <c r="AD64" s="2004"/>
      <c r="AE64" s="2004"/>
      <c r="AF64" s="2004"/>
    </row>
    <row r="65" spans="1:11" ht="14.25" hidden="1" customHeight="1" thickBot="1">
      <c r="A65" s="1602"/>
      <c r="B65" s="564"/>
      <c r="C65" s="2004"/>
      <c r="D65" s="2004"/>
      <c r="E65" s="2004"/>
      <c r="F65" s="2004"/>
      <c r="G65" s="2004"/>
      <c r="H65" s="2004"/>
      <c r="I65" s="2004"/>
      <c r="J65" s="2004"/>
      <c r="K65" s="2004"/>
    </row>
    <row r="66" spans="1:11" ht="14.25" hidden="1" customHeight="1" thickBot="1">
      <c r="A66" s="1602"/>
      <c r="B66" s="1288" t="s">
        <v>193</v>
      </c>
      <c r="C66" s="3672" t="s">
        <v>194</v>
      </c>
      <c r="D66" s="3673"/>
      <c r="E66" s="3673"/>
      <c r="F66" s="3673"/>
      <c r="G66" s="3673"/>
      <c r="H66" s="3673"/>
      <c r="I66" s="3673"/>
      <c r="J66" s="3673"/>
      <c r="K66" s="3674"/>
    </row>
    <row r="67" spans="1:11" ht="54.75" hidden="1" customHeight="1">
      <c r="A67" s="1602"/>
      <c r="B67" s="1361">
        <f>+B64+1</f>
        <v>14</v>
      </c>
      <c r="C67" s="3666" t="s">
        <v>8661</v>
      </c>
      <c r="D67" s="3667"/>
      <c r="E67" s="3667"/>
      <c r="F67" s="3667"/>
      <c r="G67" s="3667"/>
      <c r="H67" s="3667"/>
      <c r="I67" s="3667"/>
      <c r="J67" s="3667"/>
      <c r="K67" s="3668"/>
    </row>
    <row r="68" spans="1:11" ht="67.7" hidden="1" customHeight="1">
      <c r="A68" s="1602"/>
      <c r="B68" s="2083">
        <f t="shared" ref="B68:B75" si="48">+B67+1</f>
        <v>15</v>
      </c>
      <c r="C68" s="3657" t="s">
        <v>8662</v>
      </c>
      <c r="D68" s="3658"/>
      <c r="E68" s="3658"/>
      <c r="F68" s="3658"/>
      <c r="G68" s="3658"/>
      <c r="H68" s="3658"/>
      <c r="I68" s="3658"/>
      <c r="J68" s="3658"/>
      <c r="K68" s="3659"/>
    </row>
    <row r="69" spans="1:11" ht="14.25" hidden="1" customHeight="1">
      <c r="A69" s="1602"/>
      <c r="B69" s="2083">
        <f t="shared" si="48"/>
        <v>16</v>
      </c>
      <c r="C69" s="3657" t="s">
        <v>8663</v>
      </c>
      <c r="D69" s="3658"/>
      <c r="E69" s="3658"/>
      <c r="F69" s="3658"/>
      <c r="G69" s="3658"/>
      <c r="H69" s="3658"/>
      <c r="I69" s="3658"/>
      <c r="J69" s="3658"/>
      <c r="K69" s="3659"/>
    </row>
    <row r="70" spans="1:11" ht="14.25" hidden="1" customHeight="1">
      <c r="A70" s="1602"/>
      <c r="B70" s="2083">
        <f t="shared" si="48"/>
        <v>17</v>
      </c>
      <c r="C70" s="3657" t="s">
        <v>8664</v>
      </c>
      <c r="D70" s="3658"/>
      <c r="E70" s="3658"/>
      <c r="F70" s="3658"/>
      <c r="G70" s="3658"/>
      <c r="H70" s="3658"/>
      <c r="I70" s="3658"/>
      <c r="J70" s="3658"/>
      <c r="K70" s="3659"/>
    </row>
    <row r="71" spans="1:11" ht="27" hidden="1" customHeight="1">
      <c r="A71" s="1602"/>
      <c r="B71" s="2083">
        <f t="shared" si="48"/>
        <v>18</v>
      </c>
      <c r="C71" s="3657" t="s">
        <v>8665</v>
      </c>
      <c r="D71" s="3658"/>
      <c r="E71" s="3658"/>
      <c r="F71" s="3658"/>
      <c r="G71" s="3658"/>
      <c r="H71" s="3658"/>
      <c r="I71" s="3658"/>
      <c r="J71" s="3658"/>
      <c r="K71" s="3659"/>
    </row>
    <row r="72" spans="1:11" ht="14.25" hidden="1" customHeight="1">
      <c r="A72" s="1602"/>
      <c r="B72" s="2083">
        <f t="shared" si="48"/>
        <v>19</v>
      </c>
      <c r="C72" s="3657" t="s">
        <v>8666</v>
      </c>
      <c r="D72" s="3658"/>
      <c r="E72" s="3658"/>
      <c r="F72" s="3658"/>
      <c r="G72" s="3658"/>
      <c r="H72" s="3658"/>
      <c r="I72" s="3658"/>
      <c r="J72" s="3658"/>
      <c r="K72" s="3659"/>
    </row>
    <row r="73" spans="1:11" ht="14.25" hidden="1" customHeight="1">
      <c r="A73" s="1602"/>
      <c r="B73" s="2083">
        <f t="shared" si="48"/>
        <v>20</v>
      </c>
      <c r="C73" s="3657" t="s">
        <v>8667</v>
      </c>
      <c r="D73" s="3658"/>
      <c r="E73" s="3658"/>
      <c r="F73" s="3658"/>
      <c r="G73" s="3658"/>
      <c r="H73" s="3658"/>
      <c r="I73" s="3658"/>
      <c r="J73" s="3658"/>
      <c r="K73" s="3659"/>
    </row>
    <row r="74" spans="1:11" ht="14.25" hidden="1">
      <c r="A74" s="1602"/>
      <c r="B74" s="2083">
        <f t="shared" si="48"/>
        <v>21</v>
      </c>
      <c r="C74" s="3657" t="s">
        <v>8668</v>
      </c>
      <c r="D74" s="3658"/>
      <c r="E74" s="3658"/>
      <c r="F74" s="3658"/>
      <c r="G74" s="3658"/>
      <c r="H74" s="3658"/>
      <c r="I74" s="3658"/>
      <c r="J74" s="3658"/>
      <c r="K74" s="3659"/>
    </row>
    <row r="75" spans="1:11" ht="15" hidden="1" customHeight="1" thickBot="1">
      <c r="A75" s="1602"/>
      <c r="B75" s="1360">
        <f t="shared" si="48"/>
        <v>22</v>
      </c>
      <c r="C75" s="3660" t="s">
        <v>8669</v>
      </c>
      <c r="D75" s="3661"/>
      <c r="E75" s="3661"/>
      <c r="F75" s="3661"/>
      <c r="G75" s="3661"/>
      <c r="H75" s="3661"/>
      <c r="I75" s="3661"/>
      <c r="J75" s="3661"/>
      <c r="K75" s="3662"/>
    </row>
    <row r="76" spans="1:11" ht="14.25" hidden="1">
      <c r="A76" s="2004"/>
      <c r="B76" s="2004"/>
      <c r="C76" s="2004"/>
      <c r="D76" s="2004"/>
      <c r="E76" s="2004"/>
      <c r="F76" s="2004"/>
      <c r="G76" s="2004"/>
      <c r="H76" s="2004"/>
      <c r="I76" s="2004"/>
      <c r="J76" s="2004"/>
      <c r="K76" s="2004"/>
    </row>
    <row r="77" spans="1:11" ht="14.25" hidden="1">
      <c r="A77" s="2004"/>
      <c r="B77" s="2004"/>
      <c r="C77" s="2004"/>
      <c r="D77" s="2004"/>
      <c r="E77" s="2004"/>
      <c r="F77" s="2004"/>
      <c r="G77" s="2004"/>
      <c r="H77" s="2004"/>
      <c r="I77" s="2004"/>
      <c r="J77" s="2004"/>
      <c r="K77" s="2004"/>
    </row>
    <row r="78" spans="1:11" ht="14.25" hidden="1">
      <c r="A78" s="2004"/>
      <c r="B78" s="2004"/>
      <c r="C78" s="2004"/>
      <c r="D78" s="2004"/>
      <c r="E78" s="2004"/>
      <c r="F78" s="2004"/>
      <c r="G78" s="2004"/>
      <c r="H78" s="2004"/>
      <c r="I78" s="2004"/>
      <c r="J78" s="2004"/>
      <c r="K78" s="2004"/>
    </row>
    <row r="79" spans="1:11" ht="14.25" hidden="1">
      <c r="A79" s="2004"/>
      <c r="B79" s="2004"/>
      <c r="C79" s="2004"/>
      <c r="D79" s="2004"/>
      <c r="E79" s="2004"/>
      <c r="F79" s="2004"/>
      <c r="G79" s="2004"/>
      <c r="H79" s="2004"/>
      <c r="I79" s="2004"/>
      <c r="J79" s="2004"/>
      <c r="K79" s="2004"/>
    </row>
    <row r="80" spans="1:11" ht="14.25" hidden="1">
      <c r="A80" s="2004"/>
      <c r="B80" s="2004"/>
      <c r="C80" s="2004"/>
      <c r="D80" s="2004"/>
      <c r="E80" s="2004"/>
      <c r="F80" s="2004"/>
      <c r="G80" s="2004"/>
      <c r="H80" s="2004"/>
      <c r="I80" s="2004"/>
      <c r="J80" s="2004"/>
      <c r="K80" s="2004"/>
    </row>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sheetData>
  <sheetProtection algorithmName="SHA-512" hashValue="aC+Ue1wEIzeGldbGVsNrFD+5N6lhRTcJ56SIlRN63p0egvpJB6l0O/aHzpgqriZl5pM9vsS3hpbncrBSaQ8sHg==" saltValue="1GBjx7QKCAunTonEyXnrUA==" spinCount="100000" sheet="1" objects="1" scenarios="1"/>
  <mergeCells count="30">
    <mergeCell ref="B45:K45"/>
    <mergeCell ref="C55:K55"/>
    <mergeCell ref="C56:K56"/>
    <mergeCell ref="C57:K57"/>
    <mergeCell ref="C62:K62"/>
    <mergeCell ref="B47:K47"/>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C74:K74"/>
    <mergeCell ref="C75:K75"/>
    <mergeCell ref="C68:K68"/>
    <mergeCell ref="C69:K69"/>
    <mergeCell ref="C70:K70"/>
    <mergeCell ref="C71:K71"/>
    <mergeCell ref="C72:K72"/>
    <mergeCell ref="C73:K73"/>
  </mergeCells>
  <conditionalFormatting sqref="Q7:Q8 Q11 Q16">
    <cfRule type="cellIs" dxfId="76" priority="9" operator="equal">
      <formula>0</formula>
    </cfRule>
  </conditionalFormatting>
  <conditionalFormatting sqref="Q25:Q29">
    <cfRule type="cellIs" dxfId="75" priority="8" operator="equal">
      <formula>0</formula>
    </cfRule>
  </conditionalFormatting>
  <conditionalFormatting sqref="Q32:Q34 Q36">
    <cfRule type="cellIs" dxfId="74" priority="7" operator="equal">
      <formula>0</formula>
    </cfRule>
  </conditionalFormatting>
  <conditionalFormatting sqref="Q9:Q10">
    <cfRule type="cellIs" dxfId="73" priority="5" operator="equal">
      <formula>0</formula>
    </cfRule>
  </conditionalFormatting>
  <conditionalFormatting sqref="Q12:Q15">
    <cfRule type="cellIs" dxfId="72" priority="4" operator="equal">
      <formula>0</formula>
    </cfRule>
  </conditionalFormatting>
  <conditionalFormatting sqref="Q17">
    <cfRule type="cellIs" dxfId="71" priority="3" operator="equal">
      <formula>0</formula>
    </cfRule>
  </conditionalFormatting>
  <conditionalFormatting sqref="Q19">
    <cfRule type="cellIs" dxfId="70" priority="2" operator="equal">
      <formula>0</formula>
    </cfRule>
  </conditionalFormatting>
  <conditionalFormatting sqref="Q18">
    <cfRule type="cellIs" dxfId="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pageSetUpPr fitToPage="1"/>
  </sheetPr>
  <dimension ref="A1:AY107"/>
  <sheetViews>
    <sheetView topLeftCell="A55" workbookViewId="0">
      <selection activeCell="I68" sqref="I68"/>
    </sheetView>
  </sheetViews>
  <sheetFormatPr defaultColWidth="0" defaultRowHeight="14.25" zeroHeight="1"/>
  <cols>
    <col min="1" max="1" width="0.5" customWidth="1"/>
    <col min="2" max="2" width="8.5" customWidth="1"/>
    <col min="3" max="3" width="49.125" customWidth="1"/>
    <col min="4" max="4" width="0.5" hidden="1" customWidth="1"/>
    <col min="5" max="6" width="8.5" customWidth="1"/>
    <col min="7" max="9" width="10.5" customWidth="1"/>
    <col min="10" max="10" width="10" customWidth="1"/>
    <col min="11" max="15" width="10.5" customWidth="1"/>
    <col min="16" max="16" width="26.125" bestFit="1" customWidth="1"/>
    <col min="17" max="17" width="2.125" customWidth="1"/>
    <col min="18" max="18" width="41.5" customWidth="1"/>
    <col min="19" max="19" width="4.125" customWidth="1"/>
    <col min="20" max="20" width="1.5" style="1665" hidden="1" customWidth="1"/>
    <col min="21" max="28" width="4.125" hidden="1" customWidth="1"/>
    <col min="29" max="29" width="1.5" style="1665" hidden="1" customWidth="1"/>
    <col min="30" max="30" width="8.125" hidden="1" customWidth="1"/>
    <col min="31" max="31" width="1.5" style="1665" hidden="1" customWidth="1"/>
    <col min="32" max="32" width="12.625" hidden="1" customWidth="1"/>
    <col min="33" max="33" width="0" hidden="1" customWidth="1"/>
    <col min="34" max="34" width="68.5" hidden="1" customWidth="1"/>
    <col min="35" max="35" width="1.5" style="1665" hidden="1" customWidth="1"/>
    <col min="36" max="37" width="8.5" customWidth="1"/>
    <col min="38" max="38" width="51.125" bestFit="1" customWidth="1"/>
    <col min="39" max="39" width="0.5" customWidth="1"/>
    <col min="40" max="41" width="8.5" customWidth="1"/>
    <col min="42" max="44" width="15.5" bestFit="1" customWidth="1"/>
    <col min="45" max="45" width="17" bestFit="1" customWidth="1"/>
    <col min="46" max="47" width="13.5" bestFit="1" customWidth="1"/>
    <col min="48" max="48" width="14.125" bestFit="1" customWidth="1"/>
    <col min="49" max="49" width="15.125" bestFit="1" customWidth="1"/>
    <col min="50" max="50" width="14.125" bestFit="1" customWidth="1"/>
    <col min="51" max="51" width="1.5" customWidth="1"/>
    <col min="52" max="16384" width="8.5" hidden="1"/>
  </cols>
  <sheetData>
    <row r="1" spans="2:50" ht="20.25">
      <c r="B1" s="67" t="s">
        <v>8670</v>
      </c>
      <c r="C1" s="66"/>
      <c r="D1" s="66"/>
      <c r="E1" s="66"/>
      <c r="F1" s="66"/>
      <c r="G1" s="66"/>
      <c r="H1" s="66"/>
      <c r="I1" s="66"/>
      <c r="J1" s="66"/>
      <c r="K1" s="66"/>
      <c r="L1" s="66"/>
      <c r="M1" s="66"/>
      <c r="N1" s="66"/>
      <c r="O1" s="66"/>
      <c r="P1" s="66" t="str">
        <f>Validation!B3</f>
        <v>Yorkshire Water</v>
      </c>
      <c r="Q1" s="66"/>
      <c r="R1" s="67" t="s">
        <v>34</v>
      </c>
      <c r="S1" s="2004"/>
      <c r="U1" s="2004"/>
      <c r="V1" s="2004"/>
      <c r="W1" s="2004"/>
      <c r="X1" s="2004"/>
      <c r="Y1" s="2004"/>
      <c r="Z1" s="2004"/>
      <c r="AA1" s="2004"/>
      <c r="AB1" s="2004"/>
      <c r="AD1" s="2004"/>
      <c r="AF1" s="2004"/>
      <c r="AG1" s="2004"/>
      <c r="AH1" s="2004"/>
      <c r="AJ1" s="2004"/>
      <c r="AK1" s="67" t="s">
        <v>8671</v>
      </c>
      <c r="AL1" s="66"/>
      <c r="AM1" s="66"/>
      <c r="AN1" s="66"/>
      <c r="AO1" s="66"/>
      <c r="AP1" s="66"/>
      <c r="AQ1" s="66"/>
      <c r="AR1" s="66"/>
      <c r="AS1" s="66"/>
      <c r="AT1" s="66"/>
      <c r="AU1" s="66"/>
      <c r="AV1" s="66"/>
      <c r="AW1" s="66"/>
      <c r="AX1" s="66"/>
    </row>
    <row r="2" spans="2:50" ht="15" thickBot="1">
      <c r="B2" s="73" t="s">
        <v>20</v>
      </c>
      <c r="C2" s="2004"/>
      <c r="D2" s="2004"/>
      <c r="E2" s="2004"/>
      <c r="F2" s="2004"/>
      <c r="G2" s="2004"/>
      <c r="H2" s="2004"/>
      <c r="I2" s="2004"/>
      <c r="J2" s="2004"/>
      <c r="K2" s="2004"/>
      <c r="L2" s="2004"/>
      <c r="M2" s="2004"/>
      <c r="N2" s="2004"/>
      <c r="O2" s="2004"/>
      <c r="P2" s="2004"/>
      <c r="Q2" s="2004"/>
      <c r="R2" s="26"/>
      <c r="S2" s="2004"/>
      <c r="U2" s="2004"/>
      <c r="V2" s="2004"/>
      <c r="W2" s="2004"/>
      <c r="X2" s="2004"/>
      <c r="Y2" s="2004"/>
      <c r="Z2" s="2004"/>
      <c r="AA2" s="2004"/>
      <c r="AB2" s="2004"/>
      <c r="AD2" s="2004"/>
      <c r="AF2" s="2004"/>
      <c r="AG2" s="2004"/>
      <c r="AH2" s="2004"/>
      <c r="AJ2" s="2004"/>
      <c r="AK2" s="73" t="str">
        <f>'4V'!B2</f>
        <v>For the 12 months ended 31 March 2020</v>
      </c>
      <c r="AL2" s="2004"/>
      <c r="AM2" s="2004"/>
      <c r="AN2" s="2004"/>
      <c r="AO2" s="2004"/>
      <c r="AP2" s="2004"/>
      <c r="AQ2" s="2004"/>
      <c r="AR2" s="2004"/>
      <c r="AS2" s="2004"/>
      <c r="AT2" s="2004"/>
      <c r="AU2" s="2004"/>
      <c r="AV2" s="2004"/>
      <c r="AW2" s="2004"/>
      <c r="AX2" s="2004"/>
    </row>
    <row r="3" spans="2:50" ht="36.75" thickBot="1">
      <c r="B3" s="1050" t="s">
        <v>193</v>
      </c>
      <c r="C3" s="997" t="s">
        <v>4916</v>
      </c>
      <c r="D3" s="998" t="s">
        <v>3098</v>
      </c>
      <c r="E3" s="998" t="s">
        <v>2310</v>
      </c>
      <c r="F3" s="998" t="s">
        <v>39</v>
      </c>
      <c r="G3" s="186" t="s">
        <v>8672</v>
      </c>
      <c r="H3" s="361" t="s">
        <v>8673</v>
      </c>
      <c r="I3" s="361" t="s">
        <v>8674</v>
      </c>
      <c r="J3" s="187" t="s">
        <v>710</v>
      </c>
      <c r="K3" s="2004"/>
      <c r="L3" s="2004"/>
      <c r="M3" s="2004"/>
      <c r="N3" s="2004"/>
      <c r="O3" s="2004"/>
      <c r="P3" s="1408" t="s">
        <v>4567</v>
      </c>
      <c r="Q3" s="70"/>
      <c r="R3" s="2990" t="s">
        <v>43</v>
      </c>
      <c r="S3" s="1322"/>
      <c r="U3" s="76" t="s">
        <v>47</v>
      </c>
      <c r="V3" s="678"/>
      <c r="W3" s="678"/>
      <c r="X3" s="678"/>
      <c r="Y3" s="678"/>
      <c r="Z3" s="678"/>
      <c r="AA3" s="678"/>
      <c r="AB3" s="678"/>
      <c r="AD3" s="2987" t="s">
        <v>26</v>
      </c>
      <c r="AE3" s="71"/>
      <c r="AF3" s="76" t="s">
        <v>904</v>
      </c>
      <c r="AG3" s="2987"/>
      <c r="AH3" s="2987"/>
      <c r="AI3" s="71"/>
      <c r="AJ3" s="2004"/>
      <c r="AK3" s="1050" t="s">
        <v>193</v>
      </c>
      <c r="AL3" s="997" t="s">
        <v>4916</v>
      </c>
      <c r="AM3" s="998" t="s">
        <v>3098</v>
      </c>
      <c r="AN3" s="998" t="s">
        <v>2310</v>
      </c>
      <c r="AO3" s="998" t="s">
        <v>39</v>
      </c>
      <c r="AP3" s="186" t="s">
        <v>8672</v>
      </c>
      <c r="AQ3" s="361" t="s">
        <v>8673</v>
      </c>
      <c r="AR3" s="361" t="s">
        <v>8674</v>
      </c>
      <c r="AS3" s="187" t="s">
        <v>710</v>
      </c>
      <c r="AT3" s="2004"/>
      <c r="AU3" s="2004"/>
      <c r="AV3" s="2004"/>
      <c r="AW3" s="2004"/>
      <c r="AX3" s="2004"/>
    </row>
    <row r="4" spans="2:50" ht="15" thickBot="1">
      <c r="B4" s="564"/>
      <c r="C4" s="2004"/>
      <c r="D4" s="2004"/>
      <c r="E4" s="2004"/>
      <c r="F4" s="2004"/>
      <c r="G4" s="2004"/>
      <c r="H4" s="2004"/>
      <c r="I4" s="2004"/>
      <c r="J4" s="2004"/>
      <c r="K4" s="2004"/>
      <c r="L4" s="2004"/>
      <c r="M4" s="2004"/>
      <c r="N4" s="2004"/>
      <c r="O4" s="2004"/>
      <c r="P4" s="1324"/>
      <c r="Q4" s="600"/>
      <c r="R4" s="2004"/>
      <c r="S4" s="1322"/>
      <c r="T4" s="1666"/>
      <c r="U4" s="164" t="s">
        <v>48</v>
      </c>
      <c r="V4" s="1322"/>
      <c r="W4" s="1322"/>
      <c r="X4" s="1322"/>
      <c r="Y4" s="1322"/>
      <c r="Z4" s="2004"/>
      <c r="AA4" s="2004"/>
      <c r="AB4" s="2004"/>
      <c r="AD4" s="2004"/>
      <c r="AF4" s="2004"/>
      <c r="AG4" s="2004"/>
      <c r="AH4" s="2004"/>
      <c r="AJ4" s="2004"/>
      <c r="AK4" s="564"/>
      <c r="AL4" s="2004"/>
      <c r="AM4" s="2004"/>
      <c r="AN4" s="2004"/>
      <c r="AO4" s="2004"/>
      <c r="AP4" s="2477" t="s">
        <v>8675</v>
      </c>
      <c r="AQ4" s="2477" t="s">
        <v>8676</v>
      </c>
      <c r="AR4" s="2477" t="s">
        <v>8677</v>
      </c>
      <c r="AS4" s="2477" t="s">
        <v>8678</v>
      </c>
      <c r="AT4" s="2004"/>
      <c r="AU4" s="643"/>
      <c r="AV4" s="643"/>
      <c r="AW4" s="2004"/>
      <c r="AX4" s="2004"/>
    </row>
    <row r="5" spans="2:50" s="2004" customFormat="1" ht="15.75" thickBot="1">
      <c r="B5" s="2046" t="s">
        <v>155</v>
      </c>
      <c r="C5" s="2047" t="s">
        <v>8679</v>
      </c>
      <c r="Q5" s="600"/>
      <c r="S5" s="1322"/>
      <c r="T5" s="1666"/>
      <c r="U5" s="164"/>
      <c r="V5" s="1322"/>
      <c r="W5" s="1322"/>
      <c r="X5" s="1322"/>
      <c r="Y5" s="1322"/>
      <c r="AC5" s="1665"/>
      <c r="AE5" s="1665"/>
      <c r="AI5" s="1665"/>
      <c r="AK5" s="2046" t="s">
        <v>155</v>
      </c>
      <c r="AL5" s="2047" t="s">
        <v>8679</v>
      </c>
      <c r="AU5" s="643"/>
      <c r="AV5" s="643"/>
    </row>
    <row r="6" spans="2:50" s="2004" customFormat="1" ht="15">
      <c r="B6" s="2445" t="s">
        <v>8680</v>
      </c>
      <c r="C6" s="2440" t="s">
        <v>1042</v>
      </c>
      <c r="D6" s="2149" t="s">
        <v>8582</v>
      </c>
      <c r="E6" s="2446" t="s">
        <v>51</v>
      </c>
      <c r="F6" s="2447">
        <v>3</v>
      </c>
      <c r="G6" s="1330">
        <v>0</v>
      </c>
      <c r="H6" s="1331">
        <v>0</v>
      </c>
      <c r="I6" s="1331">
        <v>0</v>
      </c>
      <c r="J6" s="1937">
        <f>SUM(G6:I6)</f>
        <v>0</v>
      </c>
      <c r="P6" s="1789"/>
      <c r="Q6" s="600"/>
      <c r="R6" s="24">
        <f xml:space="preserve"> IF( SUM( T6:AB6 ) = 0, 0, $U$4 )</f>
        <v>0</v>
      </c>
      <c r="S6" s="1190"/>
      <c r="T6" s="71"/>
      <c r="U6" s="93">
        <f>IF(Validation!$H$3=1,0,IF(ISNUMBER(G6),0,1))</f>
        <v>0</v>
      </c>
      <c r="V6" s="93">
        <f>IF(Validation!$H$3=1,0,IF(ISNUMBER(H6),0,1))</f>
        <v>0</v>
      </c>
      <c r="W6" s="93">
        <f>IF(Validation!$H$3=1,0,IF(ISNUMBER(I6),0,1))</f>
        <v>0</v>
      </c>
      <c r="X6" s="1322"/>
      <c r="Y6" s="1322"/>
      <c r="AC6" s="1665"/>
      <c r="AE6" s="1665"/>
      <c r="AI6" s="1665"/>
      <c r="AK6" s="1711" t="s">
        <v>8680</v>
      </c>
      <c r="AL6" s="2440" t="s">
        <v>1042</v>
      </c>
      <c r="AM6" s="2478" t="s">
        <v>8681</v>
      </c>
      <c r="AN6" s="2446" t="s">
        <v>51</v>
      </c>
      <c r="AO6" s="2447">
        <v>3</v>
      </c>
      <c r="AP6" s="1330" t="str">
        <f t="shared" ref="AP6:AS7" si="0">+$AM6&amp;AP$4</f>
        <v>WWS1001STPPP</v>
      </c>
      <c r="AQ6" s="1331" t="str">
        <f t="shared" si="0"/>
        <v>WWS1001STPTK</v>
      </c>
      <c r="AR6" s="1331" t="str">
        <f t="shared" si="0"/>
        <v>WWS1001STPTR</v>
      </c>
      <c r="AS6" s="1937" t="str">
        <f t="shared" si="0"/>
        <v>WWS1001STPTOT</v>
      </c>
      <c r="AT6" s="1659"/>
      <c r="AU6" s="2170"/>
      <c r="AV6" s="2170"/>
      <c r="AW6" s="1659"/>
      <c r="AX6" s="1659"/>
    </row>
    <row r="7" spans="2:50" s="2004" customFormat="1" ht="15">
      <c r="B7" s="2448" t="s">
        <v>8682</v>
      </c>
      <c r="C7" s="1716" t="s">
        <v>8584</v>
      </c>
      <c r="D7" s="2150" t="s">
        <v>8585</v>
      </c>
      <c r="E7" s="2449" t="s">
        <v>51</v>
      </c>
      <c r="F7" s="2444">
        <v>3</v>
      </c>
      <c r="G7" s="1339">
        <v>0</v>
      </c>
      <c r="H7" s="1340">
        <v>0</v>
      </c>
      <c r="I7" s="1340">
        <v>0</v>
      </c>
      <c r="J7" s="1938">
        <f t="shared" ref="J7:J9" si="1">SUM(G7:I7)</f>
        <v>0</v>
      </c>
      <c r="P7" s="1790"/>
      <c r="Q7" s="600"/>
      <c r="R7" s="24">
        <f t="shared" ref="R7:R18" si="2" xml:space="preserve"> IF( SUM( T7:AB7 ) = 0, 0, $U$4 )</f>
        <v>0</v>
      </c>
      <c r="S7" s="1190"/>
      <c r="T7" s="71"/>
      <c r="U7" s="93">
        <f>IF(Validation!$H$3=1,0,IF(ISNUMBER(G7),0,1))</f>
        <v>0</v>
      </c>
      <c r="V7" s="93">
        <f>IF(Validation!$H$3=1,0,IF(ISNUMBER(H7),0,1))</f>
        <v>0</v>
      </c>
      <c r="W7" s="93">
        <f>IF(Validation!$H$3=1,0,IF(ISNUMBER(I7),0,1))</f>
        <v>0</v>
      </c>
      <c r="X7" s="1322"/>
      <c r="Y7" s="1322"/>
      <c r="AC7" s="1665"/>
      <c r="AE7" s="1665"/>
      <c r="AI7" s="1665"/>
      <c r="AK7" s="1712" t="s">
        <v>8682</v>
      </c>
      <c r="AL7" s="1716" t="s">
        <v>8584</v>
      </c>
      <c r="AM7" s="2479" t="s">
        <v>8683</v>
      </c>
      <c r="AN7" s="2449" t="s">
        <v>51</v>
      </c>
      <c r="AO7" s="2444">
        <v>3</v>
      </c>
      <c r="AP7" s="1339" t="str">
        <f t="shared" si="0"/>
        <v>WWS1002STPPP</v>
      </c>
      <c r="AQ7" s="1340" t="str">
        <f t="shared" si="0"/>
        <v>WWS1002STPTK</v>
      </c>
      <c r="AR7" s="1340" t="str">
        <f t="shared" si="0"/>
        <v>WWS1002STPTR</v>
      </c>
      <c r="AS7" s="1938" t="str">
        <f t="shared" si="0"/>
        <v>WWS1002STPTOT</v>
      </c>
      <c r="AT7" s="1659"/>
      <c r="AU7" s="2170"/>
      <c r="AV7" s="2170"/>
      <c r="AW7" s="1659"/>
      <c r="AX7" s="1659"/>
    </row>
    <row r="8" spans="2:50" s="2004" customFormat="1" ht="15">
      <c r="B8" s="2448" t="s">
        <v>8684</v>
      </c>
      <c r="C8" s="1716" t="s">
        <v>3550</v>
      </c>
      <c r="D8" s="2150"/>
      <c r="E8" s="2450" t="s">
        <v>51</v>
      </c>
      <c r="F8" s="2444">
        <v>3</v>
      </c>
      <c r="G8" s="1339">
        <v>0</v>
      </c>
      <c r="H8" s="1340">
        <v>0</v>
      </c>
      <c r="I8" s="1340">
        <v>0</v>
      </c>
      <c r="J8" s="1938">
        <f t="shared" si="1"/>
        <v>0</v>
      </c>
      <c r="P8" s="1790"/>
      <c r="Q8" s="600"/>
      <c r="R8" s="24">
        <f t="shared" si="2"/>
        <v>0</v>
      </c>
      <c r="S8" s="1190"/>
      <c r="T8" s="71"/>
      <c r="U8" s="93">
        <f>IF(Validation!$H$3=1,0,IF(ISNUMBER(G8),0,1))</f>
        <v>0</v>
      </c>
      <c r="V8" s="93">
        <f>IF(Validation!$H$3=1,0,IF(ISNUMBER(H8),0,1))</f>
        <v>0</v>
      </c>
      <c r="W8" s="93">
        <f>IF(Validation!$H$3=1,0,IF(ISNUMBER(I8),0,1))</f>
        <v>0</v>
      </c>
      <c r="X8" s="1322"/>
      <c r="Y8" s="1322"/>
      <c r="AC8" s="1665"/>
      <c r="AE8" s="1665"/>
      <c r="AI8" s="1665"/>
      <c r="AK8" s="1712" t="s">
        <v>8684</v>
      </c>
      <c r="AL8" s="1716" t="s">
        <v>3550</v>
      </c>
      <c r="AM8" s="2479" t="s">
        <v>8685</v>
      </c>
      <c r="AN8" s="2450" t="s">
        <v>51</v>
      </c>
      <c r="AO8" s="2444">
        <v>3</v>
      </c>
      <c r="AP8" s="1339" t="str">
        <f>+$AM8&amp;AP$4</f>
        <v>WWS1003STPPP</v>
      </c>
      <c r="AQ8" s="1340" t="str">
        <f t="shared" ref="AQ8:AR9" si="3">+$AM8&amp;AQ$4</f>
        <v>WWS1003STPTK</v>
      </c>
      <c r="AR8" s="1340" t="str">
        <f t="shared" si="3"/>
        <v>WWS1003STPTR</v>
      </c>
      <c r="AS8" s="1938" t="str">
        <f>+$AM8&amp;AS$4</f>
        <v>WWS1003STPTOT</v>
      </c>
      <c r="AT8" s="1659"/>
      <c r="AU8" s="2170"/>
      <c r="AV8" s="2170"/>
      <c r="AW8" s="1659"/>
      <c r="AX8" s="1659"/>
    </row>
    <row r="9" spans="2:50" s="2004" customFormat="1" ht="15">
      <c r="B9" s="2448" t="s">
        <v>8686</v>
      </c>
      <c r="C9" s="1716" t="s">
        <v>3282</v>
      </c>
      <c r="D9" s="2150"/>
      <c r="E9" s="2450" t="s">
        <v>51</v>
      </c>
      <c r="F9" s="2444">
        <v>3</v>
      </c>
      <c r="G9" s="1339">
        <v>0</v>
      </c>
      <c r="H9" s="1340">
        <v>0</v>
      </c>
      <c r="I9" s="1340">
        <v>0</v>
      </c>
      <c r="J9" s="1938">
        <f t="shared" si="1"/>
        <v>0</v>
      </c>
      <c r="P9" s="1790"/>
      <c r="Q9" s="600"/>
      <c r="R9" s="24">
        <f t="shared" si="2"/>
        <v>0</v>
      </c>
      <c r="S9" s="1190"/>
      <c r="T9" s="71"/>
      <c r="U9" s="93">
        <f>IF(Validation!$H$3=1,0,IF(ISNUMBER(G9),0,1))</f>
        <v>0</v>
      </c>
      <c r="V9" s="93">
        <f>IF(Validation!$H$3=1,0,IF(ISNUMBER(H9),0,1))</f>
        <v>0</v>
      </c>
      <c r="W9" s="93">
        <f>IF(Validation!$H$3=1,0,IF(ISNUMBER(I9),0,1))</f>
        <v>0</v>
      </c>
      <c r="X9" s="1322"/>
      <c r="Y9" s="1322"/>
      <c r="AC9" s="1665"/>
      <c r="AE9" s="1665"/>
      <c r="AI9" s="1665"/>
      <c r="AK9" s="1712" t="s">
        <v>8686</v>
      </c>
      <c r="AL9" s="1716" t="s">
        <v>3282</v>
      </c>
      <c r="AM9" s="2479" t="s">
        <v>8687</v>
      </c>
      <c r="AN9" s="2450" t="s">
        <v>51</v>
      </c>
      <c r="AO9" s="2444">
        <v>3</v>
      </c>
      <c r="AP9" s="1339" t="str">
        <f t="shared" ref="AP9" si="4">+$AM9&amp;AP$4</f>
        <v>WWS1004STPPP</v>
      </c>
      <c r="AQ9" s="1340" t="str">
        <f t="shared" si="3"/>
        <v>WWS1004STPTK</v>
      </c>
      <c r="AR9" s="1340" t="str">
        <f t="shared" si="3"/>
        <v>WWS1004STPTR</v>
      </c>
      <c r="AS9" s="1938" t="str">
        <f>+$AM9&amp;AS$4</f>
        <v>WWS1004STPTOT</v>
      </c>
      <c r="AT9" s="1659"/>
      <c r="AU9" s="2170"/>
      <c r="AV9" s="2170"/>
      <c r="AW9" s="1659"/>
      <c r="AX9" s="1659"/>
    </row>
    <row r="10" spans="2:50" s="479" customFormat="1" ht="15">
      <c r="B10" s="2502"/>
      <c r="C10" s="2432" t="s">
        <v>1282</v>
      </c>
      <c r="D10" s="2503"/>
      <c r="E10" s="2504"/>
      <c r="F10" s="2501"/>
      <c r="G10" s="2495"/>
      <c r="H10" s="2496"/>
      <c r="I10" s="2496"/>
      <c r="J10" s="2496"/>
      <c r="P10" s="2505"/>
      <c r="Q10" s="600"/>
      <c r="R10" s="715"/>
      <c r="S10" s="2499"/>
      <c r="T10" s="71"/>
      <c r="U10" s="715"/>
      <c r="V10" s="715"/>
      <c r="W10" s="715"/>
      <c r="X10" s="715"/>
      <c r="Y10" s="715"/>
      <c r="AC10" s="2500"/>
      <c r="AE10" s="2500"/>
      <c r="AI10" s="2500"/>
      <c r="AK10" s="2491"/>
      <c r="AL10" s="2432" t="s">
        <v>1282</v>
      </c>
      <c r="AM10" s="2506"/>
      <c r="AN10" s="2504"/>
      <c r="AO10" s="2501"/>
      <c r="AP10" s="2495"/>
      <c r="AQ10" s="2496"/>
      <c r="AR10" s="2496"/>
      <c r="AS10" s="2496"/>
      <c r="AT10" s="2104"/>
      <c r="AU10" s="2507"/>
      <c r="AV10" s="2507"/>
      <c r="AW10" s="2104"/>
      <c r="AX10" s="2104"/>
    </row>
    <row r="11" spans="2:50" s="2004" customFormat="1" ht="15">
      <c r="B11" s="2448" t="s">
        <v>8688</v>
      </c>
      <c r="C11" s="913" t="s">
        <v>4602</v>
      </c>
      <c r="D11" s="2150"/>
      <c r="E11" s="2450" t="s">
        <v>51</v>
      </c>
      <c r="F11" s="2444">
        <v>3</v>
      </c>
      <c r="G11" s="1339">
        <v>0</v>
      </c>
      <c r="H11" s="1340">
        <v>0</v>
      </c>
      <c r="I11" s="1340">
        <v>0</v>
      </c>
      <c r="J11" s="1938">
        <f t="shared" ref="J11:J19" si="5">SUM(G11:I11)</f>
        <v>0</v>
      </c>
      <c r="P11" s="1790"/>
      <c r="Q11" s="600"/>
      <c r="R11" s="24">
        <f t="shared" si="2"/>
        <v>0</v>
      </c>
      <c r="S11" s="1190"/>
      <c r="T11" s="71"/>
      <c r="U11" s="93">
        <f>IF(Validation!$H$3=1,0,IF(ISNUMBER(G11),0,1))</f>
        <v>0</v>
      </c>
      <c r="V11" s="93">
        <f>IF(Validation!$H$3=1,0,IF(ISNUMBER(H11),0,1))</f>
        <v>0</v>
      </c>
      <c r="W11" s="93">
        <f>IF(Validation!$H$3=1,0,IF(ISNUMBER(I11),0,1))</f>
        <v>0</v>
      </c>
      <c r="X11" s="1322"/>
      <c r="Y11" s="1322"/>
      <c r="AC11" s="1665"/>
      <c r="AE11" s="1665"/>
      <c r="AI11" s="1665"/>
      <c r="AK11" s="1712" t="s">
        <v>8688</v>
      </c>
      <c r="AL11" s="913" t="s">
        <v>4602</v>
      </c>
      <c r="AM11" s="2479" t="s">
        <v>8689</v>
      </c>
      <c r="AN11" s="2450" t="s">
        <v>51</v>
      </c>
      <c r="AO11" s="2444">
        <v>3</v>
      </c>
      <c r="AP11" s="1339" t="str">
        <f t="shared" ref="AP11:AS19" si="6">+$AM11&amp;AP$4</f>
        <v>WWS1005STPPP</v>
      </c>
      <c r="AQ11" s="1340" t="str">
        <f t="shared" si="6"/>
        <v>WWS1005STPTK</v>
      </c>
      <c r="AR11" s="1340" t="str">
        <f t="shared" si="6"/>
        <v>WWS1005STPTR</v>
      </c>
      <c r="AS11" s="1938" t="str">
        <f t="shared" si="6"/>
        <v>WWS1005STPTOT</v>
      </c>
      <c r="AT11" s="1659"/>
      <c r="AU11" s="2170"/>
      <c r="AV11" s="2170"/>
      <c r="AW11" s="1659"/>
      <c r="AX11" s="1659"/>
    </row>
    <row r="12" spans="2:50" s="2004" customFormat="1" ht="15">
      <c r="B12" s="2448" t="s">
        <v>8690</v>
      </c>
      <c r="C12" s="913" t="s">
        <v>4611</v>
      </c>
      <c r="D12" s="2150"/>
      <c r="E12" s="2450" t="s">
        <v>51</v>
      </c>
      <c r="F12" s="2444">
        <v>3</v>
      </c>
      <c r="G12" s="1339">
        <v>0</v>
      </c>
      <c r="H12" s="1340">
        <v>0</v>
      </c>
      <c r="I12" s="1340">
        <v>0</v>
      </c>
      <c r="J12" s="1938">
        <f t="shared" si="5"/>
        <v>0</v>
      </c>
      <c r="P12" s="1791"/>
      <c r="Q12" s="600"/>
      <c r="R12" s="24">
        <f t="shared" si="2"/>
        <v>0</v>
      </c>
      <c r="S12" s="1190"/>
      <c r="T12" s="71"/>
      <c r="U12" s="93">
        <f>IF(Validation!$H$3=1,0,IF(ISNUMBER(G12),0,1))</f>
        <v>0</v>
      </c>
      <c r="V12" s="93">
        <f>IF(Validation!$H$3=1,0,IF(ISNUMBER(H12),0,1))</f>
        <v>0</v>
      </c>
      <c r="W12" s="93">
        <f>IF(Validation!$H$3=1,0,IF(ISNUMBER(I12),0,1))</f>
        <v>0</v>
      </c>
      <c r="X12" s="1322"/>
      <c r="Y12" s="1322"/>
      <c r="AC12" s="1665"/>
      <c r="AE12" s="1665"/>
      <c r="AI12" s="1665"/>
      <c r="AK12" s="1712" t="s">
        <v>8690</v>
      </c>
      <c r="AL12" s="913" t="s">
        <v>4611</v>
      </c>
      <c r="AM12" s="2479" t="s">
        <v>8691</v>
      </c>
      <c r="AN12" s="2450" t="s">
        <v>51</v>
      </c>
      <c r="AO12" s="2444">
        <v>3</v>
      </c>
      <c r="AP12" s="1339" t="str">
        <f t="shared" si="6"/>
        <v>WWS1006STPPP</v>
      </c>
      <c r="AQ12" s="1340" t="str">
        <f t="shared" si="6"/>
        <v>WWS1006STPTK</v>
      </c>
      <c r="AR12" s="1340" t="str">
        <f t="shared" si="6"/>
        <v>WWS1006STPTR</v>
      </c>
      <c r="AS12" s="1938" t="str">
        <f t="shared" si="6"/>
        <v>WWS1006STPTOT</v>
      </c>
      <c r="AT12" s="1659"/>
      <c r="AU12" s="2170"/>
      <c r="AV12" s="2170"/>
      <c r="AW12" s="1659"/>
      <c r="AX12" s="1659"/>
    </row>
    <row r="13" spans="2:50" s="2004" customFormat="1" ht="15">
      <c r="B13" s="2448" t="s">
        <v>8692</v>
      </c>
      <c r="C13" s="913" t="s">
        <v>8693</v>
      </c>
      <c r="D13" s="2150"/>
      <c r="E13" s="2450" t="s">
        <v>51</v>
      </c>
      <c r="F13" s="2444">
        <v>3</v>
      </c>
      <c r="G13" s="1339">
        <v>0</v>
      </c>
      <c r="H13" s="1340">
        <v>3.49</v>
      </c>
      <c r="I13" s="1340">
        <v>0</v>
      </c>
      <c r="J13" s="1938">
        <f t="shared" si="5"/>
        <v>3.49</v>
      </c>
      <c r="P13" s="1790"/>
      <c r="Q13" s="600"/>
      <c r="R13" s="24">
        <f t="shared" si="2"/>
        <v>0</v>
      </c>
      <c r="S13" s="1190"/>
      <c r="T13" s="71"/>
      <c r="U13" s="93">
        <f>IF(Validation!$H$3=1,0,IF(ISNUMBER(G13),0,1))</f>
        <v>0</v>
      </c>
      <c r="V13" s="93">
        <f>IF(Validation!$H$3=1,0,IF(ISNUMBER(H13),0,1))</f>
        <v>0</v>
      </c>
      <c r="W13" s="93">
        <f>IF(Validation!$H$3=1,0,IF(ISNUMBER(I13),0,1))</f>
        <v>0</v>
      </c>
      <c r="X13" s="1322"/>
      <c r="Y13" s="1322"/>
      <c r="AC13" s="1665"/>
      <c r="AE13" s="1665"/>
      <c r="AI13" s="1665"/>
      <c r="AK13" s="1712" t="s">
        <v>8692</v>
      </c>
      <c r="AL13" s="913" t="s">
        <v>8693</v>
      </c>
      <c r="AM13" s="2479" t="s">
        <v>8694</v>
      </c>
      <c r="AN13" s="2450" t="s">
        <v>51</v>
      </c>
      <c r="AO13" s="2444">
        <v>3</v>
      </c>
      <c r="AP13" s="1339" t="str">
        <f t="shared" si="6"/>
        <v>WWS1007DISTPPP</v>
      </c>
      <c r="AQ13" s="1340" t="str">
        <f t="shared" si="6"/>
        <v>WWS1007DISTPTK</v>
      </c>
      <c r="AR13" s="1340" t="str">
        <f t="shared" si="6"/>
        <v>WWS1007DISTPTR</v>
      </c>
      <c r="AS13" s="1938" t="str">
        <f t="shared" si="6"/>
        <v>WWS1007DISTPTOT</v>
      </c>
      <c r="AT13" s="1659"/>
      <c r="AU13" s="2170"/>
      <c r="AV13" s="2170"/>
      <c r="AW13" s="1659"/>
      <c r="AX13" s="1659"/>
    </row>
    <row r="14" spans="2:50" s="2004" customFormat="1" ht="15">
      <c r="B14" s="2448" t="s">
        <v>8695</v>
      </c>
      <c r="C14" s="913" t="s">
        <v>8696</v>
      </c>
      <c r="D14" s="2150"/>
      <c r="E14" s="2450" t="s">
        <v>51</v>
      </c>
      <c r="F14" s="2444">
        <v>3</v>
      </c>
      <c r="G14" s="1339">
        <v>0</v>
      </c>
      <c r="H14" s="1340">
        <v>1.3460000000000001</v>
      </c>
      <c r="I14" s="1340">
        <v>0</v>
      </c>
      <c r="J14" s="1938">
        <f t="shared" si="5"/>
        <v>1.3460000000000001</v>
      </c>
      <c r="P14" s="1790"/>
      <c r="Q14" s="600"/>
      <c r="R14" s="24">
        <f t="shared" si="2"/>
        <v>0</v>
      </c>
      <c r="S14" s="1190"/>
      <c r="T14" s="71"/>
      <c r="U14" s="93">
        <f>IF(Validation!$H$3=1,0,IF(ISNUMBER(G14),0,1))</f>
        <v>0</v>
      </c>
      <c r="V14" s="93">
        <f>IF(Validation!$H$3=1,0,IF(ISNUMBER(H14),0,1))</f>
        <v>0</v>
      </c>
      <c r="W14" s="93">
        <f>IF(Validation!$H$3=1,0,IF(ISNUMBER(I14),0,1))</f>
        <v>0</v>
      </c>
      <c r="X14" s="1322"/>
      <c r="Y14" s="1322"/>
      <c r="AC14" s="1665"/>
      <c r="AE14" s="1665"/>
      <c r="AI14" s="1665"/>
      <c r="AK14" s="1712" t="s">
        <v>8695</v>
      </c>
      <c r="AL14" s="913" t="s">
        <v>8696</v>
      </c>
      <c r="AM14" s="2479" t="s">
        <v>8697</v>
      </c>
      <c r="AN14" s="2450" t="s">
        <v>51</v>
      </c>
      <c r="AO14" s="2444">
        <v>3</v>
      </c>
      <c r="AP14" s="1339" t="str">
        <f t="shared" si="6"/>
        <v>WWS1007INSTPPP</v>
      </c>
      <c r="AQ14" s="1340" t="str">
        <f t="shared" si="6"/>
        <v>WWS1007INSTPTK</v>
      </c>
      <c r="AR14" s="1340" t="str">
        <f t="shared" si="6"/>
        <v>WWS1007INSTPTR</v>
      </c>
      <c r="AS14" s="1938" t="str">
        <f t="shared" si="6"/>
        <v>WWS1007INSTPTOT</v>
      </c>
      <c r="AT14" s="1659"/>
      <c r="AU14" s="2170"/>
      <c r="AV14" s="2170"/>
      <c r="AW14" s="1659"/>
      <c r="AX14" s="1659"/>
    </row>
    <row r="15" spans="2:50" s="2004" customFormat="1" ht="15">
      <c r="B15" s="2448" t="s">
        <v>8698</v>
      </c>
      <c r="C15" s="2434" t="s">
        <v>8602</v>
      </c>
      <c r="D15" s="2150"/>
      <c r="E15" s="2450" t="s">
        <v>51</v>
      </c>
      <c r="F15" s="2444">
        <v>3</v>
      </c>
      <c r="G15" s="1707">
        <f>SUM(G6:G14)</f>
        <v>0</v>
      </c>
      <c r="H15" s="1707">
        <f t="shared" ref="H15:I15" si="7">SUM(H6:H14)</f>
        <v>4.8360000000000003</v>
      </c>
      <c r="I15" s="1707">
        <f t="shared" si="7"/>
        <v>0</v>
      </c>
      <c r="J15" s="1938">
        <f t="shared" si="5"/>
        <v>4.8360000000000003</v>
      </c>
      <c r="L15" s="643"/>
      <c r="M15" s="643"/>
      <c r="P15" s="1790"/>
      <c r="Q15" s="600"/>
      <c r="R15" s="1322"/>
      <c r="S15" s="1190"/>
      <c r="T15" s="71"/>
      <c r="U15" s="1322"/>
      <c r="V15" s="1322"/>
      <c r="W15" s="1322"/>
      <c r="X15" s="1322"/>
      <c r="Y15" s="1322"/>
      <c r="AC15" s="1665"/>
      <c r="AE15" s="1665"/>
      <c r="AI15" s="1665"/>
      <c r="AK15" s="1712" t="s">
        <v>8698</v>
      </c>
      <c r="AL15" s="2434" t="s">
        <v>8602</v>
      </c>
      <c r="AM15" s="2479" t="s">
        <v>8603</v>
      </c>
      <c r="AN15" s="2450" t="s">
        <v>51</v>
      </c>
      <c r="AO15" s="2444">
        <v>3</v>
      </c>
      <c r="AP15" s="1707" t="str">
        <f t="shared" si="6"/>
        <v>BM816STPPP</v>
      </c>
      <c r="AQ15" s="1707" t="str">
        <f t="shared" si="6"/>
        <v>BM816STPTK</v>
      </c>
      <c r="AR15" s="1707" t="str">
        <f t="shared" si="6"/>
        <v>BM816STPTR</v>
      </c>
      <c r="AS15" s="1938" t="str">
        <f t="shared" si="6"/>
        <v>BM816STPTOT</v>
      </c>
      <c r="AT15" s="1659"/>
      <c r="AU15" s="2170"/>
      <c r="AV15" s="2170"/>
      <c r="AW15" s="1659"/>
      <c r="AX15" s="1659"/>
    </row>
    <row r="16" spans="2:50" s="2004" customFormat="1" ht="15">
      <c r="B16" s="2448" t="s">
        <v>8699</v>
      </c>
      <c r="C16" s="1716" t="s">
        <v>1098</v>
      </c>
      <c r="D16" s="2150" t="s">
        <v>8605</v>
      </c>
      <c r="E16" s="2449" t="s">
        <v>51</v>
      </c>
      <c r="F16" s="2444">
        <v>3</v>
      </c>
      <c r="G16" s="1339">
        <v>0</v>
      </c>
      <c r="H16" s="1340">
        <v>1E-3</v>
      </c>
      <c r="I16" s="1340">
        <v>0</v>
      </c>
      <c r="J16" s="1938">
        <f t="shared" si="5"/>
        <v>1E-3</v>
      </c>
      <c r="L16" s="643"/>
      <c r="M16" s="643"/>
      <c r="P16" s="1790"/>
      <c r="Q16" s="600"/>
      <c r="R16" s="24">
        <f t="shared" si="2"/>
        <v>0</v>
      </c>
      <c r="S16" s="1190"/>
      <c r="T16" s="71"/>
      <c r="U16" s="93">
        <f>IF(Validation!$H$3=1,0,IF(ISNUMBER(G16),0,1))</f>
        <v>0</v>
      </c>
      <c r="V16" s="93">
        <f>IF(Validation!$H$3=1,0,IF(ISNUMBER(H16),0,1))</f>
        <v>0</v>
      </c>
      <c r="W16" s="93">
        <f>IF(Validation!$H$3=1,0,IF(ISNUMBER(I16),0,1))</f>
        <v>0</v>
      </c>
      <c r="X16" s="1322"/>
      <c r="Y16" s="1322"/>
      <c r="AC16" s="1665"/>
      <c r="AE16" s="1665"/>
      <c r="AI16" s="1665"/>
      <c r="AK16" s="1712" t="s">
        <v>8699</v>
      </c>
      <c r="AL16" s="1716" t="s">
        <v>1098</v>
      </c>
      <c r="AM16" s="2479" t="s">
        <v>8700</v>
      </c>
      <c r="AN16" s="2449" t="s">
        <v>51</v>
      </c>
      <c r="AO16" s="2444">
        <v>3</v>
      </c>
      <c r="AP16" s="1339" t="str">
        <f t="shared" si="6"/>
        <v>WWS1008STPPP</v>
      </c>
      <c r="AQ16" s="1340" t="str">
        <f t="shared" si="6"/>
        <v>WWS1008STPTK</v>
      </c>
      <c r="AR16" s="1340" t="str">
        <f t="shared" si="6"/>
        <v>WWS1008STPTR</v>
      </c>
      <c r="AS16" s="1938" t="str">
        <f t="shared" si="6"/>
        <v>WWS1008STPTOT</v>
      </c>
      <c r="AT16" s="1659"/>
      <c r="AU16" s="2170"/>
      <c r="AV16" s="2170"/>
      <c r="AW16" s="1659"/>
      <c r="AX16" s="1659"/>
    </row>
    <row r="17" spans="2:50" s="2004" customFormat="1" ht="24">
      <c r="B17" s="2448" t="s">
        <v>8701</v>
      </c>
      <c r="C17" s="2435" t="s">
        <v>8607</v>
      </c>
      <c r="D17" s="2151" t="s">
        <v>8608</v>
      </c>
      <c r="E17" s="2451" t="s">
        <v>51</v>
      </c>
      <c r="F17" s="2452">
        <v>3</v>
      </c>
      <c r="G17" s="1707">
        <f>+G15+G16</f>
        <v>0</v>
      </c>
      <c r="H17" s="1707">
        <f t="shared" ref="H17:I17" si="8">+H15+H16</f>
        <v>4.8370000000000006</v>
      </c>
      <c r="I17" s="1707">
        <f t="shared" si="8"/>
        <v>0</v>
      </c>
      <c r="J17" s="1938">
        <f t="shared" si="5"/>
        <v>4.8370000000000006</v>
      </c>
      <c r="L17" s="643"/>
      <c r="M17" s="643"/>
      <c r="P17" s="1790"/>
      <c r="Q17" s="600"/>
      <c r="R17" s="1370">
        <f xml:space="preserve"> IF( SUM( AC17:AE17 ) = 0, 0, AH17 )</f>
        <v>0</v>
      </c>
      <c r="S17" s="1190"/>
      <c r="T17" s="71"/>
      <c r="U17" s="1322"/>
      <c r="V17" s="1322"/>
      <c r="W17" s="1322"/>
      <c r="X17" s="1322"/>
      <c r="Y17" s="1322"/>
      <c r="AC17" s="1665"/>
      <c r="AD17" s="2069">
        <f xml:space="preserve"> IF( (AF17 - AG17) = 0, 0, 1 )</f>
        <v>0</v>
      </c>
      <c r="AE17" s="2070"/>
      <c r="AF17" s="2071">
        <f>ROUND(J17,3)</f>
        <v>4.8369999999999997</v>
      </c>
      <c r="AG17" s="2248">
        <f>ROUND('4E'!L15,3)</f>
        <v>4.8369999999999997</v>
      </c>
      <c r="AH17" s="2247" t="s">
        <v>8702</v>
      </c>
      <c r="AI17" s="1665"/>
      <c r="AK17" s="1712" t="s">
        <v>8701</v>
      </c>
      <c r="AL17" s="2435" t="s">
        <v>8607</v>
      </c>
      <c r="AM17" s="2480" t="s">
        <v>8703</v>
      </c>
      <c r="AN17" s="2451" t="s">
        <v>51</v>
      </c>
      <c r="AO17" s="2452">
        <v>3</v>
      </c>
      <c r="AP17" s="1707" t="str">
        <f t="shared" si="6"/>
        <v>WWS1009STPPP</v>
      </c>
      <c r="AQ17" s="1707" t="str">
        <f t="shared" si="6"/>
        <v>WWS1009STPTK</v>
      </c>
      <c r="AR17" s="1707" t="str">
        <f t="shared" si="6"/>
        <v>WWS1009STPTR</v>
      </c>
      <c r="AS17" s="1938" t="str">
        <f t="shared" si="6"/>
        <v>WWS1009STPTOT</v>
      </c>
      <c r="AT17" s="1659"/>
      <c r="AU17" s="2170"/>
      <c r="AV17" s="2170"/>
      <c r="AW17" s="1659"/>
      <c r="AX17" s="1659"/>
    </row>
    <row r="18" spans="2:50" s="2004" customFormat="1" ht="15">
      <c r="B18" s="2448" t="s">
        <v>8704</v>
      </c>
      <c r="C18" s="1716" t="s">
        <v>533</v>
      </c>
      <c r="D18" s="2150" t="s">
        <v>8611</v>
      </c>
      <c r="E18" s="2451" t="s">
        <v>51</v>
      </c>
      <c r="F18" s="2452">
        <v>3</v>
      </c>
      <c r="G18" s="1345">
        <v>0</v>
      </c>
      <c r="H18" s="1340">
        <v>0.28899999999999998</v>
      </c>
      <c r="I18" s="1346">
        <v>0</v>
      </c>
      <c r="J18" s="1938">
        <f t="shared" si="5"/>
        <v>0.28899999999999998</v>
      </c>
      <c r="L18" s="643"/>
      <c r="M18" s="643"/>
      <c r="P18" s="1791"/>
      <c r="Q18" s="600"/>
      <c r="R18" s="24">
        <f t="shared" si="2"/>
        <v>0</v>
      </c>
      <c r="S18" s="1190"/>
      <c r="T18" s="71"/>
      <c r="U18" s="93">
        <f>IF(Validation!$H$3=1,0,IF(ISNUMBER(G18),0,1))</f>
        <v>0</v>
      </c>
      <c r="V18" s="93">
        <f>IF(Validation!$H$3=1,0,IF(ISNUMBER(H18),0,1))</f>
        <v>0</v>
      </c>
      <c r="W18" s="93">
        <f>IF(Validation!$H$3=1,0,IF(ISNUMBER(I18),0,1))</f>
        <v>0</v>
      </c>
      <c r="X18" s="1322"/>
      <c r="Y18" s="1322"/>
      <c r="AC18" s="1665"/>
      <c r="AE18" s="1665"/>
      <c r="AI18" s="1665"/>
      <c r="AK18" s="1712" t="s">
        <v>8704</v>
      </c>
      <c r="AL18" s="1716" t="s">
        <v>533</v>
      </c>
      <c r="AM18" s="2479" t="s">
        <v>8611</v>
      </c>
      <c r="AN18" s="2451" t="s">
        <v>51</v>
      </c>
      <c r="AO18" s="2452">
        <v>3</v>
      </c>
      <c r="AP18" s="1345" t="str">
        <f t="shared" si="6"/>
        <v>FT00865STPPP</v>
      </c>
      <c r="AQ18" s="1340" t="str">
        <f t="shared" si="6"/>
        <v>FT00865STPTK</v>
      </c>
      <c r="AR18" s="1346" t="str">
        <f t="shared" si="6"/>
        <v>FT00865STPTR</v>
      </c>
      <c r="AS18" s="1938" t="str">
        <f t="shared" si="6"/>
        <v>FT00865STPTOT</v>
      </c>
      <c r="AT18" s="1659"/>
      <c r="AU18" s="2170"/>
      <c r="AV18" s="2170"/>
      <c r="AW18" s="1659"/>
      <c r="AX18" s="1659"/>
    </row>
    <row r="19" spans="2:50" s="2004" customFormat="1" ht="15.75" thickBot="1">
      <c r="B19" s="2453" t="s">
        <v>8705</v>
      </c>
      <c r="C19" s="1728" t="s">
        <v>8613</v>
      </c>
      <c r="D19" s="2152" t="s">
        <v>8614</v>
      </c>
      <c r="E19" s="2454" t="s">
        <v>51</v>
      </c>
      <c r="F19" s="2455">
        <v>3</v>
      </c>
      <c r="G19" s="1709">
        <f>+G17+G18</f>
        <v>0</v>
      </c>
      <c r="H19" s="1709">
        <f t="shared" ref="H19:I19" si="9">+H17+H18</f>
        <v>5.1260000000000003</v>
      </c>
      <c r="I19" s="1709">
        <f t="shared" si="9"/>
        <v>0</v>
      </c>
      <c r="J19" s="1939">
        <f t="shared" si="5"/>
        <v>5.1260000000000003</v>
      </c>
      <c r="L19" s="643"/>
      <c r="M19" s="643"/>
      <c r="P19" s="1792"/>
      <c r="Q19" s="600"/>
      <c r="R19" s="1322"/>
      <c r="S19" s="1190"/>
      <c r="T19" s="71"/>
      <c r="U19" s="1322"/>
      <c r="V19" s="1322"/>
      <c r="W19" s="1322"/>
      <c r="X19" s="1322"/>
      <c r="Y19" s="1322"/>
      <c r="AC19" s="1665"/>
      <c r="AE19" s="1665"/>
      <c r="AI19" s="1665"/>
      <c r="AK19" s="1713" t="s">
        <v>8705</v>
      </c>
      <c r="AL19" s="1728" t="s">
        <v>8613</v>
      </c>
      <c r="AM19" s="2481" t="s">
        <v>8614</v>
      </c>
      <c r="AN19" s="2454" t="s">
        <v>51</v>
      </c>
      <c r="AO19" s="2455">
        <v>3</v>
      </c>
      <c r="AP19" s="1709" t="str">
        <f t="shared" si="6"/>
        <v>BM319STPPP</v>
      </c>
      <c r="AQ19" s="1709" t="str">
        <f t="shared" si="6"/>
        <v>BM319STPTK</v>
      </c>
      <c r="AR19" s="1709" t="str">
        <f t="shared" si="6"/>
        <v>BM319STPTR</v>
      </c>
      <c r="AS19" s="1939" t="str">
        <f t="shared" si="6"/>
        <v>BM319STPTOT</v>
      </c>
      <c r="AT19" s="1659"/>
      <c r="AU19" s="2170"/>
      <c r="AV19" s="2170"/>
      <c r="AW19" s="1659"/>
      <c r="AX19" s="1659"/>
    </row>
    <row r="20" spans="2:50" s="2004" customFormat="1" ht="15" thickBot="1">
      <c r="B20" s="2456"/>
      <c r="C20" s="1659"/>
      <c r="D20" s="1659"/>
      <c r="E20" s="1659"/>
      <c r="F20" s="1659"/>
      <c r="L20" s="643"/>
      <c r="M20" s="643"/>
      <c r="P20" s="1324"/>
      <c r="Q20" s="600"/>
      <c r="S20" s="1322"/>
      <c r="T20" s="1666"/>
      <c r="U20" s="164"/>
      <c r="V20" s="1322"/>
      <c r="W20" s="1322"/>
      <c r="X20" s="1322"/>
      <c r="Y20" s="1322"/>
      <c r="AC20" s="1665"/>
      <c r="AE20" s="1665"/>
      <c r="AI20" s="1665"/>
      <c r="AK20" s="564"/>
      <c r="AL20" s="1659"/>
      <c r="AM20" s="2477"/>
      <c r="AN20" s="1659"/>
      <c r="AO20" s="1659"/>
      <c r="AP20" s="2477" t="s">
        <v>8706</v>
      </c>
      <c r="AQ20" s="2477" t="s">
        <v>8707</v>
      </c>
      <c r="AR20" s="2477" t="s">
        <v>8708</v>
      </c>
      <c r="AS20" s="2477" t="s">
        <v>8709</v>
      </c>
      <c r="AT20" s="2477" t="s">
        <v>8710</v>
      </c>
      <c r="AU20" s="2443" t="s">
        <v>8711</v>
      </c>
      <c r="AV20" s="2443" t="s">
        <v>8712</v>
      </c>
      <c r="AW20" s="2477" t="s">
        <v>8713</v>
      </c>
      <c r="AX20" s="2477" t="s">
        <v>8714</v>
      </c>
    </row>
    <row r="21" spans="2:50" ht="41.25" thickBot="1">
      <c r="B21" s="2046" t="s">
        <v>177</v>
      </c>
      <c r="C21" s="2485" t="s">
        <v>8715</v>
      </c>
      <c r="D21" s="1659"/>
      <c r="E21" s="1659"/>
      <c r="F21" s="1659"/>
      <c r="G21" s="186" t="s">
        <v>8716</v>
      </c>
      <c r="H21" s="361" t="s">
        <v>8717</v>
      </c>
      <c r="I21" s="361" t="s">
        <v>8718</v>
      </c>
      <c r="J21" s="361" t="s">
        <v>8719</v>
      </c>
      <c r="K21" s="361" t="s">
        <v>8720</v>
      </c>
      <c r="L21" s="1487" t="s">
        <v>8721</v>
      </c>
      <c r="M21" s="1487" t="s">
        <v>8722</v>
      </c>
      <c r="N21" s="361" t="s">
        <v>31</v>
      </c>
      <c r="O21" s="187" t="s">
        <v>710</v>
      </c>
      <c r="P21" s="1408" t="s">
        <v>4567</v>
      </c>
      <c r="Q21" s="2004"/>
      <c r="R21" s="2004"/>
      <c r="S21" s="2004"/>
      <c r="U21" s="2004"/>
      <c r="V21" s="2004"/>
      <c r="W21" s="2004"/>
      <c r="X21" s="2004"/>
      <c r="Y21" s="2004"/>
      <c r="Z21" s="2004"/>
      <c r="AA21" s="2004"/>
      <c r="AB21" s="2004"/>
      <c r="AD21" s="2004"/>
      <c r="AF21" s="2004"/>
      <c r="AG21" s="2004"/>
      <c r="AH21" s="2004"/>
      <c r="AJ21" s="2004"/>
      <c r="AK21" s="3034" t="s">
        <v>155</v>
      </c>
      <c r="AL21" s="2486" t="s">
        <v>8715</v>
      </c>
      <c r="AM21" s="2488"/>
      <c r="AN21" s="2488"/>
      <c r="AO21" s="2488"/>
      <c r="AP21" s="186" t="s">
        <v>8716</v>
      </c>
      <c r="AQ21" s="361" t="s">
        <v>8717</v>
      </c>
      <c r="AR21" s="361" t="s">
        <v>8718</v>
      </c>
      <c r="AS21" s="361" t="s">
        <v>8719</v>
      </c>
      <c r="AT21" s="361" t="s">
        <v>8720</v>
      </c>
      <c r="AU21" s="1487" t="s">
        <v>8721</v>
      </c>
      <c r="AV21" s="1487" t="s">
        <v>8722</v>
      </c>
      <c r="AW21" s="361" t="s">
        <v>31</v>
      </c>
      <c r="AX21" s="187" t="s">
        <v>710</v>
      </c>
    </row>
    <row r="22" spans="2:50" ht="15">
      <c r="B22" s="2445" t="s">
        <v>8723</v>
      </c>
      <c r="C22" s="2440" t="s">
        <v>1042</v>
      </c>
      <c r="D22" s="2457"/>
      <c r="E22" s="2446" t="s">
        <v>51</v>
      </c>
      <c r="F22" s="2447">
        <v>3</v>
      </c>
      <c r="G22" s="1330">
        <v>0</v>
      </c>
      <c r="H22" s="1331">
        <v>-9.1999999999999998E-2</v>
      </c>
      <c r="I22" s="1331">
        <v>-2.1190000000000002</v>
      </c>
      <c r="J22" s="1331">
        <v>-0.86</v>
      </c>
      <c r="K22" s="1340">
        <v>0</v>
      </c>
      <c r="L22" s="1340">
        <v>0</v>
      </c>
      <c r="M22" s="1340">
        <v>0</v>
      </c>
      <c r="N22" s="1340">
        <v>0</v>
      </c>
      <c r="O22" s="1937">
        <f t="shared" ref="O22:O35" si="10">SUM(G22:N22)</f>
        <v>-3.0710000000000002</v>
      </c>
      <c r="P22" s="1789"/>
      <c r="Q22" s="2004"/>
      <c r="R22" s="24">
        <f xml:space="preserve"> IF( SUM( T22:AB22 ) = 0, 0, $U$4 )</f>
        <v>0</v>
      </c>
      <c r="S22" s="1190"/>
      <c r="T22" s="71"/>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C22" s="71"/>
      <c r="AD22" s="2004"/>
      <c r="AF22" s="2004"/>
      <c r="AG22" s="2004"/>
      <c r="AH22" s="2004"/>
      <c r="AJ22" s="2004"/>
      <c r="AK22" s="1711" t="s">
        <v>8723</v>
      </c>
      <c r="AL22" s="2440" t="s">
        <v>1042</v>
      </c>
      <c r="AM22" s="2478" t="s">
        <v>8724</v>
      </c>
      <c r="AN22" s="2446" t="s">
        <v>51</v>
      </c>
      <c r="AO22" s="2447">
        <v>3</v>
      </c>
      <c r="AP22" s="1330" t="s">
        <v>8725</v>
      </c>
      <c r="AQ22" s="1331" t="s">
        <v>8726</v>
      </c>
      <c r="AR22" s="1331" t="s">
        <v>8727</v>
      </c>
      <c r="AS22" s="1362" t="s">
        <v>8728</v>
      </c>
      <c r="AT22" s="1362" t="s">
        <v>8729</v>
      </c>
      <c r="AU22" s="1331" t="s">
        <v>8730</v>
      </c>
      <c r="AV22" s="1331" t="s">
        <v>8731</v>
      </c>
      <c r="AW22" s="1331" t="s">
        <v>8732</v>
      </c>
      <c r="AX22" s="1640" t="s">
        <v>8733</v>
      </c>
    </row>
    <row r="23" spans="2:50" ht="15">
      <c r="B23" s="2448" t="s">
        <v>8734</v>
      </c>
      <c r="C23" s="1716" t="s">
        <v>1050</v>
      </c>
      <c r="D23" s="2458"/>
      <c r="E23" s="2449" t="s">
        <v>51</v>
      </c>
      <c r="F23" s="2444">
        <v>3</v>
      </c>
      <c r="G23" s="1339">
        <v>0</v>
      </c>
      <c r="H23" s="1340">
        <v>-6.8000000000000005E-2</v>
      </c>
      <c r="I23" s="1340">
        <v>-1.5609999999999999</v>
      </c>
      <c r="J23" s="1340">
        <v>-0.63300000000000001</v>
      </c>
      <c r="K23" s="1340">
        <v>0</v>
      </c>
      <c r="L23" s="1340">
        <v>0</v>
      </c>
      <c r="M23" s="1340">
        <v>0</v>
      </c>
      <c r="N23" s="1340">
        <v>0</v>
      </c>
      <c r="O23" s="1938">
        <f t="shared" si="10"/>
        <v>-2.262</v>
      </c>
      <c r="P23" s="1790"/>
      <c r="Q23" s="2004"/>
      <c r="R23" s="24">
        <f xml:space="preserve"> IF( SUM( T23:AB23 ) = 0, 0, $U$4 )</f>
        <v>0</v>
      </c>
      <c r="S23" s="1190"/>
      <c r="T23" s="71"/>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C23" s="71"/>
      <c r="AD23" s="2004"/>
      <c r="AF23" s="2004"/>
      <c r="AG23" s="2004"/>
      <c r="AH23" s="2004"/>
      <c r="AJ23" s="2004"/>
      <c r="AK23" s="1712" t="s">
        <v>8734</v>
      </c>
      <c r="AL23" s="1716" t="s">
        <v>1050</v>
      </c>
      <c r="AM23" s="2479" t="s">
        <v>8585</v>
      </c>
      <c r="AN23" s="2449" t="s">
        <v>51</v>
      </c>
      <c r="AO23" s="2444">
        <v>3</v>
      </c>
      <c r="AP23" s="1339" t="s">
        <v>8735</v>
      </c>
      <c r="AQ23" s="1340" t="s">
        <v>8736</v>
      </c>
      <c r="AR23" s="1340" t="s">
        <v>8737</v>
      </c>
      <c r="AS23" s="1363" t="s">
        <v>8738</v>
      </c>
      <c r="AT23" s="1363" t="s">
        <v>8739</v>
      </c>
      <c r="AU23" s="1340" t="s">
        <v>8740</v>
      </c>
      <c r="AV23" s="1340" t="s">
        <v>8741</v>
      </c>
      <c r="AW23" s="1340" t="s">
        <v>8742</v>
      </c>
      <c r="AX23" s="1641" t="s">
        <v>8743</v>
      </c>
    </row>
    <row r="24" spans="2:50" s="2004" customFormat="1" ht="15">
      <c r="B24" s="2448" t="s">
        <v>8744</v>
      </c>
      <c r="C24" s="1716" t="s">
        <v>3550</v>
      </c>
      <c r="D24" s="2150"/>
      <c r="E24" s="2450" t="s">
        <v>51</v>
      </c>
      <c r="F24" s="2444">
        <v>3</v>
      </c>
      <c r="G24" s="1339">
        <v>0</v>
      </c>
      <c r="H24" s="1340">
        <v>0</v>
      </c>
      <c r="I24" s="1340">
        <v>0</v>
      </c>
      <c r="J24" s="1340">
        <v>0</v>
      </c>
      <c r="K24" s="1340">
        <v>0</v>
      </c>
      <c r="L24" s="1340">
        <v>0</v>
      </c>
      <c r="M24" s="1340">
        <v>0</v>
      </c>
      <c r="N24" s="1340">
        <v>0</v>
      </c>
      <c r="O24" s="1938">
        <f t="shared" si="10"/>
        <v>0</v>
      </c>
      <c r="P24" s="1790"/>
      <c r="R24" s="24">
        <f t="shared" ref="R24:R25" si="11" xml:space="preserve"> IF( SUM( T24:AB24 ) = 0, 0, $U$4 )</f>
        <v>0</v>
      </c>
      <c r="S24" s="1190"/>
      <c r="T24" s="71"/>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C24" s="71"/>
      <c r="AE24" s="1665"/>
      <c r="AI24" s="1665"/>
      <c r="AK24" s="1712" t="s">
        <v>8744</v>
      </c>
      <c r="AL24" s="1716" t="s">
        <v>3550</v>
      </c>
      <c r="AM24" s="2479" t="s">
        <v>8685</v>
      </c>
      <c r="AN24" s="2450" t="s">
        <v>51</v>
      </c>
      <c r="AO24" s="2444">
        <v>3</v>
      </c>
      <c r="AP24" s="1339" t="str">
        <f>+$AM24&amp;AP$20</f>
        <v>WWS1003STUTS</v>
      </c>
      <c r="AQ24" s="1340" t="str">
        <f t="shared" ref="AQ24:AX25" si="12">+$AM24&amp;AQ$20</f>
        <v>WWS1003STRSL</v>
      </c>
      <c r="AR24" s="1340" t="str">
        <f t="shared" si="12"/>
        <v>WWS1003STCAD</v>
      </c>
      <c r="AS24" s="1363" t="str">
        <f t="shared" si="12"/>
        <v>WWS1003STAD</v>
      </c>
      <c r="AT24" s="1363" t="str">
        <f t="shared" si="12"/>
        <v>WWS1003STIRS</v>
      </c>
      <c r="AU24" s="1340" t="str">
        <f t="shared" si="12"/>
        <v>WWS1003STIDS</v>
      </c>
      <c r="AV24" s="1340" t="str">
        <f t="shared" si="12"/>
        <v>WWS1003STPCC</v>
      </c>
      <c r="AW24" s="1340" t="str">
        <f t="shared" si="12"/>
        <v>WWS1003STSLOT</v>
      </c>
      <c r="AX24" s="1641" t="str">
        <f t="shared" si="12"/>
        <v>WWS1003STTOT</v>
      </c>
    </row>
    <row r="25" spans="2:50" s="2004" customFormat="1" ht="15">
      <c r="B25" s="2448" t="s">
        <v>8745</v>
      </c>
      <c r="C25" s="1716" t="s">
        <v>3282</v>
      </c>
      <c r="D25" s="2150"/>
      <c r="E25" s="2450" t="s">
        <v>51</v>
      </c>
      <c r="F25" s="2444">
        <v>3</v>
      </c>
      <c r="G25" s="1339">
        <v>0</v>
      </c>
      <c r="H25" s="1340">
        <v>0</v>
      </c>
      <c r="I25" s="1340">
        <v>0</v>
      </c>
      <c r="J25" s="1340">
        <v>0</v>
      </c>
      <c r="K25" s="1340">
        <v>0</v>
      </c>
      <c r="L25" s="1340">
        <v>0</v>
      </c>
      <c r="M25" s="1340">
        <v>0</v>
      </c>
      <c r="N25" s="1340">
        <v>0</v>
      </c>
      <c r="O25" s="1938">
        <f t="shared" si="10"/>
        <v>0</v>
      </c>
      <c r="P25" s="1790"/>
      <c r="R25" s="24">
        <f t="shared" si="11"/>
        <v>0</v>
      </c>
      <c r="S25" s="1190"/>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1665"/>
      <c r="AI25" s="1665"/>
      <c r="AK25" s="1712" t="s">
        <v>8745</v>
      </c>
      <c r="AL25" s="1716" t="s">
        <v>3282</v>
      </c>
      <c r="AM25" s="2479" t="s">
        <v>8589</v>
      </c>
      <c r="AN25" s="2450" t="s">
        <v>51</v>
      </c>
      <c r="AO25" s="2444">
        <v>3</v>
      </c>
      <c r="AP25" s="1339" t="str">
        <f t="shared" ref="AP25" si="13">+$AM25&amp;AP$20</f>
        <v>BM240STUTS</v>
      </c>
      <c r="AQ25" s="1340" t="str">
        <f t="shared" si="12"/>
        <v>BM240STRSL</v>
      </c>
      <c r="AR25" s="1340" t="str">
        <f t="shared" si="12"/>
        <v>BM240STCAD</v>
      </c>
      <c r="AS25" s="1363" t="str">
        <f t="shared" si="12"/>
        <v>BM240STAD</v>
      </c>
      <c r="AT25" s="1363" t="str">
        <f t="shared" si="12"/>
        <v>BM240STIRS</v>
      </c>
      <c r="AU25" s="1340" t="str">
        <f t="shared" si="12"/>
        <v>BM240STIDS</v>
      </c>
      <c r="AV25" s="1340" t="str">
        <f t="shared" si="12"/>
        <v>BM240STPCC</v>
      </c>
      <c r="AW25" s="1340" t="str">
        <f t="shared" si="12"/>
        <v>BM240STSLOT</v>
      </c>
      <c r="AX25" s="1641" t="str">
        <f t="shared" si="12"/>
        <v>BM240STTOT</v>
      </c>
    </row>
    <row r="26" spans="2:50" s="479" customFormat="1" ht="15">
      <c r="B26" s="2502"/>
      <c r="C26" s="2432" t="s">
        <v>1282</v>
      </c>
      <c r="D26" s="2503"/>
      <c r="E26" s="2504"/>
      <c r="F26" s="2501"/>
      <c r="G26" s="2495"/>
      <c r="H26" s="2496"/>
      <c r="I26" s="2496"/>
      <c r="J26" s="2496"/>
      <c r="K26" s="2496"/>
      <c r="L26" s="2496"/>
      <c r="M26" s="2496"/>
      <c r="N26" s="2496"/>
      <c r="O26" s="2286"/>
      <c r="P26" s="2505"/>
      <c r="R26" s="24"/>
      <c r="S26" s="2499"/>
      <c r="T26" s="71"/>
      <c r="U26" s="93"/>
      <c r="V26" s="93"/>
      <c r="W26" s="93"/>
      <c r="X26" s="93"/>
      <c r="Y26" s="93"/>
      <c r="Z26" s="93"/>
      <c r="AA26" s="93"/>
      <c r="AB26" s="93"/>
      <c r="AC26" s="71"/>
      <c r="AE26" s="2500"/>
      <c r="AI26" s="2500"/>
      <c r="AK26" s="2491"/>
      <c r="AL26" s="2432" t="s">
        <v>1282</v>
      </c>
      <c r="AM26" s="2506"/>
      <c r="AN26" s="2504"/>
      <c r="AO26" s="2501"/>
      <c r="AP26" s="2495"/>
      <c r="AQ26" s="2495"/>
      <c r="AR26" s="2495"/>
      <c r="AS26" s="2495"/>
      <c r="AT26" s="2495"/>
      <c r="AU26" s="2495"/>
      <c r="AV26" s="2495"/>
      <c r="AW26" s="2495"/>
      <c r="AX26" s="2495"/>
    </row>
    <row r="27" spans="2:50" s="2004" customFormat="1" ht="15">
      <c r="B27" s="2448" t="s">
        <v>8746</v>
      </c>
      <c r="C27" s="913" t="s">
        <v>4602</v>
      </c>
      <c r="D27" s="2150"/>
      <c r="E27" s="2450" t="s">
        <v>51</v>
      </c>
      <c r="F27" s="2444">
        <v>3</v>
      </c>
      <c r="G27" s="1339">
        <v>0</v>
      </c>
      <c r="H27" s="1340">
        <v>0</v>
      </c>
      <c r="I27" s="1340">
        <v>0</v>
      </c>
      <c r="J27" s="1340">
        <v>0</v>
      </c>
      <c r="K27" s="1340">
        <v>0</v>
      </c>
      <c r="L27" s="1340">
        <v>0</v>
      </c>
      <c r="M27" s="1340">
        <v>0</v>
      </c>
      <c r="N27" s="1340">
        <v>0</v>
      </c>
      <c r="O27" s="1938">
        <f t="shared" si="10"/>
        <v>0</v>
      </c>
      <c r="P27" s="1790"/>
      <c r="R27" s="24">
        <f t="shared" ref="R27:R28" si="14" xml:space="preserve"> IF( SUM( T27:AB27 ) = 0, 0, $U$4 )</f>
        <v>0</v>
      </c>
      <c r="S27" s="1190"/>
      <c r="T27" s="71"/>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C27" s="71"/>
      <c r="AE27" s="1665"/>
      <c r="AI27" s="1665"/>
      <c r="AK27" s="1712" t="s">
        <v>8746</v>
      </c>
      <c r="AL27" s="913" t="s">
        <v>4602</v>
      </c>
      <c r="AM27" s="2479" t="s">
        <v>8689</v>
      </c>
      <c r="AN27" s="2450" t="s">
        <v>51</v>
      </c>
      <c r="AO27" s="2444">
        <v>3</v>
      </c>
      <c r="AP27" s="1339" t="str">
        <f t="shared" ref="AP27:AX28" si="15">+$AM27&amp;AP$20</f>
        <v>WWS1005STUTS</v>
      </c>
      <c r="AQ27" s="1340" t="str">
        <f t="shared" si="15"/>
        <v>WWS1005STRSL</v>
      </c>
      <c r="AR27" s="1340" t="str">
        <f t="shared" si="15"/>
        <v>WWS1005STCAD</v>
      </c>
      <c r="AS27" s="1363" t="str">
        <f t="shared" si="15"/>
        <v>WWS1005STAD</v>
      </c>
      <c r="AT27" s="1363" t="str">
        <f t="shared" si="15"/>
        <v>WWS1005STIRS</v>
      </c>
      <c r="AU27" s="1340" t="str">
        <f t="shared" si="15"/>
        <v>WWS1005STIDS</v>
      </c>
      <c r="AV27" s="1340" t="str">
        <f t="shared" si="15"/>
        <v>WWS1005STPCC</v>
      </c>
      <c r="AW27" s="1340" t="str">
        <f t="shared" si="15"/>
        <v>WWS1005STSLOT</v>
      </c>
      <c r="AX27" s="1641" t="str">
        <f t="shared" si="15"/>
        <v>WWS1005STTOT</v>
      </c>
    </row>
    <row r="28" spans="2:50" s="2004" customFormat="1" ht="15">
      <c r="B28" s="2448" t="s">
        <v>8747</v>
      </c>
      <c r="C28" s="913" t="s">
        <v>4611</v>
      </c>
      <c r="D28" s="2150"/>
      <c r="E28" s="2450" t="s">
        <v>51</v>
      </c>
      <c r="F28" s="2444">
        <v>3</v>
      </c>
      <c r="G28" s="1339">
        <v>0</v>
      </c>
      <c r="H28" s="1340">
        <v>0</v>
      </c>
      <c r="I28" s="1340">
        <v>0</v>
      </c>
      <c r="J28" s="1340">
        <v>0</v>
      </c>
      <c r="K28" s="1340">
        <v>0</v>
      </c>
      <c r="L28" s="1340">
        <v>0</v>
      </c>
      <c r="M28" s="1340">
        <v>0</v>
      </c>
      <c r="N28" s="1340">
        <v>0</v>
      </c>
      <c r="O28" s="1938">
        <f t="shared" si="10"/>
        <v>0</v>
      </c>
      <c r="P28" s="1790"/>
      <c r="R28" s="24">
        <f t="shared" si="14"/>
        <v>0</v>
      </c>
      <c r="S28" s="1190"/>
      <c r="T28" s="71"/>
      <c r="U28" s="93">
        <f>IF(Validation!$H$3=1,0,IF(ISNUMBER(G28),0,1))</f>
        <v>0</v>
      </c>
      <c r="V28" s="93">
        <f>IF(Validation!$H$3=1,0,IF(ISNUMBER(H28),0,1))</f>
        <v>0</v>
      </c>
      <c r="W28" s="93">
        <f>IF(Validation!$H$3=1,0,IF(ISNUMBER(I28),0,1))</f>
        <v>0</v>
      </c>
      <c r="X28" s="93">
        <f>IF(Validation!$H$3=1,0,IF(ISNUMBER(J28),0,1))</f>
        <v>0</v>
      </c>
      <c r="Y28" s="93">
        <f>IF(Validation!$H$3=1,0,IF(ISNUMBER(K28),0,1))</f>
        <v>0</v>
      </c>
      <c r="Z28" s="93">
        <f>IF(Validation!$H$3=1,0,IF(ISNUMBER(L28),0,1))</f>
        <v>0</v>
      </c>
      <c r="AA28" s="93">
        <f>IF(Validation!$H$3=1,0,IF(ISNUMBER(M28),0,1))</f>
        <v>0</v>
      </c>
      <c r="AB28" s="93">
        <f>IF(Validation!$H$3=1,0,IF(ISNUMBER(N28),0,1))</f>
        <v>0</v>
      </c>
      <c r="AC28" s="71"/>
      <c r="AE28" s="1665"/>
      <c r="AI28" s="1665"/>
      <c r="AK28" s="1712" t="s">
        <v>8747</v>
      </c>
      <c r="AL28" s="913" t="s">
        <v>4611</v>
      </c>
      <c r="AM28" s="2479" t="s">
        <v>8691</v>
      </c>
      <c r="AN28" s="2450" t="s">
        <v>51</v>
      </c>
      <c r="AO28" s="2444">
        <v>3</v>
      </c>
      <c r="AP28" s="1339" t="str">
        <f t="shared" si="15"/>
        <v>WWS1006STUTS</v>
      </c>
      <c r="AQ28" s="1340" t="str">
        <f t="shared" si="15"/>
        <v>WWS1006STRSL</v>
      </c>
      <c r="AR28" s="1340" t="str">
        <f t="shared" si="15"/>
        <v>WWS1006STCAD</v>
      </c>
      <c r="AS28" s="1363" t="str">
        <f t="shared" si="15"/>
        <v>WWS1006STAD</v>
      </c>
      <c r="AT28" s="1363" t="str">
        <f t="shared" si="15"/>
        <v>WWS1006STIRS</v>
      </c>
      <c r="AU28" s="1340" t="str">
        <f t="shared" si="15"/>
        <v>WWS1006STIDS</v>
      </c>
      <c r="AV28" s="1340" t="str">
        <f t="shared" si="15"/>
        <v>WWS1006STPCC</v>
      </c>
      <c r="AW28" s="1340" t="str">
        <f t="shared" si="15"/>
        <v>WWS1006STSLOT</v>
      </c>
      <c r="AX28" s="1641" t="str">
        <f t="shared" si="15"/>
        <v>WWS1006STTOT</v>
      </c>
    </row>
    <row r="29" spans="2:50" ht="15">
      <c r="B29" s="2448" t="s">
        <v>8748</v>
      </c>
      <c r="C29" s="1716" t="s">
        <v>8749</v>
      </c>
      <c r="D29" s="2458"/>
      <c r="E29" s="2449" t="s">
        <v>51</v>
      </c>
      <c r="F29" s="2444">
        <v>3</v>
      </c>
      <c r="G29" s="1339">
        <v>0</v>
      </c>
      <c r="H29" s="1340">
        <v>0.52600000000000002</v>
      </c>
      <c r="I29" s="1340">
        <v>12.074999999999999</v>
      </c>
      <c r="J29" s="1340">
        <v>4.9000000000000004</v>
      </c>
      <c r="K29" s="1340">
        <v>0</v>
      </c>
      <c r="L29" s="1340">
        <v>0</v>
      </c>
      <c r="M29" s="1340">
        <v>0</v>
      </c>
      <c r="N29" s="1340">
        <v>0</v>
      </c>
      <c r="O29" s="1938">
        <f t="shared" si="10"/>
        <v>17.500999999999998</v>
      </c>
      <c r="P29" s="1790"/>
      <c r="Q29" s="2004"/>
      <c r="R29" s="24">
        <f xml:space="preserve"> IF( SUM( T29:AB29 ) = 0, 0, $U$4 )</f>
        <v>0</v>
      </c>
      <c r="S29" s="1190"/>
      <c r="T29" s="71"/>
      <c r="U29" s="93">
        <f>IF(Validation!$H$3=1,0,IF(ISNUMBER(G29),0,1))</f>
        <v>0</v>
      </c>
      <c r="V29" s="93">
        <f>IF(Validation!$H$3=1,0,IF(ISNUMBER(H29),0,1))</f>
        <v>0</v>
      </c>
      <c r="W29" s="93">
        <f>IF(Validation!$H$3=1,0,IF(ISNUMBER(I29),0,1))</f>
        <v>0</v>
      </c>
      <c r="X29" s="93">
        <f>IF(Validation!$H$3=1,0,IF(ISNUMBER(J29),0,1))</f>
        <v>0</v>
      </c>
      <c r="Y29" s="93">
        <f>IF(Validation!$H$3=1,0,IF(ISNUMBER(K29),0,1))</f>
        <v>0</v>
      </c>
      <c r="Z29" s="93">
        <f>IF(Validation!$H$3=1,0,IF(ISNUMBER(L29),0,1))</f>
        <v>0</v>
      </c>
      <c r="AA29" s="93">
        <f>IF(Validation!$H$3=1,0,IF(ISNUMBER(M29),0,1))</f>
        <v>0</v>
      </c>
      <c r="AB29" s="93">
        <f>IF(Validation!$H$3=1,0,IF(ISNUMBER(N29),0,1))</f>
        <v>0</v>
      </c>
      <c r="AC29" s="71"/>
      <c r="AD29" s="2004"/>
      <c r="AF29" s="2004"/>
      <c r="AG29" s="2004"/>
      <c r="AH29" s="2004"/>
      <c r="AJ29" s="2004"/>
      <c r="AK29" s="1712" t="s">
        <v>8748</v>
      </c>
      <c r="AL29" s="1716" t="s">
        <v>8749</v>
      </c>
      <c r="AM29" s="2479" t="s">
        <v>8750</v>
      </c>
      <c r="AN29" s="2449" t="s">
        <v>51</v>
      </c>
      <c r="AO29" s="2444">
        <v>3</v>
      </c>
      <c r="AP29" s="1339" t="s">
        <v>8751</v>
      </c>
      <c r="AQ29" s="1340" t="s">
        <v>8752</v>
      </c>
      <c r="AR29" s="1340" t="s">
        <v>8753</v>
      </c>
      <c r="AS29" s="1363" t="s">
        <v>8754</v>
      </c>
      <c r="AT29" s="1363" t="s">
        <v>8755</v>
      </c>
      <c r="AU29" s="1340" t="s">
        <v>8756</v>
      </c>
      <c r="AV29" s="1340" t="s">
        <v>8757</v>
      </c>
      <c r="AW29" s="1340" t="s">
        <v>8758</v>
      </c>
      <c r="AX29" s="1641" t="s">
        <v>8759</v>
      </c>
    </row>
    <row r="30" spans="2:50" ht="15">
      <c r="B30" s="2448" t="s">
        <v>8760</v>
      </c>
      <c r="C30" s="1716" t="s">
        <v>8761</v>
      </c>
      <c r="D30" s="2458"/>
      <c r="E30" s="2450" t="s">
        <v>51</v>
      </c>
      <c r="F30" s="2444">
        <v>3</v>
      </c>
      <c r="G30" s="1339">
        <v>0</v>
      </c>
      <c r="H30" s="1340">
        <v>9.4E-2</v>
      </c>
      <c r="I30" s="1340">
        <v>2.1669999999999998</v>
      </c>
      <c r="J30" s="1340">
        <v>0.879</v>
      </c>
      <c r="K30" s="1340">
        <v>0</v>
      </c>
      <c r="L30" s="1340">
        <v>0</v>
      </c>
      <c r="M30" s="1340">
        <v>0</v>
      </c>
      <c r="N30" s="1340">
        <v>0</v>
      </c>
      <c r="O30" s="1938">
        <f t="shared" si="10"/>
        <v>3.1399999999999997</v>
      </c>
      <c r="P30" s="1790"/>
      <c r="Q30" s="2004"/>
      <c r="R30" s="24">
        <f xml:space="preserve"> IF( SUM( T30:AB30 ) = 0, 0, $U$4 )</f>
        <v>0</v>
      </c>
      <c r="S30" s="1190"/>
      <c r="T30" s="71"/>
      <c r="U30" s="93">
        <f>IF(Validation!$H$3=1,0,IF(ISNUMBER(G30),0,1))</f>
        <v>0</v>
      </c>
      <c r="V30" s="93">
        <f>IF(Validation!$H$3=1,0,IF(ISNUMBER(H30),0,1))</f>
        <v>0</v>
      </c>
      <c r="W30" s="93">
        <f>IF(Validation!$H$3=1,0,IF(ISNUMBER(I30),0,1))</f>
        <v>0</v>
      </c>
      <c r="X30" s="93">
        <f>IF(Validation!$H$3=1,0,IF(ISNUMBER(J30),0,1))</f>
        <v>0</v>
      </c>
      <c r="Y30" s="93">
        <f>IF(Validation!$H$3=1,0,IF(ISNUMBER(K30),0,1))</f>
        <v>0</v>
      </c>
      <c r="Z30" s="93">
        <f>IF(Validation!$H$3=1,0,IF(ISNUMBER(L30),0,1))</f>
        <v>0</v>
      </c>
      <c r="AA30" s="93">
        <f>IF(Validation!$H$3=1,0,IF(ISNUMBER(M30),0,1))</f>
        <v>0</v>
      </c>
      <c r="AB30" s="93">
        <f>IF(Validation!$H$3=1,0,IF(ISNUMBER(N30),0,1))</f>
        <v>0</v>
      </c>
      <c r="AC30" s="71"/>
      <c r="AD30" s="2004"/>
      <c r="AF30" s="2004"/>
      <c r="AG30" s="2004"/>
      <c r="AH30" s="2004"/>
      <c r="AJ30" s="2004"/>
      <c r="AK30" s="1712" t="s">
        <v>8760</v>
      </c>
      <c r="AL30" s="1716" t="s">
        <v>8761</v>
      </c>
      <c r="AM30" s="2479" t="s">
        <v>8762</v>
      </c>
      <c r="AN30" s="2450" t="s">
        <v>51</v>
      </c>
      <c r="AO30" s="2444">
        <v>3</v>
      </c>
      <c r="AP30" s="1339" t="s">
        <v>8763</v>
      </c>
      <c r="AQ30" s="1340" t="s">
        <v>8764</v>
      </c>
      <c r="AR30" s="1340" t="s">
        <v>8765</v>
      </c>
      <c r="AS30" s="1363" t="s">
        <v>8766</v>
      </c>
      <c r="AT30" s="1363" t="s">
        <v>8767</v>
      </c>
      <c r="AU30" s="1340" t="s">
        <v>8768</v>
      </c>
      <c r="AV30" s="1340" t="s">
        <v>8769</v>
      </c>
      <c r="AW30" s="1340" t="s">
        <v>8770</v>
      </c>
      <c r="AX30" s="1641" t="s">
        <v>8771</v>
      </c>
    </row>
    <row r="31" spans="2:50" s="2004" customFormat="1">
      <c r="B31" s="2448" t="s">
        <v>8772</v>
      </c>
      <c r="C31" s="2434" t="s">
        <v>8602</v>
      </c>
      <c r="D31" s="2150"/>
      <c r="E31" s="2450" t="s">
        <v>51</v>
      </c>
      <c r="F31" s="2444">
        <v>3</v>
      </c>
      <c r="G31" s="1707">
        <f>SUM(G22:G30)</f>
        <v>0</v>
      </c>
      <c r="H31" s="1707">
        <f t="shared" ref="H31:N31" si="16">SUM(H22:H30)</f>
        <v>0.45999999999999996</v>
      </c>
      <c r="I31" s="1707">
        <f t="shared" si="16"/>
        <v>10.561999999999999</v>
      </c>
      <c r="J31" s="1707">
        <f t="shared" si="16"/>
        <v>4.2860000000000005</v>
      </c>
      <c r="K31" s="1707">
        <f t="shared" si="16"/>
        <v>0</v>
      </c>
      <c r="L31" s="1707">
        <f t="shared" si="16"/>
        <v>0</v>
      </c>
      <c r="M31" s="1707">
        <f t="shared" si="16"/>
        <v>0</v>
      </c>
      <c r="N31" s="1707">
        <f t="shared" si="16"/>
        <v>0</v>
      </c>
      <c r="O31" s="1938">
        <f t="shared" si="10"/>
        <v>15.308</v>
      </c>
      <c r="P31" s="1790"/>
      <c r="Q31" s="600"/>
      <c r="S31" s="1322"/>
      <c r="T31" s="1666"/>
      <c r="U31" s="164"/>
      <c r="V31" s="1322"/>
      <c r="W31" s="1322"/>
      <c r="X31" s="1322"/>
      <c r="Y31" s="1322"/>
      <c r="AC31" s="1665"/>
      <c r="AE31" s="1665"/>
      <c r="AI31" s="1665"/>
      <c r="AK31" s="1712" t="s">
        <v>8772</v>
      </c>
      <c r="AL31" s="2434" t="s">
        <v>8602</v>
      </c>
      <c r="AM31" s="2479" t="s">
        <v>8603</v>
      </c>
      <c r="AN31" s="2450" t="s">
        <v>51</v>
      </c>
      <c r="AO31" s="2444">
        <v>3</v>
      </c>
      <c r="AP31" s="1342" t="str">
        <f t="shared" ref="AP31:AX31" si="17">+$AM31&amp;AP$20</f>
        <v>BM816STUTS</v>
      </c>
      <c r="AQ31" s="1342" t="str">
        <f t="shared" si="17"/>
        <v>BM816STRSL</v>
      </c>
      <c r="AR31" s="1342" t="str">
        <f t="shared" si="17"/>
        <v>BM816STCAD</v>
      </c>
      <c r="AS31" s="1342" t="str">
        <f t="shared" si="17"/>
        <v>BM816STAD</v>
      </c>
      <c r="AT31" s="1342" t="str">
        <f t="shared" si="17"/>
        <v>BM816STIRS</v>
      </c>
      <c r="AU31" s="1342" t="str">
        <f t="shared" si="17"/>
        <v>BM816STIDS</v>
      </c>
      <c r="AV31" s="1342" t="str">
        <f t="shared" si="17"/>
        <v>BM816STPCC</v>
      </c>
      <c r="AW31" s="1342" t="str">
        <f t="shared" si="17"/>
        <v>BM816STSLOT</v>
      </c>
      <c r="AX31" s="1641" t="str">
        <f t="shared" si="17"/>
        <v>BM816STTOT</v>
      </c>
    </row>
    <row r="32" spans="2:50" ht="15">
      <c r="B32" s="2448" t="s">
        <v>8773</v>
      </c>
      <c r="C32" s="1716" t="s">
        <v>1098</v>
      </c>
      <c r="D32" s="2458"/>
      <c r="E32" s="2449" t="s">
        <v>51</v>
      </c>
      <c r="F32" s="2444">
        <v>3</v>
      </c>
      <c r="G32" s="1339">
        <v>0</v>
      </c>
      <c r="H32" s="1340">
        <v>4.2000000000000003E-2</v>
      </c>
      <c r="I32" s="1340">
        <v>0.97399999999999998</v>
      </c>
      <c r="J32" s="1340">
        <v>0.39500000000000002</v>
      </c>
      <c r="K32" s="1340">
        <v>0</v>
      </c>
      <c r="L32" s="1340">
        <v>0</v>
      </c>
      <c r="M32" s="1340">
        <v>0</v>
      </c>
      <c r="N32" s="1340">
        <v>0</v>
      </c>
      <c r="O32" s="1938">
        <f t="shared" si="10"/>
        <v>1.411</v>
      </c>
      <c r="P32" s="1790"/>
      <c r="Q32" s="2004"/>
      <c r="R32" s="24">
        <f xml:space="preserve"> IF( SUM( T32:AB32 ) = 0, 0, $U$4 )</f>
        <v>0</v>
      </c>
      <c r="S32" s="1190"/>
      <c r="T32" s="71"/>
      <c r="U32" s="93">
        <f>IF(Validation!$H$3=1,0,IF(ISNUMBER(G32),0,1))</f>
        <v>0</v>
      </c>
      <c r="V32" s="93">
        <f>IF(Validation!$H$3=1,0,IF(ISNUMBER(H32),0,1))</f>
        <v>0</v>
      </c>
      <c r="W32" s="93">
        <f>IF(Validation!$H$3=1,0,IF(ISNUMBER(I32),0,1))</f>
        <v>0</v>
      </c>
      <c r="X32" s="93">
        <f>IF(Validation!$H$3=1,0,IF(ISNUMBER(J32),0,1))</f>
        <v>0</v>
      </c>
      <c r="Y32" s="93">
        <f>IF(Validation!$H$3=1,0,IF(ISNUMBER(K32),0,1))</f>
        <v>0</v>
      </c>
      <c r="Z32" s="93">
        <f>IF(Validation!$H$3=1,0,IF(ISNUMBER(L32),0,1))</f>
        <v>0</v>
      </c>
      <c r="AA32" s="93">
        <f>IF(Validation!$H$3=1,0,IF(ISNUMBER(M32),0,1))</f>
        <v>0</v>
      </c>
      <c r="AB32" s="93">
        <f>IF(Validation!$H$3=1,0,IF(ISNUMBER(N32),0,1))</f>
        <v>0</v>
      </c>
      <c r="AC32" s="71"/>
      <c r="AD32" s="2004"/>
      <c r="AF32" s="2004"/>
      <c r="AG32" s="2004"/>
      <c r="AH32" s="2004"/>
      <c r="AJ32" s="2004"/>
      <c r="AK32" s="1712" t="s">
        <v>8773</v>
      </c>
      <c r="AL32" s="1716" t="s">
        <v>1098</v>
      </c>
      <c r="AM32" s="2479" t="s">
        <v>8605</v>
      </c>
      <c r="AN32" s="2449" t="s">
        <v>51</v>
      </c>
      <c r="AO32" s="2444">
        <v>3</v>
      </c>
      <c r="AP32" s="1339" t="s">
        <v>8774</v>
      </c>
      <c r="AQ32" s="1340" t="s">
        <v>8775</v>
      </c>
      <c r="AR32" s="1340" t="s">
        <v>8776</v>
      </c>
      <c r="AS32" s="1363" t="s">
        <v>8777</v>
      </c>
      <c r="AT32" s="1363" t="s">
        <v>8778</v>
      </c>
      <c r="AU32" s="1340" t="s">
        <v>8779</v>
      </c>
      <c r="AV32" s="1340" t="s">
        <v>8780</v>
      </c>
      <c r="AW32" s="1340" t="s">
        <v>8781</v>
      </c>
      <c r="AX32" s="1641" t="s">
        <v>8782</v>
      </c>
    </row>
    <row r="33" spans="2:50" ht="24">
      <c r="B33" s="2448" t="s">
        <v>8783</v>
      </c>
      <c r="C33" s="2435" t="s">
        <v>8607</v>
      </c>
      <c r="D33" s="2459"/>
      <c r="E33" s="2451" t="s">
        <v>51</v>
      </c>
      <c r="F33" s="2452">
        <v>3</v>
      </c>
      <c r="G33" s="1707">
        <f>SUM(G31:G32)</f>
        <v>0</v>
      </c>
      <c r="H33" s="1707">
        <f t="shared" ref="H33:N33" si="18">SUM(H31:H32)</f>
        <v>0.502</v>
      </c>
      <c r="I33" s="1707">
        <f t="shared" si="18"/>
        <v>11.536</v>
      </c>
      <c r="J33" s="1707">
        <f t="shared" si="18"/>
        <v>4.6810000000000009</v>
      </c>
      <c r="K33" s="1707">
        <f t="shared" si="18"/>
        <v>0</v>
      </c>
      <c r="L33" s="1707">
        <f t="shared" si="18"/>
        <v>0</v>
      </c>
      <c r="M33" s="1707">
        <f t="shared" si="18"/>
        <v>0</v>
      </c>
      <c r="N33" s="1707">
        <f t="shared" si="18"/>
        <v>0</v>
      </c>
      <c r="O33" s="1938">
        <f t="shared" si="10"/>
        <v>16.719000000000001</v>
      </c>
      <c r="P33" s="1790"/>
      <c r="Q33" s="2004"/>
      <c r="R33" s="1370">
        <f xml:space="preserve"> IF( SUM( AC33:AE33 ) = 0, 0, AH33 )</f>
        <v>0</v>
      </c>
      <c r="S33" s="1190"/>
      <c r="T33" s="71"/>
      <c r="U33" s="127"/>
      <c r="V33" s="127"/>
      <c r="W33" s="127"/>
      <c r="X33" s="127"/>
      <c r="Y33" s="127"/>
      <c r="Z33" s="127"/>
      <c r="AA33" s="127"/>
      <c r="AB33" s="127"/>
      <c r="AC33" s="71"/>
      <c r="AD33" s="2069">
        <f xml:space="preserve"> IF( (AF33 - AG33) = 0, 0, 1 )</f>
        <v>0</v>
      </c>
      <c r="AE33" s="2070"/>
      <c r="AF33" s="2071">
        <f>ROUND(O33,3)</f>
        <v>16.719000000000001</v>
      </c>
      <c r="AG33" s="2248">
        <f>ROUND('4E'!M15,3)</f>
        <v>16.719000000000001</v>
      </c>
      <c r="AH33" s="2247" t="s">
        <v>8784</v>
      </c>
      <c r="AJ33" s="2004"/>
      <c r="AK33" s="1712" t="s">
        <v>8783</v>
      </c>
      <c r="AL33" s="2435" t="s">
        <v>8607</v>
      </c>
      <c r="AM33" s="2480" t="s">
        <v>8785</v>
      </c>
      <c r="AN33" s="2451" t="s">
        <v>51</v>
      </c>
      <c r="AO33" s="2452">
        <v>3</v>
      </c>
      <c r="AP33" s="1342" t="s">
        <v>8786</v>
      </c>
      <c r="AQ33" s="1342" t="s">
        <v>8787</v>
      </c>
      <c r="AR33" s="1342" t="s">
        <v>8788</v>
      </c>
      <c r="AS33" s="1342" t="s">
        <v>8789</v>
      </c>
      <c r="AT33" s="1342" t="s">
        <v>8790</v>
      </c>
      <c r="AU33" s="1342" t="s">
        <v>8791</v>
      </c>
      <c r="AV33" s="1342" t="s">
        <v>8792</v>
      </c>
      <c r="AW33" s="1342" t="s">
        <v>8793</v>
      </c>
      <c r="AX33" s="1641" t="s">
        <v>8794</v>
      </c>
    </row>
    <row r="34" spans="2:50" ht="15">
      <c r="B34" s="2448" t="s">
        <v>8795</v>
      </c>
      <c r="C34" s="1716" t="s">
        <v>533</v>
      </c>
      <c r="D34" s="2458"/>
      <c r="E34" s="2451" t="s">
        <v>51</v>
      </c>
      <c r="F34" s="2452">
        <v>3</v>
      </c>
      <c r="G34" s="1339">
        <v>2.3839999999999999</v>
      </c>
      <c r="H34" s="1340">
        <v>0</v>
      </c>
      <c r="I34" s="1340">
        <v>12.768000000000001</v>
      </c>
      <c r="J34" s="1340">
        <v>2.9689999999999999</v>
      </c>
      <c r="K34" s="1340">
        <v>0</v>
      </c>
      <c r="L34" s="1340">
        <v>0</v>
      </c>
      <c r="M34" s="1340">
        <v>0</v>
      </c>
      <c r="N34" s="1340">
        <v>0.26700000000000002</v>
      </c>
      <c r="O34" s="1938">
        <f t="shared" si="10"/>
        <v>18.388000000000002</v>
      </c>
      <c r="P34" s="1791"/>
      <c r="Q34" s="2004"/>
      <c r="R34" s="24">
        <f xml:space="preserve"> IF( SUM( T34:AB34 ) = 0, 0, $U$4 )</f>
        <v>0</v>
      </c>
      <c r="S34" s="1190"/>
      <c r="T34" s="71"/>
      <c r="U34" s="93">
        <f>IF(Validation!$H$3=1,0,IF(ISNUMBER(G34),0,1))</f>
        <v>0</v>
      </c>
      <c r="V34" s="93">
        <f>IF(Validation!$H$3=1,0,IF(ISNUMBER(H34),0,1))</f>
        <v>0</v>
      </c>
      <c r="W34" s="93">
        <f>IF(Validation!$H$3=1,0,IF(ISNUMBER(I34),0,1))</f>
        <v>0</v>
      </c>
      <c r="X34" s="93">
        <f>IF(Validation!$H$3=1,0,IF(ISNUMBER(J34),0,1))</f>
        <v>0</v>
      </c>
      <c r="Y34" s="93">
        <f>IF(Validation!$H$3=1,0,IF(ISNUMBER(K34),0,1))</f>
        <v>0</v>
      </c>
      <c r="Z34" s="93">
        <f>IF(Validation!$H$3=1,0,IF(ISNUMBER(L34),0,1))</f>
        <v>0</v>
      </c>
      <c r="AA34" s="93">
        <f>IF(Validation!$H$3=1,0,IF(ISNUMBER(M34),0,1))</f>
        <v>0</v>
      </c>
      <c r="AB34" s="93">
        <f>IF(Validation!$H$3=1,0,IF(ISNUMBER(N34),0,1))</f>
        <v>0</v>
      </c>
      <c r="AC34" s="71"/>
      <c r="AD34" s="2004"/>
      <c r="AF34" s="2004"/>
      <c r="AG34" s="2004"/>
      <c r="AH34" s="2004"/>
      <c r="AJ34" s="2004"/>
      <c r="AK34" s="1712" t="s">
        <v>8795</v>
      </c>
      <c r="AL34" s="1716" t="s">
        <v>533</v>
      </c>
      <c r="AM34" s="2479" t="s">
        <v>8611</v>
      </c>
      <c r="AN34" s="2451" t="s">
        <v>51</v>
      </c>
      <c r="AO34" s="2452">
        <v>3</v>
      </c>
      <c r="AP34" s="1339" t="s">
        <v>8796</v>
      </c>
      <c r="AQ34" s="1340" t="s">
        <v>8797</v>
      </c>
      <c r="AR34" s="1340" t="s">
        <v>8798</v>
      </c>
      <c r="AS34" s="1340" t="s">
        <v>8799</v>
      </c>
      <c r="AT34" s="1363" t="s">
        <v>8800</v>
      </c>
      <c r="AU34" s="1340" t="s">
        <v>8801</v>
      </c>
      <c r="AV34" s="1340" t="s">
        <v>8802</v>
      </c>
      <c r="AW34" s="1340" t="s">
        <v>8803</v>
      </c>
      <c r="AX34" s="1641" t="s">
        <v>8804</v>
      </c>
    </row>
    <row r="35" spans="2:50" ht="15.75" thickBot="1">
      <c r="B35" s="2453" t="s">
        <v>8805</v>
      </c>
      <c r="C35" s="1728" t="s">
        <v>8613</v>
      </c>
      <c r="D35" s="2460"/>
      <c r="E35" s="2454" t="s">
        <v>51</v>
      </c>
      <c r="F35" s="2455">
        <v>3</v>
      </c>
      <c r="G35" s="1709">
        <f>SUM(G33:G34)</f>
        <v>2.3839999999999999</v>
      </c>
      <c r="H35" s="1709">
        <f t="shared" ref="H35:N35" si="19">SUM(H33:H34)</f>
        <v>0.502</v>
      </c>
      <c r="I35" s="1709">
        <f t="shared" si="19"/>
        <v>24.304000000000002</v>
      </c>
      <c r="J35" s="1709">
        <f t="shared" si="19"/>
        <v>7.65</v>
      </c>
      <c r="K35" s="1709">
        <f t="shared" si="19"/>
        <v>0</v>
      </c>
      <c r="L35" s="1709">
        <f t="shared" si="19"/>
        <v>0</v>
      </c>
      <c r="M35" s="1709">
        <f t="shared" si="19"/>
        <v>0</v>
      </c>
      <c r="N35" s="1709">
        <f t="shared" si="19"/>
        <v>0.26700000000000002</v>
      </c>
      <c r="O35" s="1939">
        <f t="shared" si="10"/>
        <v>35.107000000000006</v>
      </c>
      <c r="P35" s="1792"/>
      <c r="Q35" s="2004"/>
      <c r="R35" s="2004"/>
      <c r="S35" s="1190"/>
      <c r="T35" s="71"/>
      <c r="U35" s="127"/>
      <c r="V35" s="127"/>
      <c r="W35" s="127"/>
      <c r="X35" s="127"/>
      <c r="Y35" s="127"/>
      <c r="Z35" s="127"/>
      <c r="AA35" s="127"/>
      <c r="AB35" s="127"/>
      <c r="AC35" s="71"/>
      <c r="AD35" s="2004"/>
      <c r="AF35" s="2004"/>
      <c r="AG35" s="2071"/>
      <c r="AH35" s="2072"/>
      <c r="AI35" s="2070"/>
      <c r="AJ35" s="2004"/>
      <c r="AK35" s="1713" t="s">
        <v>8805</v>
      </c>
      <c r="AL35" s="1728" t="s">
        <v>8613</v>
      </c>
      <c r="AM35" s="2481" t="s">
        <v>8614</v>
      </c>
      <c r="AN35" s="2454" t="s">
        <v>51</v>
      </c>
      <c r="AO35" s="2455">
        <v>3</v>
      </c>
      <c r="AP35" s="1352" t="s">
        <v>8806</v>
      </c>
      <c r="AQ35" s="1352" t="s">
        <v>8807</v>
      </c>
      <c r="AR35" s="1352" t="s">
        <v>8808</v>
      </c>
      <c r="AS35" s="1352" t="s">
        <v>8809</v>
      </c>
      <c r="AT35" s="1352" t="s">
        <v>8810</v>
      </c>
      <c r="AU35" s="1352" t="s">
        <v>8811</v>
      </c>
      <c r="AV35" s="1352" t="s">
        <v>8812</v>
      </c>
      <c r="AW35" s="1352" t="s">
        <v>8813</v>
      </c>
      <c r="AX35" s="1642" t="s">
        <v>8814</v>
      </c>
    </row>
    <row r="36" spans="2:50" ht="22.7" customHeight="1" thickBot="1">
      <c r="B36" s="2456"/>
      <c r="C36" s="1659"/>
      <c r="D36" s="1659"/>
      <c r="E36" s="1659"/>
      <c r="F36" s="1659"/>
      <c r="G36" s="2004"/>
      <c r="H36" s="2004"/>
      <c r="I36" s="2004"/>
      <c r="J36" s="2004"/>
      <c r="K36" s="2004"/>
      <c r="L36" s="2004"/>
      <c r="M36" s="2004"/>
      <c r="N36" s="2004"/>
      <c r="O36" s="112"/>
      <c r="P36" s="2004"/>
      <c r="Q36" s="2004"/>
      <c r="R36" s="2004"/>
      <c r="S36" s="2004"/>
      <c r="U36" s="2004"/>
      <c r="V36" s="2004"/>
      <c r="W36" s="2004"/>
      <c r="X36" s="2004"/>
      <c r="Y36" s="2004"/>
      <c r="Z36" s="2004"/>
      <c r="AA36" s="2004"/>
      <c r="AB36" s="2004"/>
      <c r="AD36" s="2004"/>
      <c r="AF36" s="2004"/>
      <c r="AG36" s="2004"/>
      <c r="AH36" s="2004"/>
      <c r="AJ36" s="2004"/>
      <c r="AK36" s="564"/>
      <c r="AL36" s="1659"/>
      <c r="AM36" s="2477"/>
      <c r="AN36" s="1659"/>
      <c r="AO36" s="1659"/>
      <c r="AP36" s="2477" t="s">
        <v>8815</v>
      </c>
      <c r="AQ36" s="2477" t="s">
        <v>8816</v>
      </c>
      <c r="AR36" s="2477" t="s">
        <v>8817</v>
      </c>
      <c r="AS36" s="2477" t="s">
        <v>8818</v>
      </c>
      <c r="AT36" s="2477" t="s">
        <v>8819</v>
      </c>
      <c r="AU36" s="2477" t="s">
        <v>8820</v>
      </c>
      <c r="AV36" s="1659"/>
      <c r="AW36" s="1659"/>
      <c r="AX36" s="2467"/>
    </row>
    <row r="37" spans="2:50" ht="41.25" thickBot="1">
      <c r="B37" s="3034" t="s">
        <v>335</v>
      </c>
      <c r="C37" s="2486" t="s">
        <v>8821</v>
      </c>
      <c r="D37" s="1659"/>
      <c r="E37" s="1659"/>
      <c r="F37" s="1659"/>
      <c r="G37" s="186" t="s">
        <v>8822</v>
      </c>
      <c r="H37" s="361" t="s">
        <v>8823</v>
      </c>
      <c r="I37" s="361" t="s">
        <v>8824</v>
      </c>
      <c r="J37" s="361" t="s">
        <v>8825</v>
      </c>
      <c r="K37" s="361" t="s">
        <v>31</v>
      </c>
      <c r="L37" s="2274" t="s">
        <v>710</v>
      </c>
      <c r="M37" s="2004"/>
      <c r="N37" s="2004"/>
      <c r="O37" s="112"/>
      <c r="P37" s="2004"/>
      <c r="Q37" s="2004"/>
      <c r="R37" s="2004"/>
      <c r="S37" s="2004"/>
      <c r="U37" s="2004"/>
      <c r="V37" s="2004"/>
      <c r="W37" s="2004"/>
      <c r="X37" s="2004"/>
      <c r="Y37" s="2004"/>
      <c r="Z37" s="2004"/>
      <c r="AA37" s="2004"/>
      <c r="AB37" s="2004"/>
      <c r="AD37" s="2004"/>
      <c r="AF37" s="2004"/>
      <c r="AG37" s="2004"/>
      <c r="AH37" s="2004"/>
      <c r="AJ37" s="2004"/>
      <c r="AK37" s="3034" t="s">
        <v>177</v>
      </c>
      <c r="AL37" s="2486" t="s">
        <v>8821</v>
      </c>
      <c r="AM37" s="2477"/>
      <c r="AN37" s="1659"/>
      <c r="AO37" s="1659"/>
      <c r="AP37" s="186" t="s">
        <v>8822</v>
      </c>
      <c r="AQ37" s="361" t="s">
        <v>8823</v>
      </c>
      <c r="AR37" s="361" t="s">
        <v>8824</v>
      </c>
      <c r="AS37" s="361" t="s">
        <v>8825</v>
      </c>
      <c r="AT37" s="361" t="s">
        <v>31</v>
      </c>
      <c r="AU37" s="2490" t="s">
        <v>710</v>
      </c>
      <c r="AV37" s="1659"/>
      <c r="AW37" s="1659"/>
      <c r="AX37" s="2467"/>
    </row>
    <row r="38" spans="2:50" ht="15">
      <c r="B38" s="2445" t="s">
        <v>8826</v>
      </c>
      <c r="C38" s="2440" t="s">
        <v>1042</v>
      </c>
      <c r="D38" s="2457"/>
      <c r="E38" s="2446" t="s">
        <v>51</v>
      </c>
      <c r="F38" s="2447">
        <v>3</v>
      </c>
      <c r="G38" s="1330">
        <v>0</v>
      </c>
      <c r="H38" s="1331">
        <v>0</v>
      </c>
      <c r="I38" s="1331">
        <v>0</v>
      </c>
      <c r="J38" s="1331">
        <v>0</v>
      </c>
      <c r="K38" s="1331">
        <v>0</v>
      </c>
      <c r="L38" s="1937">
        <f>SUM(G38:K38)</f>
        <v>0</v>
      </c>
      <c r="M38" s="2004"/>
      <c r="N38" s="2004"/>
      <c r="O38" s="112"/>
      <c r="P38" s="1789"/>
      <c r="Q38" s="2004"/>
      <c r="R38" s="24">
        <f xml:space="preserve"> IF( SUM( T38:AB38 ) = 0, 0, $U$4 )</f>
        <v>0</v>
      </c>
      <c r="S38" s="1190"/>
      <c r="T38" s="71"/>
      <c r="U38" s="93">
        <f>IF(Validation!$H$3=1,0,IF(ISNUMBER(G38),0,1))</f>
        <v>0</v>
      </c>
      <c r="V38" s="93">
        <f>IF(Validation!$H$3=1,0,IF(ISNUMBER(H38),0,1))</f>
        <v>0</v>
      </c>
      <c r="W38" s="93">
        <f>IF(Validation!$H$3=1,0,IF(ISNUMBER(I38),0,1))</f>
        <v>0</v>
      </c>
      <c r="X38" s="93">
        <f>IF(Validation!$H$3=1,0,IF(ISNUMBER(J38),0,1))</f>
        <v>0</v>
      </c>
      <c r="Y38" s="93">
        <f>IF(Validation!$H$3=1,0,IF(ISNUMBER(K38),0,1))</f>
        <v>0</v>
      </c>
      <c r="Z38" s="93"/>
      <c r="AA38" s="93"/>
      <c r="AB38" s="93"/>
      <c r="AC38" s="71"/>
      <c r="AD38" s="2004"/>
      <c r="AF38" s="2004"/>
      <c r="AG38" s="2004"/>
      <c r="AH38" s="2004"/>
      <c r="AJ38" s="2004"/>
      <c r="AK38" s="1711" t="s">
        <v>8826</v>
      </c>
      <c r="AL38" s="2440" t="s">
        <v>1042</v>
      </c>
      <c r="AM38" s="2478" t="s">
        <v>8724</v>
      </c>
      <c r="AN38" s="2446" t="s">
        <v>51</v>
      </c>
      <c r="AO38" s="2447">
        <v>3</v>
      </c>
      <c r="AP38" s="1330" t="str">
        <f>+$AM38&amp;AP$36</f>
        <v>BM402SDLFR</v>
      </c>
      <c r="AQ38" s="1331" t="str">
        <f t="shared" ref="AQ38:AU41" si="20">+$AM38&amp;AQ$36</f>
        <v>BM402SDLFP</v>
      </c>
      <c r="AR38" s="1331" t="str">
        <f t="shared" si="20"/>
        <v>BM402SDLRR</v>
      </c>
      <c r="AS38" s="1331" t="str">
        <f t="shared" si="20"/>
        <v>BM402SDRTF</v>
      </c>
      <c r="AT38" s="1362" t="str">
        <f t="shared" si="20"/>
        <v>BM402SDSOT</v>
      </c>
      <c r="AU38" s="2489" t="str">
        <f t="shared" si="20"/>
        <v>BM402SDTOT</v>
      </c>
      <c r="AV38" s="1659"/>
      <c r="AW38" s="1659"/>
      <c r="AX38" s="2467"/>
    </row>
    <row r="39" spans="2:50" ht="15">
      <c r="B39" s="2448" t="s">
        <v>8827</v>
      </c>
      <c r="C39" s="1716" t="s">
        <v>1050</v>
      </c>
      <c r="D39" s="2458"/>
      <c r="E39" s="2449" t="s">
        <v>51</v>
      </c>
      <c r="F39" s="2444">
        <v>3</v>
      </c>
      <c r="G39" s="1339">
        <v>0</v>
      </c>
      <c r="H39" s="1340">
        <v>0</v>
      </c>
      <c r="I39" s="1340">
        <v>0</v>
      </c>
      <c r="J39" s="1340">
        <v>0</v>
      </c>
      <c r="K39" s="1340">
        <v>0</v>
      </c>
      <c r="L39" s="1938">
        <f t="shared" ref="L39:L51" si="21">SUM(G39:K39)</f>
        <v>0</v>
      </c>
      <c r="M39" s="2004"/>
      <c r="N39" s="2004"/>
      <c r="O39" s="112"/>
      <c r="P39" s="1790"/>
      <c r="Q39" s="2004"/>
      <c r="R39" s="24">
        <f xml:space="preserve"> IF( SUM( T39:AB39 ) = 0, 0, $U$4 )</f>
        <v>0</v>
      </c>
      <c r="S39" s="1190"/>
      <c r="T39" s="71"/>
      <c r="U39" s="93">
        <f>IF(Validation!$H$3=1,0,IF(ISNUMBER(G39),0,1))</f>
        <v>0</v>
      </c>
      <c r="V39" s="93">
        <f>IF(Validation!$H$3=1,0,IF(ISNUMBER(H39),0,1))</f>
        <v>0</v>
      </c>
      <c r="W39" s="93">
        <f>IF(Validation!$H$3=1,0,IF(ISNUMBER(I39),0,1))</f>
        <v>0</v>
      </c>
      <c r="X39" s="93">
        <f>IF(Validation!$H$3=1,0,IF(ISNUMBER(J39),0,1))</f>
        <v>0</v>
      </c>
      <c r="Y39" s="93">
        <f>IF(Validation!$H$3=1,0,IF(ISNUMBER(K39),0,1))</f>
        <v>0</v>
      </c>
      <c r="Z39" s="93"/>
      <c r="AA39" s="93"/>
      <c r="AB39" s="93"/>
      <c r="AC39" s="71"/>
      <c r="AD39" s="2004"/>
      <c r="AF39" s="2004"/>
      <c r="AG39" s="2004"/>
      <c r="AH39" s="2004"/>
      <c r="AJ39" s="2004"/>
      <c r="AK39" s="1712" t="s">
        <v>8827</v>
      </c>
      <c r="AL39" s="1716" t="s">
        <v>1050</v>
      </c>
      <c r="AM39" s="2479" t="s">
        <v>8585</v>
      </c>
      <c r="AN39" s="2449" t="s">
        <v>51</v>
      </c>
      <c r="AO39" s="2444">
        <v>3</v>
      </c>
      <c r="AP39" s="1339" t="str">
        <f t="shared" ref="AP39:AP41" si="22">+$AM39&amp;AP$36</f>
        <v>BM836SDLFR</v>
      </c>
      <c r="AQ39" s="1340" t="str">
        <f t="shared" si="20"/>
        <v>BM836SDLFP</v>
      </c>
      <c r="AR39" s="1340" t="str">
        <f t="shared" si="20"/>
        <v>BM836SDLRR</v>
      </c>
      <c r="AS39" s="1340" t="str">
        <f t="shared" si="20"/>
        <v>BM836SDRTF</v>
      </c>
      <c r="AT39" s="1363" t="str">
        <f t="shared" si="20"/>
        <v>BM836SDSOT</v>
      </c>
      <c r="AU39" s="1641" t="str">
        <f t="shared" si="20"/>
        <v>BM836SDTOT</v>
      </c>
      <c r="AV39" s="1659"/>
      <c r="AW39" s="1659"/>
      <c r="AX39" s="2467"/>
    </row>
    <row r="40" spans="2:50" s="2004" customFormat="1" ht="15">
      <c r="B40" s="2448" t="s">
        <v>8828</v>
      </c>
      <c r="C40" s="1716" t="s">
        <v>3550</v>
      </c>
      <c r="D40" s="2150"/>
      <c r="E40" s="2450" t="s">
        <v>51</v>
      </c>
      <c r="F40" s="2444">
        <v>3</v>
      </c>
      <c r="G40" s="1339">
        <v>0</v>
      </c>
      <c r="H40" s="1340">
        <v>0</v>
      </c>
      <c r="I40" s="1340">
        <v>0</v>
      </c>
      <c r="J40" s="1340">
        <v>0</v>
      </c>
      <c r="K40" s="1340">
        <v>0</v>
      </c>
      <c r="L40" s="1938">
        <f t="shared" ref="L40:L49" si="23">SUM(G40:K40)</f>
        <v>0</v>
      </c>
      <c r="O40" s="112"/>
      <c r="P40" s="1790"/>
      <c r="R40" s="24">
        <f t="shared" ref="R40:R41" si="24" xml:space="preserve"> IF( SUM( T40:AB40 ) = 0, 0, $U$4 )</f>
        <v>0</v>
      </c>
      <c r="S40" s="1190"/>
      <c r="T40" s="71"/>
      <c r="U40" s="93">
        <f>IF(Validation!$H$3=1,0,IF(ISNUMBER(G40),0,1))</f>
        <v>0</v>
      </c>
      <c r="V40" s="93">
        <f>IF(Validation!$H$3=1,0,IF(ISNUMBER(H40),0,1))</f>
        <v>0</v>
      </c>
      <c r="W40" s="93">
        <f>IF(Validation!$H$3=1,0,IF(ISNUMBER(I40),0,1))</f>
        <v>0</v>
      </c>
      <c r="X40" s="93">
        <f>IF(Validation!$H$3=1,0,IF(ISNUMBER(J40),0,1))</f>
        <v>0</v>
      </c>
      <c r="Y40" s="93">
        <f>IF(Validation!$H$3=1,0,IF(ISNUMBER(K40),0,1))</f>
        <v>0</v>
      </c>
      <c r="Z40" s="93"/>
      <c r="AA40" s="93"/>
      <c r="AB40" s="93"/>
      <c r="AC40" s="71"/>
      <c r="AE40" s="1665"/>
      <c r="AI40" s="1665"/>
      <c r="AK40" s="1712" t="s">
        <v>8828</v>
      </c>
      <c r="AL40" s="1716" t="s">
        <v>3550</v>
      </c>
      <c r="AM40" s="2479" t="s">
        <v>8685</v>
      </c>
      <c r="AN40" s="2450" t="s">
        <v>51</v>
      </c>
      <c r="AO40" s="2444">
        <v>3</v>
      </c>
      <c r="AP40" s="1339" t="str">
        <f t="shared" si="22"/>
        <v>WWS1003SDLFR</v>
      </c>
      <c r="AQ40" s="1340" t="str">
        <f t="shared" si="20"/>
        <v>WWS1003SDLFP</v>
      </c>
      <c r="AR40" s="1340" t="str">
        <f t="shared" si="20"/>
        <v>WWS1003SDLRR</v>
      </c>
      <c r="AS40" s="1363" t="str">
        <f t="shared" si="20"/>
        <v>WWS1003SDRTF</v>
      </c>
      <c r="AT40" s="1363" t="str">
        <f t="shared" si="20"/>
        <v>WWS1003SDSOT</v>
      </c>
      <c r="AU40" s="1641" t="str">
        <f t="shared" si="20"/>
        <v>WWS1003SDTOT</v>
      </c>
      <c r="AV40" s="1659"/>
      <c r="AW40" s="1659"/>
      <c r="AX40" s="2467"/>
    </row>
    <row r="41" spans="2:50" s="2004" customFormat="1" ht="15">
      <c r="B41" s="2448" t="s">
        <v>8829</v>
      </c>
      <c r="C41" s="1716" t="s">
        <v>3282</v>
      </c>
      <c r="D41" s="2150"/>
      <c r="E41" s="2450" t="s">
        <v>51</v>
      </c>
      <c r="F41" s="2444">
        <v>3</v>
      </c>
      <c r="G41" s="1339">
        <v>0</v>
      </c>
      <c r="H41" s="1340">
        <v>0</v>
      </c>
      <c r="I41" s="1340">
        <v>0</v>
      </c>
      <c r="J41" s="1340">
        <v>0</v>
      </c>
      <c r="K41" s="1340">
        <v>0</v>
      </c>
      <c r="L41" s="1938">
        <f t="shared" si="23"/>
        <v>0</v>
      </c>
      <c r="O41" s="112"/>
      <c r="P41" s="1790"/>
      <c r="R41" s="24">
        <f t="shared" si="24"/>
        <v>0</v>
      </c>
      <c r="S41" s="1190"/>
      <c r="T41" s="71"/>
      <c r="U41" s="93">
        <f>IF(Validation!$H$3=1,0,IF(ISNUMBER(G41),0,1))</f>
        <v>0</v>
      </c>
      <c r="V41" s="93">
        <f>IF(Validation!$H$3=1,0,IF(ISNUMBER(H41),0,1))</f>
        <v>0</v>
      </c>
      <c r="W41" s="93">
        <f>IF(Validation!$H$3=1,0,IF(ISNUMBER(I41),0,1))</f>
        <v>0</v>
      </c>
      <c r="X41" s="93">
        <f>IF(Validation!$H$3=1,0,IF(ISNUMBER(J41),0,1))</f>
        <v>0</v>
      </c>
      <c r="Y41" s="93">
        <f>IF(Validation!$H$3=1,0,IF(ISNUMBER(K41),0,1))</f>
        <v>0</v>
      </c>
      <c r="Z41" s="93"/>
      <c r="AA41" s="93"/>
      <c r="AB41" s="93"/>
      <c r="AC41" s="71"/>
      <c r="AE41" s="1665"/>
      <c r="AI41" s="1665"/>
      <c r="AK41" s="1712" t="s">
        <v>8829</v>
      </c>
      <c r="AL41" s="1716" t="s">
        <v>3282</v>
      </c>
      <c r="AM41" s="2479" t="s">
        <v>8589</v>
      </c>
      <c r="AN41" s="2450" t="s">
        <v>51</v>
      </c>
      <c r="AO41" s="2444">
        <v>3</v>
      </c>
      <c r="AP41" s="1339" t="str">
        <f t="shared" si="22"/>
        <v>BM240SDLFR</v>
      </c>
      <c r="AQ41" s="1340" t="str">
        <f t="shared" si="20"/>
        <v>BM240SDLFP</v>
      </c>
      <c r="AR41" s="1340" t="str">
        <f t="shared" si="20"/>
        <v>BM240SDLRR</v>
      </c>
      <c r="AS41" s="1363" t="str">
        <f t="shared" si="20"/>
        <v>BM240SDRTF</v>
      </c>
      <c r="AT41" s="1363" t="str">
        <f t="shared" si="20"/>
        <v>BM240SDSOT</v>
      </c>
      <c r="AU41" s="1641" t="str">
        <f t="shared" si="20"/>
        <v>BM240SDTOT</v>
      </c>
      <c r="AV41" s="1659"/>
      <c r="AW41" s="1659"/>
      <c r="AX41" s="2467"/>
    </row>
    <row r="42" spans="2:50" s="479" customFormat="1" ht="15">
      <c r="B42" s="2502"/>
      <c r="C42" s="2432" t="s">
        <v>1282</v>
      </c>
      <c r="D42" s="2503"/>
      <c r="E42" s="2504"/>
      <c r="F42" s="2501"/>
      <c r="G42" s="2495"/>
      <c r="H42" s="2496"/>
      <c r="I42" s="2496"/>
      <c r="J42" s="2496"/>
      <c r="K42" s="2496"/>
      <c r="L42" s="2286"/>
      <c r="M42" s="82"/>
      <c r="N42" s="82"/>
      <c r="O42" s="2287"/>
      <c r="P42" s="2505"/>
      <c r="Q42" s="82"/>
      <c r="R42" s="24"/>
      <c r="S42" s="2499"/>
      <c r="T42" s="71"/>
      <c r="U42" s="93"/>
      <c r="V42" s="93"/>
      <c r="W42" s="93"/>
      <c r="X42" s="93"/>
      <c r="Y42" s="93"/>
      <c r="Z42" s="93"/>
      <c r="AA42" s="93"/>
      <c r="AB42" s="93"/>
      <c r="AC42" s="71"/>
      <c r="AE42" s="2500"/>
      <c r="AI42" s="2500"/>
      <c r="AK42" s="2491"/>
      <c r="AL42" s="2432" t="s">
        <v>1282</v>
      </c>
      <c r="AM42" s="2506"/>
      <c r="AN42" s="2504"/>
      <c r="AO42" s="2501"/>
      <c r="AP42" s="2495"/>
      <c r="AQ42" s="2495"/>
      <c r="AR42" s="2495"/>
      <c r="AS42" s="2495"/>
      <c r="AT42" s="2495"/>
      <c r="AU42" s="2495"/>
      <c r="AV42" s="2104"/>
      <c r="AW42" s="2104"/>
      <c r="AX42" s="2420"/>
    </row>
    <row r="43" spans="2:50" s="2004" customFormat="1" ht="15">
      <c r="B43" s="2448" t="s">
        <v>8830</v>
      </c>
      <c r="C43" s="913" t="s">
        <v>4602</v>
      </c>
      <c r="D43" s="2150"/>
      <c r="E43" s="2450" t="s">
        <v>51</v>
      </c>
      <c r="F43" s="2444">
        <v>3</v>
      </c>
      <c r="G43" s="1339">
        <v>0</v>
      </c>
      <c r="H43" s="1340">
        <v>0</v>
      </c>
      <c r="I43" s="1340">
        <v>0</v>
      </c>
      <c r="J43" s="1340">
        <v>0</v>
      </c>
      <c r="K43" s="1340">
        <v>0</v>
      </c>
      <c r="L43" s="1938">
        <f t="shared" si="23"/>
        <v>0</v>
      </c>
      <c r="O43" s="112"/>
      <c r="P43" s="1790"/>
      <c r="R43" s="24">
        <f t="shared" ref="R43:R44" si="25" xml:space="preserve"> IF( SUM( T43:AB43 ) = 0, 0, $U$4 )</f>
        <v>0</v>
      </c>
      <c r="S43" s="1190"/>
      <c r="T43" s="71"/>
      <c r="U43" s="93">
        <f>IF(Validation!$H$3=1,0,IF(ISNUMBER(G43),0,1))</f>
        <v>0</v>
      </c>
      <c r="V43" s="93">
        <f>IF(Validation!$H$3=1,0,IF(ISNUMBER(H43),0,1))</f>
        <v>0</v>
      </c>
      <c r="W43" s="93">
        <f>IF(Validation!$H$3=1,0,IF(ISNUMBER(I43),0,1))</f>
        <v>0</v>
      </c>
      <c r="X43" s="93">
        <f>IF(Validation!$H$3=1,0,IF(ISNUMBER(J43),0,1))</f>
        <v>0</v>
      </c>
      <c r="Y43" s="93">
        <f>IF(Validation!$H$3=1,0,IF(ISNUMBER(K43),0,1))</f>
        <v>0</v>
      </c>
      <c r="Z43" s="93"/>
      <c r="AA43" s="93"/>
      <c r="AB43" s="93"/>
      <c r="AC43" s="71"/>
      <c r="AE43" s="1665"/>
      <c r="AI43" s="1665"/>
      <c r="AK43" s="1712" t="s">
        <v>8830</v>
      </c>
      <c r="AL43" s="913" t="s">
        <v>4602</v>
      </c>
      <c r="AM43" s="2479" t="s">
        <v>8689</v>
      </c>
      <c r="AN43" s="2450" t="s">
        <v>51</v>
      </c>
      <c r="AO43" s="2444">
        <v>3</v>
      </c>
      <c r="AP43" s="1339" t="str">
        <f t="shared" ref="AP43:AU51" si="26">+$AM43&amp;AP$36</f>
        <v>WWS1005SDLFR</v>
      </c>
      <c r="AQ43" s="1340" t="str">
        <f t="shared" si="26"/>
        <v>WWS1005SDLFP</v>
      </c>
      <c r="AR43" s="1340" t="str">
        <f t="shared" si="26"/>
        <v>WWS1005SDLRR</v>
      </c>
      <c r="AS43" s="1363" t="str">
        <f t="shared" si="26"/>
        <v>WWS1005SDRTF</v>
      </c>
      <c r="AT43" s="1363" t="str">
        <f t="shared" si="26"/>
        <v>WWS1005SDSOT</v>
      </c>
      <c r="AU43" s="1641" t="str">
        <f t="shared" si="26"/>
        <v>WWS1005SDTOT</v>
      </c>
      <c r="AV43" s="1659"/>
      <c r="AW43" s="1659"/>
      <c r="AX43" s="2467"/>
    </row>
    <row r="44" spans="2:50" s="2004" customFormat="1" ht="15">
      <c r="B44" s="2448" t="s">
        <v>8831</v>
      </c>
      <c r="C44" s="913" t="s">
        <v>4611</v>
      </c>
      <c r="D44" s="2150"/>
      <c r="E44" s="2450" t="s">
        <v>51</v>
      </c>
      <c r="F44" s="2444">
        <v>3</v>
      </c>
      <c r="G44" s="1339">
        <v>0</v>
      </c>
      <c r="H44" s="1340">
        <v>0</v>
      </c>
      <c r="I44" s="1340">
        <v>0</v>
      </c>
      <c r="J44" s="1340">
        <v>0</v>
      </c>
      <c r="K44" s="1340">
        <v>0</v>
      </c>
      <c r="L44" s="1938">
        <f t="shared" si="23"/>
        <v>0</v>
      </c>
      <c r="O44" s="112"/>
      <c r="P44" s="1790"/>
      <c r="R44" s="24">
        <f t="shared" si="25"/>
        <v>0</v>
      </c>
      <c r="S44" s="1190"/>
      <c r="T44" s="71"/>
      <c r="U44" s="93">
        <f>IF(Validation!$H$3=1,0,IF(ISNUMBER(G44),0,1))</f>
        <v>0</v>
      </c>
      <c r="V44" s="93">
        <f>IF(Validation!$H$3=1,0,IF(ISNUMBER(H44),0,1))</f>
        <v>0</v>
      </c>
      <c r="W44" s="93">
        <f>IF(Validation!$H$3=1,0,IF(ISNUMBER(I44),0,1))</f>
        <v>0</v>
      </c>
      <c r="X44" s="93">
        <f>IF(Validation!$H$3=1,0,IF(ISNUMBER(J44),0,1))</f>
        <v>0</v>
      </c>
      <c r="Y44" s="93">
        <f>IF(Validation!$H$3=1,0,IF(ISNUMBER(K44),0,1))</f>
        <v>0</v>
      </c>
      <c r="Z44" s="93"/>
      <c r="AA44" s="93"/>
      <c r="AB44" s="93"/>
      <c r="AC44" s="71"/>
      <c r="AE44" s="1665"/>
      <c r="AI44" s="1665"/>
      <c r="AK44" s="1712" t="s">
        <v>8831</v>
      </c>
      <c r="AL44" s="913" t="s">
        <v>4611</v>
      </c>
      <c r="AM44" s="2479" t="s">
        <v>8691</v>
      </c>
      <c r="AN44" s="2450" t="s">
        <v>51</v>
      </c>
      <c r="AO44" s="2444">
        <v>3</v>
      </c>
      <c r="AP44" s="1339" t="str">
        <f t="shared" si="26"/>
        <v>WWS1006SDLFR</v>
      </c>
      <c r="AQ44" s="1340" t="str">
        <f t="shared" si="26"/>
        <v>WWS1006SDLFP</v>
      </c>
      <c r="AR44" s="1340" t="str">
        <f t="shared" si="26"/>
        <v>WWS1006SDLRR</v>
      </c>
      <c r="AS44" s="1363" t="str">
        <f t="shared" si="26"/>
        <v>WWS1006SDRTF</v>
      </c>
      <c r="AT44" s="1363" t="str">
        <f t="shared" si="26"/>
        <v>WWS1006SDSOT</v>
      </c>
      <c r="AU44" s="1641" t="str">
        <f t="shared" si="26"/>
        <v>WWS1006SDTOT</v>
      </c>
      <c r="AV44" s="1659"/>
      <c r="AW44" s="1659"/>
      <c r="AX44" s="2467"/>
    </row>
    <row r="45" spans="2:50" ht="15">
      <c r="B45" s="2448" t="s">
        <v>8832</v>
      </c>
      <c r="C45" s="1716" t="s">
        <v>8749</v>
      </c>
      <c r="D45" s="2458"/>
      <c r="E45" s="2449" t="s">
        <v>51</v>
      </c>
      <c r="F45" s="2444">
        <v>3</v>
      </c>
      <c r="G45" s="1339">
        <v>0</v>
      </c>
      <c r="H45" s="1340">
        <v>0</v>
      </c>
      <c r="I45" s="1340">
        <v>2.7730000000000001</v>
      </c>
      <c r="J45" s="1340">
        <v>6.3869999999999996</v>
      </c>
      <c r="K45" s="1340">
        <v>0.46899999999999997</v>
      </c>
      <c r="L45" s="1938">
        <f t="shared" si="23"/>
        <v>9.6289999999999996</v>
      </c>
      <c r="M45" s="2004"/>
      <c r="N45" s="2004"/>
      <c r="O45" s="112"/>
      <c r="P45" s="1790"/>
      <c r="Q45" s="2004"/>
      <c r="R45" s="24">
        <f xml:space="preserve"> IF( SUM( T45:AB45 ) = 0, 0, $U$4 )</f>
        <v>0</v>
      </c>
      <c r="S45" s="1190"/>
      <c r="T45" s="71"/>
      <c r="U45" s="93">
        <f>IF(Validation!$H$3=1,0,IF(ISNUMBER(G45),0,1))</f>
        <v>0</v>
      </c>
      <c r="V45" s="93">
        <f>IF(Validation!$H$3=1,0,IF(ISNUMBER(H45),0,1))</f>
        <v>0</v>
      </c>
      <c r="W45" s="93">
        <f>IF(Validation!$H$3=1,0,IF(ISNUMBER(I45),0,1))</f>
        <v>0</v>
      </c>
      <c r="X45" s="93">
        <f>IF(Validation!$H$3=1,0,IF(ISNUMBER(J45),0,1))</f>
        <v>0</v>
      </c>
      <c r="Y45" s="93">
        <f>IF(Validation!$H$3=1,0,IF(ISNUMBER(K45),0,1))</f>
        <v>0</v>
      </c>
      <c r="Z45" s="93"/>
      <c r="AA45" s="93"/>
      <c r="AB45" s="93"/>
      <c r="AC45" s="71"/>
      <c r="AD45" s="2004"/>
      <c r="AF45" s="2004"/>
      <c r="AG45" s="2004"/>
      <c r="AH45" s="2004"/>
      <c r="AJ45" s="2004"/>
      <c r="AK45" s="1712" t="s">
        <v>8832</v>
      </c>
      <c r="AL45" s="1716" t="s">
        <v>8749</v>
      </c>
      <c r="AM45" s="2479" t="s">
        <v>8750</v>
      </c>
      <c r="AN45" s="2449" t="s">
        <v>51</v>
      </c>
      <c r="AO45" s="2444">
        <v>3</v>
      </c>
      <c r="AP45" s="1339" t="str">
        <f t="shared" si="26"/>
        <v>BM408SDLFR</v>
      </c>
      <c r="AQ45" s="1340" t="str">
        <f t="shared" si="26"/>
        <v>BM408SDLFP</v>
      </c>
      <c r="AR45" s="1340" t="str">
        <f t="shared" si="26"/>
        <v>BM408SDLRR</v>
      </c>
      <c r="AS45" s="1340" t="str">
        <f t="shared" si="26"/>
        <v>BM408SDRTF</v>
      </c>
      <c r="AT45" s="1363" t="str">
        <f t="shared" si="26"/>
        <v>BM408SDSOT</v>
      </c>
      <c r="AU45" s="1641" t="str">
        <f t="shared" si="26"/>
        <v>BM408SDTOT</v>
      </c>
      <c r="AV45" s="1659"/>
      <c r="AW45" s="1659"/>
      <c r="AX45" s="2467"/>
    </row>
    <row r="46" spans="2:50" ht="15">
      <c r="B46" s="2448" t="s">
        <v>8833</v>
      </c>
      <c r="C46" s="1716" t="s">
        <v>8761</v>
      </c>
      <c r="D46" s="2458"/>
      <c r="E46" s="2450" t="s">
        <v>51</v>
      </c>
      <c r="F46" s="2444">
        <v>3</v>
      </c>
      <c r="G46" s="1339">
        <v>0</v>
      </c>
      <c r="H46" s="1340">
        <v>0</v>
      </c>
      <c r="I46" s="1340">
        <v>0.36499999999999999</v>
      </c>
      <c r="J46" s="1340">
        <v>0.84199999999999997</v>
      </c>
      <c r="K46" s="1340">
        <v>6.0999999999999999E-2</v>
      </c>
      <c r="L46" s="1938">
        <f t="shared" si="23"/>
        <v>1.2679999999999998</v>
      </c>
      <c r="M46" s="2004"/>
      <c r="N46" s="2004"/>
      <c r="O46" s="112"/>
      <c r="P46" s="1790"/>
      <c r="Q46" s="2004"/>
      <c r="R46" s="24">
        <f xml:space="preserve"> IF( SUM( T46:AB46 ) = 0, 0, $U$4 )</f>
        <v>0</v>
      </c>
      <c r="S46" s="1190"/>
      <c r="T46" s="71"/>
      <c r="U46" s="93">
        <f>IF(Validation!$H$3=1,0,IF(ISNUMBER(G46),0,1))</f>
        <v>0</v>
      </c>
      <c r="V46" s="93">
        <f>IF(Validation!$H$3=1,0,IF(ISNUMBER(H46),0,1))</f>
        <v>0</v>
      </c>
      <c r="W46" s="93">
        <f>IF(Validation!$H$3=1,0,IF(ISNUMBER(I46),0,1))</f>
        <v>0</v>
      </c>
      <c r="X46" s="93">
        <f>IF(Validation!$H$3=1,0,IF(ISNUMBER(J46),0,1))</f>
        <v>0</v>
      </c>
      <c r="Y46" s="93">
        <f>IF(Validation!$H$3=1,0,IF(ISNUMBER(K46),0,1))</f>
        <v>0</v>
      </c>
      <c r="Z46" s="93"/>
      <c r="AA46" s="93"/>
      <c r="AB46" s="93"/>
      <c r="AC46" s="71"/>
      <c r="AD46" s="2004"/>
      <c r="AF46" s="2004"/>
      <c r="AG46" s="2004"/>
      <c r="AH46" s="2004"/>
      <c r="AJ46" s="2004"/>
      <c r="AK46" s="1712" t="s">
        <v>8833</v>
      </c>
      <c r="AL46" s="1716" t="s">
        <v>8761</v>
      </c>
      <c r="AM46" s="2479" t="s">
        <v>8762</v>
      </c>
      <c r="AN46" s="2450" t="s">
        <v>51</v>
      </c>
      <c r="AO46" s="2444">
        <v>3</v>
      </c>
      <c r="AP46" s="1339" t="str">
        <f t="shared" si="26"/>
        <v>BM410SDLFR</v>
      </c>
      <c r="AQ46" s="1340" t="str">
        <f t="shared" si="26"/>
        <v>BM410SDLFP</v>
      </c>
      <c r="AR46" s="1340" t="str">
        <f t="shared" si="26"/>
        <v>BM410SDLRR</v>
      </c>
      <c r="AS46" s="1340" t="str">
        <f t="shared" si="26"/>
        <v>BM410SDRTF</v>
      </c>
      <c r="AT46" s="1363" t="str">
        <f t="shared" si="26"/>
        <v>BM410SDSOT</v>
      </c>
      <c r="AU46" s="1641" t="str">
        <f t="shared" si="26"/>
        <v>BM410SDTOT</v>
      </c>
      <c r="AV46" s="1659"/>
      <c r="AW46" s="1659"/>
      <c r="AX46" s="2467"/>
    </row>
    <row r="47" spans="2:50" s="2004" customFormat="1" ht="15">
      <c r="B47" s="2448" t="s">
        <v>8834</v>
      </c>
      <c r="C47" s="2434" t="s">
        <v>8602</v>
      </c>
      <c r="D47" s="2458"/>
      <c r="E47" s="2450" t="s">
        <v>51</v>
      </c>
      <c r="F47" s="2444">
        <v>3</v>
      </c>
      <c r="G47" s="1707">
        <f>SUM(G38:G46)</f>
        <v>0</v>
      </c>
      <c r="H47" s="1707">
        <f t="shared" ref="H47:K47" si="27">SUM(H38:H46)</f>
        <v>0</v>
      </c>
      <c r="I47" s="1707">
        <f t="shared" si="27"/>
        <v>3.1379999999999999</v>
      </c>
      <c r="J47" s="1707">
        <f t="shared" si="27"/>
        <v>7.2289999999999992</v>
      </c>
      <c r="K47" s="1707">
        <f t="shared" si="27"/>
        <v>0.53</v>
      </c>
      <c r="L47" s="1938">
        <f t="shared" si="23"/>
        <v>10.896999999999998</v>
      </c>
      <c r="O47" s="112"/>
      <c r="P47" s="1790"/>
      <c r="R47" s="24"/>
      <c r="S47" s="1190"/>
      <c r="T47" s="71"/>
      <c r="U47" s="93"/>
      <c r="V47" s="93"/>
      <c r="W47" s="93"/>
      <c r="X47" s="93"/>
      <c r="Y47" s="93"/>
      <c r="Z47" s="93"/>
      <c r="AA47" s="93"/>
      <c r="AB47" s="93"/>
      <c r="AC47" s="71"/>
      <c r="AE47" s="1665"/>
      <c r="AI47" s="1665"/>
      <c r="AK47" s="1712" t="s">
        <v>8834</v>
      </c>
      <c r="AL47" s="2434" t="s">
        <v>8602</v>
      </c>
      <c r="AM47" s="2479" t="s">
        <v>8603</v>
      </c>
      <c r="AN47" s="2450" t="s">
        <v>51</v>
      </c>
      <c r="AO47" s="2444">
        <v>3</v>
      </c>
      <c r="AP47" s="1339" t="str">
        <f t="shared" si="26"/>
        <v>BM816SDLFR</v>
      </c>
      <c r="AQ47" s="1340" t="str">
        <f t="shared" si="26"/>
        <v>BM816SDLFP</v>
      </c>
      <c r="AR47" s="1340" t="str">
        <f t="shared" si="26"/>
        <v>BM816SDLRR</v>
      </c>
      <c r="AS47" s="1340" t="str">
        <f t="shared" si="26"/>
        <v>BM816SDRTF</v>
      </c>
      <c r="AT47" s="1363" t="str">
        <f t="shared" si="26"/>
        <v>BM816SDSOT</v>
      </c>
      <c r="AU47" s="1641" t="str">
        <f t="shared" si="26"/>
        <v>BM816SDTOT</v>
      </c>
      <c r="AV47" s="1659"/>
      <c r="AW47" s="1659"/>
      <c r="AX47" s="2467"/>
    </row>
    <row r="48" spans="2:50" ht="15">
      <c r="B48" s="2448" t="s">
        <v>8835</v>
      </c>
      <c r="C48" s="1716" t="s">
        <v>1098</v>
      </c>
      <c r="D48" s="2458"/>
      <c r="E48" s="2449" t="s">
        <v>51</v>
      </c>
      <c r="F48" s="2444">
        <v>3</v>
      </c>
      <c r="G48" s="1339">
        <v>0</v>
      </c>
      <c r="H48" s="1340">
        <v>0</v>
      </c>
      <c r="I48" s="1340">
        <v>0</v>
      </c>
      <c r="J48" s="1340">
        <v>0</v>
      </c>
      <c r="K48" s="1340">
        <v>0</v>
      </c>
      <c r="L48" s="1938">
        <f t="shared" si="23"/>
        <v>0</v>
      </c>
      <c r="M48" s="2004"/>
      <c r="N48" s="2004"/>
      <c r="O48" s="112"/>
      <c r="P48" s="1790"/>
      <c r="Q48" s="2004"/>
      <c r="R48" s="24">
        <f xml:space="preserve"> IF( SUM( T48:AB48 ) = 0, 0, $U$4 )</f>
        <v>0</v>
      </c>
      <c r="S48" s="1190"/>
      <c r="T48" s="71"/>
      <c r="U48" s="93">
        <f>IF(Validation!$H$3=1,0,IF(ISNUMBER(G48),0,1))</f>
        <v>0</v>
      </c>
      <c r="V48" s="93">
        <f>IF(Validation!$H$3=1,0,IF(ISNUMBER(H48),0,1))</f>
        <v>0</v>
      </c>
      <c r="W48" s="93">
        <f>IF(Validation!$H$3=1,0,IF(ISNUMBER(I48),0,1))</f>
        <v>0</v>
      </c>
      <c r="X48" s="93">
        <f>IF(Validation!$H$3=1,0,IF(ISNUMBER(J48),0,1))</f>
        <v>0</v>
      </c>
      <c r="Y48" s="93">
        <f>IF(Validation!$H$3=1,0,IF(ISNUMBER(K48),0,1))</f>
        <v>0</v>
      </c>
      <c r="Z48" s="93"/>
      <c r="AA48" s="93"/>
      <c r="AB48" s="93"/>
      <c r="AC48" s="71"/>
      <c r="AD48" s="2004"/>
      <c r="AF48" s="2004"/>
      <c r="AG48" s="2004"/>
      <c r="AH48" s="2004"/>
      <c r="AJ48" s="2004"/>
      <c r="AK48" s="1712" t="s">
        <v>8835</v>
      </c>
      <c r="AL48" s="1716" t="s">
        <v>1098</v>
      </c>
      <c r="AM48" s="2479" t="s">
        <v>8605</v>
      </c>
      <c r="AN48" s="2449" t="s">
        <v>51</v>
      </c>
      <c r="AO48" s="2444">
        <v>3</v>
      </c>
      <c r="AP48" s="1339" t="str">
        <f t="shared" si="26"/>
        <v>BM817SDLFR</v>
      </c>
      <c r="AQ48" s="1340" t="str">
        <f t="shared" si="26"/>
        <v>BM817SDLFP</v>
      </c>
      <c r="AR48" s="1340" t="str">
        <f t="shared" si="26"/>
        <v>BM817SDLRR</v>
      </c>
      <c r="AS48" s="1340" t="str">
        <f t="shared" si="26"/>
        <v>BM817SDRTF</v>
      </c>
      <c r="AT48" s="1363" t="str">
        <f t="shared" si="26"/>
        <v>BM817SDSOT</v>
      </c>
      <c r="AU48" s="1641" t="str">
        <f t="shared" si="26"/>
        <v>BM817SDTOT</v>
      </c>
      <c r="AV48" s="1659"/>
      <c r="AW48" s="1659"/>
      <c r="AX48" s="2467"/>
    </row>
    <row r="49" spans="1:50" ht="24">
      <c r="A49" s="2004"/>
      <c r="B49" s="2448" t="s">
        <v>8836</v>
      </c>
      <c r="C49" s="2435" t="s">
        <v>8607</v>
      </c>
      <c r="D49" s="2459"/>
      <c r="E49" s="2451" t="s">
        <v>51</v>
      </c>
      <c r="F49" s="2452">
        <v>3</v>
      </c>
      <c r="G49" s="1707">
        <f>SUM(G47:G48)</f>
        <v>0</v>
      </c>
      <c r="H49" s="1707">
        <f t="shared" ref="H49" si="28">SUM(H47:H48)</f>
        <v>0</v>
      </c>
      <c r="I49" s="1707">
        <f t="shared" ref="I49" si="29">SUM(I47:I48)</f>
        <v>3.1379999999999999</v>
      </c>
      <c r="J49" s="1707">
        <f t="shared" ref="J49" si="30">SUM(J47:J48)</f>
        <v>7.2289999999999992</v>
      </c>
      <c r="K49" s="1707">
        <f t="shared" ref="K49" si="31">SUM(K47:K48)</f>
        <v>0.53</v>
      </c>
      <c r="L49" s="1938">
        <f t="shared" si="23"/>
        <v>10.896999999999998</v>
      </c>
      <c r="M49" s="2004"/>
      <c r="N49" s="2004"/>
      <c r="O49" s="112"/>
      <c r="P49" s="1790"/>
      <c r="Q49" s="2004"/>
      <c r="R49" s="1370">
        <f xml:space="preserve"> IF( SUM( AC49:AE49 ) = 0, 0, AH49 )</f>
        <v>0</v>
      </c>
      <c r="S49" s="1190"/>
      <c r="T49" s="71"/>
      <c r="U49" s="127"/>
      <c r="V49" s="127"/>
      <c r="W49" s="127"/>
      <c r="X49" s="127"/>
      <c r="Y49" s="127"/>
      <c r="Z49" s="127"/>
      <c r="AA49" s="127"/>
      <c r="AB49" s="127"/>
      <c r="AC49" s="71"/>
      <c r="AD49" s="2069">
        <f xml:space="preserve"> IF( (AF49 - AG49) = 0, 0, 1 )</f>
        <v>0</v>
      </c>
      <c r="AE49" s="2070"/>
      <c r="AF49" s="2071">
        <f>ROUND(L49,3)</f>
        <v>10.897</v>
      </c>
      <c r="AG49" s="2248">
        <f>ROUND('4E'!N15,3)</f>
        <v>10.897</v>
      </c>
      <c r="AH49" s="2247" t="s">
        <v>8837</v>
      </c>
      <c r="AJ49" s="2004"/>
      <c r="AK49" s="1712" t="s">
        <v>8836</v>
      </c>
      <c r="AL49" s="2435" t="s">
        <v>8607</v>
      </c>
      <c r="AM49" s="2480" t="s">
        <v>8785</v>
      </c>
      <c r="AN49" s="2451" t="s">
        <v>51</v>
      </c>
      <c r="AO49" s="2452">
        <v>3</v>
      </c>
      <c r="AP49" s="1342" t="str">
        <f t="shared" si="26"/>
        <v>BM8390SDLFR</v>
      </c>
      <c r="AQ49" s="1342" t="str">
        <f t="shared" si="26"/>
        <v>BM8390SDLFP</v>
      </c>
      <c r="AR49" s="1342" t="str">
        <f t="shared" si="26"/>
        <v>BM8390SDLRR</v>
      </c>
      <c r="AS49" s="1342" t="str">
        <f t="shared" si="26"/>
        <v>BM8390SDRTF</v>
      </c>
      <c r="AT49" s="1342" t="str">
        <f t="shared" si="26"/>
        <v>BM8390SDSOT</v>
      </c>
      <c r="AU49" s="1641" t="str">
        <f t="shared" si="26"/>
        <v>BM8390SDTOT</v>
      </c>
      <c r="AV49" s="1659"/>
      <c r="AW49" s="1659"/>
      <c r="AX49" s="2467"/>
    </row>
    <row r="50" spans="1:50" ht="15">
      <c r="A50" s="2004"/>
      <c r="B50" s="2448" t="s">
        <v>8838</v>
      </c>
      <c r="C50" s="1716" t="s">
        <v>533</v>
      </c>
      <c r="D50" s="2458"/>
      <c r="E50" s="2451" t="s">
        <v>51</v>
      </c>
      <c r="F50" s="2452">
        <v>3</v>
      </c>
      <c r="G50" s="1339">
        <v>0</v>
      </c>
      <c r="H50" s="1340">
        <v>0</v>
      </c>
      <c r="I50" s="1340">
        <v>0</v>
      </c>
      <c r="J50" s="1340">
        <v>0</v>
      </c>
      <c r="K50" s="1340">
        <v>0</v>
      </c>
      <c r="L50" s="1938">
        <f t="shared" si="21"/>
        <v>0</v>
      </c>
      <c r="M50" s="2004"/>
      <c r="N50" s="2004"/>
      <c r="O50" s="112"/>
      <c r="P50" s="1791"/>
      <c r="Q50" s="2004"/>
      <c r="R50" s="24">
        <f xml:space="preserve"> IF( SUM( T50:AB50 ) = 0, 0, $U$4 )</f>
        <v>0</v>
      </c>
      <c r="S50" s="1190"/>
      <c r="T50" s="71"/>
      <c r="U50" s="93">
        <f>IF(Validation!$H$3=1,0,IF(ISNUMBER(G50),0,1))</f>
        <v>0</v>
      </c>
      <c r="V50" s="93">
        <f>IF(Validation!$H$3=1,0,IF(ISNUMBER(H50),0,1))</f>
        <v>0</v>
      </c>
      <c r="W50" s="93">
        <f>IF(Validation!$H$3=1,0,IF(ISNUMBER(I50),0,1))</f>
        <v>0</v>
      </c>
      <c r="X50" s="93">
        <f>IF(Validation!$H$3=1,0,IF(ISNUMBER(J50),0,1))</f>
        <v>0</v>
      </c>
      <c r="Y50" s="93">
        <f>IF(Validation!$H$3=1,0,IF(ISNUMBER(K50),0,1))</f>
        <v>0</v>
      </c>
      <c r="Z50" s="93"/>
      <c r="AA50" s="93"/>
      <c r="AB50" s="93"/>
      <c r="AC50" s="71"/>
      <c r="AD50" s="2004"/>
      <c r="AF50" s="2004"/>
      <c r="AG50" s="2004"/>
      <c r="AH50" s="2004"/>
      <c r="AJ50" s="2004"/>
      <c r="AK50" s="1712" t="s">
        <v>8838</v>
      </c>
      <c r="AL50" s="1716" t="s">
        <v>533</v>
      </c>
      <c r="AM50" s="2479" t="s">
        <v>8611</v>
      </c>
      <c r="AN50" s="2451" t="s">
        <v>51</v>
      </c>
      <c r="AO50" s="2452">
        <v>3</v>
      </c>
      <c r="AP50" s="1339" t="str">
        <f t="shared" si="26"/>
        <v>FT00865SDLFR</v>
      </c>
      <c r="AQ50" s="1340" t="str">
        <f t="shared" si="26"/>
        <v>FT00865SDLFP</v>
      </c>
      <c r="AR50" s="1340" t="str">
        <f t="shared" si="26"/>
        <v>FT00865SDLRR</v>
      </c>
      <c r="AS50" s="1340" t="str">
        <f t="shared" si="26"/>
        <v>FT00865SDRTF</v>
      </c>
      <c r="AT50" s="1363" t="str">
        <f t="shared" si="26"/>
        <v>FT00865SDSOT</v>
      </c>
      <c r="AU50" s="1641" t="str">
        <f t="shared" si="26"/>
        <v>FT00865SDTOT</v>
      </c>
      <c r="AV50" s="1659"/>
      <c r="AW50" s="1659"/>
      <c r="AX50" s="2467"/>
    </row>
    <row r="51" spans="1:50" ht="15.75" thickBot="1">
      <c r="A51" s="2004"/>
      <c r="B51" s="2453" t="s">
        <v>8839</v>
      </c>
      <c r="C51" s="1728" t="s">
        <v>8613</v>
      </c>
      <c r="D51" s="2460"/>
      <c r="E51" s="2454" t="s">
        <v>51</v>
      </c>
      <c r="F51" s="2455">
        <v>3</v>
      </c>
      <c r="G51" s="1709">
        <f>SUM(G49:G50)</f>
        <v>0</v>
      </c>
      <c r="H51" s="1709">
        <f t="shared" ref="H51" si="32">SUM(H49:H50)</f>
        <v>0</v>
      </c>
      <c r="I51" s="1709">
        <f t="shared" ref="I51" si="33">SUM(I49:I50)</f>
        <v>3.1379999999999999</v>
      </c>
      <c r="J51" s="1709">
        <f t="shared" ref="J51" si="34">SUM(J49:J50)</f>
        <v>7.2289999999999992</v>
      </c>
      <c r="K51" s="1709">
        <f t="shared" ref="K51" si="35">SUM(K49:K50)</f>
        <v>0.53</v>
      </c>
      <c r="L51" s="1939">
        <f t="shared" si="21"/>
        <v>10.896999999999998</v>
      </c>
      <c r="M51" s="2004"/>
      <c r="N51" s="2004"/>
      <c r="O51" s="112"/>
      <c r="P51" s="1792"/>
      <c r="Q51" s="2004"/>
      <c r="R51" s="2004"/>
      <c r="S51" s="1190"/>
      <c r="T51" s="71"/>
      <c r="U51" s="127"/>
      <c r="V51" s="127"/>
      <c r="W51" s="127"/>
      <c r="X51" s="127"/>
      <c r="Y51" s="127"/>
      <c r="Z51" s="127"/>
      <c r="AA51" s="127"/>
      <c r="AB51" s="127"/>
      <c r="AC51" s="71"/>
      <c r="AD51" s="2004"/>
      <c r="AF51" s="2004"/>
      <c r="AG51" s="2004"/>
      <c r="AH51" s="2004"/>
      <c r="AI51" s="124"/>
      <c r="AJ51" s="2004"/>
      <c r="AK51" s="1713" t="s">
        <v>8839</v>
      </c>
      <c r="AL51" s="1728" t="s">
        <v>8613</v>
      </c>
      <c r="AM51" s="2481" t="s">
        <v>8614</v>
      </c>
      <c r="AN51" s="2454" t="s">
        <v>51</v>
      </c>
      <c r="AO51" s="2455">
        <v>3</v>
      </c>
      <c r="AP51" s="1352" t="str">
        <f t="shared" si="26"/>
        <v>BM319SDLFR</v>
      </c>
      <c r="AQ51" s="1352" t="str">
        <f t="shared" si="26"/>
        <v>BM319SDLFP</v>
      </c>
      <c r="AR51" s="1352" t="str">
        <f t="shared" si="26"/>
        <v>BM319SDLRR</v>
      </c>
      <c r="AS51" s="1352" t="str">
        <f t="shared" si="26"/>
        <v>BM319SDRTF</v>
      </c>
      <c r="AT51" s="1352" t="str">
        <f t="shared" si="26"/>
        <v>BM319SDSOT</v>
      </c>
      <c r="AU51" s="1642" t="str">
        <f t="shared" si="26"/>
        <v>BM319SDTOT</v>
      </c>
      <c r="AV51" s="1659"/>
      <c r="AW51" s="1659"/>
      <c r="AX51" s="2467"/>
    </row>
    <row r="52" spans="1:50">
      <c r="A52" s="2004"/>
      <c r="B52" s="1659"/>
      <c r="C52" s="1659"/>
      <c r="D52" s="1659"/>
      <c r="E52" s="1659"/>
      <c r="F52" s="1659"/>
      <c r="G52" s="2004"/>
      <c r="H52" s="2004"/>
      <c r="I52" s="2004"/>
      <c r="J52" s="2004"/>
      <c r="K52" s="2004"/>
      <c r="L52" s="2004"/>
      <c r="M52" s="2004"/>
      <c r="N52" s="2004"/>
      <c r="O52" s="112"/>
      <c r="P52" s="2004"/>
      <c r="Q52" s="2004"/>
      <c r="R52" s="2004"/>
      <c r="S52" s="2004"/>
      <c r="U52" s="2004"/>
      <c r="V52" s="2004"/>
      <c r="W52" s="2004"/>
      <c r="X52" s="2004"/>
      <c r="Y52" s="2004"/>
      <c r="Z52" s="2004"/>
      <c r="AA52" s="2004"/>
      <c r="AB52" s="2004"/>
      <c r="AD52" s="2004"/>
      <c r="AF52" s="2004"/>
      <c r="AG52" s="2004"/>
      <c r="AH52" s="2004"/>
      <c r="AJ52" s="2004"/>
      <c r="AK52" s="2004"/>
      <c r="AL52" s="1659"/>
      <c r="AM52" s="1659"/>
      <c r="AN52" s="1659"/>
      <c r="AO52" s="1659"/>
      <c r="AP52" s="1659"/>
      <c r="AQ52" s="1659"/>
      <c r="AR52" s="1659"/>
      <c r="AS52" s="1659"/>
      <c r="AT52" s="1659"/>
      <c r="AU52" s="1659"/>
      <c r="AV52" s="1659"/>
      <c r="AW52" s="1659"/>
      <c r="AX52" s="1659"/>
    </row>
    <row r="53" spans="1:50" ht="20.25">
      <c r="A53" s="2004"/>
      <c r="B53" s="67" t="s">
        <v>8840</v>
      </c>
      <c r="C53" s="2461"/>
      <c r="D53" s="2461"/>
      <c r="E53" s="2461"/>
      <c r="F53" s="2461"/>
      <c r="G53" s="66"/>
      <c r="H53" s="66"/>
      <c r="I53" s="66"/>
      <c r="J53" s="66"/>
      <c r="K53" s="2004"/>
      <c r="L53" s="2004"/>
      <c r="M53" s="2004"/>
      <c r="N53" s="2004"/>
      <c r="O53" s="479"/>
      <c r="P53" s="2004"/>
      <c r="Q53" s="2004"/>
      <c r="R53" s="2004"/>
      <c r="S53" s="2004"/>
      <c r="U53" s="2004"/>
      <c r="V53" s="2004"/>
      <c r="W53" s="2004"/>
      <c r="X53" s="2004"/>
      <c r="Y53" s="2004"/>
      <c r="Z53" s="2004"/>
      <c r="AA53" s="2004"/>
      <c r="AB53" s="2004"/>
      <c r="AD53" s="2004"/>
      <c r="AF53" s="2004"/>
      <c r="AG53" s="2004"/>
      <c r="AH53" s="2004"/>
      <c r="AJ53" s="2004"/>
      <c r="AK53" s="67" t="s">
        <v>8840</v>
      </c>
      <c r="AL53" s="2461"/>
      <c r="AM53" s="2461"/>
      <c r="AN53" s="2461"/>
      <c r="AO53" s="2461"/>
      <c r="AP53" s="2461"/>
      <c r="AQ53" s="2461"/>
      <c r="AR53" s="2461"/>
      <c r="AS53" s="2461"/>
      <c r="AT53" s="1659"/>
      <c r="AU53" s="1659"/>
      <c r="AV53" s="1659"/>
      <c r="AW53" s="1659"/>
      <c r="AX53" s="1659"/>
    </row>
    <row r="54" spans="1:50" ht="15" thickBot="1">
      <c r="A54" s="2004"/>
      <c r="B54" s="2462"/>
      <c r="C54" s="1659"/>
      <c r="D54" s="1659"/>
      <c r="E54" s="1659"/>
      <c r="F54" s="1659"/>
      <c r="G54" s="2004"/>
      <c r="H54" s="2004"/>
      <c r="I54" s="2004"/>
      <c r="J54" s="2004"/>
      <c r="K54" s="2004"/>
      <c r="L54" s="2004"/>
      <c r="M54" s="2004"/>
      <c r="N54" s="2004"/>
      <c r="O54" s="479"/>
      <c r="P54" s="2004"/>
      <c r="Q54" s="2004"/>
      <c r="R54" s="2004"/>
      <c r="S54" s="2004"/>
      <c r="U54" s="2004"/>
      <c r="V54" s="2004"/>
      <c r="W54" s="2004"/>
      <c r="X54" s="2004"/>
      <c r="Y54" s="2004"/>
      <c r="Z54" s="2004"/>
      <c r="AA54" s="2004"/>
      <c r="AB54" s="2004"/>
      <c r="AD54" s="2004"/>
      <c r="AF54" s="2004"/>
      <c r="AG54" s="2004"/>
      <c r="AH54" s="2004"/>
      <c r="AJ54" s="2004"/>
      <c r="AK54" s="73"/>
      <c r="AL54" s="1659"/>
      <c r="AM54" s="1659"/>
      <c r="AN54" s="1659"/>
      <c r="AO54" s="1659"/>
      <c r="AP54" s="1659"/>
      <c r="AQ54" s="1659"/>
      <c r="AR54" s="1659"/>
      <c r="AS54" s="1659"/>
      <c r="AT54" s="1659"/>
      <c r="AU54" s="1659"/>
      <c r="AV54" s="1659"/>
      <c r="AW54" s="1659"/>
      <c r="AX54" s="1659"/>
    </row>
    <row r="55" spans="1:50" ht="41.25" thickBot="1">
      <c r="A55" s="2004"/>
      <c r="B55" s="1050" t="s">
        <v>193</v>
      </c>
      <c r="C55" s="998" t="s">
        <v>4916</v>
      </c>
      <c r="D55" s="998" t="s">
        <v>8615</v>
      </c>
      <c r="E55" s="998" t="s">
        <v>2310</v>
      </c>
      <c r="F55" s="998" t="s">
        <v>39</v>
      </c>
      <c r="G55" s="1481" t="s">
        <v>8841</v>
      </c>
      <c r="H55" s="1483" t="s">
        <v>8842</v>
      </c>
      <c r="I55" s="1484" t="s">
        <v>911</v>
      </c>
      <c r="J55" s="187" t="s">
        <v>710</v>
      </c>
      <c r="K55" s="2004"/>
      <c r="L55" s="2004"/>
      <c r="M55" s="2004"/>
      <c r="N55" s="2004"/>
      <c r="O55" s="479"/>
      <c r="P55" s="2004"/>
      <c r="Q55" s="2004"/>
      <c r="R55" s="2004"/>
      <c r="S55" s="2004"/>
      <c r="U55" s="2004"/>
      <c r="V55" s="2004"/>
      <c r="W55" s="2004"/>
      <c r="X55" s="2004"/>
      <c r="Y55" s="2004"/>
      <c r="Z55" s="2004"/>
      <c r="AA55" s="2004"/>
      <c r="AB55" s="2004"/>
      <c r="AD55" s="2004"/>
      <c r="AF55" s="2004"/>
      <c r="AG55" s="2004"/>
      <c r="AH55" s="2004"/>
      <c r="AJ55" s="2004"/>
      <c r="AK55" s="1050" t="s">
        <v>193</v>
      </c>
      <c r="AL55" s="997" t="s">
        <v>4916</v>
      </c>
      <c r="AM55" s="998" t="s">
        <v>8615</v>
      </c>
      <c r="AN55" s="998" t="s">
        <v>2310</v>
      </c>
      <c r="AO55" s="998" t="s">
        <v>39</v>
      </c>
      <c r="AP55" s="1481" t="s">
        <v>8841</v>
      </c>
      <c r="AQ55" s="1483" t="s">
        <v>8842</v>
      </c>
      <c r="AR55" s="1487" t="s">
        <v>911</v>
      </c>
      <c r="AS55" s="187" t="s">
        <v>710</v>
      </c>
      <c r="AT55" s="1659"/>
      <c r="AU55" s="1659"/>
      <c r="AV55" s="1659"/>
      <c r="AW55" s="1659"/>
      <c r="AX55" s="1659"/>
    </row>
    <row r="56" spans="1:50" ht="15" thickBot="1">
      <c r="A56" s="2004"/>
      <c r="B56" s="2456"/>
      <c r="C56" s="1659"/>
      <c r="D56" s="1659"/>
      <c r="E56" s="1659"/>
      <c r="F56" s="1659"/>
      <c r="G56" s="2004"/>
      <c r="H56" s="2004"/>
      <c r="I56" s="2004"/>
      <c r="J56" s="2004"/>
      <c r="K56" s="2004"/>
      <c r="L56" s="2004"/>
      <c r="M56" s="2004"/>
      <c r="N56" s="2004"/>
      <c r="O56" s="479"/>
      <c r="P56" s="2004"/>
      <c r="Q56" s="2004"/>
      <c r="R56" s="2004"/>
      <c r="S56" s="2004"/>
      <c r="U56" s="2004"/>
      <c r="V56" s="2004"/>
      <c r="W56" s="2004"/>
      <c r="X56" s="644"/>
      <c r="Y56" s="644"/>
      <c r="Z56" s="644"/>
      <c r="AA56" s="644"/>
      <c r="AB56" s="644"/>
      <c r="AD56" s="2004"/>
      <c r="AF56" s="2004"/>
      <c r="AG56" s="2004"/>
      <c r="AH56" s="2004"/>
      <c r="AJ56" s="2004"/>
      <c r="AK56" s="564"/>
      <c r="AL56" s="1659"/>
      <c r="AM56" s="1659"/>
      <c r="AN56" s="1659"/>
      <c r="AO56" s="1659"/>
      <c r="AP56" s="1659"/>
      <c r="AQ56" s="1659"/>
      <c r="AR56" s="1659"/>
      <c r="AS56" s="1659"/>
      <c r="AT56" s="1659"/>
      <c r="AU56" s="1659"/>
      <c r="AV56" s="1659"/>
      <c r="AW56" s="1659"/>
      <c r="AX56" s="1659"/>
    </row>
    <row r="57" spans="1:50" ht="15.75" thickBot="1">
      <c r="A57" s="2004"/>
      <c r="B57" s="3034" t="s">
        <v>392</v>
      </c>
      <c r="C57" s="2486" t="s">
        <v>8580</v>
      </c>
      <c r="D57" s="1659"/>
      <c r="E57" s="1659"/>
      <c r="F57" s="1659"/>
      <c r="G57" s="2004"/>
      <c r="H57" s="2004"/>
      <c r="I57" s="2004"/>
      <c r="J57" s="2004"/>
      <c r="K57" s="2004"/>
      <c r="L57" s="2004"/>
      <c r="M57" s="2004"/>
      <c r="N57" s="2004"/>
      <c r="O57" s="479"/>
      <c r="P57" s="2004"/>
      <c r="Q57" s="2004"/>
      <c r="R57" s="2004"/>
      <c r="S57" s="2004"/>
      <c r="U57" s="2004"/>
      <c r="V57" s="2004"/>
      <c r="W57" s="2004"/>
      <c r="X57" s="644"/>
      <c r="Y57" s="644"/>
      <c r="Z57" s="644"/>
      <c r="AA57" s="644"/>
      <c r="AB57" s="644"/>
      <c r="AD57" s="2004"/>
      <c r="AF57" s="2004"/>
      <c r="AG57" s="2004"/>
      <c r="AH57" s="2004"/>
      <c r="AJ57" s="2004"/>
      <c r="AK57" s="3034" t="s">
        <v>177</v>
      </c>
      <c r="AL57" s="1060" t="s">
        <v>8580</v>
      </c>
      <c r="AM57" s="1659"/>
      <c r="AN57" s="1659"/>
      <c r="AO57" s="1659"/>
      <c r="AP57" s="1659"/>
      <c r="AQ57" s="1659"/>
      <c r="AR57" s="1659"/>
      <c r="AS57" s="1659"/>
      <c r="AT57" s="1659"/>
      <c r="AU57" s="1659"/>
      <c r="AV57" s="1659"/>
      <c r="AW57" s="1659"/>
      <c r="AX57" s="1659"/>
    </row>
    <row r="58" spans="1:50" ht="15">
      <c r="A58" s="2004"/>
      <c r="B58" s="2448" t="s">
        <v>8843</v>
      </c>
      <c r="C58" s="1716" t="s">
        <v>8624</v>
      </c>
      <c r="D58" s="2458"/>
      <c r="E58" s="2446" t="s">
        <v>51</v>
      </c>
      <c r="F58" s="2447">
        <v>3</v>
      </c>
      <c r="G58" s="1330">
        <v>25.062999999999999</v>
      </c>
      <c r="H58" s="1331">
        <v>23.39</v>
      </c>
      <c r="I58" s="1331">
        <v>7.9809999999999999</v>
      </c>
      <c r="J58" s="1500">
        <f t="shared" ref="J58:J63" si="36">+SUM(G58:I58)</f>
        <v>56.434000000000005</v>
      </c>
      <c r="K58" s="2004"/>
      <c r="L58" s="2004"/>
      <c r="M58" s="2004"/>
      <c r="N58" s="2004"/>
      <c r="O58" s="479"/>
      <c r="P58" s="1789"/>
      <c r="Q58" s="2004"/>
      <c r="R58" s="24">
        <f xml:space="preserve"> IF( SUM( T58:AB58 ) = 0, 0, $U$4 )</f>
        <v>0</v>
      </c>
      <c r="S58" s="1190"/>
      <c r="T58" s="71"/>
      <c r="U58" s="93">
        <f>IF(Validation!$H$3=1,0,IF(ISNUMBER(G58),0,1))</f>
        <v>0</v>
      </c>
      <c r="V58" s="93">
        <f>IF(Validation!$H$3=1,0,IF(ISNUMBER(H58),0,1))</f>
        <v>0</v>
      </c>
      <c r="W58" s="93">
        <f>IF(Validation!$H$3=1,0,IF(ISNUMBER(I58),0,1))</f>
        <v>0</v>
      </c>
      <c r="X58" s="127"/>
      <c r="Y58" s="127"/>
      <c r="Z58" s="127"/>
      <c r="AA58" s="127"/>
      <c r="AB58" s="127"/>
      <c r="AC58" s="71"/>
      <c r="AD58" s="2004"/>
      <c r="AF58" s="2004"/>
      <c r="AG58" s="2004"/>
      <c r="AH58" s="2004"/>
      <c r="AJ58" s="2004"/>
      <c r="AK58" s="1334" t="s">
        <v>8745</v>
      </c>
      <c r="AL58" s="1343" t="s">
        <v>8624</v>
      </c>
      <c r="AM58" s="2468"/>
      <c r="AN58" s="2469" t="s">
        <v>51</v>
      </c>
      <c r="AO58" s="2469">
        <v>3</v>
      </c>
      <c r="AP58" s="1330" t="s">
        <v>8844</v>
      </c>
      <c r="AQ58" s="1331" t="s">
        <v>8845</v>
      </c>
      <c r="AR58" s="1331" t="s">
        <v>8846</v>
      </c>
      <c r="AS58" s="1500" t="s">
        <v>8847</v>
      </c>
      <c r="AT58" s="1659"/>
      <c r="AU58" s="1659"/>
      <c r="AV58" s="1659"/>
      <c r="AW58" s="1659"/>
      <c r="AX58" s="1659"/>
    </row>
    <row r="59" spans="1:50" ht="15">
      <c r="A59" s="2004"/>
      <c r="B59" s="2448" t="s">
        <v>8848</v>
      </c>
      <c r="C59" s="1716" t="s">
        <v>8627</v>
      </c>
      <c r="D59" s="2458"/>
      <c r="E59" s="2449" t="s">
        <v>51</v>
      </c>
      <c r="F59" s="2444">
        <v>3</v>
      </c>
      <c r="G59" s="1339">
        <v>8.0109999999999992</v>
      </c>
      <c r="H59" s="1340">
        <v>5.09</v>
      </c>
      <c r="I59" s="1340">
        <v>2.044</v>
      </c>
      <c r="J59" s="1501">
        <f t="shared" si="36"/>
        <v>15.145</v>
      </c>
      <c r="K59" s="2004"/>
      <c r="L59" s="2004"/>
      <c r="M59" s="2004"/>
      <c r="N59" s="2004"/>
      <c r="O59" s="2004"/>
      <c r="P59" s="1790"/>
      <c r="Q59" s="2004"/>
      <c r="R59" s="24">
        <f xml:space="preserve"> IF( SUM( T59:AB59 ) = 0, 0, $U$4 )</f>
        <v>0</v>
      </c>
      <c r="S59" s="1190"/>
      <c r="T59" s="71"/>
      <c r="U59" s="93">
        <f>IF(Validation!$H$3=1,0,IF(ISNUMBER(G59),0,1))</f>
        <v>0</v>
      </c>
      <c r="V59" s="93">
        <f>IF(Validation!$H$3=1,0,IF(ISNUMBER(H59),0,1))</f>
        <v>0</v>
      </c>
      <c r="W59" s="93">
        <f>IF(Validation!$H$3=1,0,IF(ISNUMBER(I59),0,1))</f>
        <v>0</v>
      </c>
      <c r="X59" s="127"/>
      <c r="Y59" s="127"/>
      <c r="Z59" s="127"/>
      <c r="AA59" s="127"/>
      <c r="AB59" s="127"/>
      <c r="AC59" s="71"/>
      <c r="AD59" s="2004"/>
      <c r="AF59" s="2004"/>
      <c r="AG59" s="2004"/>
      <c r="AH59" s="2004"/>
      <c r="AJ59" s="2004"/>
      <c r="AK59" s="1334" t="s">
        <v>8746</v>
      </c>
      <c r="AL59" s="1343" t="s">
        <v>8627</v>
      </c>
      <c r="AM59" s="2470"/>
      <c r="AN59" s="2471" t="s">
        <v>51</v>
      </c>
      <c r="AO59" s="2472">
        <v>3</v>
      </c>
      <c r="AP59" s="1339" t="s">
        <v>8849</v>
      </c>
      <c r="AQ59" s="1340" t="s">
        <v>8850</v>
      </c>
      <c r="AR59" s="1340" t="s">
        <v>8851</v>
      </c>
      <c r="AS59" s="1501" t="s">
        <v>8852</v>
      </c>
      <c r="AT59" s="1659"/>
      <c r="AU59" s="1659"/>
      <c r="AV59" s="1659"/>
      <c r="AW59" s="1659"/>
      <c r="AX59" s="1659"/>
    </row>
    <row r="60" spans="1:50" ht="15">
      <c r="A60" s="2004"/>
      <c r="B60" s="2448" t="s">
        <v>8853</v>
      </c>
      <c r="C60" s="1716" t="s">
        <v>8854</v>
      </c>
      <c r="D60" s="2458"/>
      <c r="E60" s="2449" t="s">
        <v>7431</v>
      </c>
      <c r="F60" s="2444">
        <v>0</v>
      </c>
      <c r="G60" s="1353">
        <v>797</v>
      </c>
      <c r="H60" s="1354">
        <v>590</v>
      </c>
      <c r="I60" s="1354">
        <v>202</v>
      </c>
      <c r="J60" s="1990">
        <f t="shared" si="36"/>
        <v>1589</v>
      </c>
      <c r="K60" s="2004"/>
      <c r="L60" s="2004"/>
      <c r="M60" s="2004"/>
      <c r="N60" s="2004"/>
      <c r="O60" s="2004"/>
      <c r="P60" s="1790"/>
      <c r="Q60" s="2004"/>
      <c r="R60" s="24">
        <f xml:space="preserve"> IF( SUM( T60:AB60 ) = 0, 0, $U$4 )</f>
        <v>0</v>
      </c>
      <c r="S60" s="1190"/>
      <c r="T60" s="71"/>
      <c r="U60" s="93">
        <f>IF(Validation!$H$3=1,0,IF(ISNUMBER(G60),0,1))</f>
        <v>0</v>
      </c>
      <c r="V60" s="93">
        <f>IF(Validation!$H$3=1,0,IF(ISNUMBER(H60),0,1))</f>
        <v>0</v>
      </c>
      <c r="W60" s="93">
        <f>IF(Validation!$H$3=1,0,IF(ISNUMBER(I60),0,1))</f>
        <v>0</v>
      </c>
      <c r="X60" s="127"/>
      <c r="Y60" s="127"/>
      <c r="Z60" s="127"/>
      <c r="AA60" s="127"/>
      <c r="AB60" s="127"/>
      <c r="AC60" s="71"/>
      <c r="AD60" s="2004"/>
      <c r="AF60" s="2004"/>
      <c r="AG60" s="2004"/>
      <c r="AH60" s="2004"/>
      <c r="AJ60" s="2004"/>
      <c r="AK60" s="1334" t="s">
        <v>8747</v>
      </c>
      <c r="AL60" s="1716" t="s">
        <v>8854</v>
      </c>
      <c r="AM60" s="2470"/>
      <c r="AN60" s="2471" t="s">
        <v>766</v>
      </c>
      <c r="AO60" s="2472">
        <v>0</v>
      </c>
      <c r="AP60" s="1353" t="s">
        <v>8855</v>
      </c>
      <c r="AQ60" s="1354" t="s">
        <v>8856</v>
      </c>
      <c r="AR60" s="1354" t="s">
        <v>8857</v>
      </c>
      <c r="AS60" s="1501" t="s">
        <v>8858</v>
      </c>
      <c r="AT60" s="1659"/>
      <c r="AU60" s="1659"/>
      <c r="AV60" s="1659"/>
      <c r="AW60" s="1659"/>
      <c r="AX60" s="1659"/>
    </row>
    <row r="61" spans="1:50" ht="15">
      <c r="A61" s="2004"/>
      <c r="B61" s="2448" t="s">
        <v>8859</v>
      </c>
      <c r="C61" s="1716" t="s">
        <v>8860</v>
      </c>
      <c r="D61" s="2458"/>
      <c r="E61" s="2449" t="s">
        <v>7431</v>
      </c>
      <c r="F61" s="2444">
        <v>0</v>
      </c>
      <c r="G61" s="1353">
        <v>177</v>
      </c>
      <c r="H61" s="1354">
        <v>114</v>
      </c>
      <c r="I61" s="1354">
        <v>46</v>
      </c>
      <c r="J61" s="1990">
        <f t="shared" si="36"/>
        <v>337</v>
      </c>
      <c r="K61" s="2004"/>
      <c r="L61" s="2004"/>
      <c r="M61" s="2004"/>
      <c r="N61" s="2004"/>
      <c r="O61" s="2004"/>
      <c r="P61" s="1790"/>
      <c r="Q61" s="2004"/>
      <c r="R61" s="24">
        <f xml:space="preserve"> IF( SUM( T61:AB61 ) = 0, 0, $U$4 )</f>
        <v>0</v>
      </c>
      <c r="S61" s="1190"/>
      <c r="T61" s="71"/>
      <c r="U61" s="93">
        <f>IF(Validation!$H$3=1,0,IF(ISNUMBER(G61),0,1))</f>
        <v>0</v>
      </c>
      <c r="V61" s="93">
        <f>IF(Validation!$H$3=1,0,IF(ISNUMBER(H61),0,1))</f>
        <v>0</v>
      </c>
      <c r="W61" s="93">
        <f>IF(Validation!$H$3=1,0,IF(ISNUMBER(I61),0,1))</f>
        <v>0</v>
      </c>
      <c r="X61" s="127"/>
      <c r="Y61" s="127"/>
      <c r="Z61" s="127"/>
      <c r="AA61" s="127"/>
      <c r="AB61" s="127"/>
      <c r="AC61" s="71"/>
      <c r="AD61" s="2004"/>
      <c r="AF61" s="2004"/>
      <c r="AG61" s="2004"/>
      <c r="AH61" s="2004"/>
      <c r="AJ61" s="2004"/>
      <c r="AK61" s="1334" t="s">
        <v>8748</v>
      </c>
      <c r="AL61" s="1716" t="s">
        <v>8860</v>
      </c>
      <c r="AM61" s="2470"/>
      <c r="AN61" s="2471" t="s">
        <v>766</v>
      </c>
      <c r="AO61" s="2472">
        <v>0</v>
      </c>
      <c r="AP61" s="1353" t="s">
        <v>8861</v>
      </c>
      <c r="AQ61" s="1354" t="s">
        <v>8862</v>
      </c>
      <c r="AR61" s="1354" t="s">
        <v>8863</v>
      </c>
      <c r="AS61" s="1501" t="s">
        <v>8864</v>
      </c>
      <c r="AT61" s="1659"/>
      <c r="AU61" s="1659"/>
      <c r="AV61" s="1659"/>
      <c r="AW61" s="1659"/>
      <c r="AX61" s="1659"/>
    </row>
    <row r="62" spans="1:50" ht="15.75" thickBot="1">
      <c r="A62" s="2004"/>
      <c r="B62" s="2448" t="s">
        <v>8865</v>
      </c>
      <c r="C62" s="1716" t="s">
        <v>8866</v>
      </c>
      <c r="D62" s="2458"/>
      <c r="E62" s="2450" t="s">
        <v>51</v>
      </c>
      <c r="F62" s="2444">
        <v>3</v>
      </c>
      <c r="G62" s="1345">
        <v>0.29799999999999999</v>
      </c>
      <c r="H62" s="1340">
        <v>0</v>
      </c>
      <c r="I62" s="1346">
        <v>0</v>
      </c>
      <c r="J62" s="1501">
        <f t="shared" si="36"/>
        <v>0.29799999999999999</v>
      </c>
      <c r="K62" s="2004"/>
      <c r="L62" s="2004"/>
      <c r="M62" s="2004"/>
      <c r="N62" s="2004"/>
      <c r="O62" s="2004"/>
      <c r="P62" s="1792"/>
      <c r="Q62" s="2004"/>
      <c r="R62" s="24">
        <f xml:space="preserve"> IF( SUM( T62:AB62 ) = 0, 0, $U$4 )</f>
        <v>0</v>
      </c>
      <c r="S62" s="1190"/>
      <c r="T62" s="71"/>
      <c r="U62" s="93">
        <f>IF(Validation!$H$3=1,0,IF(ISNUMBER(G62),0,1))</f>
        <v>0</v>
      </c>
      <c r="V62" s="93">
        <f>IF(Validation!$H$3=1,0,IF(ISNUMBER(H62),0,1))</f>
        <v>0</v>
      </c>
      <c r="W62" s="93">
        <f>IF(Validation!$H$3=1,0,IF(ISNUMBER(I62),0,1))</f>
        <v>0</v>
      </c>
      <c r="X62" s="127"/>
      <c r="Y62" s="127"/>
      <c r="Z62" s="127"/>
      <c r="AA62" s="127"/>
      <c r="AB62" s="127"/>
      <c r="AC62" s="71"/>
      <c r="AD62" s="2004"/>
      <c r="AF62" s="2004"/>
      <c r="AG62" s="2004"/>
      <c r="AH62" s="2004"/>
      <c r="AJ62" s="2004"/>
      <c r="AK62" s="1334" t="s">
        <v>8760</v>
      </c>
      <c r="AL62" s="1343" t="s">
        <v>8866</v>
      </c>
      <c r="AM62" s="2470"/>
      <c r="AN62" s="2473" t="s">
        <v>1655</v>
      </c>
      <c r="AO62" s="2472">
        <v>0</v>
      </c>
      <c r="AP62" s="1364" t="s">
        <v>8867</v>
      </c>
      <c r="AQ62" s="1354" t="s">
        <v>8868</v>
      </c>
      <c r="AR62" s="1365" t="s">
        <v>8869</v>
      </c>
      <c r="AS62" s="1501" t="s">
        <v>8870</v>
      </c>
      <c r="AT62" s="1659"/>
      <c r="AU62" s="1659"/>
      <c r="AV62" s="1659"/>
      <c r="AW62" s="1659"/>
      <c r="AX62" s="1659"/>
    </row>
    <row r="63" spans="1:50" ht="15" thickBot="1">
      <c r="A63" s="2004"/>
      <c r="B63" s="2453" t="s">
        <v>8871</v>
      </c>
      <c r="C63" s="1728" t="s">
        <v>8872</v>
      </c>
      <c r="D63" s="2460"/>
      <c r="E63" s="2454" t="s">
        <v>51</v>
      </c>
      <c r="F63" s="2455">
        <v>3</v>
      </c>
      <c r="G63" s="1355">
        <v>0</v>
      </c>
      <c r="H63" s="1356">
        <v>0</v>
      </c>
      <c r="I63" s="1356">
        <v>0</v>
      </c>
      <c r="J63" s="1502">
        <f t="shared" si="36"/>
        <v>0</v>
      </c>
      <c r="K63" s="2004"/>
      <c r="L63" s="2004"/>
      <c r="M63" s="2004"/>
      <c r="N63" s="2004"/>
      <c r="O63" s="2004"/>
      <c r="P63" s="2004"/>
      <c r="Q63" s="2004"/>
      <c r="R63" s="2004"/>
      <c r="S63" s="2004"/>
      <c r="U63" s="2004"/>
      <c r="V63" s="2004"/>
      <c r="W63" s="2004"/>
      <c r="X63" s="644"/>
      <c r="Y63" s="644"/>
      <c r="Z63" s="644"/>
      <c r="AA63" s="644"/>
      <c r="AB63" s="644"/>
      <c r="AD63" s="2004"/>
      <c r="AF63" s="2004"/>
      <c r="AG63" s="2004"/>
      <c r="AH63" s="2004"/>
      <c r="AJ63" s="2004"/>
      <c r="AK63" s="1347" t="s">
        <v>8772</v>
      </c>
      <c r="AL63" s="1489" t="s">
        <v>8872</v>
      </c>
      <c r="AM63" s="2474"/>
      <c r="AN63" s="2475" t="s">
        <v>1655</v>
      </c>
      <c r="AO63" s="2476">
        <v>0</v>
      </c>
      <c r="AP63" s="1366" t="s">
        <v>8873</v>
      </c>
      <c r="AQ63" s="1367" t="s">
        <v>8874</v>
      </c>
      <c r="AR63" s="1367" t="s">
        <v>8875</v>
      </c>
      <c r="AS63" s="1502" t="s">
        <v>8876</v>
      </c>
      <c r="AT63" s="1659"/>
      <c r="AU63" s="1659"/>
      <c r="AV63" s="1659"/>
      <c r="AW63" s="1659"/>
      <c r="AX63" s="1659"/>
    </row>
    <row r="64" spans="1:50" ht="15" thickBot="1">
      <c r="A64" s="1322"/>
      <c r="B64" s="2463"/>
      <c r="C64" s="2153"/>
      <c r="D64" s="2153"/>
      <c r="E64" s="2153"/>
      <c r="F64" s="2153"/>
      <c r="G64" s="1357"/>
      <c r="H64" s="1357"/>
      <c r="I64" s="1357"/>
      <c r="J64" s="1322"/>
      <c r="K64" s="2004"/>
      <c r="L64" s="2004"/>
      <c r="M64" s="2004"/>
      <c r="N64" s="2004"/>
      <c r="O64" s="2004"/>
      <c r="P64" s="2004"/>
      <c r="Q64" s="2004"/>
      <c r="R64" s="2004"/>
      <c r="S64" s="2004"/>
      <c r="U64" s="2004"/>
      <c r="V64" s="2004"/>
      <c r="W64" s="2004"/>
      <c r="X64" s="644"/>
      <c r="Y64" s="644"/>
      <c r="Z64" s="644"/>
      <c r="AA64" s="644"/>
      <c r="AB64" s="644"/>
      <c r="AD64" s="2004"/>
      <c r="AF64" s="2004"/>
      <c r="AG64" s="2004"/>
      <c r="AH64" s="2004"/>
      <c r="AJ64" s="2004"/>
      <c r="AK64" s="1323"/>
      <c r="AL64" s="2153"/>
      <c r="AM64" s="2153"/>
      <c r="AN64" s="2153"/>
      <c r="AO64" s="2153"/>
      <c r="AP64" s="2153"/>
      <c r="AQ64" s="2153"/>
      <c r="AR64" s="2153"/>
      <c r="AS64" s="2153"/>
      <c r="AT64" s="1659"/>
      <c r="AU64" s="1659"/>
      <c r="AV64" s="1659"/>
      <c r="AW64" s="1659"/>
      <c r="AX64" s="1659"/>
    </row>
    <row r="65" spans="1:50" ht="15.75" thickBot="1">
      <c r="A65" s="2004"/>
      <c r="B65" s="3034" t="s">
        <v>466</v>
      </c>
      <c r="C65" s="2487" t="s">
        <v>7094</v>
      </c>
      <c r="D65" s="1659"/>
      <c r="E65" s="1659"/>
      <c r="F65" s="1659"/>
      <c r="G65" s="1358"/>
      <c r="H65" s="1358"/>
      <c r="I65" s="1358"/>
      <c r="J65" s="2004"/>
      <c r="K65" s="2004"/>
      <c r="L65" s="2004"/>
      <c r="M65" s="2004"/>
      <c r="N65" s="2004"/>
      <c r="O65" s="2004"/>
      <c r="P65" s="2004"/>
      <c r="Q65" s="2004"/>
      <c r="R65" s="2004"/>
      <c r="S65" s="2004"/>
      <c r="U65" s="2004"/>
      <c r="V65" s="2004"/>
      <c r="W65" s="2004"/>
      <c r="X65" s="644"/>
      <c r="Y65" s="644"/>
      <c r="Z65" s="644"/>
      <c r="AA65" s="644"/>
      <c r="AB65" s="644"/>
      <c r="AD65" s="2004"/>
      <c r="AF65" s="2004"/>
      <c r="AG65" s="2004"/>
      <c r="AH65" s="2004"/>
      <c r="AJ65" s="2004"/>
      <c r="AK65" s="3034" t="s">
        <v>392</v>
      </c>
      <c r="AL65" s="1182" t="s">
        <v>7094</v>
      </c>
      <c r="AM65" s="1659"/>
      <c r="AN65" s="1659"/>
      <c r="AO65" s="1659"/>
      <c r="AP65" s="1659"/>
      <c r="AQ65" s="1659"/>
      <c r="AR65" s="1659"/>
      <c r="AS65" s="1659"/>
      <c r="AT65" s="1659"/>
      <c r="AU65" s="1659"/>
      <c r="AV65" s="1659"/>
      <c r="AW65" s="1659"/>
      <c r="AX65" s="1659"/>
    </row>
    <row r="66" spans="1:50" ht="15">
      <c r="A66" s="2004"/>
      <c r="B66" s="2448" t="s">
        <v>8877</v>
      </c>
      <c r="C66" s="2440" t="s">
        <v>8641</v>
      </c>
      <c r="D66" s="2457"/>
      <c r="E66" s="2464" t="s">
        <v>51</v>
      </c>
      <c r="F66" s="2447">
        <v>3</v>
      </c>
      <c r="G66" s="1490">
        <v>0.26800000000000002</v>
      </c>
      <c r="H66" s="1331">
        <v>0</v>
      </c>
      <c r="I66" s="1491">
        <v>0</v>
      </c>
      <c r="J66" s="1500">
        <f>+SUM(G66:I66)</f>
        <v>0.26800000000000002</v>
      </c>
      <c r="K66" s="2004"/>
      <c r="L66" s="2004"/>
      <c r="M66" s="2004"/>
      <c r="N66" s="2004"/>
      <c r="O66" s="2004"/>
      <c r="P66" s="1793"/>
      <c r="Q66" s="2004"/>
      <c r="R66" s="24">
        <f xml:space="preserve"> IF( SUM( T66:AB66 ) = 0, 0, $U$4 )</f>
        <v>0</v>
      </c>
      <c r="S66" s="1190"/>
      <c r="T66" s="71"/>
      <c r="U66" s="93">
        <f>IF(Validation!$H$3=1,0,IF(ISNUMBER(G66),0,1))</f>
        <v>0</v>
      </c>
      <c r="V66" s="93">
        <f>IF(Validation!$H$3=1,0,IF(ISNUMBER(H66),0,1))</f>
        <v>0</v>
      </c>
      <c r="W66" s="93">
        <f>IF(Validation!$H$3=1,0,IF(ISNUMBER(I66),0,1))</f>
        <v>0</v>
      </c>
      <c r="X66" s="127"/>
      <c r="Y66" s="127"/>
      <c r="Z66" s="127"/>
      <c r="AA66" s="127"/>
      <c r="AB66" s="127"/>
      <c r="AC66" s="71"/>
      <c r="AD66" s="2004"/>
      <c r="AF66" s="2004"/>
      <c r="AG66" s="2004"/>
      <c r="AH66" s="2004"/>
      <c r="AJ66" s="2004"/>
      <c r="AK66" s="1334" t="s">
        <v>8773</v>
      </c>
      <c r="AL66" s="1326" t="s">
        <v>8641</v>
      </c>
      <c r="AM66" s="1327"/>
      <c r="AN66" s="1494" t="s">
        <v>1655</v>
      </c>
      <c r="AO66" s="1329">
        <v>0</v>
      </c>
      <c r="AP66" s="1497" t="s">
        <v>8878</v>
      </c>
      <c r="AQ66" s="1498" t="s">
        <v>8879</v>
      </c>
      <c r="AR66" s="1499" t="s">
        <v>8880</v>
      </c>
      <c r="AS66" s="1500" t="s">
        <v>8881</v>
      </c>
      <c r="AT66" s="2004"/>
      <c r="AU66" s="2004"/>
      <c r="AV66" s="2004"/>
      <c r="AW66" s="2004"/>
      <c r="AX66" s="2004"/>
    </row>
    <row r="67" spans="1:50" ht="15">
      <c r="A67" s="2004"/>
      <c r="B67" s="2448" t="s">
        <v>8882</v>
      </c>
      <c r="C67" s="1716" t="s">
        <v>8883</v>
      </c>
      <c r="D67" s="2458"/>
      <c r="E67" s="2450" t="s">
        <v>51</v>
      </c>
      <c r="F67" s="2444">
        <v>3</v>
      </c>
      <c r="G67" s="1345">
        <v>1.748</v>
      </c>
      <c r="H67" s="1340">
        <v>4.2480000000000002</v>
      </c>
      <c r="I67" s="1346">
        <v>0</v>
      </c>
      <c r="J67" s="1501">
        <f>+SUM(G67:I67)</f>
        <v>5.9960000000000004</v>
      </c>
      <c r="K67" s="2004"/>
      <c r="L67" s="2004"/>
      <c r="M67" s="2004"/>
      <c r="N67" s="2004"/>
      <c r="O67" s="2004"/>
      <c r="P67" s="1790"/>
      <c r="Q67" s="2004"/>
      <c r="R67" s="24">
        <f xml:space="preserve"> IF( SUM( T67:AB67 ) = 0, 0, $U$4 )</f>
        <v>0</v>
      </c>
      <c r="S67" s="1190"/>
      <c r="T67" s="71"/>
      <c r="U67" s="93">
        <f>IF(Validation!$H$3=1,0,IF(ISNUMBER(G67),0,1))</f>
        <v>0</v>
      </c>
      <c r="V67" s="93">
        <f>IF(Validation!$H$3=1,0,IF(ISNUMBER(H67),0,1))</f>
        <v>0</v>
      </c>
      <c r="W67" s="93">
        <f>IF(Validation!$H$3=1,0,IF(ISNUMBER(I67),0,1))</f>
        <v>0</v>
      </c>
      <c r="X67" s="127"/>
      <c r="Y67" s="127"/>
      <c r="Z67" s="127"/>
      <c r="AA67" s="127"/>
      <c r="AB67" s="127"/>
      <c r="AC67" s="71"/>
      <c r="AD67" s="2004"/>
      <c r="AF67" s="2004"/>
      <c r="AG67" s="2004"/>
      <c r="AH67" s="2004"/>
      <c r="AJ67" s="2004"/>
      <c r="AK67" s="1334" t="s">
        <v>8783</v>
      </c>
      <c r="AL67" s="1335" t="s">
        <v>8883</v>
      </c>
      <c r="AM67" s="1336"/>
      <c r="AN67" s="1344" t="s">
        <v>1655</v>
      </c>
      <c r="AO67" s="1338">
        <v>0</v>
      </c>
      <c r="AP67" s="1364" t="s">
        <v>8884</v>
      </c>
      <c r="AQ67" s="1354" t="s">
        <v>8885</v>
      </c>
      <c r="AR67" s="1365" t="s">
        <v>8886</v>
      </c>
      <c r="AS67" s="1501" t="s">
        <v>8887</v>
      </c>
      <c r="AT67" s="2004"/>
      <c r="AU67" s="2004"/>
      <c r="AV67" s="2004"/>
      <c r="AW67" s="2004"/>
      <c r="AX67" s="2004"/>
    </row>
    <row r="68" spans="1:50" ht="23.25" thickBot="1">
      <c r="A68" s="2004"/>
      <c r="B68" s="2453" t="s">
        <v>8888</v>
      </c>
      <c r="C68" s="1728" t="s">
        <v>8650</v>
      </c>
      <c r="D68" s="2460"/>
      <c r="E68" s="2454" t="s">
        <v>51</v>
      </c>
      <c r="F68" s="2455">
        <v>3</v>
      </c>
      <c r="G68" s="1355">
        <v>0</v>
      </c>
      <c r="H68" s="1356">
        <v>0</v>
      </c>
      <c r="I68" s="1356">
        <v>0</v>
      </c>
      <c r="J68" s="1503">
        <f>+SUM(G68:I68)</f>
        <v>0</v>
      </c>
      <c r="K68" s="2004"/>
      <c r="L68" s="2004"/>
      <c r="M68" s="2004"/>
      <c r="N68" s="2004"/>
      <c r="O68" s="2004"/>
      <c r="P68" s="1792"/>
      <c r="Q68" s="2004"/>
      <c r="R68" s="1370" t="str">
        <f>IF(SUM(T68:AB68)&lt;&gt;0,$U$4,IF(SUM(AC68:AE68)=0,0,$AH$68))</f>
        <v>Lines 4W.23 to 4W.25 do not equal line 4E.3 please provide reasoning and reconciliation in your commentary</v>
      </c>
      <c r="S68" s="1190"/>
      <c r="T68" s="71"/>
      <c r="U68" s="93">
        <f>IF(Validation!$H$3=1,0,IF(ISNUMBER(G68),0,1))</f>
        <v>0</v>
      </c>
      <c r="V68" s="93">
        <f>IF(Validation!$H$3=1,0,IF(ISNUMBER(H68),0,1))</f>
        <v>0</v>
      </c>
      <c r="W68" s="93">
        <f>IF(Validation!$H$3=1,0,IF(ISNUMBER(I68),0,1))</f>
        <v>0</v>
      </c>
      <c r="X68" s="127"/>
      <c r="Y68" s="127"/>
      <c r="Z68" s="127"/>
      <c r="AA68" s="127"/>
      <c r="AB68" s="127"/>
      <c r="AC68" s="71"/>
      <c r="AD68" s="93">
        <f xml:space="preserve"> IF( (AF68 - AG68) = 0, 0, 1 )</f>
        <v>1</v>
      </c>
      <c r="AE68" s="124"/>
      <c r="AF68" s="112">
        <f>+J68+J67+J66</f>
        <v>6.2640000000000002</v>
      </c>
      <c r="AG68" s="112">
        <f>+'4E'!O9</f>
        <v>6.2639999999999993</v>
      </c>
      <c r="AH68" s="139" t="s">
        <v>8889</v>
      </c>
      <c r="AI68" s="124"/>
      <c r="AJ68" s="2004"/>
      <c r="AK68" s="1347" t="s">
        <v>8795</v>
      </c>
      <c r="AL68" s="1348" t="s">
        <v>8650</v>
      </c>
      <c r="AM68" s="1349"/>
      <c r="AN68" s="1350" t="s">
        <v>1655</v>
      </c>
      <c r="AO68" s="1351">
        <v>0</v>
      </c>
      <c r="AP68" s="1366" t="s">
        <v>8890</v>
      </c>
      <c r="AQ68" s="1367" t="s">
        <v>8891</v>
      </c>
      <c r="AR68" s="1367" t="s">
        <v>8892</v>
      </c>
      <c r="AS68" s="1503" t="s">
        <v>8893</v>
      </c>
      <c r="AT68" s="2004"/>
      <c r="AU68" s="2004"/>
      <c r="AV68" s="2004"/>
      <c r="AW68" s="2004"/>
      <c r="AX68" s="2004"/>
    </row>
    <row r="69" spans="1:50">
      <c r="A69" s="2004"/>
      <c r="B69" s="1659"/>
      <c r="C69" s="1659"/>
      <c r="D69" s="1659"/>
      <c r="E69" s="1659"/>
      <c r="F69" s="1659"/>
      <c r="G69" s="2004"/>
      <c r="H69" s="2004"/>
      <c r="I69" s="2004"/>
      <c r="J69" s="2004"/>
      <c r="K69" s="2004"/>
      <c r="L69" s="2004"/>
      <c r="M69" s="2004"/>
      <c r="N69" s="2004"/>
      <c r="O69" s="2004"/>
      <c r="P69" s="2004"/>
      <c r="Q69" s="2004"/>
      <c r="R69" s="2004"/>
      <c r="S69" s="2004"/>
      <c r="U69" s="2004"/>
      <c r="V69" s="2004"/>
      <c r="W69" s="2004"/>
      <c r="X69" s="644"/>
      <c r="Y69" s="644"/>
      <c r="Z69" s="644"/>
      <c r="AA69" s="644"/>
      <c r="AB69" s="644"/>
      <c r="AD69" s="2004"/>
      <c r="AF69" s="2004"/>
      <c r="AG69" s="2004"/>
      <c r="AH69" s="2004"/>
      <c r="AJ69" s="2004"/>
      <c r="AK69" s="2004"/>
      <c r="AL69" s="2004"/>
      <c r="AM69" s="2004"/>
      <c r="AN69" s="2004"/>
      <c r="AO69" s="2004"/>
      <c r="AP69" s="2004"/>
      <c r="AQ69" s="2004"/>
      <c r="AR69" s="2004"/>
      <c r="AS69" s="2004"/>
      <c r="AT69" s="2004"/>
      <c r="AU69" s="2004"/>
      <c r="AV69" s="2004"/>
      <c r="AW69" s="2004"/>
      <c r="AX69" s="2004"/>
    </row>
    <row r="70" spans="1:50" ht="15">
      <c r="A70" s="2004"/>
      <c r="B70" s="3581" t="s">
        <v>243</v>
      </c>
      <c r="C70" s="3581"/>
      <c r="D70" s="2465"/>
      <c r="E70" s="1026"/>
      <c r="F70" s="1027"/>
      <c r="G70" s="2004"/>
      <c r="H70" s="2004"/>
      <c r="I70" s="2004"/>
      <c r="J70" s="2004"/>
      <c r="K70" s="2004"/>
      <c r="L70" s="2004"/>
      <c r="M70" s="2004"/>
      <c r="N70" s="2004"/>
      <c r="O70" s="2004"/>
      <c r="P70" s="2004"/>
      <c r="Q70" s="2004"/>
      <c r="R70" s="2004"/>
      <c r="S70" s="2004"/>
      <c r="U70" s="2004"/>
      <c r="V70" s="2004"/>
      <c r="W70" s="2004"/>
      <c r="X70" s="2004"/>
      <c r="Y70" s="2004"/>
      <c r="Z70" s="2004"/>
      <c r="AA70" s="2004"/>
      <c r="AB70" s="2004"/>
      <c r="AD70" s="2004"/>
      <c r="AF70" s="2004"/>
      <c r="AG70" s="2004"/>
      <c r="AH70" s="2004"/>
      <c r="AJ70" s="2004"/>
      <c r="AK70" s="2004"/>
      <c r="AL70" s="2004"/>
      <c r="AM70" s="2004"/>
      <c r="AN70" s="2004"/>
      <c r="AO70" s="2004"/>
      <c r="AP70" s="2004"/>
      <c r="AQ70" s="2004"/>
      <c r="AR70" s="2004"/>
      <c r="AS70" s="2004"/>
      <c r="AT70" s="2004"/>
      <c r="AU70" s="2004"/>
      <c r="AV70" s="2004"/>
      <c r="AW70" s="2004"/>
      <c r="AX70" s="2004"/>
    </row>
    <row r="71" spans="1:50">
      <c r="A71" s="2004"/>
      <c r="B71" s="1024"/>
      <c r="C71" s="2466"/>
      <c r="D71" s="2465"/>
      <c r="E71" s="1026"/>
      <c r="F71" s="1027"/>
      <c r="G71" s="2002"/>
      <c r="H71" s="2002"/>
      <c r="I71" s="2002"/>
      <c r="J71" s="2002"/>
      <c r="K71" s="2002"/>
      <c r="L71" s="2002"/>
      <c r="M71" s="2002"/>
      <c r="N71" s="2002"/>
      <c r="O71" s="2002"/>
      <c r="P71" s="1912"/>
      <c r="Q71" s="1912"/>
      <c r="R71" s="1308"/>
      <c r="S71" s="1308"/>
      <c r="T71" s="1667"/>
      <c r="U71" s="1308"/>
      <c r="V71" s="1308"/>
      <c r="W71" s="192"/>
      <c r="X71" s="192"/>
      <c r="Y71" s="2004"/>
      <c r="Z71" s="2004"/>
      <c r="AA71" s="2004"/>
      <c r="AB71" s="2004"/>
      <c r="AD71" s="2004"/>
      <c r="AF71" s="2004"/>
      <c r="AG71" s="2004"/>
      <c r="AH71" s="2004"/>
      <c r="AJ71" s="2004"/>
      <c r="AK71" s="2004"/>
      <c r="AL71" s="2004"/>
      <c r="AM71" s="2004"/>
      <c r="AN71" s="2004"/>
      <c r="AO71" s="2004"/>
      <c r="AP71" s="2004"/>
      <c r="AQ71" s="2004"/>
      <c r="AR71" s="2004"/>
      <c r="AS71" s="2004"/>
      <c r="AT71" s="2004"/>
      <c r="AU71" s="2004"/>
      <c r="AV71" s="2004"/>
      <c r="AW71" s="2004"/>
      <c r="AX71" s="2004"/>
    </row>
    <row r="72" spans="1:50" ht="15">
      <c r="A72" s="2004"/>
      <c r="B72" s="1247"/>
      <c r="C72" s="1125" t="s">
        <v>190</v>
      </c>
      <c r="D72" s="959"/>
      <c r="E72" s="1216"/>
      <c r="F72" s="1216"/>
      <c r="G72" s="1216"/>
      <c r="H72" s="1216"/>
      <c r="I72" s="1216"/>
      <c r="J72" s="1216"/>
      <c r="K72" s="1216"/>
      <c r="L72" s="1216"/>
      <c r="M72" s="1216"/>
      <c r="N72" s="1216"/>
      <c r="O72" s="1216"/>
      <c r="P72" s="1216"/>
      <c r="Q72" s="1216"/>
      <c r="R72" s="1308"/>
      <c r="S72" s="1308"/>
      <c r="T72" s="1667"/>
      <c r="U72" s="1308"/>
      <c r="V72" s="1308"/>
      <c r="W72" s="1359"/>
      <c r="X72" s="1359"/>
      <c r="Y72" s="2004"/>
      <c r="Z72" s="2004"/>
      <c r="AA72" s="2004"/>
      <c r="AB72" s="2004"/>
      <c r="AD72" s="2004"/>
      <c r="AF72" s="2004"/>
      <c r="AG72" s="2004"/>
      <c r="AH72" s="2004"/>
      <c r="AJ72" s="2004"/>
      <c r="AK72" s="2004"/>
      <c r="AL72" s="2004"/>
      <c r="AM72" s="2004"/>
      <c r="AN72" s="2004"/>
      <c r="AO72" s="2004"/>
      <c r="AP72" s="2004"/>
      <c r="AQ72" s="2004"/>
      <c r="AR72" s="2004"/>
      <c r="AS72" s="2004"/>
      <c r="AT72" s="2004"/>
      <c r="AU72" s="2004"/>
      <c r="AV72" s="2004"/>
      <c r="AW72" s="2004"/>
      <c r="AX72" s="2004"/>
    </row>
    <row r="73" spans="1:50" ht="15">
      <c r="A73" s="2004"/>
      <c r="B73" s="1190"/>
      <c r="C73" s="1190"/>
      <c r="D73" s="1190"/>
      <c r="E73" s="1190"/>
      <c r="F73" s="1190"/>
      <c r="G73" s="1190"/>
      <c r="H73" s="1190"/>
      <c r="I73" s="1190"/>
      <c r="J73" s="1190"/>
      <c r="K73" s="1190"/>
      <c r="L73" s="1190"/>
      <c r="M73" s="1190"/>
      <c r="N73" s="1190"/>
      <c r="O73" s="1190"/>
      <c r="P73" s="1190"/>
      <c r="Q73" s="1190"/>
      <c r="R73" s="1190"/>
      <c r="S73" s="1190"/>
      <c r="T73" s="1668"/>
      <c r="U73" s="1190"/>
      <c r="V73" s="1190"/>
      <c r="W73" s="1190"/>
      <c r="X73" s="1190"/>
      <c r="Y73" s="2004"/>
      <c r="Z73" s="2004"/>
      <c r="AA73" s="2004"/>
      <c r="AB73" s="2004"/>
      <c r="AD73" s="2004"/>
      <c r="AF73" s="2004"/>
      <c r="AG73" s="2004"/>
      <c r="AH73" s="2004"/>
      <c r="AJ73" s="2004"/>
      <c r="AK73" s="2004"/>
      <c r="AL73" s="2004"/>
      <c r="AM73" s="2004"/>
      <c r="AN73" s="2004"/>
      <c r="AO73" s="2004"/>
      <c r="AP73" s="2004"/>
      <c r="AQ73" s="2004"/>
      <c r="AR73" s="2004"/>
      <c r="AS73" s="2004"/>
      <c r="AT73" s="2004"/>
      <c r="AU73" s="2004"/>
      <c r="AV73" s="2004"/>
      <c r="AW73" s="2004"/>
      <c r="AX73" s="2004"/>
    </row>
    <row r="74" spans="1:50" ht="15.75">
      <c r="A74" s="2004"/>
      <c r="B74" s="960"/>
      <c r="C74" s="1249" t="s">
        <v>5294</v>
      </c>
      <c r="D74" s="1218"/>
      <c r="E74" s="1218"/>
      <c r="F74" s="1218"/>
      <c r="G74" s="1218"/>
      <c r="H74" s="1218"/>
      <c r="I74" s="1218"/>
      <c r="J74" s="1218"/>
      <c r="K74" s="1218"/>
      <c r="L74" s="1218"/>
      <c r="M74" s="1218"/>
      <c r="N74" s="1218"/>
      <c r="O74" s="1218"/>
      <c r="P74" s="1218"/>
      <c r="Q74" s="1218"/>
      <c r="R74" s="1218"/>
      <c r="S74" s="1218"/>
      <c r="T74" s="1669"/>
      <c r="U74" s="1218"/>
      <c r="V74" s="1218"/>
      <c r="W74" s="1218"/>
      <c r="X74" s="1218"/>
      <c r="Y74" s="2004"/>
      <c r="Z74" s="2004"/>
      <c r="AA74" s="2004"/>
      <c r="AB74" s="2004"/>
      <c r="AD74" s="2004"/>
      <c r="AF74" s="2004"/>
      <c r="AG74" s="2004"/>
      <c r="AH74" s="2004"/>
      <c r="AJ74" s="2004"/>
      <c r="AK74" s="2004"/>
      <c r="AL74" s="2004"/>
      <c r="AM74" s="2004"/>
      <c r="AN74" s="2004"/>
      <c r="AO74" s="2004"/>
      <c r="AP74" s="2004"/>
      <c r="AQ74" s="2004"/>
      <c r="AR74" s="2004"/>
      <c r="AS74" s="2004"/>
      <c r="AT74" s="2004"/>
      <c r="AU74" s="2004"/>
      <c r="AV74" s="2004"/>
      <c r="AW74" s="2004"/>
      <c r="AX74" s="2004"/>
    </row>
    <row r="75" spans="1:50">
      <c r="A75" s="2004"/>
      <c r="B75" s="564"/>
      <c r="C75" s="2004"/>
      <c r="D75" s="2004"/>
      <c r="E75" s="2004"/>
      <c r="F75" s="2004"/>
      <c r="G75" s="2004"/>
      <c r="H75" s="2004"/>
      <c r="I75" s="2004"/>
      <c r="J75" s="2004"/>
      <c r="K75" s="2004"/>
      <c r="L75" s="2004"/>
      <c r="M75" s="2004"/>
      <c r="N75" s="2004"/>
      <c r="O75" s="2004"/>
      <c r="P75" s="2004"/>
      <c r="Q75" s="2004"/>
      <c r="R75" s="2004"/>
      <c r="S75" s="2004"/>
      <c r="U75" s="2004"/>
      <c r="V75" s="2004"/>
      <c r="W75" s="2004"/>
      <c r="X75" s="2004"/>
      <c r="Y75" s="2004"/>
      <c r="Z75" s="2004"/>
      <c r="AA75" s="2004"/>
      <c r="AB75" s="2004"/>
      <c r="AD75" s="2004"/>
      <c r="AF75" s="2004"/>
      <c r="AG75" s="2004"/>
      <c r="AH75" s="2004"/>
      <c r="AJ75" s="2004"/>
      <c r="AK75" s="2004"/>
      <c r="AL75" s="2004"/>
      <c r="AM75" s="2004"/>
      <c r="AN75" s="2004"/>
      <c r="AO75" s="2004"/>
      <c r="AP75" s="2004"/>
      <c r="AQ75" s="2004"/>
      <c r="AR75" s="2004"/>
      <c r="AS75" s="2004"/>
      <c r="AT75" s="2004"/>
      <c r="AU75" s="2004"/>
      <c r="AV75" s="2004"/>
      <c r="AW75" s="2004"/>
      <c r="AX75" s="2004"/>
    </row>
    <row r="76" spans="1:50" ht="15" thickBot="1">
      <c r="A76" s="2004"/>
      <c r="B76" s="564"/>
      <c r="C76" s="2004"/>
      <c r="D76" s="2004"/>
      <c r="E76" s="2004"/>
      <c r="F76" s="2004"/>
      <c r="G76" s="2004"/>
      <c r="H76" s="2004"/>
      <c r="I76" s="2004"/>
      <c r="J76" s="2004"/>
      <c r="K76" s="2004"/>
      <c r="L76" s="2004"/>
      <c r="M76" s="2004"/>
      <c r="N76" s="2004"/>
      <c r="O76" s="2004"/>
      <c r="P76" s="2004"/>
      <c r="Q76" s="2004"/>
      <c r="R76" s="2004"/>
      <c r="S76" s="2004"/>
      <c r="U76" s="2004"/>
      <c r="V76" s="2004"/>
      <c r="W76" s="2004"/>
      <c r="X76" s="2004"/>
      <c r="Y76" s="2004"/>
      <c r="Z76" s="2004"/>
      <c r="AA76" s="2004"/>
      <c r="AB76" s="2004"/>
      <c r="AD76" s="2004"/>
      <c r="AF76" s="2004"/>
      <c r="AG76" s="2004"/>
      <c r="AH76" s="2004"/>
      <c r="AJ76" s="2004"/>
      <c r="AK76" s="2004"/>
      <c r="AL76" s="2004"/>
      <c r="AM76" s="2004"/>
      <c r="AN76" s="2004"/>
      <c r="AO76" s="2004"/>
      <c r="AP76" s="2004"/>
      <c r="AQ76" s="2004"/>
      <c r="AR76" s="2004"/>
      <c r="AS76" s="2004"/>
      <c r="AT76" s="2004"/>
      <c r="AU76" s="2004"/>
      <c r="AV76" s="2004"/>
      <c r="AW76" s="2004"/>
      <c r="AX76" s="2004"/>
    </row>
    <row r="77" spans="1:50" ht="21" thickBot="1">
      <c r="A77" s="2004"/>
      <c r="B77" s="3053" t="s">
        <v>192</v>
      </c>
      <c r="C77" s="147"/>
      <c r="D77" s="148"/>
      <c r="E77" s="148"/>
      <c r="F77" s="148"/>
      <c r="G77" s="148"/>
      <c r="H77" s="148"/>
      <c r="I77" s="148"/>
      <c r="J77" s="148"/>
      <c r="K77" s="154"/>
      <c r="L77" s="2004"/>
      <c r="M77" s="2004"/>
      <c r="N77" s="2004"/>
      <c r="O77" s="2004"/>
      <c r="P77" s="2004"/>
      <c r="Q77" s="2004"/>
      <c r="R77" s="2004"/>
      <c r="S77" s="2004"/>
      <c r="U77" s="2004"/>
      <c r="V77" s="2004"/>
      <c r="W77" s="2004"/>
      <c r="X77" s="2004"/>
      <c r="Y77" s="2004"/>
      <c r="Z77" s="2004"/>
      <c r="AA77" s="2004"/>
      <c r="AB77" s="2004"/>
      <c r="AD77" s="2004"/>
      <c r="AF77" s="2004"/>
      <c r="AG77" s="2004"/>
      <c r="AH77" s="2004"/>
      <c r="AJ77" s="2004"/>
      <c r="AK77" s="2004"/>
      <c r="AL77" s="2004"/>
      <c r="AM77" s="2004"/>
      <c r="AN77" s="2004"/>
      <c r="AO77" s="2004"/>
      <c r="AP77" s="2004"/>
      <c r="AQ77" s="2004"/>
      <c r="AR77" s="2004"/>
      <c r="AS77" s="2004"/>
      <c r="AT77" s="2004"/>
      <c r="AU77" s="2004"/>
      <c r="AV77" s="2004"/>
      <c r="AW77" s="2004"/>
      <c r="AX77" s="2004"/>
    </row>
    <row r="78" spans="1:50">
      <c r="A78" s="2004"/>
      <c r="B78" s="564"/>
      <c r="C78" s="2004"/>
      <c r="D78" s="2004"/>
      <c r="E78" s="2004"/>
      <c r="F78" s="2004"/>
      <c r="G78" s="2004"/>
      <c r="H78" s="2004"/>
      <c r="I78" s="2004"/>
      <c r="J78" s="2004"/>
      <c r="K78" s="2004"/>
      <c r="L78" s="2004"/>
      <c r="M78" s="2004"/>
      <c r="N78" s="2004"/>
      <c r="O78" s="2004"/>
      <c r="P78" s="2004"/>
      <c r="Q78" s="2004"/>
      <c r="R78" s="2004"/>
      <c r="S78" s="2004"/>
      <c r="U78" s="2004"/>
      <c r="V78" s="2004"/>
      <c r="W78" s="2004"/>
      <c r="X78" s="2004"/>
      <c r="Y78" s="2004"/>
      <c r="Z78" s="2004"/>
      <c r="AA78" s="2004"/>
      <c r="AB78" s="2004"/>
      <c r="AD78" s="2004"/>
      <c r="AF78" s="2004"/>
      <c r="AG78" s="2004"/>
      <c r="AH78" s="2004"/>
      <c r="AJ78" s="2004"/>
      <c r="AK78" s="2004"/>
      <c r="AL78" s="2004"/>
      <c r="AM78" s="2004"/>
      <c r="AN78" s="2004"/>
      <c r="AO78" s="2004"/>
      <c r="AP78" s="2004"/>
      <c r="AQ78" s="2004"/>
      <c r="AR78" s="2004"/>
      <c r="AS78" s="2004"/>
      <c r="AT78" s="2004"/>
      <c r="AU78" s="2004"/>
      <c r="AV78" s="2004"/>
      <c r="AW78" s="2004"/>
      <c r="AX78" s="2004"/>
    </row>
    <row r="79" spans="1:50" ht="16.5" hidden="1" thickBot="1">
      <c r="A79" s="1602"/>
      <c r="B79" s="3031" t="str">
        <f ca="1" xml:space="preserve"> RIGHT(CELL("filename", $A$1), LEN(CELL("filename", $A$1)) - SEARCH("]", CELL("filename", $A$1)))&amp;" - Line definitions"</f>
        <v>4W - Line definitions</v>
      </c>
      <c r="C79" s="3046"/>
      <c r="D79" s="3046"/>
      <c r="E79" s="3046"/>
      <c r="F79" s="3046"/>
      <c r="G79" s="3046"/>
      <c r="H79" s="3046"/>
      <c r="I79" s="3046"/>
      <c r="J79" s="3046"/>
      <c r="K79" s="3046"/>
      <c r="L79" s="3046"/>
      <c r="M79" s="3046"/>
      <c r="N79" s="3046"/>
      <c r="O79" s="3046"/>
      <c r="P79" s="3047"/>
      <c r="Q79" s="2004"/>
      <c r="R79" s="2004"/>
      <c r="S79" s="2004"/>
      <c r="U79" s="2004"/>
      <c r="V79" s="2004"/>
      <c r="W79" s="2004"/>
      <c r="X79" s="2004"/>
      <c r="Y79" s="2004"/>
      <c r="Z79" s="2004"/>
      <c r="AA79" s="2004"/>
      <c r="AB79" s="2004"/>
      <c r="AD79" s="2004"/>
      <c r="AF79" s="2004"/>
      <c r="AG79" s="2004"/>
      <c r="AH79" s="2004"/>
      <c r="AJ79" s="2004"/>
      <c r="AK79" s="2004"/>
      <c r="AL79" s="2004"/>
      <c r="AM79" s="2004"/>
      <c r="AN79" s="2004"/>
      <c r="AO79" s="2004"/>
      <c r="AP79" s="2004"/>
      <c r="AQ79" s="2004"/>
      <c r="AR79" s="2004"/>
      <c r="AS79" s="2004"/>
      <c r="AT79" s="2004"/>
      <c r="AU79" s="2004"/>
      <c r="AV79" s="2004"/>
      <c r="AW79" s="2004"/>
      <c r="AX79" s="2004"/>
    </row>
    <row r="80" spans="1:50" ht="15" hidden="1" thickBot="1">
      <c r="A80" s="1602"/>
      <c r="B80" s="564"/>
      <c r="C80" s="2004"/>
      <c r="D80" s="2004"/>
      <c r="E80" s="2004"/>
      <c r="F80" s="2004"/>
      <c r="G80" s="2004"/>
      <c r="H80" s="2004"/>
      <c r="I80" s="2004"/>
      <c r="J80" s="2004"/>
      <c r="K80" s="2004"/>
      <c r="L80" s="2004"/>
      <c r="M80" s="2004"/>
      <c r="N80" s="2004"/>
      <c r="O80" s="2004"/>
      <c r="P80" s="2004"/>
      <c r="Q80" s="2004"/>
      <c r="R80" s="2004"/>
      <c r="S80" s="2004"/>
      <c r="U80" s="2004"/>
      <c r="V80" s="2004"/>
      <c r="W80" s="2004"/>
      <c r="X80" s="2004"/>
      <c r="Y80" s="2004"/>
      <c r="Z80" s="2004"/>
      <c r="AA80" s="2004"/>
      <c r="AB80" s="2004"/>
      <c r="AD80" s="2004"/>
      <c r="AF80" s="2004"/>
      <c r="AG80" s="2004"/>
      <c r="AH80" s="2004"/>
      <c r="AJ80" s="2004"/>
      <c r="AK80" s="2004"/>
      <c r="AL80" s="2004"/>
      <c r="AM80" s="2004"/>
      <c r="AN80" s="2004"/>
      <c r="AO80" s="2004"/>
      <c r="AP80" s="2004"/>
      <c r="AQ80" s="2004"/>
      <c r="AR80" s="2004"/>
      <c r="AS80" s="2004"/>
      <c r="AT80" s="2004"/>
      <c r="AU80" s="2004"/>
      <c r="AV80" s="2004"/>
      <c r="AW80" s="2004"/>
      <c r="AX80" s="2004"/>
    </row>
    <row r="81" spans="1:35" hidden="1">
      <c r="A81" s="1602"/>
      <c r="B81" s="1288" t="s">
        <v>193</v>
      </c>
      <c r="C81" s="3679" t="s">
        <v>194</v>
      </c>
      <c r="D81" s="3680"/>
      <c r="E81" s="3680"/>
      <c r="F81" s="3680"/>
      <c r="G81" s="3680"/>
      <c r="H81" s="3680"/>
      <c r="I81" s="3680"/>
      <c r="J81" s="3680"/>
      <c r="K81" s="3680"/>
      <c r="L81" s="3680"/>
      <c r="M81" s="3680"/>
      <c r="N81" s="3680"/>
      <c r="O81" s="3680"/>
      <c r="P81" s="3681"/>
      <c r="Q81" s="2004"/>
      <c r="R81" s="2004"/>
      <c r="S81" s="2004"/>
      <c r="U81" s="2004"/>
      <c r="V81" s="2004"/>
      <c r="W81" s="2004"/>
      <c r="X81" s="2004"/>
      <c r="Y81" s="2004"/>
      <c r="Z81" s="2004"/>
      <c r="AA81" s="2004"/>
      <c r="AB81" s="2004"/>
      <c r="AD81" s="2004"/>
      <c r="AF81" s="2004"/>
      <c r="AG81" s="2004"/>
      <c r="AH81" s="2004"/>
    </row>
    <row r="82" spans="1:35" ht="14.25" hidden="1" customHeight="1">
      <c r="A82" s="1602"/>
      <c r="B82" s="2084" t="s">
        <v>8894</v>
      </c>
      <c r="C82" s="3666" t="s">
        <v>1235</v>
      </c>
      <c r="D82" s="3667"/>
      <c r="E82" s="3667"/>
      <c r="F82" s="3667"/>
      <c r="G82" s="3667"/>
      <c r="H82" s="3667"/>
      <c r="I82" s="3667"/>
      <c r="J82" s="3667"/>
      <c r="K82" s="3667"/>
      <c r="L82" s="3667"/>
      <c r="M82" s="3667"/>
      <c r="N82" s="3667"/>
      <c r="O82" s="3667"/>
      <c r="P82" s="3668"/>
      <c r="Q82" s="2004"/>
      <c r="R82" s="2004"/>
      <c r="S82" s="2004"/>
      <c r="U82" s="2004"/>
      <c r="V82" s="2004"/>
      <c r="W82" s="2004"/>
      <c r="X82" s="2004"/>
      <c r="Y82" s="2004"/>
      <c r="Z82" s="2004"/>
      <c r="AA82" s="2004"/>
      <c r="AB82" s="2004"/>
      <c r="AD82" s="2004"/>
      <c r="AF82" s="2004"/>
      <c r="AG82" s="2004"/>
      <c r="AH82" s="2004"/>
    </row>
    <row r="83" spans="1:35" ht="69.75" hidden="1" customHeight="1">
      <c r="A83" s="1602"/>
      <c r="B83" s="2083" t="s">
        <v>8895</v>
      </c>
      <c r="C83" s="3657" t="s">
        <v>3816</v>
      </c>
      <c r="D83" s="3658"/>
      <c r="E83" s="3658"/>
      <c r="F83" s="3658"/>
      <c r="G83" s="3658"/>
      <c r="H83" s="3658"/>
      <c r="I83" s="3658"/>
      <c r="J83" s="3658"/>
      <c r="K83" s="3658"/>
      <c r="L83" s="3658"/>
      <c r="M83" s="3658"/>
      <c r="N83" s="3658"/>
      <c r="O83" s="3658"/>
      <c r="P83" s="3659"/>
      <c r="Q83" s="2004"/>
      <c r="R83" s="2004"/>
      <c r="S83" s="2004"/>
      <c r="U83" s="2004"/>
      <c r="V83" s="2004"/>
      <c r="W83" s="2004"/>
      <c r="X83" s="2004"/>
      <c r="Y83" s="2004"/>
      <c r="Z83" s="2004"/>
      <c r="AA83" s="2004"/>
      <c r="AB83" s="2004"/>
      <c r="AD83" s="2004"/>
      <c r="AF83" s="2004"/>
      <c r="AG83" s="2004"/>
      <c r="AH83" s="2004"/>
    </row>
    <row r="84" spans="1:35" s="2004" customFormat="1" hidden="1">
      <c r="A84" s="1602"/>
      <c r="B84" s="2085" t="s">
        <v>8896</v>
      </c>
      <c r="C84" s="3657" t="s">
        <v>3817</v>
      </c>
      <c r="D84" s="3658"/>
      <c r="E84" s="3658"/>
      <c r="F84" s="3658"/>
      <c r="G84" s="3658"/>
      <c r="H84" s="3658"/>
      <c r="I84" s="3658"/>
      <c r="J84" s="3658"/>
      <c r="K84" s="3658"/>
      <c r="L84" s="3658"/>
      <c r="M84" s="3658"/>
      <c r="N84" s="3658"/>
      <c r="O84" s="3658"/>
      <c r="P84" s="3659"/>
      <c r="T84" s="1665"/>
      <c r="AC84" s="1665"/>
      <c r="AE84" s="1665"/>
      <c r="AI84" s="1665"/>
    </row>
    <row r="85" spans="1:35" s="2004" customFormat="1" hidden="1">
      <c r="A85" s="1602"/>
      <c r="B85" s="2083" t="s">
        <v>8897</v>
      </c>
      <c r="C85" s="3657" t="s">
        <v>3818</v>
      </c>
      <c r="D85" s="3658"/>
      <c r="E85" s="3658"/>
      <c r="F85" s="3658"/>
      <c r="G85" s="3658"/>
      <c r="H85" s="3658"/>
      <c r="I85" s="3658"/>
      <c r="J85" s="3658"/>
      <c r="K85" s="3658"/>
      <c r="L85" s="3658"/>
      <c r="M85" s="3658"/>
      <c r="N85" s="3658"/>
      <c r="O85" s="3658"/>
      <c r="P85" s="3659"/>
      <c r="T85" s="1665"/>
      <c r="AC85" s="1665"/>
      <c r="AE85" s="1665"/>
      <c r="AI85" s="1665"/>
    </row>
    <row r="86" spans="1:35" s="2004" customFormat="1" hidden="1">
      <c r="A86" s="1602"/>
      <c r="B86" s="2083" t="s">
        <v>8898</v>
      </c>
      <c r="C86" s="3657" t="s">
        <v>1239</v>
      </c>
      <c r="D86" s="3658"/>
      <c r="E86" s="3658"/>
      <c r="F86" s="3658"/>
      <c r="G86" s="3658"/>
      <c r="H86" s="3658"/>
      <c r="I86" s="3658"/>
      <c r="J86" s="3658"/>
      <c r="K86" s="3658"/>
      <c r="L86" s="3658"/>
      <c r="M86" s="3658"/>
      <c r="N86" s="3658"/>
      <c r="O86" s="3658"/>
      <c r="P86" s="3659"/>
      <c r="T86" s="1665"/>
      <c r="AC86" s="1665"/>
      <c r="AE86" s="1665"/>
      <c r="AI86" s="1665"/>
    </row>
    <row r="87" spans="1:35" s="2004" customFormat="1" hidden="1">
      <c r="A87" s="1602"/>
      <c r="B87" s="2083" t="s">
        <v>8899</v>
      </c>
      <c r="C87" s="3657" t="s">
        <v>1240</v>
      </c>
      <c r="D87" s="3658"/>
      <c r="E87" s="3658"/>
      <c r="F87" s="3658"/>
      <c r="G87" s="3658"/>
      <c r="H87" s="3658"/>
      <c r="I87" s="3658"/>
      <c r="J87" s="3658"/>
      <c r="K87" s="3658"/>
      <c r="L87" s="3658"/>
      <c r="M87" s="3658"/>
      <c r="N87" s="3658"/>
      <c r="O87" s="3658"/>
      <c r="P87" s="3659"/>
      <c r="T87" s="1665"/>
      <c r="AC87" s="1665"/>
      <c r="AE87" s="1665"/>
      <c r="AI87" s="1665"/>
    </row>
    <row r="88" spans="1:35" s="2004" customFormat="1" ht="59.25" hidden="1" customHeight="1">
      <c r="A88" s="1602"/>
      <c r="B88" s="2083" t="s">
        <v>8900</v>
      </c>
      <c r="C88" s="3657" t="s">
        <v>8901</v>
      </c>
      <c r="D88" s="3658"/>
      <c r="E88" s="3658"/>
      <c r="F88" s="3658"/>
      <c r="G88" s="3658"/>
      <c r="H88" s="3658"/>
      <c r="I88" s="3658"/>
      <c r="J88" s="3658"/>
      <c r="K88" s="3658"/>
      <c r="L88" s="3658"/>
      <c r="M88" s="3658"/>
      <c r="N88" s="3658"/>
      <c r="O88" s="3658"/>
      <c r="P88" s="3659"/>
      <c r="T88" s="1665"/>
      <c r="AC88" s="1665"/>
      <c r="AE88" s="1665"/>
      <c r="AI88" s="1665"/>
    </row>
    <row r="89" spans="1:35" s="2004" customFormat="1" ht="55.5" hidden="1" customHeight="1">
      <c r="A89" s="1602"/>
      <c r="B89" s="2083" t="s">
        <v>8902</v>
      </c>
      <c r="C89" s="3657" t="s">
        <v>8903</v>
      </c>
      <c r="D89" s="3658"/>
      <c r="E89" s="3658"/>
      <c r="F89" s="3658"/>
      <c r="G89" s="3658"/>
      <c r="H89" s="3658"/>
      <c r="I89" s="3658"/>
      <c r="J89" s="3658"/>
      <c r="K89" s="3658"/>
      <c r="L89" s="3658"/>
      <c r="M89" s="3658"/>
      <c r="N89" s="3658"/>
      <c r="O89" s="3658"/>
      <c r="P89" s="3659"/>
      <c r="T89" s="1665"/>
      <c r="AC89" s="1665"/>
      <c r="AE89" s="1665"/>
      <c r="AI89" s="1665"/>
    </row>
    <row r="90" spans="1:35" s="2004" customFormat="1" ht="58.7" hidden="1" customHeight="1">
      <c r="A90" s="1602"/>
      <c r="B90" s="2083" t="s">
        <v>8904</v>
      </c>
      <c r="C90" s="3657" t="s">
        <v>8905</v>
      </c>
      <c r="D90" s="3658"/>
      <c r="E90" s="3658"/>
      <c r="F90" s="3658"/>
      <c r="G90" s="3658"/>
      <c r="H90" s="3658"/>
      <c r="I90" s="3658"/>
      <c r="J90" s="3658"/>
      <c r="K90" s="3658"/>
      <c r="L90" s="3658"/>
      <c r="M90" s="3658"/>
      <c r="N90" s="3658"/>
      <c r="O90" s="3658"/>
      <c r="P90" s="3659"/>
      <c r="T90" s="1665"/>
      <c r="AC90" s="1665"/>
      <c r="AE90" s="1665"/>
      <c r="AI90" s="1665"/>
    </row>
    <row r="91" spans="1:35" ht="14.25" hidden="1" customHeight="1">
      <c r="A91" s="1602"/>
      <c r="B91" s="2083" t="s">
        <v>8906</v>
      </c>
      <c r="C91" s="3657" t="s">
        <v>3497</v>
      </c>
      <c r="D91" s="3658"/>
      <c r="E91" s="3658"/>
      <c r="F91" s="3658"/>
      <c r="G91" s="3658"/>
      <c r="H91" s="3658"/>
      <c r="I91" s="3658"/>
      <c r="J91" s="3658"/>
      <c r="K91" s="3658"/>
      <c r="L91" s="3658"/>
      <c r="M91" s="3658"/>
      <c r="N91" s="3658"/>
      <c r="O91" s="3658"/>
      <c r="P91" s="3659"/>
      <c r="Q91" s="2004"/>
      <c r="R91" s="2004"/>
      <c r="S91" s="2004"/>
      <c r="U91" s="2004"/>
      <c r="V91" s="2004"/>
      <c r="W91" s="2004"/>
      <c r="X91" s="2004"/>
      <c r="Y91" s="2004"/>
      <c r="Z91" s="2004"/>
      <c r="AA91" s="2004"/>
      <c r="AB91" s="2004"/>
      <c r="AD91" s="2004"/>
      <c r="AF91" s="2004"/>
      <c r="AG91" s="2004"/>
      <c r="AH91" s="2004"/>
    </row>
    <row r="92" spans="1:35" ht="62.85" hidden="1" customHeight="1">
      <c r="A92" s="1602"/>
      <c r="B92" s="2083" t="s">
        <v>8907</v>
      </c>
      <c r="C92" s="3657" t="s">
        <v>8908</v>
      </c>
      <c r="D92" s="3658"/>
      <c r="E92" s="3658"/>
      <c r="F92" s="3658"/>
      <c r="G92" s="3658"/>
      <c r="H92" s="3658"/>
      <c r="I92" s="3658"/>
      <c r="J92" s="3658"/>
      <c r="K92" s="3658"/>
      <c r="L92" s="3658"/>
      <c r="M92" s="3658"/>
      <c r="N92" s="3658"/>
      <c r="O92" s="3658"/>
      <c r="P92" s="3659"/>
      <c r="Q92" s="2004"/>
      <c r="R92" s="2004"/>
      <c r="S92" s="2004"/>
      <c r="U92" s="2004"/>
      <c r="V92" s="2004"/>
      <c r="W92" s="2004"/>
      <c r="X92" s="2004"/>
      <c r="Y92" s="2004"/>
      <c r="Z92" s="2004"/>
      <c r="AA92" s="2004"/>
      <c r="AB92" s="2004"/>
      <c r="AD92" s="2004"/>
      <c r="AF92" s="2004"/>
      <c r="AG92" s="2004"/>
      <c r="AH92" s="2004"/>
    </row>
    <row r="93" spans="1:35" hidden="1">
      <c r="A93" s="1602"/>
      <c r="B93" s="2083" t="s">
        <v>8909</v>
      </c>
      <c r="C93" s="3657" t="s">
        <v>8910</v>
      </c>
      <c r="D93" s="3658"/>
      <c r="E93" s="3658"/>
      <c r="F93" s="3658"/>
      <c r="G93" s="3658"/>
      <c r="H93" s="3658"/>
      <c r="I93" s="3658"/>
      <c r="J93" s="3658"/>
      <c r="K93" s="3658"/>
      <c r="L93" s="3658"/>
      <c r="M93" s="3658"/>
      <c r="N93" s="3658"/>
      <c r="O93" s="3658"/>
      <c r="P93" s="3659"/>
      <c r="Q93" s="2004"/>
      <c r="R93" s="2004"/>
      <c r="S93" s="2004"/>
      <c r="U93" s="2004"/>
      <c r="V93" s="2004"/>
      <c r="W93" s="2004"/>
      <c r="X93" s="2004"/>
      <c r="Y93" s="2004"/>
      <c r="Z93" s="2004"/>
      <c r="AA93" s="2004"/>
      <c r="AB93" s="2004"/>
      <c r="AD93" s="2004"/>
      <c r="AF93" s="2004"/>
      <c r="AG93" s="2004"/>
      <c r="AH93" s="2004"/>
    </row>
    <row r="94" spans="1:35" ht="62.85" hidden="1" customHeight="1" thickBot="1">
      <c r="A94" s="1602"/>
      <c r="B94" s="1360" t="s">
        <v>8911</v>
      </c>
      <c r="C94" s="3660" t="s">
        <v>8912</v>
      </c>
      <c r="D94" s="3661"/>
      <c r="E94" s="3661"/>
      <c r="F94" s="3661"/>
      <c r="G94" s="3661"/>
      <c r="H94" s="3661"/>
      <c r="I94" s="3661"/>
      <c r="J94" s="3661"/>
      <c r="K94" s="3661"/>
      <c r="L94" s="3661"/>
      <c r="M94" s="3661"/>
      <c r="N94" s="3661"/>
      <c r="O94" s="3661"/>
      <c r="P94" s="3662"/>
      <c r="Q94" s="2004"/>
      <c r="R94" s="2004"/>
      <c r="S94" s="2004"/>
      <c r="U94" s="2004"/>
      <c r="V94" s="2004"/>
      <c r="W94" s="2004"/>
      <c r="X94" s="2004"/>
      <c r="Y94" s="2004"/>
      <c r="Z94" s="2004"/>
      <c r="AA94" s="2004"/>
      <c r="AB94" s="2004"/>
      <c r="AD94" s="2004"/>
      <c r="AF94" s="2004"/>
      <c r="AG94" s="2004"/>
      <c r="AH94" s="2004"/>
    </row>
    <row r="95" spans="1:35" ht="15" hidden="1" thickBot="1">
      <c r="A95" s="1602"/>
      <c r="B95" s="2004"/>
      <c r="C95" s="2004"/>
      <c r="D95" s="2004"/>
      <c r="E95" s="2004"/>
      <c r="F95" s="2004"/>
      <c r="G95" s="2004"/>
      <c r="H95" s="2004"/>
      <c r="I95" s="2004"/>
      <c r="J95" s="2004"/>
      <c r="K95" s="2004"/>
      <c r="L95" s="2004"/>
      <c r="M95" s="2004"/>
      <c r="N95" s="2004"/>
      <c r="O95" s="2004"/>
      <c r="P95" s="2004"/>
      <c r="Q95" s="2004"/>
      <c r="R95" s="2004"/>
      <c r="S95" s="2004"/>
      <c r="U95" s="2004"/>
      <c r="V95" s="2004"/>
      <c r="W95" s="2004"/>
      <c r="X95" s="2004"/>
      <c r="Y95" s="2004"/>
      <c r="Z95" s="2004"/>
      <c r="AA95" s="2004"/>
      <c r="AB95" s="2004"/>
      <c r="AD95" s="2004"/>
      <c r="AF95" s="2004"/>
      <c r="AG95" s="2004"/>
      <c r="AH95" s="2004"/>
    </row>
    <row r="96" spans="1:35" ht="16.5" hidden="1" thickBot="1">
      <c r="A96" s="1602"/>
      <c r="B96" s="3375" t="str">
        <f>+B53</f>
        <v>Other expenditure - Wholesale wastewater</v>
      </c>
      <c r="C96" s="3513"/>
      <c r="D96" s="3513"/>
      <c r="E96" s="3513"/>
      <c r="F96" s="3513"/>
      <c r="G96" s="3513"/>
      <c r="H96" s="3513"/>
      <c r="I96" s="3513"/>
      <c r="J96" s="3513"/>
      <c r="K96" s="3513"/>
      <c r="L96" s="3513"/>
      <c r="M96" s="3513"/>
      <c r="N96" s="3513"/>
      <c r="O96" s="3513"/>
      <c r="P96" s="3514"/>
      <c r="Q96" s="2004"/>
      <c r="R96" s="2004"/>
      <c r="S96" s="2004"/>
      <c r="U96" s="2004"/>
      <c r="V96" s="2004"/>
      <c r="W96" s="2004"/>
      <c r="X96" s="2004"/>
      <c r="Y96" s="2004"/>
      <c r="Z96" s="2004"/>
      <c r="AA96" s="2004"/>
      <c r="AB96" s="2004"/>
      <c r="AD96" s="2004"/>
      <c r="AF96" s="2004"/>
      <c r="AG96" s="2004"/>
      <c r="AH96" s="2004"/>
    </row>
    <row r="97" spans="1:19" ht="15" hidden="1" thickBot="1">
      <c r="A97" s="1602"/>
      <c r="B97" s="564"/>
      <c r="C97" s="2004"/>
      <c r="D97" s="2004"/>
      <c r="E97" s="2004"/>
      <c r="F97" s="2004"/>
      <c r="G97" s="2004"/>
      <c r="H97" s="2004"/>
      <c r="I97" s="2004"/>
      <c r="J97" s="2004"/>
      <c r="K97" s="2004"/>
      <c r="L97" s="2004"/>
      <c r="M97" s="2004"/>
      <c r="N97" s="2004"/>
      <c r="O97" s="2004"/>
      <c r="P97" s="2004"/>
      <c r="Q97" s="2004"/>
      <c r="R97" s="2004"/>
      <c r="S97" s="2004"/>
    </row>
    <row r="98" spans="1:19" ht="15" hidden="1" thickBot="1">
      <c r="A98" s="1602"/>
      <c r="B98" s="1288" t="s">
        <v>193</v>
      </c>
      <c r="C98" s="3682" t="s">
        <v>194</v>
      </c>
      <c r="D98" s="3670"/>
      <c r="E98" s="3670"/>
      <c r="F98" s="3670"/>
      <c r="G98" s="3670"/>
      <c r="H98" s="3670"/>
      <c r="I98" s="3670"/>
      <c r="J98" s="3670"/>
      <c r="K98" s="3670"/>
      <c r="L98" s="3670"/>
      <c r="M98" s="3670"/>
      <c r="N98" s="3670"/>
      <c r="O98" s="3670"/>
      <c r="P98" s="3671"/>
      <c r="Q98" s="2004"/>
      <c r="R98" s="2004"/>
      <c r="S98" s="2004"/>
    </row>
    <row r="99" spans="1:19" ht="42" hidden="1" customHeight="1">
      <c r="A99" s="1602"/>
      <c r="B99" s="1361">
        <v>40</v>
      </c>
      <c r="C99" s="3683" t="s">
        <v>8913</v>
      </c>
      <c r="D99" s="3684"/>
      <c r="E99" s="3684"/>
      <c r="F99" s="3684"/>
      <c r="G99" s="3684"/>
      <c r="H99" s="3684"/>
      <c r="I99" s="3684"/>
      <c r="J99" s="3684"/>
      <c r="K99" s="3684"/>
      <c r="L99" s="3684"/>
      <c r="M99" s="3684"/>
      <c r="N99" s="3684"/>
      <c r="O99" s="3684"/>
      <c r="P99" s="3685"/>
      <c r="Q99" s="2004"/>
      <c r="R99" s="2004"/>
      <c r="S99" s="2004"/>
    </row>
    <row r="100" spans="1:19" ht="58.7" hidden="1" customHeight="1">
      <c r="A100" s="1602"/>
      <c r="B100" s="2083">
        <f t="shared" ref="B100:B107" si="37">+B99+1</f>
        <v>41</v>
      </c>
      <c r="C100" s="3657" t="s">
        <v>8914</v>
      </c>
      <c r="D100" s="3658"/>
      <c r="E100" s="3658"/>
      <c r="F100" s="3658"/>
      <c r="G100" s="3658"/>
      <c r="H100" s="3658"/>
      <c r="I100" s="3658"/>
      <c r="J100" s="3658"/>
      <c r="K100" s="3658"/>
      <c r="L100" s="3658"/>
      <c r="M100" s="3658"/>
      <c r="N100" s="3658"/>
      <c r="O100" s="3658"/>
      <c r="P100" s="3659"/>
      <c r="Q100" s="2004"/>
      <c r="R100" s="2004"/>
      <c r="S100" s="2004"/>
    </row>
    <row r="101" spans="1:19" ht="14.25" hidden="1" customHeight="1">
      <c r="A101" s="1602"/>
      <c r="B101" s="2083">
        <f t="shared" si="37"/>
        <v>42</v>
      </c>
      <c r="C101" s="3657" t="s">
        <v>8915</v>
      </c>
      <c r="D101" s="3658"/>
      <c r="E101" s="3658"/>
      <c r="F101" s="3658"/>
      <c r="G101" s="3658"/>
      <c r="H101" s="3658"/>
      <c r="I101" s="3658"/>
      <c r="J101" s="3658"/>
      <c r="K101" s="3658"/>
      <c r="L101" s="3658"/>
      <c r="M101" s="3658"/>
      <c r="N101" s="3658"/>
      <c r="O101" s="3658"/>
      <c r="P101" s="3659"/>
      <c r="Q101" s="2004"/>
      <c r="R101" s="2004"/>
      <c r="S101" s="2004"/>
    </row>
    <row r="102" spans="1:19" ht="14.25" hidden="1" customHeight="1">
      <c r="A102" s="1602"/>
      <c r="B102" s="2083">
        <f t="shared" si="37"/>
        <v>43</v>
      </c>
      <c r="C102" s="3657" t="s">
        <v>8916</v>
      </c>
      <c r="D102" s="3658"/>
      <c r="E102" s="3658"/>
      <c r="F102" s="3658"/>
      <c r="G102" s="3658"/>
      <c r="H102" s="3658"/>
      <c r="I102" s="3658"/>
      <c r="J102" s="3658"/>
      <c r="K102" s="3658"/>
      <c r="L102" s="3658"/>
      <c r="M102" s="3658"/>
      <c r="N102" s="3658"/>
      <c r="O102" s="3658"/>
      <c r="P102" s="3659"/>
      <c r="Q102" s="2004"/>
      <c r="R102" s="2004"/>
      <c r="S102" s="2004"/>
    </row>
    <row r="103" spans="1:19" ht="14.25" hidden="1" customHeight="1">
      <c r="A103" s="1602"/>
      <c r="B103" s="2083">
        <f t="shared" si="37"/>
        <v>44</v>
      </c>
      <c r="C103" s="3657" t="s">
        <v>8917</v>
      </c>
      <c r="D103" s="3658"/>
      <c r="E103" s="3658"/>
      <c r="F103" s="3658"/>
      <c r="G103" s="3658"/>
      <c r="H103" s="3658"/>
      <c r="I103" s="3658"/>
      <c r="J103" s="3658"/>
      <c r="K103" s="3658"/>
      <c r="L103" s="3658"/>
      <c r="M103" s="3658"/>
      <c r="N103" s="3658"/>
      <c r="O103" s="3658"/>
      <c r="P103" s="3659"/>
      <c r="Q103" s="2004"/>
      <c r="R103" s="2004"/>
      <c r="S103" s="2004"/>
    </row>
    <row r="104" spans="1:19" hidden="1">
      <c r="A104" s="1602"/>
      <c r="B104" s="2083">
        <f t="shared" si="37"/>
        <v>45</v>
      </c>
      <c r="C104" s="3686" t="s">
        <v>8918</v>
      </c>
      <c r="D104" s="3687"/>
      <c r="E104" s="3687"/>
      <c r="F104" s="3687"/>
      <c r="G104" s="3687"/>
      <c r="H104" s="3687"/>
      <c r="I104" s="3687"/>
      <c r="J104" s="3687"/>
      <c r="K104" s="3687"/>
      <c r="L104" s="3687"/>
      <c r="M104" s="3687"/>
      <c r="N104" s="3687"/>
      <c r="O104" s="3687"/>
      <c r="P104" s="3688"/>
      <c r="Q104" s="2004"/>
      <c r="R104" s="2004"/>
      <c r="S104" s="2004"/>
    </row>
    <row r="105" spans="1:19" ht="14.25" hidden="1" customHeight="1">
      <c r="A105" s="1602"/>
      <c r="B105" s="2083">
        <f t="shared" si="37"/>
        <v>46</v>
      </c>
      <c r="C105" s="3657" t="s">
        <v>8919</v>
      </c>
      <c r="D105" s="3658"/>
      <c r="E105" s="3658"/>
      <c r="F105" s="3658"/>
      <c r="G105" s="3658"/>
      <c r="H105" s="3658"/>
      <c r="I105" s="3658"/>
      <c r="J105" s="3658"/>
      <c r="K105" s="3658"/>
      <c r="L105" s="3658"/>
      <c r="M105" s="3658"/>
      <c r="N105" s="3658"/>
      <c r="O105" s="3658"/>
      <c r="P105" s="3659"/>
      <c r="Q105" s="2004"/>
      <c r="R105" s="2004"/>
      <c r="S105" s="2004"/>
    </row>
    <row r="106" spans="1:19" ht="14.25" hidden="1" customHeight="1">
      <c r="A106" s="1602"/>
      <c r="B106" s="2083">
        <f t="shared" si="37"/>
        <v>47</v>
      </c>
      <c r="C106" s="3657" t="s">
        <v>8920</v>
      </c>
      <c r="D106" s="3658"/>
      <c r="E106" s="3658"/>
      <c r="F106" s="3658"/>
      <c r="G106" s="3658"/>
      <c r="H106" s="3658"/>
      <c r="I106" s="3658"/>
      <c r="J106" s="3658"/>
      <c r="K106" s="3658"/>
      <c r="L106" s="3658"/>
      <c r="M106" s="3658"/>
      <c r="N106" s="3658"/>
      <c r="O106" s="3658"/>
      <c r="P106" s="3659"/>
      <c r="Q106" s="2004"/>
      <c r="R106" s="2004"/>
      <c r="S106" s="2004"/>
    </row>
    <row r="107" spans="1:19" ht="15" hidden="1" customHeight="1" thickBot="1">
      <c r="A107" s="1602"/>
      <c r="B107" s="1360">
        <f t="shared" si="37"/>
        <v>48</v>
      </c>
      <c r="C107" s="3660" t="s">
        <v>8921</v>
      </c>
      <c r="D107" s="3661"/>
      <c r="E107" s="3661"/>
      <c r="F107" s="3661"/>
      <c r="G107" s="3661"/>
      <c r="H107" s="3661"/>
      <c r="I107" s="3661"/>
      <c r="J107" s="3661"/>
      <c r="K107" s="3661"/>
      <c r="L107" s="3661"/>
      <c r="M107" s="3661"/>
      <c r="N107" s="3661"/>
      <c r="O107" s="3661"/>
      <c r="P107" s="3662"/>
      <c r="Q107" s="2004"/>
      <c r="R107" s="2004"/>
      <c r="S107" s="2004"/>
    </row>
  </sheetData>
  <sheetProtection algorithmName="SHA-512" hashValue="tWuVMPPZU+/QH7vE7fJ2x3N9LkCnTt042O9eDlnA3B2FIF9y1aqaIwoauAp6BDmZitZKq1prAt2quJLlY7NaNg==" saltValue="vNiDR78DmC0ZYYtXxXvATg==" spinCount="100000" sheet="1" objects="1" scenarios="1"/>
  <mergeCells count="26">
    <mergeCell ref="C92:P92"/>
    <mergeCell ref="C93:P93"/>
    <mergeCell ref="C94:P94"/>
    <mergeCell ref="C104:P104"/>
    <mergeCell ref="C105:P105"/>
    <mergeCell ref="C106:P106"/>
    <mergeCell ref="C107:P107"/>
    <mergeCell ref="B96:P96"/>
    <mergeCell ref="C98:P98"/>
    <mergeCell ref="C99:P99"/>
    <mergeCell ref="C100:P100"/>
    <mergeCell ref="C101:P101"/>
    <mergeCell ref="C102:P102"/>
    <mergeCell ref="C103:P103"/>
    <mergeCell ref="B70:C70"/>
    <mergeCell ref="C81:P81"/>
    <mergeCell ref="C82:P82"/>
    <mergeCell ref="C83:P83"/>
    <mergeCell ref="C91:P91"/>
    <mergeCell ref="C84:P84"/>
    <mergeCell ref="C85:P85"/>
    <mergeCell ref="C86:P86"/>
    <mergeCell ref="C87:P87"/>
    <mergeCell ref="C88:P88"/>
    <mergeCell ref="C89:P89"/>
    <mergeCell ref="C90:P90"/>
  </mergeCells>
  <conditionalFormatting sqref="R34 R32 R45:R48 R22:R30">
    <cfRule type="cellIs" dxfId="68" priority="43" operator="equal">
      <formula>0</formula>
    </cfRule>
  </conditionalFormatting>
  <conditionalFormatting sqref="R50 R38:R41">
    <cfRule type="cellIs" dxfId="67" priority="42" operator="equal">
      <formula>0</formula>
    </cfRule>
  </conditionalFormatting>
  <conditionalFormatting sqref="R58:R59">
    <cfRule type="cellIs" dxfId="66" priority="41" operator="equal">
      <formula>0</formula>
    </cfRule>
  </conditionalFormatting>
  <conditionalFormatting sqref="R60:R62">
    <cfRule type="cellIs" dxfId="65" priority="40" operator="equal">
      <formula>0</formula>
    </cfRule>
  </conditionalFormatting>
  <conditionalFormatting sqref="R66:R67">
    <cfRule type="cellIs" dxfId="64" priority="39" operator="equal">
      <formula>0</formula>
    </cfRule>
  </conditionalFormatting>
  <conditionalFormatting sqref="R68">
    <cfRule type="cellIs" dxfId="63" priority="35" operator="equal">
      <formula>0</formula>
    </cfRule>
  </conditionalFormatting>
  <conditionalFormatting sqref="R40:R42">
    <cfRule type="cellIs" dxfId="62" priority="24" operator="equal">
      <formula>0</formula>
    </cfRule>
  </conditionalFormatting>
  <conditionalFormatting sqref="R6:R9 R11:R14 R16 R18">
    <cfRule type="cellIs" dxfId="61" priority="18" operator="equal">
      <formula>0</formula>
    </cfRule>
  </conditionalFormatting>
  <conditionalFormatting sqref="R17">
    <cfRule type="cellIs" dxfId="60" priority="5" operator="equal">
      <formula>0</formula>
    </cfRule>
  </conditionalFormatting>
  <conditionalFormatting sqref="R33">
    <cfRule type="cellIs" dxfId="59" priority="4" operator="equal">
      <formula>0</formula>
    </cfRule>
  </conditionalFormatting>
  <conditionalFormatting sqref="R49">
    <cfRule type="cellIs" dxfId="58" priority="3" operator="equal">
      <formula>0</formula>
    </cfRule>
  </conditionalFormatting>
  <conditionalFormatting sqref="R43:R44">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AP29:AX30 AP32:AX32 G32:P32 G33:N33 G35:N35 G45:L46 AP45:AT51 K38:L39 L39:L51 P45:P51 P38:P39 AV45:AX51 G22:P30</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003479"/>
    <pageSetUpPr fitToPage="1"/>
  </sheetPr>
  <dimension ref="A2:L35"/>
  <sheetViews>
    <sheetView topLeftCell="A1048576" workbookViewId="0"/>
  </sheetViews>
  <sheetFormatPr defaultColWidth="0" defaultRowHeight="14.25" customHeight="1" zeroHeight="1"/>
  <cols>
    <col min="1" max="1" width="0.5" style="479" customWidth="1"/>
    <col min="2" max="8" width="8.5" style="479" hidden="1" customWidth="1"/>
    <col min="9" max="16384" width="8.5" style="479" hidden="1"/>
  </cols>
  <sheetData>
    <row r="2" spans="12:12" ht="51.75" hidden="1" customHeight="1"/>
    <row r="6" spans="12:12" ht="14.25" hidden="1" customHeight="1">
      <c r="L6" s="479">
        <f>IF(Validation!$H$3=1,0,IF(ISNUMBER(#REF!),0,1))</f>
        <v>1</v>
      </c>
    </row>
    <row r="35" spans="8:8" ht="14.25" hidden="1" customHeight="1">
      <c r="H35" s="479" t="s">
        <v>32</v>
      </c>
    </row>
  </sheetData>
  <sheetProtection algorithmName="SHA-512" hashValue="CcYTz85iIBMSDG36SI1qP2TwDnVIfA+c8SVRY6TrdRtouo4UCG6GH/dk7CBXqB43aaNgkoQbcx+OWtB+zoySiQ==" saltValue="mi905sBsMOuwVT/tk6xn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4">
    <tabColor rgb="FFFFC000"/>
    <pageSetUpPr fitToPage="1"/>
  </sheetPr>
  <dimension ref="A1:M76"/>
  <sheetViews>
    <sheetView topLeftCell="A21" workbookViewId="0">
      <selection activeCell="G31" sqref="G31"/>
    </sheetView>
  </sheetViews>
  <sheetFormatPr defaultColWidth="0" defaultRowHeight="14.25" zeroHeight="1"/>
  <cols>
    <col min="1" max="1" width="0.5" customWidth="1"/>
    <col min="2" max="2" width="4.125" customWidth="1"/>
    <col min="3" max="3" width="79.125" customWidth="1"/>
    <col min="4" max="4" width="9.125" customWidth="1"/>
    <col min="5" max="5" width="6.125" customWidth="1"/>
    <col min="6" max="6" width="11.125" customWidth="1"/>
    <col min="7" max="7" width="10.5" customWidth="1"/>
    <col min="8" max="8" width="3.5" customWidth="1"/>
    <col min="9" max="9" width="22.5" customWidth="1"/>
    <col min="10" max="10" width="1" customWidth="1"/>
    <col min="11" max="11" width="1.125" hidden="1" customWidth="1"/>
    <col min="12" max="12" width="18.5" hidden="1" customWidth="1"/>
    <col min="13" max="13" width="0.5" hidden="1" customWidth="1"/>
    <col min="14" max="16384" width="8.5" hidden="1"/>
  </cols>
  <sheetData>
    <row r="1" spans="1:13" ht="20.25">
      <c r="A1" s="74" t="s">
        <v>177</v>
      </c>
      <c r="B1" s="1387" t="s">
        <v>8922</v>
      </c>
      <c r="C1" s="2050"/>
      <c r="D1" s="1387"/>
      <c r="E1" s="1387"/>
      <c r="F1" s="1387" t="str">
        <f>Validation!B3</f>
        <v>Yorkshire Water</v>
      </c>
      <c r="G1" s="1387"/>
      <c r="H1" s="1387"/>
      <c r="I1" s="69" t="s">
        <v>34</v>
      </c>
      <c r="J1" s="70"/>
      <c r="K1" s="71"/>
      <c r="L1" s="70"/>
      <c r="M1" s="71"/>
    </row>
    <row r="2" spans="1:13" ht="15" thickBot="1">
      <c r="A2" s="74"/>
      <c r="B2" s="73" t="s">
        <v>20</v>
      </c>
      <c r="C2" s="74"/>
      <c r="D2" s="74"/>
      <c r="E2" s="74"/>
      <c r="F2" s="74"/>
      <c r="G2" s="74"/>
      <c r="H2" s="70"/>
      <c r="I2" s="70"/>
      <c r="J2" s="70"/>
      <c r="K2" s="71"/>
      <c r="L2" s="70"/>
      <c r="M2" s="71"/>
    </row>
    <row r="3" spans="1:13" ht="15" thickBot="1">
      <c r="A3" s="74"/>
      <c r="B3" s="1388" t="s">
        <v>193</v>
      </c>
      <c r="C3" s="997" t="s">
        <v>4916</v>
      </c>
      <c r="D3" s="998" t="s">
        <v>3098</v>
      </c>
      <c r="E3" s="1389" t="s">
        <v>38</v>
      </c>
      <c r="F3" s="1553" t="s">
        <v>39</v>
      </c>
      <c r="G3" s="3035" t="s">
        <v>158</v>
      </c>
      <c r="H3" s="70"/>
      <c r="I3" s="1408" t="s">
        <v>43</v>
      </c>
      <c r="J3" s="70"/>
      <c r="K3" s="71"/>
      <c r="L3" s="1559" t="s">
        <v>47</v>
      </c>
      <c r="M3" s="71"/>
    </row>
    <row r="4" spans="1:13" ht="15.75" thickBot="1">
      <c r="A4" s="74"/>
      <c r="B4" s="538"/>
      <c r="C4" s="2004"/>
      <c r="D4" s="1390"/>
      <c r="E4" s="1390"/>
      <c r="F4" s="1390"/>
      <c r="G4" s="2004"/>
      <c r="H4" s="70"/>
      <c r="I4" s="70"/>
      <c r="J4" s="70"/>
      <c r="K4" s="71"/>
      <c r="L4" s="85" t="s">
        <v>48</v>
      </c>
      <c r="M4" s="71"/>
    </row>
    <row r="5" spans="1:13" ht="15" thickBot="1">
      <c r="A5" s="74"/>
      <c r="B5" s="1391" t="s">
        <v>155</v>
      </c>
      <c r="C5" s="1392" t="s">
        <v>8923</v>
      </c>
      <c r="D5" s="538"/>
      <c r="E5" s="538"/>
      <c r="F5" s="538"/>
      <c r="G5" s="2004"/>
      <c r="H5" s="70"/>
      <c r="I5" s="70"/>
      <c r="J5" s="70"/>
      <c r="K5" s="71"/>
      <c r="L5" s="70"/>
      <c r="M5" s="71"/>
    </row>
    <row r="6" spans="1:13" ht="15">
      <c r="A6" s="74"/>
      <c r="B6" s="1393" t="s">
        <v>7928</v>
      </c>
      <c r="C6" s="1394" t="s">
        <v>8924</v>
      </c>
      <c r="D6" s="2275" t="s">
        <v>8925</v>
      </c>
      <c r="E6" s="1395" t="s">
        <v>766</v>
      </c>
      <c r="F6" s="1396">
        <v>0</v>
      </c>
      <c r="G6" s="1544">
        <v>16</v>
      </c>
      <c r="H6" s="70"/>
      <c r="I6" s="24">
        <f xml:space="preserve"> IF( SUM( K6:M6 ) = 0, 0, $L$4 )</f>
        <v>0</v>
      </c>
      <c r="J6" s="1190"/>
      <c r="K6" s="71"/>
      <c r="L6" s="93">
        <f>IF(Validation!$H$3=1,0,IF(ISNUMBER(G6),0,1))</f>
        <v>0</v>
      </c>
      <c r="M6" s="71"/>
    </row>
    <row r="7" spans="1:13" ht="15">
      <c r="A7" s="74"/>
      <c r="B7" s="1397" t="s">
        <v>7929</v>
      </c>
      <c r="C7" s="1398" t="s">
        <v>8926</v>
      </c>
      <c r="D7" s="2276" t="s">
        <v>8927</v>
      </c>
      <c r="E7" s="1529" t="s">
        <v>1655</v>
      </c>
      <c r="F7" s="1400">
        <v>3</v>
      </c>
      <c r="G7" s="615">
        <v>14801.299000000001</v>
      </c>
      <c r="H7" s="70"/>
      <c r="I7" s="24">
        <f t="shared" ref="I7:I11" si="0" xml:space="preserve"> IF( SUM( K7:M7 ) = 0, 0, $L$4 )</f>
        <v>0</v>
      </c>
      <c r="J7" s="1190"/>
      <c r="K7" s="71"/>
      <c r="L7" s="93">
        <f>IF(Validation!$H$3=1,0,IF(ISNUMBER(G7),0,1))</f>
        <v>0</v>
      </c>
      <c r="M7" s="71"/>
    </row>
    <row r="8" spans="1:13" ht="15">
      <c r="A8" s="74"/>
      <c r="B8" s="1397" t="s">
        <v>8928</v>
      </c>
      <c r="C8" s="1398" t="s">
        <v>8929</v>
      </c>
      <c r="D8" s="2276" t="s">
        <v>8930</v>
      </c>
      <c r="E8" s="1399" t="s">
        <v>766</v>
      </c>
      <c r="F8" s="1400">
        <v>0</v>
      </c>
      <c r="G8" s="1545">
        <v>14</v>
      </c>
      <c r="H8" s="70"/>
      <c r="I8" s="24">
        <f t="shared" si="0"/>
        <v>0</v>
      </c>
      <c r="J8" s="1190"/>
      <c r="K8" s="71"/>
      <c r="L8" s="93">
        <f>IF(Validation!$H$3=1,0,IF(ISNUMBER(G8),0,1))</f>
        <v>0</v>
      </c>
      <c r="M8" s="71"/>
    </row>
    <row r="9" spans="1:13" ht="15">
      <c r="A9" s="74"/>
      <c r="B9" s="1397" t="s">
        <v>8931</v>
      </c>
      <c r="C9" s="1398" t="s">
        <v>8932</v>
      </c>
      <c r="D9" s="2276" t="s">
        <v>8933</v>
      </c>
      <c r="E9" s="1399" t="s">
        <v>766</v>
      </c>
      <c r="F9" s="1400">
        <v>0</v>
      </c>
      <c r="G9" s="1545">
        <v>14</v>
      </c>
      <c r="H9" s="70"/>
      <c r="I9" s="24">
        <f t="shared" si="0"/>
        <v>0</v>
      </c>
      <c r="J9" s="1190"/>
      <c r="K9" s="71"/>
      <c r="L9" s="93">
        <f>IF(Validation!$H$3=1,0,IF(ISNUMBER(G9),0,1))</f>
        <v>0</v>
      </c>
      <c r="M9" s="71"/>
    </row>
    <row r="10" spans="1:13" ht="15">
      <c r="A10" s="74"/>
      <c r="B10" s="1397" t="s">
        <v>8934</v>
      </c>
      <c r="C10" s="1398" t="s">
        <v>8935</v>
      </c>
      <c r="D10" s="2276" t="s">
        <v>8936</v>
      </c>
      <c r="E10" s="1399" t="s">
        <v>766</v>
      </c>
      <c r="F10" s="1400">
        <v>0</v>
      </c>
      <c r="G10" s="1546">
        <v>13</v>
      </c>
      <c r="H10" s="70"/>
      <c r="I10" s="24">
        <f t="shared" si="0"/>
        <v>0</v>
      </c>
      <c r="J10" s="1190"/>
      <c r="K10" s="71"/>
      <c r="L10" s="93">
        <f>IF(Validation!$H$3=1,0,IF(ISNUMBER(G10),0,1))</f>
        <v>0</v>
      </c>
      <c r="M10" s="71"/>
    </row>
    <row r="11" spans="1:13" ht="15.75" thickBot="1">
      <c r="A11" s="74"/>
      <c r="B11" s="1401" t="s">
        <v>8937</v>
      </c>
      <c r="C11" s="1402" t="s">
        <v>8938</v>
      </c>
      <c r="D11" s="2277" t="s">
        <v>8939</v>
      </c>
      <c r="E11" s="1403" t="s">
        <v>766</v>
      </c>
      <c r="F11" s="1404">
        <v>0</v>
      </c>
      <c r="G11" s="1547">
        <v>1</v>
      </c>
      <c r="H11" s="70"/>
      <c r="I11" s="24">
        <f t="shared" si="0"/>
        <v>0</v>
      </c>
      <c r="J11" s="1190"/>
      <c r="K11" s="71"/>
      <c r="L11" s="93">
        <f>IF(Validation!$H$3=1,0,IF(ISNUMBER(G11),0,1))</f>
        <v>0</v>
      </c>
      <c r="M11" s="71"/>
    </row>
    <row r="12" spans="1:13" ht="15" thickBot="1">
      <c r="A12" s="74"/>
      <c r="B12" s="538"/>
      <c r="C12" s="2004"/>
      <c r="D12" s="2278"/>
      <c r="E12" s="538"/>
      <c r="F12" s="538"/>
      <c r="G12" s="2004"/>
      <c r="H12" s="70"/>
      <c r="I12" s="70"/>
      <c r="J12" s="70"/>
      <c r="K12" s="71"/>
      <c r="L12" s="70"/>
      <c r="M12" s="71"/>
    </row>
    <row r="13" spans="1:13" ht="15" thickBot="1">
      <c r="A13" s="74"/>
      <c r="B13" s="1391" t="s">
        <v>177</v>
      </c>
      <c r="C13" s="1392" t="s">
        <v>8940</v>
      </c>
      <c r="D13" s="2278"/>
      <c r="E13" s="538"/>
      <c r="F13" s="538"/>
      <c r="G13" s="2004"/>
      <c r="H13" s="70"/>
      <c r="I13" s="70"/>
      <c r="J13" s="70"/>
      <c r="K13" s="71"/>
      <c r="L13" s="70"/>
      <c r="M13" s="71"/>
    </row>
    <row r="14" spans="1:13" ht="15">
      <c r="A14" s="74"/>
      <c r="B14" s="1393" t="s">
        <v>7930</v>
      </c>
      <c r="C14" s="1394" t="s">
        <v>8941</v>
      </c>
      <c r="D14" s="2275" t="s">
        <v>8942</v>
      </c>
      <c r="E14" s="1395" t="s">
        <v>766</v>
      </c>
      <c r="F14" s="1396">
        <v>0</v>
      </c>
      <c r="G14" s="1544">
        <v>1</v>
      </c>
      <c r="H14" s="70"/>
      <c r="I14" s="24">
        <f t="shared" ref="I14:I16" si="1" xml:space="preserve"> IF( SUM( K14:M14 ) = 0, 0, $L$4 )</f>
        <v>0</v>
      </c>
      <c r="J14" s="1190"/>
      <c r="K14" s="71"/>
      <c r="L14" s="93">
        <f>IF(Validation!$H$3=1,0,IF(ISNUMBER(G14),0,1))</f>
        <v>0</v>
      </c>
      <c r="M14" s="71"/>
    </row>
    <row r="15" spans="1:13" ht="15">
      <c r="A15" s="74"/>
      <c r="B15" s="1397" t="s">
        <v>7931</v>
      </c>
      <c r="C15" s="1398" t="s">
        <v>8943</v>
      </c>
      <c r="D15" s="2276" t="s">
        <v>8944</v>
      </c>
      <c r="E15" s="1399" t="s">
        <v>766</v>
      </c>
      <c r="F15" s="1400">
        <v>0</v>
      </c>
      <c r="G15" s="1545">
        <v>3</v>
      </c>
      <c r="H15" s="70"/>
      <c r="I15" s="24">
        <f t="shared" si="1"/>
        <v>0</v>
      </c>
      <c r="J15" s="1190"/>
      <c r="K15" s="71"/>
      <c r="L15" s="93">
        <f>IF(Validation!$H$3=1,0,IF(ISNUMBER(G15),0,1))</f>
        <v>0</v>
      </c>
      <c r="M15" s="71"/>
    </row>
    <row r="16" spans="1:13" ht="15.75" thickBot="1">
      <c r="A16" s="74"/>
      <c r="B16" s="1401" t="s">
        <v>3020</v>
      </c>
      <c r="C16" s="1402" t="s">
        <v>8945</v>
      </c>
      <c r="D16" s="2277" t="s">
        <v>8946</v>
      </c>
      <c r="E16" s="1403" t="s">
        <v>766</v>
      </c>
      <c r="F16" s="1404">
        <v>0</v>
      </c>
      <c r="G16" s="1547">
        <v>1</v>
      </c>
      <c r="H16" s="70"/>
      <c r="I16" s="24">
        <f t="shared" si="1"/>
        <v>0</v>
      </c>
      <c r="J16" s="1190"/>
      <c r="K16" s="71"/>
      <c r="L16" s="93">
        <f>IF(Validation!$H$3=1,0,IF(ISNUMBER(G16),0,1))</f>
        <v>0</v>
      </c>
      <c r="M16" s="71"/>
    </row>
    <row r="17" spans="1:13" ht="15" thickBot="1">
      <c r="A17" s="74"/>
      <c r="B17" s="538"/>
      <c r="C17" s="2004"/>
      <c r="D17" s="2278"/>
      <c r="E17" s="538"/>
      <c r="F17" s="538"/>
      <c r="G17" s="2004"/>
      <c r="H17" s="70"/>
      <c r="I17" s="70"/>
      <c r="J17" s="70"/>
      <c r="K17" s="71"/>
      <c r="L17" s="70"/>
      <c r="M17" s="71"/>
    </row>
    <row r="18" spans="1:13" ht="15" thickBot="1">
      <c r="A18" s="74"/>
      <c r="B18" s="1391" t="s">
        <v>335</v>
      </c>
      <c r="C18" s="1392" t="s">
        <v>8947</v>
      </c>
      <c r="D18" s="2278"/>
      <c r="E18" s="538"/>
      <c r="F18" s="538"/>
      <c r="G18" s="2004"/>
      <c r="H18" s="70"/>
      <c r="I18" s="70"/>
      <c r="J18" s="70"/>
      <c r="K18" s="71"/>
      <c r="L18" s="70"/>
      <c r="M18" s="71"/>
    </row>
    <row r="19" spans="1:13" ht="15">
      <c r="A19" s="74"/>
      <c r="B19" s="1393" t="s">
        <v>8948</v>
      </c>
      <c r="C19" s="1405" t="s">
        <v>8949</v>
      </c>
      <c r="D19" s="2275" t="s">
        <v>8950</v>
      </c>
      <c r="E19" s="1395" t="s">
        <v>766</v>
      </c>
      <c r="F19" s="1396">
        <v>0</v>
      </c>
      <c r="G19" s="1544">
        <v>0</v>
      </c>
      <c r="H19" s="70"/>
      <c r="I19" s="24">
        <f t="shared" ref="I19:I20" si="2" xml:space="preserve"> IF( SUM( K19:M19 ) = 0, 0, $L$4 )</f>
        <v>0</v>
      </c>
      <c r="J19" s="1190"/>
      <c r="K19" s="71"/>
      <c r="L19" s="93">
        <f>IF(Validation!$H$3=1,0,IF(ISNUMBER(G19),0,1))</f>
        <v>0</v>
      </c>
      <c r="M19" s="71"/>
    </row>
    <row r="20" spans="1:13" ht="15.75" thickBot="1">
      <c r="A20" s="74"/>
      <c r="B20" s="1401" t="s">
        <v>8951</v>
      </c>
      <c r="C20" s="1402" t="s">
        <v>8952</v>
      </c>
      <c r="D20" s="2277" t="s">
        <v>8953</v>
      </c>
      <c r="E20" s="1403" t="s">
        <v>766</v>
      </c>
      <c r="F20" s="1404">
        <v>0</v>
      </c>
      <c r="G20" s="1547">
        <v>0</v>
      </c>
      <c r="H20" s="70"/>
      <c r="I20" s="24">
        <f t="shared" si="2"/>
        <v>0</v>
      </c>
      <c r="J20" s="1190"/>
      <c r="K20" s="71"/>
      <c r="L20" s="93">
        <f>IF(Validation!$H$3=1,0,IF(ISNUMBER(G20),0,1))</f>
        <v>0</v>
      </c>
      <c r="M20" s="71"/>
    </row>
    <row r="21" spans="1:13" ht="15" thickBot="1">
      <c r="A21" s="74"/>
      <c r="B21" s="538"/>
      <c r="C21" s="2004"/>
      <c r="D21" s="2278"/>
      <c r="E21" s="538"/>
      <c r="F21" s="538"/>
      <c r="G21" s="2004"/>
      <c r="H21" s="70"/>
      <c r="I21" s="70"/>
      <c r="J21" s="70"/>
      <c r="K21" s="71"/>
      <c r="L21" s="70"/>
      <c r="M21" s="71"/>
    </row>
    <row r="22" spans="1:13" ht="15" thickBot="1">
      <c r="A22" s="74"/>
      <c r="B22" s="1391" t="s">
        <v>392</v>
      </c>
      <c r="C22" s="1392" t="s">
        <v>8954</v>
      </c>
      <c r="D22" s="2278"/>
      <c r="E22" s="538"/>
      <c r="F22" s="538"/>
      <c r="G22" s="2004"/>
      <c r="H22" s="70"/>
      <c r="I22" s="70"/>
      <c r="J22" s="70"/>
      <c r="K22" s="71"/>
      <c r="L22" s="70"/>
      <c r="M22" s="71"/>
    </row>
    <row r="23" spans="1:13" ht="15">
      <c r="A23" s="74"/>
      <c r="B23" s="1393" t="s">
        <v>8955</v>
      </c>
      <c r="C23" s="1394" t="s">
        <v>8956</v>
      </c>
      <c r="D23" s="2275" t="s">
        <v>8957</v>
      </c>
      <c r="E23" s="1395" t="s">
        <v>7815</v>
      </c>
      <c r="F23" s="1396">
        <v>2</v>
      </c>
      <c r="G23" s="1548">
        <v>148.74</v>
      </c>
      <c r="H23" s="70"/>
      <c r="I23" s="24">
        <f t="shared" ref="I23:I27" si="3" xml:space="preserve"> IF( SUM( K23:M23 ) = 0, 0, $L$4 )</f>
        <v>0</v>
      </c>
      <c r="J23" s="1190"/>
      <c r="K23" s="71"/>
      <c r="L23" s="93">
        <f>IF(Validation!$H$3=1,0,IF(ISNUMBER(G23),0,1))</f>
        <v>0</v>
      </c>
      <c r="M23" s="71"/>
    </row>
    <row r="24" spans="1:13" ht="15">
      <c r="A24" s="74"/>
      <c r="B24" s="1397" t="s">
        <v>8958</v>
      </c>
      <c r="C24" s="1398" t="s">
        <v>8959</v>
      </c>
      <c r="D24" s="2276" t="s">
        <v>8960</v>
      </c>
      <c r="E24" s="1399" t="s">
        <v>7815</v>
      </c>
      <c r="F24" s="1400">
        <v>2</v>
      </c>
      <c r="G24" s="1549">
        <v>146.69999999999999</v>
      </c>
      <c r="H24" s="70"/>
      <c r="I24" s="24">
        <f t="shared" si="3"/>
        <v>0</v>
      </c>
      <c r="J24" s="1190"/>
      <c r="K24" s="71"/>
      <c r="L24" s="93">
        <f>IF(Validation!$H$3=1,0,IF(ISNUMBER(G24),0,1))</f>
        <v>0</v>
      </c>
      <c r="M24" s="71"/>
    </row>
    <row r="25" spans="1:13" ht="15">
      <c r="A25" s="74"/>
      <c r="B25" s="1397" t="s">
        <v>8961</v>
      </c>
      <c r="C25" s="1398" t="s">
        <v>8962</v>
      </c>
      <c r="D25" s="2276" t="s">
        <v>8963</v>
      </c>
      <c r="E25" s="1399" t="s">
        <v>7815</v>
      </c>
      <c r="F25" s="1400">
        <v>2</v>
      </c>
      <c r="G25" s="1549">
        <v>2.04</v>
      </c>
      <c r="H25" s="70"/>
      <c r="I25" s="24">
        <f t="shared" si="3"/>
        <v>0</v>
      </c>
      <c r="J25" s="1190"/>
      <c r="K25" s="71"/>
      <c r="L25" s="93">
        <f>IF(Validation!$H$3=1,0,IF(ISNUMBER(G25),0,1))</f>
        <v>0</v>
      </c>
      <c r="M25" s="71"/>
    </row>
    <row r="26" spans="1:13" ht="15">
      <c r="A26" s="74"/>
      <c r="B26" s="1397" t="s">
        <v>8964</v>
      </c>
      <c r="C26" s="1406" t="s">
        <v>8965</v>
      </c>
      <c r="D26" s="2276" t="s">
        <v>8966</v>
      </c>
      <c r="E26" s="1399" t="s">
        <v>766</v>
      </c>
      <c r="F26" s="1407">
        <v>0</v>
      </c>
      <c r="G26" s="1546">
        <v>2</v>
      </c>
      <c r="H26" s="70"/>
      <c r="I26" s="24">
        <f t="shared" si="3"/>
        <v>0</v>
      </c>
      <c r="J26" s="1190"/>
      <c r="K26" s="71"/>
      <c r="L26" s="93">
        <f>IF(Validation!$H$3=1,0,IF(ISNUMBER(G26),0,1))</f>
        <v>0</v>
      </c>
      <c r="M26" s="71"/>
    </row>
    <row r="27" spans="1:13" ht="15.75" thickBot="1">
      <c r="A27" s="74"/>
      <c r="B27" s="1401" t="s">
        <v>8967</v>
      </c>
      <c r="C27" s="1402" t="s">
        <v>8968</v>
      </c>
      <c r="D27" s="2279" t="s">
        <v>8969</v>
      </c>
      <c r="E27" s="1403" t="s">
        <v>766</v>
      </c>
      <c r="F27" s="1404">
        <v>0</v>
      </c>
      <c r="G27" s="1547">
        <v>2</v>
      </c>
      <c r="H27" s="70"/>
      <c r="I27" s="24">
        <f t="shared" si="3"/>
        <v>0</v>
      </c>
      <c r="J27" s="1190"/>
      <c r="K27" s="71"/>
      <c r="L27" s="93">
        <f>IF(Validation!$H$3=1,0,IF(ISNUMBER(G27),0,1))</f>
        <v>0</v>
      </c>
      <c r="M27" s="71"/>
    </row>
    <row r="28" spans="1:13" ht="15" thickBot="1">
      <c r="A28" s="74"/>
      <c r="B28" s="538"/>
      <c r="C28" s="2004"/>
      <c r="D28" s="2278"/>
      <c r="E28" s="538"/>
      <c r="F28" s="538"/>
      <c r="G28" s="2004"/>
      <c r="H28" s="70"/>
      <c r="I28" s="70"/>
      <c r="J28" s="70"/>
      <c r="K28" s="71"/>
      <c r="L28" s="70"/>
      <c r="M28" s="71"/>
    </row>
    <row r="29" spans="1:13" ht="15" thickBot="1">
      <c r="A29" s="74"/>
      <c r="B29" s="1391" t="s">
        <v>466</v>
      </c>
      <c r="C29" s="1392" t="s">
        <v>8970</v>
      </c>
      <c r="D29" s="2278"/>
      <c r="E29" s="538"/>
      <c r="F29" s="538"/>
      <c r="G29" s="2004"/>
      <c r="H29" s="70"/>
      <c r="I29" s="70"/>
      <c r="J29" s="70"/>
      <c r="K29" s="71"/>
      <c r="L29" s="70"/>
      <c r="M29" s="71"/>
    </row>
    <row r="30" spans="1:13" ht="15">
      <c r="A30" s="74"/>
      <c r="B30" s="1393" t="s">
        <v>8971</v>
      </c>
      <c r="C30" s="1394" t="s">
        <v>8972</v>
      </c>
      <c r="D30" s="2275" t="s">
        <v>8973</v>
      </c>
      <c r="E30" s="1395" t="s">
        <v>7815</v>
      </c>
      <c r="F30" s="1396">
        <v>2</v>
      </c>
      <c r="G30" s="1548">
        <v>136.36000000000001</v>
      </c>
      <c r="H30" s="70"/>
      <c r="I30" s="24">
        <f t="shared" ref="I30:I34" si="4" xml:space="preserve"> IF( SUM( K30:M30 ) = 0, 0, $L$4 )</f>
        <v>0</v>
      </c>
      <c r="J30" s="1190"/>
      <c r="K30" s="71"/>
      <c r="L30" s="93">
        <f>IF(Validation!$H$3=1,0,IF(ISNUMBER(G30),0,1))</f>
        <v>0</v>
      </c>
      <c r="M30" s="71"/>
    </row>
    <row r="31" spans="1:13" ht="15">
      <c r="A31" s="74"/>
      <c r="B31" s="1397" t="s">
        <v>8974</v>
      </c>
      <c r="C31" s="1398" t="s">
        <v>8975</v>
      </c>
      <c r="D31" s="2276" t="s">
        <v>8976</v>
      </c>
      <c r="E31" s="1399" t="s">
        <v>7815</v>
      </c>
      <c r="F31" s="1400">
        <v>2</v>
      </c>
      <c r="G31" s="1549">
        <v>22.05</v>
      </c>
      <c r="H31" s="70"/>
      <c r="I31" s="24">
        <f t="shared" si="4"/>
        <v>0</v>
      </c>
      <c r="J31" s="1190"/>
      <c r="K31" s="71"/>
      <c r="L31" s="93">
        <f>IF(Validation!$H$3=1,0,IF(ISNUMBER(G31),0,1))</f>
        <v>0</v>
      </c>
      <c r="M31" s="71"/>
    </row>
    <row r="32" spans="1:13" ht="15">
      <c r="A32" s="74"/>
      <c r="B32" s="1397" t="s">
        <v>8977</v>
      </c>
      <c r="C32" s="1398" t="s">
        <v>8978</v>
      </c>
      <c r="D32" s="2276" t="s">
        <v>8979</v>
      </c>
      <c r="E32" s="1399" t="s">
        <v>7815</v>
      </c>
      <c r="F32" s="1400">
        <v>2</v>
      </c>
      <c r="G32" s="1549">
        <v>114.31</v>
      </c>
      <c r="H32" s="70"/>
      <c r="I32" s="24">
        <f t="shared" si="4"/>
        <v>0</v>
      </c>
      <c r="J32" s="1190"/>
      <c r="K32" s="71"/>
      <c r="L32" s="93">
        <f>IF(Validation!$H$3=1,0,IF(ISNUMBER(G32),0,1))</f>
        <v>0</v>
      </c>
      <c r="M32" s="71"/>
    </row>
    <row r="33" spans="1:13" ht="15">
      <c r="A33" s="74"/>
      <c r="B33" s="1397" t="s">
        <v>8980</v>
      </c>
      <c r="C33" s="1406" t="s">
        <v>8981</v>
      </c>
      <c r="D33" s="2276" t="s">
        <v>8982</v>
      </c>
      <c r="E33" s="1504" t="s">
        <v>766</v>
      </c>
      <c r="F33" s="1407">
        <v>0</v>
      </c>
      <c r="G33" s="1546">
        <v>14</v>
      </c>
      <c r="H33" s="70"/>
      <c r="I33" s="24">
        <f t="shared" si="4"/>
        <v>0</v>
      </c>
      <c r="J33" s="1190"/>
      <c r="K33" s="71"/>
      <c r="L33" s="93">
        <f>IF(Validation!$H$3=1,0,IF(ISNUMBER(G33),0,1))</f>
        <v>0</v>
      </c>
      <c r="M33" s="71"/>
    </row>
    <row r="34" spans="1:13" ht="15.75" thickBot="1">
      <c r="A34" s="74"/>
      <c r="B34" s="1401" t="s">
        <v>8983</v>
      </c>
      <c r="C34" s="1402" t="s">
        <v>8984</v>
      </c>
      <c r="D34" s="2277" t="s">
        <v>8985</v>
      </c>
      <c r="E34" s="1403" t="s">
        <v>766</v>
      </c>
      <c r="F34" s="1404">
        <v>0</v>
      </c>
      <c r="G34" s="1547">
        <v>12</v>
      </c>
      <c r="H34" s="70"/>
      <c r="I34" s="24">
        <f t="shared" si="4"/>
        <v>0</v>
      </c>
      <c r="J34" s="1190"/>
      <c r="K34" s="71"/>
      <c r="L34" s="93">
        <f>IF(Validation!$H$3=1,0,IF(ISNUMBER(G34),0,1))</f>
        <v>0</v>
      </c>
      <c r="M34" s="71"/>
    </row>
    <row r="35" spans="1:13" ht="15" thickBot="1">
      <c r="A35" s="74"/>
      <c r="B35" s="538"/>
      <c r="C35" s="2004"/>
      <c r="D35" s="2278"/>
      <c r="E35" s="538"/>
      <c r="F35" s="538"/>
      <c r="G35" s="2004"/>
      <c r="H35" s="70"/>
      <c r="I35" s="70"/>
      <c r="J35" s="70"/>
      <c r="K35" s="71"/>
      <c r="L35" s="70"/>
      <c r="M35" s="71"/>
    </row>
    <row r="36" spans="1:13" ht="15" thickBot="1">
      <c r="A36" s="74"/>
      <c r="B36" s="1391" t="s">
        <v>2325</v>
      </c>
      <c r="C36" s="1392" t="s">
        <v>8986</v>
      </c>
      <c r="D36" s="2278"/>
      <c r="E36" s="538"/>
      <c r="F36" s="538"/>
      <c r="G36" s="2004"/>
      <c r="H36" s="70"/>
      <c r="I36" s="70"/>
      <c r="J36" s="70"/>
      <c r="K36" s="71"/>
      <c r="L36" s="70"/>
      <c r="M36" s="71"/>
    </row>
    <row r="37" spans="1:13" ht="15">
      <c r="A37" s="74"/>
      <c r="B37" s="1393" t="s">
        <v>8987</v>
      </c>
      <c r="C37" s="1394" t="s">
        <v>8988</v>
      </c>
      <c r="D37" s="2275" t="s">
        <v>8989</v>
      </c>
      <c r="E37" s="1395" t="s">
        <v>7815</v>
      </c>
      <c r="F37" s="1396">
        <v>2</v>
      </c>
      <c r="G37" s="1548">
        <v>75.540000000000006</v>
      </c>
      <c r="H37" s="70"/>
      <c r="I37" s="24">
        <f t="shared" ref="I37:I41" si="5" xml:space="preserve"> IF( SUM( K37:M37 ) = 0, 0, $L$4 )</f>
        <v>0</v>
      </c>
      <c r="J37" s="1190"/>
      <c r="K37" s="71"/>
      <c r="L37" s="93">
        <f>IF(Validation!$H$3=1,0,IF(ISNUMBER(G37),0,1))</f>
        <v>0</v>
      </c>
      <c r="M37" s="71"/>
    </row>
    <row r="38" spans="1:13" ht="15">
      <c r="A38" s="74"/>
      <c r="B38" s="1397" t="s">
        <v>8990</v>
      </c>
      <c r="C38" s="1398" t="s">
        <v>8991</v>
      </c>
      <c r="D38" s="2276" t="s">
        <v>8992</v>
      </c>
      <c r="E38" s="1399" t="s">
        <v>7815</v>
      </c>
      <c r="F38" s="1400">
        <v>2</v>
      </c>
      <c r="G38" s="1549">
        <v>0</v>
      </c>
      <c r="H38" s="70"/>
      <c r="I38" s="24">
        <f t="shared" si="5"/>
        <v>0</v>
      </c>
      <c r="J38" s="1190"/>
      <c r="K38" s="71"/>
      <c r="L38" s="93">
        <f>IF(Validation!$H$3=1,0,IF(ISNUMBER(G38),0,1))</f>
        <v>0</v>
      </c>
      <c r="M38" s="71"/>
    </row>
    <row r="39" spans="1:13" ht="15">
      <c r="A39" s="74"/>
      <c r="B39" s="1397" t="s">
        <v>8993</v>
      </c>
      <c r="C39" s="1398" t="s">
        <v>8994</v>
      </c>
      <c r="D39" s="2276" t="s">
        <v>8995</v>
      </c>
      <c r="E39" s="1399" t="s">
        <v>7815</v>
      </c>
      <c r="F39" s="1400">
        <v>2</v>
      </c>
      <c r="G39" s="1549">
        <v>75.540000000000006</v>
      </c>
      <c r="H39" s="70"/>
      <c r="I39" s="24">
        <f t="shared" si="5"/>
        <v>0</v>
      </c>
      <c r="J39" s="1190"/>
      <c r="K39" s="71"/>
      <c r="L39" s="93">
        <f>IF(Validation!$H$3=1,0,IF(ISNUMBER(G39),0,1))</f>
        <v>0</v>
      </c>
      <c r="M39" s="71"/>
    </row>
    <row r="40" spans="1:13" ht="15">
      <c r="A40" s="74"/>
      <c r="B40" s="1397" t="s">
        <v>8996</v>
      </c>
      <c r="C40" s="1406" t="s">
        <v>8997</v>
      </c>
      <c r="D40" s="2276" t="s">
        <v>8998</v>
      </c>
      <c r="E40" s="1504" t="s">
        <v>766</v>
      </c>
      <c r="F40" s="1407">
        <v>0</v>
      </c>
      <c r="G40" s="1546">
        <v>3</v>
      </c>
      <c r="H40" s="70"/>
      <c r="I40" s="24">
        <f t="shared" si="5"/>
        <v>0</v>
      </c>
      <c r="J40" s="1190"/>
      <c r="K40" s="71"/>
      <c r="L40" s="93">
        <f>IF(Validation!$H$3=1,0,IF(ISNUMBER(G40),0,1))</f>
        <v>0</v>
      </c>
      <c r="M40" s="71"/>
    </row>
    <row r="41" spans="1:13" ht="15.75" thickBot="1">
      <c r="A41" s="74"/>
      <c r="B41" s="1401" t="s">
        <v>8999</v>
      </c>
      <c r="C41" s="1402" t="s">
        <v>9000</v>
      </c>
      <c r="D41" s="2277" t="s">
        <v>9001</v>
      </c>
      <c r="E41" s="1403" t="s">
        <v>766</v>
      </c>
      <c r="F41" s="1404">
        <v>0</v>
      </c>
      <c r="G41" s="1547">
        <v>3</v>
      </c>
      <c r="H41" s="70"/>
      <c r="I41" s="24">
        <f t="shared" si="5"/>
        <v>0</v>
      </c>
      <c r="J41" s="1190"/>
      <c r="K41" s="71"/>
      <c r="L41" s="93">
        <f>IF(Validation!$H$3=1,0,IF(ISNUMBER(G41),0,1))</f>
        <v>0</v>
      </c>
      <c r="M41" s="71"/>
    </row>
    <row r="42" spans="1:13">
      <c r="A42" s="74"/>
      <c r="B42" s="74"/>
      <c r="C42" s="74"/>
      <c r="D42" s="74"/>
      <c r="E42" s="74"/>
      <c r="F42" s="74"/>
      <c r="G42" s="74"/>
      <c r="H42" s="70"/>
      <c r="I42" s="70"/>
      <c r="J42" s="70"/>
      <c r="K42" s="71"/>
      <c r="L42" s="70"/>
      <c r="M42" s="71"/>
    </row>
    <row r="43" spans="1:13" ht="15">
      <c r="A43" s="74"/>
      <c r="B43" s="3581" t="s">
        <v>243</v>
      </c>
      <c r="C43" s="3581"/>
      <c r="D43" s="74"/>
      <c r="E43" s="74"/>
      <c r="F43" s="74"/>
      <c r="G43" s="74"/>
      <c r="H43" s="70"/>
      <c r="I43" s="70"/>
      <c r="J43" s="70"/>
      <c r="K43" s="71"/>
      <c r="L43" s="70"/>
      <c r="M43" s="71"/>
    </row>
    <row r="44" spans="1:13">
      <c r="A44" s="74"/>
      <c r="B44" s="1024"/>
      <c r="C44" s="1031"/>
      <c r="D44" s="74"/>
      <c r="E44" s="74"/>
      <c r="F44" s="74"/>
      <c r="G44" s="74"/>
      <c r="H44" s="70"/>
      <c r="I44" s="70"/>
      <c r="J44" s="70"/>
      <c r="K44" s="71"/>
      <c r="L44" s="70"/>
      <c r="M44" s="71"/>
    </row>
    <row r="45" spans="1:13" ht="15">
      <c r="A45" s="74"/>
      <c r="B45" s="1247"/>
      <c r="C45" s="1125" t="s">
        <v>190</v>
      </c>
      <c r="D45" s="74"/>
      <c r="E45" s="74"/>
      <c r="F45" s="74"/>
      <c r="G45" s="74"/>
      <c r="H45" s="70"/>
      <c r="I45" s="70"/>
      <c r="J45" s="70"/>
      <c r="K45" s="71"/>
      <c r="L45" s="70"/>
      <c r="M45" s="71"/>
    </row>
    <row r="46" spans="1:13" ht="15">
      <c r="A46" s="74"/>
      <c r="B46" s="1190"/>
      <c r="C46" s="1190"/>
      <c r="D46" s="74"/>
      <c r="E46" s="74"/>
      <c r="F46" s="74"/>
      <c r="G46" s="74"/>
      <c r="H46" s="70"/>
      <c r="I46" s="70"/>
      <c r="J46" s="70"/>
      <c r="K46" s="71"/>
      <c r="L46" s="70"/>
      <c r="M46" s="71"/>
    </row>
    <row r="47" spans="1:13" ht="15.75">
      <c r="A47" s="74"/>
      <c r="B47" s="960"/>
      <c r="C47" s="1249" t="s">
        <v>5294</v>
      </c>
      <c r="D47" s="74"/>
      <c r="E47" s="74"/>
      <c r="F47" s="74"/>
      <c r="G47" s="74"/>
      <c r="H47" s="70"/>
      <c r="I47" s="70"/>
      <c r="J47" s="70"/>
      <c r="K47" s="71"/>
      <c r="L47" s="70"/>
      <c r="M47" s="71"/>
    </row>
    <row r="48" spans="1:13" ht="15" thickBot="1">
      <c r="A48" s="74"/>
      <c r="B48" s="74"/>
      <c r="C48" s="74"/>
      <c r="D48" s="74"/>
      <c r="E48" s="74"/>
      <c r="F48" s="74"/>
      <c r="G48" s="74"/>
      <c r="H48" s="70"/>
      <c r="I48" s="70"/>
      <c r="J48" s="70"/>
      <c r="K48" s="71"/>
      <c r="L48" s="70"/>
      <c r="M48" s="71"/>
    </row>
    <row r="49" spans="1:13" ht="16.5" thickBot="1">
      <c r="A49" s="74"/>
      <c r="B49" s="3375" t="str">
        <f ca="1" xml:space="preserve"> RIGHT(CELL("filename", $A$1), LEN(CELL("filename", $A$1)) - SEARCH("]", CELL("filename", $A$1)))&amp;" - Line definitions"</f>
        <v>Bioresources - Line definitions</v>
      </c>
      <c r="C49" s="3513"/>
      <c r="D49" s="3513"/>
      <c r="E49" s="3513"/>
      <c r="F49" s="3513"/>
      <c r="G49" s="3514"/>
      <c r="H49" s="70"/>
      <c r="I49" s="70"/>
      <c r="J49" s="70"/>
      <c r="K49" s="71"/>
      <c r="L49" s="70"/>
      <c r="M49" s="71"/>
    </row>
    <row r="50" spans="1:13">
      <c r="A50" s="74"/>
      <c r="B50" s="1550" t="s">
        <v>7928</v>
      </c>
      <c r="C50" s="3692" t="s">
        <v>9002</v>
      </c>
      <c r="D50" s="3693"/>
      <c r="E50" s="3693"/>
      <c r="F50" s="3693"/>
      <c r="G50" s="3694"/>
      <c r="H50" s="70"/>
      <c r="I50" s="70"/>
      <c r="J50" s="70"/>
      <c r="K50" s="71"/>
      <c r="L50" s="70"/>
      <c r="M50" s="71"/>
    </row>
    <row r="51" spans="1:13">
      <c r="A51" s="74"/>
      <c r="B51" s="1551" t="s">
        <v>7929</v>
      </c>
      <c r="C51" s="3689" t="s">
        <v>9003</v>
      </c>
      <c r="D51" s="3690"/>
      <c r="E51" s="3690"/>
      <c r="F51" s="3690"/>
      <c r="G51" s="3691"/>
      <c r="H51" s="70"/>
      <c r="I51" s="70"/>
      <c r="J51" s="70"/>
      <c r="K51" s="71"/>
      <c r="L51" s="70"/>
      <c r="M51" s="71"/>
    </row>
    <row r="52" spans="1:13">
      <c r="A52" s="74"/>
      <c r="B52" s="1551" t="s">
        <v>8928</v>
      </c>
      <c r="C52" s="3689" t="s">
        <v>9004</v>
      </c>
      <c r="D52" s="3690"/>
      <c r="E52" s="3690"/>
      <c r="F52" s="3690"/>
      <c r="G52" s="3691"/>
      <c r="H52" s="70"/>
      <c r="I52" s="70"/>
      <c r="J52" s="70"/>
      <c r="K52" s="71"/>
      <c r="L52" s="70"/>
      <c r="M52" s="71"/>
    </row>
    <row r="53" spans="1:13">
      <c r="A53" s="74"/>
      <c r="B53" s="1551" t="s">
        <v>8931</v>
      </c>
      <c r="C53" s="3689" t="s">
        <v>9005</v>
      </c>
      <c r="D53" s="3690"/>
      <c r="E53" s="3690"/>
      <c r="F53" s="3690"/>
      <c r="G53" s="3691"/>
      <c r="H53" s="70"/>
      <c r="I53" s="70"/>
      <c r="J53" s="70"/>
      <c r="K53" s="71"/>
      <c r="L53" s="70"/>
      <c r="M53" s="71"/>
    </row>
    <row r="54" spans="1:13">
      <c r="A54" s="74"/>
      <c r="B54" s="1551" t="s">
        <v>8934</v>
      </c>
      <c r="C54" s="3695" t="s">
        <v>9006</v>
      </c>
      <c r="D54" s="3696"/>
      <c r="E54" s="3696"/>
      <c r="F54" s="3696"/>
      <c r="G54" s="3697"/>
      <c r="H54" s="70"/>
      <c r="I54" s="70"/>
      <c r="J54" s="70"/>
      <c r="K54" s="71"/>
      <c r="L54" s="70"/>
      <c r="M54" s="71"/>
    </row>
    <row r="55" spans="1:13">
      <c r="A55" s="74"/>
      <c r="B55" s="1551" t="s">
        <v>8937</v>
      </c>
      <c r="C55" s="3695" t="s">
        <v>9007</v>
      </c>
      <c r="D55" s="3696"/>
      <c r="E55" s="3696"/>
      <c r="F55" s="3696"/>
      <c r="G55" s="3697"/>
      <c r="H55" s="70"/>
      <c r="I55" s="70"/>
      <c r="J55" s="70"/>
      <c r="K55" s="71"/>
      <c r="L55" s="70"/>
      <c r="M55" s="71"/>
    </row>
    <row r="56" spans="1:13">
      <c r="A56" s="74"/>
      <c r="B56" s="1551" t="s">
        <v>7930</v>
      </c>
      <c r="C56" s="3695" t="s">
        <v>9008</v>
      </c>
      <c r="D56" s="3696"/>
      <c r="E56" s="3696"/>
      <c r="F56" s="3696"/>
      <c r="G56" s="3697"/>
      <c r="H56" s="70"/>
      <c r="I56" s="70"/>
      <c r="J56" s="70"/>
      <c r="K56" s="71"/>
      <c r="L56" s="70"/>
      <c r="M56" s="71"/>
    </row>
    <row r="57" spans="1:13">
      <c r="A57" s="74"/>
      <c r="B57" s="1551" t="s">
        <v>7931</v>
      </c>
      <c r="C57" s="3689" t="s">
        <v>9009</v>
      </c>
      <c r="D57" s="3690"/>
      <c r="E57" s="3690"/>
      <c r="F57" s="3690"/>
      <c r="G57" s="3691"/>
      <c r="H57" s="70"/>
      <c r="I57" s="70"/>
      <c r="J57" s="70"/>
      <c r="K57" s="71"/>
      <c r="L57" s="70"/>
      <c r="M57" s="71"/>
    </row>
    <row r="58" spans="1:13">
      <c r="A58" s="74"/>
      <c r="B58" s="1551" t="s">
        <v>3020</v>
      </c>
      <c r="C58" s="3689" t="s">
        <v>9010</v>
      </c>
      <c r="D58" s="3690"/>
      <c r="E58" s="3690"/>
      <c r="F58" s="3690"/>
      <c r="G58" s="3691"/>
      <c r="H58" s="70"/>
      <c r="I58" s="70"/>
      <c r="J58" s="70"/>
      <c r="K58" s="71"/>
      <c r="L58" s="70"/>
      <c r="M58" s="71"/>
    </row>
    <row r="59" spans="1:13">
      <c r="A59" s="74"/>
      <c r="B59" s="1551" t="s">
        <v>8948</v>
      </c>
      <c r="C59" s="3689" t="s">
        <v>9011</v>
      </c>
      <c r="D59" s="3690"/>
      <c r="E59" s="3690"/>
      <c r="F59" s="3690"/>
      <c r="G59" s="3691"/>
      <c r="H59" s="70"/>
      <c r="I59" s="70"/>
      <c r="J59" s="70"/>
      <c r="K59" s="71"/>
      <c r="L59" s="70"/>
      <c r="M59" s="71"/>
    </row>
    <row r="60" spans="1:13">
      <c r="A60" s="74"/>
      <c r="B60" s="1551" t="s">
        <v>8951</v>
      </c>
      <c r="C60" s="3695" t="s">
        <v>9012</v>
      </c>
      <c r="D60" s="3696"/>
      <c r="E60" s="3696"/>
      <c r="F60" s="3696"/>
      <c r="G60" s="3697"/>
      <c r="H60" s="70"/>
      <c r="I60" s="70"/>
      <c r="J60" s="70"/>
      <c r="K60" s="71"/>
      <c r="L60" s="70"/>
      <c r="M60" s="71"/>
    </row>
    <row r="61" spans="1:13">
      <c r="A61" s="74"/>
      <c r="B61" s="1551" t="s">
        <v>8955</v>
      </c>
      <c r="C61" s="3695" t="s">
        <v>9013</v>
      </c>
      <c r="D61" s="3696"/>
      <c r="E61" s="3696"/>
      <c r="F61" s="3696"/>
      <c r="G61" s="3697"/>
      <c r="H61" s="70"/>
      <c r="I61" s="70"/>
      <c r="J61" s="70"/>
      <c r="K61" s="71"/>
      <c r="L61" s="70"/>
      <c r="M61" s="71"/>
    </row>
    <row r="62" spans="1:13">
      <c r="A62" s="74"/>
      <c r="B62" s="1551" t="s">
        <v>8958</v>
      </c>
      <c r="C62" s="3689" t="s">
        <v>9014</v>
      </c>
      <c r="D62" s="3690"/>
      <c r="E62" s="3690"/>
      <c r="F62" s="3690"/>
      <c r="G62" s="3691"/>
      <c r="H62" s="70"/>
      <c r="I62" s="70"/>
      <c r="J62" s="70"/>
      <c r="K62" s="71"/>
      <c r="L62" s="70"/>
      <c r="M62" s="71"/>
    </row>
    <row r="63" spans="1:13">
      <c r="A63" s="74"/>
      <c r="B63" s="1551" t="s">
        <v>8961</v>
      </c>
      <c r="C63" s="3689" t="s">
        <v>9015</v>
      </c>
      <c r="D63" s="3690"/>
      <c r="E63" s="3690"/>
      <c r="F63" s="3690"/>
      <c r="G63" s="3691"/>
      <c r="H63" s="70"/>
      <c r="I63" s="70"/>
      <c r="J63" s="70"/>
      <c r="K63" s="71"/>
      <c r="L63" s="70"/>
      <c r="M63" s="71"/>
    </row>
    <row r="64" spans="1:13">
      <c r="A64" s="74"/>
      <c r="B64" s="1551" t="s">
        <v>8964</v>
      </c>
      <c r="C64" s="3689" t="s">
        <v>9016</v>
      </c>
      <c r="D64" s="3690"/>
      <c r="E64" s="3690"/>
      <c r="F64" s="3690"/>
      <c r="G64" s="3691"/>
      <c r="H64" s="70"/>
      <c r="I64" s="70"/>
      <c r="J64" s="70"/>
      <c r="K64" s="71"/>
      <c r="L64" s="70"/>
      <c r="M64" s="71"/>
    </row>
    <row r="65" spans="1:13">
      <c r="A65" s="74"/>
      <c r="B65" s="1551" t="s">
        <v>8967</v>
      </c>
      <c r="C65" s="3695" t="s">
        <v>9017</v>
      </c>
      <c r="D65" s="3696"/>
      <c r="E65" s="3696"/>
      <c r="F65" s="3696"/>
      <c r="G65" s="3697"/>
      <c r="H65" s="70"/>
      <c r="I65" s="70"/>
      <c r="J65" s="70"/>
      <c r="K65" s="71"/>
      <c r="L65" s="70"/>
      <c r="M65" s="71"/>
    </row>
    <row r="66" spans="1:13">
      <c r="A66" s="74"/>
      <c r="B66" s="1551" t="s">
        <v>8971</v>
      </c>
      <c r="C66" s="3689" t="s">
        <v>9018</v>
      </c>
      <c r="D66" s="3690"/>
      <c r="E66" s="3690"/>
      <c r="F66" s="3690"/>
      <c r="G66" s="3691"/>
      <c r="H66" s="70"/>
      <c r="I66" s="70"/>
      <c r="J66" s="70"/>
      <c r="K66" s="71"/>
      <c r="L66" s="70"/>
      <c r="M66" s="71"/>
    </row>
    <row r="67" spans="1:13">
      <c r="A67" s="74"/>
      <c r="B67" s="1551" t="s">
        <v>8974</v>
      </c>
      <c r="C67" s="3689" t="s">
        <v>9019</v>
      </c>
      <c r="D67" s="3690"/>
      <c r="E67" s="3690"/>
      <c r="F67" s="3690"/>
      <c r="G67" s="3691"/>
      <c r="H67" s="70"/>
      <c r="I67" s="70"/>
      <c r="J67" s="70"/>
      <c r="K67" s="71"/>
      <c r="L67" s="70"/>
      <c r="M67" s="71"/>
    </row>
    <row r="68" spans="1:13">
      <c r="A68" s="74"/>
      <c r="B68" s="1551" t="s">
        <v>8977</v>
      </c>
      <c r="C68" s="3689" t="s">
        <v>9020</v>
      </c>
      <c r="D68" s="3690"/>
      <c r="E68" s="3690"/>
      <c r="F68" s="3690"/>
      <c r="G68" s="3691"/>
      <c r="H68" s="70"/>
      <c r="I68" s="70"/>
      <c r="J68" s="70"/>
      <c r="K68" s="71"/>
      <c r="L68" s="70"/>
      <c r="M68" s="71"/>
    </row>
    <row r="69" spans="1:13">
      <c r="A69" s="74"/>
      <c r="B69" s="1551" t="s">
        <v>8980</v>
      </c>
      <c r="C69" s="3689" t="s">
        <v>9021</v>
      </c>
      <c r="D69" s="3690"/>
      <c r="E69" s="3690"/>
      <c r="F69" s="3690"/>
      <c r="G69" s="3691"/>
      <c r="H69" s="70"/>
      <c r="I69" s="70"/>
      <c r="J69" s="70"/>
      <c r="K69" s="71"/>
      <c r="L69" s="70"/>
      <c r="M69" s="71"/>
    </row>
    <row r="70" spans="1:13">
      <c r="A70" s="74"/>
      <c r="B70" s="1551" t="s">
        <v>8983</v>
      </c>
      <c r="C70" s="3689" t="s">
        <v>9022</v>
      </c>
      <c r="D70" s="3690"/>
      <c r="E70" s="3690"/>
      <c r="F70" s="3690"/>
      <c r="G70" s="3691"/>
      <c r="H70" s="70"/>
      <c r="I70" s="70"/>
      <c r="J70" s="70"/>
      <c r="K70" s="71"/>
      <c r="L70" s="70"/>
      <c r="M70" s="71"/>
    </row>
    <row r="71" spans="1:13">
      <c r="A71" s="74"/>
      <c r="B71" s="1551" t="s">
        <v>8987</v>
      </c>
      <c r="C71" s="3689" t="s">
        <v>9023</v>
      </c>
      <c r="D71" s="3690"/>
      <c r="E71" s="3690"/>
      <c r="F71" s="3690"/>
      <c r="G71" s="3691"/>
      <c r="H71" s="70"/>
      <c r="I71" s="70"/>
      <c r="J71" s="70"/>
      <c r="K71" s="71"/>
      <c r="L71" s="70"/>
      <c r="M71" s="71"/>
    </row>
    <row r="72" spans="1:13">
      <c r="A72" s="74"/>
      <c r="B72" s="1551" t="s">
        <v>8990</v>
      </c>
      <c r="C72" s="3689" t="s">
        <v>9024</v>
      </c>
      <c r="D72" s="3690"/>
      <c r="E72" s="3690"/>
      <c r="F72" s="3690"/>
      <c r="G72" s="3691"/>
      <c r="H72" s="70"/>
      <c r="I72" s="70"/>
      <c r="J72" s="70"/>
      <c r="K72" s="71"/>
      <c r="L72" s="70"/>
      <c r="M72" s="71"/>
    </row>
    <row r="73" spans="1:13">
      <c r="A73" s="74"/>
      <c r="B73" s="1551" t="s">
        <v>8993</v>
      </c>
      <c r="C73" s="3689" t="s">
        <v>9025</v>
      </c>
      <c r="D73" s="3690"/>
      <c r="E73" s="3690"/>
      <c r="F73" s="3690"/>
      <c r="G73" s="3691"/>
      <c r="H73" s="70"/>
      <c r="I73" s="70"/>
      <c r="J73" s="70"/>
      <c r="K73" s="71"/>
      <c r="L73" s="70"/>
      <c r="M73" s="71"/>
    </row>
    <row r="74" spans="1:13">
      <c r="A74" s="74"/>
      <c r="B74" s="1551" t="s">
        <v>8996</v>
      </c>
      <c r="C74" s="3689" t="s">
        <v>9026</v>
      </c>
      <c r="D74" s="3690"/>
      <c r="E74" s="3690"/>
      <c r="F74" s="3690"/>
      <c r="G74" s="3691"/>
      <c r="H74" s="70"/>
      <c r="I74" s="70"/>
      <c r="J74" s="70"/>
      <c r="K74" s="71"/>
      <c r="L74" s="70"/>
      <c r="M74" s="71"/>
    </row>
    <row r="75" spans="1:13" ht="15" thickBot="1">
      <c r="A75" s="74"/>
      <c r="B75" s="1552" t="s">
        <v>8999</v>
      </c>
      <c r="C75" s="3698" t="s">
        <v>9027</v>
      </c>
      <c r="D75" s="3699"/>
      <c r="E75" s="3699"/>
      <c r="F75" s="3699"/>
      <c r="G75" s="3700"/>
      <c r="H75" s="70"/>
      <c r="I75" s="70"/>
      <c r="J75" s="70"/>
      <c r="K75" s="71"/>
      <c r="L75" s="70"/>
      <c r="M75" s="71"/>
    </row>
    <row r="76" spans="1:13">
      <c r="A76" s="2004"/>
      <c r="B76" s="2004"/>
      <c r="C76" s="2004"/>
      <c r="D76" s="2004"/>
      <c r="E76" s="2004"/>
      <c r="F76" s="2004"/>
      <c r="G76" s="2004"/>
      <c r="H76" s="2004"/>
      <c r="I76" s="2004"/>
      <c r="J76" s="2004"/>
      <c r="K76" s="2004"/>
      <c r="L76" s="2004"/>
      <c r="M76" s="2004"/>
    </row>
  </sheetData>
  <sheetProtection algorithmName="SHA-512" hashValue="QYs4xhCGT4TaIHFso2w/07JiDfiDBLmQsLYG/Yb6uZWeaKLP9hyOnxTUNUb9tuvWzbhB08JW/Y8yxkL96ptTBw==" saltValue="3OxArNZAzAIt9zM8Tfn/Jg==" spinCount="100000" sheet="1" objects="1" scenarios="1"/>
  <mergeCells count="28">
    <mergeCell ref="C72:G72"/>
    <mergeCell ref="C73:G73"/>
    <mergeCell ref="C74:G74"/>
    <mergeCell ref="C75:G75"/>
    <mergeCell ref="C66:G66"/>
    <mergeCell ref="C67:G67"/>
    <mergeCell ref="C68:G68"/>
    <mergeCell ref="C69:G69"/>
    <mergeCell ref="C70:G70"/>
    <mergeCell ref="C71:G71"/>
    <mergeCell ref="C65:G65"/>
    <mergeCell ref="C54:G54"/>
    <mergeCell ref="C55:G55"/>
    <mergeCell ref="C56:G56"/>
    <mergeCell ref="C57:G57"/>
    <mergeCell ref="C58:G58"/>
    <mergeCell ref="C59:G59"/>
    <mergeCell ref="C60:G60"/>
    <mergeCell ref="C61:G61"/>
    <mergeCell ref="C62:G62"/>
    <mergeCell ref="C63:G63"/>
    <mergeCell ref="C64:G64"/>
    <mergeCell ref="C53:G53"/>
    <mergeCell ref="B43:C43"/>
    <mergeCell ref="B49:G49"/>
    <mergeCell ref="C50:G50"/>
    <mergeCell ref="C51:G51"/>
    <mergeCell ref="C52:G52"/>
  </mergeCells>
  <conditionalFormatting sqref="I6:I11">
    <cfRule type="cellIs" dxfId="29" priority="5" operator="equal">
      <formula>0</formula>
    </cfRule>
  </conditionalFormatting>
  <conditionalFormatting sqref="I37:I41 I30:I34 I24:I27 I19:I20 I14:I16">
    <cfRule type="cellIs" dxfId="28" priority="4" operator="equal">
      <formula>0</formula>
    </cfRule>
  </conditionalFormatting>
  <conditionalFormatting sqref="I23">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pageSetUpPr fitToPage="1"/>
  </sheetPr>
  <dimension ref="A1:M5461"/>
  <sheetViews>
    <sheetView topLeftCell="A3914" workbookViewId="0">
      <selection activeCell="F3935" sqref="F3935"/>
    </sheetView>
  </sheetViews>
  <sheetFormatPr defaultColWidth="8.875" defaultRowHeight="14.25"/>
  <cols>
    <col min="1" max="1" width="7.5" bestFit="1" customWidth="1"/>
    <col min="2" max="2" width="19.125" style="848" bestFit="1" customWidth="1"/>
    <col min="3" max="3" width="13.5" style="1322" customWidth="1"/>
    <col min="4" max="4" width="4.125" customWidth="1"/>
    <col min="5" max="5" width="16.5" customWidth="1"/>
    <col min="6" max="6" width="14.625" bestFit="1" customWidth="1"/>
    <col min="7" max="7" width="15.125" style="848" customWidth="1"/>
    <col min="8" max="8" width="8.625" bestFit="1" customWidth="1"/>
  </cols>
  <sheetData>
    <row r="1" spans="1:7" s="1659" customFormat="1">
      <c r="B1" s="1658"/>
      <c r="C1" s="2170" t="s">
        <v>9028</v>
      </c>
      <c r="G1" s="1658"/>
    </row>
    <row r="2" spans="1:7" s="1659" customFormat="1" ht="28.5">
      <c r="A2" s="1659" t="s">
        <v>9029</v>
      </c>
      <c r="B2" s="1658" t="s">
        <v>9030</v>
      </c>
      <c r="C2" s="2153" t="s">
        <v>4916</v>
      </c>
      <c r="D2" s="1659" t="s">
        <v>2310</v>
      </c>
      <c r="E2" s="1659" t="s">
        <v>9031</v>
      </c>
      <c r="F2" s="1659" t="s">
        <v>9032</v>
      </c>
      <c r="G2" s="1658" t="s">
        <v>2931</v>
      </c>
    </row>
    <row r="3" spans="1:7" s="1659" customFormat="1" ht="15" thickBot="1">
      <c r="B3" s="1658"/>
      <c r="C3" s="2153"/>
      <c r="G3" s="1658"/>
    </row>
    <row r="4" spans="1:7">
      <c r="A4" s="2004"/>
      <c r="B4" s="1660" t="str">
        <f>'1A'!AF6</f>
        <v>BO1180STAT</v>
      </c>
      <c r="D4" s="2004"/>
      <c r="E4" s="1661" t="s">
        <v>9033</v>
      </c>
      <c r="F4" s="2004"/>
      <c r="G4" s="2004">
        <f>IF('1A'!G6="","##BLANK",'1A'!G6)</f>
        <v>1063.3889999999999</v>
      </c>
    </row>
    <row r="5" spans="1:7">
      <c r="A5" s="2004"/>
      <c r="B5" s="1657" t="str">
        <f>'1A'!AF7</f>
        <v>BO2560STAT</v>
      </c>
      <c r="D5" s="2004"/>
      <c r="E5" s="1658" t="s">
        <v>9033</v>
      </c>
      <c r="F5" s="2004"/>
      <c r="G5" s="2004">
        <f>IF('1A'!G7="","##BLANK",'1A'!G7)</f>
        <v>-860.87900000000002</v>
      </c>
    </row>
    <row r="6" spans="1:7">
      <c r="A6" s="2004"/>
      <c r="B6" s="1657" t="str">
        <f>'1A'!AF8</f>
        <v>BO1980STAT</v>
      </c>
      <c r="D6" s="2004"/>
      <c r="E6" s="1658" t="s">
        <v>9033</v>
      </c>
      <c r="F6" s="2004"/>
      <c r="G6" s="2004">
        <f>IF('1A'!G8="","##BLANK",'1A'!G8)</f>
        <v>7.7869999999999999</v>
      </c>
    </row>
    <row r="7" spans="1:7">
      <c r="A7" s="2004"/>
      <c r="B7" s="1657" t="str">
        <f>'1A'!AF9</f>
        <v>BO2060STAT</v>
      </c>
      <c r="D7" s="2004"/>
      <c r="E7" s="1658" t="s">
        <v>9033</v>
      </c>
      <c r="F7" s="2004"/>
      <c r="G7" s="2004">
        <f>IF('1A'!G9="","##BLANK",'1A'!G9)</f>
        <v>210.29699999999988</v>
      </c>
    </row>
    <row r="8" spans="1:7">
      <c r="A8" s="2004"/>
      <c r="B8" s="1657" t="str">
        <f>'1A'!AF11</f>
        <v>BO3301STAT</v>
      </c>
      <c r="D8" s="2004"/>
      <c r="E8" s="1658" t="s">
        <v>9033</v>
      </c>
      <c r="F8" s="2004"/>
      <c r="G8" s="2004">
        <f>IF('1A'!G11="","##BLANK",'1A'!G11)</f>
        <v>2.1379999999999999</v>
      </c>
    </row>
    <row r="9" spans="1:7">
      <c r="A9" s="2004"/>
      <c r="B9" s="1657" t="str">
        <f>'1A'!AF12</f>
        <v>A10008STAT</v>
      </c>
      <c r="D9" s="2004"/>
      <c r="E9" s="1658" t="s">
        <v>9033</v>
      </c>
      <c r="F9" s="2004"/>
      <c r="G9" s="2004">
        <f>IF('1A'!G12="","##BLANK",'1A'!G12)</f>
        <v>50.508000000000003</v>
      </c>
    </row>
    <row r="10" spans="1:7">
      <c r="A10" s="2004"/>
      <c r="B10" s="1657" t="str">
        <f>'1A'!AF13</f>
        <v>A10009STAT</v>
      </c>
      <c r="D10" s="2004"/>
      <c r="E10" s="1658" t="s">
        <v>9033</v>
      </c>
      <c r="F10" s="2004"/>
      <c r="G10" s="2004">
        <f>IF('1A'!G13="","##BLANK",'1A'!G13)</f>
        <v>-193.00200000000001</v>
      </c>
    </row>
    <row r="11" spans="1:7">
      <c r="A11" s="2004"/>
      <c r="B11" s="1657" t="str">
        <f>'1A'!AF14</f>
        <v>FT01641STAT</v>
      </c>
      <c r="D11" s="2004"/>
      <c r="E11" s="1658" t="s">
        <v>9033</v>
      </c>
      <c r="F11" s="2004"/>
      <c r="G11" s="2004">
        <f>IF('1A'!G14="","##BLANK",'1A'!G14)</f>
        <v>0</v>
      </c>
    </row>
    <row r="12" spans="1:7">
      <c r="A12" s="2004"/>
      <c r="B12" s="1657" t="str">
        <f>'1A'!AF15</f>
        <v>A10011STAT</v>
      </c>
      <c r="D12" s="2004"/>
      <c r="E12" s="1658" t="s">
        <v>9033</v>
      </c>
      <c r="F12" s="2004"/>
      <c r="G12" s="2004">
        <f>IF('1A'!G15="","##BLANK",'1A'!G15)</f>
        <v>69.940999999999889</v>
      </c>
    </row>
    <row r="13" spans="1:7">
      <c r="A13" s="2004"/>
      <c r="B13" s="1657" t="str">
        <f>'1A'!AF17</f>
        <v>A10012STAT</v>
      </c>
      <c r="D13" s="2004"/>
      <c r="E13" s="1658" t="s">
        <v>9033</v>
      </c>
      <c r="F13" s="2004"/>
      <c r="G13" s="2004">
        <f>IF('1A'!G17="","##BLANK",'1A'!G17)</f>
        <v>-35.905999999999999</v>
      </c>
    </row>
    <row r="14" spans="1:7">
      <c r="A14" s="2004"/>
      <c r="B14" s="1657" t="str">
        <f>'1A'!AF18</f>
        <v>BO3305STAT</v>
      </c>
      <c r="D14" s="2004"/>
      <c r="E14" s="1658" t="s">
        <v>9033</v>
      </c>
      <c r="F14" s="2004"/>
      <c r="G14" s="2004">
        <f>IF('1A'!G18="","##BLANK",'1A'!G18)</f>
        <v>34.03499999999989</v>
      </c>
    </row>
    <row r="15" spans="1:7">
      <c r="A15" s="2004"/>
      <c r="B15" s="1657" t="str">
        <f>'1A'!AF20</f>
        <v>BO3351STAT</v>
      </c>
      <c r="D15" s="2004"/>
      <c r="E15" s="1658" t="s">
        <v>9033</v>
      </c>
      <c r="F15" s="2004"/>
      <c r="G15" s="2004">
        <f>IF('1A'!G20="","##BLANK",'1A'!G20)</f>
        <v>-14.032</v>
      </c>
    </row>
    <row r="16" spans="1:7">
      <c r="A16" s="2004"/>
      <c r="B16" s="1657" t="str">
        <f>'1A'!AF21</f>
        <v>BO3352STAT</v>
      </c>
      <c r="D16" s="2004"/>
      <c r="E16" s="1658" t="s">
        <v>9033</v>
      </c>
      <c r="F16" s="2004"/>
      <c r="G16" s="2004">
        <f>IF('1A'!G21="","##BLANK",'1A'!G21)</f>
        <v>-21.73</v>
      </c>
    </row>
    <row r="17" spans="2:7">
      <c r="B17" s="1657" t="str">
        <f>'1A'!AF22</f>
        <v>BO2530STAT</v>
      </c>
      <c r="D17" s="2004"/>
      <c r="E17" s="1658" t="s">
        <v>9033</v>
      </c>
      <c r="F17" s="2004"/>
      <c r="G17" s="2004">
        <f>IF('1A'!G22="","##BLANK",'1A'!G22)</f>
        <v>-1.7270000000001104</v>
      </c>
    </row>
    <row r="18" spans="2:7">
      <c r="B18" s="1657" t="str">
        <f>'1A'!AF24</f>
        <v>BO3402STAT</v>
      </c>
      <c r="D18" s="2004"/>
      <c r="E18" s="1658" t="s">
        <v>9033</v>
      </c>
      <c r="F18" s="2004"/>
      <c r="G18" s="2004">
        <f>IF('1A'!G24="","##BLANK",'1A'!G24)</f>
        <v>-110.029</v>
      </c>
    </row>
    <row r="19" spans="2:7">
      <c r="B19" s="1657" t="str">
        <f>'1A'!AF27</f>
        <v>BO3354STAT</v>
      </c>
      <c r="D19" s="2004"/>
      <c r="E19" s="1658" t="s">
        <v>9033</v>
      </c>
      <c r="F19" s="2004"/>
      <c r="G19" s="2004">
        <f>IF('1A'!G27="","##BLANK",'1A'!G27)</f>
        <v>15.276</v>
      </c>
    </row>
    <row r="20" spans="2:7">
      <c r="B20" s="1657" t="str">
        <f>'1A'!AF28</f>
        <v>BO3355STAT</v>
      </c>
      <c r="D20" s="2004"/>
      <c r="E20" s="1658" t="s">
        <v>9033</v>
      </c>
      <c r="F20" s="2004"/>
      <c r="G20" s="2004">
        <f>IF('1A'!G28="","##BLANK",'1A'!G28)</f>
        <v>-1.244</v>
      </c>
    </row>
    <row r="21" spans="2:7">
      <c r="B21" s="1657" t="str">
        <f>'1A'!AF29</f>
        <v>BO3353STAT</v>
      </c>
      <c r="D21" s="2004"/>
      <c r="E21" s="1658" t="s">
        <v>9033</v>
      </c>
      <c r="F21" s="2004"/>
      <c r="G21" s="2004">
        <f>IF('1A'!G29="","##BLANK",'1A'!G29)</f>
        <v>14.032</v>
      </c>
    </row>
    <row r="22" spans="2:7">
      <c r="B22" s="1657" t="str">
        <f>'1A'!AF33</f>
        <v>BO1180NAIS</v>
      </c>
      <c r="D22" s="2004"/>
      <c r="E22" s="1658" t="s">
        <v>9033</v>
      </c>
      <c r="F22" s="2004"/>
      <c r="G22" s="2004">
        <f>IF('1A'!G33="","##BLANK",'1A'!G33)</f>
        <v>0</v>
      </c>
    </row>
    <row r="23" spans="2:7">
      <c r="B23" s="1657" t="str">
        <f>'1A'!AF34</f>
        <v>BO1180NATW</v>
      </c>
      <c r="D23" s="2004"/>
      <c r="E23" s="1658" t="s">
        <v>9033</v>
      </c>
      <c r="F23" s="2004"/>
      <c r="G23" s="2004">
        <f>IF('1A'!G34="","##BLANK",'1A'!G34)</f>
        <v>-5.1070000000000002</v>
      </c>
    </row>
    <row r="24" spans="2:7">
      <c r="B24" s="1657" t="str">
        <f>'1A'!AF35</f>
        <v>BO1180NAO</v>
      </c>
      <c r="D24" s="2004"/>
      <c r="E24" s="1658" t="s">
        <v>9033</v>
      </c>
      <c r="F24" s="2004"/>
      <c r="G24" s="2004">
        <f>IF('1A'!G35="","##BLANK",'1A'!G35)</f>
        <v>-9.4969999999999999</v>
      </c>
    </row>
    <row r="25" spans="2:7" ht="15" thickBot="1">
      <c r="B25" s="1657" t="str">
        <f>'1A'!AF36</f>
        <v>BO1180NAT</v>
      </c>
      <c r="D25" s="2004"/>
      <c r="E25" s="1658" t="s">
        <v>9033</v>
      </c>
      <c r="F25" s="2004"/>
      <c r="G25" s="2004">
        <f>IF('1A'!G36="","##BLANK",'1A'!G36)</f>
        <v>-14.603999999999999</v>
      </c>
    </row>
    <row r="26" spans="2:7">
      <c r="B26" s="1660" t="str">
        <f>'1A'!AG6</f>
        <v>BO1180DSR</v>
      </c>
      <c r="D26" s="2004"/>
      <c r="E26" s="1658" t="s">
        <v>9033</v>
      </c>
      <c r="F26" s="2004"/>
      <c r="G26" s="2004">
        <f>IF('1A'!H6="","##BLANK",'1A'!H6)</f>
        <v>8.4280000000000008</v>
      </c>
    </row>
    <row r="27" spans="2:7">
      <c r="B27" s="1657" t="str">
        <f>'1A'!AG7</f>
        <v>BO2560DSR</v>
      </c>
      <c r="D27" s="2004"/>
      <c r="E27" s="1658" t="s">
        <v>9033</v>
      </c>
      <c r="F27" s="2004"/>
      <c r="G27" s="2004">
        <f>IF('1A'!H7="","##BLANK",'1A'!H7)</f>
        <v>-15.714</v>
      </c>
    </row>
    <row r="28" spans="2:7">
      <c r="B28" s="1657" t="str">
        <f>'1A'!AG8</f>
        <v>BO1980DSR</v>
      </c>
      <c r="C28" s="1657"/>
      <c r="D28" s="2004"/>
      <c r="E28" s="1658" t="s">
        <v>9033</v>
      </c>
      <c r="F28" s="2004"/>
      <c r="G28" s="2004">
        <f>IF('1A'!H8="","##BLANK",'1A'!H8)</f>
        <v>0</v>
      </c>
    </row>
    <row r="29" spans="2:7">
      <c r="B29" s="1657" t="str">
        <f>'1A'!AG9</f>
        <v>BO2060DSR</v>
      </c>
      <c r="C29" s="1657"/>
      <c r="D29" s="2004"/>
      <c r="E29" s="1658" t="s">
        <v>9033</v>
      </c>
      <c r="F29" s="2004"/>
      <c r="G29" s="2004">
        <f>IF('1A'!H9="","##BLANK",'1A'!H9)</f>
        <v>-7.2859999999999996</v>
      </c>
    </row>
    <row r="30" spans="2:7">
      <c r="B30" s="1657" t="str">
        <f>'1A'!AG11</f>
        <v>BO3301DSR</v>
      </c>
      <c r="C30" s="1657"/>
      <c r="D30" s="2004"/>
      <c r="E30" s="1658" t="s">
        <v>9033</v>
      </c>
      <c r="F30" s="2004"/>
      <c r="G30" s="2004">
        <f>IF('1A'!H11="","##BLANK",'1A'!H11)</f>
        <v>10.907</v>
      </c>
    </row>
    <row r="31" spans="2:7">
      <c r="B31" s="1657" t="str">
        <f>'1A'!AG12</f>
        <v>A10008DSR</v>
      </c>
      <c r="C31" s="1657"/>
      <c r="D31" s="2004"/>
      <c r="E31" s="1658" t="s">
        <v>9033</v>
      </c>
      <c r="F31" s="2004"/>
      <c r="G31" s="2004">
        <f>IF('1A'!H12="","##BLANK",'1A'!H12)</f>
        <v>0</v>
      </c>
    </row>
    <row r="32" spans="2:7">
      <c r="B32" s="1657" t="str">
        <f>'1A'!AG13</f>
        <v>A10009DSR</v>
      </c>
      <c r="C32" s="1657"/>
      <c r="D32" s="2004"/>
      <c r="E32" s="1658" t="s">
        <v>9033</v>
      </c>
      <c r="F32" s="2004"/>
      <c r="G32" s="2004">
        <f>IF('1A'!H13="","##BLANK",'1A'!H13)</f>
        <v>-16.882000000000001</v>
      </c>
    </row>
    <row r="33" spans="2:7">
      <c r="B33" s="1657" t="str">
        <f>'1A'!AG14</f>
        <v>FT01641DSR</v>
      </c>
      <c r="C33" s="1657"/>
      <c r="D33" s="2004"/>
      <c r="E33" s="1658" t="s">
        <v>9033</v>
      </c>
      <c r="F33" s="2004"/>
      <c r="G33" s="2004">
        <f>IF('1A'!H14="","##BLANK",'1A'!H14)</f>
        <v>0</v>
      </c>
    </row>
    <row r="34" spans="2:7">
      <c r="B34" s="1657" t="str">
        <f>'1A'!AG15</f>
        <v>A10011DSR</v>
      </c>
      <c r="C34" s="1657"/>
      <c r="D34" s="2004"/>
      <c r="E34" s="1658" t="s">
        <v>9033</v>
      </c>
      <c r="F34" s="2004"/>
      <c r="G34" s="2004">
        <f>IF('1A'!H15="","##BLANK",'1A'!H15)</f>
        <v>-13.261000000000001</v>
      </c>
    </row>
    <row r="35" spans="2:7">
      <c r="B35" s="1657" t="str">
        <f>'1A'!AG17</f>
        <v>A10012DSR</v>
      </c>
      <c r="C35" s="1657"/>
      <c r="D35" s="2004"/>
      <c r="E35" s="1658" t="s">
        <v>9033</v>
      </c>
      <c r="F35" s="2004"/>
      <c r="G35" s="2004">
        <f>IF('1A'!H17="","##BLANK",'1A'!H17)</f>
        <v>0</v>
      </c>
    </row>
    <row r="36" spans="2:7">
      <c r="B36" s="1657" t="str">
        <f>'1A'!AG18</f>
        <v>BO3305DSR</v>
      </c>
      <c r="C36" s="1657"/>
      <c r="D36" s="2004"/>
      <c r="E36" s="1658" t="s">
        <v>9033</v>
      </c>
      <c r="F36" s="2004"/>
      <c r="G36" s="2004">
        <f>IF('1A'!H18="","##BLANK",'1A'!H18)</f>
        <v>-13.261000000000001</v>
      </c>
    </row>
    <row r="37" spans="2:7">
      <c r="B37" s="1657" t="str">
        <f>'1A'!AG20</f>
        <v>BO3351DSR</v>
      </c>
      <c r="C37" s="1657"/>
      <c r="D37" s="2004"/>
      <c r="E37" s="1658" t="s">
        <v>9033</v>
      </c>
      <c r="F37" s="2004"/>
      <c r="G37" s="2004">
        <f>IF('1A'!H20="","##BLANK",'1A'!H20)</f>
        <v>0</v>
      </c>
    </row>
    <row r="38" spans="2:7">
      <c r="B38" s="1657" t="str">
        <f>'1A'!AG21</f>
        <v>BO3352DSR</v>
      </c>
      <c r="C38" s="1657"/>
      <c r="D38" s="2004"/>
      <c r="E38" s="1658" t="s">
        <v>9033</v>
      </c>
      <c r="F38" s="2004"/>
      <c r="G38" s="2004">
        <f>IF('1A'!H21="","##BLANK",'1A'!H21)</f>
        <v>4.96</v>
      </c>
    </row>
    <row r="39" spans="2:7">
      <c r="B39" s="1657" t="str">
        <f>'1A'!AG22</f>
        <v>BO2530DSR</v>
      </c>
      <c r="C39" s="1657"/>
      <c r="D39" s="2004"/>
      <c r="E39" s="1658" t="s">
        <v>9033</v>
      </c>
      <c r="F39" s="2004"/>
      <c r="G39" s="2004">
        <f>IF('1A'!H22="","##BLANK",'1A'!H22)</f>
        <v>-8.3010000000000019</v>
      </c>
    </row>
    <row r="40" spans="2:7">
      <c r="B40" s="1657" t="str">
        <f>'1A'!AG24</f>
        <v>BO3402DSR</v>
      </c>
      <c r="C40" s="1657"/>
      <c r="D40" s="2004"/>
      <c r="E40" s="1658" t="s">
        <v>9033</v>
      </c>
      <c r="F40" s="2004"/>
      <c r="G40" s="2004">
        <f>IF('1A'!H24="","##BLANK",'1A'!H24)</f>
        <v>0</v>
      </c>
    </row>
    <row r="41" spans="2:7">
      <c r="B41" s="1657" t="str">
        <f>'1A'!AG27</f>
        <v>BO3354DSR</v>
      </c>
      <c r="C41" s="1657"/>
      <c r="D41" s="2004"/>
      <c r="E41" s="1658" t="s">
        <v>9033</v>
      </c>
      <c r="F41" s="2004"/>
      <c r="G41" s="2004">
        <f>IF('1A'!H27="","##BLANK",'1A'!H27)</f>
        <v>0</v>
      </c>
    </row>
    <row r="42" spans="2:7">
      <c r="B42" s="1657" t="str">
        <f>'1A'!AG28</f>
        <v>BO3355DSR</v>
      </c>
      <c r="C42" s="1657"/>
      <c r="D42" s="2004"/>
      <c r="E42" s="1658" t="s">
        <v>9033</v>
      </c>
      <c r="F42" s="2004"/>
      <c r="G42" s="2004">
        <f>IF('1A'!H28="","##BLANK",'1A'!H28)</f>
        <v>0</v>
      </c>
    </row>
    <row r="43" spans="2:7" ht="15" thickBot="1">
      <c r="B43" s="1657" t="str">
        <f>'1A'!AG29</f>
        <v>BO3353DSR</v>
      </c>
      <c r="C43" s="1657"/>
      <c r="D43" s="2004"/>
      <c r="E43" s="1658" t="s">
        <v>9033</v>
      </c>
      <c r="F43" s="2004"/>
      <c r="G43" s="2004">
        <f>IF('1A'!H29="","##BLANK",'1A'!H29)</f>
        <v>0</v>
      </c>
    </row>
    <row r="44" spans="2:7">
      <c r="B44" s="1660" t="str">
        <f>'1A'!AH6</f>
        <v>BO1180NA</v>
      </c>
      <c r="C44" s="1660"/>
      <c r="D44" s="2004"/>
      <c r="E44" s="1658" t="s">
        <v>9033</v>
      </c>
      <c r="F44" s="2004"/>
      <c r="G44" s="2004">
        <f>IF('1A'!I6="","##BLANK",'1A'!I6)</f>
        <v>14.603999999999999</v>
      </c>
    </row>
    <row r="45" spans="2:7">
      <c r="B45" s="1657" t="str">
        <f>'1A'!AH7</f>
        <v>BO2560NA</v>
      </c>
      <c r="C45" s="1657"/>
      <c r="D45" s="2004"/>
      <c r="E45" s="1658" t="s">
        <v>9033</v>
      </c>
      <c r="F45" s="2004"/>
      <c r="G45" s="2004">
        <f>IF('1A'!I7="","##BLANK",'1A'!I7)</f>
        <v>-12.756</v>
      </c>
    </row>
    <row r="46" spans="2:7">
      <c r="B46" s="1657" t="str">
        <f>'1A'!AH8</f>
        <v>BO1980NA</v>
      </c>
      <c r="C46" s="1657"/>
      <c r="D46" s="2004"/>
      <c r="E46" s="1658" t="s">
        <v>9033</v>
      </c>
      <c r="F46" s="2004"/>
      <c r="G46" s="2004">
        <f>IF('1A'!I8="","##BLANK",'1A'!I8)</f>
        <v>0</v>
      </c>
    </row>
    <row r="47" spans="2:7">
      <c r="B47" s="1657" t="str">
        <f>'1A'!AH9</f>
        <v>BO2060NA</v>
      </c>
      <c r="C47" s="1657"/>
      <c r="D47" s="2004"/>
      <c r="E47" s="1658" t="s">
        <v>9033</v>
      </c>
      <c r="F47" s="2004"/>
      <c r="G47" s="2004">
        <f>IF('1A'!I9="","##BLANK",'1A'!I9)</f>
        <v>1.847999999999999</v>
      </c>
    </row>
    <row r="48" spans="2:7">
      <c r="B48" s="1657" t="str">
        <f>'1A'!AH11</f>
        <v>BO3301NA</v>
      </c>
      <c r="C48" s="1657"/>
      <c r="D48" s="2004"/>
      <c r="E48" s="1658" t="s">
        <v>9033</v>
      </c>
      <c r="F48" s="2004"/>
      <c r="G48" s="2004">
        <f>IF('1A'!I11="","##BLANK",'1A'!I11)</f>
        <v>0.14000000000000001</v>
      </c>
    </row>
    <row r="49" spans="2:7">
      <c r="B49" s="1657" t="str">
        <f>'1A'!AH12</f>
        <v>A10008NA</v>
      </c>
      <c r="C49" s="1657"/>
      <c r="D49" s="2004"/>
      <c r="E49" s="1658" t="s">
        <v>9033</v>
      </c>
      <c r="F49" s="2004"/>
      <c r="G49" s="2004">
        <f>IF('1A'!I12="","##BLANK",'1A'!I12)</f>
        <v>0</v>
      </c>
    </row>
    <row r="50" spans="2:7">
      <c r="B50" s="1657" t="str">
        <f>'1A'!AH13</f>
        <v>A10009NA</v>
      </c>
      <c r="C50" s="1657"/>
      <c r="D50" s="2004"/>
      <c r="E50" s="1658" t="s">
        <v>9033</v>
      </c>
      <c r="F50" s="2004"/>
      <c r="G50" s="2004">
        <f>IF('1A'!I13="","##BLANK",'1A'!I13)</f>
        <v>0</v>
      </c>
    </row>
    <row r="51" spans="2:7">
      <c r="B51" s="1657" t="str">
        <f>'1A'!AH14</f>
        <v>FT01641NA</v>
      </c>
      <c r="C51" s="1657"/>
      <c r="D51" s="2004"/>
      <c r="E51" s="1658" t="s">
        <v>9033</v>
      </c>
      <c r="F51" s="2004"/>
      <c r="G51" s="2004">
        <f>IF('1A'!I14="","##BLANK",'1A'!I14)</f>
        <v>0</v>
      </c>
    </row>
    <row r="52" spans="2:7">
      <c r="B52" s="1657" t="str">
        <f>'1A'!AH15</f>
        <v>A10011NA</v>
      </c>
      <c r="C52" s="1657"/>
      <c r="D52" s="2004"/>
      <c r="E52" s="1658" t="s">
        <v>9033</v>
      </c>
      <c r="F52" s="2004"/>
      <c r="G52" s="2004">
        <f>IF('1A'!I15="","##BLANK",'1A'!I15)</f>
        <v>1.9879999999999991</v>
      </c>
    </row>
    <row r="53" spans="2:7">
      <c r="B53" s="1657" t="str">
        <f>'1A'!AH17</f>
        <v>A10012NA</v>
      </c>
      <c r="C53" s="1657"/>
      <c r="D53" s="2004"/>
      <c r="E53" s="1658" t="s">
        <v>9033</v>
      </c>
      <c r="F53" s="2004"/>
      <c r="G53" s="2004">
        <f>IF('1A'!I17="","##BLANK",'1A'!I17)</f>
        <v>0</v>
      </c>
    </row>
    <row r="54" spans="2:7">
      <c r="B54" s="1657" t="str">
        <f>'1A'!AH18</f>
        <v>BO3305NA</v>
      </c>
      <c r="C54" s="1657"/>
      <c r="D54" s="2004"/>
      <c r="E54" s="1658" t="s">
        <v>9033</v>
      </c>
      <c r="F54" s="2004"/>
      <c r="G54" s="2004">
        <f>IF('1A'!I18="","##BLANK",'1A'!I18)</f>
        <v>1.9879999999999991</v>
      </c>
    </row>
    <row r="55" spans="2:7">
      <c r="B55" s="1657" t="str">
        <f>'1A'!AH20</f>
        <v>BO3351NA</v>
      </c>
      <c r="C55" s="1657"/>
      <c r="D55" s="2004"/>
      <c r="E55" s="1658" t="s">
        <v>9033</v>
      </c>
      <c r="F55" s="2004"/>
      <c r="G55" s="2004">
        <f>IF('1A'!I20="","##BLANK",'1A'!I20)</f>
        <v>-0.38200000000000001</v>
      </c>
    </row>
    <row r="56" spans="2:7">
      <c r="B56" s="1657" t="str">
        <f>'1A'!AH21</f>
        <v>BO3352NA</v>
      </c>
      <c r="C56" s="1657"/>
      <c r="D56" s="2004"/>
      <c r="E56" s="1658" t="s">
        <v>9033</v>
      </c>
      <c r="F56" s="2004"/>
      <c r="G56" s="2004">
        <f>IF('1A'!I21="","##BLANK",'1A'!I21)</f>
        <v>0</v>
      </c>
    </row>
    <row r="57" spans="2:7">
      <c r="B57" s="1657" t="str">
        <f>'1A'!AH22</f>
        <v>BO2530NA</v>
      </c>
      <c r="C57" s="1657"/>
      <c r="D57" s="2004"/>
      <c r="E57" s="1658" t="s">
        <v>9033</v>
      </c>
      <c r="F57" s="2004"/>
      <c r="G57" s="2004">
        <f>IF('1A'!I22="","##BLANK",'1A'!I22)</f>
        <v>1.605999999999999</v>
      </c>
    </row>
    <row r="58" spans="2:7">
      <c r="B58" s="1657" t="str">
        <f>'1A'!AH24</f>
        <v>BO3402NA</v>
      </c>
      <c r="C58" s="1657"/>
      <c r="D58" s="2004"/>
      <c r="E58" s="1658" t="s">
        <v>9033</v>
      </c>
      <c r="F58" s="2004"/>
      <c r="G58" s="2004">
        <f>IF('1A'!I24="","##BLANK",'1A'!I24)</f>
        <v>0</v>
      </c>
    </row>
    <row r="59" spans="2:7">
      <c r="B59" s="1657" t="str">
        <f>'1A'!AH27</f>
        <v>BO3354NA</v>
      </c>
      <c r="C59" s="1657"/>
      <c r="D59" s="2004"/>
      <c r="E59" s="1658" t="s">
        <v>9033</v>
      </c>
      <c r="F59" s="2004"/>
      <c r="G59" s="2004">
        <f>IF('1A'!I27="","##BLANK",'1A'!I27)</f>
        <v>0.38200000000000001</v>
      </c>
    </row>
    <row r="60" spans="2:7">
      <c r="B60" s="1657" t="str">
        <f>'1A'!AH28</f>
        <v>BO3355NA</v>
      </c>
      <c r="C60" s="1657"/>
      <c r="D60" s="2004"/>
      <c r="E60" s="1658" t="s">
        <v>9033</v>
      </c>
      <c r="F60" s="2004"/>
      <c r="G60" s="2004">
        <f>IF('1A'!I28="","##BLANK",'1A'!I28)</f>
        <v>0</v>
      </c>
    </row>
    <row r="61" spans="2:7" ht="15" thickBot="1">
      <c r="B61" s="1657" t="str">
        <f>'1A'!AH29</f>
        <v>BO3353NA</v>
      </c>
      <c r="C61" s="1657"/>
      <c r="D61" s="2004"/>
      <c r="E61" s="1658" t="s">
        <v>9033</v>
      </c>
      <c r="F61" s="2004"/>
      <c r="G61" s="2004">
        <f>IF('1A'!I29="","##BLANK",'1A'!I29)</f>
        <v>0.38200000000000001</v>
      </c>
    </row>
    <row r="62" spans="2:7">
      <c r="B62" s="1660" t="str">
        <f>'1A'!AI6</f>
        <v>BO1180ADJ</v>
      </c>
      <c r="C62" s="1660"/>
      <c r="D62" s="2004"/>
      <c r="E62" s="1658" t="s">
        <v>9033</v>
      </c>
      <c r="F62" s="2004"/>
      <c r="G62" s="2004">
        <f>IF('1A'!J6="","##BLANK",'1A'!J6)</f>
        <v>-6.1759999999999984</v>
      </c>
    </row>
    <row r="63" spans="2:7">
      <c r="B63" s="1657" t="str">
        <f>'1A'!AI7</f>
        <v>BO2560ADJ</v>
      </c>
      <c r="C63" s="1657"/>
      <c r="D63" s="2004"/>
      <c r="E63" s="1658" t="s">
        <v>9033</v>
      </c>
      <c r="F63" s="2004"/>
      <c r="G63" s="2004">
        <f>IF('1A'!J7="","##BLANK",'1A'!J7)</f>
        <v>-2.9580000000000002</v>
      </c>
    </row>
    <row r="64" spans="2:7">
      <c r="B64" s="1657" t="str">
        <f>'1A'!AI8</f>
        <v>BO1980ADJ</v>
      </c>
      <c r="C64" s="1657"/>
      <c r="D64" s="2004"/>
      <c r="E64" s="1658" t="s">
        <v>9033</v>
      </c>
      <c r="F64" s="2004"/>
      <c r="G64" s="2004">
        <f>IF('1A'!J8="","##BLANK",'1A'!J8)</f>
        <v>0</v>
      </c>
    </row>
    <row r="65" spans="2:7">
      <c r="B65" s="1657" t="str">
        <f>'1A'!AI9</f>
        <v>BO2060ADJ</v>
      </c>
      <c r="C65" s="1657"/>
      <c r="D65" s="2004"/>
      <c r="E65" s="1658" t="s">
        <v>9033</v>
      </c>
      <c r="F65" s="2004"/>
      <c r="G65" s="2004">
        <f>IF('1A'!J9="","##BLANK",'1A'!J9)</f>
        <v>-9.1339999999999986</v>
      </c>
    </row>
    <row r="66" spans="2:7">
      <c r="B66" s="1657" t="str">
        <f>'1A'!AI11</f>
        <v>BO3301ADJ</v>
      </c>
      <c r="C66" s="1657"/>
      <c r="D66" s="2004"/>
      <c r="E66" s="1658" t="s">
        <v>9033</v>
      </c>
      <c r="F66" s="2004"/>
      <c r="G66" s="2004">
        <f>IF('1A'!J11="","##BLANK",'1A'!J11)</f>
        <v>10.766999999999999</v>
      </c>
    </row>
    <row r="67" spans="2:7">
      <c r="B67" s="1657" t="str">
        <f>'1A'!AI12</f>
        <v>A10008ADJ</v>
      </c>
      <c r="C67" s="1657"/>
      <c r="D67" s="2004"/>
      <c r="E67" s="1658" t="s">
        <v>9033</v>
      </c>
      <c r="F67" s="2004"/>
      <c r="G67" s="2004">
        <f>IF('1A'!J12="","##BLANK",'1A'!J12)</f>
        <v>0</v>
      </c>
    </row>
    <row r="68" spans="2:7">
      <c r="B68" s="1657" t="str">
        <f>'1A'!AI13</f>
        <v>A10009ADJ</v>
      </c>
      <c r="C68" s="1657"/>
      <c r="D68" s="2004"/>
      <c r="E68" s="1658" t="s">
        <v>9033</v>
      </c>
      <c r="F68" s="2004"/>
      <c r="G68" s="2004">
        <f>IF('1A'!J13="","##BLANK",'1A'!J13)</f>
        <v>-16.882000000000001</v>
      </c>
    </row>
    <row r="69" spans="2:7">
      <c r="B69" s="1657" t="str">
        <f>'1A'!AI14</f>
        <v>FT01641ADJ</v>
      </c>
      <c r="C69" s="1657"/>
      <c r="D69" s="2004"/>
      <c r="E69" s="1658" t="s">
        <v>9033</v>
      </c>
      <c r="F69" s="2004"/>
      <c r="G69" s="2004">
        <f>IF('1A'!J14="","##BLANK",'1A'!J14)</f>
        <v>0</v>
      </c>
    </row>
    <row r="70" spans="2:7">
      <c r="B70" s="1657" t="str">
        <f>'1A'!AI15</f>
        <v>A10011ADJ</v>
      </c>
      <c r="C70" s="1657"/>
      <c r="D70" s="2004"/>
      <c r="E70" s="1658" t="s">
        <v>9033</v>
      </c>
      <c r="F70" s="2004"/>
      <c r="G70" s="2004">
        <f>IF('1A'!J15="","##BLANK",'1A'!J15)</f>
        <v>-15.249000000000001</v>
      </c>
    </row>
    <row r="71" spans="2:7">
      <c r="B71" s="1657" t="str">
        <f>'1A'!AI17</f>
        <v>A10012ADJ</v>
      </c>
      <c r="C71" s="1657"/>
      <c r="D71" s="2004"/>
      <c r="E71" s="1658" t="s">
        <v>9033</v>
      </c>
      <c r="F71" s="2004"/>
      <c r="G71" s="2004">
        <f>IF('1A'!J17="","##BLANK",'1A'!J17)</f>
        <v>0</v>
      </c>
    </row>
    <row r="72" spans="2:7">
      <c r="B72" s="1657" t="str">
        <f>'1A'!AI18</f>
        <v>BO3305ADJ</v>
      </c>
      <c r="C72" s="1657"/>
      <c r="D72" s="2004"/>
      <c r="E72" s="1658" t="s">
        <v>9033</v>
      </c>
      <c r="F72" s="2004"/>
      <c r="G72" s="2004">
        <f>IF('1A'!J18="","##BLANK",'1A'!J18)</f>
        <v>-15.249000000000001</v>
      </c>
    </row>
    <row r="73" spans="2:7">
      <c r="B73" s="1657" t="str">
        <f>'1A'!AI20</f>
        <v>BO3351ADJ</v>
      </c>
      <c r="C73" s="1657"/>
      <c r="D73" s="2004"/>
      <c r="E73" s="1658" t="s">
        <v>9033</v>
      </c>
      <c r="F73" s="2004"/>
      <c r="G73" s="2004">
        <f>IF('1A'!J20="","##BLANK",'1A'!J20)</f>
        <v>0.38200000000000001</v>
      </c>
    </row>
    <row r="74" spans="2:7">
      <c r="B74" s="1657" t="str">
        <f>'1A'!AI21</f>
        <v>BO3352ADJ</v>
      </c>
      <c r="C74" s="1657"/>
      <c r="D74" s="2004"/>
      <c r="E74" s="1658" t="s">
        <v>9033</v>
      </c>
      <c r="F74" s="2004"/>
      <c r="G74" s="2004">
        <f>IF('1A'!J21="","##BLANK",'1A'!J21)</f>
        <v>4.96</v>
      </c>
    </row>
    <row r="75" spans="2:7">
      <c r="B75" s="1657" t="str">
        <f>'1A'!AI22</f>
        <v>BO2530ADJ</v>
      </c>
      <c r="C75" s="1657"/>
      <c r="D75" s="2004"/>
      <c r="E75" s="1658" t="s">
        <v>9033</v>
      </c>
      <c r="F75" s="2004"/>
      <c r="G75" s="2004">
        <f>IF('1A'!J22="","##BLANK",'1A'!J22)</f>
        <v>-9.907</v>
      </c>
    </row>
    <row r="76" spans="2:7">
      <c r="B76" s="1657" t="str">
        <f>'1A'!AI24</f>
        <v>BO3402ADJ</v>
      </c>
      <c r="C76" s="1657"/>
      <c r="D76" s="2004"/>
      <c r="E76" s="1658" t="s">
        <v>9033</v>
      </c>
      <c r="F76" s="2004"/>
      <c r="G76" s="2004">
        <f>IF('1A'!J24="","##BLANK",'1A'!J24)</f>
        <v>0</v>
      </c>
    </row>
    <row r="77" spans="2:7">
      <c r="B77" s="1657" t="str">
        <f>'1A'!AI27</f>
        <v>BO3354ADJ</v>
      </c>
      <c r="C77" s="1657"/>
      <c r="D77" s="2004"/>
      <c r="E77" s="1658" t="s">
        <v>9033</v>
      </c>
      <c r="F77" s="2004"/>
      <c r="G77" s="2004">
        <f>IF('1A'!J27="","##BLANK",'1A'!J27)</f>
        <v>-0.38200000000000001</v>
      </c>
    </row>
    <row r="78" spans="2:7">
      <c r="B78" s="1657" t="str">
        <f>'1A'!AI28</f>
        <v>BO3355ADJ</v>
      </c>
      <c r="C78" s="1657"/>
      <c r="D78" s="2004"/>
      <c r="E78" s="1658" t="s">
        <v>9033</v>
      </c>
      <c r="F78" s="2004"/>
      <c r="G78" s="2004">
        <f>IF('1A'!J28="","##BLANK",'1A'!J28)</f>
        <v>0</v>
      </c>
    </row>
    <row r="79" spans="2:7" ht="15" thickBot="1">
      <c r="B79" s="1657" t="str">
        <f>'1A'!AI29</f>
        <v>BO3353ADJ</v>
      </c>
      <c r="C79" s="1657"/>
      <c r="D79" s="2004"/>
      <c r="E79" s="1658" t="s">
        <v>9033</v>
      </c>
      <c r="F79" s="2004"/>
      <c r="G79" s="2004">
        <f>IF('1A'!J29="","##BLANK",'1A'!J29)</f>
        <v>-0.38200000000000001</v>
      </c>
    </row>
    <row r="80" spans="2:7">
      <c r="B80" s="1660" t="str">
        <f>'1A'!AJ6</f>
        <v>BO1180</v>
      </c>
      <c r="C80" s="1660"/>
      <c r="D80" s="2004"/>
      <c r="E80" s="1658" t="s">
        <v>9033</v>
      </c>
      <c r="F80" s="2004"/>
      <c r="G80" s="2004">
        <f>IF('1A'!K6="","##BLANK",'1A'!K6)</f>
        <v>1057.213</v>
      </c>
    </row>
    <row r="81" spans="2:7">
      <c r="B81" s="1657" t="str">
        <f>'1A'!AJ7</f>
        <v>BO2560</v>
      </c>
      <c r="C81" s="1657"/>
      <c r="D81" s="2004"/>
      <c r="E81" s="1658" t="s">
        <v>9033</v>
      </c>
      <c r="F81" s="2004"/>
      <c r="G81" s="2004">
        <f>IF('1A'!K7="","##BLANK",'1A'!K7)</f>
        <v>-863.83699999999999</v>
      </c>
    </row>
    <row r="82" spans="2:7">
      <c r="B82" s="1657" t="str">
        <f>'1A'!AJ8</f>
        <v>BO1980</v>
      </c>
      <c r="C82" s="1657"/>
      <c r="D82" s="2004"/>
      <c r="E82" s="1658" t="s">
        <v>9033</v>
      </c>
      <c r="F82" s="2004"/>
      <c r="G82" s="2004">
        <f>IF('1A'!K8="","##BLANK",'1A'!K8)</f>
        <v>7.7869999999999999</v>
      </c>
    </row>
    <row r="83" spans="2:7">
      <c r="B83" s="1657" t="str">
        <f>'1A'!AJ9</f>
        <v>BO2060</v>
      </c>
      <c r="C83" s="1657"/>
      <c r="D83" s="2004"/>
      <c r="E83" s="1658" t="s">
        <v>9033</v>
      </c>
      <c r="F83" s="2004"/>
      <c r="G83" s="2004">
        <f>IF('1A'!K9="","##BLANK",'1A'!K9)</f>
        <v>201.1629999999999</v>
      </c>
    </row>
    <row r="84" spans="2:7">
      <c r="B84" s="1657" t="str">
        <f>'1A'!AJ11</f>
        <v>BO3301</v>
      </c>
      <c r="C84" s="1657"/>
      <c r="D84" s="2004"/>
      <c r="E84" s="1658" t="s">
        <v>9033</v>
      </c>
      <c r="F84" s="2004"/>
      <c r="G84" s="2004">
        <f>IF('1A'!K11="","##BLANK",'1A'!K11)</f>
        <v>12.904999999999999</v>
      </c>
    </row>
    <row r="85" spans="2:7">
      <c r="B85" s="1657" t="str">
        <f>'1A'!AJ12</f>
        <v>A10008APP</v>
      </c>
      <c r="C85" s="1657"/>
      <c r="D85" s="2004"/>
      <c r="E85" s="1658" t="s">
        <v>9033</v>
      </c>
      <c r="F85" s="2004"/>
      <c r="G85" s="2004">
        <f>IF('1A'!K12="","##BLANK",'1A'!K12)</f>
        <v>50.508000000000003</v>
      </c>
    </row>
    <row r="86" spans="2:7">
      <c r="B86" s="1657" t="str">
        <f>'1A'!AJ13</f>
        <v>A10009APP</v>
      </c>
      <c r="C86" s="1657"/>
      <c r="D86" s="2004"/>
      <c r="E86" s="1658" t="s">
        <v>9033</v>
      </c>
      <c r="F86" s="2004"/>
      <c r="G86" s="2004">
        <f>IF('1A'!K13="","##BLANK",'1A'!K13)</f>
        <v>-209.88400000000001</v>
      </c>
    </row>
    <row r="87" spans="2:7">
      <c r="B87" s="1657" t="str">
        <f>'1A'!AJ14</f>
        <v>FT01641</v>
      </c>
      <c r="C87" s="1657"/>
      <c r="D87" s="2004"/>
      <c r="E87" s="1658" t="s">
        <v>9033</v>
      </c>
      <c r="F87" s="2004"/>
      <c r="G87" s="2004">
        <f>IF('1A'!K14="","##BLANK",'1A'!K14)</f>
        <v>0</v>
      </c>
    </row>
    <row r="88" spans="2:7">
      <c r="B88" s="1657" t="str">
        <f>'1A'!AJ15</f>
        <v>A10011APP</v>
      </c>
      <c r="C88" s="1657"/>
      <c r="D88" s="2004"/>
      <c r="E88" s="1658" t="s">
        <v>9033</v>
      </c>
      <c r="F88" s="2004"/>
      <c r="G88" s="2004">
        <f>IF('1A'!K15="","##BLANK",'1A'!K15)</f>
        <v>54.691999999999886</v>
      </c>
    </row>
    <row r="89" spans="2:7">
      <c r="B89" s="1657" t="str">
        <f>'1A'!AJ17</f>
        <v>A10012APP</v>
      </c>
      <c r="C89" s="1657"/>
      <c r="D89" s="2004"/>
      <c r="E89" s="1658" t="s">
        <v>9033</v>
      </c>
      <c r="F89" s="2004"/>
      <c r="G89" s="2004">
        <f>IF('1A'!K17="","##BLANK",'1A'!K17)</f>
        <v>-35.905999999999999</v>
      </c>
    </row>
    <row r="90" spans="2:7">
      <c r="B90" s="1657" t="str">
        <f>'1A'!AJ18</f>
        <v>BO3305</v>
      </c>
      <c r="C90" s="1657"/>
      <c r="D90" s="2004"/>
      <c r="E90" s="1658" t="s">
        <v>9033</v>
      </c>
      <c r="F90" s="2004"/>
      <c r="G90" s="2004">
        <f>IF('1A'!K18="","##BLANK",'1A'!K18)</f>
        <v>18.785999999999888</v>
      </c>
    </row>
    <row r="91" spans="2:7">
      <c r="B91" s="1657" t="str">
        <f>'1A'!AJ20</f>
        <v>BO3351</v>
      </c>
      <c r="C91" s="1657"/>
      <c r="D91" s="2004"/>
      <c r="E91" s="1658" t="s">
        <v>9033</v>
      </c>
      <c r="F91" s="2004"/>
      <c r="G91" s="2004">
        <f>IF('1A'!K20="","##BLANK",'1A'!K20)</f>
        <v>-13.65</v>
      </c>
    </row>
    <row r="92" spans="2:7">
      <c r="B92" s="1657" t="str">
        <f>'1A'!AJ21</f>
        <v>BO3352</v>
      </c>
      <c r="C92" s="1657"/>
      <c r="D92" s="2004"/>
      <c r="E92" s="1658" t="s">
        <v>9033</v>
      </c>
      <c r="F92" s="2004"/>
      <c r="G92" s="2004">
        <f>IF('1A'!K21="","##BLANK",'1A'!K21)</f>
        <v>-16.77</v>
      </c>
    </row>
    <row r="93" spans="2:7">
      <c r="B93" s="1657" t="str">
        <f>'1A'!AJ22</f>
        <v>BO2530</v>
      </c>
      <c r="C93" s="1657"/>
      <c r="D93" s="2004"/>
      <c r="E93" s="1658" t="s">
        <v>9033</v>
      </c>
      <c r="F93" s="2004"/>
      <c r="G93" s="2004">
        <f>IF('1A'!K22="","##BLANK",'1A'!K22)</f>
        <v>-11.63400000000011</v>
      </c>
    </row>
    <row r="94" spans="2:7">
      <c r="B94" s="1657" t="str">
        <f>'1A'!AJ24</f>
        <v>BO3402</v>
      </c>
      <c r="C94" s="1657"/>
      <c r="D94" s="2004"/>
      <c r="E94" s="1658" t="s">
        <v>9033</v>
      </c>
      <c r="F94" s="2004"/>
      <c r="G94" s="2004">
        <f>IF('1A'!K24="","##BLANK",'1A'!K24)</f>
        <v>-110.029</v>
      </c>
    </row>
    <row r="95" spans="2:7">
      <c r="B95" s="1657" t="str">
        <f>'1A'!AJ27</f>
        <v>BO3354</v>
      </c>
      <c r="C95" s="1657"/>
      <c r="D95" s="2004"/>
      <c r="E95" s="1658" t="s">
        <v>9033</v>
      </c>
      <c r="F95" s="2004"/>
      <c r="G95" s="2004">
        <f>IF('1A'!K27="","##BLANK",'1A'!K27)</f>
        <v>14.894</v>
      </c>
    </row>
    <row r="96" spans="2:7">
      <c r="B96" s="1657" t="str">
        <f>'1A'!AJ28</f>
        <v>BO3355</v>
      </c>
      <c r="C96" s="1657"/>
      <c r="D96" s="2004"/>
      <c r="E96" s="1658" t="s">
        <v>9033</v>
      </c>
      <c r="F96" s="2004"/>
      <c r="G96" s="2004">
        <f>IF('1A'!K28="","##BLANK",'1A'!K28)</f>
        <v>-1.244</v>
      </c>
    </row>
    <row r="97" spans="2:7">
      <c r="B97" s="1657" t="str">
        <f>'1A'!AJ29</f>
        <v>BO3353</v>
      </c>
      <c r="C97" s="1657"/>
      <c r="D97" s="2004"/>
      <c r="E97" s="1658" t="s">
        <v>9033</v>
      </c>
      <c r="F97" s="2004"/>
      <c r="G97" s="2004">
        <f>IF('1A'!K29="","##BLANK",'1A'!K29)</f>
        <v>13.65</v>
      </c>
    </row>
    <row r="98" spans="2:7">
      <c r="B98" s="848" t="str">
        <f>'1B'!AF7</f>
        <v>BO2550STAT</v>
      </c>
      <c r="D98" s="2004"/>
      <c r="E98" s="1658" t="s">
        <v>9033</v>
      </c>
      <c r="F98" s="2004"/>
      <c r="G98" s="2004">
        <f>IF('1B'!G7="","##BLANK",'1B'!G7)</f>
        <v>0</v>
      </c>
    </row>
    <row r="99" spans="2:7">
      <c r="B99" s="848" t="str">
        <f>'1B'!AF8</f>
        <v>BO2553STAT</v>
      </c>
      <c r="D99" s="2004"/>
      <c r="E99" s="1658" t="s">
        <v>9033</v>
      </c>
      <c r="F99" s="2004"/>
      <c r="G99" s="2004">
        <f>IF('1B'!G8="","##BLANK",'1B'!G8)</f>
        <v>-165.43600000000001</v>
      </c>
    </row>
    <row r="100" spans="2:7">
      <c r="B100" s="848" t="str">
        <f>'1B'!AF9</f>
        <v>BO2554STAT</v>
      </c>
      <c r="D100" s="2004"/>
      <c r="E100" s="1658" t="s">
        <v>9033</v>
      </c>
      <c r="F100" s="2004"/>
      <c r="G100" s="2004">
        <f>IF('1B'!G9="","##BLANK",'1B'!G9)</f>
        <v>-167.16300000000012</v>
      </c>
    </row>
    <row r="101" spans="2:7">
      <c r="B101" s="848" t="str">
        <f>'1B'!AG7</f>
        <v>BO2550DSR</v>
      </c>
      <c r="D101" s="2004"/>
      <c r="E101" s="1658" t="s">
        <v>9033</v>
      </c>
      <c r="F101" s="2004"/>
      <c r="G101" s="2004">
        <f>IF('1B'!H7="","##BLANK",'1B'!H7)</f>
        <v>0</v>
      </c>
    </row>
    <row r="102" spans="2:7">
      <c r="B102" s="848" t="str">
        <f>'1B'!AG8</f>
        <v>BO2553DSR</v>
      </c>
      <c r="D102" s="2004"/>
      <c r="E102" s="1658" t="s">
        <v>9033</v>
      </c>
      <c r="F102" s="2004"/>
      <c r="G102" s="2004">
        <f>IF('1B'!H8="","##BLANK",'1B'!H8)</f>
        <v>0</v>
      </c>
    </row>
    <row r="103" spans="2:7">
      <c r="B103" s="848" t="str">
        <f>'1B'!AG9</f>
        <v>BO2554DSR</v>
      </c>
      <c r="D103" s="2004"/>
      <c r="E103" s="1658" t="s">
        <v>9033</v>
      </c>
      <c r="F103" s="2004"/>
      <c r="G103" s="2004">
        <f>IF('1B'!H9="","##BLANK",'1B'!H9)</f>
        <v>-8.3010000000000019</v>
      </c>
    </row>
    <row r="104" spans="2:7">
      <c r="B104" s="848" t="str">
        <f>'1B'!AH7</f>
        <v>BO2550NA</v>
      </c>
      <c r="D104" s="2004"/>
      <c r="E104" s="1658" t="s">
        <v>9033</v>
      </c>
      <c r="F104" s="2004"/>
      <c r="G104" s="2004">
        <f>IF('1B'!I7="","##BLANK",'1B'!I7)</f>
        <v>0</v>
      </c>
    </row>
    <row r="105" spans="2:7">
      <c r="B105" s="848" t="str">
        <f>'1B'!AH8</f>
        <v>BO2553NA</v>
      </c>
      <c r="D105" s="2004"/>
      <c r="E105" s="1658" t="s">
        <v>9033</v>
      </c>
      <c r="F105" s="2004"/>
      <c r="G105" s="2004">
        <f>IF('1B'!I8="","##BLANK",'1B'!I8)</f>
        <v>0</v>
      </c>
    </row>
    <row r="106" spans="2:7">
      <c r="B106" s="848" t="str">
        <f>'1B'!AH9</f>
        <v>BO2554NA</v>
      </c>
      <c r="D106" s="2004"/>
      <c r="E106" s="1658" t="s">
        <v>9033</v>
      </c>
      <c r="F106" s="2004"/>
      <c r="G106" s="2004">
        <f>IF('1B'!I9="","##BLANK",'1B'!I9)</f>
        <v>1.605999999999999</v>
      </c>
    </row>
    <row r="107" spans="2:7">
      <c r="B107" s="848" t="str">
        <f>'1B'!AI7</f>
        <v>BO2550ADJ</v>
      </c>
      <c r="D107" s="2004"/>
      <c r="E107" s="1658" t="s">
        <v>9033</v>
      </c>
      <c r="F107" s="2004"/>
      <c r="G107" s="2004">
        <f>IF('1B'!J7="","##BLANK",'1B'!J7)</f>
        <v>0</v>
      </c>
    </row>
    <row r="108" spans="2:7">
      <c r="B108" s="848" t="str">
        <f>'1B'!AI8</f>
        <v>BO2553ADJ</v>
      </c>
      <c r="D108" s="2004"/>
      <c r="E108" s="1658" t="s">
        <v>9033</v>
      </c>
      <c r="F108" s="2004"/>
      <c r="G108" s="2004">
        <f>IF('1B'!J8="","##BLANK",'1B'!J8)</f>
        <v>0</v>
      </c>
    </row>
    <row r="109" spans="2:7">
      <c r="B109" s="848" t="str">
        <f>'1B'!AI9</f>
        <v>BO2554ADJ</v>
      </c>
      <c r="D109" s="2004"/>
      <c r="E109" s="1658" t="s">
        <v>9033</v>
      </c>
      <c r="F109" s="2004"/>
      <c r="G109" s="2004">
        <f>IF('1B'!J9="","##BLANK",'1B'!J9)</f>
        <v>-9.907</v>
      </c>
    </row>
    <row r="110" spans="2:7">
      <c r="B110" s="848" t="str">
        <f>'1B'!AJ7</f>
        <v>BO2550</v>
      </c>
      <c r="D110" s="2004"/>
      <c r="E110" s="1658" t="s">
        <v>9033</v>
      </c>
      <c r="F110" s="2004"/>
      <c r="G110" s="2004">
        <f>IF('1B'!K7="","##BLANK",'1B'!K7)</f>
        <v>0</v>
      </c>
    </row>
    <row r="111" spans="2:7">
      <c r="B111" s="848" t="str">
        <f>'1B'!AJ8</f>
        <v>BO2553</v>
      </c>
      <c r="D111" s="2004"/>
      <c r="E111" s="1658" t="s">
        <v>9033</v>
      </c>
      <c r="F111" s="2004"/>
      <c r="G111" s="2004">
        <f>IF('1B'!K8="","##BLANK",'1B'!K8)</f>
        <v>-165.43600000000001</v>
      </c>
    </row>
    <row r="112" spans="2:7">
      <c r="B112" s="848" t="str">
        <f>'1B'!AJ9</f>
        <v>BO2554</v>
      </c>
      <c r="D112" s="2004"/>
      <c r="E112" s="1658" t="s">
        <v>9033</v>
      </c>
      <c r="F112" s="2004"/>
      <c r="G112" s="2004">
        <f>IF('1B'!K9="","##BLANK",'1B'!K9)</f>
        <v>-177.07000000000014</v>
      </c>
    </row>
    <row r="113" spans="2:7">
      <c r="B113" s="848" t="str">
        <f>'1C'!AF7</f>
        <v>BO4008STAT</v>
      </c>
      <c r="D113" s="2004"/>
      <c r="E113" s="1658" t="s">
        <v>9033</v>
      </c>
      <c r="F113" s="2004"/>
      <c r="G113" s="2004">
        <f>IF('1C'!G7="","##BLANK",'1C'!G7)</f>
        <v>7845.4639999999999</v>
      </c>
    </row>
    <row r="114" spans="2:7">
      <c r="B114" s="848" t="str">
        <f>'1C'!AF8</f>
        <v>A11002STAT</v>
      </c>
      <c r="D114" s="2004"/>
      <c r="E114" s="1658" t="s">
        <v>9033</v>
      </c>
      <c r="F114" s="2004"/>
      <c r="G114" s="2004">
        <f>IF('1C'!G8="","##BLANK",'1C'!G8)</f>
        <v>157.738</v>
      </c>
    </row>
    <row r="115" spans="2:7">
      <c r="B115" s="848" t="str">
        <f>'1C'!AF9</f>
        <v>FT01670STAT</v>
      </c>
      <c r="D115" s="2004"/>
      <c r="E115" s="1658" t="s">
        <v>9033</v>
      </c>
      <c r="F115" s="2004"/>
      <c r="G115" s="2004">
        <f>IF('1C'!G9="","##BLANK",'1C'!G9)</f>
        <v>949.32899999999995</v>
      </c>
    </row>
    <row r="116" spans="2:7">
      <c r="B116" s="848" t="str">
        <f>'1C'!AF10</f>
        <v>FT01680STAT</v>
      </c>
      <c r="D116" s="2004"/>
      <c r="E116" s="1658" t="s">
        <v>9033</v>
      </c>
      <c r="F116" s="2004"/>
      <c r="G116" s="2004">
        <f>IF('1C'!G10="","##BLANK",'1C'!G10)</f>
        <v>2.2450000000000001</v>
      </c>
    </row>
    <row r="117" spans="2:7">
      <c r="B117" s="848" t="str">
        <f>'1C'!AF11</f>
        <v>A11005STAT</v>
      </c>
      <c r="D117" s="2004"/>
      <c r="E117" s="1658" t="s">
        <v>9033</v>
      </c>
      <c r="F117" s="2004"/>
      <c r="G117" s="2004">
        <f>IF('1C'!G11="","##BLANK",'1C'!G11)</f>
        <v>166.59</v>
      </c>
    </row>
    <row r="118" spans="2:7">
      <c r="B118" s="848" t="str">
        <f>'1C'!AF12</f>
        <v>FT01751STAT</v>
      </c>
      <c r="D118" s="2004"/>
      <c r="E118" s="1658" t="s">
        <v>9033</v>
      </c>
      <c r="F118" s="2004"/>
      <c r="G118" s="2004">
        <f>IF('1C'!G12="","##BLANK",'1C'!G12)</f>
        <v>0</v>
      </c>
    </row>
    <row r="119" spans="2:7">
      <c r="B119" s="848" t="str">
        <f>'1C'!AF13</f>
        <v>A11006STAT</v>
      </c>
      <c r="D119" s="2004"/>
      <c r="E119" s="1658" t="s">
        <v>9033</v>
      </c>
      <c r="F119" s="2004"/>
      <c r="G119" s="2004">
        <f>IF('1C'!G13="","##BLANK",'1C'!G13)</f>
        <v>9121.3660000000018</v>
      </c>
    </row>
    <row r="120" spans="2:7">
      <c r="B120" s="848" t="str">
        <f>'1C'!AF16</f>
        <v>BO4084STAT</v>
      </c>
      <c r="D120" s="2004"/>
      <c r="E120" s="1658" t="s">
        <v>9033</v>
      </c>
      <c r="F120" s="2004"/>
      <c r="G120" s="2004">
        <f>IF('1C'!G16="","##BLANK",'1C'!G16)</f>
        <v>3.4380000000000002</v>
      </c>
    </row>
    <row r="121" spans="2:7">
      <c r="B121" s="848" t="str">
        <f>'1C'!AF17</f>
        <v>A11008STAT</v>
      </c>
      <c r="D121" s="2004"/>
      <c r="E121" s="1658" t="s">
        <v>9033</v>
      </c>
      <c r="F121" s="2004"/>
      <c r="G121" s="2004">
        <f>IF('1C'!G17="","##BLANK",'1C'!G17)</f>
        <v>281.39699999999999</v>
      </c>
    </row>
    <row r="122" spans="2:7">
      <c r="B122" s="848" t="str">
        <f>'1C'!AF18</f>
        <v>A11009STAT</v>
      </c>
      <c r="D122" s="2004"/>
      <c r="E122" s="1658" t="s">
        <v>9033</v>
      </c>
      <c r="F122" s="2004"/>
      <c r="G122" s="2004">
        <f>IF('1C'!G18="","##BLANK",'1C'!G18)</f>
        <v>0</v>
      </c>
    </row>
    <row r="123" spans="2:7">
      <c r="B123" s="848" t="str">
        <f>'1C'!AF19</f>
        <v>A11010STAT</v>
      </c>
      <c r="D123" s="2004"/>
      <c r="E123" s="1658" t="s">
        <v>9033</v>
      </c>
      <c r="F123" s="2004"/>
      <c r="G123" s="2004">
        <f>IF('1C'!G19="","##BLANK",'1C'!G19)</f>
        <v>262.36799999999999</v>
      </c>
    </row>
    <row r="124" spans="2:7">
      <c r="B124" s="848" t="str">
        <f>'1C'!AF20</f>
        <v>BO4092STAT</v>
      </c>
      <c r="D124" s="2004"/>
      <c r="E124" s="1658" t="s">
        <v>9033</v>
      </c>
      <c r="F124" s="2004"/>
      <c r="G124" s="2004">
        <f>IF('1C'!G20="","##BLANK",'1C'!G20)</f>
        <v>547.20299999999997</v>
      </c>
    </row>
    <row r="125" spans="2:7">
      <c r="B125" s="848" t="str">
        <f>'1C'!AF23</f>
        <v>A11012STAT</v>
      </c>
      <c r="D125" s="2004"/>
      <c r="E125" s="1658" t="s">
        <v>9033</v>
      </c>
      <c r="F125" s="2004"/>
      <c r="G125" s="2004">
        <f>IF('1C'!G23="","##BLANK",'1C'!G23)</f>
        <v>-275.05200000000002</v>
      </c>
    </row>
    <row r="126" spans="2:7">
      <c r="B126" s="848" t="str">
        <f>'1C'!AF24</f>
        <v>A11013STAT</v>
      </c>
      <c r="D126" s="2004"/>
      <c r="E126" s="1658" t="s">
        <v>9033</v>
      </c>
      <c r="F126" s="2004"/>
      <c r="G126" s="2004">
        <f>IF('1C'!G24="","##BLANK",'1C'!G24)</f>
        <v>-109.126</v>
      </c>
    </row>
    <row r="127" spans="2:7">
      <c r="B127" s="848" t="str">
        <f>'1C'!AF25</f>
        <v>BO4093STAT</v>
      </c>
      <c r="D127" s="2004"/>
      <c r="E127" s="1658" t="s">
        <v>9033</v>
      </c>
      <c r="F127" s="2004"/>
      <c r="G127" s="2004">
        <f>IF('1C'!G25="","##BLANK",'1C'!G25)</f>
        <v>-374.88900000000001</v>
      </c>
    </row>
    <row r="128" spans="2:7">
      <c r="B128" s="848" t="str">
        <f>'1C'!AF26</f>
        <v>A11015STAT</v>
      </c>
      <c r="D128" s="2004"/>
      <c r="E128" s="1658" t="s">
        <v>9033</v>
      </c>
      <c r="F128" s="2004"/>
      <c r="G128" s="2004">
        <f>IF('1C'!G26="","##BLANK",'1C'!G26)</f>
        <v>0</v>
      </c>
    </row>
    <row r="129" spans="2:7">
      <c r="B129" s="848" t="str">
        <f>'1C'!AF27</f>
        <v>A11016STAT</v>
      </c>
      <c r="D129" s="2004"/>
      <c r="E129" s="1658" t="s">
        <v>9033</v>
      </c>
      <c r="F129" s="2004"/>
      <c r="G129" s="2004">
        <f>IF('1C'!G27="","##BLANK",'1C'!G27)</f>
        <v>0</v>
      </c>
    </row>
    <row r="130" spans="2:7">
      <c r="B130" s="848" t="str">
        <f>'1C'!AF28</f>
        <v>A11017STAT</v>
      </c>
      <c r="D130" s="2004"/>
      <c r="E130" s="1658" t="s">
        <v>9033</v>
      </c>
      <c r="F130" s="2004"/>
      <c r="G130" s="2004">
        <f>IF('1C'!G28="","##BLANK",'1C'!G28)</f>
        <v>-11.244999999999999</v>
      </c>
    </row>
    <row r="131" spans="2:7">
      <c r="B131" s="848" t="str">
        <f>'1C'!AF29</f>
        <v>A11018STAT</v>
      </c>
      <c r="D131" s="2004"/>
      <c r="E131" s="1658" t="s">
        <v>9033</v>
      </c>
      <c r="F131" s="2004"/>
      <c r="G131" s="2004">
        <f>IF('1C'!G29="","##BLANK",'1C'!G29)</f>
        <v>-770.31200000000001</v>
      </c>
    </row>
    <row r="132" spans="2:7">
      <c r="B132" s="848" t="str">
        <f>'1C'!AF31</f>
        <v>BO4096STAT</v>
      </c>
      <c r="D132" s="2004"/>
      <c r="E132" s="1658" t="s">
        <v>9033</v>
      </c>
      <c r="F132" s="2004"/>
      <c r="G132" s="2004">
        <f>IF('1C'!G31="","##BLANK",'1C'!G31)</f>
        <v>-223.10900000000004</v>
      </c>
    </row>
    <row r="133" spans="2:7">
      <c r="B133" s="848" t="str">
        <f>'1C'!AF34</f>
        <v>A11020STAT</v>
      </c>
      <c r="D133" s="2004"/>
      <c r="E133" s="1658" t="s">
        <v>9033</v>
      </c>
      <c r="F133" s="2004"/>
      <c r="G133" s="2004">
        <f>IF('1C'!G34="","##BLANK",'1C'!G34)</f>
        <v>-2.97</v>
      </c>
    </row>
    <row r="134" spans="2:7">
      <c r="B134" s="848" t="str">
        <f>'1C'!AF35</f>
        <v>BO4051STAT</v>
      </c>
      <c r="D134" s="2004"/>
      <c r="E134" s="1658" t="s">
        <v>9033</v>
      </c>
      <c r="F134" s="2004"/>
      <c r="G134" s="2004">
        <f>IF('1C'!G35="","##BLANK",'1C'!G35)</f>
        <v>-5223.2219999999998</v>
      </c>
    </row>
    <row r="135" spans="2:7">
      <c r="B135" s="848" t="str">
        <f>'1C'!AF36</f>
        <v>A11022STAT</v>
      </c>
      <c r="D135" s="2004"/>
      <c r="E135" s="1658" t="s">
        <v>9033</v>
      </c>
      <c r="F135" s="2004"/>
      <c r="G135" s="2004">
        <f>IF('1C'!G36="","##BLANK",'1C'!G36)</f>
        <v>-2134.1420000000003</v>
      </c>
    </row>
    <row r="136" spans="2:7">
      <c r="B136" s="848" t="str">
        <f>'1C'!AF37</f>
        <v>A11023STAT</v>
      </c>
      <c r="D136" s="2004"/>
      <c r="E136" s="1658" t="s">
        <v>9033</v>
      </c>
      <c r="F136" s="2004"/>
      <c r="G136" s="2004">
        <f>IF('1C'!G37="","##BLANK",'1C'!G37)</f>
        <v>0</v>
      </c>
    </row>
    <row r="137" spans="2:7">
      <c r="B137" s="848" t="str">
        <f>'1C'!AF38</f>
        <v>A11024STAT</v>
      </c>
      <c r="D137" s="2004"/>
      <c r="E137" s="1658" t="s">
        <v>9033</v>
      </c>
      <c r="F137" s="2004"/>
      <c r="G137" s="2004">
        <f>IF('1C'!G38="","##BLANK",'1C'!G38)</f>
        <v>0</v>
      </c>
    </row>
    <row r="138" spans="2:7">
      <c r="B138" s="848" t="str">
        <f>'1C'!AF39</f>
        <v>BO4065STATGC</v>
      </c>
      <c r="D138" s="2004"/>
      <c r="E138" s="1658" t="s">
        <v>9033</v>
      </c>
      <c r="F138" s="2004"/>
      <c r="G138" s="2004">
        <f>IF('1C'!G39="","##BLANK",'1C'!G39)</f>
        <v>-303.601</v>
      </c>
    </row>
    <row r="139" spans="2:7">
      <c r="B139" s="848" t="str">
        <f>'1C'!AF40</f>
        <v>BO4065STATAA</v>
      </c>
      <c r="D139" s="2004"/>
      <c r="E139" s="1658" t="s">
        <v>9033</v>
      </c>
      <c r="F139" s="2004"/>
      <c r="G139" s="2004">
        <f>IF('1C'!G40="","##BLANK",'1C'!G40)</f>
        <v>-183.08199999999999</v>
      </c>
    </row>
    <row r="140" spans="2:7">
      <c r="B140" s="848" t="str">
        <f>'1C'!AF41</f>
        <v>BB1300APSTAT</v>
      </c>
      <c r="D140" s="2004"/>
      <c r="E140" s="1658" t="s">
        <v>9033</v>
      </c>
      <c r="F140" s="2004"/>
      <c r="G140" s="2004">
        <f>IF('1C'!G41="","##BLANK",'1C'!G41)</f>
        <v>0</v>
      </c>
    </row>
    <row r="141" spans="2:7">
      <c r="B141" s="848" t="str">
        <f>'1C'!AF42</f>
        <v>BO4063STAT</v>
      </c>
      <c r="D141" s="2004"/>
      <c r="E141" s="1658" t="s">
        <v>9033</v>
      </c>
      <c r="F141" s="2004"/>
      <c r="G141" s="2004">
        <f>IF('1C'!G42="","##BLANK",'1C'!G42)</f>
        <v>-359.02</v>
      </c>
    </row>
    <row r="142" spans="2:7">
      <c r="B142" s="848" t="str">
        <f>'1C'!AF43</f>
        <v>A11025STAT</v>
      </c>
      <c r="D142" s="2004"/>
      <c r="E142" s="1658" t="s">
        <v>9033</v>
      </c>
      <c r="F142" s="2004"/>
      <c r="G142" s="2004">
        <f>IF('1C'!G43="","##BLANK",'1C'!G43)</f>
        <v>-8206.0370000000003</v>
      </c>
    </row>
    <row r="143" spans="2:7">
      <c r="B143" s="848" t="str">
        <f>'1C'!AF45</f>
        <v>BO4070STAT</v>
      </c>
      <c r="D143" s="2004"/>
      <c r="E143" s="1658" t="s">
        <v>9033</v>
      </c>
      <c r="F143" s="2004"/>
      <c r="G143" s="2004">
        <f>IF('1C'!G45="","##BLANK",'1C'!G45)</f>
        <v>692.22000000000116</v>
      </c>
    </row>
    <row r="144" spans="2:7">
      <c r="B144" s="848" t="str">
        <f>'1C'!AF48</f>
        <v>BO4100STAT</v>
      </c>
      <c r="D144" s="2004"/>
      <c r="E144" s="1658" t="s">
        <v>9033</v>
      </c>
      <c r="F144" s="2004"/>
      <c r="G144" s="2004">
        <f>IF('1C'!G48="","##BLANK",'1C'!G48)</f>
        <v>11</v>
      </c>
    </row>
    <row r="145" spans="2:7">
      <c r="B145" s="848" t="str">
        <f>'1C'!AF49</f>
        <v>A11030STAT</v>
      </c>
      <c r="D145" s="2004"/>
      <c r="E145" s="1658" t="s">
        <v>9033</v>
      </c>
      <c r="F145" s="2004"/>
      <c r="G145" s="2004">
        <f>IF('1C'!G49="","##BLANK",'1C'!G49)</f>
        <v>681.22</v>
      </c>
    </row>
    <row r="146" spans="2:7">
      <c r="B146" s="848" t="str">
        <f>'1C'!AF50</f>
        <v>BO4130STAT</v>
      </c>
      <c r="D146" s="2004"/>
      <c r="E146" s="1658" t="s">
        <v>9033</v>
      </c>
      <c r="F146" s="2004"/>
      <c r="G146" s="2004">
        <f>IF('1C'!G50="","##BLANK",'1C'!G50)</f>
        <v>692.22</v>
      </c>
    </row>
    <row r="147" spans="2:7">
      <c r="B147" s="848" t="str">
        <f>'1C'!AG7</f>
        <v>BO4008DSR</v>
      </c>
      <c r="D147" s="2004"/>
      <c r="E147" s="1658" t="s">
        <v>9033</v>
      </c>
      <c r="F147" s="2004"/>
      <c r="G147" s="2004">
        <f>IF('1C'!H7="","##BLANK",'1C'!H7)</f>
        <v>-135.26499999999999</v>
      </c>
    </row>
    <row r="148" spans="2:7">
      <c r="B148" s="848" t="str">
        <f>'1C'!AG8</f>
        <v>A11002DSR</v>
      </c>
      <c r="D148" s="2004"/>
      <c r="E148" s="1658" t="s">
        <v>9033</v>
      </c>
      <c r="F148" s="2004"/>
      <c r="G148" s="2004">
        <f>IF('1C'!H8="","##BLANK",'1C'!H8)</f>
        <v>0</v>
      </c>
    </row>
    <row r="149" spans="2:7">
      <c r="B149" s="848" t="str">
        <f>'1C'!AG9</f>
        <v>FT01670DSR</v>
      </c>
      <c r="D149" s="2004"/>
      <c r="E149" s="1658" t="s">
        <v>9033</v>
      </c>
      <c r="F149" s="2004"/>
      <c r="G149" s="2004">
        <f>IF('1C'!H9="","##BLANK",'1C'!H9)</f>
        <v>0</v>
      </c>
    </row>
    <row r="150" spans="2:7">
      <c r="B150" s="848" t="str">
        <f>'1C'!AG10</f>
        <v>FT01680DSR</v>
      </c>
      <c r="D150" s="2004"/>
      <c r="E150" s="1658" t="s">
        <v>9033</v>
      </c>
      <c r="F150" s="2004"/>
      <c r="G150" s="2004">
        <f>IF('1C'!H10="","##BLANK",'1C'!H10)</f>
        <v>0</v>
      </c>
    </row>
    <row r="151" spans="2:7">
      <c r="B151" s="848" t="str">
        <f>'1C'!AG11</f>
        <v>A11005DSR</v>
      </c>
      <c r="D151" s="2004"/>
      <c r="E151" s="1658" t="s">
        <v>9033</v>
      </c>
      <c r="F151" s="2004"/>
      <c r="G151" s="2004">
        <f>IF('1C'!H11="","##BLANK",'1C'!H11)</f>
        <v>0</v>
      </c>
    </row>
    <row r="152" spans="2:7">
      <c r="B152" s="848" t="str">
        <f>'1C'!AG12</f>
        <v>FT01751DSR</v>
      </c>
      <c r="D152" s="2004"/>
      <c r="E152" s="1658" t="s">
        <v>9033</v>
      </c>
      <c r="F152" s="2004"/>
      <c r="G152" s="2004">
        <f>IF('1C'!H12="","##BLANK",'1C'!H12)</f>
        <v>0</v>
      </c>
    </row>
    <row r="153" spans="2:7">
      <c r="B153" s="848" t="str">
        <f>'1C'!AG13</f>
        <v>A11006DSR</v>
      </c>
      <c r="D153" s="2004"/>
      <c r="E153" s="1658" t="s">
        <v>9033</v>
      </c>
      <c r="F153" s="2004"/>
      <c r="G153" s="2004">
        <f>IF('1C'!H13="","##BLANK",'1C'!H13)</f>
        <v>-135.26499999999999</v>
      </c>
    </row>
    <row r="154" spans="2:7">
      <c r="B154" s="848" t="str">
        <f>'1C'!AG16</f>
        <v>BO4084DSR</v>
      </c>
      <c r="D154" s="2004"/>
      <c r="E154" s="1658" t="s">
        <v>9033</v>
      </c>
      <c r="F154" s="2004"/>
      <c r="G154" s="2004">
        <f>IF('1C'!H16="","##BLANK",'1C'!H16)</f>
        <v>0</v>
      </c>
    </row>
    <row r="155" spans="2:7">
      <c r="B155" s="848" t="str">
        <f>'1C'!AG17</f>
        <v>A11008DSR</v>
      </c>
      <c r="D155" s="2004"/>
      <c r="E155" s="1658" t="s">
        <v>9033</v>
      </c>
      <c r="F155" s="2004"/>
      <c r="G155" s="2004">
        <f>IF('1C'!H17="","##BLANK",'1C'!H17)</f>
        <v>0</v>
      </c>
    </row>
    <row r="156" spans="2:7">
      <c r="B156" s="848" t="str">
        <f>'1C'!AG18</f>
        <v>A11009DSR</v>
      </c>
      <c r="D156" s="2004"/>
      <c r="E156" s="1658" t="s">
        <v>9033</v>
      </c>
      <c r="F156" s="2004"/>
      <c r="G156" s="2004">
        <f>IF('1C'!H18="","##BLANK",'1C'!H18)</f>
        <v>0</v>
      </c>
    </row>
    <row r="157" spans="2:7">
      <c r="B157" s="848" t="str">
        <f>'1C'!AG19</f>
        <v>A11010DSR</v>
      </c>
      <c r="D157" s="2004"/>
      <c r="E157" s="1658" t="s">
        <v>9033</v>
      </c>
      <c r="F157" s="2004"/>
      <c r="G157" s="2004">
        <f>IF('1C'!H19="","##BLANK",'1C'!H19)</f>
        <v>0</v>
      </c>
    </row>
    <row r="158" spans="2:7">
      <c r="B158" s="848" t="str">
        <f>'1C'!AG20</f>
        <v>BO4092DSR</v>
      </c>
      <c r="D158" s="2004"/>
      <c r="E158" s="1658" t="s">
        <v>9033</v>
      </c>
      <c r="F158" s="2004"/>
      <c r="G158" s="2004">
        <f>IF('1C'!H20="","##BLANK",'1C'!H20)</f>
        <v>0</v>
      </c>
    </row>
    <row r="159" spans="2:7">
      <c r="B159" s="848" t="str">
        <f>'1C'!AG23</f>
        <v>A11012DSR</v>
      </c>
      <c r="D159" s="2004"/>
      <c r="E159" s="1658" t="s">
        <v>9033</v>
      </c>
      <c r="F159" s="2004"/>
      <c r="G159" s="2004">
        <f>IF('1C'!H23="","##BLANK",'1C'!H23)</f>
        <v>0</v>
      </c>
    </row>
    <row r="160" spans="2:7">
      <c r="B160" s="848" t="str">
        <f>'1C'!AG24</f>
        <v>A11013DSR</v>
      </c>
      <c r="D160" s="2004"/>
      <c r="E160" s="1658" t="s">
        <v>9033</v>
      </c>
      <c r="F160" s="2004"/>
      <c r="G160" s="2004">
        <f>IF('1C'!H24="","##BLANK",'1C'!H24)</f>
        <v>0</v>
      </c>
    </row>
    <row r="161" spans="2:7">
      <c r="B161" s="848" t="str">
        <f>'1C'!AG25</f>
        <v>BO4093DSR</v>
      </c>
      <c r="D161" s="2004"/>
      <c r="E161" s="1658" t="s">
        <v>9033</v>
      </c>
      <c r="F161" s="2004"/>
      <c r="G161" s="2004">
        <f>IF('1C'!H25="","##BLANK",'1C'!H25)</f>
        <v>0</v>
      </c>
    </row>
    <row r="162" spans="2:7">
      <c r="B162" s="848" t="str">
        <f>'1C'!AG26</f>
        <v>A11015DSR</v>
      </c>
      <c r="D162" s="2004"/>
      <c r="E162" s="1658" t="s">
        <v>9033</v>
      </c>
      <c r="F162" s="2004"/>
      <c r="G162" s="2004">
        <f>IF('1C'!H26="","##BLANK",'1C'!H26)</f>
        <v>0</v>
      </c>
    </row>
    <row r="163" spans="2:7">
      <c r="B163" s="848" t="str">
        <f>'1C'!AG27</f>
        <v>A11016DSR</v>
      </c>
      <c r="D163" s="2004"/>
      <c r="E163" s="1658" t="s">
        <v>9033</v>
      </c>
      <c r="F163" s="2004"/>
      <c r="G163" s="2004">
        <f>IF('1C'!H27="","##BLANK",'1C'!H27)</f>
        <v>0</v>
      </c>
    </row>
    <row r="164" spans="2:7">
      <c r="B164" s="848" t="str">
        <f>'1C'!AG28</f>
        <v>A11017DSR</v>
      </c>
      <c r="D164" s="2004"/>
      <c r="E164" s="1658" t="s">
        <v>9033</v>
      </c>
      <c r="F164" s="2004"/>
      <c r="G164" s="2004">
        <f>IF('1C'!H28="","##BLANK",'1C'!H28)</f>
        <v>0</v>
      </c>
    </row>
    <row r="165" spans="2:7">
      <c r="B165" s="848" t="str">
        <f>'1C'!AG29</f>
        <v>A11018DSR</v>
      </c>
      <c r="D165" s="2004"/>
      <c r="E165" s="1658" t="s">
        <v>9033</v>
      </c>
      <c r="F165" s="2004"/>
      <c r="G165" s="2004">
        <f>IF('1C'!H29="","##BLANK",'1C'!H29)</f>
        <v>0</v>
      </c>
    </row>
    <row r="166" spans="2:7">
      <c r="B166" s="848" t="str">
        <f>'1C'!AG31</f>
        <v>BO4096DSR</v>
      </c>
      <c r="D166" s="2004"/>
      <c r="E166" s="1658" t="s">
        <v>9033</v>
      </c>
      <c r="F166" s="2004"/>
      <c r="G166" s="2004">
        <f>IF('1C'!H31="","##BLANK",'1C'!H31)</f>
        <v>0</v>
      </c>
    </row>
    <row r="167" spans="2:7">
      <c r="B167" s="848" t="str">
        <f>'1C'!AG34</f>
        <v>A11020DSR</v>
      </c>
      <c r="D167" s="2004"/>
      <c r="E167" s="1658" t="s">
        <v>9033</v>
      </c>
      <c r="F167" s="2004"/>
      <c r="G167" s="2004">
        <f>IF('1C'!H34="","##BLANK",'1C'!H34)</f>
        <v>0</v>
      </c>
    </row>
    <row r="168" spans="2:7">
      <c r="B168" s="848" t="str">
        <f>'1C'!AG35</f>
        <v>BO4051DSR</v>
      </c>
      <c r="D168" s="2004"/>
      <c r="E168" s="1658" t="s">
        <v>9033</v>
      </c>
      <c r="F168" s="2004"/>
      <c r="G168" s="2004">
        <f>IF('1C'!H35="","##BLANK",'1C'!H35)</f>
        <v>0</v>
      </c>
    </row>
    <row r="169" spans="2:7">
      <c r="B169" s="848" t="str">
        <f>'1C'!AG36</f>
        <v>A11022DSR</v>
      </c>
      <c r="D169" s="2004"/>
      <c r="E169" s="1658" t="s">
        <v>9033</v>
      </c>
      <c r="F169" s="2004"/>
      <c r="G169" s="2004">
        <f>IF('1C'!H36="","##BLANK",'1C'!H36)</f>
        <v>0</v>
      </c>
    </row>
    <row r="170" spans="2:7">
      <c r="B170" s="848" t="str">
        <f>'1C'!AG37</f>
        <v>A11023DSR</v>
      </c>
      <c r="D170" s="2004"/>
      <c r="E170" s="1658" t="s">
        <v>9033</v>
      </c>
      <c r="F170" s="2004"/>
      <c r="G170" s="2004">
        <f>IF('1C'!H37="","##BLANK",'1C'!H37)</f>
        <v>0</v>
      </c>
    </row>
    <row r="171" spans="2:7">
      <c r="B171" s="848" t="str">
        <f>'1C'!AG38</f>
        <v>A11024DSR</v>
      </c>
      <c r="D171" s="2004"/>
      <c r="E171" s="1658" t="s">
        <v>9033</v>
      </c>
      <c r="F171" s="2004"/>
      <c r="G171" s="2004">
        <f>IF('1C'!H38="","##BLANK",'1C'!H38)</f>
        <v>0</v>
      </c>
    </row>
    <row r="172" spans="2:7">
      <c r="B172" s="848" t="str">
        <f>'1C'!AG39</f>
        <v>BO4065DSRGC</v>
      </c>
      <c r="D172" s="2004"/>
      <c r="E172" s="1658" t="s">
        <v>9033</v>
      </c>
      <c r="F172" s="2004"/>
      <c r="G172" s="2004">
        <f>IF('1C'!H39="","##BLANK",'1C'!H39)</f>
        <v>-1.663</v>
      </c>
    </row>
    <row r="173" spans="2:7">
      <c r="B173" s="848" t="str">
        <f>'1C'!AG40</f>
        <v>BO4065DSRAA</v>
      </c>
      <c r="D173" s="2004"/>
      <c r="E173" s="1658" t="s">
        <v>9033</v>
      </c>
      <c r="F173" s="2004"/>
      <c r="G173" s="2004">
        <f>IF('1C'!H40="","##BLANK",'1C'!H40)</f>
        <v>19.184999999999999</v>
      </c>
    </row>
    <row r="174" spans="2:7">
      <c r="B174" s="848" t="str">
        <f>'1C'!AG41</f>
        <v>BB1300APDSR</v>
      </c>
      <c r="D174" s="2004"/>
      <c r="E174" s="1658" t="s">
        <v>9033</v>
      </c>
      <c r="F174" s="2004"/>
      <c r="G174" s="2004">
        <f>IF('1C'!H41="","##BLANK",'1C'!H41)</f>
        <v>0</v>
      </c>
    </row>
    <row r="175" spans="2:7">
      <c r="B175" s="848" t="str">
        <f>'1C'!AG42</f>
        <v>BO4063DSR</v>
      </c>
      <c r="D175" s="2004"/>
      <c r="E175" s="1658" t="s">
        <v>9033</v>
      </c>
      <c r="F175" s="2004"/>
      <c r="G175" s="2004">
        <f>IF('1C'!H42="","##BLANK",'1C'!H42)</f>
        <v>25.7</v>
      </c>
    </row>
    <row r="176" spans="2:7">
      <c r="B176" s="848" t="str">
        <f>'1C'!AG43</f>
        <v>A11025DSR</v>
      </c>
      <c r="D176" s="2004"/>
      <c r="E176" s="1658" t="s">
        <v>9033</v>
      </c>
      <c r="F176" s="2004"/>
      <c r="G176" s="2004">
        <f>IF('1C'!H43="","##BLANK",'1C'!H43)</f>
        <v>43.221999999999994</v>
      </c>
    </row>
    <row r="177" spans="2:7">
      <c r="B177" s="848" t="str">
        <f>'1C'!AG45</f>
        <v>BO4070DSR</v>
      </c>
      <c r="D177" s="2004"/>
      <c r="E177" s="1658" t="s">
        <v>9033</v>
      </c>
      <c r="F177" s="2004"/>
      <c r="G177" s="2004">
        <f>IF('1C'!H45="","##BLANK",'1C'!H45)</f>
        <v>-92.042999999999992</v>
      </c>
    </row>
    <row r="178" spans="2:7">
      <c r="B178" s="848" t="str">
        <f>'1C'!AG48</f>
        <v>BO4100DSR</v>
      </c>
      <c r="D178" s="2004"/>
      <c r="E178" s="1658" t="s">
        <v>9033</v>
      </c>
      <c r="F178" s="2004"/>
      <c r="G178" s="2004">
        <f>IF('1C'!H48="","##BLANK",'1C'!H48)</f>
        <v>0</v>
      </c>
    </row>
    <row r="179" spans="2:7">
      <c r="B179" s="848" t="str">
        <f>'1C'!AG49</f>
        <v>A11030DSR</v>
      </c>
      <c r="D179" s="2004"/>
      <c r="E179" s="1658" t="s">
        <v>9033</v>
      </c>
      <c r="F179" s="2004"/>
      <c r="G179" s="2004">
        <f>IF('1C'!H49="","##BLANK",'1C'!H49)</f>
        <v>-92.043000000000006</v>
      </c>
    </row>
    <row r="180" spans="2:7">
      <c r="B180" s="848" t="str">
        <f>'1C'!AG50</f>
        <v>BO4130DSR</v>
      </c>
      <c r="D180" s="2004"/>
      <c r="E180" s="1658" t="s">
        <v>9033</v>
      </c>
      <c r="F180" s="2004"/>
      <c r="G180" s="2004">
        <f>IF('1C'!H50="","##BLANK",'1C'!H50)</f>
        <v>-92.043000000000006</v>
      </c>
    </row>
    <row r="181" spans="2:7">
      <c r="B181" s="848" t="str">
        <f>'1C'!AH7</f>
        <v>BO4008NA</v>
      </c>
      <c r="D181" s="2004"/>
      <c r="E181" s="1658" t="s">
        <v>9033</v>
      </c>
      <c r="F181" s="2004"/>
      <c r="G181" s="2004">
        <f>IF('1C'!I7="","##BLANK",'1C'!I7)</f>
        <v>3.0419999999999998</v>
      </c>
    </row>
    <row r="182" spans="2:7">
      <c r="B182" s="848" t="str">
        <f>'1C'!AH8</f>
        <v>A11002NA</v>
      </c>
      <c r="D182" s="2004"/>
      <c r="E182" s="1658" t="s">
        <v>9033</v>
      </c>
      <c r="F182" s="2004"/>
      <c r="G182" s="2004">
        <f>IF('1C'!I8="","##BLANK",'1C'!I8)</f>
        <v>0</v>
      </c>
    </row>
    <row r="183" spans="2:7">
      <c r="B183" s="848" t="str">
        <f>'1C'!AH9</f>
        <v>FT01670NA</v>
      </c>
      <c r="D183" s="2004"/>
      <c r="E183" s="1658" t="s">
        <v>9033</v>
      </c>
      <c r="F183" s="2004"/>
      <c r="G183" s="2004">
        <f>IF('1C'!I9="","##BLANK",'1C'!I9)</f>
        <v>0</v>
      </c>
    </row>
    <row r="184" spans="2:7">
      <c r="B184" s="848" t="str">
        <f>'1C'!AH10</f>
        <v>FT01680NA</v>
      </c>
      <c r="D184" s="2004"/>
      <c r="E184" s="1658" t="s">
        <v>9033</v>
      </c>
      <c r="F184" s="2004"/>
      <c r="G184" s="2004">
        <f>IF('1C'!I10="","##BLANK",'1C'!I10)</f>
        <v>0</v>
      </c>
    </row>
    <row r="185" spans="2:7">
      <c r="B185" s="848" t="str">
        <f>'1C'!AH11</f>
        <v>A11005NA</v>
      </c>
      <c r="D185" s="2004"/>
      <c r="E185" s="1658" t="s">
        <v>9033</v>
      </c>
      <c r="F185" s="2004"/>
      <c r="G185" s="2004">
        <f>IF('1C'!I11="","##BLANK",'1C'!I11)</f>
        <v>0</v>
      </c>
    </row>
    <row r="186" spans="2:7">
      <c r="B186" s="848" t="str">
        <f>'1C'!AH12</f>
        <v>FT01751NA</v>
      </c>
      <c r="D186" s="2004"/>
      <c r="E186" s="1658" t="s">
        <v>9033</v>
      </c>
      <c r="F186" s="2004"/>
      <c r="G186" s="2004">
        <f>IF('1C'!I12="","##BLANK",'1C'!I12)</f>
        <v>0</v>
      </c>
    </row>
    <row r="187" spans="2:7">
      <c r="B187" s="848" t="str">
        <f>'1C'!AH13</f>
        <v>A11006NA</v>
      </c>
      <c r="D187" s="2004"/>
      <c r="E187" s="1658" t="s">
        <v>9033</v>
      </c>
      <c r="F187" s="2004"/>
      <c r="G187" s="2004">
        <f>IF('1C'!I13="","##BLANK",'1C'!I13)</f>
        <v>3.0419999999999998</v>
      </c>
    </row>
    <row r="188" spans="2:7">
      <c r="B188" s="848" t="str">
        <f>'1C'!AH16</f>
        <v>BO4084NA</v>
      </c>
      <c r="D188" s="2004"/>
      <c r="E188" s="1658" t="s">
        <v>9033</v>
      </c>
      <c r="F188" s="2004"/>
      <c r="G188" s="2004">
        <f>IF('1C'!I16="","##BLANK",'1C'!I16)</f>
        <v>0</v>
      </c>
    </row>
    <row r="189" spans="2:7">
      <c r="B189" s="848" t="str">
        <f>'1C'!AH17</f>
        <v>A11008NA</v>
      </c>
      <c r="D189" s="2004"/>
      <c r="E189" s="1658" t="s">
        <v>9033</v>
      </c>
      <c r="F189" s="2004"/>
      <c r="G189" s="2004">
        <f>IF('1C'!I17="","##BLANK",'1C'!I17)</f>
        <v>2.9249999999999998</v>
      </c>
    </row>
    <row r="190" spans="2:7">
      <c r="B190" s="848" t="str">
        <f>'1C'!AH18</f>
        <v>A11009NA</v>
      </c>
      <c r="D190" s="2004"/>
      <c r="E190" s="1658" t="s">
        <v>9033</v>
      </c>
      <c r="F190" s="2004"/>
      <c r="G190" s="2004">
        <f>IF('1C'!I18="","##BLANK",'1C'!I18)</f>
        <v>0</v>
      </c>
    </row>
    <row r="191" spans="2:7">
      <c r="B191" s="848" t="str">
        <f>'1C'!AH19</f>
        <v>A11010NA</v>
      </c>
      <c r="D191" s="2004"/>
      <c r="E191" s="1658" t="s">
        <v>9033</v>
      </c>
      <c r="F191" s="2004"/>
      <c r="G191" s="2004">
        <f>IF('1C'!I19="","##BLANK",'1C'!I19)</f>
        <v>0</v>
      </c>
    </row>
    <row r="192" spans="2:7">
      <c r="B192" s="848" t="str">
        <f>'1C'!AH20</f>
        <v>BO4092NA</v>
      </c>
      <c r="D192" s="2004"/>
      <c r="E192" s="1658" t="s">
        <v>9033</v>
      </c>
      <c r="F192" s="2004"/>
      <c r="G192" s="2004">
        <f>IF('1C'!I20="","##BLANK",'1C'!I20)</f>
        <v>2.9249999999999998</v>
      </c>
    </row>
    <row r="193" spans="2:7">
      <c r="B193" s="848" t="str">
        <f>'1C'!AH23</f>
        <v>A11012NA</v>
      </c>
      <c r="D193" s="2004"/>
      <c r="E193" s="1658" t="s">
        <v>9033</v>
      </c>
      <c r="F193" s="2004"/>
      <c r="G193" s="2004">
        <f>IF('1C'!I23="","##BLANK",'1C'!I23)</f>
        <v>-0.40799999999999997</v>
      </c>
    </row>
    <row r="194" spans="2:7">
      <c r="B194" s="848" t="str">
        <f>'1C'!AH24</f>
        <v>A11013NA</v>
      </c>
      <c r="D194" s="2004"/>
      <c r="E194" s="1658" t="s">
        <v>9033</v>
      </c>
      <c r="F194" s="2004"/>
      <c r="G194" s="2004">
        <f>IF('1C'!I24="","##BLANK",'1C'!I24)</f>
        <v>0</v>
      </c>
    </row>
    <row r="195" spans="2:7">
      <c r="B195" s="848" t="str">
        <f>'1C'!AH25</f>
        <v>BO4093NA</v>
      </c>
      <c r="D195" s="2004"/>
      <c r="E195" s="1658" t="s">
        <v>9033</v>
      </c>
      <c r="F195" s="2004"/>
      <c r="G195" s="2004">
        <f>IF('1C'!I25="","##BLANK",'1C'!I25)</f>
        <v>0</v>
      </c>
    </row>
    <row r="196" spans="2:7">
      <c r="B196" s="848" t="str">
        <f>'1C'!AH26</f>
        <v>A11015NA</v>
      </c>
      <c r="D196" s="2004"/>
      <c r="E196" s="1658" t="s">
        <v>9033</v>
      </c>
      <c r="F196" s="2004"/>
      <c r="G196" s="2004">
        <f>IF('1C'!I26="","##BLANK",'1C'!I26)</f>
        <v>0</v>
      </c>
    </row>
    <row r="197" spans="2:7">
      <c r="B197" s="848" t="str">
        <f>'1C'!AH27</f>
        <v>A11016NA</v>
      </c>
      <c r="D197" s="2004"/>
      <c r="E197" s="1658" t="s">
        <v>9033</v>
      </c>
      <c r="F197" s="2004"/>
      <c r="G197" s="2004">
        <f>IF('1C'!I27="","##BLANK",'1C'!I27)</f>
        <v>0</v>
      </c>
    </row>
    <row r="198" spans="2:7">
      <c r="B198" s="848" t="str">
        <f>'1C'!AH28</f>
        <v>A11017NA</v>
      </c>
      <c r="D198" s="2004"/>
      <c r="E198" s="1658" t="s">
        <v>9033</v>
      </c>
      <c r="F198" s="2004"/>
      <c r="G198" s="2004">
        <f>IF('1C'!I28="","##BLANK",'1C'!I28)</f>
        <v>0</v>
      </c>
    </row>
    <row r="199" spans="2:7">
      <c r="B199" s="848" t="str">
        <f>'1C'!AH29</f>
        <v>A11018NA</v>
      </c>
      <c r="D199" s="2004"/>
      <c r="E199" s="1658" t="s">
        <v>9033</v>
      </c>
      <c r="F199" s="2004"/>
      <c r="G199" s="2004">
        <f>IF('1C'!I29="","##BLANK",'1C'!I29)</f>
        <v>-0.40799999999999997</v>
      </c>
    </row>
    <row r="200" spans="2:7">
      <c r="B200" s="848" t="str">
        <f>'1C'!AH31</f>
        <v>BO4096NA</v>
      </c>
      <c r="D200" s="2004"/>
      <c r="E200" s="1658" t="s">
        <v>9033</v>
      </c>
      <c r="F200" s="2004"/>
      <c r="G200" s="2004">
        <f>IF('1C'!I31="","##BLANK",'1C'!I31)</f>
        <v>2.5169999999999999</v>
      </c>
    </row>
    <row r="201" spans="2:7">
      <c r="B201" s="848" t="str">
        <f>'1C'!AH34</f>
        <v>A11020NA</v>
      </c>
      <c r="D201" s="2004"/>
      <c r="E201" s="1658" t="s">
        <v>9033</v>
      </c>
      <c r="F201" s="2004"/>
      <c r="G201" s="2004">
        <f>IF('1C'!I34="","##BLANK",'1C'!I34)</f>
        <v>0</v>
      </c>
    </row>
    <row r="202" spans="2:7">
      <c r="B202" s="848" t="str">
        <f>'1C'!AH35</f>
        <v>BO4051NA</v>
      </c>
      <c r="D202" s="2004"/>
      <c r="E202" s="1658" t="s">
        <v>9033</v>
      </c>
      <c r="F202" s="2004"/>
      <c r="G202" s="2004">
        <f>IF('1C'!I35="","##BLANK",'1C'!I35)</f>
        <v>0</v>
      </c>
    </row>
    <row r="203" spans="2:7">
      <c r="B203" s="848" t="str">
        <f>'1C'!AH36</f>
        <v>A11022NA</v>
      </c>
      <c r="D203" s="2004"/>
      <c r="E203" s="1658" t="s">
        <v>9033</v>
      </c>
      <c r="F203" s="2004"/>
      <c r="G203" s="2004">
        <f>IF('1C'!I36="","##BLANK",'1C'!I36)</f>
        <v>0</v>
      </c>
    </row>
    <row r="204" spans="2:7">
      <c r="B204" s="848" t="str">
        <f>'1C'!AH37</f>
        <v>A11023NA</v>
      </c>
      <c r="D204" s="2004"/>
      <c r="E204" s="1658" t="s">
        <v>9033</v>
      </c>
      <c r="F204" s="2004"/>
      <c r="G204" s="2004">
        <f>IF('1C'!I37="","##BLANK",'1C'!I37)</f>
        <v>0</v>
      </c>
    </row>
    <row r="205" spans="2:7">
      <c r="B205" s="848" t="str">
        <f>'1C'!AH38</f>
        <v>A11024NA</v>
      </c>
      <c r="D205" s="2004"/>
      <c r="E205" s="1658" t="s">
        <v>9033</v>
      </c>
      <c r="F205" s="2004"/>
      <c r="G205" s="2004">
        <f>IF('1C'!I38="","##BLANK",'1C'!I38)</f>
        <v>0</v>
      </c>
    </row>
    <row r="206" spans="2:7">
      <c r="B206" s="848" t="str">
        <f>'1C'!AH39</f>
        <v>BO4065NAGC</v>
      </c>
      <c r="D206" s="2004"/>
      <c r="E206" s="1658" t="s">
        <v>9033</v>
      </c>
      <c r="F206" s="2004"/>
      <c r="G206" s="2004">
        <f>IF('1C'!I39="","##BLANK",'1C'!I39)</f>
        <v>-1.89</v>
      </c>
    </row>
    <row r="207" spans="2:7">
      <c r="B207" s="848" t="str">
        <f>'1C'!AH40</f>
        <v>BO4065NAAA</v>
      </c>
      <c r="D207" s="2004"/>
      <c r="E207" s="1658" t="s">
        <v>9033</v>
      </c>
      <c r="F207" s="2004"/>
      <c r="G207" s="2004">
        <f>IF('1C'!I40="","##BLANK",'1C'!I40)</f>
        <v>0</v>
      </c>
    </row>
    <row r="208" spans="2:7">
      <c r="B208" s="848" t="str">
        <f>'1C'!AH41</f>
        <v>BB1300APNA</v>
      </c>
      <c r="D208" s="2004"/>
      <c r="E208" s="1658" t="s">
        <v>9033</v>
      </c>
      <c r="F208" s="2004"/>
      <c r="G208" s="2004">
        <f>IF('1C'!I41="","##BLANK",'1C'!I41)</f>
        <v>0</v>
      </c>
    </row>
    <row r="209" spans="2:7">
      <c r="B209" s="848" t="str">
        <f>'1C'!AH42</f>
        <v>BO4063NA</v>
      </c>
      <c r="D209" s="2004"/>
      <c r="E209" s="1658" t="s">
        <v>9033</v>
      </c>
      <c r="F209" s="2004"/>
      <c r="G209" s="2004">
        <f>IF('1C'!I42="","##BLANK",'1C'!I42)</f>
        <v>0</v>
      </c>
    </row>
    <row r="210" spans="2:7">
      <c r="B210" s="848" t="str">
        <f>'1C'!AH43</f>
        <v>A11025NA</v>
      </c>
      <c r="D210" s="2004"/>
      <c r="E210" s="1658" t="s">
        <v>9033</v>
      </c>
      <c r="F210" s="2004"/>
      <c r="G210" s="2004">
        <f>IF('1C'!I43="","##BLANK",'1C'!I43)</f>
        <v>-1.89</v>
      </c>
    </row>
    <row r="211" spans="2:7">
      <c r="B211" s="848" t="str">
        <f>'1C'!AH45</f>
        <v>BO4070NA</v>
      </c>
      <c r="D211" s="2004"/>
      <c r="E211" s="1658" t="s">
        <v>9033</v>
      </c>
      <c r="F211" s="2004"/>
      <c r="G211" s="2004">
        <f>IF('1C'!I45="","##BLANK",'1C'!I45)</f>
        <v>3.6689999999999996</v>
      </c>
    </row>
    <row r="212" spans="2:7">
      <c r="B212" s="848" t="str">
        <f>'1C'!AH48</f>
        <v>BO4100NA</v>
      </c>
      <c r="D212" s="2004"/>
      <c r="E212" s="1658" t="s">
        <v>9033</v>
      </c>
      <c r="F212" s="2004"/>
      <c r="G212" s="2004">
        <f>IF('1C'!I48="","##BLANK",'1C'!I48)</f>
        <v>0</v>
      </c>
    </row>
    <row r="213" spans="2:7">
      <c r="B213" s="848" t="str">
        <f>'1C'!AH49</f>
        <v>A11030NA</v>
      </c>
      <c r="D213" s="2004"/>
      <c r="E213" s="1658" t="s">
        <v>9033</v>
      </c>
      <c r="F213" s="2004"/>
      <c r="G213" s="2004">
        <f>IF('1C'!I49="","##BLANK",'1C'!I49)</f>
        <v>3.669</v>
      </c>
    </row>
    <row r="214" spans="2:7">
      <c r="B214" s="848" t="str">
        <f>'1C'!AH50</f>
        <v>BO4130NA</v>
      </c>
      <c r="D214" s="2004"/>
      <c r="E214" s="1658" t="s">
        <v>9033</v>
      </c>
      <c r="F214" s="2004"/>
      <c r="G214" s="2004">
        <f>IF('1C'!I50="","##BLANK",'1C'!I50)</f>
        <v>3.669</v>
      </c>
    </row>
    <row r="215" spans="2:7">
      <c r="B215" s="848" t="str">
        <f>'1C'!AI7</f>
        <v>BO4008ADJ</v>
      </c>
      <c r="D215" s="2004"/>
      <c r="E215" s="1658" t="s">
        <v>9033</v>
      </c>
      <c r="F215" s="2004"/>
      <c r="G215" s="2004">
        <f>IF('1C'!J7="","##BLANK",'1C'!J7)</f>
        <v>-138.30699999999999</v>
      </c>
    </row>
    <row r="216" spans="2:7">
      <c r="B216" s="848" t="str">
        <f>'1C'!AI8</f>
        <v>A11002ADJ</v>
      </c>
      <c r="D216" s="2004"/>
      <c r="E216" s="1658" t="s">
        <v>9033</v>
      </c>
      <c r="F216" s="2004"/>
      <c r="G216" s="2004">
        <f>IF('1C'!J8="","##BLANK",'1C'!J8)</f>
        <v>0</v>
      </c>
    </row>
    <row r="217" spans="2:7">
      <c r="B217" s="848" t="str">
        <f>'1C'!AI9</f>
        <v>FT01670ADJ</v>
      </c>
      <c r="D217" s="2004"/>
      <c r="E217" s="1658" t="s">
        <v>9033</v>
      </c>
      <c r="F217" s="2004"/>
      <c r="G217" s="2004">
        <f>IF('1C'!J9="","##BLANK",'1C'!J9)</f>
        <v>0</v>
      </c>
    </row>
    <row r="218" spans="2:7">
      <c r="B218" s="848" t="str">
        <f>'1C'!AI10</f>
        <v>FT01680ADJ</v>
      </c>
      <c r="D218" s="2004"/>
      <c r="E218" s="1658" t="s">
        <v>9033</v>
      </c>
      <c r="F218" s="2004"/>
      <c r="G218" s="2004">
        <f>IF('1C'!J10="","##BLANK",'1C'!J10)</f>
        <v>0</v>
      </c>
    </row>
    <row r="219" spans="2:7">
      <c r="B219" s="848" t="str">
        <f>'1C'!AI11</f>
        <v>A11005ADJ</v>
      </c>
      <c r="D219" s="2004"/>
      <c r="E219" s="1658" t="s">
        <v>9033</v>
      </c>
      <c r="F219" s="2004"/>
      <c r="G219" s="2004">
        <f>IF('1C'!J11="","##BLANK",'1C'!J11)</f>
        <v>0</v>
      </c>
    </row>
    <row r="220" spans="2:7">
      <c r="B220" s="848" t="str">
        <f>'1C'!AI12</f>
        <v>FT01751ADJ</v>
      </c>
      <c r="D220" s="2004"/>
      <c r="E220" s="1658" t="s">
        <v>9033</v>
      </c>
      <c r="F220" s="2004"/>
      <c r="G220" s="2004">
        <f>IF('1C'!J12="","##BLANK",'1C'!J12)</f>
        <v>0</v>
      </c>
    </row>
    <row r="221" spans="2:7">
      <c r="B221" s="848" t="str">
        <f>'1C'!AI13</f>
        <v>A11006ADJ</v>
      </c>
      <c r="D221" s="2004"/>
      <c r="E221" s="1658" t="s">
        <v>9033</v>
      </c>
      <c r="F221" s="2004"/>
      <c r="G221" s="2004">
        <f>IF('1C'!J13="","##BLANK",'1C'!J13)</f>
        <v>-138.30699999999999</v>
      </c>
    </row>
    <row r="222" spans="2:7">
      <c r="B222" s="848" t="str">
        <f>'1C'!AI16</f>
        <v>BO4084ADJ</v>
      </c>
      <c r="D222" s="2004"/>
      <c r="E222" s="1658" t="s">
        <v>9033</v>
      </c>
      <c r="F222" s="2004"/>
      <c r="G222" s="2004">
        <f>IF('1C'!J16="","##BLANK",'1C'!J16)</f>
        <v>0</v>
      </c>
    </row>
    <row r="223" spans="2:7">
      <c r="B223" s="848" t="str">
        <f>'1C'!AI17</f>
        <v>A11008ADJ</v>
      </c>
      <c r="D223" s="2004"/>
      <c r="E223" s="1658" t="s">
        <v>9033</v>
      </c>
      <c r="F223" s="2004"/>
      <c r="G223" s="2004">
        <f>IF('1C'!J17="","##BLANK",'1C'!J17)</f>
        <v>-2.9249999999999998</v>
      </c>
    </row>
    <row r="224" spans="2:7">
      <c r="B224" s="848" t="str">
        <f>'1C'!AI18</f>
        <v>A11009ADJ</v>
      </c>
      <c r="D224" s="2004"/>
      <c r="E224" s="1658" t="s">
        <v>9033</v>
      </c>
      <c r="F224" s="2004"/>
      <c r="G224" s="2004">
        <f>IF('1C'!J18="","##BLANK",'1C'!J18)</f>
        <v>0</v>
      </c>
    </row>
    <row r="225" spans="2:7">
      <c r="B225" s="848" t="str">
        <f>'1C'!AI19</f>
        <v>A11010ADJ</v>
      </c>
      <c r="D225" s="2004"/>
      <c r="E225" s="1658" t="s">
        <v>9033</v>
      </c>
      <c r="F225" s="2004"/>
      <c r="G225" s="2004">
        <f>IF('1C'!J19="","##BLANK",'1C'!J19)</f>
        <v>0</v>
      </c>
    </row>
    <row r="226" spans="2:7">
      <c r="B226" s="848" t="str">
        <f>'1C'!AI20</f>
        <v>BO4092ADJ</v>
      </c>
      <c r="D226" s="2004"/>
      <c r="E226" s="1658" t="s">
        <v>9033</v>
      </c>
      <c r="F226" s="2004"/>
      <c r="G226" s="2004">
        <f>IF('1C'!J20="","##BLANK",'1C'!J20)</f>
        <v>-2.9249999999999998</v>
      </c>
    </row>
    <row r="227" spans="2:7">
      <c r="B227" s="848" t="str">
        <f>'1C'!AI23</f>
        <v>A11012ADJ</v>
      </c>
      <c r="D227" s="2004"/>
      <c r="E227" s="1658" t="s">
        <v>9033</v>
      </c>
      <c r="F227" s="2004"/>
      <c r="G227" s="2004">
        <f>IF('1C'!J23="","##BLANK",'1C'!J23)</f>
        <v>0.40799999999999997</v>
      </c>
    </row>
    <row r="228" spans="2:7">
      <c r="B228" s="848" t="str">
        <f>'1C'!AI24</f>
        <v>A11013ADJ</v>
      </c>
      <c r="D228" s="2004"/>
      <c r="E228" s="1658" t="s">
        <v>9033</v>
      </c>
      <c r="F228" s="2004"/>
      <c r="G228" s="2004">
        <f>IF('1C'!J24="","##BLANK",'1C'!J24)</f>
        <v>0</v>
      </c>
    </row>
    <row r="229" spans="2:7">
      <c r="B229" s="848" t="str">
        <f>'1C'!AI25</f>
        <v>BO4093ADJ</v>
      </c>
      <c r="D229" s="2004"/>
      <c r="E229" s="1658" t="s">
        <v>9033</v>
      </c>
      <c r="F229" s="2004"/>
      <c r="G229" s="2004">
        <f>IF('1C'!J25="","##BLANK",'1C'!J25)</f>
        <v>0</v>
      </c>
    </row>
    <row r="230" spans="2:7">
      <c r="B230" s="848" t="str">
        <f>'1C'!AI26</f>
        <v>A11015ADJ</v>
      </c>
      <c r="D230" s="2004"/>
      <c r="E230" s="1658" t="s">
        <v>9033</v>
      </c>
      <c r="F230" s="2004"/>
      <c r="G230" s="2004">
        <f>IF('1C'!J26="","##BLANK",'1C'!J26)</f>
        <v>0</v>
      </c>
    </row>
    <row r="231" spans="2:7">
      <c r="B231" s="848" t="str">
        <f>'1C'!AI27</f>
        <v>A11016ADJ</v>
      </c>
      <c r="D231" s="2004"/>
      <c r="E231" s="1658" t="s">
        <v>9033</v>
      </c>
      <c r="F231" s="2004"/>
      <c r="G231" s="2004">
        <f>IF('1C'!J27="","##BLANK",'1C'!J27)</f>
        <v>0</v>
      </c>
    </row>
    <row r="232" spans="2:7">
      <c r="B232" s="848" t="str">
        <f>'1C'!AI28</f>
        <v>A11017ADJ</v>
      </c>
      <c r="D232" s="2004"/>
      <c r="E232" s="1658" t="s">
        <v>9033</v>
      </c>
      <c r="F232" s="2004"/>
      <c r="G232" s="2004">
        <f>IF('1C'!J28="","##BLANK",'1C'!J28)</f>
        <v>0</v>
      </c>
    </row>
    <row r="233" spans="2:7">
      <c r="B233" s="848" t="str">
        <f>'1C'!AI29</f>
        <v>A11018ADJ</v>
      </c>
      <c r="D233" s="2004"/>
      <c r="E233" s="1658" t="s">
        <v>9033</v>
      </c>
      <c r="F233" s="2004"/>
      <c r="G233" s="2004">
        <f>IF('1C'!J29="","##BLANK",'1C'!J29)</f>
        <v>0.40799999999999997</v>
      </c>
    </row>
    <row r="234" spans="2:7">
      <c r="B234" s="848" t="str">
        <f>'1C'!AI31</f>
        <v>BO4096ADJ</v>
      </c>
      <c r="D234" s="2004"/>
      <c r="E234" s="1658" t="s">
        <v>9033</v>
      </c>
      <c r="F234" s="2004"/>
      <c r="G234" s="2004">
        <f>IF('1C'!J31="","##BLANK",'1C'!J31)</f>
        <v>-2.5169999999999999</v>
      </c>
    </row>
    <row r="235" spans="2:7">
      <c r="B235" s="848" t="str">
        <f>'1C'!AI34</f>
        <v>A11020ADJ</v>
      </c>
      <c r="D235" s="2004"/>
      <c r="E235" s="1658" t="s">
        <v>9033</v>
      </c>
      <c r="F235" s="2004"/>
      <c r="G235" s="2004">
        <f>IF('1C'!J34="","##BLANK",'1C'!J34)</f>
        <v>0</v>
      </c>
    </row>
    <row r="236" spans="2:7">
      <c r="B236" s="848" t="str">
        <f>'1C'!AI35</f>
        <v>BO4051ADJ</v>
      </c>
      <c r="D236" s="2004"/>
      <c r="E236" s="1658" t="s">
        <v>9033</v>
      </c>
      <c r="F236" s="2004"/>
      <c r="G236" s="2004">
        <f>IF('1C'!J35="","##BLANK",'1C'!J35)</f>
        <v>0</v>
      </c>
    </row>
    <row r="237" spans="2:7">
      <c r="B237" s="848" t="str">
        <f>'1C'!AI36</f>
        <v>A11022ADJ</v>
      </c>
      <c r="D237" s="2004"/>
      <c r="E237" s="1658" t="s">
        <v>9033</v>
      </c>
      <c r="F237" s="2004"/>
      <c r="G237" s="2004">
        <f>IF('1C'!J36="","##BLANK",'1C'!J36)</f>
        <v>0</v>
      </c>
    </row>
    <row r="238" spans="2:7">
      <c r="B238" s="848" t="str">
        <f>'1C'!AI37</f>
        <v>A11023ADJ</v>
      </c>
      <c r="D238" s="2004"/>
      <c r="E238" s="1658" t="s">
        <v>9033</v>
      </c>
      <c r="F238" s="2004"/>
      <c r="G238" s="2004">
        <f>IF('1C'!J37="","##BLANK",'1C'!J37)</f>
        <v>0</v>
      </c>
    </row>
    <row r="239" spans="2:7">
      <c r="B239" s="848" t="str">
        <f>'1C'!AI38</f>
        <v>A11024ADJ</v>
      </c>
      <c r="D239" s="2004"/>
      <c r="E239" s="1658" t="s">
        <v>9033</v>
      </c>
      <c r="F239" s="2004"/>
      <c r="G239" s="2004">
        <f>IF('1C'!J38="","##BLANK",'1C'!J38)</f>
        <v>0</v>
      </c>
    </row>
    <row r="240" spans="2:7">
      <c r="B240" s="848" t="str">
        <f>'1C'!AI39</f>
        <v>BO4065ADJGC</v>
      </c>
      <c r="D240" s="2004"/>
      <c r="E240" s="1658" t="s">
        <v>9033</v>
      </c>
      <c r="F240" s="2004"/>
      <c r="G240" s="2004">
        <f>IF('1C'!J39="","##BLANK",'1C'!J39)</f>
        <v>0.22699999999999987</v>
      </c>
    </row>
    <row r="241" spans="2:7">
      <c r="B241" s="848" t="str">
        <f>'1C'!AI40</f>
        <v>BO4065ADJAA</v>
      </c>
      <c r="D241" s="2004"/>
      <c r="E241" s="1658" t="s">
        <v>9033</v>
      </c>
      <c r="F241" s="2004"/>
      <c r="G241" s="2004">
        <f>IF('1C'!J40="","##BLANK",'1C'!J40)</f>
        <v>19.184999999999999</v>
      </c>
    </row>
    <row r="242" spans="2:7">
      <c r="B242" s="848" t="str">
        <f>'1C'!AI41</f>
        <v>BB1300APADJ</v>
      </c>
      <c r="D242" s="2004"/>
      <c r="E242" s="1658" t="s">
        <v>9033</v>
      </c>
      <c r="F242" s="2004"/>
      <c r="G242" s="2004">
        <f>IF('1C'!J41="","##BLANK",'1C'!J41)</f>
        <v>0</v>
      </c>
    </row>
    <row r="243" spans="2:7">
      <c r="B243" s="848" t="str">
        <f>'1C'!AI42</f>
        <v>BO4063ADJ</v>
      </c>
      <c r="D243" s="2004"/>
      <c r="E243" s="1658" t="s">
        <v>9033</v>
      </c>
      <c r="F243" s="2004"/>
      <c r="G243" s="2004">
        <f>IF('1C'!J42="","##BLANK",'1C'!J42)</f>
        <v>25.7</v>
      </c>
    </row>
    <row r="244" spans="2:7">
      <c r="B244" s="848" t="str">
        <f>'1C'!AI43</f>
        <v>A11025ADJ</v>
      </c>
      <c r="D244" s="2004"/>
      <c r="E244" s="1658" t="s">
        <v>9033</v>
      </c>
      <c r="F244" s="2004"/>
      <c r="G244" s="2004">
        <f>IF('1C'!J43="","##BLANK",'1C'!J43)</f>
        <v>45.111999999999995</v>
      </c>
    </row>
    <row r="245" spans="2:7">
      <c r="B245" s="848" t="str">
        <f>'1C'!AI45</f>
        <v>BO4070ADJ</v>
      </c>
      <c r="D245" s="2004"/>
      <c r="E245" s="1658" t="s">
        <v>9033</v>
      </c>
      <c r="F245" s="2004"/>
      <c r="G245" s="2004">
        <f>IF('1C'!J45="","##BLANK",'1C'!J45)</f>
        <v>-95.711999999999989</v>
      </c>
    </row>
    <row r="246" spans="2:7">
      <c r="B246" s="848" t="str">
        <f>'1C'!AI48</f>
        <v>BO4100ADJ</v>
      </c>
      <c r="D246" s="2004"/>
      <c r="E246" s="1658" t="s">
        <v>9033</v>
      </c>
      <c r="F246" s="2004"/>
      <c r="G246" s="2004">
        <f>IF('1C'!J48="","##BLANK",'1C'!J48)</f>
        <v>0</v>
      </c>
    </row>
    <row r="247" spans="2:7">
      <c r="B247" s="848" t="str">
        <f>'1C'!AI49</f>
        <v>A11030ADJ</v>
      </c>
      <c r="D247" s="2004"/>
      <c r="E247" s="1658" t="s">
        <v>9033</v>
      </c>
      <c r="F247" s="2004"/>
      <c r="G247" s="2004">
        <f>IF('1C'!J49="","##BLANK",'1C'!J49)</f>
        <v>-95.712000000000003</v>
      </c>
    </row>
    <row r="248" spans="2:7">
      <c r="B248" s="848" t="str">
        <f>'1C'!AI50</f>
        <v>BO4130ADJ</v>
      </c>
      <c r="D248" s="2004"/>
      <c r="E248" s="1658" t="s">
        <v>9033</v>
      </c>
      <c r="F248" s="2004"/>
      <c r="G248" s="2004">
        <f>IF('1C'!J50="","##BLANK",'1C'!J50)</f>
        <v>-95.712000000000003</v>
      </c>
    </row>
    <row r="249" spans="2:7">
      <c r="B249" s="848" t="str">
        <f>'1C'!AJ7</f>
        <v>BO4008</v>
      </c>
      <c r="D249" s="2004"/>
      <c r="E249" s="1658" t="s">
        <v>9033</v>
      </c>
      <c r="F249" s="2004"/>
      <c r="G249" s="2004">
        <f>IF('1C'!K7="","##BLANK",'1C'!K7)</f>
        <v>7707.1570000000002</v>
      </c>
    </row>
    <row r="250" spans="2:7">
      <c r="B250" s="848" t="str">
        <f>'1C'!AJ8</f>
        <v>A11002</v>
      </c>
      <c r="D250" s="2004"/>
      <c r="E250" s="1658" t="s">
        <v>9033</v>
      </c>
      <c r="F250" s="2004"/>
      <c r="G250" s="2004">
        <f>IF('1C'!K8="","##BLANK",'1C'!K8)</f>
        <v>157.738</v>
      </c>
    </row>
    <row r="251" spans="2:7">
      <c r="B251" s="848" t="str">
        <f>'1C'!AJ9</f>
        <v>FT01670</v>
      </c>
      <c r="D251" s="2004"/>
      <c r="E251" s="1658" t="s">
        <v>9033</v>
      </c>
      <c r="F251" s="2004"/>
      <c r="G251" s="2004">
        <f>IF('1C'!K9="","##BLANK",'1C'!K9)</f>
        <v>949.32899999999995</v>
      </c>
    </row>
    <row r="252" spans="2:7">
      <c r="B252" s="848" t="str">
        <f>'1C'!AJ10</f>
        <v>FT01680</v>
      </c>
      <c r="D252" s="2004"/>
      <c r="E252" s="1658" t="s">
        <v>9033</v>
      </c>
      <c r="F252" s="2004"/>
      <c r="G252" s="2004">
        <f>IF('1C'!K10="","##BLANK",'1C'!K10)</f>
        <v>2.2450000000000001</v>
      </c>
    </row>
    <row r="253" spans="2:7">
      <c r="B253" s="848" t="str">
        <f>'1C'!AJ11</f>
        <v>A11005</v>
      </c>
      <c r="D253" s="2004"/>
      <c r="E253" s="1658" t="s">
        <v>9033</v>
      </c>
      <c r="F253" s="2004"/>
      <c r="G253" s="2004">
        <f>IF('1C'!K11="","##BLANK",'1C'!K11)</f>
        <v>166.59</v>
      </c>
    </row>
    <row r="254" spans="2:7">
      <c r="B254" s="848" t="str">
        <f>'1C'!AJ12</f>
        <v>FT01751</v>
      </c>
      <c r="D254" s="2004"/>
      <c r="E254" s="1658" t="s">
        <v>9033</v>
      </c>
      <c r="F254" s="2004"/>
      <c r="G254" s="2004">
        <f>IF('1C'!K12="","##BLANK",'1C'!K12)</f>
        <v>0</v>
      </c>
    </row>
    <row r="255" spans="2:7">
      <c r="B255" s="848" t="str">
        <f>'1C'!AJ13</f>
        <v>A11006</v>
      </c>
      <c r="D255" s="2004"/>
      <c r="E255" s="1658" t="s">
        <v>9033</v>
      </c>
      <c r="F255" s="2004"/>
      <c r="G255" s="2004">
        <f>IF('1C'!K13="","##BLANK",'1C'!K13)</f>
        <v>8983.0590000000011</v>
      </c>
    </row>
    <row r="256" spans="2:7">
      <c r="B256" s="848" t="str">
        <f>'1C'!AJ16</f>
        <v>BO4084</v>
      </c>
      <c r="D256" s="2004"/>
      <c r="E256" s="1658" t="s">
        <v>9033</v>
      </c>
      <c r="F256" s="2004"/>
      <c r="G256" s="2004">
        <f>IF('1C'!K16="","##BLANK",'1C'!K16)</f>
        <v>3.4380000000000002</v>
      </c>
    </row>
    <row r="257" spans="2:7">
      <c r="B257" s="848" t="str">
        <f>'1C'!AJ17</f>
        <v>A11008</v>
      </c>
      <c r="D257" s="2004"/>
      <c r="E257" s="1658" t="s">
        <v>9033</v>
      </c>
      <c r="F257" s="2004"/>
      <c r="G257" s="2004">
        <f>IF('1C'!K17="","##BLANK",'1C'!K17)</f>
        <v>278.47199999999998</v>
      </c>
    </row>
    <row r="258" spans="2:7">
      <c r="B258" s="848" t="str">
        <f>'1C'!AJ18</f>
        <v>A11009</v>
      </c>
      <c r="D258" s="2004"/>
      <c r="E258" s="1658" t="s">
        <v>9033</v>
      </c>
      <c r="F258" s="2004"/>
      <c r="G258" s="2004">
        <f>IF('1C'!K18="","##BLANK",'1C'!K18)</f>
        <v>0</v>
      </c>
    </row>
    <row r="259" spans="2:7">
      <c r="B259" s="848" t="str">
        <f>'1C'!AJ19</f>
        <v>A11010</v>
      </c>
      <c r="D259" s="2004"/>
      <c r="E259" s="1658" t="s">
        <v>9033</v>
      </c>
      <c r="F259" s="2004"/>
      <c r="G259" s="2004">
        <f>IF('1C'!K19="","##BLANK",'1C'!K19)</f>
        <v>262.36799999999999</v>
      </c>
    </row>
    <row r="260" spans="2:7">
      <c r="B260" s="848" t="str">
        <f>'1C'!AJ20</f>
        <v>BO4092</v>
      </c>
      <c r="D260" s="2004"/>
      <c r="E260" s="1658" t="s">
        <v>9033</v>
      </c>
      <c r="F260" s="2004"/>
      <c r="G260" s="2004">
        <f>IF('1C'!K20="","##BLANK",'1C'!K20)</f>
        <v>544.27800000000002</v>
      </c>
    </row>
    <row r="261" spans="2:7">
      <c r="B261" s="848" t="str">
        <f>'1C'!AJ23</f>
        <v>A11012</v>
      </c>
      <c r="D261" s="2004"/>
      <c r="E261" s="1658" t="s">
        <v>9033</v>
      </c>
      <c r="F261" s="2004"/>
      <c r="G261" s="2004">
        <f>IF('1C'!K23="","##BLANK",'1C'!K23)</f>
        <v>-274.64400000000001</v>
      </c>
    </row>
    <row r="262" spans="2:7">
      <c r="B262" s="848" t="str">
        <f>'1C'!AJ24</f>
        <v>A11013</v>
      </c>
      <c r="D262" s="2004"/>
      <c r="E262" s="1658" t="s">
        <v>9033</v>
      </c>
      <c r="F262" s="2004"/>
      <c r="G262" s="2004">
        <f>IF('1C'!K24="","##BLANK",'1C'!K24)</f>
        <v>-109.126</v>
      </c>
    </row>
    <row r="263" spans="2:7">
      <c r="B263" s="848" t="str">
        <f>'1C'!AJ25</f>
        <v>BO4093</v>
      </c>
      <c r="D263" s="2004"/>
      <c r="E263" s="1658" t="s">
        <v>9033</v>
      </c>
      <c r="F263" s="2004"/>
      <c r="G263" s="2004">
        <f>IF('1C'!K25="","##BLANK",'1C'!K25)</f>
        <v>-374.88900000000001</v>
      </c>
    </row>
    <row r="264" spans="2:7">
      <c r="B264" s="848" t="str">
        <f>'1C'!AJ26</f>
        <v>A11015</v>
      </c>
      <c r="D264" s="2004"/>
      <c r="E264" s="1658" t="s">
        <v>9033</v>
      </c>
      <c r="F264" s="2004"/>
      <c r="G264" s="2004">
        <f>IF('1C'!K26="","##BLANK",'1C'!K26)</f>
        <v>0</v>
      </c>
    </row>
    <row r="265" spans="2:7">
      <c r="B265" s="848" t="str">
        <f>'1C'!AJ27</f>
        <v>A11016</v>
      </c>
      <c r="D265" s="2004"/>
      <c r="E265" s="1658" t="s">
        <v>9033</v>
      </c>
      <c r="F265" s="2004"/>
      <c r="G265" s="2004">
        <f>IF('1C'!K27="","##BLANK",'1C'!K27)</f>
        <v>0</v>
      </c>
    </row>
    <row r="266" spans="2:7">
      <c r="B266" s="848" t="str">
        <f>'1C'!AJ28</f>
        <v>A11017</v>
      </c>
      <c r="D266" s="2004"/>
      <c r="E266" s="1658" t="s">
        <v>9033</v>
      </c>
      <c r="F266" s="2004"/>
      <c r="G266" s="2004">
        <f>IF('1C'!K28="","##BLANK",'1C'!K28)</f>
        <v>-11.244999999999999</v>
      </c>
    </row>
    <row r="267" spans="2:7">
      <c r="B267" s="848" t="str">
        <f>'1C'!AJ29</f>
        <v>A11018</v>
      </c>
      <c r="D267" s="2004"/>
      <c r="E267" s="1658" t="s">
        <v>9033</v>
      </c>
      <c r="F267" s="2004"/>
      <c r="G267" s="2004">
        <f>IF('1C'!K29="","##BLANK",'1C'!K29)</f>
        <v>-769.904</v>
      </c>
    </row>
    <row r="268" spans="2:7">
      <c r="B268" s="848" t="str">
        <f>'1C'!AJ31</f>
        <v>BO4096</v>
      </c>
      <c r="D268" s="2004"/>
      <c r="E268" s="1658" t="s">
        <v>9033</v>
      </c>
      <c r="F268" s="2004"/>
      <c r="G268" s="2004">
        <f>IF('1C'!K31="","##BLANK",'1C'!K31)</f>
        <v>-225.62600000000003</v>
      </c>
    </row>
    <row r="269" spans="2:7">
      <c r="B269" s="848" t="str">
        <f>'1C'!AJ34</f>
        <v>A11020</v>
      </c>
      <c r="D269" s="2004"/>
      <c r="E269" s="1658" t="s">
        <v>9033</v>
      </c>
      <c r="F269" s="2004"/>
      <c r="G269" s="2004">
        <f>IF('1C'!K34="","##BLANK",'1C'!K34)</f>
        <v>-2.97</v>
      </c>
    </row>
    <row r="270" spans="2:7">
      <c r="B270" s="848" t="str">
        <f>'1C'!AJ35</f>
        <v>BO4051</v>
      </c>
      <c r="D270" s="2004"/>
      <c r="E270" s="1658" t="s">
        <v>9033</v>
      </c>
      <c r="F270" s="2004"/>
      <c r="G270" s="2004">
        <f>IF('1C'!K35="","##BLANK",'1C'!K35)</f>
        <v>-5223.2219999999998</v>
      </c>
    </row>
    <row r="271" spans="2:7">
      <c r="B271" s="848" t="str">
        <f>'1C'!AJ36</f>
        <v>A11022</v>
      </c>
      <c r="D271" s="2004"/>
      <c r="E271" s="1658" t="s">
        <v>9033</v>
      </c>
      <c r="F271" s="2004"/>
      <c r="G271" s="2004">
        <f>IF('1C'!K36="","##BLANK",'1C'!K36)</f>
        <v>-2134.1420000000003</v>
      </c>
    </row>
    <row r="272" spans="2:7">
      <c r="B272" s="848" t="str">
        <f>'1C'!AJ37</f>
        <v>A11023</v>
      </c>
      <c r="D272" s="2004"/>
      <c r="E272" s="1658" t="s">
        <v>9033</v>
      </c>
      <c r="F272" s="2004"/>
      <c r="G272" s="2004">
        <f>IF('1C'!K37="","##BLANK",'1C'!K37)</f>
        <v>0</v>
      </c>
    </row>
    <row r="273" spans="2:7">
      <c r="B273" s="848" t="str">
        <f>'1C'!AJ38</f>
        <v>A11024</v>
      </c>
      <c r="D273" s="2004"/>
      <c r="E273" s="1658" t="s">
        <v>9033</v>
      </c>
      <c r="F273" s="2004"/>
      <c r="G273" s="2004">
        <f>IF('1C'!K38="","##BLANK",'1C'!K38)</f>
        <v>0</v>
      </c>
    </row>
    <row r="274" spans="2:7">
      <c r="B274" s="848" t="str">
        <f>'1C'!AJ39</f>
        <v>BO4065GC</v>
      </c>
      <c r="D274" s="2004"/>
      <c r="E274" s="1658" t="s">
        <v>9033</v>
      </c>
      <c r="F274" s="2004"/>
      <c r="G274" s="2004">
        <f>IF('1C'!K39="","##BLANK",'1C'!K39)</f>
        <v>-303.37400000000002</v>
      </c>
    </row>
    <row r="275" spans="2:7">
      <c r="B275" s="848" t="str">
        <f>'1C'!AJ40</f>
        <v>BO4065AA</v>
      </c>
      <c r="D275" s="2004"/>
      <c r="E275" s="1658" t="s">
        <v>9033</v>
      </c>
      <c r="F275" s="2004"/>
      <c r="G275" s="2004">
        <f>IF('1C'!K40="","##BLANK",'1C'!K40)</f>
        <v>-163.89699999999999</v>
      </c>
    </row>
    <row r="276" spans="2:7">
      <c r="B276" s="848" t="str">
        <f>'1C'!AJ41</f>
        <v>BB1300AP</v>
      </c>
      <c r="D276" s="2004"/>
      <c r="E276" s="1658" t="s">
        <v>9033</v>
      </c>
      <c r="F276" s="2004"/>
      <c r="G276" s="2004">
        <f>IF('1C'!K41="","##BLANK",'1C'!K41)</f>
        <v>0</v>
      </c>
    </row>
    <row r="277" spans="2:7">
      <c r="B277" s="848" t="str">
        <f>'1C'!AJ42</f>
        <v>BO4063</v>
      </c>
      <c r="D277" s="2004"/>
      <c r="E277" s="1658" t="s">
        <v>9033</v>
      </c>
      <c r="F277" s="2004"/>
      <c r="G277" s="2004">
        <f>IF('1C'!K42="","##BLANK",'1C'!K42)</f>
        <v>-333.32</v>
      </c>
    </row>
    <row r="278" spans="2:7">
      <c r="B278" s="848" t="str">
        <f>'1C'!AJ43</f>
        <v>A11025</v>
      </c>
      <c r="D278" s="2004"/>
      <c r="E278" s="1658" t="s">
        <v>9033</v>
      </c>
      <c r="F278" s="2004"/>
      <c r="G278" s="2004">
        <f>IF('1C'!K43="","##BLANK",'1C'!K43)</f>
        <v>-8160.9250000000002</v>
      </c>
    </row>
    <row r="279" spans="2:7">
      <c r="B279" s="848" t="str">
        <f>'1C'!AJ45</f>
        <v>BO4070</v>
      </c>
      <c r="D279" s="2004"/>
      <c r="E279" s="1658" t="s">
        <v>9033</v>
      </c>
      <c r="F279" s="2004"/>
      <c r="G279" s="2004">
        <f>IF('1C'!K45="","##BLANK",'1C'!K45)</f>
        <v>596.50800000000118</v>
      </c>
    </row>
    <row r="280" spans="2:7">
      <c r="B280" s="848" t="str">
        <f>'1C'!AJ48</f>
        <v>BO4100</v>
      </c>
      <c r="D280" s="2004"/>
      <c r="E280" s="1658" t="s">
        <v>9033</v>
      </c>
      <c r="F280" s="2004"/>
      <c r="G280" s="2004">
        <f>IF('1C'!K48="","##BLANK",'1C'!K48)</f>
        <v>11</v>
      </c>
    </row>
    <row r="281" spans="2:7">
      <c r="B281" s="848" t="str">
        <f>'1C'!AJ49</f>
        <v>A11030</v>
      </c>
      <c r="D281" s="2004"/>
      <c r="E281" s="1658" t="s">
        <v>9033</v>
      </c>
      <c r="F281" s="2004"/>
      <c r="G281" s="2004">
        <f>IF('1C'!K49="","##BLANK",'1C'!K49)</f>
        <v>585.50800000000004</v>
      </c>
    </row>
    <row r="282" spans="2:7">
      <c r="B282" s="848" t="str">
        <f>'1C'!AJ50</f>
        <v>BO4130</v>
      </c>
      <c r="D282" s="2004"/>
      <c r="E282" s="1658" t="s">
        <v>9033</v>
      </c>
      <c r="F282" s="2004"/>
      <c r="G282" s="2004">
        <f>IF('1C'!K50="","##BLANK",'1C'!K50)</f>
        <v>596.50800000000004</v>
      </c>
    </row>
    <row r="283" spans="2:7">
      <c r="B283" s="848" t="str">
        <f>'1D'!AF8</f>
        <v>BO5002STAT</v>
      </c>
      <c r="D283" s="2004"/>
      <c r="E283" s="1658" t="s">
        <v>9033</v>
      </c>
      <c r="F283" s="2004"/>
      <c r="G283" s="2004">
        <f>IF('1D'!G8="","##BLANK",'1D'!G8)</f>
        <v>28.515000000000001</v>
      </c>
    </row>
    <row r="284" spans="2:7">
      <c r="B284" s="848" t="str">
        <f>'1D'!AF9</f>
        <v>A14002STAT</v>
      </c>
      <c r="D284" s="2004"/>
      <c r="E284" s="1658" t="s">
        <v>9033</v>
      </c>
      <c r="F284" s="2004"/>
      <c r="G284" s="2004">
        <f>IF('1D'!G9="","##BLANK",'1D'!G9)</f>
        <v>326.28199999999998</v>
      </c>
    </row>
    <row r="285" spans="2:7">
      <c r="B285" s="848" t="str">
        <f>'1D'!AF10</f>
        <v>A3028STAT</v>
      </c>
      <c r="D285" s="2004"/>
      <c r="E285" s="1658" t="s">
        <v>9033</v>
      </c>
      <c r="F285" s="2004"/>
      <c r="G285" s="2004">
        <f>IF('1D'!G10="","##BLANK",'1D'!G10)</f>
        <v>-10.907</v>
      </c>
    </row>
    <row r="286" spans="2:7">
      <c r="B286" s="848" t="str">
        <f>'1D'!AF11</f>
        <v>FT01810STAT</v>
      </c>
      <c r="D286" s="2004"/>
      <c r="E286" s="1658" t="s">
        <v>9033</v>
      </c>
      <c r="F286" s="2004"/>
      <c r="G286" s="2004">
        <f>IF('1D'!G11="","##BLANK",'1D'!G11)</f>
        <v>-2.113</v>
      </c>
    </row>
    <row r="287" spans="2:7">
      <c r="B287" s="848" t="str">
        <f>'1D'!AF12</f>
        <v>A14005STAT</v>
      </c>
      <c r="D287" s="2004"/>
      <c r="E287" s="1658" t="s">
        <v>9033</v>
      </c>
      <c r="F287" s="2004"/>
      <c r="G287" s="2004">
        <f>IF('1D'!G12="","##BLANK",'1D'!G12)</f>
        <v>0</v>
      </c>
    </row>
    <row r="288" spans="2:7">
      <c r="B288" s="848" t="str">
        <f>'1D'!AF13</f>
        <v>BO5020STAT</v>
      </c>
      <c r="D288" s="2004"/>
      <c r="E288" s="1658" t="s">
        <v>9033</v>
      </c>
      <c r="F288" s="2004"/>
      <c r="G288" s="2004">
        <f>IF('1D'!G13="","##BLANK",'1D'!G13)</f>
        <v>-3.4420000000000002</v>
      </c>
    </row>
    <row r="289" spans="2:7">
      <c r="B289" s="848" t="str">
        <f>'1D'!AF14</f>
        <v>BO5004STAT</v>
      </c>
      <c r="D289" s="2004"/>
      <c r="E289" s="1658" t="s">
        <v>9033</v>
      </c>
      <c r="F289" s="2004"/>
      <c r="G289" s="2004">
        <f>IF('1D'!G14="","##BLANK",'1D'!G14)</f>
        <v>-2.1429999999999998</v>
      </c>
    </row>
    <row r="290" spans="2:7">
      <c r="B290" s="848" t="str">
        <f>'1D'!AF15</f>
        <v>BO5040STAT</v>
      </c>
      <c r="D290" s="2004"/>
      <c r="E290" s="1658" t="s">
        <v>9033</v>
      </c>
      <c r="F290" s="2004"/>
      <c r="G290" s="2004">
        <f>IF('1D'!G15="","##BLANK",'1D'!G15)</f>
        <v>546.48899999999969</v>
      </c>
    </row>
    <row r="291" spans="2:7">
      <c r="B291" s="848" t="str">
        <f>'1D'!AF17</f>
        <v>A14008STAT</v>
      </c>
      <c r="D291" s="2004"/>
      <c r="E291" s="1658" t="s">
        <v>9033</v>
      </c>
      <c r="F291" s="2004"/>
      <c r="G291" s="2004">
        <f>IF('1D'!G17="","##BLANK",'1D'!G17)</f>
        <v>-117.25700000000001</v>
      </c>
    </row>
    <row r="292" spans="2:7">
      <c r="B292" s="848" t="str">
        <f>'1D'!AF18</f>
        <v>BO5070STAT</v>
      </c>
      <c r="D292" s="2004"/>
      <c r="E292" s="1658" t="s">
        <v>9033</v>
      </c>
      <c r="F292" s="2004"/>
      <c r="G292" s="2004">
        <f>IF('1D'!G18="","##BLANK",'1D'!G18)</f>
        <v>-17.126000000000001</v>
      </c>
    </row>
    <row r="293" spans="2:7">
      <c r="B293" s="848" t="str">
        <f>'1D'!AF19</f>
        <v>A14010STAT</v>
      </c>
      <c r="D293" s="2004"/>
      <c r="E293" s="1658" t="s">
        <v>9033</v>
      </c>
      <c r="F293" s="2004"/>
      <c r="G293" s="2004">
        <f>IF('1D'!G19="","##BLANK",'1D'!G19)</f>
        <v>412.10599999999965</v>
      </c>
    </row>
    <row r="294" spans="2:7">
      <c r="B294" s="848" t="str">
        <f>'1D'!AF22</f>
        <v>BO5080STAT</v>
      </c>
      <c r="D294" s="2004"/>
      <c r="E294" s="1658" t="s">
        <v>9033</v>
      </c>
      <c r="F294" s="2004"/>
      <c r="G294" s="2004">
        <f>IF('1D'!G22="","##BLANK",'1D'!G22)</f>
        <v>-512.423</v>
      </c>
    </row>
    <row r="295" spans="2:7">
      <c r="B295" s="848" t="str">
        <f>'1D'!AF23</f>
        <v>BO5081STAT</v>
      </c>
      <c r="D295" s="2004"/>
      <c r="E295" s="1658" t="s">
        <v>9033</v>
      </c>
      <c r="F295" s="2004"/>
      <c r="G295" s="2004">
        <f>IF('1D'!G23="","##BLANK",'1D'!G23)</f>
        <v>0</v>
      </c>
    </row>
    <row r="296" spans="2:7">
      <c r="B296" s="848" t="str">
        <f>'1D'!AF24</f>
        <v>BO5084STAT</v>
      </c>
      <c r="D296" s="2004"/>
      <c r="E296" s="1658" t="s">
        <v>9033</v>
      </c>
      <c r="F296" s="2004"/>
      <c r="G296" s="2004">
        <f>IF('1D'!G24="","##BLANK",'1D'!G24)</f>
        <v>2.242</v>
      </c>
    </row>
    <row r="297" spans="2:7">
      <c r="B297" s="848" t="str">
        <f>'1D'!AF25</f>
        <v>BO5085STAT</v>
      </c>
      <c r="D297" s="2004"/>
      <c r="E297" s="1658" t="s">
        <v>9033</v>
      </c>
      <c r="F297" s="2004"/>
      <c r="G297" s="2004">
        <f>IF('1D'!G25="","##BLANK",'1D'!G25)</f>
        <v>3.4420000000000002</v>
      </c>
    </row>
    <row r="298" spans="2:7">
      <c r="B298" s="848" t="str">
        <f>'1D'!AF26</f>
        <v>BO5086STAT</v>
      </c>
      <c r="D298" s="2004"/>
      <c r="E298" s="1658" t="s">
        <v>9033</v>
      </c>
      <c r="F298" s="2004"/>
      <c r="G298" s="2004">
        <f>IF('1D'!G26="","##BLANK",'1D'!G26)</f>
        <v>-506.73899999999998</v>
      </c>
    </row>
    <row r="299" spans="2:7">
      <c r="B299" s="848" t="str">
        <f>'1D'!AF28</f>
        <v>A14017STAT</v>
      </c>
      <c r="D299" s="2004"/>
      <c r="E299" s="1658" t="s">
        <v>9033</v>
      </c>
      <c r="F299" s="2004"/>
      <c r="G299" s="2004">
        <f>IF('1D'!G28="","##BLANK",'1D'!G28)</f>
        <v>-94.633000000000322</v>
      </c>
    </row>
    <row r="300" spans="2:7">
      <c r="B300" s="848" t="str">
        <f>'1D'!AF31</f>
        <v>BO5204STAT</v>
      </c>
      <c r="D300" s="2004"/>
      <c r="E300" s="1658" t="s">
        <v>9033</v>
      </c>
      <c r="F300" s="2004"/>
      <c r="G300" s="2004">
        <f>IF('1D'!G31="","##BLANK",'1D'!G31)</f>
        <v>-110.029</v>
      </c>
    </row>
    <row r="301" spans="2:7">
      <c r="B301" s="848" t="str">
        <f>'1D'!AF32</f>
        <v>A14019STAT</v>
      </c>
      <c r="D301" s="2004"/>
      <c r="E301" s="1658" t="s">
        <v>9033</v>
      </c>
      <c r="F301" s="2004"/>
      <c r="G301" s="2004">
        <f>IF('1D'!G32="","##BLANK",'1D'!G32)</f>
        <v>418.86</v>
      </c>
    </row>
    <row r="302" spans="2:7">
      <c r="B302" s="848" t="str">
        <f>'1D'!AF33</f>
        <v>BO5095STAT</v>
      </c>
      <c r="D302" s="2004"/>
      <c r="E302" s="1658" t="s">
        <v>9033</v>
      </c>
      <c r="F302" s="2004"/>
      <c r="G302" s="2004">
        <f>IF('1D'!G33="","##BLANK",'1D'!G33)</f>
        <v>0</v>
      </c>
    </row>
    <row r="303" spans="2:7">
      <c r="B303" s="848" t="str">
        <f>'1D'!AF34</f>
        <v>BO5096STAT</v>
      </c>
      <c r="D303" s="2004"/>
      <c r="E303" s="1658" t="s">
        <v>9033</v>
      </c>
      <c r="F303" s="2004"/>
      <c r="G303" s="2004">
        <f>IF('1D'!G34="","##BLANK",'1D'!G34)</f>
        <v>308.83100000000002</v>
      </c>
    </row>
    <row r="304" spans="2:7">
      <c r="B304" s="848" t="str">
        <f>'1D'!AF36</f>
        <v>BO5098STAT</v>
      </c>
      <c r="D304" s="2004"/>
      <c r="E304" s="1658" t="s">
        <v>9033</v>
      </c>
      <c r="F304" s="2004"/>
      <c r="G304" s="2004">
        <f>IF('1D'!G36="","##BLANK",'1D'!G36)</f>
        <v>214.19799999999969</v>
      </c>
    </row>
    <row r="305" spans="2:7">
      <c r="B305" s="848" t="str">
        <f>'1D'!AG8</f>
        <v>BO5002DSR</v>
      </c>
      <c r="D305" s="2004"/>
      <c r="E305" s="1658" t="s">
        <v>9033</v>
      </c>
      <c r="F305" s="2004"/>
      <c r="G305" s="2004">
        <f>IF('1D'!H8="","##BLANK",'1D'!H8)</f>
        <v>-26.376999999999999</v>
      </c>
    </row>
    <row r="306" spans="2:7">
      <c r="B306" s="848" t="str">
        <f>'1D'!AG9</f>
        <v>A14002DSR</v>
      </c>
      <c r="D306" s="2004"/>
      <c r="E306" s="1658" t="s">
        <v>9033</v>
      </c>
      <c r="F306" s="2004"/>
      <c r="G306" s="2004">
        <f>IF('1D'!H9="","##BLANK",'1D'!H9)</f>
        <v>-3.6208765200000004</v>
      </c>
    </row>
    <row r="307" spans="2:7">
      <c r="B307" s="848" t="str">
        <f>'1D'!AG10</f>
        <v>A3028DSR</v>
      </c>
      <c r="D307" s="2004"/>
      <c r="E307" s="1658" t="s">
        <v>9033</v>
      </c>
      <c r="F307" s="2004"/>
      <c r="G307" s="2004">
        <f>IF('1D'!H10="","##BLANK",'1D'!H10)</f>
        <v>10.907</v>
      </c>
    </row>
    <row r="308" spans="2:7">
      <c r="B308" s="848" t="str">
        <f>'1D'!AG11</f>
        <v>FT01810DSR</v>
      </c>
      <c r="D308" s="2004"/>
      <c r="E308" s="1658" t="s">
        <v>9033</v>
      </c>
      <c r="F308" s="2004"/>
      <c r="G308" s="2004">
        <f>IF('1D'!H11="","##BLANK",'1D'!H11)</f>
        <v>0</v>
      </c>
    </row>
    <row r="309" spans="2:7">
      <c r="B309" s="848" t="str">
        <f>'1D'!AG12</f>
        <v>A14005DSR</v>
      </c>
      <c r="D309" s="2004"/>
      <c r="E309" s="1658" t="s">
        <v>9033</v>
      </c>
      <c r="F309" s="2004"/>
      <c r="G309" s="2004">
        <f>IF('1D'!H12="","##BLANK",'1D'!H12)</f>
        <v>0</v>
      </c>
    </row>
    <row r="310" spans="2:7">
      <c r="B310" s="848" t="str">
        <f>'1D'!AG13</f>
        <v>BO5020DSR</v>
      </c>
      <c r="D310" s="2004"/>
      <c r="E310" s="1658" t="s">
        <v>9033</v>
      </c>
      <c r="F310" s="2004"/>
      <c r="G310" s="2004">
        <f>IF('1D'!H13="","##BLANK",'1D'!H13)</f>
        <v>0</v>
      </c>
    </row>
    <row r="311" spans="2:7">
      <c r="B311" s="848" t="str">
        <f>'1D'!AG14</f>
        <v>BO5004DSR</v>
      </c>
      <c r="D311" s="2004"/>
      <c r="E311" s="1658" t="s">
        <v>9033</v>
      </c>
      <c r="F311" s="2004"/>
      <c r="G311" s="2004">
        <f>IF('1D'!H14="","##BLANK",'1D'!H14)</f>
        <v>0</v>
      </c>
    </row>
    <row r="312" spans="2:7">
      <c r="B312" s="848" t="str">
        <f>'1D'!AG15</f>
        <v>BO5040DSR</v>
      </c>
      <c r="D312" s="2004"/>
      <c r="E312" s="1658" t="s">
        <v>9033</v>
      </c>
      <c r="F312" s="2004"/>
      <c r="G312" s="2004">
        <f>IF('1D'!H15="","##BLANK",'1D'!H15)</f>
        <v>-26.37687652</v>
      </c>
    </row>
    <row r="313" spans="2:7">
      <c r="B313" s="848" t="str">
        <f>'1D'!AG17</f>
        <v>A14008DSR</v>
      </c>
      <c r="D313" s="2004"/>
      <c r="E313" s="1658" t="s">
        <v>9033</v>
      </c>
      <c r="F313" s="2004"/>
      <c r="G313" s="2004">
        <f>IF('1D'!H17="","##BLANK",'1D'!H17)</f>
        <v>0</v>
      </c>
    </row>
    <row r="314" spans="2:7">
      <c r="B314" s="848" t="str">
        <f>'1D'!AG18</f>
        <v>BO5070DSR</v>
      </c>
      <c r="D314" s="2004"/>
      <c r="E314" s="1658" t="s">
        <v>9033</v>
      </c>
      <c r="F314" s="2004"/>
      <c r="G314" s="2004">
        <f>IF('1D'!H18="","##BLANK",'1D'!H18)</f>
        <v>0</v>
      </c>
    </row>
    <row r="315" spans="2:7">
      <c r="B315" s="848" t="str">
        <f>'1D'!AG19</f>
        <v>A14010DSR</v>
      </c>
      <c r="D315" s="2004"/>
      <c r="E315" s="1658" t="s">
        <v>9033</v>
      </c>
      <c r="F315" s="2004"/>
      <c r="G315" s="2004">
        <f>IF('1D'!H19="","##BLANK",'1D'!H19)</f>
        <v>-26.37687652</v>
      </c>
    </row>
    <row r="316" spans="2:7">
      <c r="B316" s="848" t="str">
        <f>'1D'!AG22</f>
        <v>BO5080DSR</v>
      </c>
      <c r="D316" s="2004"/>
      <c r="E316" s="1658" t="s">
        <v>9033</v>
      </c>
      <c r="F316" s="2004"/>
      <c r="G316" s="2004">
        <f>IF('1D'!H22="","##BLANK",'1D'!H22)</f>
        <v>0</v>
      </c>
    </row>
    <row r="317" spans="2:7">
      <c r="B317" s="848" t="str">
        <f>'1D'!AG23</f>
        <v>BO5081DSR</v>
      </c>
      <c r="D317" s="2004"/>
      <c r="E317" s="1658" t="s">
        <v>9033</v>
      </c>
      <c r="F317" s="2004"/>
      <c r="G317" s="2004">
        <f>IF('1D'!H23="","##BLANK",'1D'!H23)</f>
        <v>26.376999999999999</v>
      </c>
    </row>
    <row r="318" spans="2:7">
      <c r="B318" s="848" t="str">
        <f>'1D'!AG24</f>
        <v>BO5084DSR</v>
      </c>
      <c r="D318" s="2004"/>
      <c r="E318" s="1658" t="s">
        <v>9033</v>
      </c>
      <c r="F318" s="2004"/>
      <c r="G318" s="2004">
        <f>IF('1D'!H24="","##BLANK",'1D'!H24)</f>
        <v>0</v>
      </c>
    </row>
    <row r="319" spans="2:7">
      <c r="B319" s="848" t="str">
        <f>'1D'!AG25</f>
        <v>BO5085DSR</v>
      </c>
      <c r="D319" s="2004"/>
      <c r="E319" s="1658" t="s">
        <v>9033</v>
      </c>
      <c r="F319" s="2004"/>
      <c r="G319" s="2004">
        <f>IF('1D'!H25="","##BLANK",'1D'!H25)</f>
        <v>0</v>
      </c>
    </row>
    <row r="320" spans="2:7">
      <c r="B320" s="848" t="str">
        <f>'1D'!AG26</f>
        <v>BO5086DSR</v>
      </c>
      <c r="D320" s="2004"/>
      <c r="E320" s="1658" t="s">
        <v>9033</v>
      </c>
      <c r="F320" s="2004"/>
      <c r="G320" s="2004">
        <f>IF('1D'!H26="","##BLANK",'1D'!H26)</f>
        <v>26.376999999999999</v>
      </c>
    </row>
    <row r="321" spans="2:7">
      <c r="B321" s="848" t="str">
        <f>'1D'!AG28</f>
        <v>A14017DSR</v>
      </c>
      <c r="D321" s="2004"/>
      <c r="E321" s="1658" t="s">
        <v>9033</v>
      </c>
      <c r="F321" s="2004"/>
      <c r="G321" s="2004">
        <f>IF('1D'!H28="","##BLANK",'1D'!H28)</f>
        <v>1.2347999999917647E-4</v>
      </c>
    </row>
    <row r="322" spans="2:7">
      <c r="B322" s="848" t="str">
        <f>'1D'!AG31</f>
        <v>BO5204DSR</v>
      </c>
      <c r="D322" s="2004"/>
      <c r="E322" s="1658" t="s">
        <v>9033</v>
      </c>
      <c r="F322" s="2004"/>
      <c r="G322" s="2004">
        <f>IF('1D'!H31="","##BLANK",'1D'!H31)</f>
        <v>0</v>
      </c>
    </row>
    <row r="323" spans="2:7">
      <c r="B323" s="848" t="str">
        <f>'1D'!AG32</f>
        <v>A14019DSR</v>
      </c>
      <c r="D323" s="2004"/>
      <c r="E323" s="1658" t="s">
        <v>9033</v>
      </c>
      <c r="F323" s="2004"/>
      <c r="G323" s="2004">
        <f>IF('1D'!H32="","##BLANK",'1D'!H32)</f>
        <v>0</v>
      </c>
    </row>
    <row r="324" spans="2:7">
      <c r="B324" s="848" t="str">
        <f>'1D'!AG33</f>
        <v>BO5095DSR</v>
      </c>
      <c r="D324" s="2004"/>
      <c r="E324" s="1658" t="s">
        <v>9033</v>
      </c>
      <c r="F324" s="2004"/>
      <c r="G324" s="2004">
        <f>IF('1D'!H33="","##BLANK",'1D'!H33)</f>
        <v>0</v>
      </c>
    </row>
    <row r="325" spans="2:7">
      <c r="B325" s="848" t="str">
        <f>'1D'!AG34</f>
        <v>BO5096DSR</v>
      </c>
      <c r="D325" s="2004"/>
      <c r="E325" s="1658" t="s">
        <v>9033</v>
      </c>
      <c r="F325" s="2004"/>
      <c r="G325" s="2004">
        <f>IF('1D'!H34="","##BLANK",'1D'!H34)</f>
        <v>0</v>
      </c>
    </row>
    <row r="326" spans="2:7">
      <c r="B326" s="848" t="str">
        <f>'1D'!AG36</f>
        <v>BO5098DSR</v>
      </c>
      <c r="D326" s="2004"/>
      <c r="E326" s="1658" t="s">
        <v>9033</v>
      </c>
      <c r="F326" s="2004"/>
      <c r="G326" s="2004">
        <f>IF('1D'!H36="","##BLANK",'1D'!H36)</f>
        <v>1.2347999999917647E-4</v>
      </c>
    </row>
    <row r="327" spans="2:7">
      <c r="B327" s="848" t="str">
        <f>'1D'!AH8</f>
        <v>BO5002NA</v>
      </c>
      <c r="D327" s="2004"/>
      <c r="E327" s="1658" t="s">
        <v>9033</v>
      </c>
      <c r="F327" s="2004"/>
      <c r="G327" s="2004">
        <f>IF('1D'!I8="","##BLANK",'1D'!I8)</f>
        <v>0</v>
      </c>
    </row>
    <row r="328" spans="2:7">
      <c r="B328" s="848" t="str">
        <f>'1D'!AH9</f>
        <v>A14002NA</v>
      </c>
      <c r="D328" s="2004"/>
      <c r="E328" s="1658" t="s">
        <v>9033</v>
      </c>
      <c r="F328" s="2004"/>
      <c r="G328" s="2004">
        <f>IF('1D'!I9="","##BLANK",'1D'!I9)</f>
        <v>0.16262626000000002</v>
      </c>
    </row>
    <row r="329" spans="2:7">
      <c r="B329" s="848" t="str">
        <f>'1D'!AH10</f>
        <v>A3028NA</v>
      </c>
      <c r="D329" s="2004"/>
      <c r="E329" s="1658" t="s">
        <v>9033</v>
      </c>
      <c r="F329" s="2004"/>
      <c r="G329" s="2004">
        <f>IF('1D'!I10="","##BLANK",'1D'!I10)</f>
        <v>0</v>
      </c>
    </row>
    <row r="330" spans="2:7">
      <c r="B330" s="848" t="str">
        <f>'1D'!AH11</f>
        <v>FT01810NA</v>
      </c>
      <c r="D330" s="2004"/>
      <c r="E330" s="1658" t="s">
        <v>9033</v>
      </c>
      <c r="F330" s="2004"/>
      <c r="G330" s="2004">
        <f>IF('1D'!I11="","##BLANK",'1D'!I11)</f>
        <v>-0.13999999999999979</v>
      </c>
    </row>
    <row r="331" spans="2:7">
      <c r="B331" s="848" t="str">
        <f>'1D'!AH12</f>
        <v>A14005NA</v>
      </c>
      <c r="D331" s="2004"/>
      <c r="E331" s="1658" t="s">
        <v>9033</v>
      </c>
      <c r="F331" s="2004"/>
      <c r="G331" s="2004">
        <f>IF('1D'!I12="","##BLANK",'1D'!I12)</f>
        <v>0</v>
      </c>
    </row>
    <row r="332" spans="2:7">
      <c r="B332" s="848" t="str">
        <f>'1D'!AH13</f>
        <v>BO5020NA</v>
      </c>
      <c r="D332" s="2004"/>
      <c r="E332" s="1658" t="s">
        <v>9033</v>
      </c>
      <c r="F332" s="2004"/>
      <c r="G332" s="2004">
        <f>IF('1D'!I13="","##BLANK",'1D'!I13)</f>
        <v>-1.8706262599999994</v>
      </c>
    </row>
    <row r="333" spans="2:7">
      <c r="B333" s="848" t="str">
        <f>'1D'!AH14</f>
        <v>BO5004NA</v>
      </c>
      <c r="D333" s="2004"/>
      <c r="E333" s="1658" t="s">
        <v>9033</v>
      </c>
      <c r="F333" s="2004"/>
      <c r="G333" s="2004">
        <f>IF('1D'!I14="","##BLANK",'1D'!I14)</f>
        <v>0</v>
      </c>
    </row>
    <row r="334" spans="2:7">
      <c r="B334" s="848" t="str">
        <f>'1D'!AH15</f>
        <v>BO5040NA</v>
      </c>
      <c r="D334" s="2004"/>
      <c r="E334" s="1658" t="s">
        <v>9033</v>
      </c>
      <c r="F334" s="2004"/>
      <c r="G334" s="2004">
        <f>IF('1D'!I15="","##BLANK",'1D'!I15)</f>
        <v>0</v>
      </c>
    </row>
    <row r="335" spans="2:7">
      <c r="B335" s="848" t="str">
        <f>'1D'!AH17</f>
        <v>A14008NA</v>
      </c>
      <c r="D335" s="2004"/>
      <c r="E335" s="1658" t="s">
        <v>9033</v>
      </c>
      <c r="F335" s="2004"/>
      <c r="G335" s="2004">
        <f>IF('1D'!I17="","##BLANK",'1D'!I17)</f>
        <v>0</v>
      </c>
    </row>
    <row r="336" spans="2:7">
      <c r="B336" s="848" t="str">
        <f>'1D'!AH18</f>
        <v>BO5070NA</v>
      </c>
      <c r="D336" s="2004"/>
      <c r="E336" s="1658" t="s">
        <v>9033</v>
      </c>
      <c r="F336" s="2004"/>
      <c r="G336" s="2004">
        <f>IF('1D'!I18="","##BLANK",'1D'!I18)</f>
        <v>0</v>
      </c>
    </row>
    <row r="337" spans="2:7">
      <c r="B337" s="848" t="str">
        <f>'1D'!AH19</f>
        <v>A14010NA</v>
      </c>
      <c r="D337" s="2004"/>
      <c r="E337" s="1658" t="s">
        <v>9033</v>
      </c>
      <c r="F337" s="2004"/>
      <c r="G337" s="2004">
        <f>IF('1D'!I19="","##BLANK",'1D'!I19)</f>
        <v>0</v>
      </c>
    </row>
    <row r="338" spans="2:7">
      <c r="B338" s="848" t="str">
        <f>'1D'!AH22</f>
        <v>BO5080NA</v>
      </c>
      <c r="D338" s="2004"/>
      <c r="E338" s="1658" t="s">
        <v>9033</v>
      </c>
      <c r="F338" s="2004"/>
      <c r="G338" s="2004">
        <f>IF('1D'!I22="","##BLANK",'1D'!I22)</f>
        <v>0</v>
      </c>
    </row>
    <row r="339" spans="2:7">
      <c r="B339" s="848" t="str">
        <f>'1D'!AH23</f>
        <v>BO5081NA</v>
      </c>
      <c r="D339" s="2004"/>
      <c r="E339" s="1658" t="s">
        <v>9033</v>
      </c>
      <c r="F339" s="2004"/>
      <c r="G339" s="2004">
        <f>IF('1D'!I23="","##BLANK",'1D'!I23)</f>
        <v>0</v>
      </c>
    </row>
    <row r="340" spans="2:7">
      <c r="B340" s="848" t="str">
        <f>'1D'!AH24</f>
        <v>BO5084NA</v>
      </c>
      <c r="D340" s="2004"/>
      <c r="E340" s="1658" t="s">
        <v>9033</v>
      </c>
      <c r="F340" s="2004"/>
      <c r="G340" s="2004">
        <f>IF('1D'!I24="","##BLANK",'1D'!I24)</f>
        <v>0</v>
      </c>
    </row>
    <row r="341" spans="2:7">
      <c r="B341" s="848" t="str">
        <f>'1D'!AH25</f>
        <v>BO5085NA</v>
      </c>
      <c r="D341" s="2004"/>
      <c r="E341" s="1658" t="s">
        <v>9033</v>
      </c>
      <c r="F341" s="2004"/>
      <c r="G341" s="2004">
        <f>IF('1D'!I25="","##BLANK",'1D'!I25)</f>
        <v>0</v>
      </c>
    </row>
    <row r="342" spans="2:7">
      <c r="B342" s="848" t="str">
        <f>'1D'!AH26</f>
        <v>BO5086NA</v>
      </c>
      <c r="D342" s="2004"/>
      <c r="E342" s="1658" t="s">
        <v>9033</v>
      </c>
      <c r="F342" s="2004"/>
      <c r="G342" s="2004">
        <f>IF('1D'!I26="","##BLANK",'1D'!I26)</f>
        <v>0</v>
      </c>
    </row>
    <row r="343" spans="2:7">
      <c r="B343" s="848" t="str">
        <f>'1D'!AH28</f>
        <v>A14017NA</v>
      </c>
      <c r="D343" s="2004"/>
      <c r="E343" s="1658" t="s">
        <v>9033</v>
      </c>
      <c r="F343" s="2004"/>
      <c r="G343" s="2004">
        <f>IF('1D'!I28="","##BLANK",'1D'!I28)</f>
        <v>0</v>
      </c>
    </row>
    <row r="344" spans="2:7">
      <c r="B344" s="848" t="str">
        <f>'1D'!AH31</f>
        <v>BO5204NA</v>
      </c>
      <c r="D344" s="2004"/>
      <c r="E344" s="1658" t="s">
        <v>9033</v>
      </c>
      <c r="F344" s="2004"/>
      <c r="G344" s="2004">
        <f>IF('1D'!I31="","##BLANK",'1D'!I31)</f>
        <v>0</v>
      </c>
    </row>
    <row r="345" spans="2:7">
      <c r="B345" s="848" t="str">
        <f>'1D'!AH32</f>
        <v>A14019NA</v>
      </c>
      <c r="D345" s="2004"/>
      <c r="E345" s="1658" t="s">
        <v>9033</v>
      </c>
      <c r="F345" s="2004"/>
      <c r="G345" s="2004">
        <f>IF('1D'!I32="","##BLANK",'1D'!I32)</f>
        <v>0</v>
      </c>
    </row>
    <row r="346" spans="2:7">
      <c r="B346" s="848" t="str">
        <f>'1D'!AH33</f>
        <v>BO5095NA</v>
      </c>
      <c r="D346" s="2004"/>
      <c r="E346" s="1658" t="s">
        <v>9033</v>
      </c>
      <c r="F346" s="2004"/>
      <c r="G346" s="2004">
        <f>IF('1D'!I33="","##BLANK",'1D'!I33)</f>
        <v>0</v>
      </c>
    </row>
    <row r="347" spans="2:7">
      <c r="B347" s="848" t="str">
        <f>'1D'!AH34</f>
        <v>BO5096NA</v>
      </c>
      <c r="D347" s="2004"/>
      <c r="E347" s="1658" t="s">
        <v>9033</v>
      </c>
      <c r="F347" s="2004"/>
      <c r="G347" s="2004">
        <f>IF('1D'!I34="","##BLANK",'1D'!I34)</f>
        <v>0</v>
      </c>
    </row>
    <row r="348" spans="2:7">
      <c r="B348" s="848" t="str">
        <f>'1D'!AH36</f>
        <v>BO5098NA</v>
      </c>
      <c r="D348" s="2004"/>
      <c r="E348" s="1658" t="s">
        <v>9033</v>
      </c>
      <c r="F348" s="2004"/>
      <c r="G348" s="2004">
        <f>IF('1D'!I36="","##BLANK",'1D'!I36)</f>
        <v>0</v>
      </c>
    </row>
    <row r="349" spans="2:7">
      <c r="B349" s="848" t="str">
        <f>'1D'!AI8</f>
        <v>BO5002ADJ</v>
      </c>
      <c r="D349" s="2004"/>
      <c r="E349" s="1658" t="s">
        <v>9033</v>
      </c>
      <c r="F349" s="2004"/>
      <c r="G349" s="2004">
        <f>IF('1D'!J8="","##BLANK",'1D'!J8)</f>
        <v>-26.376999999999999</v>
      </c>
    </row>
    <row r="350" spans="2:7">
      <c r="B350" s="848" t="str">
        <f>'1D'!AI9</f>
        <v>A14002ADJ</v>
      </c>
      <c r="D350" s="2004"/>
      <c r="E350" s="1658" t="s">
        <v>9033</v>
      </c>
      <c r="F350" s="2004"/>
      <c r="G350" s="2004">
        <f>IF('1D'!J9="","##BLANK",'1D'!J9)</f>
        <v>-3.7835027800000005</v>
      </c>
    </row>
    <row r="351" spans="2:7">
      <c r="B351" s="848" t="str">
        <f>'1D'!AI10</f>
        <v>A3028ADJ</v>
      </c>
      <c r="D351" s="2004"/>
      <c r="E351" s="1658" t="s">
        <v>9033</v>
      </c>
      <c r="F351" s="2004"/>
      <c r="G351" s="2004">
        <f>IF('1D'!J10="","##BLANK",'1D'!J10)</f>
        <v>10.907</v>
      </c>
    </row>
    <row r="352" spans="2:7">
      <c r="B352" s="848" t="str">
        <f>'1D'!AI11</f>
        <v>FT01810ADJ</v>
      </c>
      <c r="D352" s="2004"/>
      <c r="E352" s="1658" t="s">
        <v>9033</v>
      </c>
      <c r="F352" s="2004"/>
      <c r="G352" s="2004">
        <f>IF('1D'!J11="","##BLANK",'1D'!J11)</f>
        <v>0.13999999999999979</v>
      </c>
    </row>
    <row r="353" spans="2:7">
      <c r="B353" s="848" t="str">
        <f>'1D'!AI12</f>
        <v>A14005ADJ</v>
      </c>
      <c r="D353" s="2004"/>
      <c r="E353" s="1658" t="s">
        <v>9033</v>
      </c>
      <c r="F353" s="2004"/>
      <c r="G353" s="2004">
        <f>IF('1D'!J12="","##BLANK",'1D'!J12)</f>
        <v>0</v>
      </c>
    </row>
    <row r="354" spans="2:7">
      <c r="B354" s="848" t="str">
        <f>'1D'!AI13</f>
        <v>BO5020ADJ</v>
      </c>
      <c r="D354" s="2004"/>
      <c r="E354" s="1658" t="s">
        <v>9033</v>
      </c>
      <c r="F354" s="2004"/>
      <c r="G354" s="2004">
        <f>IF('1D'!J13="","##BLANK",'1D'!J13)</f>
        <v>1.8706262599999994</v>
      </c>
    </row>
    <row r="355" spans="2:7">
      <c r="B355" s="848" t="str">
        <f>'1D'!AI14</f>
        <v>BO5004ADJ</v>
      </c>
      <c r="D355" s="2004"/>
      <c r="E355" s="1658" t="s">
        <v>9033</v>
      </c>
      <c r="F355" s="2004"/>
      <c r="G355" s="2004">
        <f>IF('1D'!J14="","##BLANK",'1D'!J14)</f>
        <v>0</v>
      </c>
    </row>
    <row r="356" spans="2:7">
      <c r="B356" s="848" t="str">
        <f>'1D'!AI15</f>
        <v>BO5040ADJ</v>
      </c>
      <c r="D356" s="2004"/>
      <c r="E356" s="1658" t="s">
        <v>9033</v>
      </c>
      <c r="F356" s="2004"/>
      <c r="G356" s="2004">
        <f>IF('1D'!J15="","##BLANK",'1D'!J15)</f>
        <v>-26.37687652</v>
      </c>
    </row>
    <row r="357" spans="2:7">
      <c r="B357" s="848" t="str">
        <f>'1D'!AI17</f>
        <v>A14008ADJ</v>
      </c>
      <c r="D357" s="2004"/>
      <c r="E357" s="1658" t="s">
        <v>9033</v>
      </c>
      <c r="F357" s="2004"/>
      <c r="G357" s="2004">
        <f>IF('1D'!J17="","##BLANK",'1D'!J17)</f>
        <v>0</v>
      </c>
    </row>
    <row r="358" spans="2:7">
      <c r="B358" s="848" t="str">
        <f>'1D'!AI18</f>
        <v>BO5070ADJ</v>
      </c>
      <c r="D358" s="2004"/>
      <c r="E358" s="1658" t="s">
        <v>9033</v>
      </c>
      <c r="F358" s="2004"/>
      <c r="G358" s="2004">
        <f>IF('1D'!J18="","##BLANK",'1D'!J18)</f>
        <v>0</v>
      </c>
    </row>
    <row r="359" spans="2:7">
      <c r="B359" s="848" t="str">
        <f>'1D'!AI19</f>
        <v>A14010ADJ</v>
      </c>
      <c r="D359" s="2004"/>
      <c r="E359" s="1658" t="s">
        <v>9033</v>
      </c>
      <c r="F359" s="2004"/>
      <c r="G359" s="2004">
        <f>IF('1D'!J19="","##BLANK",'1D'!J19)</f>
        <v>-26.37687652</v>
      </c>
    </row>
    <row r="360" spans="2:7">
      <c r="B360" s="848" t="str">
        <f>'1D'!AI22</f>
        <v>BO5080ADJ</v>
      </c>
      <c r="D360" s="2004"/>
      <c r="E360" s="1658" t="s">
        <v>9033</v>
      </c>
      <c r="F360" s="2004"/>
      <c r="G360" s="2004">
        <f>IF('1D'!J22="","##BLANK",'1D'!J22)</f>
        <v>0</v>
      </c>
    </row>
    <row r="361" spans="2:7">
      <c r="B361" s="848" t="str">
        <f>'1D'!AI23</f>
        <v>BO5081ADJ</v>
      </c>
      <c r="D361" s="2004"/>
      <c r="E361" s="1658" t="s">
        <v>9033</v>
      </c>
      <c r="F361" s="2004"/>
      <c r="G361" s="2004">
        <f>IF('1D'!J23="","##BLANK",'1D'!J23)</f>
        <v>26.376999999999999</v>
      </c>
    </row>
    <row r="362" spans="2:7">
      <c r="B362" s="848" t="str">
        <f>'1D'!AI24</f>
        <v>BO5084ADJ</v>
      </c>
      <c r="D362" s="2004"/>
      <c r="E362" s="1658" t="s">
        <v>9033</v>
      </c>
      <c r="F362" s="2004"/>
      <c r="G362" s="2004">
        <f>IF('1D'!J24="","##BLANK",'1D'!J24)</f>
        <v>0</v>
      </c>
    </row>
    <row r="363" spans="2:7">
      <c r="B363" s="848" t="str">
        <f>'1D'!AI25</f>
        <v>BO5085ADJ</v>
      </c>
      <c r="D363" s="2004"/>
      <c r="E363" s="1658" t="s">
        <v>9033</v>
      </c>
      <c r="F363" s="2004"/>
      <c r="G363" s="2004">
        <f>IF('1D'!J25="","##BLANK",'1D'!J25)</f>
        <v>0</v>
      </c>
    </row>
    <row r="364" spans="2:7">
      <c r="B364" s="848" t="str">
        <f>'1D'!AI26</f>
        <v>BO5086ADJ</v>
      </c>
      <c r="D364" s="2004"/>
      <c r="E364" s="1658" t="s">
        <v>9033</v>
      </c>
      <c r="F364" s="2004"/>
      <c r="G364" s="2004">
        <f>IF('1D'!J26="","##BLANK",'1D'!J26)</f>
        <v>26.376999999999999</v>
      </c>
    </row>
    <row r="365" spans="2:7">
      <c r="B365" s="848" t="str">
        <f>'1D'!AI28</f>
        <v>A14017ADJ</v>
      </c>
      <c r="D365" s="2004"/>
      <c r="E365" s="1658" t="s">
        <v>9033</v>
      </c>
      <c r="F365" s="2004"/>
      <c r="G365" s="2004">
        <f>IF('1D'!J28="","##BLANK",'1D'!J28)</f>
        <v>1.2347999999917647E-4</v>
      </c>
    </row>
    <row r="366" spans="2:7">
      <c r="B366" s="848" t="str">
        <f>'1D'!AI31</f>
        <v>BO5204ADJ</v>
      </c>
      <c r="D366" s="2004"/>
      <c r="E366" s="1658" t="s">
        <v>9033</v>
      </c>
      <c r="F366" s="2004"/>
      <c r="G366" s="2004">
        <f>IF('1D'!J31="","##BLANK",'1D'!J31)</f>
        <v>0</v>
      </c>
    </row>
    <row r="367" spans="2:7">
      <c r="B367" s="848" t="str">
        <f>'1D'!AI32</f>
        <v>A14019ADJ</v>
      </c>
      <c r="D367" s="2004"/>
      <c r="E367" s="1658" t="s">
        <v>9033</v>
      </c>
      <c r="F367" s="2004"/>
      <c r="G367" s="2004">
        <f>IF('1D'!J32="","##BLANK",'1D'!J32)</f>
        <v>0</v>
      </c>
    </row>
    <row r="368" spans="2:7">
      <c r="B368" s="848" t="str">
        <f>'1D'!AI33</f>
        <v>BO5095ADJ</v>
      </c>
      <c r="D368" s="2004"/>
      <c r="E368" s="1658" t="s">
        <v>9033</v>
      </c>
      <c r="F368" s="2004"/>
      <c r="G368" s="2004">
        <f>IF('1D'!J33="","##BLANK",'1D'!J33)</f>
        <v>0</v>
      </c>
    </row>
    <row r="369" spans="2:7">
      <c r="B369" s="848" t="str">
        <f>'1D'!AI34</f>
        <v>BO5096ADJ</v>
      </c>
      <c r="D369" s="2004"/>
      <c r="E369" s="1658" t="s">
        <v>9033</v>
      </c>
      <c r="F369" s="2004"/>
      <c r="G369" s="2004">
        <f>IF('1D'!J34="","##BLANK",'1D'!J34)</f>
        <v>0</v>
      </c>
    </row>
    <row r="370" spans="2:7">
      <c r="B370" s="848" t="str">
        <f>'1D'!AI36</f>
        <v>BO5098ADJ</v>
      </c>
      <c r="D370" s="2004"/>
      <c r="E370" s="1658" t="s">
        <v>9033</v>
      </c>
      <c r="F370" s="2004"/>
      <c r="G370" s="2004">
        <f>IF('1D'!J36="","##BLANK",'1D'!J36)</f>
        <v>1.2347999999917647E-4</v>
      </c>
    </row>
    <row r="371" spans="2:7">
      <c r="B371" s="848" t="str">
        <f>'1D'!AJ8</f>
        <v>BO5002</v>
      </c>
      <c r="D371" s="2004"/>
      <c r="E371" s="1658" t="s">
        <v>9033</v>
      </c>
      <c r="F371" s="2004"/>
      <c r="G371" s="2004">
        <f>IF('1D'!K8="","##BLANK",'1D'!K8)</f>
        <v>2.1380000000000017</v>
      </c>
    </row>
    <row r="372" spans="2:7">
      <c r="B372" s="848" t="str">
        <f>'1D'!AJ9</f>
        <v>A14002</v>
      </c>
      <c r="D372" s="2004"/>
      <c r="E372" s="1658" t="s">
        <v>9033</v>
      </c>
      <c r="F372" s="2004"/>
      <c r="G372" s="2004">
        <f>IF('1D'!K9="","##BLANK",'1D'!K9)</f>
        <v>322.49849721999999</v>
      </c>
    </row>
    <row r="373" spans="2:7">
      <c r="B373" s="848" t="str">
        <f>'1D'!AJ10</f>
        <v>A3028</v>
      </c>
      <c r="D373" s="2004"/>
      <c r="E373" s="1658" t="s">
        <v>9033</v>
      </c>
      <c r="F373" s="2004"/>
      <c r="G373" s="2004">
        <f>IF('1D'!K10="","##BLANK",'1D'!K10)</f>
        <v>0</v>
      </c>
    </row>
    <row r="374" spans="2:7">
      <c r="B374" s="848" t="str">
        <f>'1D'!AJ11</f>
        <v>FT01810</v>
      </c>
      <c r="D374" s="2004"/>
      <c r="E374" s="1658" t="s">
        <v>9033</v>
      </c>
      <c r="F374" s="2004"/>
      <c r="G374" s="2004">
        <f>IF('1D'!K11="","##BLANK",'1D'!K11)</f>
        <v>-1.9730000000000003</v>
      </c>
    </row>
    <row r="375" spans="2:7">
      <c r="B375" s="848" t="str">
        <f>'1D'!AJ12</f>
        <v>A14005</v>
      </c>
      <c r="D375" s="2004"/>
      <c r="E375" s="1658" t="s">
        <v>9033</v>
      </c>
      <c r="F375" s="2004"/>
      <c r="G375" s="2004">
        <f>IF('1D'!K12="","##BLANK",'1D'!K12)</f>
        <v>0</v>
      </c>
    </row>
    <row r="376" spans="2:7">
      <c r="B376" s="848" t="str">
        <f>'1D'!AJ13</f>
        <v>BO5020</v>
      </c>
      <c r="D376" s="2004"/>
      <c r="E376" s="1658" t="s">
        <v>9033</v>
      </c>
      <c r="F376" s="2004"/>
      <c r="G376" s="2004">
        <f>IF('1D'!K13="","##BLANK",'1D'!K13)</f>
        <v>-1.5713737400000007</v>
      </c>
    </row>
    <row r="377" spans="2:7">
      <c r="B377" s="848" t="str">
        <f>'1D'!AJ14</f>
        <v>BO5004</v>
      </c>
      <c r="D377" s="2004"/>
      <c r="E377" s="1658" t="s">
        <v>9033</v>
      </c>
      <c r="F377" s="2004"/>
      <c r="G377" s="2004">
        <f>IF('1D'!K14="","##BLANK",'1D'!K14)</f>
        <v>-2.1429999999999998</v>
      </c>
    </row>
    <row r="378" spans="2:7">
      <c r="B378" s="848" t="str">
        <f>'1D'!AJ15</f>
        <v>BO5040</v>
      </c>
      <c r="D378" s="2004"/>
      <c r="E378" s="1658" t="s">
        <v>9033</v>
      </c>
      <c r="F378" s="2004"/>
      <c r="G378" s="2004">
        <f>IF('1D'!K15="","##BLANK",'1D'!K15)</f>
        <v>520.1121234799997</v>
      </c>
    </row>
    <row r="379" spans="2:7">
      <c r="B379" s="848" t="str">
        <f>'1D'!AJ17</f>
        <v>A14008</v>
      </c>
      <c r="D379" s="2004"/>
      <c r="E379" s="1658" t="s">
        <v>9033</v>
      </c>
      <c r="F379" s="2004"/>
      <c r="G379" s="2004">
        <f>IF('1D'!K17="","##BLANK",'1D'!K17)</f>
        <v>-117.25700000000001</v>
      </c>
    </row>
    <row r="380" spans="2:7">
      <c r="B380" s="848" t="str">
        <f>'1D'!AJ18</f>
        <v>BO5070</v>
      </c>
      <c r="D380" s="2004"/>
      <c r="E380" s="1658" t="s">
        <v>9033</v>
      </c>
      <c r="F380" s="2004"/>
      <c r="G380" s="2004">
        <f>IF('1D'!K18="","##BLANK",'1D'!K18)</f>
        <v>-17.126000000000001</v>
      </c>
    </row>
    <row r="381" spans="2:7">
      <c r="B381" s="848" t="str">
        <f>'1D'!AJ19</f>
        <v>A14010</v>
      </c>
      <c r="D381" s="2004"/>
      <c r="E381" s="1658" t="s">
        <v>9033</v>
      </c>
      <c r="F381" s="2004"/>
      <c r="G381" s="2004">
        <f>IF('1D'!K19="","##BLANK",'1D'!K19)</f>
        <v>385.72912347999966</v>
      </c>
    </row>
    <row r="382" spans="2:7">
      <c r="B382" s="848" t="str">
        <f>'1D'!AJ22</f>
        <v>BO5080</v>
      </c>
      <c r="D382" s="2004"/>
      <c r="E382" s="1658" t="s">
        <v>9033</v>
      </c>
      <c r="F382" s="2004"/>
      <c r="G382" s="2004">
        <f>IF('1D'!K22="","##BLANK",'1D'!K22)</f>
        <v>-512.423</v>
      </c>
    </row>
    <row r="383" spans="2:7">
      <c r="B383" s="848" t="str">
        <f>'1D'!AJ23</f>
        <v>BO5081</v>
      </c>
      <c r="D383" s="2004"/>
      <c r="E383" s="1658" t="s">
        <v>9033</v>
      </c>
      <c r="F383" s="2004"/>
      <c r="G383" s="2004">
        <f>IF('1D'!K23="","##BLANK",'1D'!K23)</f>
        <v>26.376999999999999</v>
      </c>
    </row>
    <row r="384" spans="2:7">
      <c r="B384" s="848" t="str">
        <f>'1D'!AJ24</f>
        <v>BO5084</v>
      </c>
      <c r="D384" s="2004"/>
      <c r="E384" s="1658" t="s">
        <v>9033</v>
      </c>
      <c r="F384" s="2004"/>
      <c r="G384" s="2004">
        <f>IF('1D'!K24="","##BLANK",'1D'!K24)</f>
        <v>2.242</v>
      </c>
    </row>
    <row r="385" spans="2:7">
      <c r="B385" s="848" t="str">
        <f>'1D'!AJ25</f>
        <v>BO5085</v>
      </c>
      <c r="D385" s="2004"/>
      <c r="E385" s="1658" t="s">
        <v>9033</v>
      </c>
      <c r="F385" s="2004"/>
      <c r="G385" s="2004">
        <f>IF('1D'!K25="","##BLANK",'1D'!K25)</f>
        <v>3.4420000000000002</v>
      </c>
    </row>
    <row r="386" spans="2:7">
      <c r="B386" s="848" t="str">
        <f>'1D'!AJ26</f>
        <v>BO5086</v>
      </c>
      <c r="D386" s="2004"/>
      <c r="E386" s="1658" t="s">
        <v>9033</v>
      </c>
      <c r="F386" s="2004"/>
      <c r="G386" s="2004">
        <f>IF('1D'!K26="","##BLANK",'1D'!K26)</f>
        <v>-480.36199999999997</v>
      </c>
    </row>
    <row r="387" spans="2:7">
      <c r="B387" s="848" t="str">
        <f>'1D'!AJ28</f>
        <v>A14017</v>
      </c>
      <c r="D387" s="2004"/>
      <c r="E387" s="1658" t="s">
        <v>9033</v>
      </c>
      <c r="F387" s="2004"/>
      <c r="G387" s="2004">
        <f>IF('1D'!K28="","##BLANK",'1D'!K28)</f>
        <v>-94.632876520000323</v>
      </c>
    </row>
    <row r="388" spans="2:7">
      <c r="B388" s="848" t="str">
        <f>'1D'!AJ31</f>
        <v>BO5204</v>
      </c>
      <c r="D388" s="2004"/>
      <c r="E388" s="1658" t="s">
        <v>9033</v>
      </c>
      <c r="F388" s="2004"/>
      <c r="G388" s="2004">
        <f>IF('1D'!K31="","##BLANK",'1D'!K31)</f>
        <v>-110.029</v>
      </c>
    </row>
    <row r="389" spans="2:7">
      <c r="B389" s="848" t="str">
        <f>'1D'!AJ32</f>
        <v>A14019</v>
      </c>
      <c r="D389" s="2004"/>
      <c r="E389" s="1658" t="s">
        <v>9033</v>
      </c>
      <c r="F389" s="2004"/>
      <c r="G389" s="2004">
        <f>IF('1D'!K32="","##BLANK",'1D'!K32)</f>
        <v>418.86</v>
      </c>
    </row>
    <row r="390" spans="2:7">
      <c r="B390" s="848" t="str">
        <f>'1D'!AJ33</f>
        <v>BO5095</v>
      </c>
      <c r="D390" s="2004"/>
      <c r="E390" s="1658" t="s">
        <v>9033</v>
      </c>
      <c r="F390" s="2004"/>
      <c r="G390" s="2004">
        <f>IF('1D'!K33="","##BLANK",'1D'!K33)</f>
        <v>0</v>
      </c>
    </row>
    <row r="391" spans="2:7">
      <c r="B391" s="848" t="str">
        <f>'1D'!AJ34</f>
        <v>BO5096</v>
      </c>
      <c r="D391" s="2004"/>
      <c r="E391" s="1658" t="s">
        <v>9033</v>
      </c>
      <c r="F391" s="2004"/>
      <c r="G391" s="2004">
        <f>IF('1D'!K34="","##BLANK",'1D'!K34)</f>
        <v>308.83100000000002</v>
      </c>
    </row>
    <row r="392" spans="2:7">
      <c r="B392" s="848" t="str">
        <f>'1D'!AJ36</f>
        <v>BO5098</v>
      </c>
      <c r="D392" s="2004"/>
      <c r="E392" s="1658" t="s">
        <v>9033</v>
      </c>
      <c r="F392" s="2004"/>
      <c r="G392" s="2004">
        <f>IF('1D'!K36="","##BLANK",'1D'!K36)</f>
        <v>214.19812347999971</v>
      </c>
    </row>
    <row r="393" spans="2:7">
      <c r="B393" s="848" t="str">
        <f>'1E'!AF6</f>
        <v>BO5332FX</v>
      </c>
      <c r="D393" s="2004"/>
      <c r="E393" s="1658" t="s">
        <v>9033</v>
      </c>
      <c r="F393" s="2004"/>
      <c r="G393" s="2004">
        <f>IF('1E'!G6="","##BLANK",'1E'!G6)</f>
        <v>2492.52</v>
      </c>
    </row>
    <row r="394" spans="2:7">
      <c r="B394" s="848" t="str">
        <f>'1E'!AF16</f>
        <v>BO130FXI</v>
      </c>
      <c r="D394" s="2004"/>
      <c r="E394" s="1658" t="s">
        <v>9033</v>
      </c>
      <c r="F394" s="2004"/>
      <c r="G394" s="2004">
        <f>IF('1E'!G16="","##BLANK",'1E'!G16)</f>
        <v>71.489000000000004</v>
      </c>
    </row>
    <row r="395" spans="2:7">
      <c r="B395" s="848" t="str">
        <f>'1E'!AF17</f>
        <v>BO135FXI</v>
      </c>
      <c r="D395" s="2004"/>
      <c r="E395" s="1658" t="s">
        <v>9033</v>
      </c>
      <c r="F395" s="2004"/>
      <c r="G395" s="2004">
        <f>IF('1E'!G17="","##BLANK",'1E'!G17)</f>
        <v>71.489000000000004</v>
      </c>
    </row>
    <row r="396" spans="2:7">
      <c r="B396" s="848" t="str">
        <f>'1E'!AF20</f>
        <v>FI00500FX</v>
      </c>
      <c r="D396" s="2004"/>
      <c r="E396" s="1658" t="s">
        <v>9033</v>
      </c>
      <c r="F396" s="2004"/>
      <c r="G396" s="2004">
        <f>IF('1E'!G20="","##BLANK",'1E'!G20)</f>
        <v>2.87E-2</v>
      </c>
    </row>
    <row r="397" spans="2:7">
      <c r="B397" s="848" t="str">
        <f>'1E'!AF21</f>
        <v>FI00510FX</v>
      </c>
      <c r="D397" s="2004"/>
      <c r="E397" s="1658" t="s">
        <v>9033</v>
      </c>
      <c r="F397" s="2004"/>
      <c r="G397" s="2004">
        <f>IF('1E'!G21="","##BLANK",'1E'!G21)</f>
        <v>2.87E-2</v>
      </c>
    </row>
    <row r="398" spans="2:7">
      <c r="B398" s="848" t="str">
        <f>'1E'!AF23</f>
        <v>FI00560FX</v>
      </c>
      <c r="D398" s="2004"/>
      <c r="E398" s="1658" t="s">
        <v>9033</v>
      </c>
      <c r="F398" s="2004"/>
      <c r="G398" s="2004">
        <f>IF('1E'!G23="","##BLANK",'1E'!G23)</f>
        <v>12.54</v>
      </c>
    </row>
    <row r="399" spans="2:7">
      <c r="B399" s="848" t="str">
        <f>'1E'!AG6</f>
        <v>BO5332FR</v>
      </c>
      <c r="D399" s="2004"/>
      <c r="E399" s="1658" t="s">
        <v>9033</v>
      </c>
      <c r="F399" s="2004"/>
      <c r="G399" s="2004">
        <f>IF('1E'!H6="","##BLANK",'1E'!H6)</f>
        <v>1303.422</v>
      </c>
    </row>
    <row r="400" spans="2:7">
      <c r="B400" s="848" t="str">
        <f>'1E'!AG16</f>
        <v>BO130FRI</v>
      </c>
      <c r="D400" s="2004"/>
      <c r="E400" s="1658" t="s">
        <v>9033</v>
      </c>
      <c r="F400" s="2004"/>
      <c r="G400" s="2004">
        <f>IF('1E'!H16="","##BLANK",'1E'!H16)</f>
        <v>14.159000000000001</v>
      </c>
    </row>
    <row r="401" spans="2:7">
      <c r="B401" s="848" t="str">
        <f>'1E'!AG17</f>
        <v>BO135FRI</v>
      </c>
      <c r="D401" s="2004"/>
      <c r="E401" s="1658" t="s">
        <v>9033</v>
      </c>
      <c r="F401" s="2004"/>
      <c r="G401" s="2004">
        <f>IF('1E'!H17="","##BLANK",'1E'!H17)</f>
        <v>14.159000000000001</v>
      </c>
    </row>
    <row r="402" spans="2:7">
      <c r="B402" s="848" t="str">
        <f>'1E'!AG20</f>
        <v>FI00500FR</v>
      </c>
      <c r="D402" s="2004"/>
      <c r="E402" s="1658" t="s">
        <v>9033</v>
      </c>
      <c r="F402" s="2004"/>
      <c r="G402" s="2004">
        <f>IF('1E'!H20="","##BLANK",'1E'!H20)</f>
        <v>1.09E-2</v>
      </c>
    </row>
    <row r="403" spans="2:7">
      <c r="B403" s="848" t="str">
        <f>'1E'!AG21</f>
        <v>FI00510FR</v>
      </c>
      <c r="D403" s="2004"/>
      <c r="E403" s="1658" t="s">
        <v>9033</v>
      </c>
      <c r="F403" s="2004"/>
      <c r="G403" s="2004">
        <f>IF('1E'!H21="","##BLANK",'1E'!H21)</f>
        <v>1.09E-2</v>
      </c>
    </row>
    <row r="404" spans="2:7">
      <c r="B404" s="848" t="str">
        <f>'1E'!AG23</f>
        <v>FI00560FR</v>
      </c>
      <c r="D404" s="2004"/>
      <c r="E404" s="1658" t="s">
        <v>9033</v>
      </c>
      <c r="F404" s="2004"/>
      <c r="G404" s="2004">
        <f>IF('1E'!H23="","##BLANK",'1E'!H23)</f>
        <v>6.5</v>
      </c>
    </row>
    <row r="405" spans="2:7">
      <c r="B405" s="848" t="str">
        <f>'1E'!AH6</f>
        <v>BO5332IL</v>
      </c>
      <c r="D405" s="2004"/>
      <c r="E405" s="1658" t="s">
        <v>9033</v>
      </c>
      <c r="F405" s="2004"/>
      <c r="G405" s="2004">
        <f>IF('1E'!I6="","##BLANK",'1E'!I6)</f>
        <v>1795.931</v>
      </c>
    </row>
    <row r="406" spans="2:7">
      <c r="B406" s="848" t="str">
        <f>'1E'!AH16</f>
        <v>BO130ILI</v>
      </c>
      <c r="D406" s="2004"/>
      <c r="E406" s="1658" t="s">
        <v>9033</v>
      </c>
      <c r="F406" s="2004"/>
      <c r="G406" s="2004">
        <f>IF('1E'!I16="","##BLANK",'1E'!I16)</f>
        <v>174.999</v>
      </c>
    </row>
    <row r="407" spans="2:7">
      <c r="B407" s="848" t="str">
        <f>'1E'!AH17</f>
        <v>BO135ILI</v>
      </c>
      <c r="D407" s="2004"/>
      <c r="E407" s="1658" t="s">
        <v>9033</v>
      </c>
      <c r="F407" s="2004"/>
      <c r="G407" s="2004">
        <f>IF('1E'!I17="","##BLANK",'1E'!I17)</f>
        <v>84.075000000000003</v>
      </c>
    </row>
    <row r="408" spans="2:7">
      <c r="B408" s="848" t="str">
        <f>'1E'!AH20</f>
        <v>FI00500IL</v>
      </c>
      <c r="D408" s="2004"/>
      <c r="E408" s="1658" t="s">
        <v>9033</v>
      </c>
      <c r="F408" s="2004"/>
      <c r="G408" s="2004">
        <f>IF('1E'!I20="","##BLANK",'1E'!I20)</f>
        <v>9.74E-2</v>
      </c>
    </row>
    <row r="409" spans="2:7">
      <c r="B409" s="848" t="str">
        <f>'1E'!AH21</f>
        <v>FI00510IL</v>
      </c>
      <c r="D409" s="2004"/>
      <c r="E409" s="1658" t="s">
        <v>9033</v>
      </c>
      <c r="F409" s="2004"/>
      <c r="G409" s="2004">
        <f>IF('1E'!I21="","##BLANK",'1E'!I21)</f>
        <v>4.6800000000000001E-2</v>
      </c>
    </row>
    <row r="410" spans="2:7">
      <c r="B410" s="848" t="str">
        <f>'1E'!AH23</f>
        <v>FI00560IL</v>
      </c>
      <c r="D410" s="2004"/>
      <c r="E410" s="1658" t="s">
        <v>9033</v>
      </c>
      <c r="F410" s="2004"/>
      <c r="G410" s="2004">
        <f>IF('1E'!I23="","##BLANK",'1E'!I23)</f>
        <v>23.58</v>
      </c>
    </row>
    <row r="411" spans="2:7">
      <c r="B411" s="848" t="str">
        <f>'1E'!AI6</f>
        <v>BO5332A</v>
      </c>
      <c r="D411" s="2004"/>
      <c r="E411" s="1658" t="s">
        <v>9033</v>
      </c>
      <c r="F411" s="2004"/>
      <c r="G411" s="2004">
        <f>IF('1E'!J6="","##BLANK",'1E'!J6)</f>
        <v>5591.8729999999996</v>
      </c>
    </row>
    <row r="412" spans="2:7">
      <c r="B412" s="848" t="str">
        <f>'1E'!AI7</f>
        <v>BB1300ND</v>
      </c>
      <c r="D412" s="2004"/>
      <c r="E412" s="1658" t="s">
        <v>9033</v>
      </c>
      <c r="F412" s="2004"/>
      <c r="G412" s="2004">
        <f>IF('1E'!J7="","##BLANK",'1E'!J7)</f>
        <v>0</v>
      </c>
    </row>
    <row r="413" spans="2:7">
      <c r="B413" s="848" t="str">
        <f>'1E'!AI8</f>
        <v>BO5348T</v>
      </c>
      <c r="D413" s="2004"/>
      <c r="E413" s="1658" t="s">
        <v>9033</v>
      </c>
      <c r="F413" s="2004"/>
      <c r="G413" s="2004">
        <f>IF('1E'!J8="","##BLANK",'1E'!J8)</f>
        <v>5591.8729999999996</v>
      </c>
    </row>
    <row r="414" spans="2:7">
      <c r="B414" s="848" t="str">
        <f>'1E'!AI9</f>
        <v>FT01690</v>
      </c>
      <c r="D414" s="2004"/>
      <c r="E414" s="1658" t="s">
        <v>9033</v>
      </c>
      <c r="F414" s="2004"/>
      <c r="G414" s="2004">
        <f>IF('1E'!J9="","##BLANK",'1E'!J9)</f>
        <v>-67.962000000000003</v>
      </c>
    </row>
    <row r="415" spans="2:7">
      <c r="B415" s="848" t="str">
        <f>'1E'!AI10</f>
        <v>PP0021</v>
      </c>
      <c r="D415" s="2004"/>
      <c r="E415" s="1658" t="s">
        <v>9033</v>
      </c>
      <c r="F415" s="2004"/>
      <c r="G415" s="2004">
        <f>IF('1E'!J10="","##BLANK",'1E'!J10)</f>
        <v>-180.11500000000001</v>
      </c>
    </row>
    <row r="416" spans="2:7">
      <c r="B416" s="848" t="str">
        <f>'1E'!AI11</f>
        <v>BO4075</v>
      </c>
      <c r="D416" s="2004"/>
      <c r="E416" s="1658" t="s">
        <v>9033</v>
      </c>
      <c r="F416" s="2004"/>
      <c r="G416" s="2004">
        <f>IF('1E'!J11="","##BLANK",'1E'!J11)</f>
        <v>5343.7959999999994</v>
      </c>
    </row>
    <row r="417" spans="2:13">
      <c r="B417" s="848" t="str">
        <f>'1E'!AI13</f>
        <v>FI00300</v>
      </c>
      <c r="D417" s="2004"/>
      <c r="E417" s="1658" t="s">
        <v>9033</v>
      </c>
      <c r="F417" s="2004"/>
      <c r="G417" s="2004">
        <f>IF('1E'!J13="","##BLANK",'1E'!J13)</f>
        <v>0.76883575637104873</v>
      </c>
      <c r="H417" s="2004"/>
      <c r="I417" s="2004"/>
      <c r="J417" s="2004"/>
      <c r="K417" s="2004"/>
      <c r="L417" s="2004"/>
      <c r="M417" s="2004"/>
    </row>
    <row r="418" spans="2:13">
      <c r="B418" s="848" t="str">
        <f>'1E'!AI14</f>
        <v>FI00300CV</v>
      </c>
      <c r="D418" s="2004"/>
      <c r="E418" s="1658" t="s">
        <v>9033</v>
      </c>
      <c r="F418" s="2004"/>
      <c r="G418" s="2004">
        <f>IF('1E'!J14="","##BLANK",'1E'!J14)</f>
        <v>0.77800000000000002</v>
      </c>
      <c r="H418" s="2004"/>
      <c r="I418" s="2004"/>
      <c r="J418" s="2004"/>
      <c r="K418" s="2004"/>
      <c r="L418" s="2004"/>
      <c r="M418" s="2004"/>
    </row>
    <row r="419" spans="2:13">
      <c r="B419" s="848" t="str">
        <f>'1E'!AI16</f>
        <v>BO160TLI</v>
      </c>
      <c r="D419" s="2004"/>
      <c r="E419" s="1658" t="s">
        <v>9033</v>
      </c>
      <c r="F419" s="2004"/>
      <c r="G419" s="2004">
        <f>IF('1E'!J16="","##BLANK",'1E'!J16)</f>
        <v>260.64699999999999</v>
      </c>
      <c r="H419" s="2004"/>
      <c r="I419" s="2004"/>
      <c r="J419" s="2004"/>
      <c r="K419" s="2004"/>
      <c r="L419" s="2004"/>
      <c r="M419" s="2004"/>
    </row>
    <row r="420" spans="2:13">
      <c r="B420" s="848" t="str">
        <f>'1E'!AI17</f>
        <v>BO165TLI</v>
      </c>
      <c r="D420" s="2004"/>
      <c r="E420" s="1658" t="s">
        <v>9033</v>
      </c>
      <c r="F420" s="2004"/>
      <c r="G420" s="2004">
        <f>IF('1E'!J17="","##BLANK",'1E'!J17)</f>
        <v>169.72300000000001</v>
      </c>
      <c r="H420" s="2004"/>
      <c r="I420" s="2004"/>
      <c r="J420" s="2004"/>
      <c r="K420" s="2004"/>
      <c r="L420" s="2004"/>
      <c r="M420" s="2004"/>
    </row>
    <row r="421" spans="2:13">
      <c r="B421" s="848" t="str">
        <f>'1E'!AI20</f>
        <v>FI00500</v>
      </c>
      <c r="D421" s="2004"/>
      <c r="E421" s="1658" t="s">
        <v>9033</v>
      </c>
      <c r="F421" s="2004"/>
      <c r="G421" s="2004">
        <f>IF('1E'!J20="","##BLANK",'1E'!J20)</f>
        <v>4.6600000000000003E-2</v>
      </c>
      <c r="H421" s="2004"/>
      <c r="I421" s="2004"/>
      <c r="J421" s="2004"/>
      <c r="K421" s="2004"/>
      <c r="L421" s="2004"/>
      <c r="M421" s="2004"/>
    </row>
    <row r="422" spans="2:13">
      <c r="B422" s="848" t="str">
        <f>'1E'!AI21</f>
        <v>FI00510</v>
      </c>
      <c r="D422" s="2004"/>
      <c r="E422" s="1658" t="s">
        <v>9033</v>
      </c>
      <c r="F422" s="2004"/>
      <c r="G422" s="2004">
        <f>IF('1E'!J21="","##BLANK",'1E'!J21)</f>
        <v>3.04E-2</v>
      </c>
      <c r="H422" s="2004"/>
      <c r="I422" s="2004"/>
      <c r="J422" s="2004"/>
      <c r="K422" s="2004"/>
      <c r="L422" s="2004"/>
      <c r="M422" s="2004"/>
    </row>
    <row r="423" spans="2:13">
      <c r="B423" s="848" t="str">
        <f>'1E'!AI23</f>
        <v>FI00560</v>
      </c>
      <c r="D423" s="2004"/>
      <c r="E423" s="1658" t="s">
        <v>9033</v>
      </c>
      <c r="F423" s="2004"/>
      <c r="G423" s="2004">
        <f>IF('1E'!J23="","##BLANK",'1E'!J23)</f>
        <v>14.68</v>
      </c>
      <c r="H423" s="2004"/>
      <c r="I423" s="2004"/>
      <c r="J423" s="2004"/>
      <c r="K423" s="2004"/>
      <c r="L423" s="2004"/>
      <c r="M423" s="2004"/>
    </row>
    <row r="424" spans="2:13">
      <c r="B424" s="2155" t="str">
        <f>'1F'!AV8</f>
        <v>CR12501NNP</v>
      </c>
      <c r="D424" s="2004"/>
      <c r="E424" s="1658" t="s">
        <v>9033</v>
      </c>
      <c r="F424" s="2004"/>
      <c r="G424" s="2004">
        <f>IF('1F'!G8="","##BLANK",'1F'!G8)</f>
        <v>5.6500000000000002E-2</v>
      </c>
      <c r="H424" s="2004"/>
      <c r="I424" s="2004"/>
      <c r="J424" s="2004"/>
      <c r="K424" s="2004"/>
      <c r="L424" s="2004"/>
      <c r="M424" s="2004">
        <f>IF('1F'!M8="","##BLANK",'1F'!M8)</f>
        <v>5.6500000000000002E-2</v>
      </c>
    </row>
    <row r="425" spans="2:13">
      <c r="B425" s="2155" t="str">
        <f>'1F'!AV9</f>
        <v>CR12502NNP</v>
      </c>
      <c r="D425" s="2004"/>
      <c r="E425" s="1658" t="s">
        <v>9033</v>
      </c>
      <c r="F425" s="2004"/>
      <c r="G425" s="2004">
        <f>IF('1F'!G9="","##BLANK",'1F'!G9)</f>
        <v>1.0800000000000001E-2</v>
      </c>
      <c r="H425" s="2004"/>
      <c r="I425" s="2004"/>
      <c r="J425" s="2004"/>
      <c r="K425" s="2004"/>
      <c r="L425" s="2004"/>
      <c r="M425" s="2004">
        <f>IF('1F'!M9="","##BLANK",'1F'!M9)</f>
        <v>1.4800000000000001E-2</v>
      </c>
    </row>
    <row r="426" spans="2:13">
      <c r="B426" s="2155" t="str">
        <f>'1F'!AV10</f>
        <v>CR12503NNP</v>
      </c>
      <c r="D426" s="2004"/>
      <c r="E426" s="1658" t="s">
        <v>9033</v>
      </c>
      <c r="F426" s="2004"/>
      <c r="G426" s="2004">
        <f>IF('1F'!G10="","##BLANK",'1F'!G10)</f>
        <v>6.7299999999999999E-2</v>
      </c>
      <c r="H426" s="2004"/>
      <c r="I426" s="2004"/>
      <c r="J426" s="2004"/>
      <c r="K426" s="2004"/>
      <c r="L426" s="2004"/>
      <c r="M426" s="2004"/>
    </row>
    <row r="427" spans="2:13">
      <c r="B427" s="2155" t="str">
        <f>'1F'!AV11</f>
        <v>CR12504NNP</v>
      </c>
      <c r="D427" s="2004"/>
      <c r="E427" s="1658" t="s">
        <v>9033</v>
      </c>
      <c r="F427" s="2004"/>
      <c r="G427" s="2004">
        <f>IF('1F'!G11="","##BLANK",'1F'!G11)</f>
        <v>2165.7249999999999</v>
      </c>
      <c r="H427" s="2004"/>
      <c r="I427" s="2004"/>
      <c r="J427" s="2004"/>
      <c r="K427" s="2004"/>
      <c r="L427" s="2004"/>
      <c r="M427" s="2004">
        <f>IF('1F'!M11="","##BLANK",'1F'!M11)</f>
        <v>2101.413</v>
      </c>
    </row>
    <row r="428" spans="2:13">
      <c r="B428" s="2155" t="str">
        <f>'1F'!AV14</f>
        <v>CR12505NNP</v>
      </c>
      <c r="D428" s="2004"/>
      <c r="E428" s="1658" t="s">
        <v>9033</v>
      </c>
      <c r="F428" s="2004"/>
      <c r="G428" s="2004">
        <f>IF('1F'!G14="","##BLANK",'1F'!G14)</f>
        <v>0</v>
      </c>
      <c r="H428" s="2004"/>
      <c r="I428" s="2004"/>
      <c r="J428" s="2004"/>
      <c r="K428" s="2004"/>
      <c r="L428" s="2004"/>
      <c r="M428" s="2004"/>
    </row>
    <row r="429" spans="2:13">
      <c r="B429" s="2155" t="str">
        <f>'1F'!AV15</f>
        <v>CR12506NNP</v>
      </c>
      <c r="D429" s="2004"/>
      <c r="E429" s="1658" t="s">
        <v>9033</v>
      </c>
      <c r="F429" s="2004"/>
      <c r="G429" s="2004">
        <f>IF('1F'!G15="","##BLANK",'1F'!G15)</f>
        <v>0</v>
      </c>
      <c r="H429" s="2004"/>
      <c r="I429" s="2004"/>
      <c r="J429" s="2004"/>
      <c r="K429" s="2004"/>
      <c r="L429" s="2004"/>
      <c r="M429" s="2004"/>
    </row>
    <row r="430" spans="2:13">
      <c r="B430" s="2155" t="str">
        <f>'1F'!AV16</f>
        <v>CR12507NNP</v>
      </c>
      <c r="D430" s="2004"/>
      <c r="E430" s="1658" t="s">
        <v>9033</v>
      </c>
      <c r="F430" s="2004"/>
      <c r="G430" s="2004">
        <f>IF('1F'!G16="","##BLANK",'1F'!G16)</f>
        <v>0</v>
      </c>
      <c r="H430" s="2004"/>
      <c r="I430" s="2004"/>
      <c r="J430" s="2004"/>
      <c r="K430" s="2004"/>
      <c r="L430" s="2004"/>
      <c r="M430" s="2004"/>
    </row>
    <row r="431" spans="2:13">
      <c r="B431" s="2155" t="str">
        <f>'1F'!AV17</f>
        <v>CR12508NNP</v>
      </c>
      <c r="D431" s="2004"/>
      <c r="E431" s="1658" t="s">
        <v>9033</v>
      </c>
      <c r="F431" s="2004"/>
      <c r="G431" s="2004">
        <f>IF('1F'!G17="","##BLANK",'1F'!G17)</f>
        <v>0</v>
      </c>
      <c r="H431" s="2004"/>
      <c r="I431" s="2004"/>
      <c r="J431" s="2004"/>
      <c r="K431" s="2004"/>
      <c r="L431" s="2004"/>
      <c r="M431" s="2004"/>
    </row>
    <row r="432" spans="2:13">
      <c r="B432" s="2155" t="str">
        <f>'1F'!AV18</f>
        <v>CR12509NNP</v>
      </c>
      <c r="D432" s="2004"/>
      <c r="E432" s="1658" t="s">
        <v>9033</v>
      </c>
      <c r="F432" s="2004"/>
      <c r="G432" s="2004">
        <f>IF('1F'!G18="","##BLANK",'1F'!G18)</f>
        <v>0</v>
      </c>
      <c r="H432" s="2004"/>
      <c r="I432" s="2004"/>
      <c r="J432" s="2004"/>
      <c r="K432" s="2004"/>
      <c r="L432" s="2004"/>
      <c r="M432" s="2004"/>
    </row>
    <row r="433" spans="2:7">
      <c r="B433" s="2155" t="str">
        <f>'1F'!AV20</f>
        <v>CR12510NNP</v>
      </c>
      <c r="D433" s="2004"/>
      <c r="E433" s="1658" t="s">
        <v>9033</v>
      </c>
      <c r="F433" s="2004"/>
      <c r="G433" s="2004">
        <f>IF('1F'!G20="","##BLANK",'1F'!G20)</f>
        <v>6.7299999999999999E-2</v>
      </c>
    </row>
    <row r="434" spans="2:7">
      <c r="B434" s="2155" t="str">
        <f>'1F'!AV23</f>
        <v>CR12511NNP</v>
      </c>
      <c r="D434" s="2004"/>
      <c r="E434" s="1658" t="s">
        <v>9033</v>
      </c>
      <c r="F434" s="2004"/>
      <c r="G434" s="2004">
        <f>IF('1F'!G23="","##BLANK",'1F'!G23)</f>
        <v>0</v>
      </c>
    </row>
    <row r="435" spans="2:7">
      <c r="B435" s="2155" t="str">
        <f>'1F'!AV24</f>
        <v>CR12512NNP</v>
      </c>
      <c r="D435" s="2004"/>
      <c r="E435" s="1658" t="s">
        <v>9033</v>
      </c>
      <c r="F435" s="2004"/>
      <c r="G435" s="2004">
        <f>IF('1F'!G24="","##BLANK",'1F'!G24)</f>
        <v>0</v>
      </c>
    </row>
    <row r="436" spans="2:7">
      <c r="B436" s="2155" t="str">
        <f>'1F'!AV25</f>
        <v>CR12513NNP</v>
      </c>
      <c r="D436" s="2004"/>
      <c r="E436" s="1658" t="s">
        <v>9033</v>
      </c>
      <c r="F436" s="2004"/>
      <c r="G436" s="2004">
        <f>IF('1F'!G25="","##BLANK",'1F'!G25)</f>
        <v>0</v>
      </c>
    </row>
    <row r="437" spans="2:7" s="2004" customFormat="1">
      <c r="B437" s="2155" t="str">
        <f>'1F'!AV26</f>
        <v>CR12523NNP</v>
      </c>
      <c r="C437" s="1322"/>
      <c r="E437" s="1658" t="s">
        <v>9033</v>
      </c>
      <c r="G437" s="2004">
        <f>IF('1F'!G26="","##BLANK",'1F'!G26)</f>
        <v>0</v>
      </c>
    </row>
    <row r="438" spans="2:7">
      <c r="B438" s="2155" t="str">
        <f>'1F'!AV27</f>
        <v>CR12514NNP</v>
      </c>
      <c r="D438" s="2004"/>
      <c r="E438" s="1658" t="s">
        <v>9033</v>
      </c>
      <c r="F438" s="2004"/>
      <c r="G438" s="2004">
        <f>IF('1F'!G27="","##BLANK",'1F'!G27)</f>
        <v>0</v>
      </c>
    </row>
    <row r="439" spans="2:7">
      <c r="B439" s="2155" t="str">
        <f>'1F'!AV29</f>
        <v>CR12516NNP</v>
      </c>
      <c r="D439" s="2004"/>
      <c r="E439" s="1658" t="s">
        <v>9033</v>
      </c>
      <c r="F439" s="2004"/>
      <c r="G439" s="2004">
        <f>IF('1F'!G29="","##BLANK",'1F'!G29)</f>
        <v>6.7299999999999999E-2</v>
      </c>
    </row>
    <row r="440" spans="2:7">
      <c r="B440" s="2155" t="str">
        <f>'1F'!AV31</f>
        <v>CR12517NNP</v>
      </c>
      <c r="D440" s="2004"/>
      <c r="E440" s="1658" t="s">
        <v>9033</v>
      </c>
      <c r="F440" s="2004"/>
      <c r="G440" s="2004">
        <f>IF('1F'!G31="","##BLANK",'1F'!G31)</f>
        <v>2.5899999999999999E-2</v>
      </c>
    </row>
    <row r="441" spans="2:7">
      <c r="B441" s="2155" t="str">
        <f>'1F'!AV33</f>
        <v>CR12518NNP</v>
      </c>
      <c r="D441" s="2004"/>
      <c r="E441" s="1658" t="s">
        <v>9033</v>
      </c>
      <c r="F441" s="2004"/>
      <c r="G441" s="2004">
        <f>IF('1F'!G33="","##BLANK",'1F'!G33)</f>
        <v>9.3200000000000005E-2</v>
      </c>
    </row>
    <row r="442" spans="2:7">
      <c r="B442" s="2155" t="str">
        <f>'1F'!AV35</f>
        <v>CR12522NNP</v>
      </c>
      <c r="D442" s="2004"/>
      <c r="E442" s="1658" t="s">
        <v>9033</v>
      </c>
      <c r="F442" s="2004"/>
      <c r="G442" s="2004">
        <f>IF('1F'!G35="","##BLANK",'1F'!G35)</f>
        <v>0.04</v>
      </c>
    </row>
    <row r="443" spans="2:7">
      <c r="B443" s="2155" t="str">
        <f>'1F'!AV37</f>
        <v>CR12519NNP</v>
      </c>
      <c r="D443" s="2004"/>
      <c r="E443" s="1658" t="s">
        <v>9033</v>
      </c>
      <c r="F443" s="2004"/>
      <c r="G443" s="2004">
        <f>IF('1F'!G37="","##BLANK",'1F'!G37)</f>
        <v>5.3200000000000004E-2</v>
      </c>
    </row>
    <row r="444" spans="2:7">
      <c r="B444" s="2155" t="str">
        <f>'1F'!AV40</f>
        <v>CR12520NNP</v>
      </c>
      <c r="D444" s="2004"/>
      <c r="E444" s="1658" t="s">
        <v>9033</v>
      </c>
      <c r="F444" s="2004"/>
      <c r="G444" s="2004">
        <f>IF('1F'!G40="","##BLANK",'1F'!G40)</f>
        <v>0.04</v>
      </c>
    </row>
    <row r="445" spans="2:7">
      <c r="B445" s="2155" t="str">
        <f>'1F'!AV41</f>
        <v>CR12521NNP</v>
      </c>
      <c r="D445" s="2004"/>
      <c r="E445" s="1658" t="s">
        <v>9033</v>
      </c>
      <c r="F445" s="2004"/>
      <c r="G445" s="2004">
        <f>IF('1F'!G41="","##BLANK",'1F'!G41)</f>
        <v>0</v>
      </c>
    </row>
    <row r="446" spans="2:7">
      <c r="B446" s="2155" t="str">
        <f>'1F'!AW8</f>
        <v>CR12501ANP</v>
      </c>
      <c r="D446" s="2004"/>
      <c r="E446" s="1658" t="s">
        <v>9033</v>
      </c>
      <c r="F446" s="2004"/>
      <c r="G446" s="2004">
        <f>IF('1F'!H8="","##BLANK",'1F'!H8)</f>
        <v>3.5679897724780384E-2</v>
      </c>
    </row>
    <row r="447" spans="2:7">
      <c r="B447" s="2155" t="str">
        <f>'1F'!AW9</f>
        <v>CR12502ANP</v>
      </c>
      <c r="D447" s="2004"/>
      <c r="E447" s="1658" t="s">
        <v>9033</v>
      </c>
      <c r="F447" s="2004"/>
      <c r="G447" s="2004">
        <f>IF('1F'!H9="","##BLANK",'1F'!H9)</f>
        <v>6.8202282376571364E-3</v>
      </c>
    </row>
    <row r="448" spans="2:7">
      <c r="B448" s="2155" t="str">
        <f>'1F'!AW10</f>
        <v>CR12503ANP</v>
      </c>
      <c r="D448" s="2004"/>
      <c r="E448" s="1658" t="s">
        <v>9033</v>
      </c>
      <c r="F448" s="2004"/>
      <c r="G448" s="2004">
        <f>IF('1F'!H10="","##BLANK",'1F'!H10)</f>
        <v>4.2500125962437518E-2</v>
      </c>
    </row>
    <row r="449" spans="2:7">
      <c r="B449" s="2155" t="str">
        <f>'1F'!AW11</f>
        <v>CR12504ANP</v>
      </c>
      <c r="D449" s="2004"/>
      <c r="E449" s="1658" t="s">
        <v>9033</v>
      </c>
      <c r="F449" s="2004"/>
      <c r="G449" s="2004">
        <f>IF('1F'!H11="","##BLANK",'1F'!H11)</f>
        <v>2165.7249999999999</v>
      </c>
    </row>
    <row r="450" spans="2:7">
      <c r="B450" s="2155" t="str">
        <f>'1F'!AW14</f>
        <v>CR12505ANP</v>
      </c>
      <c r="D450" s="2004"/>
      <c r="E450" s="1658" t="s">
        <v>9033</v>
      </c>
      <c r="F450" s="2004"/>
      <c r="G450" s="2004">
        <f>IF('1F'!H14="","##BLANK",'1F'!H14)</f>
        <v>2.4171194469974649E-2</v>
      </c>
    </row>
    <row r="451" spans="2:7">
      <c r="B451" s="2155" t="str">
        <f>'1F'!AW15</f>
        <v>CR12506ANP</v>
      </c>
      <c r="D451" s="2004"/>
      <c r="E451" s="1658" t="s">
        <v>9033</v>
      </c>
      <c r="F451" s="2004"/>
      <c r="G451" s="2004">
        <f>IF('1F'!H15="","##BLANK",'1F'!H15)</f>
        <v>-2.555726142515786E-3</v>
      </c>
    </row>
    <row r="452" spans="2:7">
      <c r="B452" s="2155" t="str">
        <f>'1F'!AW16</f>
        <v>CR12507ANP</v>
      </c>
      <c r="D452" s="2004"/>
      <c r="E452" s="1658" t="s">
        <v>9033</v>
      </c>
      <c r="F452" s="2004"/>
      <c r="G452" s="2004">
        <f>IF('1F'!H16="","##BLANK",'1F'!H16)</f>
        <v>0</v>
      </c>
    </row>
    <row r="453" spans="2:7">
      <c r="B453" s="2155" t="str">
        <f>'1F'!AW17</f>
        <v>CR12508ANP</v>
      </c>
      <c r="D453" s="2004"/>
      <c r="E453" s="1658" t="s">
        <v>9033</v>
      </c>
      <c r="F453" s="2004"/>
      <c r="G453" s="2004">
        <f>IF('1F'!H17="","##BLANK",'1F'!H17)</f>
        <v>2.0473975227695115E-2</v>
      </c>
    </row>
    <row r="454" spans="2:7">
      <c r="B454" s="2155" t="str">
        <f>'1F'!AW18</f>
        <v>CR12509ANP</v>
      </c>
      <c r="D454" s="2004"/>
      <c r="E454" s="1658" t="s">
        <v>9033</v>
      </c>
      <c r="F454" s="2004"/>
      <c r="G454" s="2004">
        <f>IF('1F'!H18="","##BLANK",'1F'!H18)</f>
        <v>-1.1609968948042802E-2</v>
      </c>
    </row>
    <row r="455" spans="2:7">
      <c r="B455" s="2155" t="str">
        <f>'1F'!AW20</f>
        <v>CR12510ANP</v>
      </c>
      <c r="D455" s="2004"/>
      <c r="E455" s="1658" t="s">
        <v>9033</v>
      </c>
      <c r="F455" s="2004"/>
      <c r="G455" s="2004">
        <f>IF('1F'!H20="","##BLANK",'1F'!H20)</f>
        <v>7.2979600569548692E-2</v>
      </c>
    </row>
    <row r="456" spans="2:7">
      <c r="B456" s="2155" t="str">
        <f>'1F'!AW23</f>
        <v>CR12511ANP</v>
      </c>
      <c r="D456" s="2004"/>
      <c r="E456" s="1658" t="s">
        <v>9033</v>
      </c>
      <c r="F456" s="2004"/>
      <c r="G456" s="2004">
        <f>IF('1F'!H23="","##BLANK",'1F'!H23)</f>
        <v>-8.2896027889044089E-3</v>
      </c>
    </row>
    <row r="457" spans="2:7">
      <c r="B457" s="2155" t="str">
        <f>'1F'!AW24</f>
        <v>CR12512ANP</v>
      </c>
      <c r="D457" s="2004"/>
      <c r="E457" s="1658" t="s">
        <v>9033</v>
      </c>
      <c r="F457" s="2004"/>
      <c r="G457" s="2004">
        <f>IF('1F'!H24="","##BLANK",'1F'!H24)</f>
        <v>1.2777707234297983E-2</v>
      </c>
    </row>
    <row r="458" spans="2:7">
      <c r="B458" s="2155" t="str">
        <f>'1F'!AW25</f>
        <v>CR12513ANP</v>
      </c>
      <c r="D458" s="2004"/>
      <c r="E458" s="1658" t="s">
        <v>9033</v>
      </c>
      <c r="F458" s="2004"/>
      <c r="G458" s="2004">
        <f>IF('1F'!H25="","##BLANK",'1F'!H25)</f>
        <v>-8.7698114949959025E-3</v>
      </c>
    </row>
    <row r="459" spans="2:7" s="2004" customFormat="1">
      <c r="B459" s="2155" t="str">
        <f>'1F'!AW26</f>
        <v>CR12523ANP</v>
      </c>
      <c r="C459" s="1322"/>
      <c r="E459" s="1658" t="s">
        <v>9033</v>
      </c>
      <c r="G459" s="2004">
        <f>IF('1F'!H26="","##BLANK",'1F'!H26)</f>
        <v>1.569913077606806E-3</v>
      </c>
    </row>
    <row r="460" spans="2:7">
      <c r="B460" s="2155" t="str">
        <f>'1F'!AW27</f>
        <v>CR12514ANP</v>
      </c>
      <c r="D460" s="2004"/>
      <c r="E460" s="1658" t="s">
        <v>9033</v>
      </c>
      <c r="F460" s="2004"/>
      <c r="G460" s="2004">
        <f>IF('1F'!H27="","##BLANK",'1F'!H27)</f>
        <v>-2.7117939719955224E-3</v>
      </c>
    </row>
    <row r="461" spans="2:7">
      <c r="B461" s="2155" t="str">
        <f>'1F'!AW29</f>
        <v>CR12516ANP</v>
      </c>
      <c r="D461" s="2004"/>
      <c r="E461" s="1658" t="s">
        <v>9033</v>
      </c>
      <c r="F461" s="2004"/>
      <c r="G461" s="2004">
        <f>IF('1F'!H29="","##BLANK",'1F'!H29)</f>
        <v>7.0267806597553176E-2</v>
      </c>
    </row>
    <row r="462" spans="2:7">
      <c r="B462" s="2155" t="str">
        <f>'1F'!AW31</f>
        <v>CR12517ANP</v>
      </c>
      <c r="D462" s="2004"/>
      <c r="E462" s="1658" t="s">
        <v>9033</v>
      </c>
      <c r="F462" s="2004"/>
      <c r="G462" s="2004">
        <f>IF('1F'!H31="","##BLANK",'1F'!H31)</f>
        <v>2.5899999999999999E-2</v>
      </c>
    </row>
    <row r="463" spans="2:7">
      <c r="B463" s="2155" t="str">
        <f>'1F'!AW33</f>
        <v>CR12518ANP</v>
      </c>
      <c r="D463" s="2004"/>
      <c r="E463" s="1658" t="s">
        <v>9033</v>
      </c>
      <c r="F463" s="2004"/>
      <c r="G463" s="2004">
        <f>IF('1F'!H33="","##BLANK",'1F'!H33)</f>
        <v>9.6167806597553168E-2</v>
      </c>
    </row>
    <row r="464" spans="2:7">
      <c r="B464" s="2155" t="str">
        <f>'1F'!AW35</f>
        <v>CR12522ANP</v>
      </c>
      <c r="D464" s="2004"/>
      <c r="E464" s="1658" t="s">
        <v>9033</v>
      </c>
      <c r="F464" s="2004"/>
      <c r="G464" s="2004">
        <f>IF('1F'!H35="","##BLANK",'1F'!H35)</f>
        <v>2.4192822265061358E-2</v>
      </c>
    </row>
    <row r="465" spans="2:7">
      <c r="B465" s="2155" t="str">
        <f>'1F'!AW37</f>
        <v>CR12519ANP</v>
      </c>
      <c r="D465" s="2004"/>
      <c r="E465" s="1658" t="s">
        <v>9033</v>
      </c>
      <c r="F465" s="2004"/>
      <c r="G465" s="2004">
        <f>IF('1F'!H37="","##BLANK",'1F'!H37)</f>
        <v>7.1974984332491804E-2</v>
      </c>
    </row>
    <row r="466" spans="2:7">
      <c r="B466" s="2155" t="str">
        <f>'1F'!AW40</f>
        <v>CR12520ANP</v>
      </c>
      <c r="D466" s="2004"/>
      <c r="E466" s="1658" t="s">
        <v>9033</v>
      </c>
      <c r="F466" s="2004"/>
      <c r="G466" s="2004">
        <f>IF('1F'!H40="","##BLANK",'1F'!H40)</f>
        <v>4.2769973103695069E-2</v>
      </c>
    </row>
    <row r="467" spans="2:7">
      <c r="B467" s="2155" t="str">
        <f>'1F'!AW41</f>
        <v>CR12521ANP</v>
      </c>
      <c r="D467" s="2004"/>
      <c r="E467" s="1658" t="s">
        <v>9033</v>
      </c>
      <c r="F467" s="2004"/>
      <c r="G467" s="2004">
        <f>IF('1F'!H41="","##BLANK",'1F'!H41)</f>
        <v>1.8577150838633712E-2</v>
      </c>
    </row>
    <row r="468" spans="2:7">
      <c r="B468" s="2155" t="str">
        <f>'1F'!AX8</f>
        <v>CR12501AAP</v>
      </c>
      <c r="D468" s="2004"/>
      <c r="E468" s="1658" t="s">
        <v>9033</v>
      </c>
      <c r="F468" s="2004"/>
      <c r="G468" s="2004">
        <f>IF('1F'!I8="","##BLANK",'1F'!I8)</f>
        <v>5.6500000000000002E-2</v>
      </c>
    </row>
    <row r="469" spans="2:7">
      <c r="B469" s="2155" t="str">
        <f>'1F'!AX9</f>
        <v>CR12502AAP</v>
      </c>
      <c r="D469" s="2004"/>
      <c r="E469" s="1658" t="s">
        <v>9033</v>
      </c>
      <c r="F469" s="2004"/>
      <c r="G469" s="2004">
        <f>IF('1F'!I9="","##BLANK",'1F'!I9)</f>
        <v>1.0800000000000001E-2</v>
      </c>
    </row>
    <row r="470" spans="2:7">
      <c r="B470" s="2155" t="str">
        <f>'1F'!AX10</f>
        <v>CR12503AAP</v>
      </c>
      <c r="D470" s="2004"/>
      <c r="E470" s="1658" t="s">
        <v>9033</v>
      </c>
      <c r="F470" s="2004"/>
      <c r="G470" s="2004">
        <f>IF('1F'!I10="","##BLANK",'1F'!I10)</f>
        <v>6.7299999999999999E-2</v>
      </c>
    </row>
    <row r="471" spans="2:7">
      <c r="B471" s="2155" t="str">
        <f>'1F'!AX11</f>
        <v>CR12504AAP</v>
      </c>
      <c r="D471" s="2004"/>
      <c r="E471" s="1658" t="s">
        <v>9033</v>
      </c>
      <c r="F471" s="2004"/>
      <c r="G471" s="2004">
        <f>IF('1F'!I11="","##BLANK",'1F'!I11)</f>
        <v>1367.6610000000001</v>
      </c>
    </row>
    <row r="472" spans="2:7">
      <c r="B472" s="2155" t="str">
        <f>'1F'!AX14</f>
        <v>CR12505AAP</v>
      </c>
      <c r="D472" s="2004"/>
      <c r="E472" s="1658" t="s">
        <v>9033</v>
      </c>
      <c r="F472" s="2004"/>
      <c r="G472" s="2004">
        <f>IF('1F'!I14="","##BLANK",'1F'!I14)</f>
        <v>2.4171194469974649E-2</v>
      </c>
    </row>
    <row r="473" spans="2:7">
      <c r="B473" s="2155" t="str">
        <f>'1F'!AX15</f>
        <v>CR12506AAP</v>
      </c>
      <c r="D473" s="2004"/>
      <c r="E473" s="1658" t="s">
        <v>9033</v>
      </c>
      <c r="F473" s="2004"/>
      <c r="G473" s="2004">
        <f>IF('1F'!I15="","##BLANK",'1F'!I15)</f>
        <v>-4.0470555203372767E-3</v>
      </c>
    </row>
    <row r="474" spans="2:7">
      <c r="B474" s="2155" t="str">
        <f>'1F'!AX16</f>
        <v>CR12507AAP</v>
      </c>
      <c r="D474" s="2004"/>
      <c r="E474" s="1658" t="s">
        <v>9033</v>
      </c>
      <c r="F474" s="2004"/>
      <c r="G474" s="2004">
        <f>IF('1F'!I16="","##BLANK",'1F'!I16)</f>
        <v>0</v>
      </c>
    </row>
    <row r="475" spans="2:7">
      <c r="B475" s="2155" t="str">
        <f>'1F'!AX17</f>
        <v>CR12508AAP</v>
      </c>
      <c r="D475" s="2004"/>
      <c r="E475" s="1658" t="s">
        <v>9033</v>
      </c>
      <c r="F475" s="2004"/>
      <c r="G475" s="2004">
        <f>IF('1F'!I17="","##BLANK",'1F'!I17)</f>
        <v>3.9588757740404969E-2</v>
      </c>
    </row>
    <row r="476" spans="2:7">
      <c r="B476" s="2155" t="str">
        <f>'1F'!AX18</f>
        <v>CR12509AAP</v>
      </c>
      <c r="D476" s="2004"/>
      <c r="E476" s="1658" t="s">
        <v>9033</v>
      </c>
      <c r="F476" s="2004"/>
      <c r="G476" s="2004">
        <f>IF('1F'!I18="","##BLANK",'1F'!I18)</f>
        <v>-2.2449276538557432E-2</v>
      </c>
    </row>
    <row r="477" spans="2:7">
      <c r="B477" s="2155" t="str">
        <f>'1F'!AX20</f>
        <v>CR12510AAP</v>
      </c>
      <c r="D477" s="2004"/>
      <c r="E477" s="1658" t="s">
        <v>9033</v>
      </c>
      <c r="F477" s="2004"/>
      <c r="G477" s="2004">
        <f>IF('1F'!I20="","##BLANK",'1F'!I20)</f>
        <v>0.1045636201514849</v>
      </c>
    </row>
    <row r="478" spans="2:7">
      <c r="B478" s="2155" t="str">
        <f>'1F'!AX23</f>
        <v>CR12511AAP</v>
      </c>
      <c r="D478" s="2004"/>
      <c r="E478" s="1658" t="s">
        <v>9033</v>
      </c>
      <c r="F478" s="2004"/>
      <c r="G478" s="2004">
        <f>IF('1F'!I23="","##BLANK",'1F'!I23)</f>
        <v>-1.3126790922604359E-2</v>
      </c>
    </row>
    <row r="479" spans="2:7">
      <c r="B479" s="2155" t="str">
        <f>'1F'!AX24</f>
        <v>CR12512AAP</v>
      </c>
      <c r="D479" s="2004"/>
      <c r="E479" s="1658" t="s">
        <v>9033</v>
      </c>
      <c r="F479" s="2004"/>
      <c r="G479" s="2004">
        <f>IF('1F'!I24="","##BLANK",'1F'!I24)</f>
        <v>2.0233815251001524E-2</v>
      </c>
    </row>
    <row r="480" spans="2:7">
      <c r="B480" s="2155" t="str">
        <f>'1F'!AX25</f>
        <v>CR12513AAP</v>
      </c>
      <c r="D480" s="2004"/>
      <c r="E480" s="1658" t="s">
        <v>9033</v>
      </c>
      <c r="F480" s="2004"/>
      <c r="G480" s="2004">
        <f>IF('1F'!I25="","##BLANK",'1F'!I25)</f>
        <v>-1.3887213278729157E-2</v>
      </c>
    </row>
    <row r="481" spans="2:7" s="2004" customFormat="1">
      <c r="B481" s="2155" t="str">
        <f>'1F'!AX26</f>
        <v>CR12523AAP</v>
      </c>
      <c r="C481" s="1322"/>
      <c r="E481" s="1658" t="s">
        <v>9033</v>
      </c>
      <c r="G481" s="2004">
        <f>IF('1F'!I26="","##BLANK",'1F'!I26)</f>
        <v>2.4859961642541535E-3</v>
      </c>
    </row>
    <row r="482" spans="2:7">
      <c r="B482" s="2155" t="str">
        <f>'1F'!AX27</f>
        <v>CR12514AAP</v>
      </c>
      <c r="D482" s="2004"/>
      <c r="E482" s="1658" t="s">
        <v>9033</v>
      </c>
      <c r="F482" s="2004"/>
      <c r="G482" s="2004">
        <f>IF('1F'!I27="","##BLANK",'1F'!I27)</f>
        <v>-4.2941927860778379E-3</v>
      </c>
    </row>
    <row r="483" spans="2:7">
      <c r="B483" s="2155" t="str">
        <f>'1F'!AX29</f>
        <v>CR12516AAP</v>
      </c>
      <c r="D483" s="2004"/>
      <c r="E483" s="1658" t="s">
        <v>9033</v>
      </c>
      <c r="F483" s="2004"/>
      <c r="G483" s="2004">
        <f>IF('1F'!I29="","##BLANK",'1F'!I29)</f>
        <v>0.10026942736540706</v>
      </c>
    </row>
    <row r="484" spans="2:7">
      <c r="B484" s="2155" t="str">
        <f>'1F'!AX31</f>
        <v>CR12517AAP</v>
      </c>
      <c r="D484" s="2004"/>
      <c r="E484" s="1658" t="s">
        <v>9033</v>
      </c>
      <c r="F484" s="2004"/>
      <c r="G484" s="2004">
        <f>IF('1F'!I31="","##BLANK",'1F'!I31)</f>
        <v>2.5899999999999999E-2</v>
      </c>
    </row>
    <row r="485" spans="2:7">
      <c r="B485" s="2155" t="str">
        <f>'1F'!AX33</f>
        <v>CR12518AAP</v>
      </c>
      <c r="D485" s="2004"/>
      <c r="E485" s="1658" t="s">
        <v>9033</v>
      </c>
      <c r="F485" s="2004"/>
      <c r="G485" s="2004">
        <f>IF('1F'!I33="","##BLANK",'1F'!I33)</f>
        <v>0.12616942736540707</v>
      </c>
    </row>
    <row r="486" spans="2:7">
      <c r="B486" s="2155" t="str">
        <f>'1F'!AX35</f>
        <v>CR12522AAP</v>
      </c>
      <c r="D486" s="2004"/>
      <c r="E486" s="1658" t="s">
        <v>9033</v>
      </c>
      <c r="F486" s="2004"/>
      <c r="G486" s="2004">
        <f>IF('1F'!I35="","##BLANK",'1F'!I35)</f>
        <v>3.8309932066498929E-2</v>
      </c>
    </row>
    <row r="487" spans="2:7">
      <c r="B487" s="2155" t="str">
        <f>'1F'!AX37</f>
        <v>CR12519AAP</v>
      </c>
      <c r="D487" s="2004"/>
      <c r="E487" s="1658" t="s">
        <v>9033</v>
      </c>
      <c r="F487" s="2004"/>
      <c r="G487" s="2004">
        <f>IF('1F'!I37="","##BLANK",'1F'!I37)</f>
        <v>8.785949529890813E-2</v>
      </c>
    </row>
    <row r="488" spans="2:7">
      <c r="B488" s="2155" t="str">
        <f>'1F'!AX40</f>
        <v>CR12520AAP</v>
      </c>
      <c r="D488" s="2004"/>
      <c r="E488" s="1658" t="s">
        <v>9033</v>
      </c>
      <c r="F488" s="2004"/>
      <c r="G488" s="2004">
        <f>IF('1F'!I40="","##BLANK",'1F'!I40)</f>
        <v>6.7727309618392267E-2</v>
      </c>
    </row>
    <row r="489" spans="2:7">
      <c r="B489" s="2155" t="str">
        <f>'1F'!AX41</f>
        <v>CR12521AAP</v>
      </c>
      <c r="D489" s="2004"/>
      <c r="E489" s="1658" t="s">
        <v>9033</v>
      </c>
      <c r="F489" s="2004"/>
      <c r="G489" s="2004">
        <f>IF('1F'!I41="","##BLANK",'1F'!I41)</f>
        <v>2.9417377551893338E-2</v>
      </c>
    </row>
    <row r="490" spans="2:7">
      <c r="B490" s="2155" t="str">
        <f>'1F'!AY8</f>
        <v>CR12501NNV</v>
      </c>
      <c r="D490" s="2004"/>
      <c r="E490" s="1658" t="s">
        <v>9033</v>
      </c>
      <c r="F490" s="2004"/>
      <c r="G490" s="2004">
        <f>IF('1F'!J8="","##BLANK",'1F'!J8)</f>
        <v>122.3634625</v>
      </c>
    </row>
    <row r="491" spans="2:7">
      <c r="B491" s="2155" t="str">
        <f>'1F'!AY9</f>
        <v>CR12502NNV</v>
      </c>
      <c r="D491" s="2004"/>
      <c r="E491" s="1658" t="s">
        <v>9033</v>
      </c>
      <c r="F491" s="2004"/>
      <c r="G491" s="2004">
        <f>IF('1F'!J9="","##BLANK",'1F'!J9)</f>
        <v>23.38983</v>
      </c>
    </row>
    <row r="492" spans="2:7">
      <c r="B492" s="2155" t="str">
        <f>'1F'!AY10</f>
        <v>CR12503NNV</v>
      </c>
      <c r="D492" s="2004"/>
      <c r="E492" s="1658" t="s">
        <v>9033</v>
      </c>
      <c r="F492" s="2004"/>
      <c r="G492" s="2004">
        <f>IF('1F'!J10="","##BLANK",'1F'!J10)</f>
        <v>145.75329249999999</v>
      </c>
    </row>
    <row r="493" spans="2:7">
      <c r="B493" s="2155" t="str">
        <f>'1F'!AY14</f>
        <v>CR12505NNV</v>
      </c>
      <c r="D493" s="2004"/>
      <c r="E493" s="1658" t="s">
        <v>9033</v>
      </c>
      <c r="F493" s="2004"/>
      <c r="G493" s="2004">
        <f>IF('1F'!J14="","##BLANK",'1F'!J14)</f>
        <v>0</v>
      </c>
    </row>
    <row r="494" spans="2:7">
      <c r="B494" s="2155" t="str">
        <f>'1F'!AY15</f>
        <v>CR12506NNV</v>
      </c>
      <c r="D494" s="2004"/>
      <c r="E494" s="1658" t="s">
        <v>9033</v>
      </c>
      <c r="F494" s="2004"/>
      <c r="G494" s="2004">
        <f>IF('1F'!J15="","##BLANK",'1F'!J15)</f>
        <v>0</v>
      </c>
    </row>
    <row r="495" spans="2:7">
      <c r="B495" s="2155" t="str">
        <f>'1F'!AY16</f>
        <v>CR12507NNV</v>
      </c>
      <c r="D495" s="2004"/>
      <c r="E495" s="1658" t="s">
        <v>9033</v>
      </c>
      <c r="F495" s="2004"/>
      <c r="G495" s="2004">
        <f>IF('1F'!J16="","##BLANK",'1F'!J16)</f>
        <v>0</v>
      </c>
    </row>
    <row r="496" spans="2:7">
      <c r="B496" s="2155" t="str">
        <f>'1F'!AY17</f>
        <v>CR12508NNV</v>
      </c>
      <c r="D496" s="2004"/>
      <c r="E496" s="1658" t="s">
        <v>9033</v>
      </c>
      <c r="F496" s="2004"/>
      <c r="G496" s="2004">
        <f>IF('1F'!J17="","##BLANK",'1F'!J17)</f>
        <v>0</v>
      </c>
    </row>
    <row r="497" spans="2:7">
      <c r="B497" s="2155" t="str">
        <f>'1F'!AY18</f>
        <v>CR12509NNV</v>
      </c>
      <c r="D497" s="2004"/>
      <c r="E497" s="1658" t="s">
        <v>9033</v>
      </c>
      <c r="F497" s="2004"/>
      <c r="G497" s="2004">
        <f>IF('1F'!J18="","##BLANK",'1F'!J18)</f>
        <v>0</v>
      </c>
    </row>
    <row r="498" spans="2:7">
      <c r="B498" s="2155" t="str">
        <f>'1F'!AY20</f>
        <v>CR12510NNV</v>
      </c>
      <c r="D498" s="2004"/>
      <c r="E498" s="1658" t="s">
        <v>9033</v>
      </c>
      <c r="F498" s="2004"/>
      <c r="G498" s="2004">
        <f>IF('1F'!J20="","##BLANK",'1F'!J20)</f>
        <v>145.75329249999999</v>
      </c>
    </row>
    <row r="499" spans="2:7">
      <c r="B499" s="2155" t="str">
        <f>'1F'!AY23</f>
        <v>CR12511NNV</v>
      </c>
      <c r="D499" s="2004"/>
      <c r="E499" s="1658" t="s">
        <v>9033</v>
      </c>
      <c r="F499" s="2004"/>
      <c r="G499" s="2004">
        <f>IF('1F'!J23="","##BLANK",'1F'!J23)</f>
        <v>0</v>
      </c>
    </row>
    <row r="500" spans="2:7">
      <c r="B500" s="2155" t="str">
        <f>'1F'!AY24</f>
        <v>CR12512NNV</v>
      </c>
      <c r="D500" s="2004"/>
      <c r="E500" s="1658" t="s">
        <v>9033</v>
      </c>
      <c r="F500" s="2004"/>
      <c r="G500" s="2004">
        <f>IF('1F'!J24="","##BLANK",'1F'!J24)</f>
        <v>0</v>
      </c>
    </row>
    <row r="501" spans="2:7">
      <c r="B501" s="2155" t="str">
        <f>'1F'!AY25</f>
        <v>CR12513NNV</v>
      </c>
      <c r="D501" s="2004"/>
      <c r="E501" s="1658" t="s">
        <v>9033</v>
      </c>
      <c r="F501" s="2004"/>
      <c r="G501" s="2004">
        <f>IF('1F'!J25="","##BLANK",'1F'!J25)</f>
        <v>0</v>
      </c>
    </row>
    <row r="502" spans="2:7" s="2004" customFormat="1">
      <c r="B502" s="2155" t="str">
        <f>'1F'!AY26</f>
        <v>CR12523NNV</v>
      </c>
      <c r="C502" s="1322"/>
      <c r="E502" s="1658" t="s">
        <v>9033</v>
      </c>
      <c r="G502" s="2004">
        <f>IF('1F'!J26="","##BLANK",'1F'!J26)</f>
        <v>0</v>
      </c>
    </row>
    <row r="503" spans="2:7">
      <c r="B503" s="2155" t="str">
        <f>'1F'!AY27</f>
        <v>CR12514NNV</v>
      </c>
      <c r="D503" s="2004"/>
      <c r="E503" s="1658" t="s">
        <v>9033</v>
      </c>
      <c r="F503" s="2004"/>
      <c r="G503" s="2004">
        <f>IF('1F'!J27="","##BLANK",'1F'!J27)</f>
        <v>0</v>
      </c>
    </row>
    <row r="504" spans="2:7">
      <c r="B504" s="2155" t="str">
        <f>'1F'!AY29</f>
        <v>CR12516NNV</v>
      </c>
      <c r="D504" s="2004"/>
      <c r="E504" s="1658" t="s">
        <v>9033</v>
      </c>
      <c r="F504" s="2004"/>
      <c r="G504" s="2004">
        <f>IF('1F'!J29="","##BLANK",'1F'!J29)</f>
        <v>145.75329249999999</v>
      </c>
    </row>
    <row r="505" spans="2:7">
      <c r="B505" s="2155" t="str">
        <f>'1F'!AY31</f>
        <v>CR12517NNV</v>
      </c>
      <c r="D505" s="2004"/>
      <c r="E505" s="1658" t="s">
        <v>9033</v>
      </c>
      <c r="F505" s="2004"/>
      <c r="G505" s="2004">
        <f>IF('1F'!J31="","##BLANK",'1F'!J31)</f>
        <v>56.092277499999994</v>
      </c>
    </row>
    <row r="506" spans="2:7">
      <c r="B506" s="2155" t="str">
        <f>'1F'!AY33</f>
        <v>CR12518NNV</v>
      </c>
      <c r="D506" s="2004"/>
      <c r="E506" s="1658" t="s">
        <v>9033</v>
      </c>
      <c r="F506" s="2004"/>
      <c r="G506" s="2004">
        <f>IF('1F'!J33="","##BLANK",'1F'!J33)</f>
        <v>201.84556999999998</v>
      </c>
    </row>
    <row r="507" spans="2:7">
      <c r="B507" s="2155" t="str">
        <f>'1F'!AY35</f>
        <v>CR12522NNV</v>
      </c>
      <c r="D507" s="2004"/>
      <c r="E507" s="1658" t="s">
        <v>9033</v>
      </c>
      <c r="F507" s="2004"/>
      <c r="G507" s="2004">
        <f>IF('1F'!J35="","##BLANK",'1F'!J35)</f>
        <v>86.629000000000005</v>
      </c>
    </row>
    <row r="508" spans="2:7">
      <c r="B508" s="2155" t="str">
        <f>'1F'!AY37</f>
        <v>CR12519NNV</v>
      </c>
      <c r="D508" s="2004"/>
      <c r="E508" s="1658" t="s">
        <v>9033</v>
      </c>
      <c r="F508" s="2004"/>
      <c r="G508" s="2004">
        <f>IF('1F'!J37="","##BLANK",'1F'!J37)</f>
        <v>115.21656999999998</v>
      </c>
    </row>
    <row r="509" spans="2:7">
      <c r="B509" s="2155" t="str">
        <f>'1F'!AY40</f>
        <v>CR12520NNV</v>
      </c>
      <c r="D509" s="2004"/>
      <c r="E509" s="1658" t="s">
        <v>9033</v>
      </c>
      <c r="F509" s="2004"/>
      <c r="G509" s="2004">
        <f>IF('1F'!J40="","##BLANK",'1F'!J40)</f>
        <v>86.629000000000005</v>
      </c>
    </row>
    <row r="510" spans="2:7">
      <c r="B510" s="2155" t="str">
        <f>'1F'!AY41</f>
        <v>CR12521NNV</v>
      </c>
      <c r="D510" s="2004"/>
      <c r="E510" s="1658" t="s">
        <v>9033</v>
      </c>
      <c r="F510" s="2004"/>
      <c r="G510" s="2004">
        <f>IF('1F'!J41="","##BLANK",'1F'!J41)</f>
        <v>0</v>
      </c>
    </row>
    <row r="511" spans="2:7">
      <c r="B511" s="2155" t="str">
        <f>'1F'!AZ8</f>
        <v>CR12501ANV</v>
      </c>
      <c r="D511" s="2004"/>
      <c r="E511" s="1658" t="s">
        <v>9033</v>
      </c>
      <c r="F511" s="2004"/>
      <c r="G511" s="2004">
        <f>IF('1F'!K8="","##BLANK",'1F'!K8)</f>
        <v>77.2728465</v>
      </c>
    </row>
    <row r="512" spans="2:7">
      <c r="B512" s="2155" t="str">
        <f>'1F'!AZ9</f>
        <v>CR12502ANV</v>
      </c>
      <c r="D512" s="2004"/>
      <c r="E512" s="1658" t="s">
        <v>9033</v>
      </c>
      <c r="F512" s="2004"/>
      <c r="G512" s="2004">
        <f>IF('1F'!K9="","##BLANK",'1F'!K9)</f>
        <v>14.770738800000002</v>
      </c>
    </row>
    <row r="513" spans="2:7">
      <c r="B513" s="2155" t="str">
        <f>'1F'!AZ10</f>
        <v>CR12503ANV</v>
      </c>
      <c r="D513" s="2004"/>
      <c r="E513" s="1658" t="s">
        <v>9033</v>
      </c>
      <c r="F513" s="2004"/>
      <c r="G513" s="2004">
        <f>IF('1F'!K10="","##BLANK",'1F'!K10)</f>
        <v>92.043585300000004</v>
      </c>
    </row>
    <row r="514" spans="2:7">
      <c r="B514" s="2155" t="str">
        <f>'1F'!AZ14</f>
        <v>CR12505ANV</v>
      </c>
      <c r="D514" s="2004"/>
      <c r="E514" s="1658" t="s">
        <v>9033</v>
      </c>
      <c r="F514" s="2004"/>
      <c r="G514" s="2004">
        <f>IF('1F'!K14="","##BLANK",'1F'!K14)</f>
        <v>33.058</v>
      </c>
    </row>
    <row r="515" spans="2:7">
      <c r="B515" s="2155" t="str">
        <f>'1F'!AZ15</f>
        <v>CR12506ANV</v>
      </c>
      <c r="D515" s="2004"/>
      <c r="E515" s="1658" t="s">
        <v>9033</v>
      </c>
      <c r="F515" s="2004"/>
      <c r="G515" s="2004">
        <f>IF('1F'!K15="","##BLANK",'1F'!K15)</f>
        <v>-5.5350000000000001</v>
      </c>
    </row>
    <row r="516" spans="2:7">
      <c r="B516" s="2155" t="str">
        <f>'1F'!AZ16</f>
        <v>CR12507ANV</v>
      </c>
      <c r="D516" s="2004"/>
      <c r="E516" s="1658" t="s">
        <v>9033</v>
      </c>
      <c r="F516" s="2004"/>
      <c r="G516" s="2004">
        <f>IF('1F'!K16="","##BLANK",'1F'!K16)</f>
        <v>0</v>
      </c>
    </row>
    <row r="517" spans="2:7">
      <c r="B517" s="2155" t="str">
        <f>'1F'!AZ17</f>
        <v>CR12508ANV</v>
      </c>
      <c r="D517" s="2004"/>
      <c r="E517" s="1658" t="s">
        <v>9033</v>
      </c>
      <c r="F517" s="2004"/>
      <c r="G517" s="2004">
        <f>IF('1F'!K17="","##BLANK",'1F'!K17)</f>
        <v>44.341000000000001</v>
      </c>
    </row>
    <row r="518" spans="2:7">
      <c r="B518" s="2155" t="str">
        <f>'1F'!AZ18</f>
        <v>CR12509ANV</v>
      </c>
      <c r="D518" s="2004"/>
      <c r="E518" s="1658" t="s">
        <v>9033</v>
      </c>
      <c r="F518" s="2004"/>
      <c r="G518" s="2004">
        <f>IF('1F'!K18="","##BLANK",'1F'!K18)</f>
        <v>-25.143999999999998</v>
      </c>
    </row>
    <row r="519" spans="2:7">
      <c r="B519" s="2155" t="str">
        <f>'1F'!AZ20</f>
        <v>CR12510ANV</v>
      </c>
      <c r="D519" s="2004"/>
      <c r="E519" s="1658" t="s">
        <v>9033</v>
      </c>
      <c r="F519" s="2004"/>
      <c r="G519" s="2004">
        <f>IF('1F'!K20="","##BLANK",'1F'!K20)</f>
        <v>138.76358530000002</v>
      </c>
    </row>
    <row r="520" spans="2:7">
      <c r="B520" s="2155" t="str">
        <f>'1F'!AZ23</f>
        <v>CR12511ANV</v>
      </c>
      <c r="D520" s="2004"/>
      <c r="E520" s="1658" t="s">
        <v>9033</v>
      </c>
      <c r="F520" s="2004"/>
      <c r="G520" s="2004">
        <f>IF('1F'!K23="","##BLANK",'1F'!K23)</f>
        <v>-17.952999999999999</v>
      </c>
    </row>
    <row r="521" spans="2:7">
      <c r="B521" s="2155" t="str">
        <f>'1F'!AZ24</f>
        <v>CR12512ANV</v>
      </c>
      <c r="D521" s="2004"/>
      <c r="E521" s="1658" t="s">
        <v>9033</v>
      </c>
      <c r="F521" s="2004"/>
      <c r="G521" s="2004">
        <f>IF('1F'!K24="","##BLANK",'1F'!K24)</f>
        <v>27.672999999999998</v>
      </c>
    </row>
    <row r="522" spans="2:7">
      <c r="B522" s="2155" t="str">
        <f>'1F'!AZ25</f>
        <v>CR12513ANV</v>
      </c>
      <c r="D522" s="2004"/>
      <c r="E522" s="1658" t="s">
        <v>9033</v>
      </c>
      <c r="F522" s="2004"/>
      <c r="G522" s="2004">
        <f>IF('1F'!K25="","##BLANK",'1F'!K25)</f>
        <v>-18.992999999999999</v>
      </c>
    </row>
    <row r="523" spans="2:7" s="2004" customFormat="1">
      <c r="B523" s="2155" t="str">
        <f>'1F'!AZ26</f>
        <v>CR12523ANV</v>
      </c>
      <c r="C523" s="1322"/>
      <c r="E523" s="1658" t="s">
        <v>9033</v>
      </c>
      <c r="G523" s="2004">
        <f>IF('1F'!K26="","##BLANK",'1F'!K26)</f>
        <v>3.4</v>
      </c>
    </row>
    <row r="524" spans="2:7">
      <c r="B524" s="2155" t="str">
        <f>'1F'!AZ27</f>
        <v>CR12514ANV</v>
      </c>
      <c r="D524" s="2004"/>
      <c r="E524" s="1658" t="s">
        <v>9033</v>
      </c>
      <c r="F524" s="2004"/>
      <c r="G524" s="2004">
        <f>IF('1F'!K27="","##BLANK",'1F'!K27)</f>
        <v>-5.8729999999999993</v>
      </c>
    </row>
    <row r="525" spans="2:7">
      <c r="B525" s="2155" t="str">
        <f>'1F'!AZ29</f>
        <v>CR12516ANV</v>
      </c>
      <c r="D525" s="2004"/>
      <c r="E525" s="1658" t="s">
        <v>9033</v>
      </c>
      <c r="F525" s="2004"/>
      <c r="G525" s="2004">
        <f>IF('1F'!K29="","##BLANK",'1F'!K29)</f>
        <v>132.89058530000003</v>
      </c>
    </row>
    <row r="526" spans="2:7">
      <c r="B526" s="2155" t="str">
        <f>'1F'!AZ31</f>
        <v>CR12517ANV</v>
      </c>
      <c r="D526" s="2004"/>
      <c r="E526" s="1658" t="s">
        <v>9033</v>
      </c>
      <c r="F526" s="2004"/>
      <c r="G526" s="2004">
        <f>IF('1F'!K31="","##BLANK",'1F'!K31)</f>
        <v>56.092277499999994</v>
      </c>
    </row>
    <row r="527" spans="2:7">
      <c r="B527" s="2155" t="str">
        <f>'1F'!AZ33</f>
        <v>CR12518ANV</v>
      </c>
      <c r="D527" s="2004"/>
      <c r="E527" s="1658" t="s">
        <v>9033</v>
      </c>
      <c r="F527" s="2004"/>
      <c r="G527" s="2004">
        <f>IF('1F'!K33="","##BLANK",'1F'!K33)</f>
        <v>188.98286280000002</v>
      </c>
    </row>
    <row r="528" spans="2:7">
      <c r="B528" s="2155" t="str">
        <f>'1F'!AZ35</f>
        <v>CR12522ANV</v>
      </c>
      <c r="D528" s="2004"/>
      <c r="E528" s="1658" t="s">
        <v>9033</v>
      </c>
      <c r="F528" s="2004"/>
      <c r="G528" s="2004">
        <f>IF('1F'!K35="","##BLANK",'1F'!K35)</f>
        <v>52.395000000000003</v>
      </c>
    </row>
    <row r="529" spans="2:7">
      <c r="B529" s="2155" t="str">
        <f>'1F'!AZ37</f>
        <v>CR12519ANV</v>
      </c>
      <c r="D529" s="2004"/>
      <c r="E529" s="1658" t="s">
        <v>9033</v>
      </c>
      <c r="F529" s="2004"/>
      <c r="G529" s="2004">
        <f>IF('1F'!K37="","##BLANK",'1F'!K37)</f>
        <v>136.58786280000001</v>
      </c>
    </row>
    <row r="530" spans="2:7">
      <c r="B530" s="2155" t="str">
        <f>'1F'!AZ40</f>
        <v>CR12520ANV</v>
      </c>
      <c r="D530" s="2004"/>
      <c r="E530" s="1658" t="s">
        <v>9033</v>
      </c>
      <c r="F530" s="2004"/>
      <c r="G530" s="2004">
        <f>IF('1F'!K40="","##BLANK",'1F'!K40)</f>
        <v>92.628</v>
      </c>
    </row>
    <row r="531" spans="2:7">
      <c r="B531" s="2155" t="str">
        <f>'1F'!AZ41</f>
        <v>CR12521ANV</v>
      </c>
      <c r="D531" s="2004"/>
      <c r="E531" s="1658" t="s">
        <v>9033</v>
      </c>
      <c r="F531" s="2004"/>
      <c r="G531" s="2004">
        <f>IF('1F'!K41="","##BLANK",'1F'!K41)</f>
        <v>40.232999999999997</v>
      </c>
    </row>
    <row r="532" spans="2:7">
      <c r="B532" s="2155" t="str">
        <f>'1F'!BA8</f>
        <v>CR12501AAV</v>
      </c>
      <c r="D532" s="2004"/>
      <c r="E532" s="1658" t="s">
        <v>9033</v>
      </c>
      <c r="F532" s="2004"/>
      <c r="G532" s="2004">
        <f>IF('1F'!L8="","##BLANK",'1F'!L8)</f>
        <v>77.2728465</v>
      </c>
    </row>
    <row r="533" spans="2:7">
      <c r="B533" s="2155" t="str">
        <f>'1F'!BA9</f>
        <v>CR12502AAV</v>
      </c>
      <c r="D533" s="2004"/>
      <c r="E533" s="1658" t="s">
        <v>9033</v>
      </c>
      <c r="F533" s="2004"/>
      <c r="G533" s="2004">
        <f>IF('1F'!L9="","##BLANK",'1F'!L9)</f>
        <v>14.770738800000002</v>
      </c>
    </row>
    <row r="534" spans="2:7">
      <c r="B534" s="2155" t="str">
        <f>'1F'!BA10</f>
        <v>CR12503AAV</v>
      </c>
      <c r="D534" s="2004"/>
      <c r="E534" s="1658" t="s">
        <v>9033</v>
      </c>
      <c r="F534" s="2004"/>
      <c r="G534" s="2004">
        <f>IF('1F'!L10="","##BLANK",'1F'!L10)</f>
        <v>92.043585300000004</v>
      </c>
    </row>
    <row r="535" spans="2:7">
      <c r="B535" s="2155" t="str">
        <f>'1F'!BA14</f>
        <v>CR12505AAV</v>
      </c>
      <c r="D535" s="2004"/>
      <c r="E535" s="1658" t="s">
        <v>9033</v>
      </c>
      <c r="F535" s="2004"/>
      <c r="G535" s="2004">
        <f>IF('1F'!L14="","##BLANK",'1F'!L14)</f>
        <v>33.058</v>
      </c>
    </row>
    <row r="536" spans="2:7">
      <c r="B536" s="2155" t="str">
        <f>'1F'!BA15</f>
        <v>CR12506AAV</v>
      </c>
      <c r="D536" s="2004"/>
      <c r="E536" s="1658" t="s">
        <v>9033</v>
      </c>
      <c r="F536" s="2004"/>
      <c r="G536" s="2004">
        <f>IF('1F'!L15="","##BLANK",'1F'!L15)</f>
        <v>-5.5350000000000001</v>
      </c>
    </row>
    <row r="537" spans="2:7">
      <c r="B537" s="2155" t="str">
        <f>'1F'!BA16</f>
        <v>CR12507AAV</v>
      </c>
      <c r="D537" s="2004"/>
      <c r="E537" s="1658" t="s">
        <v>9033</v>
      </c>
      <c r="F537" s="2004"/>
      <c r="G537" s="2004">
        <f>IF('1F'!L16="","##BLANK",'1F'!L16)</f>
        <v>0</v>
      </c>
    </row>
    <row r="538" spans="2:7">
      <c r="B538" s="2155" t="str">
        <f>'1F'!BA17</f>
        <v>CR12508AAV</v>
      </c>
      <c r="D538" s="2004"/>
      <c r="E538" s="1658" t="s">
        <v>9033</v>
      </c>
      <c r="F538" s="2004"/>
      <c r="G538" s="2004">
        <f>IF('1F'!L17="","##BLANK",'1F'!L17)</f>
        <v>54.143999999999998</v>
      </c>
    </row>
    <row r="539" spans="2:7">
      <c r="B539" s="2155" t="str">
        <f>'1F'!BA18</f>
        <v>CR12509AAV</v>
      </c>
      <c r="D539" s="2004"/>
      <c r="E539" s="1658" t="s">
        <v>9033</v>
      </c>
      <c r="F539" s="2004"/>
      <c r="G539" s="2004">
        <f>IF('1F'!L18="","##BLANK",'1F'!L18)</f>
        <v>-30.702999999999999</v>
      </c>
    </row>
    <row r="540" spans="2:7">
      <c r="B540" s="2155" t="str">
        <f>'1F'!BA20</f>
        <v>CR12510AAV</v>
      </c>
      <c r="D540" s="2004"/>
      <c r="E540" s="1658" t="s">
        <v>9033</v>
      </c>
      <c r="F540" s="2004"/>
      <c r="G540" s="2004">
        <f>IF('1F'!L20="","##BLANK",'1F'!L20)</f>
        <v>143.00758530000002</v>
      </c>
    </row>
    <row r="541" spans="2:7">
      <c r="B541" s="2155" t="str">
        <f>'1F'!BA23</f>
        <v>CR12511AAV</v>
      </c>
      <c r="D541" s="2004"/>
      <c r="E541" s="1658" t="s">
        <v>9033</v>
      </c>
      <c r="F541" s="2004"/>
      <c r="G541" s="2004">
        <f>IF('1F'!L23="","##BLANK",'1F'!L23)</f>
        <v>-17.952999999999999</v>
      </c>
    </row>
    <row r="542" spans="2:7">
      <c r="B542" s="2155" t="str">
        <f>'1F'!BA24</f>
        <v>CR12512AAV</v>
      </c>
      <c r="D542" s="2004"/>
      <c r="E542" s="1658" t="s">
        <v>9033</v>
      </c>
      <c r="F542" s="2004"/>
      <c r="G542" s="2004">
        <f>IF('1F'!L24="","##BLANK",'1F'!L24)</f>
        <v>27.672999999999998</v>
      </c>
    </row>
    <row r="543" spans="2:7">
      <c r="B543" s="2155" t="str">
        <f>'1F'!BA25</f>
        <v>CR12513AAV</v>
      </c>
      <c r="D543" s="2004"/>
      <c r="E543" s="1658" t="s">
        <v>9033</v>
      </c>
      <c r="F543" s="2004"/>
      <c r="G543" s="2004">
        <f>IF('1F'!L25="","##BLANK",'1F'!L25)</f>
        <v>-18.992999999999999</v>
      </c>
    </row>
    <row r="544" spans="2:7" s="2004" customFormat="1">
      <c r="B544" s="2155" t="str">
        <f>'1F'!BA26</f>
        <v>CR12523AAV</v>
      </c>
      <c r="C544" s="1322"/>
      <c r="E544" s="1658" t="s">
        <v>9033</v>
      </c>
      <c r="G544" s="2004">
        <f>IF('1F'!L26="","##BLANK",'1F'!L26)</f>
        <v>3.4</v>
      </c>
    </row>
    <row r="545" spans="2:7">
      <c r="B545" s="2155" t="str">
        <f>'1F'!BA27</f>
        <v>CR12514AAV</v>
      </c>
      <c r="D545" s="2004"/>
      <c r="E545" s="1658" t="s">
        <v>9033</v>
      </c>
      <c r="F545" s="2004"/>
      <c r="G545" s="2004">
        <f>IF('1F'!L27="","##BLANK",'1F'!L27)</f>
        <v>-5.8729999999999993</v>
      </c>
    </row>
    <row r="546" spans="2:7">
      <c r="B546" s="2155" t="str">
        <f>'1F'!BA29</f>
        <v>CR12516AAV</v>
      </c>
      <c r="D546" s="2004"/>
      <c r="E546" s="1658" t="s">
        <v>9033</v>
      </c>
      <c r="F546" s="2004"/>
      <c r="G546" s="2004">
        <f>IF('1F'!L29="","##BLANK",'1F'!L29)</f>
        <v>137.13458530000003</v>
      </c>
    </row>
    <row r="547" spans="2:7">
      <c r="B547" s="2155" t="str">
        <f>'1F'!BA31</f>
        <v>CR12517AAV</v>
      </c>
      <c r="D547" s="2004"/>
      <c r="E547" s="1658" t="s">
        <v>9033</v>
      </c>
      <c r="F547" s="2004"/>
      <c r="G547" s="2004">
        <f>IF('1F'!L31="","##BLANK",'1F'!L31)</f>
        <v>35.422419900000001</v>
      </c>
    </row>
    <row r="548" spans="2:7">
      <c r="B548" s="2155" t="str">
        <f>'1F'!BA33</f>
        <v>CR12518AAV</v>
      </c>
      <c r="D548" s="2004"/>
      <c r="E548" s="1658" t="s">
        <v>9033</v>
      </c>
      <c r="F548" s="2004"/>
      <c r="G548" s="2004">
        <f>IF('1F'!L33="","##BLANK",'1F'!L33)</f>
        <v>172.55700520000002</v>
      </c>
    </row>
    <row r="549" spans="2:7">
      <c r="B549" s="2155" t="str">
        <f>'1F'!BA35</f>
        <v>CR12522AAV</v>
      </c>
      <c r="D549" s="2004"/>
      <c r="E549" s="1658" t="s">
        <v>9033</v>
      </c>
      <c r="F549" s="2004"/>
      <c r="G549" s="2004">
        <f>IF('1F'!L35="","##BLANK",'1F'!L35)</f>
        <v>52.395000000000003</v>
      </c>
    </row>
    <row r="550" spans="2:7">
      <c r="B550" s="2155" t="str">
        <f>'1F'!BA37</f>
        <v>CR12519AAV</v>
      </c>
      <c r="D550" s="2004"/>
      <c r="E550" s="1658" t="s">
        <v>9033</v>
      </c>
      <c r="F550" s="2004"/>
      <c r="G550" s="2004">
        <f>IF('1F'!L37="","##BLANK",'1F'!L37)</f>
        <v>120.16200520000001</v>
      </c>
    </row>
    <row r="551" spans="2:7">
      <c r="B551" s="2155" t="str">
        <f>'1F'!BA40</f>
        <v>CR12520AAV</v>
      </c>
      <c r="D551" s="2004"/>
      <c r="E551" s="1658" t="s">
        <v>9033</v>
      </c>
      <c r="F551" s="2004"/>
      <c r="G551" s="2004">
        <f>IF('1F'!L40="","##BLANK",'1F'!L40)</f>
        <v>92.628</v>
      </c>
    </row>
    <row r="552" spans="2:7">
      <c r="B552" s="2155" t="str">
        <f>'1F'!BA41</f>
        <v>CR12521AAV</v>
      </c>
      <c r="D552" s="2004"/>
      <c r="E552" s="1658" t="s">
        <v>9033</v>
      </c>
      <c r="F552" s="2004"/>
      <c r="G552" s="2004">
        <f>IF('1F'!L41="","##BLANK",'1F'!L41)</f>
        <v>40.232999999999997</v>
      </c>
    </row>
    <row r="553" spans="2:7">
      <c r="B553" s="2155" t="str">
        <f>'1F'!BB8</f>
        <v>CR12501NNPA</v>
      </c>
      <c r="D553" s="2004"/>
      <c r="E553" s="1658" t="s">
        <v>9033</v>
      </c>
      <c r="F553" s="2004"/>
      <c r="G553" s="2004">
        <f>IF('1F'!M8="","##BLANK",'1F'!M8)</f>
        <v>5.6500000000000002E-2</v>
      </c>
    </row>
    <row r="554" spans="2:7">
      <c r="B554" s="2155" t="str">
        <f>'1F'!BB9</f>
        <v>CR12502NNPA</v>
      </c>
      <c r="D554" s="2004"/>
      <c r="E554" s="1658" t="s">
        <v>9033</v>
      </c>
      <c r="F554" s="2004"/>
      <c r="G554" s="2004">
        <f>IF('1F'!M9="","##BLANK",'1F'!M9)</f>
        <v>1.4800000000000001E-2</v>
      </c>
    </row>
    <row r="555" spans="2:7">
      <c r="B555" s="2155" t="str">
        <f>'1F'!BB10</f>
        <v>CR12503NNPA</v>
      </c>
      <c r="D555" s="2004"/>
      <c r="E555" s="1658" t="s">
        <v>9033</v>
      </c>
      <c r="F555" s="2004"/>
      <c r="G555" s="2004">
        <f>IF('1F'!M10="","##BLANK",'1F'!M10)</f>
        <v>7.1300000000000002E-2</v>
      </c>
    </row>
    <row r="556" spans="2:7">
      <c r="B556" s="2155" t="str">
        <f>'1F'!BB11</f>
        <v>CR12504NNPA</v>
      </c>
      <c r="D556" s="2004"/>
      <c r="E556" s="1658" t="s">
        <v>9033</v>
      </c>
      <c r="F556" s="2004"/>
      <c r="G556" s="2004">
        <f>IF('1F'!M11="","##BLANK",'1F'!M11)</f>
        <v>2101.413</v>
      </c>
    </row>
    <row r="557" spans="2:7">
      <c r="B557" s="2155" t="str">
        <f>'1F'!BB14</f>
        <v>CR12505NNPA</v>
      </c>
      <c r="D557" s="2004"/>
      <c r="E557" s="1658" t="s">
        <v>9033</v>
      </c>
      <c r="F557" s="2004"/>
      <c r="G557" s="2004">
        <f>IF('1F'!M14="","##BLANK",'1F'!M14)</f>
        <v>0</v>
      </c>
    </row>
    <row r="558" spans="2:7">
      <c r="B558" s="2155" t="str">
        <f>'1F'!BB15</f>
        <v>CR12506NNPA</v>
      </c>
      <c r="D558" s="2004"/>
      <c r="E558" s="1658" t="s">
        <v>9033</v>
      </c>
      <c r="F558" s="2004"/>
      <c r="G558" s="2004">
        <f>IF('1F'!M15="","##BLANK",'1F'!M15)</f>
        <v>0</v>
      </c>
    </row>
    <row r="559" spans="2:7">
      <c r="B559" s="2155" t="str">
        <f>'1F'!BB16</f>
        <v>CR12507NNPA</v>
      </c>
      <c r="D559" s="2004"/>
      <c r="E559" s="1658" t="s">
        <v>9033</v>
      </c>
      <c r="F559" s="2004"/>
      <c r="G559" s="2004">
        <f>IF('1F'!M16="","##BLANK",'1F'!M16)</f>
        <v>0</v>
      </c>
    </row>
    <row r="560" spans="2:7">
      <c r="B560" s="2155" t="str">
        <f>'1F'!BB17</f>
        <v>CR12508NNPA</v>
      </c>
      <c r="D560" s="2004"/>
      <c r="E560" s="1658" t="s">
        <v>9033</v>
      </c>
      <c r="F560" s="2004"/>
      <c r="G560" s="2004">
        <f>IF('1F'!M17="","##BLANK",'1F'!M17)</f>
        <v>0</v>
      </c>
    </row>
    <row r="561" spans="2:7">
      <c r="B561" s="2155" t="str">
        <f>'1F'!BB18</f>
        <v>CR12509NNPA</v>
      </c>
      <c r="D561" s="2004"/>
      <c r="E561" s="1658" t="s">
        <v>9033</v>
      </c>
      <c r="F561" s="2004"/>
      <c r="G561" s="2004">
        <f>IF('1F'!M18="","##BLANK",'1F'!M18)</f>
        <v>0</v>
      </c>
    </row>
    <row r="562" spans="2:7">
      <c r="B562" s="2155" t="str">
        <f>'1F'!BB20</f>
        <v>CR12510NNPA</v>
      </c>
      <c r="D562" s="2004"/>
      <c r="E562" s="1658" t="s">
        <v>9033</v>
      </c>
      <c r="F562" s="2004"/>
      <c r="G562" s="2004">
        <f>IF('1F'!M20="","##BLANK",'1F'!M20)</f>
        <v>7.1300000000000002E-2</v>
      </c>
    </row>
    <row r="563" spans="2:7">
      <c r="B563" s="2155" t="str">
        <f>'1F'!BB23</f>
        <v>CR12511NNPA</v>
      </c>
      <c r="D563" s="2004"/>
      <c r="E563" s="1658" t="s">
        <v>9033</v>
      </c>
      <c r="F563" s="2004"/>
      <c r="G563" s="2004">
        <f>IF('1F'!M23="","##BLANK",'1F'!M23)</f>
        <v>0</v>
      </c>
    </row>
    <row r="564" spans="2:7">
      <c r="B564" s="2155" t="str">
        <f>'1F'!BB24</f>
        <v>CR12512NNPA</v>
      </c>
      <c r="D564" s="2004"/>
      <c r="E564" s="1658" t="s">
        <v>9033</v>
      </c>
      <c r="F564" s="2004"/>
      <c r="G564" s="2004">
        <f>IF('1F'!M24="","##BLANK",'1F'!M24)</f>
        <v>0</v>
      </c>
    </row>
    <row r="565" spans="2:7">
      <c r="B565" s="2155" t="str">
        <f>'1F'!BB25</f>
        <v>CR12513NNPA</v>
      </c>
      <c r="D565" s="2004"/>
      <c r="E565" s="1658" t="s">
        <v>9033</v>
      </c>
      <c r="F565" s="2004"/>
      <c r="G565" s="2004">
        <f>IF('1F'!M25="","##BLANK",'1F'!M25)</f>
        <v>0</v>
      </c>
    </row>
    <row r="566" spans="2:7" s="2004" customFormat="1">
      <c r="B566" s="2155" t="str">
        <f>'1F'!BB26</f>
        <v>CR12523NNPA</v>
      </c>
      <c r="C566" s="1322"/>
      <c r="E566" s="1658" t="s">
        <v>9033</v>
      </c>
      <c r="G566" s="2004">
        <f>IF('1F'!M26="","##BLANK",'1F'!M26)</f>
        <v>0</v>
      </c>
    </row>
    <row r="567" spans="2:7">
      <c r="B567" s="2155" t="str">
        <f>'1F'!BB27</f>
        <v>CR12514NNPA</v>
      </c>
      <c r="D567" s="2004"/>
      <c r="E567" s="1658" t="s">
        <v>9033</v>
      </c>
      <c r="F567" s="2004"/>
      <c r="G567" s="2004">
        <f>IF('1F'!M27="","##BLANK",'1F'!M27)</f>
        <v>0</v>
      </c>
    </row>
    <row r="568" spans="2:7">
      <c r="B568" s="2155" t="str">
        <f>'1F'!BB29</f>
        <v>CR12516NNPA</v>
      </c>
      <c r="D568" s="2004"/>
      <c r="E568" s="1658" t="s">
        <v>9033</v>
      </c>
      <c r="F568" s="2004"/>
      <c r="G568" s="2004">
        <f>IF('1F'!M29="","##BLANK",'1F'!M29)</f>
        <v>7.1300000000000002E-2</v>
      </c>
    </row>
    <row r="569" spans="2:7">
      <c r="B569" s="2155" t="str">
        <f>'1F'!BB31</f>
        <v>CR12517NNPA</v>
      </c>
      <c r="D569" s="2004"/>
      <c r="E569" s="1658" t="s">
        <v>9033</v>
      </c>
      <c r="F569" s="2004"/>
      <c r="G569" s="2004">
        <f>IF('1F'!M31="","##BLANK",'1F'!M31)</f>
        <v>2.58E-2</v>
      </c>
    </row>
    <row r="570" spans="2:7">
      <c r="B570" s="2155" t="str">
        <f>'1F'!BB33</f>
        <v>CR12518NNPA</v>
      </c>
      <c r="D570" s="2004"/>
      <c r="E570" s="1658" t="s">
        <v>9033</v>
      </c>
      <c r="F570" s="2004"/>
      <c r="G570" s="2004">
        <f>IF('1F'!M33="","##BLANK",'1F'!M33)</f>
        <v>9.7100000000000006E-2</v>
      </c>
    </row>
    <row r="571" spans="2:7">
      <c r="B571" s="2155" t="str">
        <f>'1F'!BB35</f>
        <v>CR12522NNPA</v>
      </c>
      <c r="D571" s="2004"/>
      <c r="E571" s="1658" t="s">
        <v>9033</v>
      </c>
      <c r="F571" s="2004"/>
      <c r="G571" s="2004">
        <f>IF('1F'!M35="","##BLANK",'1F'!M35)</f>
        <v>0.04</v>
      </c>
    </row>
    <row r="572" spans="2:7">
      <c r="B572" s="2155" t="str">
        <f>'1F'!BB37</f>
        <v>CR12519NNPA</v>
      </c>
      <c r="D572" s="2004"/>
      <c r="E572" s="1658" t="s">
        <v>9033</v>
      </c>
      <c r="F572" s="2004"/>
      <c r="G572" s="2004">
        <f>IF('1F'!M37="","##BLANK",'1F'!M37)</f>
        <v>5.7100000000000005E-2</v>
      </c>
    </row>
    <row r="573" spans="2:7">
      <c r="B573" s="2155" t="str">
        <f>'1F'!BB40</f>
        <v>CR12520NNPA</v>
      </c>
      <c r="D573" s="2004"/>
      <c r="E573" s="1658" t="s">
        <v>9033</v>
      </c>
      <c r="F573" s="2004"/>
      <c r="G573" s="2004">
        <f>IF('1F'!M40="","##BLANK",'1F'!M40)</f>
        <v>0.04</v>
      </c>
    </row>
    <row r="574" spans="2:7">
      <c r="B574" s="2155" t="str">
        <f>'1F'!BB41</f>
        <v>CR12521NNPA</v>
      </c>
      <c r="D574" s="2004"/>
      <c r="E574" s="1658" t="s">
        <v>9033</v>
      </c>
      <c r="F574" s="2004"/>
      <c r="G574" s="2004">
        <f>IF('1F'!M41="","##BLANK",'1F'!M41)</f>
        <v>0</v>
      </c>
    </row>
    <row r="575" spans="2:7">
      <c r="B575" s="2155" t="str">
        <f>'1F'!BC8</f>
        <v>CR12501ANPA</v>
      </c>
      <c r="D575" s="2004"/>
      <c r="E575" s="1658" t="s">
        <v>9033</v>
      </c>
      <c r="F575" s="2004"/>
      <c r="G575" s="2004">
        <f>IF('1F'!N8="","##BLANK",'1F'!N8)</f>
        <v>3.5952775822744032E-2</v>
      </c>
    </row>
    <row r="576" spans="2:7">
      <c r="B576" s="2155" t="str">
        <f>'1F'!BC9</f>
        <v>CR12502ANPA</v>
      </c>
      <c r="D576" s="2004"/>
      <c r="E576" s="1658" t="s">
        <v>9033</v>
      </c>
      <c r="F576" s="2004"/>
      <c r="G576" s="2004">
        <f>IF('1F'!N9="","##BLANK",'1F'!N9)</f>
        <v>9.4177182686125942E-3</v>
      </c>
    </row>
    <row r="577" spans="2:7">
      <c r="B577" s="2155" t="str">
        <f>'1F'!BC10</f>
        <v>CR12503ANPA</v>
      </c>
      <c r="D577" s="2004"/>
      <c r="E577" s="1658" t="s">
        <v>9033</v>
      </c>
      <c r="F577" s="2004"/>
      <c r="G577" s="2004">
        <f>IF('1F'!N10="","##BLANK",'1F'!N10)</f>
        <v>4.5370494091356628E-2</v>
      </c>
    </row>
    <row r="578" spans="2:7">
      <c r="B578" s="2155" t="str">
        <f>'1F'!BC11</f>
        <v>CR12504ANPA</v>
      </c>
      <c r="D578" s="2004"/>
      <c r="E578" s="1658" t="s">
        <v>9033</v>
      </c>
      <c r="F578" s="2004"/>
      <c r="G578" s="2004">
        <f>IF('1F'!N11="","##BLANK",'1F'!N11)</f>
        <v>2101.413</v>
      </c>
    </row>
    <row r="579" spans="2:7">
      <c r="B579" s="2155" t="str">
        <f>'1F'!BC14</f>
        <v>CR12505ANPA</v>
      </c>
      <c r="D579" s="2004"/>
      <c r="E579" s="1658" t="s">
        <v>9033</v>
      </c>
      <c r="F579" s="2004"/>
      <c r="G579" s="2004">
        <f>IF('1F'!N14="","##BLANK",'1F'!N14)</f>
        <v>2.5983456439103589E-2</v>
      </c>
    </row>
    <row r="580" spans="2:7">
      <c r="B580" s="2155" t="str">
        <f>'1F'!BC15</f>
        <v>CR12506ANPA</v>
      </c>
      <c r="D580" s="2004"/>
      <c r="E580" s="1658" t="s">
        <v>9033</v>
      </c>
      <c r="F580" s="2004"/>
      <c r="G580" s="2004">
        <f>IF('1F'!N15="","##BLANK",'1F'!N15)</f>
        <v>-6.8220763838426814E-3</v>
      </c>
    </row>
    <row r="581" spans="2:7">
      <c r="B581" s="2155" t="str">
        <f>'1F'!BC16</f>
        <v>CR12507ANPA</v>
      </c>
      <c r="D581" s="2004"/>
      <c r="E581" s="1658" t="s">
        <v>9033</v>
      </c>
      <c r="F581" s="2004"/>
      <c r="G581" s="2004">
        <f>IF('1F'!N16="","##BLANK",'1F'!N16)</f>
        <v>5.8474940432937271E-3</v>
      </c>
    </row>
    <row r="582" spans="2:7">
      <c r="B582" s="2155" t="str">
        <f>'1F'!BC17</f>
        <v>CR12508ANPA</v>
      </c>
      <c r="D582" s="2004"/>
      <c r="E582" s="1658" t="s">
        <v>9033</v>
      </c>
      <c r="F582" s="2004"/>
      <c r="G582" s="2004">
        <f>IF('1F'!N17="","##BLANK",'1F'!N17)</f>
        <v>8.3624684914388563E-3</v>
      </c>
    </row>
    <row r="583" spans="2:7">
      <c r="B583" s="2155" t="str">
        <f>'1F'!BC18</f>
        <v>CR12509ANPA</v>
      </c>
      <c r="D583" s="2004"/>
      <c r="E583" s="1658" t="s">
        <v>9033</v>
      </c>
      <c r="F583" s="2004"/>
      <c r="G583" s="2004">
        <f>IF('1F'!N18="","##BLANK",'1F'!N18)</f>
        <v>-1.4814317794740968E-2</v>
      </c>
    </row>
    <row r="584" spans="2:7">
      <c r="B584" s="2155" t="str">
        <f>'1F'!BC20</f>
        <v>CR12510ANPA</v>
      </c>
      <c r="D584" s="2004"/>
      <c r="E584" s="1658" t="s">
        <v>9033</v>
      </c>
      <c r="F584" s="2004"/>
      <c r="G584" s="2004">
        <f>IF('1F'!N20="","##BLANK",'1F'!N20)</f>
        <v>6.392751888660915E-2</v>
      </c>
    </row>
    <row r="585" spans="2:7">
      <c r="B585" s="2155" t="str">
        <f>'1F'!BC23</f>
        <v>CR12511ANPA</v>
      </c>
      <c r="D585" s="2004"/>
      <c r="E585" s="1658" t="s">
        <v>9033</v>
      </c>
      <c r="F585" s="2004"/>
      <c r="G585" s="2004">
        <f>IF('1F'!N23="","##BLANK",'1F'!N23)</f>
        <v>-2.7038949506831833E-3</v>
      </c>
    </row>
    <row r="586" spans="2:7">
      <c r="B586" s="2155" t="str">
        <f>'1F'!BC24</f>
        <v>CR12512ANPA</v>
      </c>
      <c r="D586" s="2004"/>
      <c r="E586" s="1658" t="s">
        <v>9033</v>
      </c>
      <c r="F586" s="2004"/>
      <c r="G586" s="2004">
        <f>IF('1F'!N24="","##BLANK",'1F'!N24)</f>
        <v>5.5948069227705352E-3</v>
      </c>
    </row>
    <row r="587" spans="2:7">
      <c r="B587" s="2155" t="str">
        <f>'1F'!BC25</f>
        <v>CR12513ANPA</v>
      </c>
      <c r="D587" s="2004"/>
      <c r="E587" s="1658" t="s">
        <v>9033</v>
      </c>
      <c r="F587" s="2004"/>
      <c r="G587" s="2004">
        <f>IF('1F'!N25="","##BLANK",'1F'!N25)</f>
        <v>-4.793917235688558E-3</v>
      </c>
    </row>
    <row r="588" spans="2:7" s="2004" customFormat="1">
      <c r="B588" s="2155" t="str">
        <f>'1F'!BC26</f>
        <v>CR12523ANPA</v>
      </c>
      <c r="C588" s="1322"/>
      <c r="E588" s="1658" t="s">
        <v>9033</v>
      </c>
      <c r="G588" s="2004">
        <f>IF('1F'!N26="","##BLANK",'1F'!N26)</f>
        <v>3.2359179276039506E-4</v>
      </c>
    </row>
    <row r="589" spans="2:7">
      <c r="B589" s="2155" t="str">
        <f>'1F'!BC27</f>
        <v>CR12514ANPA</v>
      </c>
      <c r="D589" s="2004"/>
      <c r="E589" s="1658" t="s">
        <v>9033</v>
      </c>
      <c r="F589" s="2004"/>
      <c r="G589" s="2004">
        <f>IF('1F'!N27="","##BLANK",'1F'!N27)</f>
        <v>-1.579413470840811E-3</v>
      </c>
    </row>
    <row r="590" spans="2:7">
      <c r="B590" s="2155" t="str">
        <f>'1F'!BC29</f>
        <v>CR12516ANPA</v>
      </c>
      <c r="D590" s="2004"/>
      <c r="E590" s="1658" t="s">
        <v>9033</v>
      </c>
      <c r="F590" s="2004"/>
      <c r="G590" s="2004">
        <f>IF('1F'!N29="","##BLANK",'1F'!N29)</f>
        <v>6.2348105415768337E-2</v>
      </c>
    </row>
    <row r="591" spans="2:7">
      <c r="B591" s="2155" t="str">
        <f>'1F'!BC31</f>
        <v>CR12517ANPA</v>
      </c>
      <c r="D591" s="2004"/>
      <c r="E591" s="1658" t="s">
        <v>9033</v>
      </c>
      <c r="F591" s="2004"/>
      <c r="G591" s="2004">
        <f>IF('1F'!N31="","##BLANK",'1F'!N31)</f>
        <v>2.58E-2</v>
      </c>
    </row>
    <row r="592" spans="2:7">
      <c r="B592" s="2155" t="str">
        <f>'1F'!BC33</f>
        <v>CR12518ANPA</v>
      </c>
      <c r="D592" s="2004"/>
      <c r="E592" s="1658" t="s">
        <v>9033</v>
      </c>
      <c r="F592" s="2004"/>
      <c r="G592" s="2004">
        <f>IF('1F'!N33="","##BLANK",'1F'!N33)</f>
        <v>8.8148105415768341E-2</v>
      </c>
    </row>
    <row r="593" spans="2:7">
      <c r="B593" s="2155" t="str">
        <f>'1F'!BC35</f>
        <v>CR12522ANPA</v>
      </c>
      <c r="D593" s="2004"/>
      <c r="E593" s="1658" t="s">
        <v>9033</v>
      </c>
      <c r="F593" s="2004"/>
      <c r="G593" s="2004">
        <f>IF('1F'!N35="","##BLANK",'1F'!N35)</f>
        <v>1.8041670057242436E-2</v>
      </c>
    </row>
    <row r="594" spans="2:7">
      <c r="B594" s="2155" t="str">
        <f>'1F'!BC37</f>
        <v>CR12519ANPA</v>
      </c>
      <c r="D594" s="2004"/>
      <c r="E594" s="1658" t="s">
        <v>9033</v>
      </c>
      <c r="F594" s="2004"/>
      <c r="G594" s="2004">
        <f>IF('1F'!N37="","##BLANK",'1F'!N37)</f>
        <v>7.0106435358525898E-2</v>
      </c>
    </row>
    <row r="595" spans="2:7">
      <c r="B595" s="2155" t="str">
        <f>'1F'!BC40</f>
        <v>CR12520ANPA</v>
      </c>
      <c r="D595" s="2004"/>
      <c r="E595" s="1658" t="s">
        <v>9033</v>
      </c>
      <c r="F595" s="2004"/>
      <c r="G595" s="2004">
        <f>IF('1F'!N40="","##BLANK",'1F'!N40)</f>
        <v>4.3254229416111921E-2</v>
      </c>
    </row>
    <row r="596" spans="2:7">
      <c r="B596" s="2155" t="str">
        <f>'1F'!BC41</f>
        <v>CR12521ANPA</v>
      </c>
      <c r="D596" s="2004"/>
      <c r="E596" s="1658" t="s">
        <v>9033</v>
      </c>
      <c r="F596" s="2004"/>
      <c r="G596" s="2004">
        <f>IF('1F'!N41="","##BLANK",'1F'!N41)</f>
        <v>2.5212559358869485E-2</v>
      </c>
    </row>
    <row r="597" spans="2:7">
      <c r="B597" s="2155" t="str">
        <f>'1F'!BD8</f>
        <v>CR12501AAPA</v>
      </c>
      <c r="D597" s="2004"/>
      <c r="E597" s="1658" t="s">
        <v>9033</v>
      </c>
      <c r="F597" s="2004"/>
      <c r="G597" s="2004">
        <f>IF('1F'!O8="","##BLANK",'1F'!O8)</f>
        <v>5.6500000000000002E-2</v>
      </c>
    </row>
    <row r="598" spans="2:7">
      <c r="B598" s="2155" t="str">
        <f>'1F'!BD9</f>
        <v>CR12502AAPA</v>
      </c>
      <c r="D598" s="2004"/>
      <c r="E598" s="1658" t="s">
        <v>9033</v>
      </c>
      <c r="F598" s="2004"/>
      <c r="G598" s="2004">
        <f>IF('1F'!O9="","##BLANK",'1F'!O9)</f>
        <v>1.4800000000000001E-2</v>
      </c>
    </row>
    <row r="599" spans="2:7">
      <c r="B599" s="2155" t="str">
        <f>'1F'!BD10</f>
        <v>CR12503AAPA</v>
      </c>
      <c r="D599" s="2004"/>
      <c r="E599" s="1658" t="s">
        <v>9033</v>
      </c>
      <c r="F599" s="2004"/>
      <c r="G599" s="2004">
        <f>IF('1F'!O10="","##BLANK",'1F'!O10)</f>
        <v>7.1300000000000002E-2</v>
      </c>
    </row>
    <row r="600" spans="2:7">
      <c r="B600" s="2155" t="str">
        <f>'1F'!BD11</f>
        <v>CR12504AAPA</v>
      </c>
      <c r="D600" s="2004"/>
      <c r="E600" s="1658" t="s">
        <v>9033</v>
      </c>
      <c r="F600" s="2004"/>
      <c r="G600" s="2004">
        <f>IF('1F'!O11="","##BLANK",'1F'!O11)</f>
        <v>1337.1969999999999</v>
      </c>
    </row>
    <row r="601" spans="2:7">
      <c r="B601" s="2155" t="str">
        <f>'1F'!BD14</f>
        <v>CR12505AAPA</v>
      </c>
      <c r="D601" s="2004"/>
      <c r="E601" s="1658" t="s">
        <v>9033</v>
      </c>
      <c r="F601" s="2004"/>
      <c r="G601" s="2004">
        <f>IF('1F'!O14="","##BLANK",'1F'!O14)</f>
        <v>2.5983456439103589E-2</v>
      </c>
    </row>
    <row r="602" spans="2:7">
      <c r="B602" s="2155" t="str">
        <f>'1F'!BD15</f>
        <v>CR12506AAPA</v>
      </c>
      <c r="D602" s="2004"/>
      <c r="E602" s="1658" t="s">
        <v>9033</v>
      </c>
      <c r="F602" s="2004"/>
      <c r="G602" s="2004">
        <f>IF('1F'!O15="","##BLANK",'1F'!O15)</f>
        <v>-1.0720933415196117E-2</v>
      </c>
    </row>
    <row r="603" spans="2:7">
      <c r="B603" s="2155" t="str">
        <f>'1F'!BD16</f>
        <v>CR12507AAPA</v>
      </c>
      <c r="D603" s="2004"/>
      <c r="E603" s="1658" t="s">
        <v>9033</v>
      </c>
      <c r="F603" s="2004"/>
      <c r="G603" s="2004">
        <f>IF('1F'!O16="","##BLANK",'1F'!O16)</f>
        <v>9.1893714987395288E-3</v>
      </c>
    </row>
    <row r="604" spans="2:7">
      <c r="B604" s="2155" t="str">
        <f>'1F'!BD17</f>
        <v>CR12508AAPA</v>
      </c>
      <c r="D604" s="2004"/>
      <c r="E604" s="1658" t="s">
        <v>9033</v>
      </c>
      <c r="F604" s="2004"/>
      <c r="G604" s="2004">
        <f>IF('1F'!O17="","##BLANK",'1F'!O17)</f>
        <v>1.5716457634888503E-2</v>
      </c>
    </row>
    <row r="605" spans="2:7">
      <c r="B605" s="2155" t="str">
        <f>'1F'!BD18</f>
        <v>CR12509AAPA</v>
      </c>
      <c r="D605" s="2004"/>
      <c r="E605" s="1658" t="s">
        <v>9033</v>
      </c>
      <c r="F605" s="2004"/>
      <c r="G605" s="2004">
        <f>IF('1F'!O18="","##BLANK",'1F'!O18)</f>
        <v>-2.8353339111589396E-2</v>
      </c>
    </row>
    <row r="606" spans="2:7">
      <c r="B606" s="2155" t="str">
        <f>'1F'!BD20</f>
        <v>CR12510AAPA</v>
      </c>
      <c r="D606" s="2004"/>
      <c r="E606" s="1658" t="s">
        <v>9033</v>
      </c>
      <c r="F606" s="2004"/>
      <c r="G606" s="2004">
        <f>IF('1F'!O20="","##BLANK",'1F'!O20)</f>
        <v>8.311501304594611E-2</v>
      </c>
    </row>
    <row r="607" spans="2:7">
      <c r="B607" s="2155" t="str">
        <f>'1F'!BD23</f>
        <v>CR12511AAPA</v>
      </c>
      <c r="D607" s="2004"/>
      <c r="E607" s="1658" t="s">
        <v>9033</v>
      </c>
      <c r="F607" s="2004"/>
      <c r="G607" s="2004">
        <f>IF('1F'!O23="","##BLANK",'1F'!O23)</f>
        <v>-4.2491869186066086E-3</v>
      </c>
    </row>
    <row r="608" spans="2:7">
      <c r="B608" s="2155" t="str">
        <f>'1F'!BD24</f>
        <v>CR12512AAPA</v>
      </c>
      <c r="D608" s="2004"/>
      <c r="E608" s="1658" t="s">
        <v>9033</v>
      </c>
      <c r="F608" s="2004"/>
      <c r="G608" s="2004">
        <f>IF('1F'!O24="","##BLANK",'1F'!O24)</f>
        <v>8.792272193252005E-3</v>
      </c>
    </row>
    <row r="609" spans="2:7">
      <c r="B609" s="2155" t="str">
        <f>'1F'!BD25</f>
        <v>CR12513AAPA</v>
      </c>
      <c r="D609" s="2004"/>
      <c r="E609" s="1658" t="s">
        <v>9033</v>
      </c>
      <c r="F609" s="2004"/>
      <c r="G609" s="2004">
        <f>IF('1F'!O25="","##BLANK",'1F'!O25)</f>
        <v>-7.5336693097576499E-3</v>
      </c>
    </row>
    <row r="610" spans="2:7" s="2004" customFormat="1">
      <c r="B610" s="2155" t="str">
        <f>'1F'!BD26</f>
        <v>CR12523AAPA</v>
      </c>
      <c r="C610" s="1322"/>
      <c r="E610" s="1658" t="s">
        <v>9033</v>
      </c>
      <c r="G610" s="2004">
        <f>IF('1F'!O26="","##BLANK",'1F'!O26)</f>
        <v>5.0852641757347659E-4</v>
      </c>
    </row>
    <row r="611" spans="2:7">
      <c r="B611" s="2155" t="str">
        <f>'1F'!BD27</f>
        <v>CR12514AAPA</v>
      </c>
      <c r="D611" s="2004"/>
      <c r="E611" s="1658" t="s">
        <v>9033</v>
      </c>
      <c r="F611" s="2004"/>
      <c r="G611" s="2004">
        <f>IF('1F'!O27="","##BLANK",'1F'!O27)</f>
        <v>-2.4820576175387768E-3</v>
      </c>
    </row>
    <row r="612" spans="2:7">
      <c r="B612" s="2155" t="str">
        <f>'1F'!BD29</f>
        <v>CR12516AAPA</v>
      </c>
      <c r="D612" s="2004"/>
      <c r="E612" s="1658" t="s">
        <v>9033</v>
      </c>
      <c r="F612" s="2004"/>
      <c r="G612" s="2004">
        <f>IF('1F'!O29="","##BLANK",'1F'!O29)</f>
        <v>8.063295542840733E-2</v>
      </c>
    </row>
    <row r="613" spans="2:7">
      <c r="B613" s="2155" t="str">
        <f>'1F'!BD31</f>
        <v>CR12517AAPA</v>
      </c>
      <c r="D613" s="2004"/>
      <c r="E613" s="1658" t="s">
        <v>9033</v>
      </c>
      <c r="F613" s="2004"/>
      <c r="G613" s="2004">
        <f>IF('1F'!O31="","##BLANK",'1F'!O31)</f>
        <v>2.58E-2</v>
      </c>
    </row>
    <row r="614" spans="2:7">
      <c r="B614" s="2155" t="str">
        <f>'1F'!BD33</f>
        <v>CR12518AAPA</v>
      </c>
      <c r="D614" s="2004"/>
      <c r="E614" s="1658" t="s">
        <v>9033</v>
      </c>
      <c r="F614" s="2004"/>
      <c r="G614" s="2004">
        <f>IF('1F'!O33="","##BLANK",'1F'!O33)</f>
        <v>0.10643295542840733</v>
      </c>
    </row>
    <row r="615" spans="2:7">
      <c r="B615" s="2155" t="str">
        <f>'1F'!BD35</f>
        <v>CR12522AAPA</v>
      </c>
      <c r="D615" s="2004"/>
      <c r="E615" s="1658" t="s">
        <v>9033</v>
      </c>
      <c r="F615" s="2004"/>
      <c r="G615" s="2004">
        <f>IF('1F'!O35="","##BLANK",'1F'!O35)</f>
        <v>2.8352591278622365E-2</v>
      </c>
    </row>
    <row r="616" spans="2:7">
      <c r="B616" s="2155" t="str">
        <f>'1F'!BD37</f>
        <v>CR12519AAPA</v>
      </c>
      <c r="D616" s="2004"/>
      <c r="E616" s="1658" t="s">
        <v>9033</v>
      </c>
      <c r="F616" s="2004"/>
      <c r="G616" s="2004">
        <f>IF('1F'!O37="","##BLANK",'1F'!O37)</f>
        <v>7.8080364149784975E-2</v>
      </c>
    </row>
    <row r="617" spans="2:7">
      <c r="B617" s="2155" t="str">
        <f>'1F'!BD40</f>
        <v>CR12520AAPA</v>
      </c>
      <c r="D617" s="2004"/>
      <c r="E617" s="1658" t="s">
        <v>9033</v>
      </c>
      <c r="F617" s="2004"/>
      <c r="G617" s="2004">
        <f>IF('1F'!O40="","##BLANK",'1F'!O40)</f>
        <v>6.7974277537266384E-2</v>
      </c>
    </row>
    <row r="618" spans="2:7">
      <c r="B618" s="2155" t="str">
        <f>'1F'!BD41</f>
        <v>CR12521AAPA</v>
      </c>
      <c r="D618" s="2004"/>
      <c r="E618" s="1658" t="s">
        <v>9033</v>
      </c>
      <c r="F618" s="2004"/>
      <c r="G618" s="2004">
        <f>IF('1F'!O41="","##BLANK",'1F'!O41)</f>
        <v>3.9621686258644019E-2</v>
      </c>
    </row>
    <row r="619" spans="2:7">
      <c r="B619" s="2155" t="str">
        <f>'1F'!BE8</f>
        <v>CR12501NNVA</v>
      </c>
      <c r="D619" s="2004"/>
      <c r="E619" s="1658" t="s">
        <v>9033</v>
      </c>
      <c r="F619" s="2004"/>
      <c r="G619" s="2004">
        <f>IF('1F'!P8="","##BLANK",'1F'!P8)</f>
        <v>118.72983450000001</v>
      </c>
    </row>
    <row r="620" spans="2:7">
      <c r="B620" s="2155" t="str">
        <f>'1F'!BE9</f>
        <v>CR12502NNVA</v>
      </c>
      <c r="D620" s="2004"/>
      <c r="E620" s="1658" t="s">
        <v>9033</v>
      </c>
      <c r="F620" s="2004"/>
      <c r="G620" s="2004">
        <f>IF('1F'!P9="","##BLANK",'1F'!P9)</f>
        <v>31.100912400000002</v>
      </c>
    </row>
    <row r="621" spans="2:7">
      <c r="B621" s="2155" t="str">
        <f>'1F'!BE10</f>
        <v>CR12503NNVA</v>
      </c>
      <c r="D621" s="2004"/>
      <c r="E621" s="1658" t="s">
        <v>9033</v>
      </c>
      <c r="F621" s="2004"/>
      <c r="G621" s="2004">
        <f>IF('1F'!P10="","##BLANK",'1F'!P10)</f>
        <v>149.83074690000001</v>
      </c>
    </row>
    <row r="622" spans="2:7">
      <c r="B622" s="2155" t="str">
        <f>'1F'!BE14</f>
        <v>CR12505NNVA</v>
      </c>
      <c r="D622" s="2004"/>
      <c r="E622" s="1658" t="s">
        <v>9033</v>
      </c>
      <c r="F622" s="2004"/>
      <c r="G622" s="2004">
        <f>IF('1F'!P14="","##BLANK",'1F'!P14)</f>
        <v>0</v>
      </c>
    </row>
    <row r="623" spans="2:7">
      <c r="B623" s="2155" t="str">
        <f>'1F'!BE15</f>
        <v>CR12506NNVA</v>
      </c>
      <c r="D623" s="2004"/>
      <c r="E623" s="1658" t="s">
        <v>9033</v>
      </c>
      <c r="F623" s="2004"/>
      <c r="G623" s="2004">
        <f>IF('1F'!P15="","##BLANK",'1F'!P15)</f>
        <v>0</v>
      </c>
    </row>
    <row r="624" spans="2:7">
      <c r="B624" s="2155" t="str">
        <f>'1F'!BE16</f>
        <v>CR12507NNVA</v>
      </c>
      <c r="D624" s="2004"/>
      <c r="E624" s="1658" t="s">
        <v>9033</v>
      </c>
      <c r="F624" s="2004"/>
      <c r="G624" s="2004">
        <f>IF('1F'!P16="","##BLANK",'1F'!P16)</f>
        <v>0</v>
      </c>
    </row>
    <row r="625" spans="2:7">
      <c r="B625" s="2155" t="str">
        <f>'1F'!BE17</f>
        <v>CR12508NNVA</v>
      </c>
      <c r="D625" s="2004"/>
      <c r="E625" s="1658" t="s">
        <v>9033</v>
      </c>
      <c r="F625" s="2004"/>
      <c r="G625" s="2004">
        <f>IF('1F'!P17="","##BLANK",'1F'!P17)</f>
        <v>0</v>
      </c>
    </row>
    <row r="626" spans="2:7">
      <c r="B626" s="2155" t="str">
        <f>'1F'!BE18</f>
        <v>CR12509NNVA</v>
      </c>
      <c r="D626" s="2004"/>
      <c r="E626" s="1658" t="s">
        <v>9033</v>
      </c>
      <c r="F626" s="2004"/>
      <c r="G626" s="2004">
        <f>IF('1F'!P18="","##BLANK",'1F'!P18)</f>
        <v>0</v>
      </c>
    </row>
    <row r="627" spans="2:7">
      <c r="B627" s="2155" t="str">
        <f>'1F'!BE20</f>
        <v>CR12510NNVA</v>
      </c>
      <c r="D627" s="2004"/>
      <c r="E627" s="1658" t="s">
        <v>9033</v>
      </c>
      <c r="F627" s="2004"/>
      <c r="G627" s="2004">
        <f>IF('1F'!P20="","##BLANK",'1F'!P20)</f>
        <v>149.83074690000001</v>
      </c>
    </row>
    <row r="628" spans="2:7">
      <c r="B628" s="2155" t="str">
        <f>'1F'!BE23</f>
        <v>CR12511NNVA</v>
      </c>
      <c r="D628" s="2004"/>
      <c r="E628" s="1658" t="s">
        <v>9033</v>
      </c>
      <c r="F628" s="2004"/>
      <c r="G628" s="2004">
        <f>IF('1F'!P23="","##BLANK",'1F'!P23)</f>
        <v>0</v>
      </c>
    </row>
    <row r="629" spans="2:7">
      <c r="B629" s="2155" t="str">
        <f>'1F'!BE24</f>
        <v>CR12512NNVA</v>
      </c>
      <c r="D629" s="2004"/>
      <c r="E629" s="1658" t="s">
        <v>9033</v>
      </c>
      <c r="F629" s="2004"/>
      <c r="G629" s="2004">
        <f>IF('1F'!P24="","##BLANK",'1F'!P24)</f>
        <v>0</v>
      </c>
    </row>
    <row r="630" spans="2:7">
      <c r="B630" s="2155" t="str">
        <f>'1F'!BE25</f>
        <v>CR12513NNVA</v>
      </c>
      <c r="D630" s="2004"/>
      <c r="E630" s="1658" t="s">
        <v>9033</v>
      </c>
      <c r="F630" s="2004"/>
      <c r="G630" s="2004">
        <f>IF('1F'!P25="","##BLANK",'1F'!P25)</f>
        <v>0</v>
      </c>
    </row>
    <row r="631" spans="2:7" s="2004" customFormat="1">
      <c r="B631" s="2155" t="str">
        <f>'1F'!BE26</f>
        <v>CR12523NNVA</v>
      </c>
      <c r="C631" s="1322"/>
      <c r="E631" s="1658" t="s">
        <v>9033</v>
      </c>
      <c r="G631" s="2004">
        <f>IF('1F'!P26="","##BLANK",'1F'!P26)</f>
        <v>0</v>
      </c>
    </row>
    <row r="632" spans="2:7">
      <c r="B632" s="2155" t="str">
        <f>'1F'!BE27</f>
        <v>CR12514NNVA</v>
      </c>
      <c r="D632" s="2004"/>
      <c r="E632" s="1658" t="s">
        <v>9033</v>
      </c>
      <c r="F632" s="2004"/>
      <c r="G632" s="2004">
        <f>IF('1F'!P27="","##BLANK",'1F'!P27)</f>
        <v>0</v>
      </c>
    </row>
    <row r="633" spans="2:7">
      <c r="B633" s="2155" t="str">
        <f>'1F'!BE29</f>
        <v>CR12516NNVA</v>
      </c>
      <c r="D633" s="2004"/>
      <c r="E633" s="1658" t="s">
        <v>9033</v>
      </c>
      <c r="F633" s="2004"/>
      <c r="G633" s="2004">
        <f>IF('1F'!P29="","##BLANK",'1F'!P29)</f>
        <v>149.83074690000001</v>
      </c>
    </row>
    <row r="634" spans="2:7">
      <c r="B634" s="2155" t="str">
        <f>'1F'!BE31</f>
        <v>CR12517NNVA</v>
      </c>
      <c r="D634" s="2004"/>
      <c r="E634" s="1658" t="s">
        <v>9033</v>
      </c>
      <c r="F634" s="2004"/>
      <c r="G634" s="2004">
        <f>IF('1F'!P31="","##BLANK",'1F'!P31)</f>
        <v>54.216455400000001</v>
      </c>
    </row>
    <row r="635" spans="2:7">
      <c r="B635" s="2155" t="str">
        <f>'1F'!BE33</f>
        <v>CR12518NNVA</v>
      </c>
      <c r="D635" s="2004"/>
      <c r="E635" s="1658" t="s">
        <v>9033</v>
      </c>
      <c r="F635" s="2004"/>
      <c r="G635" s="2004">
        <f>IF('1F'!P33="","##BLANK",'1F'!P33)</f>
        <v>204.04720230000001</v>
      </c>
    </row>
    <row r="636" spans="2:7">
      <c r="B636" s="2155" t="str">
        <f>'1F'!BE35</f>
        <v>CR12522NNVA</v>
      </c>
      <c r="D636" s="2004"/>
      <c r="E636" s="1658" t="s">
        <v>9033</v>
      </c>
      <c r="F636" s="2004"/>
      <c r="G636" s="2004">
        <f>IF('1F'!P35="","##BLANK",'1F'!P35)</f>
        <v>84.056520000000006</v>
      </c>
    </row>
    <row r="637" spans="2:7">
      <c r="B637" s="2155" t="str">
        <f>'1F'!BE37</f>
        <v>CR12519NNVA</v>
      </c>
      <c r="D637" s="2004"/>
      <c r="E637" s="1658" t="s">
        <v>9033</v>
      </c>
      <c r="F637" s="2004"/>
      <c r="G637" s="2004">
        <f>IF('1F'!P37="","##BLANK",'1F'!P37)</f>
        <v>119.9906823</v>
      </c>
    </row>
    <row r="638" spans="2:7">
      <c r="B638" s="2155" t="str">
        <f>'1F'!BE40</f>
        <v>CR12520NNVA</v>
      </c>
      <c r="D638" s="2004"/>
      <c r="E638" s="1658" t="s">
        <v>9033</v>
      </c>
      <c r="F638" s="2004"/>
      <c r="G638" s="2004">
        <f>IF('1F'!P40="","##BLANK",'1F'!P40)</f>
        <v>84.056520000000006</v>
      </c>
    </row>
    <row r="639" spans="2:7">
      <c r="B639" s="2155" t="str">
        <f>'1F'!BE41</f>
        <v>CR12521NNVA</v>
      </c>
      <c r="D639" s="2004"/>
      <c r="E639" s="1658" t="s">
        <v>9033</v>
      </c>
      <c r="F639" s="2004"/>
      <c r="G639" s="2004">
        <f>IF('1F'!P41="","##BLANK",'1F'!P41)</f>
        <v>0</v>
      </c>
    </row>
    <row r="640" spans="2:7">
      <c r="B640" s="2155" t="str">
        <f>'1F'!BF8</f>
        <v>CR12501ANVA</v>
      </c>
      <c r="D640" s="2004"/>
      <c r="E640" s="1658" t="s">
        <v>9033</v>
      </c>
      <c r="F640" s="2004"/>
      <c r="G640" s="2004">
        <f>IF('1F'!Q8="","##BLANK",'1F'!Q8)</f>
        <v>75.551630500000002</v>
      </c>
    </row>
    <row r="641" spans="2:7">
      <c r="B641" s="2155" t="str">
        <f>'1F'!BF9</f>
        <v>CR12502ANVA</v>
      </c>
      <c r="D641" s="2004"/>
      <c r="E641" s="1658" t="s">
        <v>9033</v>
      </c>
      <c r="F641" s="2004"/>
      <c r="G641" s="2004">
        <f>IF('1F'!Q9="","##BLANK",'1F'!Q9)</f>
        <v>19.790515599999999</v>
      </c>
    </row>
    <row r="642" spans="2:7">
      <c r="B642" s="2155" t="str">
        <f>'1F'!BF10</f>
        <v>CR12503ANVA</v>
      </c>
      <c r="D642" s="2004"/>
      <c r="E642" s="1658" t="s">
        <v>9033</v>
      </c>
      <c r="F642" s="2004"/>
      <c r="G642" s="2004">
        <f>IF('1F'!Q10="","##BLANK",'1F'!Q10)</f>
        <v>95.342146100000008</v>
      </c>
    </row>
    <row r="643" spans="2:7">
      <c r="B643" s="2155" t="str">
        <f>'1F'!BF14</f>
        <v>CR12505ANVA</v>
      </c>
      <c r="D643" s="2004"/>
      <c r="E643" s="1658" t="s">
        <v>9033</v>
      </c>
      <c r="F643" s="2004"/>
      <c r="G643" s="2004">
        <f>IF('1F'!Q14="","##BLANK",'1F'!Q14)</f>
        <v>34.744999999999997</v>
      </c>
    </row>
    <row r="644" spans="2:7">
      <c r="B644" s="2155" t="str">
        <f>'1F'!BF15</f>
        <v>CR12506ANVA</v>
      </c>
      <c r="D644" s="2004"/>
      <c r="E644" s="1658" t="s">
        <v>9033</v>
      </c>
      <c r="F644" s="2004"/>
      <c r="G644" s="2004">
        <f>IF('1F'!Q15="","##BLANK",'1F'!Q15)</f>
        <v>-14.336</v>
      </c>
    </row>
    <row r="645" spans="2:7">
      <c r="B645" s="2155" t="str">
        <f>'1F'!BF16</f>
        <v>CR12507ANVA</v>
      </c>
      <c r="D645" s="2004"/>
      <c r="E645" s="1658" t="s">
        <v>9033</v>
      </c>
      <c r="F645" s="2004"/>
      <c r="G645" s="2004">
        <f>IF('1F'!Q16="","##BLANK",'1F'!Q16)</f>
        <v>12.288</v>
      </c>
    </row>
    <row r="646" spans="2:7">
      <c r="B646" s="2155" t="str">
        <f>'1F'!BF17</f>
        <v>CR12508ANVA</v>
      </c>
      <c r="D646" s="2004"/>
      <c r="E646" s="1658" t="s">
        <v>9033</v>
      </c>
      <c r="F646" s="2004"/>
      <c r="G646" s="2004">
        <f>IF('1F'!Q17="","##BLANK",'1F'!Q17)</f>
        <v>17.573</v>
      </c>
    </row>
    <row r="647" spans="2:7">
      <c r="B647" s="2155" t="str">
        <f>'1F'!BF18</f>
        <v>CR12509ANVA</v>
      </c>
      <c r="D647" s="2004"/>
      <c r="E647" s="1658" t="s">
        <v>9033</v>
      </c>
      <c r="F647" s="2004"/>
      <c r="G647" s="2004">
        <f>IF('1F'!Q18="","##BLANK",'1F'!Q18)</f>
        <v>-31.131</v>
      </c>
    </row>
    <row r="648" spans="2:7">
      <c r="B648" s="2155" t="str">
        <f>'1F'!BF20</f>
        <v>CR12510ANVA</v>
      </c>
      <c r="D648" s="2004"/>
      <c r="E648" s="1658" t="s">
        <v>9033</v>
      </c>
      <c r="F648" s="2004"/>
      <c r="G648" s="2004">
        <f>IF('1F'!Q20="","##BLANK",'1F'!Q20)</f>
        <v>114.48114610000002</v>
      </c>
    </row>
    <row r="649" spans="2:7">
      <c r="B649" s="2155" t="str">
        <f>'1F'!BF23</f>
        <v>CR12511ANVA</v>
      </c>
      <c r="D649" s="2004"/>
      <c r="E649" s="1658" t="s">
        <v>9033</v>
      </c>
      <c r="F649" s="2004"/>
      <c r="G649" s="2004">
        <f>IF('1F'!Q23="","##BLANK",'1F'!Q23)</f>
        <v>-5.6820000000000004</v>
      </c>
    </row>
    <row r="650" spans="2:7">
      <c r="B650" s="2155" t="str">
        <f>'1F'!BF24</f>
        <v>CR12512ANVA</v>
      </c>
      <c r="D650" s="2004"/>
      <c r="E650" s="1658" t="s">
        <v>9033</v>
      </c>
      <c r="F650" s="2004"/>
      <c r="G650" s="2004">
        <f>IF('1F'!Q24="","##BLANK",'1F'!Q24)</f>
        <v>11.757</v>
      </c>
    </row>
    <row r="651" spans="2:7">
      <c r="B651" s="2155" t="str">
        <f>'1F'!BF25</f>
        <v>CR12513ANVA</v>
      </c>
      <c r="D651" s="2004"/>
      <c r="E651" s="1658" t="s">
        <v>9033</v>
      </c>
      <c r="F651" s="2004"/>
      <c r="G651" s="2004">
        <f>IF('1F'!Q25="","##BLANK",'1F'!Q25)</f>
        <v>-10.074</v>
      </c>
    </row>
    <row r="652" spans="2:7" s="2004" customFormat="1">
      <c r="B652" s="2155" t="str">
        <f>'1F'!BF26</f>
        <v>CR12523ANVA</v>
      </c>
      <c r="C652" s="1322"/>
      <c r="E652" s="1658" t="s">
        <v>9033</v>
      </c>
      <c r="G652" s="2004">
        <f>IF('1F'!Q26="","##BLANK",'1F'!Q26)</f>
        <v>0.68</v>
      </c>
    </row>
    <row r="653" spans="2:7">
      <c r="B653" s="2155" t="str">
        <f>'1F'!BF27</f>
        <v>CR12514ANVA</v>
      </c>
      <c r="D653" s="2004"/>
      <c r="E653" s="1658" t="s">
        <v>9033</v>
      </c>
      <c r="F653" s="2004"/>
      <c r="G653" s="2004">
        <f>IF('1F'!Q27="","##BLANK",'1F'!Q27)</f>
        <v>-3.3190000000000004</v>
      </c>
    </row>
    <row r="654" spans="2:7">
      <c r="B654" s="2155" t="str">
        <f>'1F'!BF29</f>
        <v>CR12516ANVA</v>
      </c>
      <c r="D654" s="2004"/>
      <c r="E654" s="1658" t="s">
        <v>9033</v>
      </c>
      <c r="F654" s="2004"/>
      <c r="G654" s="2004">
        <f>IF('1F'!Q29="","##BLANK",'1F'!Q29)</f>
        <v>111.16214610000002</v>
      </c>
    </row>
    <row r="655" spans="2:7">
      <c r="B655" s="2155" t="str">
        <f>'1F'!BF31</f>
        <v>CR12517ANVA</v>
      </c>
      <c r="D655" s="2004"/>
      <c r="E655" s="1658" t="s">
        <v>9033</v>
      </c>
      <c r="F655" s="2004"/>
      <c r="G655" s="2004">
        <f>IF('1F'!Q31="","##BLANK",'1F'!Q31)</f>
        <v>54.216455400000001</v>
      </c>
    </row>
    <row r="656" spans="2:7">
      <c r="B656" s="2155" t="str">
        <f>'1F'!BF33</f>
        <v>CR12518ANVA</v>
      </c>
      <c r="D656" s="2004"/>
      <c r="E656" s="1658" t="s">
        <v>9033</v>
      </c>
      <c r="F656" s="2004"/>
      <c r="G656" s="2004">
        <f>IF('1F'!Q33="","##BLANK",'1F'!Q33)</f>
        <v>165.3786015</v>
      </c>
    </row>
    <row r="657" spans="2:7">
      <c r="B657" s="2155" t="str">
        <f>'1F'!BF35</f>
        <v>CR12522ANVA</v>
      </c>
      <c r="D657" s="2004"/>
      <c r="E657" s="1658" t="s">
        <v>9033</v>
      </c>
      <c r="F657" s="2004"/>
      <c r="G657" s="2004">
        <f>IF('1F'!Q35="","##BLANK",'1F'!Q35)</f>
        <v>37.912999999999997</v>
      </c>
    </row>
    <row r="658" spans="2:7">
      <c r="B658" s="2155" t="str">
        <f>'1F'!BF37</f>
        <v>CR12519ANVA</v>
      </c>
      <c r="D658" s="2004"/>
      <c r="E658" s="1658" t="s">
        <v>9033</v>
      </c>
      <c r="F658" s="2004"/>
      <c r="G658" s="2004">
        <f>IF('1F'!Q37="","##BLANK",'1F'!Q37)</f>
        <v>127.46560150000001</v>
      </c>
    </row>
    <row r="659" spans="2:7">
      <c r="B659" s="2155" t="str">
        <f>'1F'!BF40</f>
        <v>CR12520ANVA</v>
      </c>
      <c r="D659" s="2004"/>
      <c r="E659" s="1658" t="s">
        <v>9033</v>
      </c>
      <c r="F659" s="2004"/>
      <c r="G659" s="2004">
        <f>IF('1F'!Q40="","##BLANK",'1F'!Q40)</f>
        <v>90.894999999999996</v>
      </c>
    </row>
    <row r="660" spans="2:7">
      <c r="B660" s="2155" t="str">
        <f>'1F'!BF41</f>
        <v>CR12521ANVA</v>
      </c>
      <c r="D660" s="2004"/>
      <c r="E660" s="1658" t="s">
        <v>9033</v>
      </c>
      <c r="F660" s="2004"/>
      <c r="G660" s="2004">
        <f>IF('1F'!Q41="","##BLANK",'1F'!Q41)</f>
        <v>52.981999999999999</v>
      </c>
    </row>
    <row r="661" spans="2:7">
      <c r="B661" s="2155" t="str">
        <f>'1F'!BG8</f>
        <v>CR12501AAVA</v>
      </c>
      <c r="D661" s="2004"/>
      <c r="E661" s="1658" t="s">
        <v>9033</v>
      </c>
      <c r="F661" s="2004"/>
      <c r="G661" s="2004">
        <f>IF('1F'!R8="","##BLANK",'1F'!R8)</f>
        <v>75.551630500000002</v>
      </c>
    </row>
    <row r="662" spans="2:7">
      <c r="B662" s="2155" t="str">
        <f>'1F'!BG9</f>
        <v>CR12502AAVA</v>
      </c>
      <c r="D662" s="2004"/>
      <c r="E662" s="1658" t="s">
        <v>9033</v>
      </c>
      <c r="F662" s="2004"/>
      <c r="G662" s="2004">
        <f>IF('1F'!R9="","##BLANK",'1F'!R9)</f>
        <v>19.790515599999999</v>
      </c>
    </row>
    <row r="663" spans="2:7">
      <c r="B663" s="2155" t="str">
        <f>'1F'!BG10</f>
        <v>CR12503AAVA</v>
      </c>
      <c r="D663" s="2004"/>
      <c r="E663" s="1658" t="s">
        <v>9033</v>
      </c>
      <c r="F663" s="2004"/>
      <c r="G663" s="2004">
        <f>IF('1F'!R10="","##BLANK",'1F'!R10)</f>
        <v>95.342146100000008</v>
      </c>
    </row>
    <row r="664" spans="2:7">
      <c r="B664" s="2155" t="str">
        <f>'1F'!BG14</f>
        <v>CR12505AAVA</v>
      </c>
      <c r="D664" s="2004"/>
      <c r="E664" s="1658" t="s">
        <v>9033</v>
      </c>
      <c r="F664" s="2004"/>
      <c r="G664" s="2004">
        <f>IF('1F'!R14="","##BLANK",'1F'!R14)</f>
        <v>34.744999999999997</v>
      </c>
    </row>
    <row r="665" spans="2:7">
      <c r="B665" s="2155" t="str">
        <f>'1F'!BG15</f>
        <v>CR12506AAVA</v>
      </c>
      <c r="D665" s="2004"/>
      <c r="E665" s="1658" t="s">
        <v>9033</v>
      </c>
      <c r="F665" s="2004"/>
      <c r="G665" s="2004">
        <f>IF('1F'!R15="","##BLANK",'1F'!R15)</f>
        <v>-14.336</v>
      </c>
    </row>
    <row r="666" spans="2:7">
      <c r="B666" s="2155" t="str">
        <f>'1F'!BG16</f>
        <v>CR12507AAVA</v>
      </c>
      <c r="D666" s="2004"/>
      <c r="E666" s="1658" t="s">
        <v>9033</v>
      </c>
      <c r="F666" s="2004"/>
      <c r="G666" s="2004">
        <f>IF('1F'!R16="","##BLANK",'1F'!R16)</f>
        <v>12.288</v>
      </c>
    </row>
    <row r="667" spans="2:7">
      <c r="B667" s="2155" t="str">
        <f>'1F'!BG17</f>
        <v>CR12508AAVA</v>
      </c>
      <c r="D667" s="2004"/>
      <c r="E667" s="1658" t="s">
        <v>9033</v>
      </c>
      <c r="F667" s="2004"/>
      <c r="G667" s="2004">
        <f>IF('1F'!R17="","##BLANK",'1F'!R17)</f>
        <v>21.015999999999998</v>
      </c>
    </row>
    <row r="668" spans="2:7">
      <c r="B668" s="2155" t="str">
        <f>'1F'!BG18</f>
        <v>CR12509AAVA</v>
      </c>
      <c r="D668" s="2004"/>
      <c r="E668" s="1658" t="s">
        <v>9033</v>
      </c>
      <c r="F668" s="2004"/>
      <c r="G668" s="2004">
        <f>IF('1F'!R18="","##BLANK",'1F'!R18)</f>
        <v>-37.914000000000001</v>
      </c>
    </row>
    <row r="669" spans="2:7">
      <c r="B669" s="2155" t="str">
        <f>'1F'!BG20</f>
        <v>CR12510AAVA</v>
      </c>
      <c r="D669" s="2004"/>
      <c r="E669" s="1658" t="s">
        <v>9033</v>
      </c>
      <c r="F669" s="2004"/>
      <c r="G669" s="2004">
        <f>IF('1F'!R20="","##BLANK",'1F'!R20)</f>
        <v>111.14114610000001</v>
      </c>
    </row>
    <row r="670" spans="2:7">
      <c r="B670" s="2155" t="str">
        <f>'1F'!BG23</f>
        <v>CR12511AAVA</v>
      </c>
      <c r="D670" s="2004"/>
      <c r="E670" s="1658" t="s">
        <v>9033</v>
      </c>
      <c r="F670" s="2004"/>
      <c r="G670" s="2004">
        <f>IF('1F'!R23="","##BLANK",'1F'!R23)</f>
        <v>-5.6820000000000004</v>
      </c>
    </row>
    <row r="671" spans="2:7">
      <c r="B671" s="2155" t="str">
        <f>'1F'!BG24</f>
        <v>CR12512AAVA</v>
      </c>
      <c r="D671" s="2004"/>
      <c r="E671" s="1658" t="s">
        <v>9033</v>
      </c>
      <c r="F671" s="2004"/>
      <c r="G671" s="2004">
        <f>IF('1F'!R24="","##BLANK",'1F'!R24)</f>
        <v>11.757</v>
      </c>
    </row>
    <row r="672" spans="2:7">
      <c r="B672" s="2155" t="str">
        <f>'1F'!BG25</f>
        <v>CR12513AAVA</v>
      </c>
      <c r="D672" s="2004"/>
      <c r="E672" s="1658" t="s">
        <v>9033</v>
      </c>
      <c r="F672" s="2004"/>
      <c r="G672" s="2004">
        <f>IF('1F'!R25="","##BLANK",'1F'!R25)</f>
        <v>-10.074</v>
      </c>
    </row>
    <row r="673" spans="2:7" s="2004" customFormat="1">
      <c r="B673" s="2155" t="str">
        <f>'1F'!BG26</f>
        <v>CR12523AAVA</v>
      </c>
      <c r="C673" s="1322"/>
      <c r="E673" s="1658" t="s">
        <v>9033</v>
      </c>
      <c r="G673" s="2004">
        <f>IF('1F'!R26="","##BLANK",'1F'!R26)</f>
        <v>0.68</v>
      </c>
    </row>
    <row r="674" spans="2:7">
      <c r="B674" s="2155" t="str">
        <f>'1F'!BG27</f>
        <v>CR12514AAVA</v>
      </c>
      <c r="D674" s="2004"/>
      <c r="E674" s="1658" t="s">
        <v>9033</v>
      </c>
      <c r="F674" s="2004"/>
      <c r="G674" s="2004">
        <f>IF('1F'!R27="","##BLANK",'1F'!R27)</f>
        <v>-3.3190000000000004</v>
      </c>
    </row>
    <row r="675" spans="2:7">
      <c r="B675" s="2155" t="str">
        <f>'1F'!BG29</f>
        <v>CR12516AAVA</v>
      </c>
      <c r="D675" s="2004"/>
      <c r="E675" s="1658" t="s">
        <v>9033</v>
      </c>
      <c r="F675" s="2004"/>
      <c r="G675" s="2004">
        <f>IF('1F'!R29="","##BLANK",'1F'!R29)</f>
        <v>107.82214610000001</v>
      </c>
    </row>
    <row r="676" spans="2:7">
      <c r="B676" s="2155" t="str">
        <f>'1F'!BG31</f>
        <v>CR12517AAVA</v>
      </c>
      <c r="D676" s="2004"/>
      <c r="E676" s="1658" t="s">
        <v>9033</v>
      </c>
      <c r="F676" s="2004"/>
      <c r="G676" s="2004">
        <f>IF('1F'!R31="","##BLANK",'1F'!R31)</f>
        <v>34.4996826</v>
      </c>
    </row>
    <row r="677" spans="2:7">
      <c r="B677" s="2155" t="str">
        <f>'1F'!BG33</f>
        <v>CR12518AAVA</v>
      </c>
      <c r="D677" s="2004"/>
      <c r="E677" s="1658" t="s">
        <v>9033</v>
      </c>
      <c r="F677" s="2004"/>
      <c r="G677" s="2004">
        <f>IF('1F'!R33="","##BLANK",'1F'!R33)</f>
        <v>142.32182870000003</v>
      </c>
    </row>
    <row r="678" spans="2:7">
      <c r="B678" s="2155" t="str">
        <f>'1F'!BG35</f>
        <v>CR12522AAVA</v>
      </c>
      <c r="D678" s="2004"/>
      <c r="E678" s="1658" t="s">
        <v>9033</v>
      </c>
      <c r="F678" s="2004"/>
      <c r="G678" s="2004">
        <f>IF('1F'!R35="","##BLANK",'1F'!R35)</f>
        <v>37.912999999999997</v>
      </c>
    </row>
    <row r="679" spans="2:7">
      <c r="B679" s="2155" t="str">
        <f>'1F'!BG37</f>
        <v>CR12519AAVA</v>
      </c>
      <c r="D679" s="2004"/>
      <c r="E679" s="1658" t="s">
        <v>9033</v>
      </c>
      <c r="F679" s="2004"/>
      <c r="G679" s="2004">
        <f>IF('1F'!R37="","##BLANK",'1F'!R37)</f>
        <v>104.40882870000003</v>
      </c>
    </row>
    <row r="680" spans="2:7">
      <c r="B680" s="2155" t="str">
        <f>'1F'!BG40</f>
        <v>CR12520AAVA</v>
      </c>
      <c r="D680" s="2004"/>
      <c r="E680" s="1658" t="s">
        <v>9033</v>
      </c>
      <c r="F680" s="2004"/>
      <c r="G680" s="2004">
        <f>IF('1F'!R40="","##BLANK",'1F'!R40)</f>
        <v>90.894999999999996</v>
      </c>
    </row>
    <row r="681" spans="2:7">
      <c r="B681" s="2155" t="str">
        <f>'1F'!BG41</f>
        <v>CR12521AAVA</v>
      </c>
      <c r="D681" s="2004"/>
      <c r="E681" s="1658" t="s">
        <v>9033</v>
      </c>
      <c r="F681" s="2004"/>
      <c r="G681" s="2004">
        <f>IF('1F'!R41="","##BLANK",'1F'!R41)</f>
        <v>52.981999999999999</v>
      </c>
    </row>
    <row r="682" spans="2:7">
      <c r="B682" s="848" t="str">
        <f>'2A'!BL6</f>
        <v>A19016RHPC</v>
      </c>
      <c r="D682" s="2004"/>
      <c r="E682" s="1658" t="s">
        <v>9033</v>
      </c>
      <c r="F682" s="2004"/>
      <c r="G682" s="2004">
        <f>IF('2A'!G6="","##BLANK",'2A'!G6)</f>
        <v>66.055000000000007</v>
      </c>
    </row>
    <row r="683" spans="2:7">
      <c r="B683" s="848" t="str">
        <f>'2A'!BL7</f>
        <v>A19016RHNPC</v>
      </c>
      <c r="D683" s="2004"/>
      <c r="E683" s="1658" t="s">
        <v>9033</v>
      </c>
      <c r="F683" s="2004"/>
      <c r="G683" s="2004">
        <f>IF('2A'!G7="","##BLANK",'2A'!G7)</f>
        <v>0</v>
      </c>
    </row>
    <row r="684" spans="2:7">
      <c r="B684" s="848" t="str">
        <f>'2A'!BL8</f>
        <v>BM9023H</v>
      </c>
      <c r="D684" s="2004"/>
      <c r="E684" s="1658" t="s">
        <v>9033</v>
      </c>
      <c r="F684" s="2004"/>
      <c r="G684" s="2004">
        <f>IF('2A'!G8="","##BLANK",'2A'!G8)</f>
        <v>-65.615000000000009</v>
      </c>
    </row>
    <row r="685" spans="2:7">
      <c r="B685" s="848" t="str">
        <f>'2A'!BL10</f>
        <v>BM9027H</v>
      </c>
      <c r="D685" s="2004"/>
      <c r="E685" s="1658" t="s">
        <v>9033</v>
      </c>
      <c r="F685" s="2004"/>
      <c r="G685" s="2004">
        <f>IF('2A'!G10="","##BLANK",'2A'!G10)</f>
        <v>-0.55700000000000005</v>
      </c>
    </row>
    <row r="686" spans="2:7">
      <c r="B686" s="848" t="str">
        <f>'2A'!BL11</f>
        <v>A19015RH</v>
      </c>
      <c r="D686" s="2004"/>
      <c r="E686" s="1658" t="s">
        <v>9033</v>
      </c>
      <c r="F686" s="2004"/>
      <c r="G686" s="2004">
        <f>IF('2A'!G11="","##BLANK",'2A'!G11)</f>
        <v>0</v>
      </c>
    </row>
    <row r="687" spans="2:7">
      <c r="B687" s="848" t="str">
        <f>'2A'!BL12</f>
        <v>BO2010RH</v>
      </c>
      <c r="D687" s="2004"/>
      <c r="E687" s="1658" t="s">
        <v>9033</v>
      </c>
      <c r="F687" s="2004"/>
      <c r="G687" s="2004">
        <f>IF('2A'!G12="","##BLANK",'2A'!G12)</f>
        <v>-2.3410000000000024</v>
      </c>
    </row>
    <row r="688" spans="2:7">
      <c r="B688" s="848" t="str">
        <f>'2A'!BL15</f>
        <v>BM9037</v>
      </c>
      <c r="D688" s="2004"/>
      <c r="E688" s="1658" t="s">
        <v>9033</v>
      </c>
      <c r="F688" s="2004"/>
      <c r="G688" s="2004">
        <f>IF('2A'!G15="","##BLANK",'2A'!G15)</f>
        <v>-2.0659999999999998</v>
      </c>
    </row>
    <row r="689" spans="2:7">
      <c r="B689" s="848" t="str">
        <f>'2A'!BL16</f>
        <v>BM9036</v>
      </c>
      <c r="D689" s="2004"/>
      <c r="E689" s="1658" t="s">
        <v>9033</v>
      </c>
      <c r="F689" s="2004"/>
      <c r="G689" s="2004">
        <f>IF('2A'!G16="","##BLANK",'2A'!G16)</f>
        <v>0</v>
      </c>
    </row>
    <row r="690" spans="2:7">
      <c r="B690" s="848" t="str">
        <f>'2A'!BL18</f>
        <v>HP00030RH</v>
      </c>
      <c r="D690" s="2004"/>
      <c r="E690" s="1658" t="s">
        <v>9033</v>
      </c>
      <c r="F690" s="2004"/>
      <c r="G690" s="2004">
        <f>IF('2A'!G18="","##BLANK",'2A'!G18)</f>
        <v>-4.4070000000000018</v>
      </c>
    </row>
    <row r="691" spans="2:7">
      <c r="B691" s="848" t="str">
        <f>'2A'!BM6</f>
        <v>A19016RNHPC</v>
      </c>
      <c r="D691" s="2004"/>
      <c r="E691" s="1658" t="s">
        <v>9033</v>
      </c>
      <c r="F691" s="2004"/>
      <c r="G691" s="2004">
        <f>IF('2A'!H6="","##BLANK",'2A'!H6)</f>
        <v>7.7789999999999999</v>
      </c>
    </row>
    <row r="692" spans="2:7">
      <c r="B692" s="848" t="str">
        <f>'2A'!BM7</f>
        <v>A19016RNHNPC</v>
      </c>
      <c r="D692" s="2004"/>
      <c r="E692" s="1658" t="s">
        <v>9033</v>
      </c>
      <c r="F692" s="2004"/>
      <c r="G692" s="2004">
        <f>IF('2A'!H7="","##BLANK",'2A'!H7)</f>
        <v>0</v>
      </c>
    </row>
    <row r="693" spans="2:7">
      <c r="B693" s="848" t="str">
        <f>'2A'!BM8</f>
        <v>BM9223NH</v>
      </c>
      <c r="D693" s="2004"/>
      <c r="E693" s="1658" t="s">
        <v>9033</v>
      </c>
      <c r="F693" s="2004"/>
      <c r="G693" s="2004">
        <f>IF('2A'!H8="","##BLANK",'2A'!H8)</f>
        <v>-14.362</v>
      </c>
    </row>
    <row r="694" spans="2:7">
      <c r="B694" s="848" t="str">
        <f>'2A'!BM10</f>
        <v>BM9027NH</v>
      </c>
      <c r="D694" s="2004"/>
      <c r="E694" s="1658" t="s">
        <v>9033</v>
      </c>
      <c r="F694" s="2004"/>
      <c r="G694" s="2004">
        <f>IF('2A'!H10="","##BLANK",'2A'!H10)</f>
        <v>0</v>
      </c>
    </row>
    <row r="695" spans="2:7">
      <c r="B695" s="848" t="str">
        <f>'2A'!BM11</f>
        <v>A19015RNH</v>
      </c>
      <c r="D695" s="2004"/>
      <c r="E695" s="1658" t="s">
        <v>9033</v>
      </c>
      <c r="F695" s="2004"/>
      <c r="G695" s="2004">
        <f>IF('2A'!H11="","##BLANK",'2A'!H11)</f>
        <v>3.4420000000000002</v>
      </c>
    </row>
    <row r="696" spans="2:7">
      <c r="B696" s="848" t="str">
        <f>'2A'!BM12</f>
        <v>BO2010RNH</v>
      </c>
      <c r="D696" s="2004"/>
      <c r="E696" s="1658" t="s">
        <v>9033</v>
      </c>
      <c r="F696" s="2004"/>
      <c r="G696" s="2004">
        <f>IF('2A'!H12="","##BLANK",'2A'!H12)</f>
        <v>-4.9920000000000009</v>
      </c>
    </row>
    <row r="697" spans="2:7">
      <c r="B697" s="848" t="str">
        <f>'2A'!BM15</f>
        <v>BM9337</v>
      </c>
      <c r="D697" s="2004"/>
      <c r="E697" s="1658" t="s">
        <v>9033</v>
      </c>
      <c r="F697" s="2004"/>
      <c r="G697" s="2004">
        <f>IF('2A'!H15="","##BLANK",'2A'!H15)</f>
        <v>0</v>
      </c>
    </row>
    <row r="698" spans="2:7">
      <c r="B698" s="848" t="str">
        <f>'2A'!BM16</f>
        <v>BM9336</v>
      </c>
      <c r="D698" s="2004"/>
      <c r="E698" s="1658" t="s">
        <v>9033</v>
      </c>
      <c r="F698" s="2004"/>
      <c r="G698" s="2004">
        <f>IF('2A'!H16="","##BLANK",'2A'!H16)</f>
        <v>0</v>
      </c>
    </row>
    <row r="699" spans="2:7">
      <c r="B699" s="848" t="str">
        <f>'2A'!BM18</f>
        <v>HP00030RNH</v>
      </c>
      <c r="D699" s="2004"/>
      <c r="E699" s="1658" t="s">
        <v>9033</v>
      </c>
      <c r="F699" s="2004"/>
      <c r="G699" s="2004">
        <f>IF('2A'!H18="","##BLANK",'2A'!H18)</f>
        <v>-4.9920000000000009</v>
      </c>
    </row>
    <row r="700" spans="2:7">
      <c r="B700" s="848" t="str">
        <f>'2A'!BN8</f>
        <v>BM352WR</v>
      </c>
      <c r="D700" s="2004"/>
      <c r="E700" s="1658" t="s">
        <v>9033</v>
      </c>
      <c r="F700" s="2004"/>
      <c r="G700" s="2004">
        <f>IF('2A'!I8="","##BLANK",'2A'!I8)</f>
        <v>-28.827000000000005</v>
      </c>
    </row>
    <row r="701" spans="2:7">
      <c r="B701" s="848" t="str">
        <f>'2A'!BN10</f>
        <v>BM320WR</v>
      </c>
      <c r="D701" s="2004"/>
      <c r="E701" s="1658" t="s">
        <v>9033</v>
      </c>
      <c r="F701" s="2004"/>
      <c r="G701" s="2004">
        <f>IF('2A'!I10="","##BLANK",'2A'!I10)</f>
        <v>-8.4000000000000005E-2</v>
      </c>
    </row>
    <row r="702" spans="2:7">
      <c r="B702" s="848" t="str">
        <f>'2A'!BN11</f>
        <v>A19015WR</v>
      </c>
      <c r="D702" s="2004"/>
      <c r="E702" s="1658" t="s">
        <v>9033</v>
      </c>
      <c r="F702" s="2004"/>
      <c r="G702" s="2004">
        <f>IF('2A'!I11="","##BLANK",'2A'!I11)</f>
        <v>0</v>
      </c>
    </row>
    <row r="703" spans="2:7">
      <c r="B703" s="848" t="str">
        <f>'2A'!BN15</f>
        <v>BM338WR</v>
      </c>
      <c r="D703" s="2004"/>
      <c r="E703" s="1658" t="s">
        <v>9033</v>
      </c>
      <c r="F703" s="2004"/>
      <c r="G703" s="2004">
        <f>IF('2A'!I15="","##BLANK",'2A'!I15)</f>
        <v>-0.57199999999999995</v>
      </c>
    </row>
    <row r="704" spans="2:7">
      <c r="B704" s="848" t="str">
        <f>'2A'!BN16</f>
        <v>BM337WR</v>
      </c>
      <c r="D704" s="2004"/>
      <c r="E704" s="1658" t="s">
        <v>9033</v>
      </c>
      <c r="F704" s="2004"/>
      <c r="G704" s="2004">
        <f>IF('2A'!I16="","##BLANK",'2A'!I16)</f>
        <v>0</v>
      </c>
    </row>
    <row r="705" spans="2:7">
      <c r="B705" s="848" t="str">
        <f>'2A'!BO6</f>
        <v>A19030WNPC</v>
      </c>
      <c r="D705" s="2004"/>
      <c r="E705" s="1658" t="s">
        <v>9033</v>
      </c>
      <c r="F705" s="2004"/>
      <c r="G705" s="2004">
        <f>IF('2A'!J6="","##BLANK",'2A'!J6)</f>
        <v>437.77800000000002</v>
      </c>
    </row>
    <row r="706" spans="2:7">
      <c r="B706" s="848" t="str">
        <f>'2A'!BO7</f>
        <v>A19030WNNPC</v>
      </c>
      <c r="D706" s="2004"/>
      <c r="E706" s="1658" t="s">
        <v>9033</v>
      </c>
      <c r="F706" s="2004"/>
      <c r="G706" s="2004">
        <f>IF('2A'!J7="","##BLANK",'2A'!J7)</f>
        <v>1.377</v>
      </c>
    </row>
    <row r="707" spans="2:7">
      <c r="B707" s="848" t="str">
        <f>'2A'!BO8</f>
        <v>BM352WN</v>
      </c>
      <c r="D707" s="2004"/>
      <c r="E707" s="1658" t="s">
        <v>9033</v>
      </c>
      <c r="F707" s="2004"/>
      <c r="G707" s="2004">
        <f>IF('2A'!J8="","##BLANK",'2A'!J8)</f>
        <v>-219.07599999999999</v>
      </c>
    </row>
    <row r="708" spans="2:7">
      <c r="B708" s="848" t="str">
        <f>'2A'!BO10</f>
        <v>BM320WN</v>
      </c>
      <c r="D708" s="2004"/>
      <c r="E708" s="1658" t="s">
        <v>9033</v>
      </c>
      <c r="F708" s="2004"/>
      <c r="G708" s="2004">
        <f>IF('2A'!J10="","##BLANK",'2A'!J10)</f>
        <v>-0.57599999999999996</v>
      </c>
    </row>
    <row r="709" spans="2:7">
      <c r="B709" s="848" t="str">
        <f>'2A'!BO11</f>
        <v>A19015WN</v>
      </c>
      <c r="D709" s="2004"/>
      <c r="E709" s="1658" t="s">
        <v>9033</v>
      </c>
      <c r="F709" s="2004"/>
      <c r="G709" s="2004">
        <f>IF('2A'!J11="","##BLANK",'2A'!J11)</f>
        <v>1.333</v>
      </c>
    </row>
    <row r="710" spans="2:7">
      <c r="B710" s="848" t="str">
        <f>'2A'!BO15</f>
        <v>BM338WN</v>
      </c>
      <c r="D710" s="2004"/>
      <c r="E710" s="1658" t="s">
        <v>9033</v>
      </c>
      <c r="F710" s="2004"/>
      <c r="G710" s="2004">
        <f>IF('2A'!J15="","##BLANK",'2A'!J15)</f>
        <v>-11.983000000000001</v>
      </c>
    </row>
    <row r="711" spans="2:7">
      <c r="B711" s="848" t="str">
        <f>'2A'!BO16</f>
        <v>BM337WN</v>
      </c>
      <c r="D711" s="2004"/>
      <c r="E711" s="1658" t="s">
        <v>9033</v>
      </c>
      <c r="F711" s="2004"/>
      <c r="G711" s="2004">
        <f>IF('2A'!J16="","##BLANK",'2A'!J16)</f>
        <v>0</v>
      </c>
    </row>
    <row r="712" spans="2:7">
      <c r="B712" s="848" t="str">
        <f>'2A'!BP6</f>
        <v>A19030WWPC</v>
      </c>
      <c r="D712" s="2004"/>
      <c r="E712" s="1658" t="s">
        <v>9033</v>
      </c>
      <c r="F712" s="2004"/>
      <c r="G712" s="2004">
        <f>IF('2A'!K6="","##BLANK",'2A'!K6)</f>
        <v>437.77800000000002</v>
      </c>
    </row>
    <row r="713" spans="2:7">
      <c r="B713" s="848" t="str">
        <f>'2A'!BP7</f>
        <v>A19030WWNPC</v>
      </c>
      <c r="D713" s="2004"/>
      <c r="E713" s="1658" t="s">
        <v>9033</v>
      </c>
      <c r="F713" s="2004"/>
      <c r="G713" s="2004">
        <f>IF('2A'!K7="","##BLANK",'2A'!K7)</f>
        <v>1.377</v>
      </c>
    </row>
    <row r="714" spans="2:7">
      <c r="B714" s="848" t="str">
        <f>'2A'!BP8</f>
        <v>BM352TAS</v>
      </c>
      <c r="D714" s="2004"/>
      <c r="E714" s="1658" t="s">
        <v>9033</v>
      </c>
      <c r="F714" s="2004"/>
      <c r="G714" s="2004">
        <f>IF('2A'!K8="","##BLANK",'2A'!K8)</f>
        <v>-247.90299999999999</v>
      </c>
    </row>
    <row r="715" spans="2:7">
      <c r="B715" s="848" t="str">
        <f>'2A'!BP9</f>
        <v>BM212TAS</v>
      </c>
      <c r="D715" s="2004"/>
      <c r="E715" s="1658" t="s">
        <v>9033</v>
      </c>
      <c r="F715" s="2004"/>
      <c r="G715" s="2004">
        <f>IF('2A'!K9="","##BLANK",'2A'!K9)</f>
        <v>-121.654</v>
      </c>
    </row>
    <row r="716" spans="2:7">
      <c r="B716" s="848" t="str">
        <f>'2A'!BP10</f>
        <v>BM320TAS</v>
      </c>
      <c r="D716" s="2004"/>
      <c r="E716" s="1658" t="s">
        <v>9033</v>
      </c>
      <c r="F716" s="2004"/>
      <c r="G716" s="2004">
        <f>IF('2A'!K10="","##BLANK",'2A'!K10)</f>
        <v>-0.65999999999999992</v>
      </c>
    </row>
    <row r="717" spans="2:7">
      <c r="B717" s="848" t="str">
        <f>'2A'!BP11</f>
        <v>A19015WSW</v>
      </c>
      <c r="D717" s="2004"/>
      <c r="E717" s="1658" t="s">
        <v>9033</v>
      </c>
      <c r="F717" s="2004"/>
      <c r="G717" s="2004">
        <f>IF('2A'!K11="","##BLANK",'2A'!K11)</f>
        <v>1.333</v>
      </c>
    </row>
    <row r="718" spans="2:7">
      <c r="B718" s="848" t="str">
        <f>'2A'!BP12</f>
        <v>BO2010WW</v>
      </c>
      <c r="D718" s="2004"/>
      <c r="E718" s="1658" t="s">
        <v>9033</v>
      </c>
      <c r="F718" s="2004"/>
      <c r="G718" s="2004">
        <f>IF('2A'!K12="","##BLANK",'2A'!K12)</f>
        <v>70.271000000000043</v>
      </c>
    </row>
    <row r="719" spans="2:7">
      <c r="B719" s="848" t="str">
        <f>'2A'!BP15</f>
        <v>BM338TAS</v>
      </c>
      <c r="D719" s="2004"/>
      <c r="E719" s="1658" t="s">
        <v>9033</v>
      </c>
      <c r="F719" s="2004"/>
      <c r="G719" s="2004">
        <f>IF('2A'!K15="","##BLANK",'2A'!K15)</f>
        <v>-12.555</v>
      </c>
    </row>
    <row r="720" spans="2:7">
      <c r="B720" s="848" t="str">
        <f>'2A'!BP16</f>
        <v>BM337TAS</v>
      </c>
      <c r="D720" s="2004"/>
      <c r="E720" s="1658" t="s">
        <v>9033</v>
      </c>
      <c r="F720" s="2004"/>
      <c r="G720" s="2004">
        <f>IF('2A'!K16="","##BLANK",'2A'!K16)</f>
        <v>0</v>
      </c>
    </row>
    <row r="721" spans="2:7">
      <c r="B721" s="848" t="str">
        <f>'2A'!BP18</f>
        <v>HP00030WW</v>
      </c>
      <c r="D721" s="2004"/>
      <c r="E721" s="1658" t="s">
        <v>9033</v>
      </c>
      <c r="F721" s="2004"/>
      <c r="G721" s="2004">
        <f>IF('2A'!K18="","##BLANK",'2A'!K18)</f>
        <v>57.716000000000044</v>
      </c>
    </row>
    <row r="722" spans="2:7">
      <c r="B722" s="848" t="str">
        <f>'2A'!BQ6</f>
        <v>A19030WNKPC</v>
      </c>
      <c r="D722" s="2004"/>
      <c r="E722" s="1658" t="s">
        <v>9033</v>
      </c>
      <c r="F722" s="2004"/>
      <c r="G722" s="2004">
        <f>IF('2A'!L6="","##BLANK",'2A'!L6)</f>
        <v>543.43100000000004</v>
      </c>
    </row>
    <row r="723" spans="2:7">
      <c r="B723" s="848" t="str">
        <f>'2A'!BQ7</f>
        <v>A19030WNKNPC</v>
      </c>
      <c r="D723" s="2004"/>
      <c r="E723" s="1658" t="s">
        <v>9033</v>
      </c>
      <c r="F723" s="2004"/>
      <c r="G723" s="2004">
        <f>IF('2A'!L7="","##BLANK",'2A'!L7)</f>
        <v>0.79300000000000004</v>
      </c>
    </row>
    <row r="724" spans="2:7">
      <c r="B724" s="848" t="str">
        <f>'2A'!BQ8</f>
        <v>BM852WNK</v>
      </c>
      <c r="D724" s="2004"/>
      <c r="E724" s="1658" t="s">
        <v>9033</v>
      </c>
      <c r="F724" s="2004"/>
      <c r="G724" s="2004">
        <f>IF('2A'!L8="","##BLANK",'2A'!L8)</f>
        <v>-181.00399999999999</v>
      </c>
    </row>
    <row r="725" spans="2:7">
      <c r="B725" s="848" t="str">
        <f>'2A'!BQ10</f>
        <v>BM820WNK</v>
      </c>
      <c r="D725" s="2004"/>
      <c r="E725" s="1658" t="s">
        <v>9033</v>
      </c>
      <c r="F725" s="2004"/>
      <c r="G725" s="2004">
        <f>IF('2A'!L10="","##BLANK",'2A'!L10)</f>
        <v>-13.862</v>
      </c>
    </row>
    <row r="726" spans="2:7">
      <c r="B726" s="848" t="str">
        <f>'2A'!BQ11</f>
        <v>A19015WNK</v>
      </c>
      <c r="D726" s="2004"/>
      <c r="E726" s="1658" t="s">
        <v>9033</v>
      </c>
      <c r="F726" s="2004"/>
      <c r="G726" s="2004">
        <f>IF('2A'!L11="","##BLANK",'2A'!L11)</f>
        <v>3.012</v>
      </c>
    </row>
    <row r="727" spans="2:7">
      <c r="B727" s="848" t="str">
        <f>'2A'!BQ15</f>
        <v>BM838WNK</v>
      </c>
      <c r="D727" s="2004"/>
      <c r="E727" s="1658" t="s">
        <v>9033</v>
      </c>
      <c r="F727" s="2004"/>
      <c r="G727" s="2004">
        <f>IF('2A'!L15="","##BLANK",'2A'!L15)</f>
        <v>-12.95</v>
      </c>
    </row>
    <row r="728" spans="2:7">
      <c r="B728" s="848" t="str">
        <f>'2A'!BQ16</f>
        <v>BM837WNK</v>
      </c>
      <c r="D728" s="2004"/>
      <c r="E728" s="1658" t="s">
        <v>9033</v>
      </c>
      <c r="F728" s="2004"/>
      <c r="G728" s="2004">
        <f>IF('2A'!L16="","##BLANK",'2A'!L16)</f>
        <v>29.451000000000001</v>
      </c>
    </row>
    <row r="729" spans="2:7">
      <c r="B729" s="848" t="str">
        <f>'2A'!BR8</f>
        <v>BM852SL</v>
      </c>
      <c r="D729" s="2004"/>
      <c r="E729" s="1658" t="s">
        <v>9033</v>
      </c>
      <c r="F729" s="2004"/>
      <c r="G729" s="2004">
        <f>IF('2A'!M8="","##BLANK",'2A'!M8)</f>
        <v>-32.452999999999996</v>
      </c>
    </row>
    <row r="730" spans="2:7">
      <c r="B730" s="848" t="str">
        <f>'2A'!BR10</f>
        <v>BM820SL</v>
      </c>
      <c r="D730" s="2004"/>
      <c r="E730" s="1658" t="s">
        <v>9033</v>
      </c>
      <c r="F730" s="2004"/>
      <c r="G730" s="2004">
        <f>IF('2A'!M10="","##BLANK",'2A'!M10)</f>
        <v>0</v>
      </c>
    </row>
    <row r="731" spans="2:7">
      <c r="B731" s="848" t="str">
        <f>'2A'!BR11</f>
        <v>A19015SL</v>
      </c>
      <c r="D731" s="2004"/>
      <c r="E731" s="1658" t="s">
        <v>9033</v>
      </c>
      <c r="F731" s="2004"/>
      <c r="G731" s="2004">
        <f>IF('2A'!M11="","##BLANK",'2A'!M11)</f>
        <v>0</v>
      </c>
    </row>
    <row r="732" spans="2:7">
      <c r="B732" s="848" t="str">
        <f>'2A'!BR15</f>
        <v>BM838SL</v>
      </c>
      <c r="D732" s="2004"/>
      <c r="E732" s="1658" t="s">
        <v>9033</v>
      </c>
      <c r="F732" s="2004"/>
      <c r="G732" s="2004">
        <f>IF('2A'!M15="","##BLANK",'2A'!M15)</f>
        <v>-1.8919999999999999</v>
      </c>
    </row>
    <row r="733" spans="2:7">
      <c r="B733" s="848" t="str">
        <f>'2A'!BR16</f>
        <v>BM837SL</v>
      </c>
      <c r="D733" s="2004"/>
      <c r="E733" s="1658" t="s">
        <v>9033</v>
      </c>
      <c r="F733" s="2004"/>
      <c r="G733" s="2004">
        <f>IF('2A'!M16="","##BLANK",'2A'!M16)</f>
        <v>0</v>
      </c>
    </row>
    <row r="734" spans="2:7">
      <c r="B734" s="848" t="str">
        <f>'2A'!BS6</f>
        <v>A19030TASPC</v>
      </c>
      <c r="D734" s="2004"/>
      <c r="E734" s="1658" t="s">
        <v>9033</v>
      </c>
      <c r="F734" s="2004"/>
      <c r="G734" s="2004">
        <f>IF('2A'!N6="","##BLANK",'2A'!N6)</f>
        <v>543.43100000000004</v>
      </c>
    </row>
    <row r="735" spans="2:7">
      <c r="B735" s="848" t="str">
        <f>'2A'!BS7</f>
        <v>A19030TASNPC</v>
      </c>
      <c r="D735" s="2004"/>
      <c r="E735" s="1658" t="s">
        <v>9033</v>
      </c>
      <c r="F735" s="2004"/>
      <c r="G735" s="2004">
        <f>IF('2A'!N7="","##BLANK",'2A'!N7)</f>
        <v>0.79300000000000004</v>
      </c>
    </row>
    <row r="736" spans="2:7">
      <c r="B736" s="848" t="str">
        <f>'2A'!BS8</f>
        <v>BM852TAS</v>
      </c>
      <c r="D736" s="2004"/>
      <c r="E736" s="1658" t="s">
        <v>9033</v>
      </c>
      <c r="F736" s="2004"/>
      <c r="G736" s="2004">
        <f>IF('2A'!N8="","##BLANK",'2A'!N8)</f>
        <v>-213.45699999999999</v>
      </c>
    </row>
    <row r="737" spans="2:7">
      <c r="B737" s="848" t="str">
        <f>'2A'!BS9</f>
        <v>BM812TAS</v>
      </c>
      <c r="D737" s="2004"/>
      <c r="E737" s="1658" t="s">
        <v>9033</v>
      </c>
      <c r="F737" s="2004"/>
      <c r="G737" s="2004">
        <f>IF('2A'!N9="","##BLANK",'2A'!N9)</f>
        <v>-181.69199999999998</v>
      </c>
    </row>
    <row r="738" spans="2:7">
      <c r="B738" s="848" t="str">
        <f>'2A'!BS10</f>
        <v>BM820TAS</v>
      </c>
      <c r="D738" s="2004"/>
      <c r="E738" s="1658" t="s">
        <v>9033</v>
      </c>
      <c r="F738" s="2004"/>
      <c r="G738" s="2004">
        <f>IF('2A'!N10="","##BLANK",'2A'!N10)</f>
        <v>-13.862</v>
      </c>
    </row>
    <row r="739" spans="2:7">
      <c r="B739" s="848" t="str">
        <f>'2A'!BS11</f>
        <v>A19015TAS</v>
      </c>
      <c r="D739" s="2004"/>
      <c r="E739" s="1658" t="s">
        <v>9033</v>
      </c>
      <c r="F739" s="2004"/>
      <c r="G739" s="2004">
        <f>IF('2A'!N11="","##BLANK",'2A'!N11)</f>
        <v>3.012</v>
      </c>
    </row>
    <row r="740" spans="2:7">
      <c r="B740" s="848" t="str">
        <f>'2A'!BS12</f>
        <v>BO2010TAS</v>
      </c>
      <c r="D740" s="2004"/>
      <c r="E740" s="1658" t="s">
        <v>9033</v>
      </c>
      <c r="F740" s="2004"/>
      <c r="G740" s="2004">
        <f>IF('2A'!N12="","##BLANK",'2A'!N12)</f>
        <v>138.22500000000008</v>
      </c>
    </row>
    <row r="741" spans="2:7">
      <c r="B741" s="848" t="str">
        <f>'2A'!BS15</f>
        <v>BM838TAS</v>
      </c>
      <c r="D741" s="2004"/>
      <c r="E741" s="1658" t="s">
        <v>9033</v>
      </c>
      <c r="F741" s="2004"/>
      <c r="G741" s="2004">
        <f>IF('2A'!N15="","##BLANK",'2A'!N15)</f>
        <v>-14.841999999999999</v>
      </c>
    </row>
    <row r="742" spans="2:7">
      <c r="B742" s="848" t="str">
        <f>'2A'!BS16</f>
        <v>BM837TAS</v>
      </c>
      <c r="D742" s="2004"/>
      <c r="E742" s="1658" t="s">
        <v>9033</v>
      </c>
      <c r="F742" s="2004"/>
      <c r="G742" s="2004">
        <f>IF('2A'!N16="","##BLANK",'2A'!N16)</f>
        <v>29.451000000000001</v>
      </c>
    </row>
    <row r="743" spans="2:7">
      <c r="B743" s="848" t="str">
        <f>'2A'!BS18</f>
        <v>HP00030WS</v>
      </c>
      <c r="D743" s="2004"/>
      <c r="E743" s="1658" t="s">
        <v>9033</v>
      </c>
      <c r="F743" s="2004"/>
      <c r="G743" s="2004">
        <f>IF('2A'!N18="","##BLANK",'2A'!N18)</f>
        <v>152.83400000000009</v>
      </c>
    </row>
    <row r="744" spans="2:7">
      <c r="B744" s="848" t="str">
        <f>'2A'!BT6</f>
        <v>A19030TTTPC</v>
      </c>
      <c r="D744" s="2004"/>
      <c r="E744" s="1658" t="s">
        <v>9033</v>
      </c>
      <c r="F744" s="2004"/>
      <c r="G744" s="2004">
        <f>IF('2A'!O6="","##BLANK",'2A'!O6)</f>
        <v>0</v>
      </c>
    </row>
    <row r="745" spans="2:7">
      <c r="B745" s="848" t="str">
        <f>'2A'!BT7</f>
        <v>A19030TTTNPC</v>
      </c>
      <c r="D745" s="2004"/>
      <c r="E745" s="1658" t="s">
        <v>9033</v>
      </c>
      <c r="F745" s="2004"/>
      <c r="G745" s="2004">
        <f>IF('2A'!O7="","##BLANK",'2A'!O7)</f>
        <v>0</v>
      </c>
    </row>
    <row r="746" spans="2:7">
      <c r="B746" s="848" t="str">
        <f>'2A'!BT8</f>
        <v>BM852TTT</v>
      </c>
      <c r="D746" s="2004"/>
      <c r="E746" s="1658" t="s">
        <v>9033</v>
      </c>
      <c r="F746" s="2004"/>
      <c r="G746" s="2004">
        <f>IF('2A'!O8="","##BLANK",'2A'!O8)</f>
        <v>0</v>
      </c>
    </row>
    <row r="747" spans="2:7">
      <c r="B747" s="848" t="str">
        <f>'2A'!BT10</f>
        <v>BM820TTT</v>
      </c>
      <c r="D747" s="2004"/>
      <c r="E747" s="1658" t="s">
        <v>9033</v>
      </c>
      <c r="F747" s="2004"/>
      <c r="G747" s="2004" t="str">
        <f>IF('2A'!O10="","##BLANK",'2A'!O10)</f>
        <v>##BLANK</v>
      </c>
    </row>
    <row r="748" spans="2:7">
      <c r="B748" s="848" t="str">
        <f>'2A'!BT11</f>
        <v>A19015TTT</v>
      </c>
      <c r="D748" s="2004"/>
      <c r="E748" s="1658" t="s">
        <v>9033</v>
      </c>
      <c r="F748" s="2004"/>
      <c r="G748" s="2004" t="str">
        <f>IF('2A'!O11="","##BLANK",'2A'!O11)</f>
        <v>##BLANK</v>
      </c>
    </row>
    <row r="749" spans="2:7">
      <c r="B749" s="848" t="str">
        <f>'2A'!BT12</f>
        <v>BO2010TTT</v>
      </c>
      <c r="D749" s="2004"/>
      <c r="E749" s="1658" t="s">
        <v>9033</v>
      </c>
      <c r="F749" s="2004"/>
      <c r="G749" s="2004">
        <f>IF('2A'!O12="","##BLANK",'2A'!O12)</f>
        <v>0</v>
      </c>
    </row>
    <row r="750" spans="2:7">
      <c r="B750" s="848" t="str">
        <f>'2A'!BT15</f>
        <v>BM838TTT</v>
      </c>
      <c r="D750" s="2004"/>
      <c r="E750" s="1658" t="s">
        <v>9033</v>
      </c>
      <c r="F750" s="2004"/>
      <c r="G750" s="2004" t="str">
        <f>IF('2A'!O15="","##BLANK",'2A'!O15)</f>
        <v>##BLANK</v>
      </c>
    </row>
    <row r="751" spans="2:7">
      <c r="B751" s="848" t="str">
        <f>'2A'!BT16</f>
        <v>BM837TTT</v>
      </c>
      <c r="D751" s="2004"/>
      <c r="E751" s="1658" t="s">
        <v>9033</v>
      </c>
      <c r="F751" s="2004"/>
      <c r="G751" s="2004" t="str">
        <f>IF('2A'!O16="","##BLANK",'2A'!O16)</f>
        <v>##BLANK</v>
      </c>
    </row>
    <row r="752" spans="2:7">
      <c r="B752" s="848" t="str">
        <f>'2A'!BT18</f>
        <v>HP00030TTT</v>
      </c>
      <c r="D752" s="2004"/>
      <c r="E752" s="1658" t="s">
        <v>9033</v>
      </c>
      <c r="F752" s="2004"/>
      <c r="G752" s="2004">
        <f>IF('2A'!O18="","##BLANK",'2A'!O18)</f>
        <v>0</v>
      </c>
    </row>
    <row r="753" spans="2:7">
      <c r="B753" s="848" t="str">
        <f>'2A'!BU6</f>
        <v>A1931PC</v>
      </c>
      <c r="D753" s="2004"/>
      <c r="E753" s="1658" t="s">
        <v>9033</v>
      </c>
      <c r="F753" s="2004"/>
      <c r="G753" s="2004">
        <f>IF('2A'!P6="","##BLANK",'2A'!P6)</f>
        <v>1055.0430000000001</v>
      </c>
    </row>
    <row r="754" spans="2:7">
      <c r="B754" s="848" t="str">
        <f>'2A'!BU7</f>
        <v>A1931NPC</v>
      </c>
      <c r="D754" s="2004"/>
      <c r="E754" s="1658" t="s">
        <v>9033</v>
      </c>
      <c r="F754" s="2004"/>
      <c r="G754" s="2004">
        <f>IF('2A'!P7="","##BLANK",'2A'!P7)</f>
        <v>2.17</v>
      </c>
    </row>
    <row r="755" spans="2:7">
      <c r="B755" s="848" t="str">
        <f>'2A'!BU8</f>
        <v>BM952TAS</v>
      </c>
      <c r="D755" s="2004"/>
      <c r="E755" s="1658" t="s">
        <v>9033</v>
      </c>
      <c r="F755" s="2004"/>
      <c r="G755" s="2004">
        <f>IF('2A'!P8="","##BLANK",'2A'!P8)</f>
        <v>-541.33699999999999</v>
      </c>
    </row>
    <row r="756" spans="2:7">
      <c r="B756" s="848" t="str">
        <f>'2A'!BU9</f>
        <v>BM912TAS</v>
      </c>
      <c r="D756" s="2004"/>
      <c r="E756" s="1658" t="s">
        <v>9033</v>
      </c>
      <c r="F756" s="2004"/>
      <c r="G756" s="2004">
        <f>IF('2A'!P9="","##BLANK",'2A'!P9)</f>
        <v>-307.42099999999999</v>
      </c>
    </row>
    <row r="757" spans="2:7">
      <c r="B757" s="848" t="str">
        <f>'2A'!BU10</f>
        <v>BM920TAS</v>
      </c>
      <c r="D757" s="2004"/>
      <c r="E757" s="1658" t="s">
        <v>9033</v>
      </c>
      <c r="F757" s="2004"/>
      <c r="G757" s="2004">
        <f>IF('2A'!P10="","##BLANK",'2A'!P10)</f>
        <v>-15.079000000000001</v>
      </c>
    </row>
    <row r="758" spans="2:7">
      <c r="B758" s="848" t="str">
        <f>'2A'!BU11</f>
        <v>A19015CTOT</v>
      </c>
      <c r="D758" s="2004"/>
      <c r="E758" s="1658" t="s">
        <v>9033</v>
      </c>
      <c r="F758" s="2004"/>
      <c r="G758" s="2004">
        <f>IF('2A'!P11="","##BLANK",'2A'!P11)</f>
        <v>7.7870000000000008</v>
      </c>
    </row>
    <row r="759" spans="2:7">
      <c r="B759" s="848" t="str">
        <f>'2A'!BU12</f>
        <v>BO2010CTOT</v>
      </c>
      <c r="D759" s="2004"/>
      <c r="E759" s="1658" t="s">
        <v>9033</v>
      </c>
      <c r="F759" s="2004"/>
      <c r="G759" s="2004">
        <f>IF('2A'!P12="","##BLANK",'2A'!P12)</f>
        <v>201.16300000000012</v>
      </c>
    </row>
    <row r="760" spans="2:7">
      <c r="B760" s="848" t="str">
        <f>'2A'!BU15</f>
        <v>BM938CTOT</v>
      </c>
      <c r="D760" s="2004"/>
      <c r="E760" s="1658" t="s">
        <v>9033</v>
      </c>
      <c r="F760" s="2004"/>
      <c r="G760" s="2004">
        <f>IF('2A'!P15="","##BLANK",'2A'!P15)</f>
        <v>-29.462999999999997</v>
      </c>
    </row>
    <row r="761" spans="2:7">
      <c r="B761" s="848" t="str">
        <f>'2A'!BU16</f>
        <v>BM937CTOT</v>
      </c>
      <c r="D761" s="2004"/>
      <c r="E761" s="1658" t="s">
        <v>9033</v>
      </c>
      <c r="F761" s="2004"/>
      <c r="G761" s="2004">
        <f>IF('2A'!P16="","##BLANK",'2A'!P16)</f>
        <v>29.451000000000001</v>
      </c>
    </row>
    <row r="762" spans="2:7">
      <c r="B762" s="848" t="str">
        <f>'2A'!BU18</f>
        <v>HP00030CTOT</v>
      </c>
      <c r="D762" s="2004"/>
      <c r="E762" s="1658" t="s">
        <v>9033</v>
      </c>
      <c r="F762" s="2004"/>
      <c r="G762" s="2004">
        <f>IF('2A'!P18="","##BLANK",'2A'!P18)</f>
        <v>201.15100000000012</v>
      </c>
    </row>
    <row r="763" spans="2:7">
      <c r="B763" s="848" t="str">
        <f>'2A'!BU20</f>
        <v>BR75033</v>
      </c>
      <c r="D763" s="2004"/>
      <c r="E763" s="1658" t="s">
        <v>9033</v>
      </c>
      <c r="F763" s="2004"/>
      <c r="G763" s="2004">
        <f>IF('2A'!P20="","##BLANK",'2A'!P20)</f>
        <v>0.313</v>
      </c>
    </row>
    <row r="764" spans="2:7">
      <c r="B764" s="848" t="str">
        <f>+'2B'!BF6</f>
        <v>BM102WR</v>
      </c>
      <c r="D764" s="2004"/>
      <c r="E764" s="1658" t="s">
        <v>9033</v>
      </c>
      <c r="F764" s="2004"/>
      <c r="G764" s="2004">
        <f>IF('2B'!G6="","##BLANK",'2B'!G6)</f>
        <v>2.2200000000000002</v>
      </c>
    </row>
    <row r="765" spans="2:7">
      <c r="B765" s="848" t="str">
        <f>+'2B'!BF7</f>
        <v>BM336WR</v>
      </c>
      <c r="D765" s="2004"/>
      <c r="E765" s="1658" t="s">
        <v>9033</v>
      </c>
      <c r="F765" s="2004"/>
      <c r="G765" s="2004">
        <f>IF('2B'!G7="","##BLANK",'2B'!G7)</f>
        <v>0</v>
      </c>
    </row>
    <row r="766" spans="2:7">
      <c r="B766" s="848" t="str">
        <f>+'2B'!BF8</f>
        <v>BM131WR</v>
      </c>
      <c r="D766" s="2004"/>
      <c r="E766" s="1658" t="s">
        <v>9033</v>
      </c>
      <c r="F766" s="2004"/>
      <c r="G766" s="2004">
        <f>IF('2B'!G8="","##BLANK",'2B'!G8)</f>
        <v>5.5490000000000004</v>
      </c>
    </row>
    <row r="767" spans="2:7">
      <c r="B767" s="848" t="str">
        <f>+'2B'!BF9</f>
        <v>BM140WR</v>
      </c>
      <c r="D767" s="2004"/>
      <c r="E767" s="1658" t="s">
        <v>9033</v>
      </c>
      <c r="F767" s="2004"/>
      <c r="G767" s="2004">
        <f>IF('2B'!G9="","##BLANK",'2B'!G9)</f>
        <v>3.8039999999999998</v>
      </c>
    </row>
    <row r="768" spans="2:7">
      <c r="B768" s="848" t="str">
        <f>+'2B'!BF10</f>
        <v>BM339WRIR</v>
      </c>
      <c r="D768" s="2004"/>
      <c r="E768" s="1658" t="s">
        <v>9033</v>
      </c>
      <c r="F768" s="2004"/>
      <c r="G768" s="2004">
        <f>IF('2B'!G10="","##BLANK",'2B'!G10)</f>
        <v>0</v>
      </c>
    </row>
    <row r="769" spans="2:7">
      <c r="B769" s="848" t="str">
        <f>+'2B'!BF11</f>
        <v>BM339WRNIR</v>
      </c>
      <c r="D769" s="2004"/>
      <c r="E769" s="1658" t="s">
        <v>9033</v>
      </c>
      <c r="F769" s="2004"/>
      <c r="G769" s="2004">
        <f>IF('2B'!G11="","##BLANK",'2B'!G11)</f>
        <v>0</v>
      </c>
    </row>
    <row r="770" spans="2:7">
      <c r="B770" s="848" t="str">
        <f>+'2B'!BF12</f>
        <v>BM339WRER</v>
      </c>
      <c r="D770" s="2004"/>
      <c r="E770" s="1658" t="s">
        <v>9033</v>
      </c>
      <c r="F770" s="2004"/>
      <c r="G770" s="2004">
        <f>IF('2B'!G12="","##BLANK",'2B'!G12)</f>
        <v>9.3310000000000013</v>
      </c>
    </row>
    <row r="771" spans="2:7">
      <c r="B771" s="848" t="str">
        <f>+'2B'!BF13</f>
        <v>BM317WR</v>
      </c>
      <c r="D771" s="2004"/>
      <c r="E771" s="1658" t="s">
        <v>9033</v>
      </c>
      <c r="F771" s="2004"/>
      <c r="G771" s="2004">
        <f>IF('2B'!G13="","##BLANK",'2B'!G13)</f>
        <v>7.923</v>
      </c>
    </row>
    <row r="772" spans="2:7">
      <c r="B772" s="848" t="str">
        <f>+'2B'!BF14</f>
        <v>BM319WR</v>
      </c>
      <c r="D772" s="2004"/>
      <c r="E772" s="1658" t="s">
        <v>9033</v>
      </c>
      <c r="F772" s="2004"/>
      <c r="G772" s="2004">
        <f>IF('2B'!G14="","##BLANK",'2B'!G14)</f>
        <v>28.827000000000005</v>
      </c>
    </row>
    <row r="773" spans="2:7">
      <c r="B773" s="848" t="str">
        <f>+'2B'!BF16</f>
        <v>BM323WR</v>
      </c>
      <c r="D773" s="2004"/>
      <c r="E773" s="1658" t="s">
        <v>9033</v>
      </c>
      <c r="F773" s="2004"/>
      <c r="G773" s="2004">
        <f>IF('2B'!G16="","##BLANK",'2B'!G16)</f>
        <v>0</v>
      </c>
    </row>
    <row r="774" spans="2:7">
      <c r="B774" s="848" t="str">
        <f>+'2B'!BF17</f>
        <v>BM351WR</v>
      </c>
      <c r="D774" s="2004"/>
      <c r="E774" s="1658" t="s">
        <v>9033</v>
      </c>
      <c r="F774" s="2004"/>
      <c r="G774" s="2004">
        <f>IF('2B'!G17="","##BLANK",'2B'!G17)</f>
        <v>28.827000000000005</v>
      </c>
    </row>
    <row r="775" spans="2:7">
      <c r="B775" s="848" t="str">
        <f>+'2B'!BF20</f>
        <v>BC30445WR</v>
      </c>
      <c r="D775" s="2004"/>
      <c r="E775" s="1658" t="s">
        <v>9033</v>
      </c>
      <c r="F775" s="2004"/>
      <c r="G775" s="2004">
        <f>IF('2B'!G20="","##BLANK",'2B'!G20)</f>
        <v>7.7869999999999999</v>
      </c>
    </row>
    <row r="776" spans="2:7">
      <c r="B776" s="848" t="str">
        <f>+'2B'!BF21</f>
        <v>CW00036WR</v>
      </c>
      <c r="D776" s="2004"/>
      <c r="E776" s="1658" t="s">
        <v>9033</v>
      </c>
      <c r="F776" s="2004"/>
      <c r="G776" s="2004">
        <f>IF('2B'!G21="","##BLANK",'2B'!G21)</f>
        <v>1.3879999999999999</v>
      </c>
    </row>
    <row r="777" spans="2:7">
      <c r="B777" s="848" t="str">
        <f>+'2B'!BF22</f>
        <v>BC30444WR</v>
      </c>
      <c r="D777" s="2004"/>
      <c r="E777" s="1658" t="s">
        <v>9033</v>
      </c>
      <c r="F777" s="2004"/>
      <c r="G777" s="2004">
        <f>IF('2B'!G22="","##BLANK",'2B'!G22)</f>
        <v>0.71799999999999997</v>
      </c>
    </row>
    <row r="778" spans="2:7">
      <c r="B778" s="848" t="str">
        <f>+'2B'!BF23</f>
        <v>CW00037WR</v>
      </c>
      <c r="D778" s="2004"/>
      <c r="E778" s="1658" t="s">
        <v>9033</v>
      </c>
      <c r="F778" s="2004"/>
      <c r="G778" s="2004">
        <f>IF('2B'!G23="","##BLANK",'2B'!G23)</f>
        <v>3.3130000000000002</v>
      </c>
    </row>
    <row r="779" spans="2:7">
      <c r="B779" s="848" t="str">
        <f>+'2B'!BF24</f>
        <v>BC30449WR</v>
      </c>
      <c r="D779" s="2004"/>
      <c r="E779" s="1658" t="s">
        <v>9033</v>
      </c>
      <c r="F779" s="2004"/>
      <c r="G779" s="2004">
        <f>IF('2B'!G24="","##BLANK",'2B'!G24)</f>
        <v>0</v>
      </c>
    </row>
    <row r="780" spans="2:7">
      <c r="B780" s="848" t="str">
        <f>+'2B'!BF25</f>
        <v>BC30498WR</v>
      </c>
      <c r="D780" s="2004"/>
      <c r="E780" s="1658" t="s">
        <v>9033</v>
      </c>
      <c r="F780" s="2004"/>
      <c r="G780" s="2004">
        <f>IF('2B'!G25="","##BLANK",'2B'!G25)</f>
        <v>13.206000000000001</v>
      </c>
    </row>
    <row r="781" spans="2:7">
      <c r="B781" s="848" t="str">
        <f>+'2B'!BF26</f>
        <v>BM333WR</v>
      </c>
      <c r="D781" s="2004"/>
      <c r="E781" s="1658" t="s">
        <v>9033</v>
      </c>
      <c r="F781" s="2004"/>
      <c r="G781" s="2004">
        <f>IF('2B'!G26="","##BLANK",'2B'!G26)</f>
        <v>0</v>
      </c>
    </row>
    <row r="782" spans="2:7">
      <c r="B782" s="848" t="str">
        <f>+'2B'!BF27</f>
        <v>BA1070WR</v>
      </c>
      <c r="D782" s="2004"/>
      <c r="E782" s="1658" t="s">
        <v>9033</v>
      </c>
      <c r="F782" s="2004"/>
      <c r="G782" s="2004">
        <f>IF('2B'!G27="","##BLANK",'2B'!G27)</f>
        <v>13.206000000000001</v>
      </c>
    </row>
    <row r="783" spans="2:7">
      <c r="B783" s="848" t="str">
        <f>+'2B'!BF30</f>
        <v>BA1071WR</v>
      </c>
      <c r="D783" s="2004"/>
      <c r="E783" s="1658" t="s">
        <v>9033</v>
      </c>
      <c r="F783" s="2004"/>
      <c r="G783" s="2004">
        <f>IF('2B'!G30="","##BLANK",'2B'!G30)</f>
        <v>0.23300000000000001</v>
      </c>
    </row>
    <row r="784" spans="2:7">
      <c r="B784" s="848" t="str">
        <f>+'2B'!BF32</f>
        <v>BM325WR</v>
      </c>
      <c r="D784" s="2004"/>
      <c r="E784" s="1658" t="s">
        <v>9033</v>
      </c>
      <c r="F784" s="2004"/>
      <c r="G784" s="2004">
        <f>IF('2B'!G32="","##BLANK",'2B'!G32)</f>
        <v>41.800000000000011</v>
      </c>
    </row>
    <row r="785" spans="2:7">
      <c r="B785" s="848" t="str">
        <f>+'2B'!BF35</f>
        <v>CR00558WR</v>
      </c>
      <c r="D785" s="2004"/>
      <c r="E785" s="1658" t="s">
        <v>9033</v>
      </c>
      <c r="F785" s="2004"/>
      <c r="G785" s="2004">
        <f>IF('2B'!G35="","##BLANK",'2B'!G35)</f>
        <v>0</v>
      </c>
    </row>
    <row r="786" spans="2:7">
      <c r="B786" s="848" t="str">
        <f>+'2B'!BF36</f>
        <v>CR00561WR</v>
      </c>
      <c r="D786" s="2004"/>
      <c r="E786" s="1658" t="s">
        <v>9033</v>
      </c>
      <c r="F786" s="2004"/>
      <c r="G786" s="2004">
        <f>IF('2B'!G36="","##BLANK",'2B'!G36)</f>
        <v>0</v>
      </c>
    </row>
    <row r="787" spans="2:7">
      <c r="B787" s="848" t="str">
        <f>+'2B'!BF39</f>
        <v>W3026WR</v>
      </c>
      <c r="D787" s="2004"/>
      <c r="E787" s="1658" t="s">
        <v>9033</v>
      </c>
      <c r="F787" s="2004"/>
      <c r="G787" s="2004">
        <f>IF('2B'!G39="","##BLANK",'2B'!G39)</f>
        <v>41.800000000000011</v>
      </c>
    </row>
    <row r="788" spans="2:7">
      <c r="B788" s="848" t="str">
        <f>+'2B'!BG6</f>
        <v>BM102WN</v>
      </c>
      <c r="D788" s="2004"/>
      <c r="E788" s="1658" t="s">
        <v>9033</v>
      </c>
      <c r="F788" s="2004"/>
      <c r="G788" s="2004">
        <f>IF('2B'!H6="","##BLANK",'2B'!H6)</f>
        <v>25.837000000000003</v>
      </c>
    </row>
    <row r="789" spans="2:7">
      <c r="B789" s="848" t="str">
        <f>+'2B'!BG7</f>
        <v>BM336WN</v>
      </c>
      <c r="D789" s="2004"/>
      <c r="E789" s="1658" t="s">
        <v>9033</v>
      </c>
      <c r="F789" s="2004"/>
      <c r="G789" s="2004">
        <f>IF('2B'!H7="","##BLANK",'2B'!H7)</f>
        <v>0</v>
      </c>
    </row>
    <row r="790" spans="2:7">
      <c r="B790" s="848" t="str">
        <f>+'2B'!BG8</f>
        <v>BM131WN</v>
      </c>
      <c r="D790" s="2004"/>
      <c r="E790" s="1658" t="s">
        <v>9033</v>
      </c>
      <c r="F790" s="2004"/>
      <c r="G790" s="2004">
        <f>IF('2B'!H8="","##BLANK",'2B'!H8)</f>
        <v>4.0000000000000001E-3</v>
      </c>
    </row>
    <row r="791" spans="2:7">
      <c r="B791" s="848" t="str">
        <f>+'2B'!BG9</f>
        <v>BM140WN</v>
      </c>
      <c r="D791" s="2004"/>
      <c r="E791" s="1658" t="s">
        <v>9033</v>
      </c>
      <c r="F791" s="2004"/>
      <c r="G791" s="2004">
        <f>IF('2B'!H9="","##BLANK",'2B'!H9)</f>
        <v>0</v>
      </c>
    </row>
    <row r="792" spans="2:7">
      <c r="B792" s="848" t="str">
        <f>+'2B'!BG10</f>
        <v>BM339WNIR</v>
      </c>
      <c r="D792" s="2004"/>
      <c r="E792" s="1658" t="s">
        <v>9033</v>
      </c>
      <c r="F792" s="2004"/>
      <c r="G792" s="2004">
        <f>IF('2B'!H10="","##BLANK",'2B'!H10)</f>
        <v>0</v>
      </c>
    </row>
    <row r="793" spans="2:7">
      <c r="B793" s="848" t="str">
        <f>+'2B'!BG11</f>
        <v>BM339WNNIR</v>
      </c>
      <c r="D793" s="2004"/>
      <c r="E793" s="1658" t="s">
        <v>9033</v>
      </c>
      <c r="F793" s="2004"/>
      <c r="G793" s="2004">
        <f>IF('2B'!H11="","##BLANK",'2B'!H11)</f>
        <v>0</v>
      </c>
    </row>
    <row r="794" spans="2:7">
      <c r="B794" s="848" t="str">
        <f>+'2B'!BG12</f>
        <v>BM339WNER</v>
      </c>
      <c r="D794" s="2004"/>
      <c r="E794" s="1658" t="s">
        <v>9033</v>
      </c>
      <c r="F794" s="2004"/>
      <c r="G794" s="2004">
        <f>IF('2B'!H12="","##BLANK",'2B'!H12)</f>
        <v>158.90199999999999</v>
      </c>
    </row>
    <row r="795" spans="2:7">
      <c r="B795" s="848" t="str">
        <f>+'2B'!BG13</f>
        <v>BM317WN</v>
      </c>
      <c r="D795" s="2004"/>
      <c r="E795" s="1658" t="s">
        <v>9033</v>
      </c>
      <c r="F795" s="2004"/>
      <c r="G795" s="2004">
        <f>IF('2B'!H13="","##BLANK",'2B'!H13)</f>
        <v>32.878</v>
      </c>
    </row>
    <row r="796" spans="2:7">
      <c r="B796" s="848" t="str">
        <f>+'2B'!BG14</f>
        <v>BM319WN</v>
      </c>
      <c r="D796" s="2004"/>
      <c r="E796" s="1658" t="s">
        <v>9033</v>
      </c>
      <c r="F796" s="2004"/>
      <c r="G796" s="2004">
        <f>IF('2B'!H14="","##BLANK",'2B'!H14)</f>
        <v>217.62099999999998</v>
      </c>
    </row>
    <row r="797" spans="2:7">
      <c r="B797" s="848" t="str">
        <f>+'2B'!BG16</f>
        <v>BM323WN</v>
      </c>
      <c r="D797" s="2004"/>
      <c r="E797" s="1658" t="s">
        <v>9033</v>
      </c>
      <c r="F797" s="2004"/>
      <c r="G797" s="2004">
        <f>IF('2B'!H16="","##BLANK",'2B'!H16)</f>
        <v>1.4550000000000001</v>
      </c>
    </row>
    <row r="798" spans="2:7">
      <c r="B798" s="848" t="str">
        <f>+'2B'!BG17</f>
        <v>BM351WN</v>
      </c>
      <c r="D798" s="2004"/>
      <c r="E798" s="1658" t="s">
        <v>9033</v>
      </c>
      <c r="F798" s="2004"/>
      <c r="G798" s="2004">
        <f>IF('2B'!H17="","##BLANK",'2B'!H17)</f>
        <v>219.07599999999999</v>
      </c>
    </row>
    <row r="799" spans="2:7">
      <c r="B799" s="848" t="str">
        <f>+'2B'!BG20</f>
        <v>BC30445WN</v>
      </c>
      <c r="D799" s="2004"/>
      <c r="E799" s="1658" t="s">
        <v>9033</v>
      </c>
      <c r="F799" s="2004"/>
      <c r="G799" s="2004">
        <f>IF('2B'!H20="","##BLANK",'2B'!H20)</f>
        <v>29.044</v>
      </c>
    </row>
    <row r="800" spans="2:7">
      <c r="B800" s="848" t="str">
        <f>+'2B'!BG21</f>
        <v>CW00036WN</v>
      </c>
      <c r="D800" s="2004"/>
      <c r="E800" s="1658" t="s">
        <v>9033</v>
      </c>
      <c r="F800" s="2004"/>
      <c r="G800" s="2004">
        <f>IF('2B'!H21="","##BLANK",'2B'!H21)</f>
        <v>73.923000000000002</v>
      </c>
    </row>
    <row r="801" spans="2:7">
      <c r="B801" s="848" t="str">
        <f>+'2B'!BG22</f>
        <v>BC30444WN</v>
      </c>
      <c r="D801" s="2004"/>
      <c r="E801" s="1658" t="s">
        <v>9033</v>
      </c>
      <c r="F801" s="2004"/>
      <c r="G801" s="2004">
        <f>IF('2B'!H22="","##BLANK",'2B'!H22)</f>
        <v>40.755000000000003</v>
      </c>
    </row>
    <row r="802" spans="2:7">
      <c r="B802" s="848" t="str">
        <f>+'2B'!BG23</f>
        <v>CW00037WN</v>
      </c>
      <c r="D802" s="2004"/>
      <c r="E802" s="1658" t="s">
        <v>9033</v>
      </c>
      <c r="F802" s="2004"/>
      <c r="G802" s="2004">
        <f>IF('2B'!H23="","##BLANK",'2B'!H23)</f>
        <v>42.965000000000003</v>
      </c>
    </row>
    <row r="803" spans="2:7">
      <c r="B803" s="848" t="str">
        <f>+'2B'!BG24</f>
        <v>BC30449WN</v>
      </c>
      <c r="D803" s="2004"/>
      <c r="E803" s="1658" t="s">
        <v>9033</v>
      </c>
      <c r="F803" s="2004"/>
      <c r="G803" s="2004">
        <f>IF('2B'!H24="","##BLANK",'2B'!H24)</f>
        <v>4.4180000000000001</v>
      </c>
    </row>
    <row r="804" spans="2:7">
      <c r="B804" s="848" t="str">
        <f>+'2B'!BG25</f>
        <v>BC30498WN</v>
      </c>
      <c r="D804" s="2004"/>
      <c r="E804" s="1658" t="s">
        <v>9033</v>
      </c>
      <c r="F804" s="2004"/>
      <c r="G804" s="2004">
        <f>IF('2B'!H25="","##BLANK",'2B'!H25)</f>
        <v>191.10500000000002</v>
      </c>
    </row>
    <row r="805" spans="2:7">
      <c r="B805" s="848" t="str">
        <f>+'2B'!BG26</f>
        <v>BM333WN</v>
      </c>
      <c r="D805" s="2004"/>
      <c r="E805" s="1658" t="s">
        <v>9033</v>
      </c>
      <c r="F805" s="2004"/>
      <c r="G805" s="2004">
        <f>IF('2B'!H26="","##BLANK",'2B'!H26)</f>
        <v>0</v>
      </c>
    </row>
    <row r="806" spans="2:7">
      <c r="B806" s="848" t="str">
        <f>+'2B'!BG27</f>
        <v>BA1070WN</v>
      </c>
      <c r="D806" s="2004"/>
      <c r="E806" s="1658" t="s">
        <v>9033</v>
      </c>
      <c r="F806" s="2004"/>
      <c r="G806" s="2004">
        <f>IF('2B'!H27="","##BLANK",'2B'!H27)</f>
        <v>191.10500000000002</v>
      </c>
    </row>
    <row r="807" spans="2:7">
      <c r="B807" s="848" t="str">
        <f>+'2B'!BG30</f>
        <v>BA1071WN</v>
      </c>
      <c r="D807" s="2004"/>
      <c r="E807" s="1658" t="s">
        <v>9033</v>
      </c>
      <c r="F807" s="2004"/>
      <c r="G807" s="2004">
        <f>IF('2B'!H30="","##BLANK",'2B'!H30)</f>
        <v>15.95</v>
      </c>
    </row>
    <row r="808" spans="2:7">
      <c r="B808" s="848" t="str">
        <f>+'2B'!BG32</f>
        <v>BM325WN</v>
      </c>
      <c r="D808" s="2004"/>
      <c r="E808" s="1658" t="s">
        <v>9033</v>
      </c>
      <c r="F808" s="2004"/>
      <c r="G808" s="2004">
        <f>IF('2B'!H32="","##BLANK",'2B'!H32)</f>
        <v>394.23100000000005</v>
      </c>
    </row>
    <row r="809" spans="2:7">
      <c r="B809" s="848" t="str">
        <f>+'2B'!BG35</f>
        <v>CR00558WN</v>
      </c>
      <c r="D809" s="2004"/>
      <c r="E809" s="1658" t="s">
        <v>9033</v>
      </c>
      <c r="F809" s="2004"/>
      <c r="G809" s="2004">
        <f>IF('2B'!H35="","##BLANK",'2B'!H35)</f>
        <v>0</v>
      </c>
    </row>
    <row r="810" spans="2:7">
      <c r="B810" s="848" t="str">
        <f>+'2B'!BG36</f>
        <v>CR00561WN</v>
      </c>
      <c r="D810" s="2004"/>
      <c r="E810" s="1658" t="s">
        <v>9033</v>
      </c>
      <c r="F810" s="2004"/>
      <c r="G810" s="2004">
        <f>IF('2B'!H36="","##BLANK",'2B'!H36)</f>
        <v>0</v>
      </c>
    </row>
    <row r="811" spans="2:7">
      <c r="B811" s="848" t="str">
        <f>+'2B'!BG39</f>
        <v>W3026WN</v>
      </c>
      <c r="D811" s="2004"/>
      <c r="E811" s="1658" t="s">
        <v>9033</v>
      </c>
      <c r="F811" s="2004"/>
      <c r="G811" s="2004">
        <f>IF('2B'!H39="","##BLANK",'2B'!H39)</f>
        <v>394.23100000000005</v>
      </c>
    </row>
    <row r="812" spans="2:7">
      <c r="B812" s="848" t="str">
        <f>+'2B'!BH6</f>
        <v>BM802WNK</v>
      </c>
      <c r="D812" s="2004"/>
      <c r="E812" s="1658" t="s">
        <v>9033</v>
      </c>
      <c r="F812" s="2004"/>
      <c r="G812" s="2004">
        <f>IF('2B'!I6="","##BLANK",'2B'!I6)</f>
        <v>33.242000000000004</v>
      </c>
    </row>
    <row r="813" spans="2:7">
      <c r="B813" s="848" t="str">
        <f>+'2B'!BH7</f>
        <v>BM836WNK</v>
      </c>
      <c r="D813" s="2004"/>
      <c r="E813" s="1658" t="s">
        <v>9033</v>
      </c>
      <c r="F813" s="2004"/>
      <c r="G813" s="2004">
        <f>IF('2B'!I7="","##BLANK",'2B'!I7)</f>
        <v>0</v>
      </c>
    </row>
    <row r="814" spans="2:7">
      <c r="B814" s="848" t="str">
        <f>+'2B'!BH8</f>
        <v>BM831WNK</v>
      </c>
      <c r="D814" s="2004"/>
      <c r="E814" s="1658" t="s">
        <v>9033</v>
      </c>
      <c r="F814" s="2004"/>
      <c r="G814" s="2004">
        <f>IF('2B'!I8="","##BLANK",'2B'!I8)</f>
        <v>6.2639999999999993</v>
      </c>
    </row>
    <row r="815" spans="2:7">
      <c r="B815" s="848" t="str">
        <f>+'2B'!BH9</f>
        <v>BM140WNK</v>
      </c>
      <c r="D815" s="2004"/>
      <c r="E815" s="1658" t="s">
        <v>9033</v>
      </c>
      <c r="F815" s="2004"/>
      <c r="G815" s="2004">
        <f>IF('2B'!I9="","##BLANK",'2B'!I9)</f>
        <v>0</v>
      </c>
    </row>
    <row r="816" spans="2:7">
      <c r="B816" s="848" t="str">
        <f>+'2B'!BH10</f>
        <v>BM839WNKIR</v>
      </c>
      <c r="D816" s="2004"/>
      <c r="E816" s="1658" t="s">
        <v>9033</v>
      </c>
      <c r="F816" s="2004"/>
      <c r="G816" s="2004">
        <f>IF('2B'!I10="","##BLANK",'2B'!I10)</f>
        <v>0</v>
      </c>
    </row>
    <row r="817" spans="2:7">
      <c r="B817" s="848" t="str">
        <f>+'2B'!BH11</f>
        <v>BM839WNKNIR</v>
      </c>
      <c r="D817" s="2004"/>
      <c r="E817" s="1658" t="s">
        <v>9033</v>
      </c>
      <c r="F817" s="2004"/>
      <c r="G817" s="2004">
        <f>IF('2B'!I11="","##BLANK",'2B'!I11)</f>
        <v>0</v>
      </c>
    </row>
    <row r="818" spans="2:7">
      <c r="B818" s="848" t="str">
        <f>+'2B'!BH12</f>
        <v>BM839WNKER</v>
      </c>
      <c r="D818" s="2004"/>
      <c r="E818" s="1658" t="s">
        <v>9033</v>
      </c>
      <c r="F818" s="2004"/>
      <c r="G818" s="2004">
        <f>IF('2B'!I12="","##BLANK",'2B'!I12)</f>
        <v>121.46299999999998</v>
      </c>
    </row>
    <row r="819" spans="2:7">
      <c r="B819" s="848" t="str">
        <f>+'2B'!BH13</f>
        <v>BM817WNK</v>
      </c>
      <c r="D819" s="2004"/>
      <c r="E819" s="1658" t="s">
        <v>9033</v>
      </c>
      <c r="F819" s="2004"/>
      <c r="G819" s="2004">
        <f>IF('2B'!I13="","##BLANK",'2B'!I13)</f>
        <v>20.035</v>
      </c>
    </row>
    <row r="820" spans="2:7">
      <c r="B820" s="848" t="str">
        <f>+'2B'!BH14</f>
        <v>BM844WNK</v>
      </c>
      <c r="D820" s="2004"/>
      <c r="E820" s="1658" t="s">
        <v>9033</v>
      </c>
      <c r="F820" s="2004"/>
      <c r="G820" s="2004">
        <f>IF('2B'!I14="","##BLANK",'2B'!I14)</f>
        <v>181.00399999999999</v>
      </c>
    </row>
    <row r="821" spans="2:7">
      <c r="B821" s="848" t="str">
        <f>+'2B'!BH16</f>
        <v>BM823WNK</v>
      </c>
      <c r="D821" s="2004"/>
      <c r="E821" s="1658" t="s">
        <v>9033</v>
      </c>
      <c r="F821" s="2004"/>
      <c r="G821" s="2004">
        <f>IF('2B'!I16="","##BLANK",'2B'!I16)</f>
        <v>0</v>
      </c>
    </row>
    <row r="822" spans="2:7">
      <c r="B822" s="848" t="str">
        <f>+'2B'!BH17</f>
        <v>BM850WNK</v>
      </c>
      <c r="D822" s="2004"/>
      <c r="E822" s="1658" t="s">
        <v>9033</v>
      </c>
      <c r="F822" s="2004"/>
      <c r="G822" s="2004">
        <f>IF('2B'!I17="","##BLANK",'2B'!I17)</f>
        <v>181.00399999999999</v>
      </c>
    </row>
    <row r="823" spans="2:7">
      <c r="B823" s="848" t="str">
        <f>+'2B'!BH20</f>
        <v>BC30945WNK</v>
      </c>
      <c r="D823" s="2004"/>
      <c r="E823" s="1658" t="s">
        <v>9033</v>
      </c>
      <c r="F823" s="2004"/>
      <c r="G823" s="2004">
        <f>IF('2B'!I20="","##BLANK",'2B'!I20)</f>
        <v>34.314999999999998</v>
      </c>
    </row>
    <row r="824" spans="2:7">
      <c r="B824" s="848" t="str">
        <f>+'2B'!BH21</f>
        <v>CS00036WNK</v>
      </c>
      <c r="D824" s="2004"/>
      <c r="E824" s="1658" t="s">
        <v>9033</v>
      </c>
      <c r="F824" s="2004"/>
      <c r="G824" s="2004">
        <f>IF('2B'!I21="","##BLANK",'2B'!I21)</f>
        <v>83.926999999999992</v>
      </c>
    </row>
    <row r="825" spans="2:7">
      <c r="B825" s="848" t="str">
        <f>+'2B'!BH22</f>
        <v>BC30944WNK</v>
      </c>
      <c r="D825" s="2004"/>
      <c r="E825" s="1658" t="s">
        <v>9033</v>
      </c>
      <c r="F825" s="2004"/>
      <c r="G825" s="2004">
        <f>IF('2B'!I22="","##BLANK",'2B'!I22)</f>
        <v>44.420999999999999</v>
      </c>
    </row>
    <row r="826" spans="2:7">
      <c r="B826" s="848" t="str">
        <f>+'2B'!BH23</f>
        <v>CS00037WNK</v>
      </c>
      <c r="D826" s="2004"/>
      <c r="E826" s="1658" t="s">
        <v>9033</v>
      </c>
      <c r="F826" s="2004"/>
      <c r="G826" s="2004">
        <f>IF('2B'!I23="","##BLANK",'2B'!I23)</f>
        <v>63.903000000000006</v>
      </c>
    </row>
    <row r="827" spans="2:7">
      <c r="B827" s="848" t="str">
        <f>+'2B'!BH24</f>
        <v>BC30849WNK</v>
      </c>
      <c r="D827" s="2004"/>
      <c r="E827" s="1658" t="s">
        <v>9033</v>
      </c>
      <c r="F827" s="2004"/>
      <c r="G827" s="2004">
        <f>IF('2B'!I24="","##BLANK",'2B'!I24)</f>
        <v>2.7670000000000003</v>
      </c>
    </row>
    <row r="828" spans="2:7">
      <c r="B828" s="848" t="str">
        <f>+'2B'!BH25</f>
        <v>BC30998WNK</v>
      </c>
      <c r="D828" s="2004"/>
      <c r="E828" s="1658" t="s">
        <v>9033</v>
      </c>
      <c r="F828" s="2004"/>
      <c r="G828" s="2004">
        <f>IF('2B'!I25="","##BLANK",'2B'!I25)</f>
        <v>229.33299999999997</v>
      </c>
    </row>
    <row r="829" spans="2:7">
      <c r="B829" s="848" t="str">
        <f>+'2B'!BH26</f>
        <v>BM833WNK</v>
      </c>
      <c r="D829" s="2004"/>
      <c r="E829" s="1658" t="s">
        <v>9033</v>
      </c>
      <c r="F829" s="2004"/>
      <c r="G829" s="2004">
        <f>IF('2B'!I26="","##BLANK",'2B'!I26)</f>
        <v>0</v>
      </c>
    </row>
    <row r="830" spans="2:7">
      <c r="B830" s="848" t="str">
        <f>+'2B'!BH27</f>
        <v>BA2120WNK</v>
      </c>
      <c r="D830" s="2004"/>
      <c r="E830" s="1658" t="s">
        <v>9033</v>
      </c>
      <c r="F830" s="2004"/>
      <c r="G830" s="2004">
        <f>IF('2B'!I27="","##BLANK",'2B'!I27)</f>
        <v>229.33299999999997</v>
      </c>
    </row>
    <row r="831" spans="2:7">
      <c r="B831" s="848" t="str">
        <f>+'2B'!BH30</f>
        <v>BA2121WNK</v>
      </c>
      <c r="D831" s="2004"/>
      <c r="E831" s="1658" t="s">
        <v>9033</v>
      </c>
      <c r="F831" s="2004"/>
      <c r="G831" s="2004">
        <f>IF('2B'!I30="","##BLANK",'2B'!I30)</f>
        <v>10.59</v>
      </c>
    </row>
    <row r="832" spans="2:7">
      <c r="B832" s="848" t="str">
        <f>+'2B'!BH32</f>
        <v>BM825WNK</v>
      </c>
      <c r="D832" s="2004"/>
      <c r="E832" s="1658" t="s">
        <v>9033</v>
      </c>
      <c r="F832" s="2004"/>
      <c r="G832" s="2004">
        <f>IF('2B'!I32="","##BLANK",'2B'!I32)</f>
        <v>399.74700000000001</v>
      </c>
    </row>
    <row r="833" spans="2:7">
      <c r="B833" s="848" t="str">
        <f>+'2B'!BH35</f>
        <v>CR00559WNK</v>
      </c>
      <c r="D833" s="2004"/>
      <c r="E833" s="1658" t="s">
        <v>9033</v>
      </c>
      <c r="F833" s="2004"/>
      <c r="G833" s="2004">
        <f>IF('2B'!I35="","##BLANK",'2B'!I35)</f>
        <v>0</v>
      </c>
    </row>
    <row r="834" spans="2:7">
      <c r="B834" s="848" t="str">
        <f>+'2B'!BH36</f>
        <v>CR00562WNK</v>
      </c>
      <c r="D834" s="2004"/>
      <c r="E834" s="1658" t="s">
        <v>9033</v>
      </c>
      <c r="F834" s="2004"/>
      <c r="G834" s="2004">
        <f>IF('2B'!I36="","##BLANK",'2B'!I36)</f>
        <v>0</v>
      </c>
    </row>
    <row r="835" spans="2:7">
      <c r="B835" s="848" t="str">
        <f>+'2B'!BH39</f>
        <v>S3040WNK</v>
      </c>
      <c r="D835" s="2004"/>
      <c r="E835" s="1658" t="s">
        <v>9033</v>
      </c>
      <c r="F835" s="2004"/>
      <c r="G835" s="2004">
        <f>IF('2B'!I39="","##BLANK",'2B'!I39)</f>
        <v>399.74700000000001</v>
      </c>
    </row>
    <row r="836" spans="2:7">
      <c r="B836" s="848" t="str">
        <f>+'2B'!BI6</f>
        <v>BM802SG</v>
      </c>
      <c r="D836" s="2004"/>
      <c r="E836" s="1658" t="s">
        <v>9033</v>
      </c>
      <c r="F836" s="2004"/>
      <c r="G836" s="2004">
        <f>IF('2B'!J6="","##BLANK",'2B'!J6)</f>
        <v>-3.0710000000000002</v>
      </c>
    </row>
    <row r="837" spans="2:7">
      <c r="B837" s="848" t="str">
        <f>+'2B'!BI7</f>
        <v>BM836SG</v>
      </c>
      <c r="D837" s="2004"/>
      <c r="E837" s="1658" t="s">
        <v>9033</v>
      </c>
      <c r="F837" s="2004"/>
      <c r="G837" s="2004">
        <f>IF('2B'!J7="","##BLANK",'2B'!J7)</f>
        <v>-2.262</v>
      </c>
    </row>
    <row r="838" spans="2:7">
      <c r="B838" s="848" t="str">
        <f>+'2B'!BI8</f>
        <v>BM831SG</v>
      </c>
      <c r="D838" s="2004"/>
      <c r="E838" s="1658" t="s">
        <v>9033</v>
      </c>
      <c r="F838" s="2004"/>
      <c r="G838" s="2004">
        <f>IF('2B'!J8="","##BLANK",'2B'!J8)</f>
        <v>0</v>
      </c>
    </row>
    <row r="839" spans="2:7">
      <c r="B839" s="848" t="str">
        <f>+'2B'!BI9</f>
        <v>BM140SG</v>
      </c>
      <c r="D839" s="2004"/>
      <c r="E839" s="1658" t="s">
        <v>9033</v>
      </c>
      <c r="F839" s="2004"/>
      <c r="G839" s="2004">
        <f>IF('2B'!J9="","##BLANK",'2B'!J9)</f>
        <v>0</v>
      </c>
    </row>
    <row r="840" spans="2:7">
      <c r="B840" s="848" t="str">
        <f>+'2B'!BI10</f>
        <v>BM839SGIR</v>
      </c>
      <c r="D840" s="2004"/>
      <c r="E840" s="1658" t="s">
        <v>9033</v>
      </c>
      <c r="F840" s="2004"/>
      <c r="G840" s="2004">
        <f>IF('2B'!J10="","##BLANK",'2B'!J10)</f>
        <v>0</v>
      </c>
    </row>
    <row r="841" spans="2:7">
      <c r="B841" s="848" t="str">
        <f>+'2B'!BI11</f>
        <v>BM839SGNIR</v>
      </c>
      <c r="D841" s="2004"/>
      <c r="E841" s="1658" t="s">
        <v>9033</v>
      </c>
      <c r="F841" s="2004"/>
      <c r="G841" s="2004">
        <f>IF('2B'!J11="","##BLANK",'2B'!J11)</f>
        <v>0</v>
      </c>
    </row>
    <row r="842" spans="2:7">
      <c r="B842" s="848" t="str">
        <f>+'2B'!BI12</f>
        <v>BM839SGER</v>
      </c>
      <c r="D842" s="2004"/>
      <c r="E842" s="1658" t="s">
        <v>9033</v>
      </c>
      <c r="F842" s="2004"/>
      <c r="G842" s="2004">
        <f>IF('2B'!J12="","##BLANK",'2B'!J12)</f>
        <v>36.372999999999998</v>
      </c>
    </row>
    <row r="843" spans="2:7">
      <c r="B843" s="848" t="str">
        <f>+'2B'!BI13</f>
        <v>BM817SG</v>
      </c>
      <c r="D843" s="2004"/>
      <c r="E843" s="1658" t="s">
        <v>9033</v>
      </c>
      <c r="F843" s="2004"/>
      <c r="G843" s="2004">
        <f>IF('2B'!J13="","##BLANK",'2B'!J13)</f>
        <v>1.4129999999999998</v>
      </c>
    </row>
    <row r="844" spans="2:7">
      <c r="B844" s="848" t="str">
        <f>+'2B'!BI14</f>
        <v>BM844SG</v>
      </c>
      <c r="D844" s="2004"/>
      <c r="E844" s="1658" t="s">
        <v>9033</v>
      </c>
      <c r="F844" s="2004"/>
      <c r="G844" s="2004">
        <f>IF('2B'!J14="","##BLANK",'2B'!J14)</f>
        <v>32.452999999999996</v>
      </c>
    </row>
    <row r="845" spans="2:7">
      <c r="B845" s="848" t="str">
        <f>+'2B'!BI16</f>
        <v>BM823SG</v>
      </c>
      <c r="D845" s="2004"/>
      <c r="E845" s="1658" t="s">
        <v>9033</v>
      </c>
      <c r="F845" s="2004"/>
      <c r="G845" s="2004">
        <f>IF('2B'!J16="","##BLANK",'2B'!J16)</f>
        <v>0</v>
      </c>
    </row>
    <row r="846" spans="2:7">
      <c r="B846" s="848" t="str">
        <f>+'2B'!BI17</f>
        <v>BM850SG</v>
      </c>
      <c r="D846" s="2004"/>
      <c r="E846" s="1658" t="s">
        <v>9033</v>
      </c>
      <c r="F846" s="2004"/>
      <c r="G846" s="2004">
        <f>IF('2B'!J17="","##BLANK",'2B'!J17)</f>
        <v>32.452999999999996</v>
      </c>
    </row>
    <row r="847" spans="2:7">
      <c r="B847" s="848" t="str">
        <f>+'2B'!BI20</f>
        <v>BC30945SG</v>
      </c>
      <c r="D847" s="2004"/>
      <c r="E847" s="1658" t="s">
        <v>9033</v>
      </c>
      <c r="F847" s="2004"/>
      <c r="G847" s="2004">
        <f>IF('2B'!J20="","##BLANK",'2B'!J20)</f>
        <v>0</v>
      </c>
    </row>
    <row r="848" spans="2:7">
      <c r="B848" s="848" t="str">
        <f>+'2B'!BI21</f>
        <v>CS00036SG</v>
      </c>
      <c r="D848" s="2004"/>
      <c r="E848" s="1658" t="s">
        <v>9033</v>
      </c>
      <c r="F848" s="2004"/>
      <c r="G848" s="2004">
        <f>IF('2B'!J21="","##BLANK",'2B'!J21)</f>
        <v>79.53</v>
      </c>
    </row>
    <row r="849" spans="2:7">
      <c r="B849" s="848" t="str">
        <f>+'2B'!BI22</f>
        <v>BC30944SG</v>
      </c>
      <c r="D849" s="2004"/>
      <c r="E849" s="1658" t="s">
        <v>9033</v>
      </c>
      <c r="F849" s="2004"/>
      <c r="G849" s="2004">
        <f>IF('2B'!J22="","##BLANK",'2B'!J22)</f>
        <v>0</v>
      </c>
    </row>
    <row r="850" spans="2:7">
      <c r="B850" s="848" t="str">
        <f>+'2B'!BI23</f>
        <v>CS00037SG</v>
      </c>
      <c r="D850" s="2004"/>
      <c r="E850" s="1658" t="s">
        <v>9033</v>
      </c>
      <c r="F850" s="2004"/>
      <c r="G850" s="2004">
        <f>IF('2B'!J23="","##BLANK",'2B'!J23)</f>
        <v>2.3260000000000001</v>
      </c>
    </row>
    <row r="851" spans="2:7">
      <c r="B851" s="848" t="str">
        <f>+'2B'!BI24</f>
        <v>BC30849SG</v>
      </c>
      <c r="D851" s="2004"/>
      <c r="E851" s="1658" t="s">
        <v>9033</v>
      </c>
      <c r="F851" s="2004"/>
      <c r="G851" s="2004">
        <f>IF('2B'!J24="","##BLANK",'2B'!J24)</f>
        <v>0</v>
      </c>
    </row>
    <row r="852" spans="2:7">
      <c r="B852" s="848" t="str">
        <f>+'2B'!BI25</f>
        <v>BC30998SG</v>
      </c>
      <c r="D852" s="2004"/>
      <c r="E852" s="1658" t="s">
        <v>9033</v>
      </c>
      <c r="F852" s="2004"/>
      <c r="G852" s="2004">
        <f>IF('2B'!J25="","##BLANK",'2B'!J25)</f>
        <v>81.855999999999995</v>
      </c>
    </row>
    <row r="853" spans="2:7">
      <c r="B853" s="848" t="str">
        <f>+'2B'!BI26</f>
        <v>BM833SG</v>
      </c>
      <c r="D853" s="2004"/>
      <c r="E853" s="1658" t="s">
        <v>9033</v>
      </c>
      <c r="F853" s="2004"/>
      <c r="G853" s="2004">
        <f>IF('2B'!J26="","##BLANK",'2B'!J26)</f>
        <v>0</v>
      </c>
    </row>
    <row r="854" spans="2:7">
      <c r="B854" s="848" t="str">
        <f>+'2B'!BI27</f>
        <v>BA2120SG</v>
      </c>
      <c r="D854" s="2004"/>
      <c r="E854" s="1658" t="s">
        <v>9033</v>
      </c>
      <c r="F854" s="2004"/>
      <c r="G854" s="2004">
        <f>IF('2B'!J27="","##BLANK",'2B'!J27)</f>
        <v>81.855999999999995</v>
      </c>
    </row>
    <row r="855" spans="2:7">
      <c r="B855" s="848" t="str">
        <f>+'2B'!BI30</f>
        <v>BA2121SG</v>
      </c>
      <c r="D855" s="2004"/>
      <c r="E855" s="1658" t="s">
        <v>9033</v>
      </c>
      <c r="F855" s="2004"/>
      <c r="G855" s="2004">
        <f>IF('2B'!J30="","##BLANK",'2B'!J30)</f>
        <v>0</v>
      </c>
    </row>
    <row r="856" spans="2:7">
      <c r="B856" s="848" t="str">
        <f>+'2B'!BI32</f>
        <v>BM825SG</v>
      </c>
      <c r="D856" s="2004"/>
      <c r="E856" s="1658" t="s">
        <v>9033</v>
      </c>
      <c r="F856" s="2004"/>
      <c r="G856" s="2004">
        <f>IF('2B'!J32="","##BLANK",'2B'!J32)</f>
        <v>114.309</v>
      </c>
    </row>
    <row r="857" spans="2:7">
      <c r="B857" s="848" t="str">
        <f>+'2B'!BI35</f>
        <v>CR00559SG</v>
      </c>
      <c r="D857" s="2004"/>
      <c r="E857" s="1658" t="s">
        <v>9033</v>
      </c>
      <c r="F857" s="2004"/>
      <c r="G857" s="2004">
        <f>IF('2B'!J35="","##BLANK",'2B'!J35)</f>
        <v>0</v>
      </c>
    </row>
    <row r="858" spans="2:7">
      <c r="B858" s="848" t="str">
        <f>+'2B'!BI36</f>
        <v>CR00562SG</v>
      </c>
      <c r="D858" s="2004"/>
      <c r="E858" s="1658" t="s">
        <v>9033</v>
      </c>
      <c r="F858" s="2004"/>
      <c r="G858" s="2004">
        <f>IF('2B'!J36="","##BLANK",'2B'!J36)</f>
        <v>0</v>
      </c>
    </row>
    <row r="859" spans="2:7">
      <c r="B859" s="848" t="str">
        <f>+'2B'!BI39</f>
        <v>S3040SG</v>
      </c>
      <c r="D859" s="2004"/>
      <c r="E859" s="1658" t="s">
        <v>9033</v>
      </c>
      <c r="F859" s="2004"/>
      <c r="G859" s="2004">
        <f>IF('2B'!J39="","##BLANK",'2B'!J39)</f>
        <v>114.309</v>
      </c>
    </row>
    <row r="860" spans="2:7">
      <c r="B860" s="848" t="str">
        <f>+'2B'!BJ6</f>
        <v>BM802TTT</v>
      </c>
      <c r="D860" s="2004"/>
      <c r="E860" s="1658" t="s">
        <v>9033</v>
      </c>
      <c r="F860" s="2004"/>
      <c r="G860" s="2004" t="str">
        <f>IF('2B'!K6="","##BLANK",'2B'!K6)</f>
        <v>##BLANK</v>
      </c>
    </row>
    <row r="861" spans="2:7">
      <c r="B861" s="848" t="str">
        <f>+'2B'!BJ7</f>
        <v>BM836TTT</v>
      </c>
      <c r="D861" s="2004"/>
      <c r="E861" s="1658" t="s">
        <v>9033</v>
      </c>
      <c r="F861" s="2004"/>
      <c r="G861" s="2004" t="str">
        <f>IF('2B'!K7="","##BLANK",'2B'!K7)</f>
        <v>##BLANK</v>
      </c>
    </row>
    <row r="862" spans="2:7">
      <c r="B862" s="848" t="str">
        <f>+'2B'!BJ8</f>
        <v>BM831TTT</v>
      </c>
      <c r="D862" s="2004"/>
      <c r="E862" s="1658" t="s">
        <v>9033</v>
      </c>
      <c r="F862" s="2004"/>
      <c r="G862" s="2004" t="str">
        <f>IF('2B'!K8="","##BLANK",'2B'!K8)</f>
        <v>##BLANK</v>
      </c>
    </row>
    <row r="863" spans="2:7">
      <c r="B863" s="848" t="str">
        <f>+'2B'!BJ9</f>
        <v>BM140TTT</v>
      </c>
      <c r="D863" s="2004"/>
      <c r="E863" s="1658" t="s">
        <v>9033</v>
      </c>
      <c r="F863" s="2004"/>
      <c r="G863" s="2004" t="str">
        <f>IF('2B'!K9="","##BLANK",'2B'!K9)</f>
        <v>##BLANK</v>
      </c>
    </row>
    <row r="864" spans="2:7">
      <c r="B864" s="848" t="str">
        <f>+'2B'!BJ10</f>
        <v>BM839TTTIR</v>
      </c>
      <c r="D864" s="2004"/>
      <c r="E864" s="1658" t="s">
        <v>9033</v>
      </c>
      <c r="F864" s="2004"/>
      <c r="G864" s="2004" t="str">
        <f>IF('2B'!K10="","##BLANK",'2B'!K10)</f>
        <v>##BLANK</v>
      </c>
    </row>
    <row r="865" spans="2:7">
      <c r="B865" s="848" t="str">
        <f>+'2B'!BJ11</f>
        <v>BM839TTTNIR</v>
      </c>
      <c r="D865" s="2004"/>
      <c r="E865" s="1658" t="s">
        <v>9033</v>
      </c>
      <c r="F865" s="2004"/>
      <c r="G865" s="2004" t="str">
        <f>IF('2B'!K11="","##BLANK",'2B'!K11)</f>
        <v>##BLANK</v>
      </c>
    </row>
    <row r="866" spans="2:7">
      <c r="B866" s="848" t="str">
        <f>+'2B'!BJ12</f>
        <v>BM839TTTER</v>
      </c>
      <c r="D866" s="2004"/>
      <c r="E866" s="1658" t="s">
        <v>9033</v>
      </c>
      <c r="F866" s="2004"/>
      <c r="G866" s="2004" t="str">
        <f>IF('2B'!K12="","##BLANK",'2B'!K12)</f>
        <v>##BLANK</v>
      </c>
    </row>
    <row r="867" spans="2:7">
      <c r="B867" s="848" t="str">
        <f>+'2B'!BJ13</f>
        <v>BM817TTT</v>
      </c>
      <c r="D867" s="2004"/>
      <c r="E867" s="1658" t="s">
        <v>9033</v>
      </c>
      <c r="F867" s="2004"/>
      <c r="G867" s="2004" t="str">
        <f>IF('2B'!K13="","##BLANK",'2B'!K13)</f>
        <v>##BLANK</v>
      </c>
    </row>
    <row r="868" spans="2:7">
      <c r="B868" s="848" t="str">
        <f>+'2B'!BJ14</f>
        <v>BM844TTT</v>
      </c>
      <c r="D868" s="2004"/>
      <c r="E868" s="1658" t="s">
        <v>9033</v>
      </c>
      <c r="F868" s="2004"/>
      <c r="G868" s="2004">
        <f>IF('2B'!K14="","##BLANK",'2B'!K14)</f>
        <v>0</v>
      </c>
    </row>
    <row r="869" spans="2:7">
      <c r="B869" s="848" t="str">
        <f>+'2B'!BJ16</f>
        <v>BM823TTT</v>
      </c>
      <c r="D869" s="2004"/>
      <c r="E869" s="1658" t="s">
        <v>9033</v>
      </c>
      <c r="F869" s="2004"/>
      <c r="G869" s="2004" t="str">
        <f>IF('2B'!K16="","##BLANK",'2B'!K16)</f>
        <v>##BLANK</v>
      </c>
    </row>
    <row r="870" spans="2:7">
      <c r="B870" s="848" t="str">
        <f>+'2B'!BJ17</f>
        <v>BM850TTT</v>
      </c>
      <c r="D870" s="2004"/>
      <c r="E870" s="1658" t="s">
        <v>9033</v>
      </c>
      <c r="F870" s="2004"/>
      <c r="G870" s="2004">
        <f>IF('2B'!K17="","##BLANK",'2B'!K17)</f>
        <v>0</v>
      </c>
    </row>
    <row r="871" spans="2:7">
      <c r="B871" s="848" t="str">
        <f>+'2B'!BJ20</f>
        <v>BC30945TTT</v>
      </c>
      <c r="D871" s="2004"/>
      <c r="E871" s="1658" t="s">
        <v>9033</v>
      </c>
      <c r="F871" s="2004"/>
      <c r="G871" s="2004" t="str">
        <f>IF('2B'!K20="","##BLANK",'2B'!K20)</f>
        <v>##BLANK</v>
      </c>
    </row>
    <row r="872" spans="2:7">
      <c r="B872" s="848" t="str">
        <f>+'2B'!BJ21</f>
        <v>CS00036TTT</v>
      </c>
      <c r="D872" s="2004"/>
      <c r="E872" s="1658" t="s">
        <v>9033</v>
      </c>
      <c r="F872" s="2004"/>
      <c r="G872" s="2004" t="str">
        <f>IF('2B'!K21="","##BLANK",'2B'!K21)</f>
        <v>##BLANK</v>
      </c>
    </row>
    <row r="873" spans="2:7">
      <c r="B873" s="848" t="str">
        <f>+'2B'!BJ22</f>
        <v>BA2051TTT</v>
      </c>
      <c r="D873" s="2004"/>
      <c r="E873" s="1658" t="s">
        <v>9033</v>
      </c>
      <c r="F873" s="2004"/>
      <c r="G873" s="2004" t="str">
        <f>IF('2B'!K22="","##BLANK",'2B'!K22)</f>
        <v>##BLANK</v>
      </c>
    </row>
    <row r="874" spans="2:7">
      <c r="B874" s="848" t="str">
        <f>+'2B'!BJ23</f>
        <v>BA2061TTT</v>
      </c>
      <c r="D874" s="2004"/>
      <c r="E874" s="1658" t="s">
        <v>9033</v>
      </c>
      <c r="F874" s="2004"/>
      <c r="G874" s="2004" t="str">
        <f>IF('2B'!K23="","##BLANK",'2B'!K23)</f>
        <v>##BLANK</v>
      </c>
    </row>
    <row r="875" spans="2:7">
      <c r="B875" s="848" t="str">
        <f>+'2B'!BJ24</f>
        <v>BC30849TTT</v>
      </c>
      <c r="D875" s="2004"/>
      <c r="E875" s="1658" t="s">
        <v>9033</v>
      </c>
      <c r="F875" s="2004"/>
      <c r="G875" s="2004" t="str">
        <f>IF('2B'!K24="","##BLANK",'2B'!K24)</f>
        <v>##BLANK</v>
      </c>
    </row>
    <row r="876" spans="2:7">
      <c r="B876" s="848" t="str">
        <f>+'2B'!BJ25</f>
        <v>BM815TTT</v>
      </c>
      <c r="D876" s="2004"/>
      <c r="E876" s="1658" t="s">
        <v>9033</v>
      </c>
      <c r="F876" s="2004"/>
      <c r="G876" s="2004">
        <f>IF('2B'!K25="","##BLANK",'2B'!K25)</f>
        <v>0</v>
      </c>
    </row>
    <row r="877" spans="2:7">
      <c r="B877" s="848" t="str">
        <f>+'2B'!BJ26</f>
        <v>BM833TTT</v>
      </c>
      <c r="D877" s="2004"/>
      <c r="E877" s="1658" t="s">
        <v>9033</v>
      </c>
      <c r="F877" s="2004"/>
      <c r="G877" s="2004" t="str">
        <f>IF('2B'!K26="","##BLANK",'2B'!K26)</f>
        <v>##BLANK</v>
      </c>
    </row>
    <row r="878" spans="2:7">
      <c r="B878" s="848" t="str">
        <f>+'2B'!BJ27</f>
        <v>BA2120TTT</v>
      </c>
      <c r="D878" s="2004"/>
      <c r="E878" s="1658" t="s">
        <v>9033</v>
      </c>
      <c r="F878" s="2004"/>
      <c r="G878" s="2004">
        <f>IF('2B'!K27="","##BLANK",'2B'!K27)</f>
        <v>0</v>
      </c>
    </row>
    <row r="879" spans="2:7">
      <c r="B879" s="848" t="str">
        <f>+'2B'!BJ30</f>
        <v>BA2090PCTTT</v>
      </c>
      <c r="D879" s="2004"/>
      <c r="E879" s="1658" t="s">
        <v>9033</v>
      </c>
      <c r="F879" s="2004"/>
      <c r="G879" s="2004" t="str">
        <f>IF('2B'!K30="","##BLANK",'2B'!K30)</f>
        <v>##BLANK</v>
      </c>
    </row>
    <row r="880" spans="2:7">
      <c r="B880" s="848" t="str">
        <f>+'2B'!BJ32</f>
        <v>S3039TTT</v>
      </c>
      <c r="D880" s="2004"/>
      <c r="E880" s="1658" t="s">
        <v>9033</v>
      </c>
      <c r="F880" s="2004"/>
      <c r="G880" s="2004">
        <f>IF('2B'!K32="","##BLANK",'2B'!K32)</f>
        <v>0</v>
      </c>
    </row>
    <row r="881" spans="2:7">
      <c r="B881" s="848" t="str">
        <f>+'2B'!BJ35</f>
        <v>CR0559TTT</v>
      </c>
      <c r="D881" s="2004"/>
      <c r="E881" s="1658" t="s">
        <v>9033</v>
      </c>
      <c r="F881" s="2004"/>
      <c r="G881" s="2004" t="str">
        <f>IF('2B'!K35="","##BLANK",'2B'!K35)</f>
        <v>##BLANK</v>
      </c>
    </row>
    <row r="882" spans="2:7">
      <c r="B882" s="848" t="str">
        <f>+'2B'!BJ36</f>
        <v>CR00562TTT</v>
      </c>
      <c r="D882" s="2004"/>
      <c r="E882" s="1658" t="s">
        <v>9033</v>
      </c>
      <c r="F882" s="2004"/>
      <c r="G882" s="2004" t="str">
        <f>IF('2B'!K36="","##BLANK",'2B'!K36)</f>
        <v>##BLANK</v>
      </c>
    </row>
    <row r="883" spans="2:7">
      <c r="B883" s="848" t="str">
        <f>+'2B'!BJ39</f>
        <v>S3040TOTTTT</v>
      </c>
      <c r="D883" s="2004"/>
      <c r="E883" s="1658" t="s">
        <v>9033</v>
      </c>
      <c r="F883" s="2004"/>
      <c r="G883" s="2004">
        <f>IF('2B'!K39="","##BLANK",'2B'!K39)</f>
        <v>0</v>
      </c>
    </row>
    <row r="884" spans="2:7">
      <c r="B884" s="848" t="str">
        <f>+'2B'!BK6</f>
        <v>BM902TAS</v>
      </c>
      <c r="D884" s="2004"/>
      <c r="E884" s="1658" t="s">
        <v>9033</v>
      </c>
      <c r="F884" s="2004"/>
      <c r="G884" s="2004">
        <f>IF('2B'!L6="","##BLANK",'2B'!L6)</f>
        <v>58.228000000000009</v>
      </c>
    </row>
    <row r="885" spans="2:7">
      <c r="B885" s="848" t="str">
        <f>+'2B'!BK7</f>
        <v>BM936TAS</v>
      </c>
      <c r="D885" s="2004"/>
      <c r="E885" s="1658" t="s">
        <v>9033</v>
      </c>
      <c r="F885" s="2004"/>
      <c r="G885" s="2004">
        <f>IF('2B'!L7="","##BLANK",'2B'!L7)</f>
        <v>-2.262</v>
      </c>
    </row>
    <row r="886" spans="2:7">
      <c r="B886" s="848" t="str">
        <f>+'2B'!BK8</f>
        <v>BM931TAS</v>
      </c>
      <c r="D886" s="2004"/>
      <c r="E886" s="1658" t="s">
        <v>9033</v>
      </c>
      <c r="F886" s="2004"/>
      <c r="G886" s="2004">
        <f>IF('2B'!L8="","##BLANK",'2B'!L8)</f>
        <v>11.817</v>
      </c>
    </row>
    <row r="887" spans="2:7">
      <c r="B887" s="848" t="str">
        <f>+'2B'!BK9</f>
        <v>BM943TAS</v>
      </c>
      <c r="D887" s="2004"/>
      <c r="E887" s="1658" t="s">
        <v>9033</v>
      </c>
      <c r="F887" s="2004"/>
      <c r="G887" s="2004">
        <f>IF('2B'!L9="","##BLANK",'2B'!L9)</f>
        <v>3.8039999999999998</v>
      </c>
    </row>
    <row r="888" spans="2:7">
      <c r="B888" s="848" t="str">
        <f>+'2B'!BK10</f>
        <v>BM939TASIR</v>
      </c>
      <c r="D888" s="2004"/>
      <c r="E888" s="1658" t="s">
        <v>9033</v>
      </c>
      <c r="F888" s="2004"/>
      <c r="G888" s="2004">
        <f>IF('2B'!L10="","##BLANK",'2B'!L10)</f>
        <v>0</v>
      </c>
    </row>
    <row r="889" spans="2:7">
      <c r="B889" s="848" t="str">
        <f>+'2B'!BK11</f>
        <v>BM939TASNIR</v>
      </c>
      <c r="D889" s="2004"/>
      <c r="E889" s="1658" t="s">
        <v>9033</v>
      </c>
      <c r="F889" s="2004"/>
      <c r="G889" s="2004">
        <f>IF('2B'!L11="","##BLANK",'2B'!L11)</f>
        <v>0</v>
      </c>
    </row>
    <row r="890" spans="2:7">
      <c r="B890" s="848" t="str">
        <f>+'2B'!BK12</f>
        <v>BM939TASER</v>
      </c>
      <c r="D890" s="2004"/>
      <c r="E890" s="1658" t="s">
        <v>9033</v>
      </c>
      <c r="F890" s="2004"/>
      <c r="G890" s="2004">
        <f>IF('2B'!L12="","##BLANK",'2B'!L12)</f>
        <v>326.06899999999996</v>
      </c>
    </row>
    <row r="891" spans="2:7">
      <c r="B891" s="848" t="str">
        <f>+'2B'!BK13</f>
        <v>BM917TAS</v>
      </c>
      <c r="D891" s="2004"/>
      <c r="E891" s="1658" t="s">
        <v>9033</v>
      </c>
      <c r="F891" s="2004"/>
      <c r="G891" s="2004">
        <f>IF('2B'!L13="","##BLANK",'2B'!L13)</f>
        <v>62.248999999999995</v>
      </c>
    </row>
    <row r="892" spans="2:7">
      <c r="B892" s="848" t="str">
        <f>+'2B'!BK14</f>
        <v>BM950TAS</v>
      </c>
      <c r="D892" s="2004"/>
      <c r="E892" s="1658" t="s">
        <v>9033</v>
      </c>
      <c r="F892" s="2004"/>
      <c r="G892" s="2004">
        <f>IF('2B'!L14="","##BLANK",'2B'!L14)</f>
        <v>459.90499999999997</v>
      </c>
    </row>
    <row r="893" spans="2:7">
      <c r="B893" s="848" t="str">
        <f>+'2B'!BK16</f>
        <v>BM923TAS</v>
      </c>
      <c r="D893" s="2004"/>
      <c r="E893" s="1658" t="s">
        <v>9033</v>
      </c>
      <c r="F893" s="2004"/>
      <c r="G893" s="2004">
        <f>IF('2B'!L16="","##BLANK",'2B'!L16)</f>
        <v>1.4550000000000001</v>
      </c>
    </row>
    <row r="894" spans="2:7">
      <c r="B894" s="848" t="str">
        <f>+'2B'!BK17</f>
        <v>BM951TAS</v>
      </c>
      <c r="D894" s="2004"/>
      <c r="E894" s="1658" t="s">
        <v>9033</v>
      </c>
      <c r="F894" s="2004"/>
      <c r="G894" s="2004">
        <f>IF('2B'!L17="","##BLANK",'2B'!L17)</f>
        <v>461.35999999999996</v>
      </c>
    </row>
    <row r="895" spans="2:7">
      <c r="B895" s="848" t="str">
        <f>+'2B'!BK20</f>
        <v>BC30448</v>
      </c>
      <c r="D895" s="2004"/>
      <c r="E895" s="1658" t="s">
        <v>9033</v>
      </c>
      <c r="F895" s="2004"/>
      <c r="G895" s="2004">
        <f>IF('2B'!L20="","##BLANK",'2B'!L20)</f>
        <v>71.146000000000001</v>
      </c>
    </row>
    <row r="896" spans="2:7">
      <c r="B896" s="848" t="str">
        <f>+'2B'!BK21</f>
        <v>CT00036</v>
      </c>
      <c r="D896" s="2004"/>
      <c r="E896" s="1658" t="s">
        <v>9033</v>
      </c>
      <c r="F896" s="2004"/>
      <c r="G896" s="2004">
        <f>IF('2B'!L21="","##BLANK",'2B'!L21)</f>
        <v>238.768</v>
      </c>
    </row>
    <row r="897" spans="2:7">
      <c r="B897" s="848" t="str">
        <f>+'2B'!BK22</f>
        <v>BA2053</v>
      </c>
      <c r="D897" s="2004"/>
      <c r="E897" s="1658" t="s">
        <v>9033</v>
      </c>
      <c r="F897" s="2004"/>
      <c r="G897" s="2004">
        <f>IF('2B'!L22="","##BLANK",'2B'!L22)</f>
        <v>85.894000000000005</v>
      </c>
    </row>
    <row r="898" spans="2:7">
      <c r="B898" s="848" t="str">
        <f>+'2B'!BK23</f>
        <v>BA2063</v>
      </c>
      <c r="D898" s="2004"/>
      <c r="E898" s="1658" t="s">
        <v>9033</v>
      </c>
      <c r="F898" s="2004"/>
      <c r="G898" s="2004">
        <f>IF('2B'!L23="","##BLANK",'2B'!L23)</f>
        <v>112.50700000000001</v>
      </c>
    </row>
    <row r="899" spans="2:7">
      <c r="B899" s="848" t="str">
        <f>+'2B'!BK24</f>
        <v>BC30949</v>
      </c>
      <c r="D899" s="2004"/>
      <c r="E899" s="1658" t="s">
        <v>9033</v>
      </c>
      <c r="F899" s="2004"/>
      <c r="G899" s="2004">
        <f>IF('2B'!L24="","##BLANK",'2B'!L24)</f>
        <v>7.1850000000000005</v>
      </c>
    </row>
    <row r="900" spans="2:7">
      <c r="B900" s="848" t="str">
        <f>+'2B'!BK25</f>
        <v>BM916</v>
      </c>
      <c r="D900" s="2004"/>
      <c r="E900" s="1658" t="s">
        <v>9033</v>
      </c>
      <c r="F900" s="2004"/>
      <c r="G900" s="2004">
        <f>IF('2B'!L25="","##BLANK",'2B'!L25)</f>
        <v>515.5</v>
      </c>
    </row>
    <row r="901" spans="2:7">
      <c r="B901" s="848" t="str">
        <f>+'2B'!BK26</f>
        <v>BM923CET</v>
      </c>
      <c r="D901" s="2004"/>
      <c r="E901" s="1658" t="s">
        <v>9033</v>
      </c>
      <c r="F901" s="2004"/>
      <c r="G901" s="2004">
        <f>IF('2B'!L26="","##BLANK",'2B'!L26)</f>
        <v>0</v>
      </c>
    </row>
    <row r="902" spans="2:7">
      <c r="B902" s="848" t="str">
        <f>+'2B'!BK27</f>
        <v>BA3000</v>
      </c>
      <c r="D902" s="2004"/>
      <c r="E902" s="1658" t="s">
        <v>9033</v>
      </c>
      <c r="F902" s="2004"/>
      <c r="G902" s="2004">
        <f>IF('2B'!L27="","##BLANK",'2B'!L27)</f>
        <v>515.5</v>
      </c>
    </row>
    <row r="903" spans="2:7">
      <c r="B903" s="848" t="str">
        <f>+'2B'!BK30</f>
        <v>BA3001</v>
      </c>
      <c r="D903" s="2004"/>
      <c r="E903" s="1658" t="s">
        <v>9033</v>
      </c>
      <c r="F903" s="2004"/>
      <c r="G903" s="2004">
        <f>IF('2B'!L30="","##BLANK",'2B'!L30)</f>
        <v>26.773</v>
      </c>
    </row>
    <row r="904" spans="2:7">
      <c r="B904" s="848" t="str">
        <f>+'2B'!BK32</f>
        <v>T3039</v>
      </c>
      <c r="D904" s="2004"/>
      <c r="E904" s="1658" t="s">
        <v>9033</v>
      </c>
      <c r="F904" s="2004"/>
      <c r="G904" s="2004">
        <f>IF('2B'!L32="","##BLANK",'2B'!L32)</f>
        <v>950.08699999999999</v>
      </c>
    </row>
    <row r="905" spans="2:7">
      <c r="B905" s="848" t="str">
        <f>+'2B'!BK35</f>
        <v>CR00560</v>
      </c>
      <c r="D905" s="2004"/>
      <c r="E905" s="1658" t="s">
        <v>9033</v>
      </c>
      <c r="F905" s="2004"/>
      <c r="G905" s="2004">
        <f>IF('2B'!L35="","##BLANK",'2B'!L35)</f>
        <v>0</v>
      </c>
    </row>
    <row r="906" spans="2:7">
      <c r="B906" s="848" t="str">
        <f>+'2B'!BK36</f>
        <v>CR00563</v>
      </c>
      <c r="D906" s="2004"/>
      <c r="E906" s="1658" t="s">
        <v>9033</v>
      </c>
      <c r="F906" s="2004"/>
      <c r="G906" s="2004">
        <f>IF('2B'!L36="","##BLANK",'2B'!L36)</f>
        <v>0</v>
      </c>
    </row>
    <row r="907" spans="2:7">
      <c r="B907" s="848" t="str">
        <f>+'2B'!BK39</f>
        <v>CR00564</v>
      </c>
      <c r="D907" s="2004"/>
      <c r="E907" s="1658" t="s">
        <v>9033</v>
      </c>
      <c r="F907" s="2004"/>
      <c r="G907" s="2004">
        <f>IF('2B'!L39="","##BLANK",'2B'!L39)</f>
        <v>950.08699999999999</v>
      </c>
    </row>
    <row r="908" spans="2:7">
      <c r="B908" s="848" t="str">
        <f>+'2C'!AF9</f>
        <v>BM9007</v>
      </c>
      <c r="D908" s="2004"/>
      <c r="E908" s="1658" t="s">
        <v>9033</v>
      </c>
      <c r="F908" s="2004"/>
      <c r="G908" s="2004">
        <f>IF('2C'!G9="","##BLANK",'2C'!G9)</f>
        <v>1.524</v>
      </c>
    </row>
    <row r="909" spans="2:7">
      <c r="B909" s="848" t="str">
        <f>+'2C'!AF16</f>
        <v>BM4290</v>
      </c>
      <c r="D909" s="2004"/>
      <c r="E909" s="1658" t="s">
        <v>9033</v>
      </c>
      <c r="F909" s="2004"/>
      <c r="G909" s="2004">
        <f>IF('2C'!G16="","##BLANK",'2C'!G16)</f>
        <v>2.2240000000000002</v>
      </c>
    </row>
    <row r="910" spans="2:7">
      <c r="B910" s="848" t="str">
        <f>+'2C'!AF17</f>
        <v>BM9027</v>
      </c>
      <c r="D910" s="2004"/>
      <c r="E910" s="1658" t="s">
        <v>9033</v>
      </c>
      <c r="F910" s="2004"/>
      <c r="G910" s="2004">
        <f>IF('2C'!G17="","##BLANK",'2C'!G17)</f>
        <v>0</v>
      </c>
    </row>
    <row r="911" spans="2:7">
      <c r="B911" s="848" t="str">
        <f>+'2C'!AF21</f>
        <v>BM9038</v>
      </c>
      <c r="D911" s="2004"/>
      <c r="E911" s="1658" t="s">
        <v>9033</v>
      </c>
      <c r="F911" s="2004"/>
      <c r="G911" s="2004">
        <f>IF('2C'!G21="","##BLANK",'2C'!G21)</f>
        <v>17.707999999999998</v>
      </c>
    </row>
    <row r="912" spans="2:7">
      <c r="B912" s="848" t="str">
        <f>+'2C'!AG6</f>
        <v>BM9031</v>
      </c>
      <c r="D912" s="2004"/>
      <c r="E912" s="1658" t="s">
        <v>9033</v>
      </c>
      <c r="F912" s="2004"/>
      <c r="G912" s="2004">
        <f>IF('2C'!H6="","##BLANK",'2C'!H6)</f>
        <v>1.9059999999999999</v>
      </c>
    </row>
    <row r="913" spans="2:7">
      <c r="B913" s="848" t="str">
        <f>+'2C'!AG7</f>
        <v>BM9202</v>
      </c>
      <c r="D913" s="2004"/>
      <c r="E913" s="1658" t="s">
        <v>9033</v>
      </c>
      <c r="F913" s="2004"/>
      <c r="G913" s="2004">
        <f>IF('2C'!H7="","##BLANK",'2C'!H7)</f>
        <v>0</v>
      </c>
    </row>
    <row r="914" spans="2:7">
      <c r="B914" s="848" t="str">
        <f>+'2C'!AG8</f>
        <v>BM9203</v>
      </c>
      <c r="D914" s="2004"/>
      <c r="E914" s="1658" t="s">
        <v>9033</v>
      </c>
      <c r="F914" s="2004"/>
      <c r="G914" s="2004">
        <f>IF('2C'!H8="","##BLANK",'2C'!H8)</f>
        <v>6.1550000000000002</v>
      </c>
    </row>
    <row r="915" spans="2:7">
      <c r="B915" s="848" t="str">
        <f>+'2C'!AG9</f>
        <v>BM9207</v>
      </c>
      <c r="D915" s="2004"/>
      <c r="E915" s="1658" t="s">
        <v>9033</v>
      </c>
      <c r="F915" s="2004"/>
      <c r="G915" s="2004">
        <f>IF('2C'!H9="","##BLANK",'2C'!H9)</f>
        <v>5.5E-2</v>
      </c>
    </row>
    <row r="916" spans="2:7">
      <c r="B916" s="848" t="str">
        <f>+'2C'!AG10</f>
        <v>BM9230</v>
      </c>
      <c r="D916" s="2004"/>
      <c r="E916" s="1658" t="s">
        <v>9033</v>
      </c>
      <c r="F916" s="2004"/>
      <c r="G916" s="2004">
        <f>IF('2C'!H10="","##BLANK",'2C'!H10)</f>
        <v>1.0089999999999999</v>
      </c>
    </row>
    <row r="917" spans="2:7">
      <c r="B917" s="848" t="str">
        <f>+'2C'!AG11</f>
        <v>BM9034</v>
      </c>
      <c r="D917" s="2004"/>
      <c r="E917" s="1658" t="s">
        <v>9033</v>
      </c>
      <c r="F917" s="2004"/>
      <c r="G917" s="2004">
        <f>IF('2C'!H11="","##BLANK",'2C'!H11)</f>
        <v>5.2370000000000001</v>
      </c>
    </row>
    <row r="918" spans="2:7">
      <c r="B918" s="848" t="str">
        <f>+'2C'!AG12</f>
        <v>BM9221</v>
      </c>
      <c r="D918" s="2004"/>
      <c r="E918" s="1658" t="s">
        <v>9033</v>
      </c>
      <c r="F918" s="2004"/>
      <c r="G918" s="2004">
        <f>IF('2C'!H12="","##BLANK",'2C'!H12)</f>
        <v>14.362</v>
      </c>
    </row>
    <row r="919" spans="2:7">
      <c r="B919" s="848" t="str">
        <f>+'2C'!AG13</f>
        <v>BM9222</v>
      </c>
      <c r="D919" s="2004"/>
      <c r="E919" s="1658" t="s">
        <v>9033</v>
      </c>
      <c r="F919" s="2004"/>
      <c r="G919" s="2004">
        <f>IF('2C'!H13="","##BLANK",'2C'!H13)</f>
        <v>0</v>
      </c>
    </row>
    <row r="920" spans="2:7">
      <c r="B920" s="848" t="str">
        <f>+'2C'!AG14</f>
        <v>BM9223</v>
      </c>
      <c r="D920" s="2004"/>
      <c r="E920" s="1658" t="s">
        <v>9033</v>
      </c>
      <c r="F920" s="2004"/>
      <c r="G920" s="2004">
        <f>IF('2C'!H14="","##BLANK",'2C'!H14)</f>
        <v>14.362</v>
      </c>
    </row>
    <row r="921" spans="2:7">
      <c r="B921" s="848" t="str">
        <f>+'2C'!AG16</f>
        <v>BM9225</v>
      </c>
      <c r="D921" s="2004"/>
      <c r="E921" s="1658" t="s">
        <v>9033</v>
      </c>
      <c r="F921" s="2004"/>
      <c r="G921" s="2004">
        <f>IF('2C'!H16="","##BLANK",'2C'!H16)</f>
        <v>1.851</v>
      </c>
    </row>
    <row r="922" spans="2:7">
      <c r="B922" s="848" t="str">
        <f>+'2C'!AG17</f>
        <v>BM9227</v>
      </c>
      <c r="D922" s="2004"/>
      <c r="E922" s="1658" t="s">
        <v>9033</v>
      </c>
      <c r="F922" s="2004"/>
      <c r="G922" s="2004">
        <f>IF('2C'!H17="","##BLANK",'2C'!H17)</f>
        <v>1.9830000000000001</v>
      </c>
    </row>
    <row r="923" spans="2:7">
      <c r="B923" s="848" t="str">
        <f>+'2C'!AG19</f>
        <v>BM9229</v>
      </c>
      <c r="D923" s="2004"/>
      <c r="E923" s="1658" t="s">
        <v>9033</v>
      </c>
      <c r="F923" s="2004"/>
      <c r="G923" s="2004">
        <f>IF('2C'!H19="","##BLANK",'2C'!H19)</f>
        <v>18.196000000000002</v>
      </c>
    </row>
    <row r="924" spans="2:7">
      <c r="B924" s="848" t="str">
        <f>+'2C'!AG21</f>
        <v>BM9338</v>
      </c>
      <c r="D924" s="2004"/>
      <c r="E924" s="1658" t="s">
        <v>9033</v>
      </c>
      <c r="F924" s="2004"/>
      <c r="G924" s="2004">
        <f>IF('2C'!H21="","##BLANK",'2C'!H21)</f>
        <v>3.0019999999999998</v>
      </c>
    </row>
    <row r="925" spans="2:7">
      <c r="B925" s="848" t="str">
        <f>+'2C'!AH6</f>
        <v>BM9032</v>
      </c>
      <c r="D925" s="2004"/>
      <c r="E925" s="1658" t="s">
        <v>9033</v>
      </c>
      <c r="F925" s="2004"/>
      <c r="G925" s="2004">
        <f>IF('2C'!I6="","##BLANK",'2C'!I6)</f>
        <v>29.113</v>
      </c>
    </row>
    <row r="926" spans="2:7">
      <c r="B926" s="848" t="str">
        <f>+'2C'!AH7</f>
        <v>BM9502</v>
      </c>
      <c r="D926" s="2004"/>
      <c r="E926" s="1658" t="s">
        <v>9033</v>
      </c>
      <c r="F926" s="2004"/>
      <c r="G926" s="2004">
        <f>IF('2C'!I7="","##BLANK",'2C'!I7)</f>
        <v>4.0289999999999999</v>
      </c>
    </row>
    <row r="927" spans="2:7">
      <c r="B927" s="848" t="str">
        <f>+'2C'!AH8</f>
        <v>BM9503</v>
      </c>
      <c r="D927" s="2004"/>
      <c r="E927" s="1658" t="s">
        <v>9033</v>
      </c>
      <c r="F927" s="2004"/>
      <c r="G927" s="2004">
        <f>IF('2C'!I8="","##BLANK",'2C'!I8)</f>
        <v>30.235000000000003</v>
      </c>
    </row>
    <row r="928" spans="2:7">
      <c r="B928" s="848" t="str">
        <f>+'2C'!AH9</f>
        <v>BM9507</v>
      </c>
      <c r="D928" s="2004"/>
      <c r="E928" s="1658" t="s">
        <v>9033</v>
      </c>
      <c r="F928" s="2004"/>
      <c r="G928" s="2004">
        <f>IF('2C'!I9="","##BLANK",'2C'!I9)</f>
        <v>1.579</v>
      </c>
    </row>
    <row r="929" spans="2:7">
      <c r="B929" s="848" t="str">
        <f>+'2C'!AH10</f>
        <v>BM9530</v>
      </c>
      <c r="D929" s="2004"/>
      <c r="E929" s="1658" t="s">
        <v>9033</v>
      </c>
      <c r="F929" s="2004"/>
      <c r="G929" s="2004">
        <f>IF('2C'!I10="","##BLANK",'2C'!I10)</f>
        <v>1.0089999999999999</v>
      </c>
    </row>
    <row r="930" spans="2:7">
      <c r="B930" s="848" t="str">
        <f>+'2C'!AH11</f>
        <v>BM9035</v>
      </c>
      <c r="D930" s="2004"/>
      <c r="E930" s="1658" t="s">
        <v>9033</v>
      </c>
      <c r="F930" s="2004"/>
      <c r="G930" s="2004">
        <f>IF('2C'!I11="","##BLANK",'2C'!I11)</f>
        <v>14.012</v>
      </c>
    </row>
    <row r="931" spans="2:7">
      <c r="B931" s="848" t="str">
        <f>+'2C'!AH12</f>
        <v>BM9521</v>
      </c>
      <c r="D931" s="2004"/>
      <c r="E931" s="1658" t="s">
        <v>9033</v>
      </c>
      <c r="F931" s="2004"/>
      <c r="G931" s="2004">
        <f>IF('2C'!I12="","##BLANK",'2C'!I12)</f>
        <v>79.97699999999999</v>
      </c>
    </row>
    <row r="932" spans="2:7">
      <c r="B932" s="848" t="str">
        <f>+'2C'!AH13</f>
        <v>BM9522</v>
      </c>
      <c r="D932" s="2004"/>
      <c r="E932" s="1658" t="s">
        <v>9033</v>
      </c>
      <c r="F932" s="2004"/>
      <c r="G932" s="2004">
        <f>IF('2C'!I13="","##BLANK",'2C'!I13)</f>
        <v>0</v>
      </c>
    </row>
    <row r="933" spans="2:7">
      <c r="B933" s="848" t="str">
        <f>+'2C'!AH14</f>
        <v>BM9523</v>
      </c>
      <c r="D933" s="2004"/>
      <c r="E933" s="1658" t="s">
        <v>9033</v>
      </c>
      <c r="F933" s="2004"/>
      <c r="G933" s="2004">
        <f>IF('2C'!I14="","##BLANK",'2C'!I14)</f>
        <v>79.97699999999999</v>
      </c>
    </row>
    <row r="934" spans="2:7">
      <c r="B934" s="848" t="str">
        <f>+'2C'!AH16</f>
        <v>BM9525</v>
      </c>
      <c r="D934" s="2004"/>
      <c r="E934" s="1658" t="s">
        <v>9033</v>
      </c>
      <c r="F934" s="2004"/>
      <c r="G934" s="2004">
        <f>IF('2C'!I16="","##BLANK",'2C'!I16)</f>
        <v>4.0750000000000002</v>
      </c>
    </row>
    <row r="935" spans="2:7">
      <c r="B935" s="848" t="str">
        <f>+'2C'!AH17</f>
        <v>BM9527</v>
      </c>
      <c r="D935" s="2004"/>
      <c r="E935" s="1658" t="s">
        <v>9033</v>
      </c>
      <c r="F935" s="2004"/>
      <c r="G935" s="2004">
        <f>IF('2C'!I17="","##BLANK",'2C'!I17)</f>
        <v>1.9830000000000001</v>
      </c>
    </row>
    <row r="936" spans="2:7">
      <c r="B936" s="848" t="str">
        <f>+'2C'!AH19</f>
        <v>BM9529</v>
      </c>
      <c r="D936" s="2004"/>
      <c r="E936" s="1658" t="s">
        <v>9033</v>
      </c>
      <c r="F936" s="2004"/>
      <c r="G936" s="2004">
        <f>IF('2C'!I19="","##BLANK",'2C'!I19)</f>
        <v>86.034999999999997</v>
      </c>
    </row>
    <row r="937" spans="2:7">
      <c r="B937" s="848" t="str">
        <f>+'2C'!AH21</f>
        <v>BM9538</v>
      </c>
      <c r="D937" s="2004"/>
      <c r="E937" s="1658" t="s">
        <v>9033</v>
      </c>
      <c r="F937" s="2004"/>
      <c r="G937" s="2004">
        <f>IF('2C'!I21="","##BLANK",'2C'!I21)</f>
        <v>20.709999999999997</v>
      </c>
    </row>
    <row r="938" spans="2:7">
      <c r="B938" s="848" t="str">
        <f>+'2D'!BF7</f>
        <v>BM4012WR</v>
      </c>
      <c r="D938" s="2004"/>
      <c r="E938" s="1658" t="s">
        <v>9033</v>
      </c>
      <c r="F938" s="2004"/>
      <c r="G938" s="2004">
        <f>IF('2D'!G7="","##BLANK",'2D'!G7)</f>
        <v>382.12900000000002</v>
      </c>
    </row>
    <row r="939" spans="2:7">
      <c r="B939" s="848" t="str">
        <f>+'2D'!BF8</f>
        <v>BM4016WR</v>
      </c>
      <c r="D939" s="2004"/>
      <c r="E939" s="1658" t="s">
        <v>9033</v>
      </c>
      <c r="F939" s="2004"/>
      <c r="G939" s="2004">
        <f>IF('2D'!G8="","##BLANK",'2D'!G8)</f>
        <v>-6.8810000000000002</v>
      </c>
    </row>
    <row r="940" spans="2:7">
      <c r="B940" s="848" t="str">
        <f>+'2D'!BF9</f>
        <v>BM4017WR</v>
      </c>
      <c r="D940" s="2004"/>
      <c r="E940" s="1658" t="s">
        <v>9033</v>
      </c>
      <c r="F940" s="2004"/>
      <c r="G940" s="2004">
        <f>IF('2D'!G9="","##BLANK",'2D'!G9)</f>
        <v>10.696</v>
      </c>
    </row>
    <row r="941" spans="2:7">
      <c r="B941" s="848" t="str">
        <f>+'2D'!BF10</f>
        <v>BM4021WR</v>
      </c>
      <c r="D941" s="2004"/>
      <c r="E941" s="1658" t="s">
        <v>9033</v>
      </c>
      <c r="F941" s="2004"/>
      <c r="G941" s="2004">
        <f>IF('2D'!G10="","##BLANK",'2D'!G10)</f>
        <v>-6.641</v>
      </c>
    </row>
    <row r="942" spans="2:7">
      <c r="B942" s="848" t="str">
        <f>+'2D'!BF11</f>
        <v>BM4019WR</v>
      </c>
      <c r="D942" s="2004"/>
      <c r="E942" s="1658" t="s">
        <v>9033</v>
      </c>
      <c r="F942" s="2004"/>
      <c r="G942" s="2004">
        <f>IF('2D'!G11="","##BLANK",'2D'!G11)</f>
        <v>0</v>
      </c>
    </row>
    <row r="943" spans="2:7">
      <c r="B943" s="848" t="str">
        <f>+'2D'!BF12</f>
        <v>BM4018WR</v>
      </c>
      <c r="D943" s="2004"/>
      <c r="E943" s="1658" t="s">
        <v>9033</v>
      </c>
      <c r="F943" s="2004"/>
      <c r="G943" s="2004">
        <f>IF('2D'!G12="","##BLANK",'2D'!G12)</f>
        <v>379.30300000000005</v>
      </c>
    </row>
    <row r="944" spans="2:7">
      <c r="B944" s="848" t="str">
        <f>+'2D'!BF15</f>
        <v>BM4041WR</v>
      </c>
      <c r="D944" s="2004"/>
      <c r="E944" s="1658" t="s">
        <v>9033</v>
      </c>
      <c r="F944" s="2004"/>
      <c r="G944" s="2004">
        <f>IF('2D'!G15="","##BLANK",'2D'!G15)</f>
        <v>-76.575000000000003</v>
      </c>
    </row>
    <row r="945" spans="2:7">
      <c r="B945" s="848" t="str">
        <f>+'2D'!BF16</f>
        <v>BM4045WR</v>
      </c>
      <c r="D945" s="2004"/>
      <c r="E945" s="1658" t="s">
        <v>9033</v>
      </c>
      <c r="F945" s="2004"/>
      <c r="G945" s="2004">
        <f>IF('2D'!G16="","##BLANK",'2D'!G16)</f>
        <v>6.8810000000000002</v>
      </c>
    </row>
    <row r="946" spans="2:7">
      <c r="B946" s="848" t="str">
        <f>+'2D'!BF17</f>
        <v>BM4053WR</v>
      </c>
      <c r="D946" s="2004"/>
      <c r="E946" s="1658" t="s">
        <v>9033</v>
      </c>
      <c r="F946" s="2004"/>
      <c r="G946" s="2004">
        <f>IF('2D'!G17="","##BLANK",'2D'!G17)</f>
        <v>0</v>
      </c>
    </row>
    <row r="947" spans="2:7">
      <c r="B947" s="848" t="str">
        <f>+'2D'!BF18</f>
        <v>BM4046WR</v>
      </c>
      <c r="D947" s="2004"/>
      <c r="E947" s="1658" t="s">
        <v>9033</v>
      </c>
      <c r="F947" s="2004"/>
      <c r="G947" s="2004">
        <f>IF('2D'!G18="","##BLANK",'2D'!G18)</f>
        <v>-9.282</v>
      </c>
    </row>
    <row r="948" spans="2:7">
      <c r="B948" s="848" t="str">
        <f>+'2D'!BF19</f>
        <v>BM4047WR</v>
      </c>
      <c r="D948" s="2004"/>
      <c r="E948" s="1658" t="s">
        <v>9033</v>
      </c>
      <c r="F948" s="2004"/>
      <c r="G948" s="2004">
        <f>IF('2D'!G19="","##BLANK",'2D'!G19)</f>
        <v>-78.975999999999999</v>
      </c>
    </row>
    <row r="949" spans="2:7">
      <c r="B949" s="848" t="str">
        <f>+'2D'!BF21</f>
        <v>BM4048WR</v>
      </c>
      <c r="D949" s="2004"/>
      <c r="E949" s="1658" t="s">
        <v>9033</v>
      </c>
      <c r="F949" s="2004"/>
      <c r="G949" s="2004">
        <f>IF('2D'!G21="","##BLANK",'2D'!G21)</f>
        <v>300.32700000000006</v>
      </c>
    </row>
    <row r="950" spans="2:7">
      <c r="B950" s="848" t="str">
        <f>+'2D'!BF22</f>
        <v>BM4049WR</v>
      </c>
      <c r="D950" s="2004"/>
      <c r="E950" s="1658" t="s">
        <v>9033</v>
      </c>
      <c r="F950" s="2004"/>
      <c r="G950" s="2004">
        <f>IF('2D'!G22="","##BLANK",'2D'!G22)</f>
        <v>305.55400000000003</v>
      </c>
    </row>
    <row r="951" spans="2:7">
      <c r="B951" s="848" t="str">
        <f>+'2D'!BF25</f>
        <v>BM4051WR</v>
      </c>
      <c r="D951" s="2004"/>
      <c r="E951" s="1658" t="s">
        <v>9033</v>
      </c>
      <c r="F951" s="2004"/>
      <c r="G951" s="2004">
        <f>IF('2D'!G25="","##BLANK",'2D'!G25)</f>
        <v>-9.282</v>
      </c>
    </row>
    <row r="952" spans="2:7">
      <c r="B952" s="848" t="str">
        <f>+'2D'!BF26</f>
        <v>BM334WR</v>
      </c>
      <c r="D952" s="2004"/>
      <c r="E952" s="1658" t="s">
        <v>9033</v>
      </c>
      <c r="F952" s="2004"/>
      <c r="G952" s="2004">
        <f>IF('2D'!G26="","##BLANK",'2D'!G26)</f>
        <v>0</v>
      </c>
    </row>
    <row r="953" spans="2:7">
      <c r="B953" s="848" t="str">
        <f>+'2D'!BF27</f>
        <v>BM4052WR</v>
      </c>
      <c r="D953" s="2004"/>
      <c r="E953" s="1658" t="s">
        <v>9033</v>
      </c>
      <c r="F953" s="2004"/>
      <c r="G953" s="2004">
        <f>IF('2D'!G27="","##BLANK",'2D'!G27)</f>
        <v>-9.282</v>
      </c>
    </row>
    <row r="954" spans="2:7">
      <c r="B954" s="848" t="str">
        <f>+'2D'!BG7</f>
        <v>BM4012WN</v>
      </c>
      <c r="D954" s="2004"/>
      <c r="E954" s="1658" t="s">
        <v>9033</v>
      </c>
      <c r="F954" s="2004"/>
      <c r="G954" s="2004">
        <f>IF('2D'!H7="","##BLANK",'2D'!H7)</f>
        <v>4717.09</v>
      </c>
    </row>
    <row r="955" spans="2:7">
      <c r="B955" s="848" t="str">
        <f>+'2D'!BG8</f>
        <v>BM4016WN</v>
      </c>
      <c r="D955" s="2004"/>
      <c r="E955" s="1658" t="s">
        <v>9033</v>
      </c>
      <c r="F955" s="2004"/>
      <c r="G955" s="2004">
        <f>IF('2D'!H8="","##BLANK",'2D'!H8)</f>
        <v>-133.71899999999999</v>
      </c>
    </row>
    <row r="956" spans="2:7">
      <c r="B956" s="848" t="str">
        <f>+'2D'!BG9</f>
        <v>BM4017WN</v>
      </c>
      <c r="D956" s="2004"/>
      <c r="E956" s="1658" t="s">
        <v>9033</v>
      </c>
      <c r="F956" s="2004"/>
      <c r="G956" s="2004">
        <f>IF('2D'!H9="","##BLANK",'2D'!H9)</f>
        <v>168.11</v>
      </c>
    </row>
    <row r="957" spans="2:7">
      <c r="B957" s="848" t="str">
        <f>+'2D'!BG10</f>
        <v>BM4021WN</v>
      </c>
      <c r="D957" s="2004"/>
      <c r="E957" s="1658" t="s">
        <v>9033</v>
      </c>
      <c r="F957" s="2004"/>
      <c r="G957" s="2004">
        <f>IF('2D'!H10="","##BLANK",'2D'!H10)</f>
        <v>-81.120999999999995</v>
      </c>
    </row>
    <row r="958" spans="2:7">
      <c r="B958" s="848" t="str">
        <f>+'2D'!BG11</f>
        <v>BM4019WN</v>
      </c>
      <c r="D958" s="2004"/>
      <c r="E958" s="1658" t="s">
        <v>9033</v>
      </c>
      <c r="F958" s="2004"/>
      <c r="G958" s="2004">
        <f>IF('2D'!H11="","##BLANK",'2D'!H11)</f>
        <v>0</v>
      </c>
    </row>
    <row r="959" spans="2:7">
      <c r="B959" s="848" t="str">
        <f>+'2D'!BG12</f>
        <v>BM4018WN</v>
      </c>
      <c r="D959" s="2004"/>
      <c r="E959" s="1658" t="s">
        <v>9033</v>
      </c>
      <c r="F959" s="2004"/>
      <c r="G959" s="2004">
        <f>IF('2D'!H12="","##BLANK",'2D'!H12)</f>
        <v>4670.3599999999997</v>
      </c>
    </row>
    <row r="960" spans="2:7">
      <c r="B960" s="848" t="str">
        <f>+'2D'!BG15</f>
        <v>BM4041WN</v>
      </c>
      <c r="D960" s="2004"/>
      <c r="E960" s="1658" t="s">
        <v>9033</v>
      </c>
      <c r="F960" s="2004"/>
      <c r="G960" s="2004">
        <f>IF('2D'!H15="","##BLANK",'2D'!H15)</f>
        <v>-1664.289</v>
      </c>
    </row>
    <row r="961" spans="2:7">
      <c r="B961" s="848" t="str">
        <f>+'2D'!BG16</f>
        <v>BM4045WN</v>
      </c>
      <c r="D961" s="2004"/>
      <c r="E961" s="1658" t="s">
        <v>9033</v>
      </c>
      <c r="F961" s="2004"/>
      <c r="G961" s="2004">
        <f>IF('2D'!H16="","##BLANK",'2D'!H16)</f>
        <v>133.71899999999999</v>
      </c>
    </row>
    <row r="962" spans="2:7">
      <c r="B962" s="848" t="str">
        <f>+'2D'!BG17</f>
        <v>BM4053WN</v>
      </c>
      <c r="D962" s="2004"/>
      <c r="E962" s="1658" t="s">
        <v>9033</v>
      </c>
      <c r="F962" s="2004"/>
      <c r="G962" s="2004">
        <f>IF('2D'!H17="","##BLANK",'2D'!H17)</f>
        <v>0</v>
      </c>
    </row>
    <row r="963" spans="2:7">
      <c r="B963" s="848" t="str">
        <f>+'2D'!BG18</f>
        <v>BM4046WN</v>
      </c>
      <c r="D963" s="2004"/>
      <c r="E963" s="1658" t="s">
        <v>9033</v>
      </c>
      <c r="F963" s="2004"/>
      <c r="G963" s="2004">
        <f>IF('2D'!H18="","##BLANK",'2D'!H18)</f>
        <v>-112.372</v>
      </c>
    </row>
    <row r="964" spans="2:7">
      <c r="B964" s="848" t="str">
        <f>+'2D'!BG19</f>
        <v>BM4047WN</v>
      </c>
      <c r="D964" s="2004"/>
      <c r="E964" s="1658" t="s">
        <v>9033</v>
      </c>
      <c r="F964" s="2004"/>
      <c r="G964" s="2004">
        <f>IF('2D'!H19="","##BLANK",'2D'!H19)</f>
        <v>-1642.942</v>
      </c>
    </row>
    <row r="965" spans="2:7">
      <c r="B965" s="848" t="str">
        <f>+'2D'!BG21</f>
        <v>BM4048WN</v>
      </c>
      <c r="D965" s="2004"/>
      <c r="E965" s="1658" t="s">
        <v>9033</v>
      </c>
      <c r="F965" s="2004"/>
      <c r="G965" s="2004">
        <f>IF('2D'!H21="","##BLANK",'2D'!H21)</f>
        <v>3027.4179999999997</v>
      </c>
    </row>
    <row r="966" spans="2:7">
      <c r="B966" s="848" t="str">
        <f>+'2D'!BG22</f>
        <v>BM4049WN</v>
      </c>
      <c r="D966" s="2004"/>
      <c r="E966" s="1658" t="s">
        <v>9033</v>
      </c>
      <c r="F966" s="2004"/>
      <c r="G966" s="2004">
        <f>IF('2D'!H22="","##BLANK",'2D'!H22)</f>
        <v>3052.8010000000004</v>
      </c>
    </row>
    <row r="967" spans="2:7">
      <c r="B967" s="848" t="str">
        <f>+'2D'!BG25</f>
        <v>BM4051WN</v>
      </c>
      <c r="D967" s="2004"/>
      <c r="E967" s="1658" t="s">
        <v>9033</v>
      </c>
      <c r="F967" s="2004"/>
      <c r="G967" s="2004">
        <f>IF('2D'!H25="","##BLANK",'2D'!H25)</f>
        <v>-112.372</v>
      </c>
    </row>
    <row r="968" spans="2:7">
      <c r="B968" s="848" t="str">
        <f>+'2D'!BG26</f>
        <v>BM334WN</v>
      </c>
      <c r="D968" s="2004"/>
      <c r="E968" s="1658" t="s">
        <v>9033</v>
      </c>
      <c r="F968" s="2004"/>
      <c r="G968" s="2004">
        <f>IF('2D'!H26="","##BLANK",'2D'!H26)</f>
        <v>0</v>
      </c>
    </row>
    <row r="969" spans="2:7">
      <c r="B969" s="848" t="str">
        <f>+'2D'!BG27</f>
        <v>BM4052WN</v>
      </c>
      <c r="D969" s="2004"/>
      <c r="E969" s="1658" t="s">
        <v>9033</v>
      </c>
      <c r="F969" s="2004"/>
      <c r="G969" s="2004">
        <f>IF('2D'!H27="","##BLANK",'2D'!H27)</f>
        <v>-112.372</v>
      </c>
    </row>
    <row r="970" spans="2:7">
      <c r="B970" s="848" t="str">
        <f>+'2D'!BH7</f>
        <v>BM4012WNK</v>
      </c>
      <c r="D970" s="2004"/>
      <c r="E970" s="1658" t="s">
        <v>9033</v>
      </c>
      <c r="F970" s="2004"/>
      <c r="G970" s="2004">
        <f>IF('2D'!I7="","##BLANK",'2D'!I7)</f>
        <v>5290.098</v>
      </c>
    </row>
    <row r="971" spans="2:7">
      <c r="B971" s="848" t="str">
        <f>+'2D'!BH8</f>
        <v>BM4016WNK</v>
      </c>
      <c r="D971" s="2004"/>
      <c r="E971" s="1658" t="s">
        <v>9033</v>
      </c>
      <c r="F971" s="2004"/>
      <c r="G971" s="2004">
        <f>IF('2D'!I8="","##BLANK",'2D'!I8)</f>
        <v>-166.023</v>
      </c>
    </row>
    <row r="972" spans="2:7">
      <c r="B972" s="848" t="str">
        <f>+'2D'!BH9</f>
        <v>BM4017WNK</v>
      </c>
      <c r="D972" s="2004"/>
      <c r="E972" s="1658" t="s">
        <v>9033</v>
      </c>
      <c r="F972" s="2004"/>
      <c r="G972" s="2004">
        <f>IF('2D'!I9="","##BLANK",'2D'!I9)</f>
        <v>214.10900000000001</v>
      </c>
    </row>
    <row r="973" spans="2:7">
      <c r="B973" s="848" t="str">
        <f>+'2D'!BH10</f>
        <v>BM4021WNK</v>
      </c>
      <c r="D973" s="2004"/>
      <c r="E973" s="1658" t="s">
        <v>9033</v>
      </c>
      <c r="F973" s="2004"/>
      <c r="G973" s="2004">
        <f>IF('2D'!I10="","##BLANK",'2D'!I10)</f>
        <v>-90.691000000000003</v>
      </c>
    </row>
    <row r="974" spans="2:7">
      <c r="B974" s="848" t="str">
        <f>+'2D'!BH11</f>
        <v>BM4019WNK</v>
      </c>
      <c r="D974" s="2004"/>
      <c r="E974" s="1658" t="s">
        <v>9033</v>
      </c>
      <c r="F974" s="2004"/>
      <c r="G974" s="2004">
        <f>IF('2D'!I11="","##BLANK",'2D'!I11)</f>
        <v>11.657</v>
      </c>
    </row>
    <row r="975" spans="2:7">
      <c r="B975" s="848" t="str">
        <f>+'2D'!BH12</f>
        <v>BM4018WNK</v>
      </c>
      <c r="D975" s="2004"/>
      <c r="E975" s="1658" t="s">
        <v>9033</v>
      </c>
      <c r="F975" s="2004"/>
      <c r="G975" s="2004">
        <f>IF('2D'!I12="","##BLANK",'2D'!I12)</f>
        <v>5259.1500000000005</v>
      </c>
    </row>
    <row r="976" spans="2:7">
      <c r="B976" s="848" t="str">
        <f>+'2D'!BH15</f>
        <v>BM4041WNK</v>
      </c>
      <c r="D976" s="2004"/>
      <c r="E976" s="1658" t="s">
        <v>9033</v>
      </c>
      <c r="F976" s="2004"/>
      <c r="G976" s="2004">
        <f>IF('2D'!I15="","##BLANK",'2D'!I15)</f>
        <v>-1308.1389999999999</v>
      </c>
    </row>
    <row r="977" spans="2:7">
      <c r="B977" s="848" t="str">
        <f>+'2D'!BH16</f>
        <v>BM4045WNK</v>
      </c>
      <c r="D977" s="2004"/>
      <c r="E977" s="1658" t="s">
        <v>9033</v>
      </c>
      <c r="F977" s="2004"/>
      <c r="G977" s="2004">
        <f>IF('2D'!I16="","##BLANK",'2D'!I16)</f>
        <v>165.92400000000001</v>
      </c>
    </row>
    <row r="978" spans="2:7">
      <c r="B978" s="848" t="str">
        <f>+'2D'!BH17</f>
        <v>BM4053WWNK</v>
      </c>
      <c r="D978" s="2004"/>
      <c r="E978" s="1658" t="s">
        <v>9033</v>
      </c>
      <c r="F978" s="2004"/>
      <c r="G978" s="2004">
        <f>IF('2D'!I17="","##BLANK",'2D'!I17)</f>
        <v>0</v>
      </c>
    </row>
    <row r="979" spans="2:7">
      <c r="B979" s="848" t="str">
        <f>+'2D'!BH18</f>
        <v>BM4046WNK</v>
      </c>
      <c r="D979" s="2004"/>
      <c r="E979" s="1658" t="s">
        <v>9033</v>
      </c>
      <c r="F979" s="2004"/>
      <c r="G979" s="2004">
        <f>IF('2D'!I18="","##BLANK",'2D'!I18)</f>
        <v>-163.01499999999999</v>
      </c>
    </row>
    <row r="980" spans="2:7">
      <c r="B980" s="848" t="str">
        <f>+'2D'!BH19</f>
        <v>BM4047WNK</v>
      </c>
      <c r="D980" s="2004"/>
      <c r="E980" s="1658" t="s">
        <v>9033</v>
      </c>
      <c r="F980" s="2004"/>
      <c r="G980" s="2004">
        <f>IF('2D'!I19="","##BLANK",'2D'!I19)</f>
        <v>-1305.23</v>
      </c>
    </row>
    <row r="981" spans="2:7">
      <c r="B981" s="848" t="str">
        <f>+'2D'!BH21</f>
        <v>BM4048WNK</v>
      </c>
      <c r="D981" s="2004"/>
      <c r="E981" s="1658" t="s">
        <v>9033</v>
      </c>
      <c r="F981" s="2004"/>
      <c r="G981" s="2004">
        <f>IF('2D'!I21="","##BLANK",'2D'!I21)</f>
        <v>3953.9200000000005</v>
      </c>
    </row>
    <row r="982" spans="2:7">
      <c r="B982" s="848" t="str">
        <f>+'2D'!BH22</f>
        <v>BM4049WNK</v>
      </c>
      <c r="D982" s="2004"/>
      <c r="E982" s="1658" t="s">
        <v>9033</v>
      </c>
      <c r="F982" s="2004"/>
      <c r="G982" s="2004">
        <f>IF('2D'!I22="","##BLANK",'2D'!I22)</f>
        <v>3981.9589999999998</v>
      </c>
    </row>
    <row r="983" spans="2:7">
      <c r="B983" s="848" t="str">
        <f>+'2D'!BH25</f>
        <v>BM4051WNK</v>
      </c>
      <c r="D983" s="2004"/>
      <c r="E983" s="1658" t="s">
        <v>9033</v>
      </c>
      <c r="F983" s="2004"/>
      <c r="G983" s="2004">
        <f>IF('2D'!I25="","##BLANK",'2D'!I25)</f>
        <v>-163.01499999999999</v>
      </c>
    </row>
    <row r="984" spans="2:7">
      <c r="B984" s="848" t="str">
        <f>+'2D'!BH26</f>
        <v>BM334WNK</v>
      </c>
      <c r="D984" s="2004"/>
      <c r="E984" s="1658" t="s">
        <v>9033</v>
      </c>
      <c r="F984" s="2004"/>
      <c r="G984" s="2004">
        <f>IF('2D'!I26="","##BLANK",'2D'!I26)</f>
        <v>0</v>
      </c>
    </row>
    <row r="985" spans="2:7">
      <c r="B985" s="848" t="str">
        <f>+'2D'!BH27</f>
        <v>BM4052WNK</v>
      </c>
      <c r="D985" s="2004"/>
      <c r="E985" s="1658" t="s">
        <v>9033</v>
      </c>
      <c r="F985" s="2004"/>
      <c r="G985" s="2004">
        <f>IF('2D'!I27="","##BLANK",'2D'!I27)</f>
        <v>-163.01499999999999</v>
      </c>
    </row>
    <row r="986" spans="2:7">
      <c r="B986" s="848" t="str">
        <f>+'2D'!BI7</f>
        <v>BM4012SG</v>
      </c>
      <c r="D986" s="2004"/>
      <c r="E986" s="1658" t="s">
        <v>9033</v>
      </c>
      <c r="F986" s="2004"/>
      <c r="G986" s="2004">
        <f>IF('2D'!J7="","##BLANK",'2D'!J7)</f>
        <v>570.88199999999995</v>
      </c>
    </row>
    <row r="987" spans="2:7">
      <c r="B987" s="848" t="str">
        <f>+'2D'!BI8</f>
        <v>BM4016SG</v>
      </c>
      <c r="D987" s="2004"/>
      <c r="E987" s="1658" t="s">
        <v>9033</v>
      </c>
      <c r="F987" s="2004"/>
      <c r="G987" s="2004">
        <f>IF('2D'!J8="","##BLANK",'2D'!J8)</f>
        <v>-51.665999999999997</v>
      </c>
    </row>
    <row r="988" spans="2:7">
      <c r="B988" s="848" t="str">
        <f>+'2D'!BI9</f>
        <v>BM4017SG</v>
      </c>
      <c r="D988" s="2004"/>
      <c r="E988" s="1658" t="s">
        <v>9033</v>
      </c>
      <c r="F988" s="2004"/>
      <c r="G988" s="2004">
        <f>IF('2D'!J9="","##BLANK",'2D'!J9)</f>
        <v>61.960999999999999</v>
      </c>
    </row>
    <row r="989" spans="2:7">
      <c r="B989" s="848" t="str">
        <f>+'2D'!BI10</f>
        <v>BM4021SG</v>
      </c>
      <c r="D989" s="2004"/>
      <c r="E989" s="1658" t="s">
        <v>9033</v>
      </c>
      <c r="F989" s="2004"/>
      <c r="G989" s="2004">
        <f>IF('2D'!J10="","##BLANK",'2D'!J10)</f>
        <v>0</v>
      </c>
    </row>
    <row r="990" spans="2:7">
      <c r="B990" s="848" t="str">
        <f>+'2D'!BI11</f>
        <v>BM4019SG</v>
      </c>
      <c r="D990" s="2004"/>
      <c r="E990" s="1658" t="s">
        <v>9033</v>
      </c>
      <c r="F990" s="2004"/>
      <c r="G990" s="2004">
        <f>IF('2D'!J11="","##BLANK",'2D'!J11)</f>
        <v>0</v>
      </c>
    </row>
    <row r="991" spans="2:7">
      <c r="B991" s="848" t="str">
        <f>+'2D'!BI12</f>
        <v>BM4018SG</v>
      </c>
      <c r="D991" s="2004"/>
      <c r="E991" s="1658" t="s">
        <v>9033</v>
      </c>
      <c r="F991" s="2004"/>
      <c r="G991" s="2004">
        <f>IF('2D'!J12="","##BLANK",'2D'!J12)</f>
        <v>581.17699999999991</v>
      </c>
    </row>
    <row r="992" spans="2:7">
      <c r="B992" s="848" t="str">
        <f>+'2D'!BI15</f>
        <v>BM4041SG</v>
      </c>
      <c r="D992" s="2004"/>
      <c r="E992" s="1658" t="s">
        <v>9033</v>
      </c>
      <c r="F992" s="2004"/>
      <c r="G992" s="2004">
        <f>IF('2D'!J15="","##BLANK",'2D'!J15)</f>
        <v>-208.49799999999999</v>
      </c>
    </row>
    <row r="993" spans="2:7">
      <c r="B993" s="848" t="str">
        <f>+'2D'!BI16</f>
        <v>BM4045SG</v>
      </c>
      <c r="D993" s="2004"/>
      <c r="E993" s="1658" t="s">
        <v>9033</v>
      </c>
      <c r="F993" s="2004"/>
      <c r="G993" s="2004">
        <f>IF('2D'!J16="","##BLANK",'2D'!J16)</f>
        <v>51.665999999999997</v>
      </c>
    </row>
    <row r="994" spans="2:7">
      <c r="B994" s="848" t="str">
        <f>+'2D'!BI17</f>
        <v>BM4053SG</v>
      </c>
      <c r="D994" s="2004"/>
      <c r="E994" s="1658" t="s">
        <v>9033</v>
      </c>
      <c r="F994" s="2004"/>
      <c r="G994" s="2004">
        <f>IF('2D'!J17="","##BLANK",'2D'!J17)</f>
        <v>0</v>
      </c>
    </row>
    <row r="995" spans="2:7">
      <c r="B995" s="848" t="str">
        <f>+'2D'!BI18</f>
        <v>BM4046SG</v>
      </c>
      <c r="D995" s="2004"/>
      <c r="E995" s="1658" t="s">
        <v>9033</v>
      </c>
      <c r="F995" s="2004"/>
      <c r="G995" s="2004">
        <f>IF('2D'!J18="","##BLANK",'2D'!J18)</f>
        <v>-18.677</v>
      </c>
    </row>
    <row r="996" spans="2:7">
      <c r="B996" s="848" t="str">
        <f>+'2D'!BI19</f>
        <v>BM4047SG</v>
      </c>
      <c r="D996" s="2004"/>
      <c r="E996" s="1658" t="s">
        <v>9033</v>
      </c>
      <c r="F996" s="2004"/>
      <c r="G996" s="2004">
        <f>IF('2D'!J19="","##BLANK",'2D'!J19)</f>
        <v>-175.50899999999999</v>
      </c>
    </row>
    <row r="997" spans="2:7">
      <c r="B997" s="848" t="str">
        <f>+'2D'!BI21</f>
        <v>BM4048SG</v>
      </c>
      <c r="D997" s="2004"/>
      <c r="E997" s="1658" t="s">
        <v>9033</v>
      </c>
      <c r="F997" s="2004"/>
      <c r="G997" s="2004">
        <f>IF('2D'!J21="","##BLANK",'2D'!J21)</f>
        <v>405.66799999999989</v>
      </c>
    </row>
    <row r="998" spans="2:7">
      <c r="B998" s="848" t="str">
        <f>+'2D'!BI22</f>
        <v>BM4049SG</v>
      </c>
      <c r="D998" s="2004"/>
      <c r="E998" s="1658" t="s">
        <v>9033</v>
      </c>
      <c r="F998" s="2004"/>
      <c r="G998" s="2004">
        <f>IF('2D'!J22="","##BLANK",'2D'!J22)</f>
        <v>362.38399999999996</v>
      </c>
    </row>
    <row r="999" spans="2:7">
      <c r="B999" s="848" t="str">
        <f>+'2D'!BI25</f>
        <v>BM4051SG</v>
      </c>
      <c r="D999" s="2004"/>
      <c r="E999" s="1658" t="s">
        <v>9033</v>
      </c>
      <c r="F999" s="2004"/>
      <c r="G999" s="2004">
        <f>IF('2D'!J25="","##BLANK",'2D'!J25)</f>
        <v>-18.677</v>
      </c>
    </row>
    <row r="1000" spans="2:7">
      <c r="B1000" s="848" t="str">
        <f>+'2D'!BI26</f>
        <v>BM334SG</v>
      </c>
      <c r="D1000" s="2004"/>
      <c r="E1000" s="1658" t="s">
        <v>9033</v>
      </c>
      <c r="F1000" s="2004"/>
      <c r="G1000" s="2004">
        <f>IF('2D'!J26="","##BLANK",'2D'!J26)</f>
        <v>0</v>
      </c>
    </row>
    <row r="1001" spans="2:7">
      <c r="B1001" s="848" t="str">
        <f>+'2D'!BI27</f>
        <v>BM4052SG</v>
      </c>
      <c r="D1001" s="2004"/>
      <c r="E1001" s="1658" t="s">
        <v>9033</v>
      </c>
      <c r="F1001" s="2004"/>
      <c r="G1001" s="2004">
        <f>IF('2D'!J27="","##BLANK",'2D'!J27)</f>
        <v>-18.677</v>
      </c>
    </row>
    <row r="1002" spans="2:7">
      <c r="B1002" s="848" t="str">
        <f>+'2D'!BJ7</f>
        <v>BM4012STTT</v>
      </c>
      <c r="D1002" s="2004"/>
      <c r="E1002" s="1658" t="s">
        <v>9033</v>
      </c>
      <c r="F1002" s="2004"/>
      <c r="G1002" s="2004" t="str">
        <f>IF('2D'!K7="","##BLANK",'2D'!K7)</f>
        <v>##BLANK</v>
      </c>
    </row>
    <row r="1003" spans="2:7">
      <c r="B1003" s="848" t="str">
        <f>+'2D'!BJ8</f>
        <v>BM4016STTT</v>
      </c>
      <c r="D1003" s="2004"/>
      <c r="E1003" s="1658" t="s">
        <v>9033</v>
      </c>
      <c r="F1003" s="2004"/>
      <c r="G1003" s="2004" t="str">
        <f>IF('2D'!K8="","##BLANK",'2D'!K8)</f>
        <v>##BLANK</v>
      </c>
    </row>
    <row r="1004" spans="2:7">
      <c r="B1004" s="848" t="str">
        <f>+'2D'!BJ9</f>
        <v>BM4017STTT</v>
      </c>
      <c r="D1004" s="2004"/>
      <c r="E1004" s="1658" t="s">
        <v>9033</v>
      </c>
      <c r="F1004" s="2004"/>
      <c r="G1004" s="2004" t="str">
        <f>IF('2D'!K9="","##BLANK",'2D'!K9)</f>
        <v>##BLANK</v>
      </c>
    </row>
    <row r="1005" spans="2:7">
      <c r="B1005" s="848" t="str">
        <f>+'2D'!BJ10</f>
        <v>BM4021STTT</v>
      </c>
      <c r="D1005" s="2004"/>
      <c r="E1005" s="1658" t="s">
        <v>9033</v>
      </c>
      <c r="F1005" s="2004"/>
      <c r="G1005" s="2004" t="str">
        <f>IF('2D'!K10="","##BLANK",'2D'!K10)</f>
        <v>##BLANK</v>
      </c>
    </row>
    <row r="1006" spans="2:7">
      <c r="B1006" s="848" t="str">
        <f>+'2D'!BJ11</f>
        <v>BM4019STTT</v>
      </c>
      <c r="D1006" s="2004"/>
      <c r="E1006" s="1658" t="s">
        <v>9033</v>
      </c>
      <c r="F1006" s="2004"/>
      <c r="G1006" s="2004" t="str">
        <f>IF('2D'!K11="","##BLANK",'2D'!K11)</f>
        <v>##BLANK</v>
      </c>
    </row>
    <row r="1007" spans="2:7">
      <c r="B1007" s="848" t="str">
        <f>+'2D'!BJ12</f>
        <v>BM4018STTT</v>
      </c>
      <c r="D1007" s="2004"/>
      <c r="E1007" s="1658" t="s">
        <v>9033</v>
      </c>
      <c r="F1007" s="2004"/>
      <c r="G1007" s="2004">
        <f>IF('2D'!K12="","##BLANK",'2D'!K12)</f>
        <v>0</v>
      </c>
    </row>
    <row r="1008" spans="2:7">
      <c r="B1008" s="848" t="str">
        <f>+'2D'!BJ15</f>
        <v>BM4041STTT</v>
      </c>
      <c r="D1008" s="2004"/>
      <c r="E1008" s="1658" t="s">
        <v>9033</v>
      </c>
      <c r="F1008" s="2004"/>
      <c r="G1008" s="2004" t="str">
        <f>IF('2D'!K15="","##BLANK",'2D'!K15)</f>
        <v>##BLANK</v>
      </c>
    </row>
    <row r="1009" spans="2:7">
      <c r="B1009" s="848" t="str">
        <f>+'2D'!BJ16</f>
        <v>BM4045STTT</v>
      </c>
      <c r="D1009" s="2004"/>
      <c r="E1009" s="1658" t="s">
        <v>9033</v>
      </c>
      <c r="F1009" s="2004"/>
      <c r="G1009" s="2004" t="str">
        <f>IF('2D'!K16="","##BLANK",'2D'!K16)</f>
        <v>##BLANK</v>
      </c>
    </row>
    <row r="1010" spans="2:7">
      <c r="B1010" s="848" t="str">
        <f>+'2D'!BJ17</f>
        <v>BM4053STTT</v>
      </c>
      <c r="D1010" s="2004"/>
      <c r="E1010" s="1658" t="s">
        <v>9033</v>
      </c>
      <c r="F1010" s="2004"/>
      <c r="G1010" s="2004" t="str">
        <f>IF('2D'!K17="","##BLANK",'2D'!K17)</f>
        <v>##BLANK</v>
      </c>
    </row>
    <row r="1011" spans="2:7">
      <c r="B1011" s="848" t="str">
        <f>+'2D'!BJ18</f>
        <v>BM4046STTT</v>
      </c>
      <c r="D1011" s="2004"/>
      <c r="E1011" s="1658" t="s">
        <v>9033</v>
      </c>
      <c r="F1011" s="2004"/>
      <c r="G1011" s="2004" t="str">
        <f>IF('2D'!K18="","##BLANK",'2D'!K18)</f>
        <v>##BLANK</v>
      </c>
    </row>
    <row r="1012" spans="2:7">
      <c r="B1012" s="848" t="str">
        <f>+'2D'!BJ19</f>
        <v>BM4047STTT</v>
      </c>
      <c r="D1012" s="2004"/>
      <c r="E1012" s="1658" t="s">
        <v>9033</v>
      </c>
      <c r="F1012" s="2004"/>
      <c r="G1012" s="2004">
        <f>IF('2D'!K19="","##BLANK",'2D'!K19)</f>
        <v>0</v>
      </c>
    </row>
    <row r="1013" spans="2:7">
      <c r="B1013" s="848" t="str">
        <f>+'2D'!BJ21</f>
        <v>BM4048STTT</v>
      </c>
      <c r="D1013" s="2004"/>
      <c r="E1013" s="1658" t="s">
        <v>9033</v>
      </c>
      <c r="F1013" s="2004"/>
      <c r="G1013" s="2004">
        <f>IF('2D'!K21="","##BLANK",'2D'!K21)</f>
        <v>0</v>
      </c>
    </row>
    <row r="1014" spans="2:7">
      <c r="B1014" s="848" t="str">
        <f>+'2D'!BJ22</f>
        <v>BM4049STTT</v>
      </c>
      <c r="D1014" s="2004"/>
      <c r="E1014" s="1658" t="s">
        <v>9033</v>
      </c>
      <c r="F1014" s="2004"/>
      <c r="G1014" s="2004">
        <f>IF('2D'!K22="","##BLANK",'2D'!K22)</f>
        <v>0</v>
      </c>
    </row>
    <row r="1015" spans="2:7">
      <c r="B1015" s="848" t="str">
        <f>+'2D'!BJ25</f>
        <v>BM4051STTT</v>
      </c>
      <c r="D1015" s="2004"/>
      <c r="E1015" s="1658" t="s">
        <v>9033</v>
      </c>
      <c r="F1015" s="2004"/>
      <c r="G1015" s="2004" t="str">
        <f>IF('2D'!K25="","##BLANK",'2D'!K25)</f>
        <v>##BLANK</v>
      </c>
    </row>
    <row r="1016" spans="2:7">
      <c r="B1016" s="848" t="str">
        <f>+'2D'!BJ26</f>
        <v>BM334STTT</v>
      </c>
      <c r="D1016" s="2004"/>
      <c r="E1016" s="1658" t="s">
        <v>9033</v>
      </c>
      <c r="F1016" s="2004"/>
      <c r="G1016" s="2004" t="str">
        <f>IF('2D'!K26="","##BLANK",'2D'!K26)</f>
        <v>##BLANK</v>
      </c>
    </row>
    <row r="1017" spans="2:7">
      <c r="B1017" s="848" t="str">
        <f>+'2D'!BJ27</f>
        <v>BM4052STTT</v>
      </c>
      <c r="D1017" s="2004"/>
      <c r="E1017" s="1658" t="s">
        <v>9033</v>
      </c>
      <c r="F1017" s="2004"/>
      <c r="G1017" s="2004">
        <f>IF('2D'!K27="","##BLANK",'2D'!K27)</f>
        <v>0</v>
      </c>
    </row>
    <row r="1018" spans="2:7">
      <c r="B1018" s="848" t="str">
        <f>+'2D'!BK7</f>
        <v>BM4012H</v>
      </c>
      <c r="D1018" s="2004"/>
      <c r="E1018" s="1658" t="s">
        <v>9033</v>
      </c>
      <c r="F1018" s="2004"/>
      <c r="G1018" s="2004">
        <f>IF('2D'!L7="","##BLANK",'2D'!L7)</f>
        <v>45.412999999999997</v>
      </c>
    </row>
    <row r="1019" spans="2:7">
      <c r="B1019" s="848" t="str">
        <f>+'2D'!BK8</f>
        <v>BM4016H</v>
      </c>
      <c r="D1019" s="2004"/>
      <c r="E1019" s="1658" t="s">
        <v>9033</v>
      </c>
      <c r="F1019" s="2004"/>
      <c r="G1019" s="2004">
        <f>IF('2D'!L8="","##BLANK",'2D'!L8)</f>
        <v>-2.282</v>
      </c>
    </row>
    <row r="1020" spans="2:7">
      <c r="B1020" s="848" t="str">
        <f>+'2D'!BK9</f>
        <v>BM4017H</v>
      </c>
      <c r="D1020" s="2004"/>
      <c r="E1020" s="1658" t="s">
        <v>9033</v>
      </c>
      <c r="F1020" s="2004"/>
      <c r="G1020" s="2004">
        <f>IF('2D'!L9="","##BLANK",'2D'!L9)</f>
        <v>1.831</v>
      </c>
    </row>
    <row r="1021" spans="2:7">
      <c r="B1021" s="848" t="str">
        <f>+'2D'!BK10</f>
        <v>BM4021H</v>
      </c>
      <c r="D1021" s="2004"/>
      <c r="E1021" s="1658" t="s">
        <v>9033</v>
      </c>
      <c r="F1021" s="2004"/>
      <c r="G1021" s="2004">
        <f>IF('2D'!L10="","##BLANK",'2D'!L10)</f>
        <v>0</v>
      </c>
    </row>
    <row r="1022" spans="2:7">
      <c r="B1022" s="848" t="str">
        <f>+'2D'!BK11</f>
        <v>BM4019H</v>
      </c>
      <c r="D1022" s="2004"/>
      <c r="E1022" s="1658" t="s">
        <v>9033</v>
      </c>
      <c r="F1022" s="2004"/>
      <c r="G1022" s="2004">
        <f>IF('2D'!L11="","##BLANK",'2D'!L11)</f>
        <v>0</v>
      </c>
    </row>
    <row r="1023" spans="2:7">
      <c r="B1023" s="848" t="str">
        <f>+'2D'!BK12</f>
        <v>BM4018H</v>
      </c>
      <c r="D1023" s="2004"/>
      <c r="E1023" s="1658" t="s">
        <v>9033</v>
      </c>
      <c r="F1023" s="2004"/>
      <c r="G1023" s="2004">
        <f>IF('2D'!L12="","##BLANK",'2D'!L12)</f>
        <v>44.962000000000003</v>
      </c>
    </row>
    <row r="1024" spans="2:7">
      <c r="B1024" s="848" t="str">
        <f>+'2D'!BK15</f>
        <v>BM4041H</v>
      </c>
      <c r="D1024" s="2004"/>
      <c r="E1024" s="1658" t="s">
        <v>9033</v>
      </c>
      <c r="F1024" s="2004"/>
      <c r="G1024" s="2004">
        <f>IF('2D'!L15="","##BLANK",'2D'!L15)</f>
        <v>-30.167999999999999</v>
      </c>
    </row>
    <row r="1025" spans="2:7">
      <c r="B1025" s="848" t="str">
        <f>+'2D'!BK16</f>
        <v>BM4045H</v>
      </c>
      <c r="D1025" s="2004"/>
      <c r="E1025" s="1658" t="s">
        <v>9033</v>
      </c>
      <c r="F1025" s="2004"/>
      <c r="G1025" s="2004">
        <f>IF('2D'!L16="","##BLANK",'2D'!L16)</f>
        <v>2.282</v>
      </c>
    </row>
    <row r="1026" spans="2:7">
      <c r="B1026" s="848" t="str">
        <f>+'2D'!BK17</f>
        <v>BM4053H</v>
      </c>
      <c r="D1026" s="2004"/>
      <c r="E1026" s="1658" t="s">
        <v>9033</v>
      </c>
      <c r="F1026" s="2004"/>
      <c r="G1026" s="2004">
        <f>IF('2D'!L17="","##BLANK",'2D'!L17)</f>
        <v>0</v>
      </c>
    </row>
    <row r="1027" spans="2:7">
      <c r="B1027" s="848" t="str">
        <f>+'2D'!BK18</f>
        <v>BM4046H</v>
      </c>
      <c r="D1027" s="2004"/>
      <c r="E1027" s="1658" t="s">
        <v>9033</v>
      </c>
      <c r="F1027" s="2004"/>
      <c r="G1027" s="2004">
        <f>IF('2D'!L18="","##BLANK",'2D'!L18)</f>
        <v>-2.2240000000000002</v>
      </c>
    </row>
    <row r="1028" spans="2:7">
      <c r="B1028" s="848" t="str">
        <f>+'2D'!BK19</f>
        <v>BM4047H</v>
      </c>
      <c r="D1028" s="2004"/>
      <c r="E1028" s="1658" t="s">
        <v>9033</v>
      </c>
      <c r="F1028" s="2004"/>
      <c r="G1028" s="2004">
        <f>IF('2D'!L19="","##BLANK",'2D'!L19)</f>
        <v>-30.11</v>
      </c>
    </row>
    <row r="1029" spans="2:7">
      <c r="B1029" s="848" t="str">
        <f>+'2D'!BK21</f>
        <v>BM4048H</v>
      </c>
      <c r="D1029" s="2004"/>
      <c r="E1029" s="1658" t="s">
        <v>9033</v>
      </c>
      <c r="F1029" s="2004"/>
      <c r="G1029" s="2004">
        <f>IF('2D'!L21="","##BLANK",'2D'!L21)</f>
        <v>14.852000000000004</v>
      </c>
    </row>
    <row r="1030" spans="2:7">
      <c r="B1030" s="848" t="str">
        <f>+'2D'!BK22</f>
        <v>BM4049H</v>
      </c>
      <c r="D1030" s="2004"/>
      <c r="E1030" s="1658" t="s">
        <v>9033</v>
      </c>
      <c r="F1030" s="2004"/>
      <c r="G1030" s="2004">
        <f>IF('2D'!L22="","##BLANK",'2D'!L22)</f>
        <v>15.244999999999997</v>
      </c>
    </row>
    <row r="1031" spans="2:7">
      <c r="B1031" s="848" t="str">
        <f>+'2D'!BK25</f>
        <v>BM4051H</v>
      </c>
      <c r="D1031" s="2004"/>
      <c r="E1031" s="1658" t="s">
        <v>9033</v>
      </c>
      <c r="F1031" s="2004"/>
      <c r="G1031" s="2004">
        <f>IF('2D'!L25="","##BLANK",'2D'!L25)</f>
        <v>-2.2240000000000002</v>
      </c>
    </row>
    <row r="1032" spans="2:7">
      <c r="B1032" s="848" t="str">
        <f>+'2D'!BK26</f>
        <v>BM334H</v>
      </c>
      <c r="D1032" s="2004"/>
      <c r="E1032" s="1658" t="s">
        <v>9033</v>
      </c>
      <c r="F1032" s="2004"/>
      <c r="G1032" s="2004">
        <f>IF('2D'!L26="","##BLANK",'2D'!L26)</f>
        <v>0</v>
      </c>
    </row>
    <row r="1033" spans="2:7">
      <c r="B1033" s="848" t="str">
        <f>+'2D'!BK27</f>
        <v>BM4052H</v>
      </c>
      <c r="D1033" s="2004"/>
      <c r="E1033" s="1658" t="s">
        <v>9033</v>
      </c>
      <c r="F1033" s="2004"/>
      <c r="G1033" s="2004">
        <f>IF('2D'!L27="","##BLANK",'2D'!L27)</f>
        <v>-2.2240000000000002</v>
      </c>
    </row>
    <row r="1034" spans="2:7">
      <c r="B1034" s="848" t="str">
        <f>+'2D'!BL7</f>
        <v>BM4012NH</v>
      </c>
      <c r="D1034" s="2004"/>
      <c r="E1034" s="1658" t="s">
        <v>9033</v>
      </c>
      <c r="F1034" s="2004"/>
      <c r="G1034" s="2004">
        <f>IF('2D'!M7="","##BLANK",'2D'!M7)</f>
        <v>12.518000000000001</v>
      </c>
    </row>
    <row r="1035" spans="2:7">
      <c r="B1035" s="848" t="str">
        <f>+'2D'!BL8</f>
        <v>BM4016NH</v>
      </c>
      <c r="D1035" s="2004"/>
      <c r="E1035" s="1658" t="s">
        <v>9033</v>
      </c>
      <c r="F1035" s="2004"/>
      <c r="G1035" s="2004">
        <f>IF('2D'!M8="","##BLANK",'2D'!M8)</f>
        <v>-0.104</v>
      </c>
    </row>
    <row r="1036" spans="2:7">
      <c r="B1036" s="848" t="str">
        <f>+'2D'!BL9</f>
        <v>BM4017NH</v>
      </c>
      <c r="D1036" s="2004"/>
      <c r="E1036" s="1658" t="s">
        <v>9033</v>
      </c>
      <c r="F1036" s="2004"/>
      <c r="G1036" s="2004">
        <f>IF('2D'!M9="","##BLANK",'2D'!M9)</f>
        <v>2.7E-2</v>
      </c>
    </row>
    <row r="1037" spans="2:7">
      <c r="B1037" s="848" t="str">
        <f>+'2D'!BL10</f>
        <v>BM4021NH</v>
      </c>
      <c r="D1037" s="2004"/>
      <c r="E1037" s="1658" t="s">
        <v>9033</v>
      </c>
      <c r="F1037" s="2004"/>
      <c r="G1037" s="2004">
        <f>IF('2D'!M10="","##BLANK",'2D'!M10)</f>
        <v>0</v>
      </c>
    </row>
    <row r="1038" spans="2:7">
      <c r="B1038" s="848" t="str">
        <f>+'2D'!BL11</f>
        <v>BM4019NH</v>
      </c>
      <c r="D1038" s="2004"/>
      <c r="E1038" s="1658" t="s">
        <v>9033</v>
      </c>
      <c r="F1038" s="2004"/>
      <c r="G1038" s="2004">
        <f>IF('2D'!M11="","##BLANK",'2D'!M11)</f>
        <v>0</v>
      </c>
    </row>
    <row r="1039" spans="2:7">
      <c r="B1039" s="848" t="str">
        <f>+'2D'!BL12</f>
        <v>BM4018NH</v>
      </c>
      <c r="D1039" s="2004"/>
      <c r="E1039" s="1658" t="s">
        <v>9033</v>
      </c>
      <c r="F1039" s="2004"/>
      <c r="G1039" s="2004">
        <f>IF('2D'!M12="","##BLANK",'2D'!M12)</f>
        <v>12.441000000000001</v>
      </c>
    </row>
    <row r="1040" spans="2:7">
      <c r="B1040" s="848" t="str">
        <f>+'2D'!BL15</f>
        <v>BM4041NH</v>
      </c>
      <c r="D1040" s="2004"/>
      <c r="E1040" s="1658" t="s">
        <v>9033</v>
      </c>
      <c r="F1040" s="2004"/>
      <c r="G1040" s="2004">
        <f>IF('2D'!M15="","##BLANK",'2D'!M15)</f>
        <v>-5.7220000000000004</v>
      </c>
    </row>
    <row r="1041" spans="2:7">
      <c r="B1041" s="848" t="str">
        <f>+'2D'!BL16</f>
        <v>BM4045NH</v>
      </c>
      <c r="D1041" s="2004"/>
      <c r="E1041" s="1658" t="s">
        <v>9033</v>
      </c>
      <c r="F1041" s="2004"/>
      <c r="G1041" s="2004">
        <f>IF('2D'!M16="","##BLANK",'2D'!M16)</f>
        <v>0.104</v>
      </c>
    </row>
    <row r="1042" spans="2:7">
      <c r="B1042" s="848" t="str">
        <f>+'2D'!BL17</f>
        <v>BM4053NH</v>
      </c>
      <c r="D1042" s="2004"/>
      <c r="E1042" s="1658" t="s">
        <v>9033</v>
      </c>
      <c r="F1042" s="2004"/>
      <c r="G1042" s="2004">
        <f>IF('2D'!M17="","##BLANK",'2D'!M17)</f>
        <v>0</v>
      </c>
    </row>
    <row r="1043" spans="2:7">
      <c r="B1043" s="848" t="str">
        <f>+'2D'!BL18</f>
        <v>BM4046NH</v>
      </c>
      <c r="D1043" s="2004"/>
      <c r="E1043" s="1658" t="s">
        <v>9033</v>
      </c>
      <c r="F1043" s="2004"/>
      <c r="G1043" s="2004">
        <f>IF('2D'!M18="","##BLANK",'2D'!M18)</f>
        <v>-1.851</v>
      </c>
    </row>
    <row r="1044" spans="2:7">
      <c r="B1044" s="848" t="str">
        <f>+'2D'!BL19</f>
        <v>BM4047NH</v>
      </c>
      <c r="D1044" s="2004"/>
      <c r="E1044" s="1658" t="s">
        <v>9033</v>
      </c>
      <c r="F1044" s="2004"/>
      <c r="G1044" s="2004">
        <f>IF('2D'!M19="","##BLANK",'2D'!M19)</f>
        <v>-7.4690000000000003</v>
      </c>
    </row>
    <row r="1045" spans="2:7">
      <c r="B1045" s="848" t="str">
        <f>+'2D'!BL21</f>
        <v>BM4048NH</v>
      </c>
      <c r="D1045" s="2004"/>
      <c r="E1045" s="1658" t="s">
        <v>9033</v>
      </c>
      <c r="F1045" s="2004"/>
      <c r="G1045" s="2004">
        <f>IF('2D'!M21="","##BLANK",'2D'!M21)</f>
        <v>4.9720000000000004</v>
      </c>
    </row>
    <row r="1046" spans="2:7">
      <c r="B1046" s="848" t="str">
        <f>+'2D'!BL22</f>
        <v>BM4049NH</v>
      </c>
      <c r="D1046" s="2004"/>
      <c r="E1046" s="1658" t="s">
        <v>9033</v>
      </c>
      <c r="F1046" s="2004"/>
      <c r="G1046" s="2004">
        <f>IF('2D'!M22="","##BLANK",'2D'!M22)</f>
        <v>6.7960000000000003</v>
      </c>
    </row>
    <row r="1047" spans="2:7">
      <c r="B1047" s="848" t="str">
        <f>+'2D'!BL25</f>
        <v>BM4051NH</v>
      </c>
      <c r="D1047" s="2004"/>
      <c r="E1047" s="1658" t="s">
        <v>9033</v>
      </c>
      <c r="F1047" s="2004"/>
      <c r="G1047" s="2004">
        <f>IF('2D'!M25="","##BLANK",'2D'!M25)</f>
        <v>-1.851</v>
      </c>
    </row>
    <row r="1048" spans="2:7">
      <c r="B1048" s="848" t="str">
        <f>+'2D'!BL26</f>
        <v>BM334NH</v>
      </c>
      <c r="D1048" s="2004"/>
      <c r="E1048" s="1658" t="s">
        <v>9033</v>
      </c>
      <c r="F1048" s="2004"/>
      <c r="G1048" s="2004">
        <f>IF('2D'!M26="","##BLANK",'2D'!M26)</f>
        <v>0</v>
      </c>
    </row>
    <row r="1049" spans="2:7">
      <c r="B1049" s="848" t="str">
        <f>+'2D'!BL27</f>
        <v>BM4052NH</v>
      </c>
      <c r="D1049" s="2004"/>
      <c r="E1049" s="1658" t="s">
        <v>9033</v>
      </c>
      <c r="F1049" s="2004"/>
      <c r="G1049" s="2004">
        <f>IF('2D'!M27="","##BLANK",'2D'!M27)</f>
        <v>-1.851</v>
      </c>
    </row>
    <row r="1050" spans="2:7">
      <c r="B1050" s="848" t="str">
        <f>+'2D'!BM7</f>
        <v>BM4012CTOT</v>
      </c>
      <c r="D1050" s="2004"/>
      <c r="E1050" s="1658" t="s">
        <v>9033</v>
      </c>
      <c r="F1050" s="2004"/>
      <c r="G1050" s="2004">
        <f>IF('2D'!N7="","##BLANK",'2D'!N7)</f>
        <v>11018.13</v>
      </c>
    </row>
    <row r="1051" spans="2:7">
      <c r="B1051" s="848" t="str">
        <f>+'2D'!BM8</f>
        <v>BM4016CTOT</v>
      </c>
      <c r="D1051" s="2004"/>
      <c r="E1051" s="1658" t="s">
        <v>9033</v>
      </c>
      <c r="F1051" s="2004"/>
      <c r="G1051" s="2004">
        <f>IF('2D'!N8="","##BLANK",'2D'!N8)</f>
        <v>-360.67499999999995</v>
      </c>
    </row>
    <row r="1052" spans="2:7">
      <c r="B1052" s="848" t="str">
        <f>+'2D'!BM9</f>
        <v>BM4017CTOT</v>
      </c>
      <c r="D1052" s="2004"/>
      <c r="E1052" s="1658" t="s">
        <v>9033</v>
      </c>
      <c r="F1052" s="2004"/>
      <c r="G1052" s="2004">
        <f>IF('2D'!N9="","##BLANK",'2D'!N9)</f>
        <v>456.73400000000004</v>
      </c>
    </row>
    <row r="1053" spans="2:7">
      <c r="B1053" s="848" t="str">
        <f>+'2D'!BM10</f>
        <v>BM4021CTOT</v>
      </c>
      <c r="D1053" s="2004"/>
      <c r="E1053" s="1658" t="s">
        <v>9033</v>
      </c>
      <c r="F1053" s="2004"/>
      <c r="G1053" s="2004">
        <f>IF('2D'!N10="","##BLANK",'2D'!N10)</f>
        <v>-178.453</v>
      </c>
    </row>
    <row r="1054" spans="2:7">
      <c r="B1054" s="848" t="str">
        <f>+'2D'!BM11</f>
        <v>BM4019CTOT</v>
      </c>
      <c r="D1054" s="2004"/>
      <c r="E1054" s="1658" t="s">
        <v>9033</v>
      </c>
      <c r="F1054" s="2004"/>
      <c r="G1054" s="2004">
        <f>IF('2D'!N11="","##BLANK",'2D'!N11)</f>
        <v>11.657</v>
      </c>
    </row>
    <row r="1055" spans="2:7">
      <c r="B1055" s="848" t="str">
        <f>+'2D'!BM12</f>
        <v>BM4018CTOT</v>
      </c>
      <c r="D1055" s="2004"/>
      <c r="E1055" s="1658" t="s">
        <v>9033</v>
      </c>
      <c r="F1055" s="2004"/>
      <c r="G1055" s="2004">
        <f>IF('2D'!N12="","##BLANK",'2D'!N12)</f>
        <v>10947.393</v>
      </c>
    </row>
    <row r="1056" spans="2:7">
      <c r="B1056" s="848" t="str">
        <f>+'2D'!BM15</f>
        <v>BM041CTOT</v>
      </c>
      <c r="D1056" s="2004"/>
      <c r="E1056" s="1658" t="s">
        <v>9033</v>
      </c>
      <c r="F1056" s="2004"/>
      <c r="G1056" s="2004">
        <f>IF('2D'!N15="","##BLANK",'2D'!N15)</f>
        <v>-3293.3910000000001</v>
      </c>
    </row>
    <row r="1057" spans="2:7">
      <c r="B1057" s="848" t="str">
        <f>+'2D'!BM16</f>
        <v>BM4045CTOT</v>
      </c>
      <c r="D1057" s="2004"/>
      <c r="E1057" s="1658" t="s">
        <v>9033</v>
      </c>
      <c r="F1057" s="2004"/>
      <c r="G1057" s="2004">
        <f>IF('2D'!N16="","##BLANK",'2D'!N16)</f>
        <v>360.57599999999996</v>
      </c>
    </row>
    <row r="1058" spans="2:7">
      <c r="B1058" s="848" t="str">
        <f>+'2D'!BM17</f>
        <v>BM4053TOT</v>
      </c>
      <c r="D1058" s="2004"/>
      <c r="E1058" s="1658" t="s">
        <v>9033</v>
      </c>
      <c r="F1058" s="2004"/>
      <c r="G1058" s="2004">
        <f>IF('2D'!N17="","##BLANK",'2D'!N17)</f>
        <v>0</v>
      </c>
    </row>
    <row r="1059" spans="2:7">
      <c r="B1059" s="848" t="str">
        <f>+'2D'!BM18</f>
        <v>BM4046CTOT</v>
      </c>
      <c r="D1059" s="2004"/>
      <c r="E1059" s="1658" t="s">
        <v>9033</v>
      </c>
      <c r="F1059" s="2004"/>
      <c r="G1059" s="2004">
        <f>IF('2D'!N18="","##BLANK",'2D'!N18)</f>
        <v>-307.42099999999999</v>
      </c>
    </row>
    <row r="1060" spans="2:7">
      <c r="B1060" s="848" t="str">
        <f>+'2D'!BM19</f>
        <v>BM4047CTOT</v>
      </c>
      <c r="D1060" s="2004"/>
      <c r="E1060" s="1658" t="s">
        <v>9033</v>
      </c>
      <c r="F1060" s="2004"/>
      <c r="G1060" s="2004">
        <f>IF('2D'!N19="","##BLANK",'2D'!N19)</f>
        <v>-3240.2360000000003</v>
      </c>
    </row>
    <row r="1061" spans="2:7">
      <c r="B1061" s="848" t="str">
        <f>+'2D'!BM21</f>
        <v>BM4048CTOT</v>
      </c>
      <c r="D1061" s="2004"/>
      <c r="E1061" s="1658" t="s">
        <v>9033</v>
      </c>
      <c r="F1061" s="2004"/>
      <c r="G1061" s="2004">
        <f>IF('2D'!N21="","##BLANK",'2D'!N21)</f>
        <v>7707.1569999999992</v>
      </c>
    </row>
    <row r="1062" spans="2:7">
      <c r="B1062" s="848" t="str">
        <f>+'2D'!BM22</f>
        <v>BM4049CTOT</v>
      </c>
      <c r="D1062" s="2004"/>
      <c r="E1062" s="1658" t="s">
        <v>9033</v>
      </c>
      <c r="F1062" s="2004"/>
      <c r="G1062" s="2004">
        <f>IF('2D'!N22="","##BLANK",'2D'!N22)</f>
        <v>7724.7389999999996</v>
      </c>
    </row>
    <row r="1063" spans="2:7">
      <c r="B1063" s="848" t="str">
        <f>+'2D'!BM25</f>
        <v>BM4051CTOT</v>
      </c>
      <c r="D1063" s="2004"/>
      <c r="E1063" s="1658" t="s">
        <v>9033</v>
      </c>
      <c r="F1063" s="2004"/>
      <c r="G1063" s="2004">
        <f>IF('2D'!N25="","##BLANK",'2D'!N25)</f>
        <v>-307.42099999999999</v>
      </c>
    </row>
    <row r="1064" spans="2:7">
      <c r="B1064" s="848" t="str">
        <f>+'2D'!BM26</f>
        <v>BM334CTOT</v>
      </c>
      <c r="D1064" s="2004"/>
      <c r="E1064" s="1658" t="s">
        <v>9033</v>
      </c>
      <c r="F1064" s="2004"/>
      <c r="G1064" s="2004">
        <f>IF('2D'!N26="","##BLANK",'2D'!N26)</f>
        <v>0</v>
      </c>
    </row>
    <row r="1065" spans="2:7">
      <c r="B1065" s="848" t="str">
        <f>+'2D'!BM27</f>
        <v>BM4052CTOT</v>
      </c>
      <c r="D1065" s="2004"/>
      <c r="E1065" s="1658" t="s">
        <v>9033</v>
      </c>
      <c r="F1065" s="2004"/>
      <c r="G1065" s="2004">
        <f>IF('2D'!N27="","##BLANK",'2D'!N27)</f>
        <v>-307.42099999999999</v>
      </c>
    </row>
    <row r="1066" spans="2:7">
      <c r="B1066" s="848" t="str">
        <f>+'2E'!AF7</f>
        <v>BC11271REV</v>
      </c>
      <c r="D1066" s="2004"/>
      <c r="E1066" s="1658" t="s">
        <v>9033</v>
      </c>
      <c r="F1066" s="2004"/>
      <c r="G1066" s="2004">
        <f>IF('2E'!G7="","##BLANK",'2E'!G7)</f>
        <v>0</v>
      </c>
    </row>
    <row r="1067" spans="2:7">
      <c r="B1067" s="848" t="str">
        <f>+'2E'!AF8</f>
        <v>BC11270REV</v>
      </c>
      <c r="D1067" s="2004"/>
      <c r="E1067" s="1658" t="s">
        <v>9033</v>
      </c>
      <c r="F1067" s="2004"/>
      <c r="G1067" s="2004">
        <f>IF('2E'!G8="","##BLANK",'2E'!G8)</f>
        <v>0</v>
      </c>
    </row>
    <row r="1068" spans="2:7">
      <c r="B1068" s="848" t="str">
        <f>+'2E'!AF9</f>
        <v>BC11272REV</v>
      </c>
      <c r="D1068" s="2004"/>
      <c r="E1068" s="1658" t="s">
        <v>9033</v>
      </c>
      <c r="F1068" s="2004"/>
      <c r="G1068" s="2004">
        <f>IF('2E'!G9="","##BLANK",'2E'!G9)</f>
        <v>0</v>
      </c>
    </row>
    <row r="1069" spans="2:7">
      <c r="B1069" s="848" t="str">
        <f>+'2E'!AF10</f>
        <v>BA1085REVPC</v>
      </c>
      <c r="D1069" s="2004"/>
      <c r="E1069" s="1658" t="s">
        <v>9033</v>
      </c>
      <c r="F1069" s="2004"/>
      <c r="G1069" s="2004">
        <f>IF('2E'!G10="","##BLANK",'2E'!G10)</f>
        <v>0</v>
      </c>
    </row>
    <row r="1070" spans="2:7">
      <c r="B1070" s="848" t="str">
        <f>+'2E'!AF11</f>
        <v>BC11273REV</v>
      </c>
      <c r="D1070" s="2004"/>
      <c r="E1070" s="1658" t="s">
        <v>9033</v>
      </c>
      <c r="F1070" s="2004"/>
      <c r="G1070" s="2004">
        <f>IF('2E'!G11="","##BLANK",'2E'!G11)</f>
        <v>0</v>
      </c>
    </row>
    <row r="1071" spans="2:7">
      <c r="B1071" s="848" t="str">
        <f>+'2E'!AF12</f>
        <v>BA1085REVNPC</v>
      </c>
      <c r="D1071" s="2004"/>
      <c r="E1071" s="1658" t="s">
        <v>9033</v>
      </c>
      <c r="F1071" s="2004"/>
      <c r="G1071" s="2004">
        <f>IF('2E'!G12="","##BLANK",'2E'!G12)</f>
        <v>0</v>
      </c>
    </row>
    <row r="1072" spans="2:7">
      <c r="B1072" s="848" t="str">
        <f>+'2E'!AF13</f>
        <v>BA1090REV</v>
      </c>
      <c r="D1072" s="2004"/>
      <c r="E1072" s="1658" t="s">
        <v>9033</v>
      </c>
      <c r="F1072" s="2004"/>
      <c r="G1072" s="2004">
        <f>IF('2E'!G13="","##BLANK",'2E'!G13)</f>
        <v>0</v>
      </c>
    </row>
    <row r="1073" spans="2:7" s="2004" customFormat="1">
      <c r="B1073" s="1759" t="str">
        <f>+'2E'!AF15</f>
        <v>BC30460WREV</v>
      </c>
      <c r="C1073" s="1322"/>
      <c r="E1073" s="1658" t="s">
        <v>9033</v>
      </c>
      <c r="G1073" s="2004">
        <f>IF('2E'!G15="","##BLANK",'2E'!G15)</f>
        <v>0</v>
      </c>
    </row>
    <row r="1074" spans="2:7">
      <c r="B1074" s="848" t="str">
        <f>+'2E'!AF19</f>
        <v>BC11370REV</v>
      </c>
      <c r="D1074" s="2004"/>
      <c r="E1074" s="1658" t="s">
        <v>9033</v>
      </c>
      <c r="F1074" s="2004"/>
      <c r="G1074" s="2004">
        <f>IF('2E'!G19="","##BLANK",'2E'!G19)</f>
        <v>0</v>
      </c>
    </row>
    <row r="1075" spans="2:7">
      <c r="B1075" s="848" t="str">
        <f>+'2E'!AF20</f>
        <v>BC11372REV</v>
      </c>
      <c r="D1075" s="2004"/>
      <c r="E1075" s="1658" t="s">
        <v>9033</v>
      </c>
      <c r="F1075" s="2004"/>
      <c r="G1075" s="2004">
        <f>IF('2E'!G20="","##BLANK",'2E'!G20)</f>
        <v>0</v>
      </c>
    </row>
    <row r="1076" spans="2:7">
      <c r="B1076" s="848" t="str">
        <f>+'2E'!AF21</f>
        <v>BA2085REVPC</v>
      </c>
      <c r="D1076" s="2004"/>
      <c r="E1076" s="1658" t="s">
        <v>9033</v>
      </c>
      <c r="F1076" s="2004"/>
      <c r="G1076" s="2004">
        <f>IF('2E'!G21="","##BLANK",'2E'!G21)</f>
        <v>0</v>
      </c>
    </row>
    <row r="1077" spans="2:7">
      <c r="B1077" s="848" t="str">
        <f>+'2E'!AF22</f>
        <v>BC11373REV</v>
      </c>
      <c r="D1077" s="2004"/>
      <c r="E1077" s="1658" t="s">
        <v>9033</v>
      </c>
      <c r="F1077" s="2004"/>
      <c r="G1077" s="2004">
        <f>IF('2E'!G22="","##BLANK",'2E'!G22)</f>
        <v>0</v>
      </c>
    </row>
    <row r="1078" spans="2:7">
      <c r="B1078" s="848" t="str">
        <f>+'2E'!AF23</f>
        <v>BA2085REVNPC</v>
      </c>
      <c r="D1078" s="2004"/>
      <c r="E1078" s="1658" t="s">
        <v>9033</v>
      </c>
      <c r="F1078" s="2004"/>
      <c r="G1078" s="2004">
        <f>IF('2E'!G23="","##BLANK",'2E'!G23)</f>
        <v>0</v>
      </c>
    </row>
    <row r="1079" spans="2:7" s="2004" customFormat="1">
      <c r="B1079" s="848" t="str">
        <f>+'2E'!AF24</f>
        <v>BA2090REV</v>
      </c>
      <c r="C1079" s="1322"/>
      <c r="E1079" s="1658" t="s">
        <v>9033</v>
      </c>
      <c r="G1079" s="2004">
        <f>IF('2E'!G24="","##BLANK",'2E'!G24)</f>
        <v>0</v>
      </c>
    </row>
    <row r="1080" spans="2:7" s="2004" customFormat="1">
      <c r="B1080" s="848" t="str">
        <f>+'2E'!AF26</f>
        <v>BC30460WWREV</v>
      </c>
      <c r="C1080" s="1322"/>
      <c r="E1080" s="1658" t="s">
        <v>9033</v>
      </c>
      <c r="G1080" s="2004">
        <f>IF('2E'!G26="","##BLANK",'2E'!G26)</f>
        <v>0</v>
      </c>
    </row>
    <row r="1081" spans="2:7">
      <c r="B1081" s="848" t="str">
        <f>+'2E'!AF30</f>
        <v>BC11370TTTREV</v>
      </c>
      <c r="D1081" s="2004"/>
      <c r="E1081" s="1658" t="s">
        <v>9033</v>
      </c>
      <c r="F1081" s="2004"/>
      <c r="G1081" s="2004" t="str">
        <f>IF('2E'!G30="","##BLANK",'2E'!G30)</f>
        <v>##BLANK</v>
      </c>
    </row>
    <row r="1082" spans="2:7">
      <c r="B1082" s="848" t="str">
        <f>+'2E'!AF31</f>
        <v>BC11372TTTREV</v>
      </c>
      <c r="D1082" s="2004"/>
      <c r="E1082" s="1658" t="s">
        <v>9033</v>
      </c>
      <c r="F1082" s="2004"/>
      <c r="G1082" s="2004" t="str">
        <f>IF('2E'!G31="","##BLANK",'2E'!G31)</f>
        <v>##BLANK</v>
      </c>
    </row>
    <row r="1083" spans="2:7">
      <c r="B1083" s="848" t="str">
        <f>+'2E'!AF32</f>
        <v>BA2085TTTREVPC</v>
      </c>
      <c r="D1083" s="2004"/>
      <c r="E1083" s="1658" t="s">
        <v>9033</v>
      </c>
      <c r="F1083" s="2004"/>
      <c r="G1083" s="2004" t="str">
        <f>IF('2E'!G32="","##BLANK",'2E'!G32)</f>
        <v>##BLANK</v>
      </c>
    </row>
    <row r="1084" spans="2:7">
      <c r="B1084" s="848" t="str">
        <f>+'2E'!AF33</f>
        <v>BC11373TTTREV</v>
      </c>
      <c r="D1084" s="2004"/>
      <c r="E1084" s="1658" t="s">
        <v>9033</v>
      </c>
      <c r="F1084" s="2004"/>
      <c r="G1084" s="2004" t="str">
        <f>IF('2E'!G33="","##BLANK",'2E'!G33)</f>
        <v>##BLANK</v>
      </c>
    </row>
    <row r="1085" spans="2:7">
      <c r="B1085" s="848" t="str">
        <f>+'2E'!AF34</f>
        <v>BA2085TTTREVNPC</v>
      </c>
      <c r="D1085" s="2004"/>
      <c r="E1085" s="1658" t="s">
        <v>9033</v>
      </c>
      <c r="F1085" s="2004"/>
      <c r="G1085" s="2004" t="str">
        <f>IF('2E'!G34="","##BLANK",'2E'!G34)</f>
        <v>##BLANK</v>
      </c>
    </row>
    <row r="1086" spans="2:7">
      <c r="B1086" s="848" t="str">
        <f>+'2E'!AF35</f>
        <v>BA2090TTTREV</v>
      </c>
      <c r="D1086" s="2004"/>
      <c r="E1086" s="1658" t="s">
        <v>9033</v>
      </c>
      <c r="F1086" s="2004"/>
      <c r="G1086" s="2004">
        <f>IF('2E'!G35="","##BLANK",'2E'!G35)</f>
        <v>0</v>
      </c>
    </row>
    <row r="1087" spans="2:7" s="2004" customFormat="1">
      <c r="B1087" s="848" t="str">
        <f>+'2E'!AF37</f>
        <v>BC30460TTTREV</v>
      </c>
      <c r="C1087" s="1322"/>
      <c r="E1087" s="1658" t="s">
        <v>9033</v>
      </c>
      <c r="G1087" s="2004">
        <f>IF('2E'!G37="","##BLANK",'2E'!G37)</f>
        <v>0</v>
      </c>
    </row>
    <row r="1088" spans="2:7">
      <c r="B1088" s="848" t="str">
        <f>+'2E'!AF43</f>
        <v>BA1090BFWD</v>
      </c>
      <c r="D1088" s="2004"/>
      <c r="E1088" s="1658" t="s">
        <v>9033</v>
      </c>
      <c r="F1088" s="2004"/>
      <c r="G1088" s="2004">
        <f>IF('2E'!G43="","##BLANK",'2E'!G43)</f>
        <v>168.21600000000001</v>
      </c>
    </row>
    <row r="1089" spans="2:7">
      <c r="B1089" s="848" t="str">
        <f>+'2E'!AF45</f>
        <v>BA1090AMORT</v>
      </c>
      <c r="D1089" s="2004"/>
      <c r="E1089" s="1658" t="s">
        <v>9033</v>
      </c>
      <c r="F1089" s="2004"/>
      <c r="G1089" s="2004">
        <f>IF('2E'!G45="","##BLANK",'2E'!G45)</f>
        <v>-4.681</v>
      </c>
    </row>
    <row r="1090" spans="2:7">
      <c r="B1090" s="848" t="str">
        <f>+'2E'!AF46</f>
        <v>BA1091CFWD</v>
      </c>
      <c r="D1090" s="2004"/>
      <c r="E1090" s="1658" t="s">
        <v>9033</v>
      </c>
      <c r="F1090" s="2004"/>
      <c r="G1090" s="2004">
        <f>IF('2E'!G46="","##BLANK",'2E'!G46)</f>
        <v>179.71799999999999</v>
      </c>
    </row>
    <row r="1091" spans="2:7">
      <c r="B1091" s="848" t="str">
        <f>+'2E'!AF49</f>
        <v>BT39301PW</v>
      </c>
      <c r="D1091" s="2004"/>
      <c r="E1091" s="1658" t="s">
        <v>9033</v>
      </c>
      <c r="F1091" s="2004"/>
      <c r="G1091" s="2004">
        <f>IF('2E'!G49="","##BLANK",'2E'!G49)</f>
        <v>64.41</v>
      </c>
    </row>
    <row r="1092" spans="2:7">
      <c r="B1092" s="848" t="str">
        <f>+'2E'!AG7</f>
        <v>BC11271CAP</v>
      </c>
      <c r="D1092" s="2004"/>
      <c r="E1092" s="1658" t="s">
        <v>9033</v>
      </c>
      <c r="F1092" s="2004"/>
      <c r="G1092" s="2004">
        <f>IF('2E'!H7="","##BLANK",'2E'!H7)</f>
        <v>5.2050000000000001</v>
      </c>
    </row>
    <row r="1093" spans="2:7">
      <c r="B1093" s="848" t="str">
        <f>+'2E'!AG8</f>
        <v>BC11270CAP</v>
      </c>
      <c r="D1093" s="2004"/>
      <c r="E1093" s="1658" t="s">
        <v>9033</v>
      </c>
      <c r="F1093" s="2004"/>
      <c r="G1093" s="2004">
        <f>IF('2E'!H8="","##BLANK",'2E'!H8)</f>
        <v>3.113</v>
      </c>
    </row>
    <row r="1094" spans="2:7">
      <c r="B1094" s="848" t="str">
        <f>+'2E'!AG9</f>
        <v>BC11272CAP</v>
      </c>
      <c r="D1094" s="2004"/>
      <c r="E1094" s="1658" t="s">
        <v>9033</v>
      </c>
      <c r="F1094" s="2004"/>
      <c r="G1094" s="2004">
        <f>IF('2E'!H9="","##BLANK",'2E'!H9)</f>
        <v>4.9349999999999996</v>
      </c>
    </row>
    <row r="1095" spans="2:7">
      <c r="B1095" s="848" t="str">
        <f>+'2E'!AG10</f>
        <v>BA1086CAPPC</v>
      </c>
      <c r="D1095" s="2004"/>
      <c r="E1095" s="1658" t="s">
        <v>9033</v>
      </c>
      <c r="F1095" s="2004"/>
      <c r="G1095" s="2004">
        <f>IF('2E'!H10="","##BLANK",'2E'!H10)</f>
        <v>0.39700000000000002</v>
      </c>
    </row>
    <row r="1096" spans="2:7">
      <c r="B1096" s="848" t="str">
        <f>+'2E'!AG11</f>
        <v>BC11273CAP</v>
      </c>
      <c r="D1096" s="2004"/>
      <c r="E1096" s="1658" t="s">
        <v>9033</v>
      </c>
      <c r="F1096" s="2004"/>
      <c r="G1096" s="2004">
        <f>IF('2E'!H11="","##BLANK",'2E'!H11)</f>
        <v>2.5329999999999999</v>
      </c>
    </row>
    <row r="1097" spans="2:7">
      <c r="B1097" s="848" t="str">
        <f>+'2E'!AG12</f>
        <v>BA1086CAPNPC</v>
      </c>
      <c r="D1097" s="2004"/>
      <c r="E1097" s="1658" t="s">
        <v>9033</v>
      </c>
      <c r="F1097" s="2004"/>
      <c r="G1097" s="2004">
        <f>IF('2E'!H12="","##BLANK",'2E'!H12)</f>
        <v>0</v>
      </c>
    </row>
    <row r="1098" spans="2:7">
      <c r="B1098" s="848" t="str">
        <f>+'2E'!AG13</f>
        <v>BA1091CAP</v>
      </c>
      <c r="D1098" s="2004"/>
      <c r="E1098" s="1658" t="s">
        <v>9033</v>
      </c>
      <c r="F1098" s="2004"/>
      <c r="G1098" s="2004">
        <f>IF('2E'!H13="","##BLANK",'2E'!H13)</f>
        <v>16.183</v>
      </c>
    </row>
    <row r="1099" spans="2:7">
      <c r="B1099" s="848" t="str">
        <f>+'2E'!AG15</f>
        <v>BC30460WCAP</v>
      </c>
      <c r="D1099" s="2004"/>
      <c r="E1099" s="1658" t="s">
        <v>9033</v>
      </c>
      <c r="F1099" s="2004"/>
      <c r="G1099" s="2004">
        <f>IF('2E'!H15="","##BLANK",'2E'!H15)</f>
        <v>0</v>
      </c>
    </row>
    <row r="1100" spans="2:7">
      <c r="B1100" s="848" t="str">
        <f>+'2E'!AG19</f>
        <v>BC11370CAP</v>
      </c>
      <c r="D1100" s="2004"/>
      <c r="E1100" s="1658" t="s">
        <v>9033</v>
      </c>
      <c r="F1100" s="2004"/>
      <c r="G1100" s="2004">
        <f>IF('2E'!H19="","##BLANK",'2E'!H19)</f>
        <v>5.63</v>
      </c>
    </row>
    <row r="1101" spans="2:7">
      <c r="B1101" s="848" t="str">
        <f>+'2E'!AG20</f>
        <v>BC11372CAP</v>
      </c>
      <c r="D1101" s="2004"/>
      <c r="E1101" s="1658" t="s">
        <v>9033</v>
      </c>
      <c r="F1101" s="2004"/>
      <c r="G1101" s="2004">
        <f>IF('2E'!H20="","##BLANK",'2E'!H20)</f>
        <v>1.2909999999999999</v>
      </c>
    </row>
    <row r="1102" spans="2:7">
      <c r="B1102" s="848" t="str">
        <f>+'2E'!AG21</f>
        <v>BA2086CAPPC</v>
      </c>
      <c r="D1102" s="2004"/>
      <c r="E1102" s="1658" t="s">
        <v>9033</v>
      </c>
      <c r="F1102" s="2004"/>
      <c r="G1102" s="2004">
        <f>IF('2E'!H21="","##BLANK",'2E'!H21)</f>
        <v>1.347</v>
      </c>
    </row>
    <row r="1103" spans="2:7">
      <c r="B1103" s="848" t="str">
        <f>+'2E'!AG22</f>
        <v>BC11373CAP</v>
      </c>
      <c r="D1103" s="2004"/>
      <c r="E1103" s="1658" t="s">
        <v>9033</v>
      </c>
      <c r="F1103" s="2004"/>
      <c r="G1103" s="2004">
        <f>IF('2E'!H22="","##BLANK",'2E'!H22)</f>
        <v>2.3220000000000001</v>
      </c>
    </row>
    <row r="1104" spans="2:7">
      <c r="B1104" s="848" t="str">
        <f>+'2E'!AG23</f>
        <v>BA2086CAPNPC</v>
      </c>
      <c r="D1104" s="2004"/>
      <c r="E1104" s="1658" t="s">
        <v>9033</v>
      </c>
      <c r="F1104" s="2004"/>
      <c r="G1104" s="2004">
        <f>IF('2E'!H23="","##BLANK",'2E'!H23)</f>
        <v>0</v>
      </c>
    </row>
    <row r="1105" spans="2:7">
      <c r="B1105" s="848" t="str">
        <f>+'2E'!AG24</f>
        <v>BA2091CAP</v>
      </c>
      <c r="D1105" s="2004"/>
      <c r="E1105" s="1658" t="s">
        <v>9033</v>
      </c>
      <c r="F1105" s="2004"/>
      <c r="G1105" s="2004">
        <f>IF('2E'!H24="","##BLANK",'2E'!H24)</f>
        <v>10.59</v>
      </c>
    </row>
    <row r="1106" spans="2:7">
      <c r="B1106" s="848" t="str">
        <f>+'2E'!AG26</f>
        <v>BC30460WWCAP</v>
      </c>
      <c r="D1106" s="2004"/>
      <c r="E1106" s="1658" t="s">
        <v>9033</v>
      </c>
      <c r="F1106" s="2004"/>
      <c r="G1106" s="2004">
        <f>IF('2E'!H26="","##BLANK",'2E'!H26)</f>
        <v>11.657</v>
      </c>
    </row>
    <row r="1107" spans="2:7">
      <c r="B1107" s="848" t="str">
        <f>+'2E'!AG30</f>
        <v>BC11370TTTCAP</v>
      </c>
      <c r="D1107" s="2004"/>
      <c r="E1107" s="1658" t="s">
        <v>9033</v>
      </c>
      <c r="F1107" s="2004"/>
      <c r="G1107" s="2004" t="str">
        <f>IF('2E'!H30="","##BLANK",'2E'!H30)</f>
        <v>##BLANK</v>
      </c>
    </row>
    <row r="1108" spans="2:7">
      <c r="B1108" s="848" t="str">
        <f>+'2E'!AG31</f>
        <v>BC11372TTTCAP</v>
      </c>
      <c r="D1108" s="2004"/>
      <c r="E1108" s="1658" t="s">
        <v>9033</v>
      </c>
      <c r="F1108" s="2004"/>
      <c r="G1108" s="2004" t="str">
        <f>IF('2E'!H31="","##BLANK",'2E'!H31)</f>
        <v>##BLANK</v>
      </c>
    </row>
    <row r="1109" spans="2:7">
      <c r="B1109" s="848" t="str">
        <f>+'2E'!AG32</f>
        <v>BA2086TTTCAPPC</v>
      </c>
      <c r="D1109" s="2004"/>
      <c r="E1109" s="1658" t="s">
        <v>9033</v>
      </c>
      <c r="F1109" s="2004"/>
      <c r="G1109" s="2004" t="str">
        <f>IF('2E'!H32="","##BLANK",'2E'!H32)</f>
        <v>##BLANK</v>
      </c>
    </row>
    <row r="1110" spans="2:7">
      <c r="B1110" s="848" t="str">
        <f>+'2E'!AG33</f>
        <v>BC11373TTTCAP</v>
      </c>
      <c r="D1110" s="2004"/>
      <c r="E1110" s="1658" t="s">
        <v>9033</v>
      </c>
      <c r="F1110" s="2004"/>
      <c r="G1110" s="2004" t="str">
        <f>IF('2E'!H33="","##BLANK",'2E'!H33)</f>
        <v>##BLANK</v>
      </c>
    </row>
    <row r="1111" spans="2:7">
      <c r="B1111" s="848" t="str">
        <f>+'2E'!AG34</f>
        <v>BA2086TTTCAPNPC</v>
      </c>
      <c r="D1111" s="2004"/>
      <c r="E1111" s="1658" t="s">
        <v>9033</v>
      </c>
      <c r="F1111" s="2004"/>
      <c r="G1111" s="2004" t="str">
        <f>IF('2E'!H34="","##BLANK",'2E'!H34)</f>
        <v>##BLANK</v>
      </c>
    </row>
    <row r="1112" spans="2:7">
      <c r="B1112" s="848" t="str">
        <f>+'2E'!AG35</f>
        <v>BA2091TTTCAP</v>
      </c>
      <c r="D1112" s="2004"/>
      <c r="E1112" s="1658" t="s">
        <v>9033</v>
      </c>
      <c r="F1112" s="2004"/>
      <c r="G1112" s="2004">
        <f>IF('2E'!H35="","##BLANK",'2E'!H35)</f>
        <v>0</v>
      </c>
    </row>
    <row r="1113" spans="2:7">
      <c r="B1113" s="848" t="str">
        <f>+'2E'!AG37</f>
        <v>BC30460TTTCAP</v>
      </c>
      <c r="D1113" s="2004"/>
      <c r="E1113" s="1658" t="s">
        <v>9033</v>
      </c>
      <c r="F1113" s="2004"/>
      <c r="G1113" s="2004">
        <f>IF('2E'!H37="","##BLANK",'2E'!H37)</f>
        <v>0</v>
      </c>
    </row>
    <row r="1114" spans="2:7">
      <c r="B1114" s="848" t="str">
        <f>+'2E'!AG43</f>
        <v>BA2090BFWD</v>
      </c>
      <c r="D1114" s="2004"/>
      <c r="E1114" s="1658" t="s">
        <v>9033</v>
      </c>
      <c r="F1114" s="2004"/>
      <c r="G1114" s="2004">
        <f>IF('2E'!H43="","##BLANK",'2E'!H43)</f>
        <v>280.79599999999999</v>
      </c>
    </row>
    <row r="1115" spans="2:7">
      <c r="B1115" s="848" t="str">
        <f>+'2E'!AG45</f>
        <v>BA2090AMORT</v>
      </c>
      <c r="D1115" s="2004"/>
      <c r="E1115" s="1658" t="s">
        <v>9033</v>
      </c>
      <c r="F1115" s="2004"/>
      <c r="G1115" s="2004">
        <f>IF('2E'!H45="","##BLANK",'2E'!H45)</f>
        <v>-3.8330000000000002</v>
      </c>
    </row>
    <row r="1116" spans="2:7">
      <c r="B1116" s="848" t="str">
        <f>+'2E'!AG46</f>
        <v>BA2091CFWD</v>
      </c>
      <c r="D1116" s="2004"/>
      <c r="E1116" s="1658" t="s">
        <v>9033</v>
      </c>
      <c r="F1116" s="2004"/>
      <c r="G1116" s="2004">
        <f>IF('2E'!H46="","##BLANK",'2E'!H46)</f>
        <v>287.55299999999994</v>
      </c>
    </row>
    <row r="1117" spans="2:7">
      <c r="B1117" s="848" t="str">
        <f>+'2E'!AG49</f>
        <v>BT39301PS</v>
      </c>
      <c r="D1117" s="2004"/>
      <c r="E1117" s="1658" t="s">
        <v>9033</v>
      </c>
      <c r="F1117" s="2004"/>
      <c r="G1117" s="2004">
        <f>IF('2E'!H49="","##BLANK",'2E'!H49)</f>
        <v>648.26099999999997</v>
      </c>
    </row>
    <row r="1118" spans="2:7">
      <c r="B1118" s="848" t="str">
        <f>+'2E'!AH7</f>
        <v>BC11271NET</v>
      </c>
      <c r="D1118" s="2004"/>
      <c r="E1118" s="1658" t="s">
        <v>9033</v>
      </c>
      <c r="F1118" s="2004"/>
      <c r="G1118" s="2004">
        <f>IF('2E'!I7="","##BLANK",'2E'!I7)</f>
        <v>0</v>
      </c>
    </row>
    <row r="1119" spans="2:7">
      <c r="B1119" s="848" t="str">
        <f>+'2E'!AH8</f>
        <v>BC11270NET</v>
      </c>
      <c r="D1119" s="2004"/>
      <c r="E1119" s="1658" t="s">
        <v>9033</v>
      </c>
      <c r="F1119" s="2004"/>
      <c r="G1119" s="2004">
        <f>IF('2E'!I8="","##BLANK",'2E'!I8)</f>
        <v>0</v>
      </c>
    </row>
    <row r="1120" spans="2:7">
      <c r="B1120" s="848" t="str">
        <f>+'2E'!AH9</f>
        <v>BC11272NET</v>
      </c>
      <c r="D1120" s="2004"/>
      <c r="E1120" s="1658" t="s">
        <v>9033</v>
      </c>
      <c r="F1120" s="2004"/>
      <c r="G1120" s="2004">
        <f>IF('2E'!I9="","##BLANK",'2E'!I9)</f>
        <v>0</v>
      </c>
    </row>
    <row r="1121" spans="2:7">
      <c r="B1121" s="848" t="str">
        <f>+'2E'!AH10</f>
        <v>BA1085NETPC</v>
      </c>
      <c r="D1121" s="2004"/>
      <c r="E1121" s="1658" t="s">
        <v>9033</v>
      </c>
      <c r="F1121" s="2004"/>
      <c r="G1121" s="2004">
        <f>IF('2E'!I10="","##BLANK",'2E'!I10)</f>
        <v>0</v>
      </c>
    </row>
    <row r="1122" spans="2:7">
      <c r="B1122" s="848" t="str">
        <f>+'2E'!AH11</f>
        <v>BC11273NET</v>
      </c>
      <c r="D1122" s="2004"/>
      <c r="E1122" s="1658" t="s">
        <v>9033</v>
      </c>
      <c r="F1122" s="2004"/>
      <c r="G1122" s="2004">
        <f>IF('2E'!I11="","##BLANK",'2E'!I11)</f>
        <v>0</v>
      </c>
    </row>
    <row r="1123" spans="2:7">
      <c r="B1123" s="848" t="str">
        <f>+'2E'!AH12</f>
        <v>BA1085NETNPC</v>
      </c>
      <c r="D1123" s="2004"/>
      <c r="E1123" s="1658" t="s">
        <v>9033</v>
      </c>
      <c r="F1123" s="2004"/>
      <c r="G1123" s="2004">
        <f>IF('2E'!I12="","##BLANK",'2E'!I12)</f>
        <v>0</v>
      </c>
    </row>
    <row r="1124" spans="2:7">
      <c r="B1124" s="848" t="str">
        <f>+'2E'!AH13</f>
        <v>BA1090NET</v>
      </c>
      <c r="D1124" s="2004"/>
      <c r="E1124" s="1658" t="s">
        <v>9033</v>
      </c>
      <c r="F1124" s="2004"/>
      <c r="G1124" s="2004">
        <f>IF('2E'!I13="","##BLANK",'2E'!I13)</f>
        <v>0</v>
      </c>
    </row>
    <row r="1125" spans="2:7">
      <c r="B1125" s="848" t="str">
        <f>+'2E'!AH19</f>
        <v>BC11370NET</v>
      </c>
      <c r="D1125" s="2004"/>
      <c r="E1125" s="1658" t="s">
        <v>9033</v>
      </c>
      <c r="F1125" s="2004"/>
      <c r="G1125" s="2004">
        <f>IF('2E'!I19="","##BLANK",'2E'!I19)</f>
        <v>0</v>
      </c>
    </row>
    <row r="1126" spans="2:7">
      <c r="B1126" s="848" t="str">
        <f>+'2E'!AH20</f>
        <v>BC11372NET</v>
      </c>
      <c r="D1126" s="2004"/>
      <c r="E1126" s="1658" t="s">
        <v>9033</v>
      </c>
      <c r="F1126" s="2004"/>
      <c r="G1126" s="2004">
        <f>IF('2E'!I20="","##BLANK",'2E'!I20)</f>
        <v>0</v>
      </c>
    </row>
    <row r="1127" spans="2:7">
      <c r="B1127" s="848" t="str">
        <f>+'2E'!AH21</f>
        <v>BA2085NETPC</v>
      </c>
      <c r="D1127" s="2004"/>
      <c r="E1127" s="1658" t="s">
        <v>9033</v>
      </c>
      <c r="F1127" s="2004"/>
      <c r="G1127" s="2004">
        <f>IF('2E'!I21="","##BLANK",'2E'!I21)</f>
        <v>0</v>
      </c>
    </row>
    <row r="1128" spans="2:7">
      <c r="B1128" s="848" t="str">
        <f>+'2E'!AH22</f>
        <v>BC11373NET</v>
      </c>
      <c r="D1128" s="2004"/>
      <c r="E1128" s="1658" t="s">
        <v>9033</v>
      </c>
      <c r="F1128" s="2004"/>
      <c r="G1128" s="2004">
        <f>IF('2E'!I22="","##BLANK",'2E'!I22)</f>
        <v>0</v>
      </c>
    </row>
    <row r="1129" spans="2:7">
      <c r="B1129" s="848" t="str">
        <f>+'2E'!AH23</f>
        <v>BA2085NETNPC</v>
      </c>
      <c r="D1129" s="2004"/>
      <c r="E1129" s="1658" t="s">
        <v>9033</v>
      </c>
      <c r="F1129" s="2004"/>
      <c r="G1129" s="2004">
        <f>IF('2E'!I23="","##BLANK",'2E'!I23)</f>
        <v>0</v>
      </c>
    </row>
    <row r="1130" spans="2:7">
      <c r="B1130" s="848" t="str">
        <f>+'2E'!AH24</f>
        <v>BA2090NET</v>
      </c>
      <c r="D1130" s="2004"/>
      <c r="E1130" s="1658" t="s">
        <v>9033</v>
      </c>
      <c r="F1130" s="2004"/>
      <c r="G1130" s="2004">
        <f>IF('2E'!I24="","##BLANK",'2E'!I24)</f>
        <v>0</v>
      </c>
    </row>
    <row r="1131" spans="2:7">
      <c r="B1131" s="848" t="str">
        <f>+'2E'!AH30</f>
        <v>BC11370TTTNET</v>
      </c>
      <c r="D1131" s="2004"/>
      <c r="E1131" s="1658" t="s">
        <v>9033</v>
      </c>
      <c r="F1131" s="2004"/>
      <c r="G1131" s="2004" t="str">
        <f>IF('2E'!I30="","##BLANK",'2E'!I30)</f>
        <v>##BLANK</v>
      </c>
    </row>
    <row r="1132" spans="2:7">
      <c r="B1132" s="848" t="str">
        <f>+'2E'!AH31</f>
        <v>BC11372TTTNET</v>
      </c>
      <c r="D1132" s="2004"/>
      <c r="E1132" s="1658" t="s">
        <v>9033</v>
      </c>
      <c r="F1132" s="2004"/>
      <c r="G1132" s="2004" t="str">
        <f>IF('2E'!I31="","##BLANK",'2E'!I31)</f>
        <v>##BLANK</v>
      </c>
    </row>
    <row r="1133" spans="2:7">
      <c r="B1133" s="848" t="str">
        <f>+'2E'!AH32</f>
        <v>BA2085TTTNETPC</v>
      </c>
      <c r="D1133" s="2004"/>
      <c r="E1133" s="1658" t="s">
        <v>9033</v>
      </c>
      <c r="F1133" s="2004"/>
      <c r="G1133" s="2004" t="str">
        <f>IF('2E'!I32="","##BLANK",'2E'!I32)</f>
        <v>##BLANK</v>
      </c>
    </row>
    <row r="1134" spans="2:7">
      <c r="B1134" s="848" t="str">
        <f>+'2E'!AH33</f>
        <v>BC11373TTTNET</v>
      </c>
      <c r="D1134" s="2004"/>
      <c r="E1134" s="1658" t="s">
        <v>9033</v>
      </c>
      <c r="F1134" s="2004"/>
      <c r="G1134" s="2004" t="str">
        <f>IF('2E'!I33="","##BLANK",'2E'!I33)</f>
        <v>##BLANK</v>
      </c>
    </row>
    <row r="1135" spans="2:7">
      <c r="B1135" s="848" t="str">
        <f>+'2E'!AH34</f>
        <v>BA2085TTTNETNPC</v>
      </c>
      <c r="D1135" s="2004"/>
      <c r="E1135" s="1658" t="s">
        <v>9033</v>
      </c>
      <c r="F1135" s="2004"/>
      <c r="G1135" s="2004" t="str">
        <f>IF('2E'!I34="","##BLANK",'2E'!I34)</f>
        <v>##BLANK</v>
      </c>
    </row>
    <row r="1136" spans="2:7">
      <c r="B1136" s="848" t="str">
        <f>+'2E'!AH35</f>
        <v>BA2090TTTNET</v>
      </c>
      <c r="D1136" s="2004"/>
      <c r="E1136" s="1658" t="s">
        <v>9033</v>
      </c>
      <c r="F1136" s="2004"/>
      <c r="G1136" s="2004">
        <f>IF('2E'!I35="","##BLANK",'2E'!I35)</f>
        <v>0</v>
      </c>
    </row>
    <row r="1137" spans="2:7">
      <c r="B1137" s="848" t="str">
        <f>+'2E'!AH43</f>
        <v>BA2090TTTBFWD</v>
      </c>
      <c r="D1137" s="2004"/>
      <c r="E1137" s="1658" t="s">
        <v>9033</v>
      </c>
      <c r="F1137" s="2004"/>
      <c r="G1137" s="2004" t="str">
        <f>IF('2E'!I43="","##BLANK",'2E'!I43)</f>
        <v>##BLANK</v>
      </c>
    </row>
    <row r="1138" spans="2:7">
      <c r="B1138" s="848" t="str">
        <f>+'2E'!AH45</f>
        <v>BA2090TTTAMORT</v>
      </c>
      <c r="D1138" s="2004"/>
      <c r="E1138" s="1658" t="s">
        <v>9033</v>
      </c>
      <c r="F1138" s="2004"/>
      <c r="G1138" s="2004" t="str">
        <f>IF('2E'!I45="","##BLANK",'2E'!I45)</f>
        <v>##BLANK</v>
      </c>
    </row>
    <row r="1139" spans="2:7">
      <c r="B1139" s="848" t="str">
        <f>+'2E'!AH46</f>
        <v>BA2091TTTCFWD</v>
      </c>
      <c r="D1139" s="2004"/>
      <c r="E1139" s="1658" t="s">
        <v>9033</v>
      </c>
      <c r="F1139" s="2004"/>
      <c r="G1139" s="2004">
        <f>IF('2E'!I46="","##BLANK",'2E'!I46)</f>
        <v>0</v>
      </c>
    </row>
    <row r="1140" spans="2:7">
      <c r="B1140" s="848" t="str">
        <f>+'2E'!AH49</f>
        <v>BT39301PTTT</v>
      </c>
      <c r="D1140" s="2004"/>
      <c r="E1140" s="1658" t="s">
        <v>9033</v>
      </c>
      <c r="F1140" s="2004"/>
      <c r="G1140" s="2004" t="str">
        <f>IF('2E'!I49="","##BLANK",'2E'!I49)</f>
        <v>##BLANK</v>
      </c>
    </row>
    <row r="1141" spans="2:7">
      <c r="B1141" s="848" t="str">
        <f>+'2E'!AI7</f>
        <v>BC11271</v>
      </c>
      <c r="D1141" s="2004"/>
      <c r="E1141" s="1658" t="s">
        <v>9033</v>
      </c>
      <c r="F1141" s="2004"/>
      <c r="G1141" s="2004">
        <f>IF('2E'!J7="","##BLANK",'2E'!J7)</f>
        <v>5.2050000000000001</v>
      </c>
    </row>
    <row r="1142" spans="2:7">
      <c r="B1142" s="848" t="str">
        <f>+'2E'!AI8</f>
        <v>BC11270</v>
      </c>
      <c r="D1142" s="2004"/>
      <c r="E1142" s="1658" t="s">
        <v>9033</v>
      </c>
      <c r="F1142" s="2004"/>
      <c r="G1142" s="2004">
        <f>IF('2E'!J8="","##BLANK",'2E'!J8)</f>
        <v>3.113</v>
      </c>
    </row>
    <row r="1143" spans="2:7">
      <c r="B1143" s="848" t="str">
        <f>+'2E'!AI9</f>
        <v>BC11272</v>
      </c>
      <c r="D1143" s="2004"/>
      <c r="E1143" s="1658" t="s">
        <v>9033</v>
      </c>
      <c r="F1143" s="2004"/>
      <c r="G1143" s="2004">
        <f>IF('2E'!J9="","##BLANK",'2E'!J9)</f>
        <v>4.9349999999999996</v>
      </c>
    </row>
    <row r="1144" spans="2:7">
      <c r="B1144" s="848" t="str">
        <f>+'2E'!AI10</f>
        <v>BA1086PC</v>
      </c>
      <c r="D1144" s="2004"/>
      <c r="E1144" s="1658" t="s">
        <v>9033</v>
      </c>
      <c r="F1144" s="2004"/>
      <c r="G1144" s="2004">
        <f>IF('2E'!J10="","##BLANK",'2E'!J10)</f>
        <v>0.39700000000000002</v>
      </c>
    </row>
    <row r="1145" spans="2:7">
      <c r="B1145" s="848" t="str">
        <f>+'2E'!AI11</f>
        <v>BC11273</v>
      </c>
      <c r="D1145" s="2004"/>
      <c r="E1145" s="1658" t="s">
        <v>9033</v>
      </c>
      <c r="F1145" s="2004"/>
      <c r="G1145" s="2004">
        <f>IF('2E'!J11="","##BLANK",'2E'!J11)</f>
        <v>2.5329999999999999</v>
      </c>
    </row>
    <row r="1146" spans="2:7">
      <c r="B1146" s="848" t="str">
        <f>+'2E'!AI12</f>
        <v>BA1086NPC</v>
      </c>
      <c r="D1146" s="2004"/>
      <c r="E1146" s="1658" t="s">
        <v>9033</v>
      </c>
      <c r="F1146" s="2004"/>
      <c r="G1146" s="2004">
        <f>IF('2E'!J12="","##BLANK",'2E'!J12)</f>
        <v>0</v>
      </c>
    </row>
    <row r="1147" spans="2:7">
      <c r="B1147" s="848" t="str">
        <f>+'2E'!AI13</f>
        <v>BA1091</v>
      </c>
      <c r="D1147" s="2004"/>
      <c r="E1147" s="1658" t="s">
        <v>9033</v>
      </c>
      <c r="F1147" s="2004"/>
      <c r="G1147" s="2004">
        <f>IF('2E'!J13="","##BLANK",'2E'!J13)</f>
        <v>16.183</v>
      </c>
    </row>
    <row r="1148" spans="2:7">
      <c r="B1148" s="848" t="str">
        <f>+'2E'!AI15</f>
        <v>BC30460WTOT</v>
      </c>
      <c r="D1148" s="2004"/>
      <c r="E1148" s="1658" t="s">
        <v>9033</v>
      </c>
      <c r="F1148" s="2004"/>
      <c r="G1148" s="2004">
        <f>IF('2E'!J15="","##BLANK",'2E'!J15)</f>
        <v>0</v>
      </c>
    </row>
    <row r="1149" spans="2:7">
      <c r="B1149" s="848" t="str">
        <f>+'2E'!AI19</f>
        <v>BC11370</v>
      </c>
      <c r="D1149" s="2004"/>
      <c r="E1149" s="1658" t="s">
        <v>9033</v>
      </c>
      <c r="F1149" s="2004"/>
      <c r="G1149" s="2004">
        <f>IF('2E'!J19="","##BLANK",'2E'!J19)</f>
        <v>5.63</v>
      </c>
    </row>
    <row r="1150" spans="2:7">
      <c r="B1150" s="848" t="str">
        <f>+'2E'!AI20</f>
        <v>BC11372</v>
      </c>
      <c r="D1150" s="2004"/>
      <c r="E1150" s="1658" t="s">
        <v>9033</v>
      </c>
      <c r="F1150" s="2004"/>
      <c r="G1150" s="2004">
        <f>IF('2E'!J20="","##BLANK",'2E'!J20)</f>
        <v>1.2909999999999999</v>
      </c>
    </row>
    <row r="1151" spans="2:7">
      <c r="B1151" s="848" t="str">
        <f>+'2E'!AI21</f>
        <v>BA2086PC</v>
      </c>
      <c r="D1151" s="2004"/>
      <c r="E1151" s="1658" t="s">
        <v>9033</v>
      </c>
      <c r="F1151" s="2004"/>
      <c r="G1151" s="2004">
        <f>IF('2E'!J21="","##BLANK",'2E'!J21)</f>
        <v>1.347</v>
      </c>
    </row>
    <row r="1152" spans="2:7">
      <c r="B1152" s="848" t="str">
        <f>+'2E'!AI22</f>
        <v>BC11373</v>
      </c>
      <c r="D1152" s="2004"/>
      <c r="E1152" s="1658" t="s">
        <v>9033</v>
      </c>
      <c r="F1152" s="2004"/>
      <c r="G1152" s="2004">
        <f>IF('2E'!J22="","##BLANK",'2E'!J22)</f>
        <v>2.3220000000000001</v>
      </c>
    </row>
    <row r="1153" spans="2:7">
      <c r="B1153" s="848" t="str">
        <f>+'2E'!AI23</f>
        <v>BA2086NPC</v>
      </c>
      <c r="D1153" s="2004"/>
      <c r="E1153" s="1658" t="s">
        <v>9033</v>
      </c>
      <c r="F1153" s="2004"/>
      <c r="G1153" s="2004">
        <f>IF('2E'!J23="","##BLANK",'2E'!J23)</f>
        <v>0</v>
      </c>
    </row>
    <row r="1154" spans="2:7">
      <c r="B1154" s="848" t="str">
        <f>+'2E'!AI24</f>
        <v>BA2091</v>
      </c>
      <c r="D1154" s="2004"/>
      <c r="E1154" s="1658" t="s">
        <v>9033</v>
      </c>
      <c r="F1154" s="2004"/>
      <c r="G1154" s="2004">
        <f>IF('2E'!J24="","##BLANK",'2E'!J24)</f>
        <v>10.59</v>
      </c>
    </row>
    <row r="1155" spans="2:7">
      <c r="B1155" s="848" t="str">
        <f>+'2E'!AI26</f>
        <v>BC30460WWTOT</v>
      </c>
      <c r="D1155" s="2004"/>
      <c r="E1155" s="1658" t="s">
        <v>9033</v>
      </c>
      <c r="F1155" s="2004"/>
      <c r="G1155" s="2004">
        <f>IF('2E'!J26="","##BLANK",'2E'!J26)</f>
        <v>11.657</v>
      </c>
    </row>
    <row r="1156" spans="2:7">
      <c r="B1156" s="848" t="str">
        <f>+'2E'!AI30</f>
        <v>BC11370TTT</v>
      </c>
      <c r="D1156" s="2004"/>
      <c r="E1156" s="1658" t="s">
        <v>9033</v>
      </c>
      <c r="F1156" s="2004"/>
      <c r="G1156" s="2004">
        <f>IF('2E'!J30="","##BLANK",'2E'!J30)</f>
        <v>0</v>
      </c>
    </row>
    <row r="1157" spans="2:7">
      <c r="B1157" s="848" t="str">
        <f>+'2E'!AI31</f>
        <v>BC11372TTT</v>
      </c>
      <c r="D1157" s="2004"/>
      <c r="E1157" s="1658" t="s">
        <v>9033</v>
      </c>
      <c r="F1157" s="2004"/>
      <c r="G1157" s="2004">
        <f>IF('2E'!J31="","##BLANK",'2E'!J31)</f>
        <v>0</v>
      </c>
    </row>
    <row r="1158" spans="2:7">
      <c r="B1158" s="848" t="str">
        <f>+'2E'!AI32</f>
        <v>BA2086TTTPC</v>
      </c>
      <c r="D1158" s="2004"/>
      <c r="E1158" s="1658" t="s">
        <v>9033</v>
      </c>
      <c r="F1158" s="2004"/>
      <c r="G1158" s="2004">
        <f>IF('2E'!J32="","##BLANK",'2E'!J32)</f>
        <v>0</v>
      </c>
    </row>
    <row r="1159" spans="2:7">
      <c r="B1159" s="848" t="str">
        <f>+'2E'!AI33</f>
        <v>BC11373TTT</v>
      </c>
      <c r="D1159" s="2004"/>
      <c r="E1159" s="1658" t="s">
        <v>9033</v>
      </c>
      <c r="F1159" s="2004"/>
      <c r="G1159" s="2004">
        <f>IF('2E'!J33="","##BLANK",'2E'!J33)</f>
        <v>0</v>
      </c>
    </row>
    <row r="1160" spans="2:7">
      <c r="B1160" s="848" t="str">
        <f>+'2E'!AI34</f>
        <v>BA2086TTTNPC</v>
      </c>
      <c r="D1160" s="2004"/>
      <c r="E1160" s="1658" t="s">
        <v>9033</v>
      </c>
      <c r="F1160" s="2004"/>
      <c r="G1160" s="2004">
        <f>IF('2E'!J34="","##BLANK",'2E'!J34)</f>
        <v>0</v>
      </c>
    </row>
    <row r="1161" spans="2:7">
      <c r="B1161" s="848" t="str">
        <f>+'2E'!AI35</f>
        <v>BA2091TTT</v>
      </c>
      <c r="D1161" s="2004"/>
      <c r="E1161" s="1658" t="s">
        <v>9033</v>
      </c>
      <c r="F1161" s="2004"/>
      <c r="G1161" s="2004">
        <f>IF('2E'!J35="","##BLANK",'2E'!J35)</f>
        <v>0</v>
      </c>
    </row>
    <row r="1162" spans="2:7">
      <c r="B1162" s="848" t="str">
        <f>+'2E'!AI37</f>
        <v>BC30460TTTTOT</v>
      </c>
      <c r="D1162" s="2004"/>
      <c r="E1162" s="1658" t="s">
        <v>9033</v>
      </c>
      <c r="F1162" s="2004"/>
      <c r="G1162" s="2004">
        <f>IF('2E'!J37="","##BLANK",'2E'!J37)</f>
        <v>0</v>
      </c>
    </row>
    <row r="1163" spans="2:7">
      <c r="B1163" s="848" t="str">
        <f>+'2E'!AI43</f>
        <v>BA3001BFWD</v>
      </c>
      <c r="D1163" s="2004"/>
      <c r="E1163" s="1658" t="s">
        <v>9033</v>
      </c>
      <c r="F1163" s="2004"/>
      <c r="G1163" s="2004">
        <f>IF('2E'!J43="","##BLANK",'2E'!J43)</f>
        <v>449.012</v>
      </c>
    </row>
    <row r="1164" spans="2:7">
      <c r="B1164" s="848" t="str">
        <f>+'2E'!AI44</f>
        <v>BA3091CAP</v>
      </c>
      <c r="D1164" s="2004"/>
      <c r="E1164" s="1658" t="s">
        <v>9033</v>
      </c>
      <c r="F1164" s="2004"/>
      <c r="G1164" s="2004">
        <f>IF('2E'!J44="","##BLANK",'2E'!J44)</f>
        <v>26.773</v>
      </c>
    </row>
    <row r="1165" spans="2:7">
      <c r="B1165" s="848" t="str">
        <f>+'2E'!AI45</f>
        <v>BA3001AMORT</v>
      </c>
      <c r="D1165" s="2004"/>
      <c r="E1165" s="1658" t="s">
        <v>9033</v>
      </c>
      <c r="F1165" s="2004"/>
      <c r="G1165" s="2004">
        <f>IF('2E'!J45="","##BLANK",'2E'!J45)</f>
        <v>-8.5139999999999993</v>
      </c>
    </row>
    <row r="1166" spans="2:7">
      <c r="B1166" s="848" t="str">
        <f>+'2E'!AI46</f>
        <v>BA3091CFWD</v>
      </c>
      <c r="D1166" s="2004"/>
      <c r="E1166" s="1658" t="s">
        <v>9033</v>
      </c>
      <c r="F1166" s="2004"/>
      <c r="G1166" s="2004">
        <f>IF('2E'!J46="","##BLANK",'2E'!J46)</f>
        <v>467.27099999999996</v>
      </c>
    </row>
    <row r="1167" spans="2:7">
      <c r="B1167" s="848" t="str">
        <f>+'2E'!AI49</f>
        <v>BT39301P</v>
      </c>
      <c r="D1167" s="2004"/>
      <c r="E1167" s="1658" t="s">
        <v>9033</v>
      </c>
      <c r="F1167" s="2004"/>
      <c r="G1167" s="2004">
        <f>IF('2E'!J49="","##BLANK",'2E'!J49)</f>
        <v>712.67099999999994</v>
      </c>
    </row>
    <row r="1168" spans="2:7">
      <c r="B1168" s="848" t="str">
        <f>+'2F'!AD5</f>
        <v>R3017WCR</v>
      </c>
      <c r="D1168" s="2004"/>
      <c r="E1168" s="1658" t="s">
        <v>9033</v>
      </c>
      <c r="F1168" s="2004"/>
      <c r="G1168" s="2004">
        <f>IF('2F'!E5="","##BLANK",'2F'!E5)</f>
        <v>12.795999999999999</v>
      </c>
    </row>
    <row r="1169" spans="2:7">
      <c r="B1169" s="848" t="str">
        <f>+'2F'!AD6</f>
        <v>R3019WCR</v>
      </c>
      <c r="D1169" s="2004"/>
      <c r="E1169" s="1658" t="s">
        <v>9033</v>
      </c>
      <c r="F1169" s="2004"/>
      <c r="G1169" s="2004">
        <f>IF('2F'!E6="","##BLANK",'2F'!E6)</f>
        <v>14.509</v>
      </c>
    </row>
    <row r="1170" spans="2:7">
      <c r="B1170" s="848" t="str">
        <f>+'2F'!AD7</f>
        <v>R3021WCR</v>
      </c>
      <c r="D1170" s="2004"/>
      <c r="E1170" s="1658" t="s">
        <v>9033</v>
      </c>
      <c r="F1170" s="2004"/>
      <c r="G1170" s="2004">
        <f>IF('2F'!E7="","##BLANK",'2F'!E7)</f>
        <v>365.15100000000001</v>
      </c>
    </row>
    <row r="1171" spans="2:7">
      <c r="B1171" s="848" t="str">
        <f>+'2F'!AD8</f>
        <v>R3018WCR</v>
      </c>
      <c r="D1171" s="2004"/>
      <c r="E1171" s="1658" t="s">
        <v>9033</v>
      </c>
      <c r="F1171" s="2004"/>
      <c r="G1171" s="2004">
        <f>IF('2F'!E8="","##BLANK",'2F'!E8)</f>
        <v>8.3049999999999997</v>
      </c>
    </row>
    <row r="1172" spans="2:7">
      <c r="B1172" s="848" t="str">
        <f>+'2F'!AD9</f>
        <v>R3020WCR</v>
      </c>
      <c r="D1172" s="2004"/>
      <c r="E1172" s="1658" t="s">
        <v>9033</v>
      </c>
      <c r="F1172" s="2004"/>
      <c r="G1172" s="2004">
        <f>IF('2F'!E9="","##BLANK",'2F'!E9)</f>
        <v>9.8989999999999991</v>
      </c>
    </row>
    <row r="1173" spans="2:7">
      <c r="B1173" s="848" t="str">
        <f>+'2F'!AD10</f>
        <v>R3022WCR</v>
      </c>
      <c r="D1173" s="2004"/>
      <c r="E1173" s="1658" t="s">
        <v>9033</v>
      </c>
      <c r="F1173" s="2004"/>
      <c r="G1173" s="2004">
        <f>IF('2F'!E10="","##BLANK",'2F'!E10)</f>
        <v>338.18700000000001</v>
      </c>
    </row>
    <row r="1174" spans="2:7">
      <c r="B1174" s="848" t="str">
        <f>+'2F'!AD11</f>
        <v>R3100WCRTOT</v>
      </c>
      <c r="D1174" s="2004"/>
      <c r="E1174" s="1658" t="s">
        <v>9033</v>
      </c>
      <c r="F1174" s="2004"/>
      <c r="G1174" s="2004">
        <f>IF('2F'!E11="","##BLANK",'2F'!E11)</f>
        <v>748.84699999999998</v>
      </c>
    </row>
    <row r="1175" spans="2:7">
      <c r="B1175" s="848" t="str">
        <f>+'2F'!AE5</f>
        <v>R3017RR</v>
      </c>
      <c r="D1175" s="2004"/>
      <c r="E1175" s="1658" t="s">
        <v>9033</v>
      </c>
      <c r="F1175" s="2004"/>
      <c r="G1175" s="2004">
        <f>IF('2F'!F5="","##BLANK",'2F'!F5)</f>
        <v>0.73399999999999999</v>
      </c>
    </row>
    <row r="1176" spans="2:7">
      <c r="B1176" s="848" t="str">
        <f>+'2F'!AE6</f>
        <v>R3019RR</v>
      </c>
      <c r="D1176" s="2004"/>
      <c r="E1176" s="1658" t="s">
        <v>9033</v>
      </c>
      <c r="F1176" s="2004"/>
      <c r="G1176" s="2004">
        <f>IF('2F'!F6="","##BLANK",'2F'!F6)</f>
        <v>0.878</v>
      </c>
    </row>
    <row r="1177" spans="2:7">
      <c r="B1177" s="848" t="str">
        <f>+'2F'!AE7</f>
        <v>R3021RR</v>
      </c>
      <c r="D1177" s="2004"/>
      <c r="E1177" s="1658" t="s">
        <v>9033</v>
      </c>
      <c r="F1177" s="2004"/>
      <c r="G1177" s="2004">
        <f>IF('2F'!F7="","##BLANK",'2F'!F7)</f>
        <v>25.091000000000001</v>
      </c>
    </row>
    <row r="1178" spans="2:7">
      <c r="B1178" s="848" t="str">
        <f>+'2F'!AE8</f>
        <v>R3018RR</v>
      </c>
      <c r="D1178" s="2004"/>
      <c r="E1178" s="1658" t="s">
        <v>9033</v>
      </c>
      <c r="F1178" s="2004"/>
      <c r="G1178" s="2004">
        <f>IF('2F'!F8="","##BLANK",'2F'!F8)</f>
        <v>0.85099999999999998</v>
      </c>
    </row>
    <row r="1179" spans="2:7">
      <c r="B1179" s="848" t="str">
        <f>+'2F'!AE9</f>
        <v>R3020RR</v>
      </c>
      <c r="D1179" s="2004"/>
      <c r="E1179" s="1658" t="s">
        <v>9033</v>
      </c>
      <c r="F1179" s="2004"/>
      <c r="G1179" s="2004">
        <f>IF('2F'!F9="","##BLANK",'2F'!F9)</f>
        <v>0.78800000000000003</v>
      </c>
    </row>
    <row r="1180" spans="2:7">
      <c r="B1180" s="848" t="str">
        <f>+'2F'!AE10</f>
        <v>R3022RR</v>
      </c>
      <c r="D1180" s="2004"/>
      <c r="E1180" s="1658" t="s">
        <v>9033</v>
      </c>
      <c r="F1180" s="2004"/>
      <c r="G1180" s="2004">
        <f>IF('2F'!F10="","##BLANK",'2F'!F10)</f>
        <v>37.713000000000001</v>
      </c>
    </row>
    <row r="1181" spans="2:7">
      <c r="B1181" s="848" t="str">
        <f>+'2F'!AE11</f>
        <v>R3100RRTOT</v>
      </c>
      <c r="D1181" s="2004"/>
      <c r="E1181" s="1658" t="s">
        <v>9033</v>
      </c>
      <c r="F1181" s="2004"/>
      <c r="G1181" s="2004">
        <f>IF('2F'!F11="","##BLANK",'2F'!F11)</f>
        <v>66.055000000000007</v>
      </c>
    </row>
    <row r="1182" spans="2:7">
      <c r="B1182" s="848" t="str">
        <f>+'2F'!AF5</f>
        <v>R3017TR</v>
      </c>
      <c r="D1182" s="2004"/>
      <c r="E1182" s="1658" t="s">
        <v>9033</v>
      </c>
      <c r="F1182" s="2004"/>
      <c r="G1182" s="2004">
        <f>IF('2F'!G5="","##BLANK",'2F'!G5)</f>
        <v>13.53</v>
      </c>
    </row>
    <row r="1183" spans="2:7">
      <c r="B1183" s="848" t="str">
        <f>+'2F'!AF6</f>
        <v>R3019TR</v>
      </c>
      <c r="D1183" s="2004"/>
      <c r="E1183" s="1658" t="s">
        <v>9033</v>
      </c>
      <c r="F1183" s="2004"/>
      <c r="G1183" s="2004">
        <f>IF('2F'!G6="","##BLANK",'2F'!G6)</f>
        <v>15.387</v>
      </c>
    </row>
    <row r="1184" spans="2:7">
      <c r="B1184" s="848" t="str">
        <f>+'2F'!AF7</f>
        <v>R3021TR</v>
      </c>
      <c r="D1184" s="2004"/>
      <c r="E1184" s="1658" t="s">
        <v>9033</v>
      </c>
      <c r="F1184" s="2004"/>
      <c r="G1184" s="2004">
        <f>IF('2F'!G7="","##BLANK",'2F'!G7)</f>
        <v>390.24200000000002</v>
      </c>
    </row>
    <row r="1185" spans="2:7">
      <c r="B1185" s="848" t="str">
        <f>+'2F'!AF8</f>
        <v>R3018TR</v>
      </c>
      <c r="D1185" s="2004"/>
      <c r="E1185" s="1658" t="s">
        <v>9033</v>
      </c>
      <c r="F1185" s="2004"/>
      <c r="G1185" s="2004">
        <f>IF('2F'!G8="","##BLANK",'2F'!G8)</f>
        <v>9.1559999999999988</v>
      </c>
    </row>
    <row r="1186" spans="2:7">
      <c r="B1186" s="848" t="str">
        <f>+'2F'!AF9</f>
        <v>R3020TR</v>
      </c>
      <c r="D1186" s="2004"/>
      <c r="E1186" s="1658" t="s">
        <v>9033</v>
      </c>
      <c r="F1186" s="2004"/>
      <c r="G1186" s="2004">
        <f>IF('2F'!G9="","##BLANK",'2F'!G9)</f>
        <v>10.686999999999999</v>
      </c>
    </row>
    <row r="1187" spans="2:7">
      <c r="B1187" s="848" t="str">
        <f>+'2F'!AF10</f>
        <v>R3022TR</v>
      </c>
      <c r="D1187" s="2004"/>
      <c r="E1187" s="1658" t="s">
        <v>9033</v>
      </c>
      <c r="F1187" s="2004"/>
      <c r="G1187" s="2004">
        <f>IF('2F'!G10="","##BLANK",'2F'!G10)</f>
        <v>375.90000000000003</v>
      </c>
    </row>
    <row r="1188" spans="2:7">
      <c r="B1188" s="848" t="str">
        <f>+'2F'!AF11</f>
        <v>R3100TRTOT</v>
      </c>
      <c r="D1188" s="2004"/>
      <c r="E1188" s="1658" t="s">
        <v>9033</v>
      </c>
      <c r="F1188" s="2004"/>
      <c r="G1188" s="2004">
        <f>IF('2F'!G11="","##BLANK",'2F'!G11)</f>
        <v>814.90200000000004</v>
      </c>
    </row>
    <row r="1189" spans="2:7">
      <c r="B1189" s="848" t="str">
        <f>+'2F'!AG5</f>
        <v>R3017</v>
      </c>
      <c r="D1189" s="2004"/>
      <c r="E1189" s="1658" t="s">
        <v>9033</v>
      </c>
      <c r="F1189" s="2004"/>
      <c r="G1189" s="2004">
        <f>IF('2F'!H5="","##BLANK",'2F'!H5)</f>
        <v>54.497</v>
      </c>
    </row>
    <row r="1190" spans="2:7">
      <c r="B1190" s="848" t="str">
        <f>+'2F'!AG6</f>
        <v>R3019</v>
      </c>
      <c r="D1190" s="2004"/>
      <c r="E1190" s="1658" t="s">
        <v>9033</v>
      </c>
      <c r="F1190" s="2004"/>
      <c r="G1190" s="2004">
        <f>IF('2F'!H6="","##BLANK",'2F'!H6)</f>
        <v>56.83</v>
      </c>
    </row>
    <row r="1191" spans="2:7">
      <c r="B1191" s="848" t="str">
        <f>+'2F'!AG7</f>
        <v>R3021</v>
      </c>
      <c r="D1191" s="2004"/>
      <c r="E1191" s="1658" t="s">
        <v>9033</v>
      </c>
      <c r="F1191" s="2004"/>
      <c r="G1191" s="2004">
        <f>IF('2F'!H7="","##BLANK",'2F'!H7)</f>
        <v>850.03599999999994</v>
      </c>
    </row>
    <row r="1192" spans="2:7">
      <c r="B1192" s="848" t="str">
        <f>+'2F'!AG8</f>
        <v>R3018</v>
      </c>
      <c r="D1192" s="2004"/>
      <c r="E1192" s="1658" t="s">
        <v>9033</v>
      </c>
      <c r="F1192" s="2004"/>
      <c r="G1192" s="2004">
        <f>IF('2F'!H8="","##BLANK",'2F'!H8)</f>
        <v>55.758000000000003</v>
      </c>
    </row>
    <row r="1193" spans="2:7">
      <c r="B1193" s="848" t="str">
        <f>+'2F'!AG9</f>
        <v>R3020</v>
      </c>
      <c r="D1193" s="2004"/>
      <c r="E1193" s="1658" t="s">
        <v>9033</v>
      </c>
      <c r="F1193" s="2004"/>
      <c r="G1193" s="2004">
        <f>IF('2F'!H9="","##BLANK",'2F'!H9)</f>
        <v>58.616</v>
      </c>
    </row>
    <row r="1194" spans="2:7">
      <c r="B1194" s="848" t="str">
        <f>+'2F'!AG10</f>
        <v>R3022</v>
      </c>
      <c r="D1194" s="2004"/>
      <c r="E1194" s="1658" t="s">
        <v>9033</v>
      </c>
      <c r="F1194" s="2004"/>
      <c r="G1194" s="2004">
        <f>IF('2F'!H10="","##BLANK",'2F'!H10)</f>
        <v>1114.0360000000001</v>
      </c>
    </row>
    <row r="1195" spans="2:7">
      <c r="B1195" s="848" t="str">
        <f>+'2F'!AG11</f>
        <v>R3100TOT</v>
      </c>
      <c r="D1195" s="2004"/>
      <c r="E1195" s="1658" t="s">
        <v>9033</v>
      </c>
      <c r="F1195" s="2004"/>
      <c r="G1195" s="2004">
        <f>IF('2F'!H11="","##BLANK",'2F'!H11)</f>
        <v>2189.7730000000001</v>
      </c>
    </row>
    <row r="1196" spans="2:7">
      <c r="B1196" s="848" t="str">
        <f>+'2F'!AH5</f>
        <v>R3017RPC</v>
      </c>
      <c r="D1196" s="2004"/>
      <c r="E1196" s="1658" t="s">
        <v>9033</v>
      </c>
      <c r="F1196" s="2004"/>
      <c r="G1196" s="2004">
        <f>IF('2F'!I5="","##BLANK",'2F'!I5)</f>
        <v>13.46863130080555</v>
      </c>
    </row>
    <row r="1197" spans="2:7">
      <c r="B1197" s="848" t="str">
        <f>+'2F'!AH6</f>
        <v>R3019RPC</v>
      </c>
      <c r="D1197" s="2004"/>
      <c r="E1197" s="1658" t="s">
        <v>9033</v>
      </c>
      <c r="F1197" s="2004"/>
      <c r="G1197" s="2004">
        <f>IF('2F'!I6="","##BLANK",'2F'!I6)</f>
        <v>15.44958648601091</v>
      </c>
    </row>
    <row r="1198" spans="2:7">
      <c r="B1198" s="848" t="str">
        <f>+'2F'!AH7</f>
        <v>R3021RPC</v>
      </c>
      <c r="D1198" s="2004"/>
      <c r="E1198" s="1658" t="s">
        <v>9033</v>
      </c>
      <c r="F1198" s="2004"/>
      <c r="G1198" s="2004">
        <f>IF('2F'!I7="","##BLANK",'2F'!I7)</f>
        <v>29.517573373363014</v>
      </c>
    </row>
    <row r="1199" spans="2:7">
      <c r="B1199" s="848" t="str">
        <f>+'2F'!AH8</f>
        <v>R3018RPC</v>
      </c>
      <c r="D1199" s="2004"/>
      <c r="E1199" s="1658" t="s">
        <v>9033</v>
      </c>
      <c r="F1199" s="2004"/>
      <c r="G1199" s="2004">
        <f>IF('2F'!I8="","##BLANK",'2F'!I8)</f>
        <v>15.262383873166181</v>
      </c>
    </row>
    <row r="1200" spans="2:7">
      <c r="B1200" s="848" t="str">
        <f>+'2F'!AH9</f>
        <v>R3020RPC</v>
      </c>
      <c r="D1200" s="2004"/>
      <c r="E1200" s="1658" t="s">
        <v>9033</v>
      </c>
      <c r="F1200" s="2004"/>
      <c r="G1200" s="2004">
        <f>IF('2F'!I9="","##BLANK",'2F'!I9)</f>
        <v>13.443428415449707</v>
      </c>
    </row>
    <row r="1201" spans="2:7">
      <c r="B1201" s="848" t="str">
        <f>+'2F'!AH10</f>
        <v>R3022RPC</v>
      </c>
      <c r="D1201" s="2004"/>
      <c r="E1201" s="1658" t="s">
        <v>9033</v>
      </c>
      <c r="F1201" s="2004"/>
      <c r="G1201" s="2004">
        <f>IF('2F'!I10="","##BLANK",'2F'!I10)</f>
        <v>33.852586451425267</v>
      </c>
    </row>
    <row r="1202" spans="2:7">
      <c r="B1202" s="848" t="str">
        <f>+'2F'!AH11</f>
        <v>R3100RPCTOT</v>
      </c>
      <c r="D1202" s="2004"/>
      <c r="E1202" s="1658" t="s">
        <v>9033</v>
      </c>
      <c r="F1202" s="2004"/>
      <c r="G1202" s="2004">
        <f>IF('2F'!I11="","##BLANK",'2F'!I11)</f>
        <v>30.165227171948874</v>
      </c>
    </row>
    <row r="1203" spans="2:7">
      <c r="B1203" s="848" t="str">
        <f>+'2G'!AD6</f>
        <v>CR1001WWCR</v>
      </c>
      <c r="D1203" s="2004"/>
      <c r="E1203" s="1658" t="s">
        <v>9033</v>
      </c>
      <c r="F1203" s="2004"/>
      <c r="G1203" s="2004" t="str">
        <f>IF('2G'!E6="","##BLANK",'2G'!E6)</f>
        <v>##BLANK</v>
      </c>
    </row>
    <row r="1204" spans="2:7">
      <c r="B1204" s="848" t="str">
        <f>+'2G'!AD9</f>
        <v>CR1002WWCR</v>
      </c>
      <c r="D1204" s="2004"/>
      <c r="E1204" s="1658" t="s">
        <v>9033</v>
      </c>
      <c r="F1204" s="2004"/>
      <c r="G1204" s="2004" t="str">
        <f>IF('2G'!E9="","##BLANK",'2G'!E9)</f>
        <v>##BLANK</v>
      </c>
    </row>
    <row r="1205" spans="2:7">
      <c r="B1205" s="848" t="str">
        <f>+'2G'!AD10</f>
        <v>CR1003WWCR</v>
      </c>
      <c r="D1205" s="2004"/>
      <c r="E1205" s="1658" t="s">
        <v>9033</v>
      </c>
      <c r="F1205" s="2004"/>
      <c r="G1205" s="2004" t="str">
        <f>IF('2G'!E10="","##BLANK",'2G'!E10)</f>
        <v>##BLANK</v>
      </c>
    </row>
    <row r="1206" spans="2:7">
      <c r="B1206" s="848" t="str">
        <f>+'2G'!AD11</f>
        <v>CR1004WWCR</v>
      </c>
      <c r="D1206" s="2004"/>
      <c r="E1206" s="1658" t="s">
        <v>9033</v>
      </c>
      <c r="F1206" s="2004"/>
      <c r="G1206" s="2004" t="str">
        <f>IF('2G'!E11="","##BLANK",'2G'!E11)</f>
        <v>##BLANK</v>
      </c>
    </row>
    <row r="1207" spans="2:7">
      <c r="B1207" s="848" t="str">
        <f>+'2G'!AD12</f>
        <v>CR1005WWCR</v>
      </c>
      <c r="D1207" s="2004"/>
      <c r="E1207" s="1658" t="s">
        <v>9033</v>
      </c>
      <c r="F1207" s="2004"/>
      <c r="G1207" s="2004" t="str">
        <f>IF('2G'!E12="","##BLANK",'2G'!E12)</f>
        <v>##BLANK</v>
      </c>
    </row>
    <row r="1208" spans="2:7">
      <c r="B1208" s="848" t="str">
        <f>+'2G'!AD13</f>
        <v>CR1006WWCR</v>
      </c>
      <c r="D1208" s="2004"/>
      <c r="E1208" s="1658" t="s">
        <v>9033</v>
      </c>
      <c r="F1208" s="2004"/>
      <c r="G1208" s="2004">
        <f>IF('2G'!E13="","##BLANK",'2G'!E13)</f>
        <v>0.51</v>
      </c>
    </row>
    <row r="1209" spans="2:7">
      <c r="B1209" s="848" t="str">
        <f>+'2G'!AD14</f>
        <v>CR1007WWCR</v>
      </c>
      <c r="D1209" s="2004"/>
      <c r="E1209" s="1658" t="s">
        <v>9033</v>
      </c>
      <c r="F1209" s="2004"/>
      <c r="G1209" s="2004">
        <f>IF('2G'!E14="","##BLANK",'2G'!E14)</f>
        <v>26.04</v>
      </c>
    </row>
    <row r="1210" spans="2:7">
      <c r="B1210" s="848" t="str">
        <f>+'2G'!AD15</f>
        <v>CR1008WWCR</v>
      </c>
      <c r="D1210" s="2004"/>
      <c r="E1210" s="1658" t="s">
        <v>9033</v>
      </c>
      <c r="F1210" s="2004"/>
      <c r="G1210" s="2004">
        <f>IF('2G'!E15="","##BLANK",'2G'!E15)</f>
        <v>9.7509999999999994</v>
      </c>
    </row>
    <row r="1211" spans="2:7">
      <c r="B1211" s="848" t="str">
        <f>+'2G'!AD16</f>
        <v>CR1009WWCR</v>
      </c>
      <c r="D1211" s="2004"/>
      <c r="E1211" s="1658" t="s">
        <v>9033</v>
      </c>
      <c r="F1211" s="2004"/>
      <c r="G1211" s="2004">
        <f>IF('2G'!E16="","##BLANK",'2G'!E16)</f>
        <v>10.760999999999999</v>
      </c>
    </row>
    <row r="1212" spans="2:7">
      <c r="B1212" s="848" t="str">
        <f>+'2G'!AD17</f>
        <v>CR1010WWCR</v>
      </c>
      <c r="D1212" s="2004"/>
      <c r="E1212" s="1658" t="s">
        <v>9033</v>
      </c>
      <c r="F1212" s="2004"/>
      <c r="G1212" s="2004" t="str">
        <f>IF('2G'!E17="","##BLANK",'2G'!E17)</f>
        <v>##BLANK</v>
      </c>
    </row>
    <row r="1213" spans="2:7">
      <c r="B1213" s="848" t="str">
        <f>+'2G'!AD18</f>
        <v>CR1011WWCR</v>
      </c>
      <c r="D1213" s="2004"/>
      <c r="E1213" s="1658" t="s">
        <v>9033</v>
      </c>
      <c r="F1213" s="2004"/>
      <c r="G1213" s="2004" t="str">
        <f>IF('2G'!E18="","##BLANK",'2G'!E18)</f>
        <v>##BLANK</v>
      </c>
    </row>
    <row r="1214" spans="2:7">
      <c r="B1214" s="848" t="str">
        <f>+'2G'!AD19</f>
        <v>CR1012WWCR</v>
      </c>
      <c r="D1214" s="2004"/>
      <c r="E1214" s="1658" t="s">
        <v>9033</v>
      </c>
      <c r="F1214" s="2004"/>
      <c r="G1214" s="2004" t="str">
        <f>IF('2G'!E19="","##BLANK",'2G'!E19)</f>
        <v>##BLANK</v>
      </c>
    </row>
    <row r="1215" spans="2:7">
      <c r="B1215" s="848" t="str">
        <f>+'2G'!AD20</f>
        <v>CR1013WWCR</v>
      </c>
      <c r="D1215" s="2004"/>
      <c r="E1215" s="1658" t="s">
        <v>9033</v>
      </c>
      <c r="F1215" s="2004"/>
      <c r="G1215" s="2004" t="str">
        <f>IF('2G'!E20="","##BLANK",'2G'!E20)</f>
        <v>##BLANK</v>
      </c>
    </row>
    <row r="1216" spans="2:7">
      <c r="B1216" s="848" t="str">
        <f>+'2G'!AD21</f>
        <v>CR1014WWCR</v>
      </c>
      <c r="D1216" s="2004"/>
      <c r="E1216" s="1658" t="s">
        <v>9033</v>
      </c>
      <c r="F1216" s="2004"/>
      <c r="G1216" s="2004" t="str">
        <f>IF('2G'!E21="","##BLANK",'2G'!E21)</f>
        <v>##BLANK</v>
      </c>
    </row>
    <row r="1217" spans="2:7">
      <c r="B1217" s="848" t="str">
        <f>+'2G'!AD22</f>
        <v>CR1015WWCR</v>
      </c>
      <c r="D1217" s="2004"/>
      <c r="E1217" s="1658" t="s">
        <v>9033</v>
      </c>
      <c r="F1217" s="2004"/>
      <c r="G1217" s="2004" t="str">
        <f>IF('2G'!E22="","##BLANK",'2G'!E22)</f>
        <v>##BLANK</v>
      </c>
    </row>
    <row r="1218" spans="2:7">
      <c r="B1218" s="848" t="str">
        <f>+'2G'!AD23</f>
        <v>CR1016WWCR</v>
      </c>
      <c r="D1218" s="2004"/>
      <c r="E1218" s="1658" t="s">
        <v>9033</v>
      </c>
      <c r="F1218" s="2004"/>
      <c r="G1218" s="2004" t="str">
        <f>IF('2G'!E23="","##BLANK",'2G'!E23)</f>
        <v>##BLANK</v>
      </c>
    </row>
    <row r="1219" spans="2:7">
      <c r="B1219" s="848" t="str">
        <f>+'2G'!AD24</f>
        <v>CR1017WWCR</v>
      </c>
      <c r="D1219" s="2004"/>
      <c r="E1219" s="1658" t="s">
        <v>9033</v>
      </c>
      <c r="F1219" s="2004"/>
      <c r="G1219" s="2004" t="str">
        <f>IF('2G'!E24="","##BLANK",'2G'!E24)</f>
        <v>##BLANK</v>
      </c>
    </row>
    <row r="1220" spans="2:7">
      <c r="B1220" s="848" t="str">
        <f>+'2G'!AD25</f>
        <v>CR1018WWCR</v>
      </c>
      <c r="D1220" s="2004"/>
      <c r="E1220" s="1658" t="s">
        <v>9033</v>
      </c>
      <c r="F1220" s="2004"/>
      <c r="G1220" s="2004" t="str">
        <f>IF('2G'!E25="","##BLANK",'2G'!E25)</f>
        <v>##BLANK</v>
      </c>
    </row>
    <row r="1221" spans="2:7">
      <c r="B1221" s="848" t="str">
        <f>+'2G'!AD26</f>
        <v>CR1019WWCR</v>
      </c>
      <c r="D1221" s="2004"/>
      <c r="E1221" s="1658" t="s">
        <v>9033</v>
      </c>
      <c r="F1221" s="2004"/>
      <c r="G1221" s="2004" t="str">
        <f>IF('2G'!E26="","##BLANK",'2G'!E26)</f>
        <v>##BLANK</v>
      </c>
    </row>
    <row r="1222" spans="2:7">
      <c r="B1222" s="848" t="str">
        <f>+'2G'!AD27</f>
        <v>CR1020WWCR</v>
      </c>
      <c r="D1222" s="2004"/>
      <c r="E1222" s="1658" t="s">
        <v>9033</v>
      </c>
      <c r="F1222" s="2004"/>
      <c r="G1222" s="2004" t="str">
        <f>IF('2G'!E27="","##BLANK",'2G'!E27)</f>
        <v>##BLANK</v>
      </c>
    </row>
    <row r="1223" spans="2:7">
      <c r="B1223" s="848" t="str">
        <f>+'2G'!AD28</f>
        <v>CR1025WWCR</v>
      </c>
      <c r="D1223" s="2004"/>
      <c r="E1223" s="1658" t="s">
        <v>9033</v>
      </c>
      <c r="F1223" s="2004"/>
      <c r="G1223" s="2004">
        <f>IF('2G'!E28="","##BLANK",'2G'!E28)</f>
        <v>47.061999999999998</v>
      </c>
    </row>
    <row r="1224" spans="2:7">
      <c r="B1224" s="848" t="str">
        <f>+'2G'!AD30</f>
        <v>CR1030WWCR</v>
      </c>
      <c r="D1224" s="2004"/>
      <c r="E1224" s="1658" t="s">
        <v>9033</v>
      </c>
      <c r="F1224" s="2004"/>
      <c r="G1224" s="2004">
        <f>IF('2G'!E30="","##BLANK",'2G'!E30)</f>
        <v>47.061999999999998</v>
      </c>
    </row>
    <row r="1225" spans="2:7">
      <c r="B1225" s="848" t="str">
        <f>+'2G'!AE6</f>
        <v>CR1001WRR</v>
      </c>
      <c r="D1225" s="2004"/>
      <c r="E1225" s="1658" t="s">
        <v>9033</v>
      </c>
      <c r="F1225" s="2004"/>
      <c r="G1225" s="2004" t="str">
        <f>IF('2G'!F6="","##BLANK",'2G'!F6)</f>
        <v>##BLANK</v>
      </c>
    </row>
    <row r="1226" spans="2:7">
      <c r="B1226" s="848" t="str">
        <f>+'2G'!AE9</f>
        <v>CR1002WRR</v>
      </c>
      <c r="D1226" s="2004"/>
      <c r="E1226" s="1658" t="s">
        <v>9033</v>
      </c>
      <c r="F1226" s="2004"/>
      <c r="G1226" s="2004" t="str">
        <f>IF('2G'!F9="","##BLANK",'2G'!F9)</f>
        <v>##BLANK</v>
      </c>
    </row>
    <row r="1227" spans="2:7">
      <c r="B1227" s="848" t="str">
        <f>+'2G'!AE10</f>
        <v>CR1003WRR</v>
      </c>
      <c r="D1227" s="2004"/>
      <c r="E1227" s="1658" t="s">
        <v>9033</v>
      </c>
      <c r="F1227" s="2004"/>
      <c r="G1227" s="2004" t="str">
        <f>IF('2G'!F10="","##BLANK",'2G'!F10)</f>
        <v>##BLANK</v>
      </c>
    </row>
    <row r="1228" spans="2:7">
      <c r="B1228" s="848" t="str">
        <f>+'2G'!AE11</f>
        <v>CR1004WRR</v>
      </c>
      <c r="D1228" s="2004"/>
      <c r="E1228" s="1658" t="s">
        <v>9033</v>
      </c>
      <c r="F1228" s="2004"/>
      <c r="G1228" s="2004" t="str">
        <f>IF('2G'!F11="","##BLANK",'2G'!F11)</f>
        <v>##BLANK</v>
      </c>
    </row>
    <row r="1229" spans="2:7">
      <c r="B1229" s="848" t="str">
        <f>+'2G'!AE12</f>
        <v>CR1005WRR</v>
      </c>
      <c r="D1229" s="2004"/>
      <c r="E1229" s="1658" t="s">
        <v>9033</v>
      </c>
      <c r="F1229" s="2004"/>
      <c r="G1229" s="2004" t="str">
        <f>IF('2G'!F12="","##BLANK",'2G'!F12)</f>
        <v>##BLANK</v>
      </c>
    </row>
    <row r="1230" spans="2:7">
      <c r="B1230" s="848" t="str">
        <f>+'2G'!AE13</f>
        <v>CR1006WRR</v>
      </c>
      <c r="D1230" s="2004"/>
      <c r="E1230" s="1658" t="s">
        <v>9033</v>
      </c>
      <c r="F1230" s="2004"/>
      <c r="G1230" s="2004">
        <f>IF('2G'!F13="","##BLANK",'2G'!F13)</f>
        <v>0.68200000000000005</v>
      </c>
    </row>
    <row r="1231" spans="2:7">
      <c r="B1231" s="848" t="str">
        <f>+'2G'!AE14</f>
        <v>CR1007WRR</v>
      </c>
      <c r="D1231" s="2004"/>
      <c r="E1231" s="1658" t="s">
        <v>9033</v>
      </c>
      <c r="F1231" s="2004"/>
      <c r="G1231" s="2004">
        <f>IF('2G'!F14="","##BLANK",'2G'!F14)</f>
        <v>0.93500000000000005</v>
      </c>
    </row>
    <row r="1232" spans="2:7">
      <c r="B1232" s="848" t="str">
        <f>+'2G'!AE15</f>
        <v>CR1008WRR</v>
      </c>
      <c r="D1232" s="2004"/>
      <c r="E1232" s="1658" t="s">
        <v>9033</v>
      </c>
      <c r="F1232" s="2004"/>
      <c r="G1232" s="2004">
        <f>IF('2G'!F15="","##BLANK",'2G'!F15)</f>
        <v>0.219</v>
      </c>
    </row>
    <row r="1233" spans="2:7">
      <c r="B1233" s="848" t="str">
        <f>+'2G'!AE16</f>
        <v>CR1009WRR</v>
      </c>
      <c r="D1233" s="2004"/>
      <c r="E1233" s="1658" t="s">
        <v>9033</v>
      </c>
      <c r="F1233" s="2004"/>
      <c r="G1233" s="2004">
        <f>IF('2G'!F16="","##BLANK",'2G'!F16)</f>
        <v>1.0620000000000001</v>
      </c>
    </row>
    <row r="1234" spans="2:7">
      <c r="B1234" s="848" t="str">
        <f>+'2G'!AE17</f>
        <v>CR1010WRR</v>
      </c>
      <c r="D1234" s="2004"/>
      <c r="E1234" s="1658" t="s">
        <v>9033</v>
      </c>
      <c r="F1234" s="2004"/>
      <c r="G1234" s="2004" t="str">
        <f>IF('2G'!F17="","##BLANK",'2G'!F17)</f>
        <v>##BLANK</v>
      </c>
    </row>
    <row r="1235" spans="2:7">
      <c r="B1235" s="848" t="str">
        <f>+'2G'!AE18</f>
        <v>CR1011WRR</v>
      </c>
      <c r="D1235" s="2004"/>
      <c r="E1235" s="1658" t="s">
        <v>9033</v>
      </c>
      <c r="F1235" s="2004"/>
      <c r="G1235" s="2004" t="str">
        <f>IF('2G'!F18="","##BLANK",'2G'!F18)</f>
        <v>##BLANK</v>
      </c>
    </row>
    <row r="1236" spans="2:7">
      <c r="B1236" s="848" t="str">
        <f>+'2G'!AE19</f>
        <v>CR1012WRR</v>
      </c>
      <c r="D1236" s="2004"/>
      <c r="E1236" s="1658" t="s">
        <v>9033</v>
      </c>
      <c r="F1236" s="2004"/>
      <c r="G1236" s="2004" t="str">
        <f>IF('2G'!F19="","##BLANK",'2G'!F19)</f>
        <v>##BLANK</v>
      </c>
    </row>
    <row r="1237" spans="2:7">
      <c r="B1237" s="848" t="str">
        <f>+'2G'!AE20</f>
        <v>CR1013WRR</v>
      </c>
      <c r="D1237" s="2004"/>
      <c r="E1237" s="1658" t="s">
        <v>9033</v>
      </c>
      <c r="F1237" s="2004"/>
      <c r="G1237" s="2004" t="str">
        <f>IF('2G'!F20="","##BLANK",'2G'!F20)</f>
        <v>##BLANK</v>
      </c>
    </row>
    <row r="1238" spans="2:7">
      <c r="B1238" s="848" t="str">
        <f>+'2G'!AE21</f>
        <v>CR1014WRR</v>
      </c>
      <c r="D1238" s="2004"/>
      <c r="E1238" s="1658" t="s">
        <v>9033</v>
      </c>
      <c r="F1238" s="2004"/>
      <c r="G1238" s="2004" t="str">
        <f>IF('2G'!F21="","##BLANK",'2G'!F21)</f>
        <v>##BLANK</v>
      </c>
    </row>
    <row r="1239" spans="2:7">
      <c r="B1239" s="848" t="str">
        <f>+'2G'!AE22</f>
        <v>CR1015WRR</v>
      </c>
      <c r="D1239" s="2004"/>
      <c r="E1239" s="1658" t="s">
        <v>9033</v>
      </c>
      <c r="F1239" s="2004"/>
      <c r="G1239" s="2004" t="str">
        <f>IF('2G'!F22="","##BLANK",'2G'!F22)</f>
        <v>##BLANK</v>
      </c>
    </row>
    <row r="1240" spans="2:7">
      <c r="B1240" s="848" t="str">
        <f>+'2G'!AE23</f>
        <v>CR1016WRR</v>
      </c>
      <c r="D1240" s="2004"/>
      <c r="E1240" s="1658" t="s">
        <v>9033</v>
      </c>
      <c r="F1240" s="2004"/>
      <c r="G1240" s="2004" t="str">
        <f>IF('2G'!F23="","##BLANK",'2G'!F23)</f>
        <v>##BLANK</v>
      </c>
    </row>
    <row r="1241" spans="2:7">
      <c r="B1241" s="848" t="str">
        <f>+'2G'!AE24</f>
        <v>CR1017WRR</v>
      </c>
      <c r="D1241" s="2004"/>
      <c r="E1241" s="1658" t="s">
        <v>9033</v>
      </c>
      <c r="F1241" s="2004"/>
      <c r="G1241" s="2004" t="str">
        <f>IF('2G'!F24="","##BLANK",'2G'!F24)</f>
        <v>##BLANK</v>
      </c>
    </row>
    <row r="1242" spans="2:7">
      <c r="B1242" s="848" t="str">
        <f>+'2G'!AE25</f>
        <v>CR1018WRR</v>
      </c>
      <c r="D1242" s="2004"/>
      <c r="E1242" s="1658" t="s">
        <v>9033</v>
      </c>
      <c r="F1242" s="2004"/>
      <c r="G1242" s="2004" t="str">
        <f>IF('2G'!F25="","##BLANK",'2G'!F25)</f>
        <v>##BLANK</v>
      </c>
    </row>
    <row r="1243" spans="2:7">
      <c r="B1243" s="848" t="str">
        <f>+'2G'!AE26</f>
        <v>CR1019WRR</v>
      </c>
      <c r="D1243" s="2004"/>
      <c r="E1243" s="1658" t="s">
        <v>9033</v>
      </c>
      <c r="F1243" s="2004"/>
      <c r="G1243" s="2004" t="str">
        <f>IF('2G'!F26="","##BLANK",'2G'!F26)</f>
        <v>##BLANK</v>
      </c>
    </row>
    <row r="1244" spans="2:7">
      <c r="B1244" s="848" t="str">
        <f>+'2G'!AE27</f>
        <v>CR1020WRR</v>
      </c>
      <c r="D1244" s="2004"/>
      <c r="E1244" s="1658" t="s">
        <v>9033</v>
      </c>
      <c r="F1244" s="2004"/>
      <c r="G1244" s="2004" t="str">
        <f>IF('2G'!F27="","##BLANK",'2G'!F27)</f>
        <v>##BLANK</v>
      </c>
    </row>
    <row r="1245" spans="2:7">
      <c r="B1245" s="848" t="str">
        <f>+'2G'!AE28</f>
        <v>CR1025WRR</v>
      </c>
      <c r="D1245" s="2004"/>
      <c r="E1245" s="1658" t="s">
        <v>9033</v>
      </c>
      <c r="F1245" s="2004"/>
      <c r="G1245" s="2004">
        <f>IF('2G'!F28="","##BLANK",'2G'!F28)</f>
        <v>2.8980000000000001</v>
      </c>
    </row>
    <row r="1246" spans="2:7">
      <c r="B1246" s="848" t="str">
        <f>+'2G'!AE30</f>
        <v>CR1030WRR</v>
      </c>
      <c r="D1246" s="2004"/>
      <c r="E1246" s="1658" t="s">
        <v>9033</v>
      </c>
      <c r="F1246" s="2004"/>
      <c r="G1246" s="2004">
        <f>IF('2G'!F30="","##BLANK",'2G'!F30)</f>
        <v>2.8980000000000001</v>
      </c>
    </row>
    <row r="1247" spans="2:7">
      <c r="B1247" s="848" t="str">
        <f>+'2G'!AF6</f>
        <v>CR1001WTR</v>
      </c>
      <c r="D1247" s="2004"/>
      <c r="E1247" s="1658" t="s">
        <v>9033</v>
      </c>
      <c r="F1247" s="2004"/>
      <c r="G1247" s="2004">
        <f>IF('2G'!G6="","##BLANK",'2G'!G6)</f>
        <v>0</v>
      </c>
    </row>
    <row r="1248" spans="2:7">
      <c r="B1248" s="848" t="str">
        <f>+'2G'!AF9</f>
        <v>CR1002WTR</v>
      </c>
      <c r="D1248" s="2004"/>
      <c r="E1248" s="1658" t="s">
        <v>9033</v>
      </c>
      <c r="F1248" s="2004"/>
      <c r="G1248" s="2004">
        <f>IF('2G'!G9="","##BLANK",'2G'!G9)</f>
        <v>0</v>
      </c>
    </row>
    <row r="1249" spans="2:7">
      <c r="B1249" s="848" t="str">
        <f>+'2G'!AF10</f>
        <v>CR1003WTR</v>
      </c>
      <c r="D1249" s="2004"/>
      <c r="E1249" s="1658" t="s">
        <v>9033</v>
      </c>
      <c r="F1249" s="2004"/>
      <c r="G1249" s="2004">
        <f>IF('2G'!G10="","##BLANK",'2G'!G10)</f>
        <v>0</v>
      </c>
    </row>
    <row r="1250" spans="2:7">
      <c r="B1250" s="848" t="str">
        <f>+'2G'!AF11</f>
        <v>CR1004WTR</v>
      </c>
      <c r="D1250" s="2004"/>
      <c r="E1250" s="1658" t="s">
        <v>9033</v>
      </c>
      <c r="F1250" s="2004"/>
      <c r="G1250" s="2004">
        <f>IF('2G'!G11="","##BLANK",'2G'!G11)</f>
        <v>0</v>
      </c>
    </row>
    <row r="1251" spans="2:7">
      <c r="B1251" s="848" t="str">
        <f>+'2G'!AF12</f>
        <v>CR1005WTR</v>
      </c>
      <c r="D1251" s="2004"/>
      <c r="E1251" s="1658" t="s">
        <v>9033</v>
      </c>
      <c r="F1251" s="2004"/>
      <c r="G1251" s="2004">
        <f>IF('2G'!G12="","##BLANK",'2G'!G12)</f>
        <v>0</v>
      </c>
    </row>
    <row r="1252" spans="2:7">
      <c r="B1252" s="848" t="str">
        <f>+'2G'!AF13</f>
        <v>CR1006WTR</v>
      </c>
      <c r="D1252" s="2004"/>
      <c r="E1252" s="1658" t="s">
        <v>9033</v>
      </c>
      <c r="F1252" s="2004"/>
      <c r="G1252" s="2004">
        <f>IF('2G'!G13="","##BLANK",'2G'!G13)</f>
        <v>1.1920000000000002</v>
      </c>
    </row>
    <row r="1253" spans="2:7">
      <c r="B1253" s="848" t="str">
        <f>+'2G'!AF14</f>
        <v>CR1007WTR</v>
      </c>
      <c r="D1253" s="2004"/>
      <c r="E1253" s="1658" t="s">
        <v>9033</v>
      </c>
      <c r="F1253" s="2004"/>
      <c r="G1253" s="2004">
        <f>IF('2G'!G14="","##BLANK",'2G'!G14)</f>
        <v>26.974999999999998</v>
      </c>
    </row>
    <row r="1254" spans="2:7">
      <c r="B1254" s="848" t="str">
        <f>+'2G'!AF15</f>
        <v>CR1008WTR</v>
      </c>
      <c r="D1254" s="2004"/>
      <c r="E1254" s="1658" t="s">
        <v>9033</v>
      </c>
      <c r="F1254" s="2004"/>
      <c r="G1254" s="2004">
        <f>IF('2G'!G15="","##BLANK",'2G'!G15)</f>
        <v>9.9699999999999989</v>
      </c>
    </row>
    <row r="1255" spans="2:7">
      <c r="B1255" s="848" t="str">
        <f>+'2G'!AF16</f>
        <v>CR1009WTR</v>
      </c>
      <c r="D1255" s="2004"/>
      <c r="E1255" s="1658" t="s">
        <v>9033</v>
      </c>
      <c r="F1255" s="2004"/>
      <c r="G1255" s="2004">
        <f>IF('2G'!G16="","##BLANK",'2G'!G16)</f>
        <v>11.822999999999999</v>
      </c>
    </row>
    <row r="1256" spans="2:7">
      <c r="B1256" s="848" t="str">
        <f>+'2G'!AF17</f>
        <v>CR1010WTR</v>
      </c>
      <c r="D1256" s="2004"/>
      <c r="E1256" s="1658" t="s">
        <v>9033</v>
      </c>
      <c r="F1256" s="2004"/>
      <c r="G1256" s="2004">
        <f>IF('2G'!G17="","##BLANK",'2G'!G17)</f>
        <v>0</v>
      </c>
    </row>
    <row r="1257" spans="2:7">
      <c r="B1257" s="848" t="str">
        <f>+'2G'!AF18</f>
        <v>CR1011WTR</v>
      </c>
      <c r="D1257" s="2004"/>
      <c r="E1257" s="1658" t="s">
        <v>9033</v>
      </c>
      <c r="F1257" s="2004"/>
      <c r="G1257" s="2004">
        <f>IF('2G'!G18="","##BLANK",'2G'!G18)</f>
        <v>0</v>
      </c>
    </row>
    <row r="1258" spans="2:7">
      <c r="B1258" s="848" t="str">
        <f>+'2G'!AF19</f>
        <v>CR1012WTR</v>
      </c>
      <c r="D1258" s="2004"/>
      <c r="E1258" s="1658" t="s">
        <v>9033</v>
      </c>
      <c r="F1258" s="2004"/>
      <c r="G1258" s="2004">
        <f>IF('2G'!G19="","##BLANK",'2G'!G19)</f>
        <v>0</v>
      </c>
    </row>
    <row r="1259" spans="2:7">
      <c r="B1259" s="848" t="str">
        <f>+'2G'!AF20</f>
        <v>CR1013WTR</v>
      </c>
      <c r="D1259" s="2004"/>
      <c r="E1259" s="1658" t="s">
        <v>9033</v>
      </c>
      <c r="F1259" s="2004"/>
      <c r="G1259" s="2004">
        <f>IF('2G'!G20="","##BLANK",'2G'!G20)</f>
        <v>0</v>
      </c>
    </row>
    <row r="1260" spans="2:7">
      <c r="B1260" s="848" t="str">
        <f>+'2G'!AF21</f>
        <v>CR1014WTR</v>
      </c>
      <c r="D1260" s="2004"/>
      <c r="E1260" s="1658" t="s">
        <v>9033</v>
      </c>
      <c r="F1260" s="2004"/>
      <c r="G1260" s="2004">
        <f>IF('2G'!G21="","##BLANK",'2G'!G21)</f>
        <v>0</v>
      </c>
    </row>
    <row r="1261" spans="2:7">
      <c r="B1261" s="848" t="str">
        <f>+'2G'!AF22</f>
        <v>CR1015WTR</v>
      </c>
      <c r="D1261" s="2004"/>
      <c r="E1261" s="1658" t="s">
        <v>9033</v>
      </c>
      <c r="F1261" s="2004"/>
      <c r="G1261" s="2004">
        <f>IF('2G'!G22="","##BLANK",'2G'!G22)</f>
        <v>0</v>
      </c>
    </row>
    <row r="1262" spans="2:7">
      <c r="B1262" s="848" t="str">
        <f>+'2G'!AF23</f>
        <v>CR1016WTR</v>
      </c>
      <c r="D1262" s="2004"/>
      <c r="E1262" s="1658" t="s">
        <v>9033</v>
      </c>
      <c r="F1262" s="2004"/>
      <c r="G1262" s="2004">
        <f>IF('2G'!G23="","##BLANK",'2G'!G23)</f>
        <v>0</v>
      </c>
    </row>
    <row r="1263" spans="2:7">
      <c r="B1263" s="848" t="str">
        <f>+'2G'!AF24</f>
        <v>CR1017WTR</v>
      </c>
      <c r="D1263" s="2004"/>
      <c r="E1263" s="1658" t="s">
        <v>9033</v>
      </c>
      <c r="F1263" s="2004"/>
      <c r="G1263" s="2004">
        <f>IF('2G'!G24="","##BLANK",'2G'!G24)</f>
        <v>0</v>
      </c>
    </row>
    <row r="1264" spans="2:7">
      <c r="B1264" s="848" t="str">
        <f>+'2G'!AF25</f>
        <v>CR1018WTR</v>
      </c>
      <c r="D1264" s="2004"/>
      <c r="E1264" s="1658" t="s">
        <v>9033</v>
      </c>
      <c r="F1264" s="2004"/>
      <c r="G1264" s="2004">
        <f>IF('2G'!G25="","##BLANK",'2G'!G25)</f>
        <v>0</v>
      </c>
    </row>
    <row r="1265" spans="2:7">
      <c r="B1265" s="848" t="str">
        <f>+'2G'!AF26</f>
        <v>CR1019WTR</v>
      </c>
      <c r="D1265" s="2004"/>
      <c r="E1265" s="1658" t="s">
        <v>9033</v>
      </c>
      <c r="F1265" s="2004"/>
      <c r="G1265" s="2004">
        <f>IF('2G'!G26="","##BLANK",'2G'!G26)</f>
        <v>0</v>
      </c>
    </row>
    <row r="1266" spans="2:7">
      <c r="B1266" s="848" t="str">
        <f>+'2G'!AF27</f>
        <v>CR1020WTR</v>
      </c>
      <c r="D1266" s="2004"/>
      <c r="E1266" s="1658" t="s">
        <v>9033</v>
      </c>
      <c r="F1266" s="2004"/>
      <c r="G1266" s="2004">
        <f>IF('2G'!G27="","##BLANK",'2G'!G27)</f>
        <v>0</v>
      </c>
    </row>
    <row r="1267" spans="2:7">
      <c r="B1267" s="848" t="str">
        <f>+'2G'!AF28</f>
        <v>CR1025WTR</v>
      </c>
      <c r="D1267" s="2004"/>
      <c r="E1267" s="1658" t="s">
        <v>9033</v>
      </c>
      <c r="F1267" s="2004"/>
      <c r="G1267" s="2004">
        <f>IF('2G'!G28="","##BLANK",'2G'!G28)</f>
        <v>49.96</v>
      </c>
    </row>
    <row r="1268" spans="2:7">
      <c r="B1268" s="848" t="str">
        <f>+'2G'!AF30</f>
        <v>CR1030WTR</v>
      </c>
      <c r="D1268" s="2004"/>
      <c r="E1268" s="1658" t="s">
        <v>9033</v>
      </c>
      <c r="F1268" s="2004"/>
      <c r="G1268" s="2004">
        <f>IF('2G'!G30="","##BLANK",'2G'!G30)</f>
        <v>49.96</v>
      </c>
    </row>
    <row r="1269" spans="2:7">
      <c r="B1269" s="848" t="str">
        <f>+'2G'!AG6</f>
        <v>CR1041WCO</v>
      </c>
      <c r="D1269" s="2004"/>
      <c r="E1269" s="1658" t="s">
        <v>9033</v>
      </c>
      <c r="F1269" s="2004"/>
      <c r="G1269" s="2004" t="str">
        <f>IF('2G'!H6="","##BLANK",'2G'!H6)</f>
        <v>##BLANK</v>
      </c>
    </row>
    <row r="1270" spans="2:7">
      <c r="B1270" s="848" t="str">
        <f>+'2G'!AG9</f>
        <v>CR1042WCO</v>
      </c>
      <c r="D1270" s="2004"/>
      <c r="E1270" s="1658" t="s">
        <v>9033</v>
      </c>
      <c r="F1270" s="2004"/>
      <c r="G1270" s="2004" t="str">
        <f>IF('2G'!H9="","##BLANK",'2G'!H9)</f>
        <v>##BLANK</v>
      </c>
    </row>
    <row r="1271" spans="2:7">
      <c r="B1271" s="848" t="str">
        <f>+'2G'!AG10</f>
        <v>CR1043WCO</v>
      </c>
      <c r="D1271" s="2004"/>
      <c r="E1271" s="1658" t="s">
        <v>9033</v>
      </c>
      <c r="F1271" s="2004"/>
      <c r="G1271" s="2004" t="str">
        <f>IF('2G'!H10="","##BLANK",'2G'!H10)</f>
        <v>##BLANK</v>
      </c>
    </row>
    <row r="1272" spans="2:7">
      <c r="B1272" s="848" t="str">
        <f>+'2G'!AG11</f>
        <v>CR1044WCO</v>
      </c>
      <c r="D1272" s="2004"/>
      <c r="E1272" s="1658" t="s">
        <v>9033</v>
      </c>
      <c r="F1272" s="2004"/>
      <c r="G1272" s="2004" t="str">
        <f>IF('2G'!H11="","##BLANK",'2G'!H11)</f>
        <v>##BLANK</v>
      </c>
    </row>
    <row r="1273" spans="2:7">
      <c r="B1273" s="848" t="str">
        <f>+'2G'!AG12</f>
        <v>CR1045WCO</v>
      </c>
      <c r="D1273" s="2004"/>
      <c r="E1273" s="1658" t="s">
        <v>9033</v>
      </c>
      <c r="F1273" s="2004"/>
      <c r="G1273" s="2004" t="str">
        <f>IF('2G'!H12="","##BLANK",'2G'!H12)</f>
        <v>##BLANK</v>
      </c>
    </row>
    <row r="1274" spans="2:7">
      <c r="B1274" s="848" t="str">
        <f>+'2G'!AG13</f>
        <v>CR1046WCO</v>
      </c>
      <c r="D1274" s="2004"/>
      <c r="E1274" s="1658" t="s">
        <v>9033</v>
      </c>
      <c r="F1274" s="2004"/>
      <c r="G1274" s="2004">
        <f>IF('2G'!H13="","##BLANK",'2G'!H13)</f>
        <v>18.169</v>
      </c>
    </row>
    <row r="1275" spans="2:7">
      <c r="B1275" s="848" t="str">
        <f>+'2G'!AG14</f>
        <v>CR1047WCO</v>
      </c>
      <c r="D1275" s="2004"/>
      <c r="E1275" s="1658" t="s">
        <v>9033</v>
      </c>
      <c r="F1275" s="2004"/>
      <c r="G1275" s="2004">
        <f>IF('2G'!H14="","##BLANK",'2G'!H14)</f>
        <v>98.707999999999998</v>
      </c>
    </row>
    <row r="1276" spans="2:7">
      <c r="B1276" s="848" t="str">
        <f>+'2G'!AG15</f>
        <v>CR1048WCO</v>
      </c>
      <c r="D1276" s="2004"/>
      <c r="E1276" s="1658" t="s">
        <v>9033</v>
      </c>
      <c r="F1276" s="2004"/>
      <c r="G1276" s="2004">
        <f>IF('2G'!H15="","##BLANK",'2G'!H15)</f>
        <v>0.58499999999999996</v>
      </c>
    </row>
    <row r="1277" spans="2:7">
      <c r="B1277" s="848" t="str">
        <f>+'2G'!AG16</f>
        <v>CR1049WCO</v>
      </c>
      <c r="D1277" s="2004"/>
      <c r="E1277" s="1658" t="s">
        <v>9033</v>
      </c>
      <c r="F1277" s="2004"/>
      <c r="G1277" s="2004">
        <f>IF('2G'!H16="","##BLANK",'2G'!H16)</f>
        <v>7.0000000000000007E-2</v>
      </c>
    </row>
    <row r="1278" spans="2:7">
      <c r="B1278" s="848" t="str">
        <f>+'2G'!AG17</f>
        <v>CR1050WCO</v>
      </c>
      <c r="D1278" s="2004"/>
      <c r="E1278" s="1658" t="s">
        <v>9033</v>
      </c>
      <c r="F1278" s="2004"/>
      <c r="G1278" s="2004" t="str">
        <f>IF('2G'!H17="","##BLANK",'2G'!H17)</f>
        <v>##BLANK</v>
      </c>
    </row>
    <row r="1279" spans="2:7">
      <c r="B1279" s="848" t="str">
        <f>+'2G'!AG18</f>
        <v>CR1051WCO</v>
      </c>
      <c r="D1279" s="2004"/>
      <c r="E1279" s="1658" t="s">
        <v>9033</v>
      </c>
      <c r="F1279" s="2004"/>
      <c r="G1279" s="2004" t="str">
        <f>IF('2G'!H18="","##BLANK",'2G'!H18)</f>
        <v>##BLANK</v>
      </c>
    </row>
    <row r="1280" spans="2:7">
      <c r="B1280" s="848" t="str">
        <f>+'2G'!AG19</f>
        <v>CR1052WCO</v>
      </c>
      <c r="D1280" s="2004"/>
      <c r="E1280" s="1658" t="s">
        <v>9033</v>
      </c>
      <c r="F1280" s="2004"/>
      <c r="G1280" s="2004" t="str">
        <f>IF('2G'!H19="","##BLANK",'2G'!H19)</f>
        <v>##BLANK</v>
      </c>
    </row>
    <row r="1281" spans="2:7">
      <c r="B1281" s="848" t="str">
        <f>+'2G'!AG20</f>
        <v>CR1053WCO</v>
      </c>
      <c r="D1281" s="2004"/>
      <c r="E1281" s="1658" t="s">
        <v>9033</v>
      </c>
      <c r="F1281" s="2004"/>
      <c r="G1281" s="2004" t="str">
        <f>IF('2G'!H20="","##BLANK",'2G'!H20)</f>
        <v>##BLANK</v>
      </c>
    </row>
    <row r="1282" spans="2:7">
      <c r="B1282" s="848" t="str">
        <f>+'2G'!AG21</f>
        <v>CR1054WCO</v>
      </c>
      <c r="D1282" s="2004"/>
      <c r="E1282" s="1658" t="s">
        <v>9033</v>
      </c>
      <c r="F1282" s="2004"/>
      <c r="G1282" s="2004" t="str">
        <f>IF('2G'!H21="","##BLANK",'2G'!H21)</f>
        <v>##BLANK</v>
      </c>
    </row>
    <row r="1283" spans="2:7">
      <c r="B1283" s="848" t="str">
        <f>+'2G'!AG22</f>
        <v>CR1055WCO</v>
      </c>
      <c r="D1283" s="2004"/>
      <c r="E1283" s="1658" t="s">
        <v>9033</v>
      </c>
      <c r="F1283" s="2004"/>
      <c r="G1283" s="2004" t="str">
        <f>IF('2G'!H22="","##BLANK",'2G'!H22)</f>
        <v>##BLANK</v>
      </c>
    </row>
    <row r="1284" spans="2:7">
      <c r="B1284" s="848" t="str">
        <f>+'2G'!AG23</f>
        <v>CR1056WCO</v>
      </c>
      <c r="D1284" s="2004"/>
      <c r="E1284" s="1658" t="s">
        <v>9033</v>
      </c>
      <c r="F1284" s="2004"/>
      <c r="G1284" s="2004" t="str">
        <f>IF('2G'!H23="","##BLANK",'2G'!H23)</f>
        <v>##BLANK</v>
      </c>
    </row>
    <row r="1285" spans="2:7">
      <c r="B1285" s="848" t="str">
        <f>+'2G'!AG24</f>
        <v>CR1057WCO</v>
      </c>
      <c r="D1285" s="2004"/>
      <c r="E1285" s="1658" t="s">
        <v>9033</v>
      </c>
      <c r="F1285" s="2004"/>
      <c r="G1285" s="2004" t="str">
        <f>IF('2G'!H24="","##BLANK",'2G'!H24)</f>
        <v>##BLANK</v>
      </c>
    </row>
    <row r="1286" spans="2:7">
      <c r="B1286" s="848" t="str">
        <f>+'2G'!AG25</f>
        <v>CR1058WCO</v>
      </c>
      <c r="D1286" s="2004"/>
      <c r="E1286" s="1658" t="s">
        <v>9033</v>
      </c>
      <c r="F1286" s="2004"/>
      <c r="G1286" s="2004" t="str">
        <f>IF('2G'!H25="","##BLANK",'2G'!H25)</f>
        <v>##BLANK</v>
      </c>
    </row>
    <row r="1287" spans="2:7">
      <c r="B1287" s="848" t="str">
        <f>+'2G'!AG26</f>
        <v>CR1059WCO</v>
      </c>
      <c r="D1287" s="2004"/>
      <c r="E1287" s="1658" t="s">
        <v>9033</v>
      </c>
      <c r="F1287" s="2004"/>
      <c r="G1287" s="2004" t="str">
        <f>IF('2G'!H26="","##BLANK",'2G'!H26)</f>
        <v>##BLANK</v>
      </c>
    </row>
    <row r="1288" spans="2:7">
      <c r="B1288" s="848" t="str">
        <f>+'2G'!AG27</f>
        <v>CR1060WCO</v>
      </c>
      <c r="D1288" s="2004"/>
      <c r="E1288" s="1658" t="s">
        <v>9033</v>
      </c>
      <c r="F1288" s="2004"/>
      <c r="G1288" s="2004" t="str">
        <f>IF('2G'!H27="","##BLANK",'2G'!H27)</f>
        <v>##BLANK</v>
      </c>
    </row>
    <row r="1289" spans="2:7">
      <c r="B1289" s="848" t="str">
        <f>+'2G'!AG28</f>
        <v>CR1065WCO</v>
      </c>
      <c r="D1289" s="2004"/>
      <c r="E1289" s="1658" t="s">
        <v>9033</v>
      </c>
      <c r="F1289" s="2004"/>
      <c r="G1289" s="2004">
        <f>IF('2G'!H28="","##BLANK",'2G'!H28)</f>
        <v>117.53199999999998</v>
      </c>
    </row>
    <row r="1290" spans="2:7">
      <c r="B1290" s="848" t="str">
        <f>+'2G'!AG30</f>
        <v>CR1066WCO</v>
      </c>
      <c r="D1290" s="2004"/>
      <c r="E1290" s="1658" t="s">
        <v>9033</v>
      </c>
      <c r="F1290" s="2004"/>
      <c r="G1290" s="2004">
        <f>IF('2G'!H30="","##BLANK",'2G'!H30)</f>
        <v>117.53199999999998</v>
      </c>
    </row>
    <row r="1291" spans="2:7" s="2004" customFormat="1">
      <c r="B1291" s="848" t="str">
        <f>+'2G'!AG34</f>
        <v>CR1030WCU</v>
      </c>
      <c r="C1291" s="1322"/>
      <c r="E1291" s="1658" t="s">
        <v>9033</v>
      </c>
      <c r="G1291" s="2004">
        <f>IF('2G'!H34="","##BLANK",'2G'!H34)</f>
        <v>96.918999999999997</v>
      </c>
    </row>
    <row r="1292" spans="2:7">
      <c r="B1292" s="848" t="str">
        <f>+'2G'!AH6</f>
        <v>CR1041WRPC</v>
      </c>
      <c r="D1292" s="2004"/>
      <c r="E1292" s="1658" t="s">
        <v>9033</v>
      </c>
      <c r="F1292" s="2004"/>
      <c r="G1292" s="2004">
        <f>IF('2G'!I6="","##BLANK",'2G'!I6)</f>
        <v>0</v>
      </c>
    </row>
    <row r="1293" spans="2:7">
      <c r="B1293" s="848" t="str">
        <f>+'2G'!AH9</f>
        <v>CR1042WRPC</v>
      </c>
      <c r="D1293" s="2004"/>
      <c r="E1293" s="1658" t="s">
        <v>9033</v>
      </c>
      <c r="F1293" s="2004"/>
      <c r="G1293" s="2004">
        <f>IF('2G'!I9="","##BLANK",'2G'!I9)</f>
        <v>0</v>
      </c>
    </row>
    <row r="1294" spans="2:7">
      <c r="B1294" s="848" t="str">
        <f>+'2G'!AH10</f>
        <v>CR1043WRPC</v>
      </c>
      <c r="D1294" s="2004"/>
      <c r="E1294" s="1658" t="s">
        <v>9033</v>
      </c>
      <c r="F1294" s="2004"/>
      <c r="G1294" s="2004">
        <f>IF('2G'!I10="","##BLANK",'2G'!I10)</f>
        <v>0</v>
      </c>
    </row>
    <row r="1295" spans="2:7">
      <c r="B1295" s="848" t="str">
        <f>+'2G'!AH11</f>
        <v>CR1044WRPC</v>
      </c>
      <c r="D1295" s="2004"/>
      <c r="E1295" s="1658" t="s">
        <v>9033</v>
      </c>
      <c r="F1295" s="2004"/>
      <c r="G1295" s="2004">
        <f>IF('2G'!I11="","##BLANK",'2G'!I11)</f>
        <v>0</v>
      </c>
    </row>
    <row r="1296" spans="2:7">
      <c r="B1296" s="848" t="str">
        <f>+'2G'!AH12</f>
        <v>CR1045WRPC</v>
      </c>
      <c r="D1296" s="2004"/>
      <c r="E1296" s="1658" t="s">
        <v>9033</v>
      </c>
      <c r="F1296" s="2004"/>
      <c r="G1296" s="2004">
        <f>IF('2G'!I12="","##BLANK",'2G'!I12)</f>
        <v>0</v>
      </c>
    </row>
    <row r="1297" spans="2:7">
      <c r="B1297" s="848" t="str">
        <f>+'2G'!AH13</f>
        <v>CR1046WRPC</v>
      </c>
      <c r="D1297" s="2004"/>
      <c r="E1297" s="1658" t="s">
        <v>9033</v>
      </c>
      <c r="F1297" s="2004"/>
      <c r="G1297" s="2004">
        <f>IF('2G'!I13="","##BLANK",'2G'!I13)</f>
        <v>37.536463206560626</v>
      </c>
    </row>
    <row r="1298" spans="2:7">
      <c r="B1298" s="848" t="str">
        <f>+'2G'!AH14</f>
        <v>CR1047WRPC</v>
      </c>
      <c r="D1298" s="2004"/>
      <c r="E1298" s="1658" t="s">
        <v>9033</v>
      </c>
      <c r="F1298" s="2004"/>
      <c r="G1298" s="2004">
        <f>IF('2G'!I14="","##BLANK",'2G'!I14)</f>
        <v>9.4723831908254663</v>
      </c>
    </row>
    <row r="1299" spans="2:7">
      <c r="B1299" s="848" t="str">
        <f>+'2G'!AH15</f>
        <v>CR1048WRPC</v>
      </c>
      <c r="D1299" s="2004"/>
      <c r="E1299" s="1658" t="s">
        <v>9033</v>
      </c>
      <c r="F1299" s="2004"/>
      <c r="G1299" s="2004">
        <f>IF('2G'!I15="","##BLANK",'2G'!I15)</f>
        <v>374.35897435897436</v>
      </c>
    </row>
    <row r="1300" spans="2:7">
      <c r="B1300" s="848" t="str">
        <f>+'2G'!AH16</f>
        <v>CR1049WRPC</v>
      </c>
      <c r="D1300" s="2004"/>
      <c r="E1300" s="1658" t="s">
        <v>9033</v>
      </c>
      <c r="F1300" s="2004"/>
      <c r="G1300" s="2004">
        <f>IF('2G'!I16="","##BLANK",'2G'!I16)</f>
        <v>15171.428571428571</v>
      </c>
    </row>
    <row r="1301" spans="2:7">
      <c r="B1301" s="848" t="str">
        <f>+'2G'!AH17</f>
        <v>CR1050WRPC</v>
      </c>
      <c r="D1301" s="2004"/>
      <c r="E1301" s="1658" t="s">
        <v>9033</v>
      </c>
      <c r="F1301" s="2004"/>
      <c r="G1301" s="2004">
        <f>IF('2G'!I17="","##BLANK",'2G'!I17)</f>
        <v>0</v>
      </c>
    </row>
    <row r="1302" spans="2:7">
      <c r="B1302" s="848" t="str">
        <f>+'2G'!AH18</f>
        <v>CR1051WRPC</v>
      </c>
      <c r="D1302" s="2004"/>
      <c r="E1302" s="1658" t="s">
        <v>9033</v>
      </c>
      <c r="F1302" s="2004"/>
      <c r="G1302" s="2004">
        <f>IF('2G'!I18="","##BLANK",'2G'!I18)</f>
        <v>0</v>
      </c>
    </row>
    <row r="1303" spans="2:7">
      <c r="B1303" s="848" t="str">
        <f>+'2G'!AH19</f>
        <v>CR1052WRPC</v>
      </c>
      <c r="D1303" s="2004"/>
      <c r="E1303" s="1658" t="s">
        <v>9033</v>
      </c>
      <c r="F1303" s="2004"/>
      <c r="G1303" s="2004">
        <f>IF('2G'!I19="","##BLANK",'2G'!I19)</f>
        <v>0</v>
      </c>
    </row>
    <row r="1304" spans="2:7">
      <c r="B1304" s="848" t="str">
        <f>+'2G'!AH20</f>
        <v>CR1053WRPC</v>
      </c>
      <c r="D1304" s="2004"/>
      <c r="E1304" s="1658" t="s">
        <v>9033</v>
      </c>
      <c r="F1304" s="2004"/>
      <c r="G1304" s="2004">
        <f>IF('2G'!I20="","##BLANK",'2G'!I20)</f>
        <v>0</v>
      </c>
    </row>
    <row r="1305" spans="2:7">
      <c r="B1305" s="848" t="str">
        <f>+'2G'!AH21</f>
        <v>CR1054WRPC</v>
      </c>
      <c r="D1305" s="2004"/>
      <c r="E1305" s="1658" t="s">
        <v>9033</v>
      </c>
      <c r="F1305" s="2004"/>
      <c r="G1305" s="2004">
        <f>IF('2G'!I21="","##BLANK",'2G'!I21)</f>
        <v>0</v>
      </c>
    </row>
    <row r="1306" spans="2:7">
      <c r="B1306" s="848" t="str">
        <f>+'2G'!AH22</f>
        <v>CR1055WRPC</v>
      </c>
      <c r="D1306" s="2004"/>
      <c r="E1306" s="1658" t="s">
        <v>9033</v>
      </c>
      <c r="F1306" s="2004"/>
      <c r="G1306" s="2004">
        <f>IF('2G'!I22="","##BLANK",'2G'!I22)</f>
        <v>0</v>
      </c>
    </row>
    <row r="1307" spans="2:7">
      <c r="B1307" s="848" t="str">
        <f>+'2G'!AH23</f>
        <v>CR1056WRPC</v>
      </c>
      <c r="D1307" s="2004"/>
      <c r="E1307" s="1658" t="s">
        <v>9033</v>
      </c>
      <c r="F1307" s="2004"/>
      <c r="G1307" s="2004">
        <f>IF('2G'!I23="","##BLANK",'2G'!I23)</f>
        <v>0</v>
      </c>
    </row>
    <row r="1308" spans="2:7">
      <c r="B1308" s="848" t="str">
        <f>+'2G'!AH24</f>
        <v>CR1057WRPC</v>
      </c>
      <c r="D1308" s="2004"/>
      <c r="E1308" s="1658" t="s">
        <v>9033</v>
      </c>
      <c r="F1308" s="2004"/>
      <c r="G1308" s="2004">
        <f>IF('2G'!I24="","##BLANK",'2G'!I24)</f>
        <v>0</v>
      </c>
    </row>
    <row r="1309" spans="2:7">
      <c r="B1309" s="848" t="str">
        <f>+'2G'!AH25</f>
        <v>CR1058WRPC</v>
      </c>
      <c r="D1309" s="2004"/>
      <c r="E1309" s="1658" t="s">
        <v>9033</v>
      </c>
      <c r="F1309" s="2004"/>
      <c r="G1309" s="2004">
        <f>IF('2G'!I25="","##BLANK",'2G'!I25)</f>
        <v>0</v>
      </c>
    </row>
    <row r="1310" spans="2:7">
      <c r="B1310" s="848" t="str">
        <f>+'2G'!AH26</f>
        <v>CR1059WRPC</v>
      </c>
      <c r="D1310" s="2004"/>
      <c r="E1310" s="1658" t="s">
        <v>9033</v>
      </c>
      <c r="F1310" s="2004"/>
      <c r="G1310" s="2004">
        <f>IF('2G'!I26="","##BLANK",'2G'!I26)</f>
        <v>0</v>
      </c>
    </row>
    <row r="1311" spans="2:7">
      <c r="B1311" s="848" t="str">
        <f>+'2G'!AH27</f>
        <v>CR1060WRPC</v>
      </c>
      <c r="D1311" s="2004"/>
      <c r="E1311" s="1658" t="s">
        <v>9033</v>
      </c>
      <c r="F1311" s="2004"/>
      <c r="G1311" s="2004">
        <f>IF('2G'!I27="","##BLANK",'2G'!I27)</f>
        <v>0</v>
      </c>
    </row>
    <row r="1312" spans="2:7">
      <c r="B1312" s="848" t="str">
        <f>+'2G'!AH28</f>
        <v>CR1065WRPC</v>
      </c>
      <c r="D1312" s="2004"/>
      <c r="E1312" s="1658" t="s">
        <v>9033</v>
      </c>
      <c r="F1312" s="2004"/>
      <c r="G1312" s="2004">
        <f>IF('2G'!I28="","##BLANK",'2G'!I28)</f>
        <v>24.657114658135662</v>
      </c>
    </row>
    <row r="1313" spans="2:7">
      <c r="B1313" s="848" t="str">
        <f>+'2G'!AH30</f>
        <v>CR1066WRPC</v>
      </c>
      <c r="D1313" s="2004"/>
      <c r="E1313" s="1658" t="s">
        <v>9033</v>
      </c>
      <c r="F1313" s="2004"/>
      <c r="G1313" s="2004">
        <f>IF('2G'!I30="","##BLANK",'2G'!I30)</f>
        <v>24.657114658135662</v>
      </c>
    </row>
    <row r="1314" spans="2:7">
      <c r="B1314" s="1739" t="str">
        <f>+'2G'!AH34</f>
        <v>CR1030WRPC</v>
      </c>
      <c r="D1314" s="2004"/>
      <c r="E1314" s="1658" t="s">
        <v>9033</v>
      </c>
      <c r="F1314" s="2004"/>
      <c r="G1314" s="2004">
        <f>IF('2G'!I34="","##BLANK",'2G'!I34)</f>
        <v>29.901257751318113</v>
      </c>
    </row>
    <row r="1315" spans="2:7">
      <c r="B1315" s="848" t="str">
        <f>+'2H'!AD6</f>
        <v>CR1001SWCR</v>
      </c>
      <c r="D1315" s="2004"/>
      <c r="E1315" s="1658" t="s">
        <v>9033</v>
      </c>
      <c r="F1315" s="2004"/>
      <c r="G1315" s="2004" t="str">
        <f>IF('2H'!E6="","##BLANK",'2H'!E6)</f>
        <v>##BLANK</v>
      </c>
    </row>
    <row r="1316" spans="2:7">
      <c r="B1316" s="848" t="str">
        <f>+'2H'!AD9</f>
        <v>CR1002SWCR</v>
      </c>
      <c r="D1316" s="2004"/>
      <c r="E1316" s="1658" t="s">
        <v>9033</v>
      </c>
      <c r="F1316" s="2004"/>
      <c r="G1316" s="2004" t="str">
        <f>IF('2H'!E9="","##BLANK",'2H'!E9)</f>
        <v>##BLANK</v>
      </c>
    </row>
    <row r="1317" spans="2:7">
      <c r="B1317" s="848" t="str">
        <f>+'2H'!AD10</f>
        <v>CR1003SWCR</v>
      </c>
      <c r="D1317" s="2004"/>
      <c r="E1317" s="1658" t="s">
        <v>9033</v>
      </c>
      <c r="F1317" s="2004"/>
      <c r="G1317" s="2004" t="str">
        <f>IF('2H'!E10="","##BLANK",'2H'!E10)</f>
        <v>##BLANK</v>
      </c>
    </row>
    <row r="1318" spans="2:7">
      <c r="B1318" s="848" t="str">
        <f>+'2H'!AD11</f>
        <v>CR1004SWCR</v>
      </c>
      <c r="D1318" s="2004"/>
      <c r="E1318" s="1658" t="s">
        <v>9033</v>
      </c>
      <c r="F1318" s="2004"/>
      <c r="G1318" s="2004" t="str">
        <f>IF('2H'!E11="","##BLANK",'2H'!E11)</f>
        <v>##BLANK</v>
      </c>
    </row>
    <row r="1319" spans="2:7">
      <c r="B1319" s="848" t="str">
        <f>+'2H'!AD12</f>
        <v>CR1005SWCR</v>
      </c>
      <c r="D1319" s="2004"/>
      <c r="E1319" s="1658" t="s">
        <v>9033</v>
      </c>
      <c r="F1319" s="2004"/>
      <c r="G1319" s="2004" t="str">
        <f>IF('2H'!E12="","##BLANK",'2H'!E12)</f>
        <v>##BLANK</v>
      </c>
    </row>
    <row r="1320" spans="2:7">
      <c r="B1320" s="848" t="str">
        <f>+'2H'!AD13</f>
        <v>CR1006SWCR</v>
      </c>
      <c r="D1320" s="2004"/>
      <c r="E1320" s="1658" t="s">
        <v>9033</v>
      </c>
      <c r="F1320" s="2004"/>
      <c r="G1320" s="2004" t="str">
        <f>IF('2H'!E13="","##BLANK",'2H'!E13)</f>
        <v>##BLANK</v>
      </c>
    </row>
    <row r="1321" spans="2:7">
      <c r="B1321" s="848" t="str">
        <f>+'2H'!AD14</f>
        <v>CR1007SWCR</v>
      </c>
      <c r="D1321" s="2004"/>
      <c r="E1321" s="1658" t="s">
        <v>9033</v>
      </c>
      <c r="F1321" s="2004"/>
      <c r="G1321" s="2004" t="str">
        <f>IF('2H'!E14="","##BLANK",'2H'!E14)</f>
        <v>##BLANK</v>
      </c>
    </row>
    <row r="1322" spans="2:7">
      <c r="B1322" s="848" t="str">
        <f>+'2H'!AD15</f>
        <v>CR1008SWCR</v>
      </c>
      <c r="D1322" s="2004"/>
      <c r="E1322" s="1658" t="s">
        <v>9033</v>
      </c>
      <c r="F1322" s="2004"/>
      <c r="G1322" s="2004" t="str">
        <f>IF('2H'!E15="","##BLANK",'2H'!E15)</f>
        <v>##BLANK</v>
      </c>
    </row>
    <row r="1323" spans="2:7">
      <c r="B1323" s="848" t="str">
        <f>+'2H'!AD16</f>
        <v>CR1009SWCR</v>
      </c>
      <c r="D1323" s="2004"/>
      <c r="E1323" s="1658" t="s">
        <v>9033</v>
      </c>
      <c r="F1323" s="2004"/>
      <c r="G1323" s="2004">
        <f>IF('2H'!E16="","##BLANK",'2H'!E16)</f>
        <v>0.876</v>
      </c>
    </row>
    <row r="1324" spans="2:7">
      <c r="B1324" s="848" t="str">
        <f>+'2H'!AD17</f>
        <v>CR1010SWCR</v>
      </c>
      <c r="D1324" s="2004"/>
      <c r="E1324" s="1658" t="s">
        <v>9033</v>
      </c>
      <c r="F1324" s="2004"/>
      <c r="G1324" s="2004">
        <f>IF('2H'!E17="","##BLANK",'2H'!E17)</f>
        <v>27.047999999999998</v>
      </c>
    </row>
    <row r="1325" spans="2:7">
      <c r="B1325" s="848" t="str">
        <f>+'2H'!AD18</f>
        <v>CR1011SWCR</v>
      </c>
      <c r="D1325" s="2004"/>
      <c r="E1325" s="1658" t="s">
        <v>9033</v>
      </c>
      <c r="F1325" s="2004"/>
      <c r="G1325" s="2004">
        <f>IF('2H'!E18="","##BLANK",'2H'!E18)</f>
        <v>1.7230000000000001</v>
      </c>
    </row>
    <row r="1326" spans="2:7">
      <c r="B1326" s="848" t="str">
        <f>+'2H'!AD19</f>
        <v>CR1012SWCR</v>
      </c>
      <c r="D1326" s="2004"/>
      <c r="E1326" s="1658" t="s">
        <v>9033</v>
      </c>
      <c r="F1326" s="2004"/>
      <c r="G1326" s="2004">
        <f>IF('2H'!E19="","##BLANK",'2H'!E19)</f>
        <v>11.884</v>
      </c>
    </row>
    <row r="1327" spans="2:7">
      <c r="B1327" s="848" t="str">
        <f>+'2H'!AD20</f>
        <v>CR1013SWCR</v>
      </c>
      <c r="D1327" s="2004"/>
      <c r="E1327" s="1658" t="s">
        <v>9033</v>
      </c>
      <c r="F1327" s="2004"/>
      <c r="G1327" s="2004">
        <f>IF('2H'!E20="","##BLANK",'2H'!E20)</f>
        <v>9.6449999999999996</v>
      </c>
    </row>
    <row r="1328" spans="2:7">
      <c r="B1328" s="848" t="str">
        <f>+'2H'!AD21</f>
        <v>CR1014SWCR</v>
      </c>
      <c r="D1328" s="2004"/>
      <c r="E1328" s="1658" t="s">
        <v>9033</v>
      </c>
      <c r="F1328" s="2004"/>
      <c r="G1328" s="2004" t="str">
        <f>IF('2H'!E21="","##BLANK",'2H'!E21)</f>
        <v>##BLANK</v>
      </c>
    </row>
    <row r="1329" spans="2:7">
      <c r="B1329" s="848" t="str">
        <f>+'2H'!AD22</f>
        <v>CR1015SWCR</v>
      </c>
      <c r="D1329" s="2004"/>
      <c r="E1329" s="1658" t="s">
        <v>9033</v>
      </c>
      <c r="F1329" s="2004"/>
      <c r="G1329" s="2004" t="str">
        <f>IF('2H'!E22="","##BLANK",'2H'!E22)</f>
        <v>##BLANK</v>
      </c>
    </row>
    <row r="1330" spans="2:7">
      <c r="B1330" s="848" t="str">
        <f>+'2H'!AD23</f>
        <v>CR1016SWCR</v>
      </c>
      <c r="D1330" s="2004"/>
      <c r="E1330" s="1658" t="s">
        <v>9033</v>
      </c>
      <c r="F1330" s="2004"/>
      <c r="G1330" s="2004" t="str">
        <f>IF('2H'!E23="","##BLANK",'2H'!E23)</f>
        <v>##BLANK</v>
      </c>
    </row>
    <row r="1331" spans="2:7">
      <c r="B1331" s="848" t="str">
        <f>+'2H'!AD24</f>
        <v>CR1017SWCR</v>
      </c>
      <c r="D1331" s="2004"/>
      <c r="E1331" s="1658" t="s">
        <v>9033</v>
      </c>
      <c r="F1331" s="2004"/>
      <c r="G1331" s="2004" t="str">
        <f>IF('2H'!E24="","##BLANK",'2H'!E24)</f>
        <v>##BLANK</v>
      </c>
    </row>
    <row r="1332" spans="2:7">
      <c r="B1332" s="848" t="str">
        <f>+'2H'!AD25</f>
        <v>CR1018SWCR</v>
      </c>
      <c r="D1332" s="2004"/>
      <c r="E1332" s="1658" t="s">
        <v>9033</v>
      </c>
      <c r="F1332" s="2004"/>
      <c r="G1332" s="2004" t="str">
        <f>IF('2H'!E25="","##BLANK",'2H'!E25)</f>
        <v>##BLANK</v>
      </c>
    </row>
    <row r="1333" spans="2:7">
      <c r="B1333" s="848" t="str">
        <f>+'2H'!AD26</f>
        <v>CR1019SWCR</v>
      </c>
      <c r="D1333" s="2004"/>
      <c r="E1333" s="1658" t="s">
        <v>9033</v>
      </c>
      <c r="F1333" s="2004"/>
      <c r="G1333" s="2004" t="str">
        <f>IF('2H'!E26="","##BLANK",'2H'!E26)</f>
        <v>##BLANK</v>
      </c>
    </row>
    <row r="1334" spans="2:7">
      <c r="B1334" s="848" t="str">
        <f>+'2H'!AD27</f>
        <v>CR1020SWCR</v>
      </c>
      <c r="D1334" s="2004"/>
      <c r="E1334" s="1658" t="s">
        <v>9033</v>
      </c>
      <c r="F1334" s="2004"/>
      <c r="G1334" s="2004" t="str">
        <f>IF('2H'!E27="","##BLANK",'2H'!E27)</f>
        <v>##BLANK</v>
      </c>
    </row>
    <row r="1335" spans="2:7">
      <c r="B1335" s="848" t="str">
        <f>+'2H'!AD28</f>
        <v>CR1021SWCR</v>
      </c>
      <c r="D1335" s="2004"/>
      <c r="E1335" s="1658" t="s">
        <v>9033</v>
      </c>
      <c r="F1335" s="2004"/>
      <c r="G1335" s="2004" t="str">
        <f>IF('2H'!E28="","##BLANK",'2H'!E28)</f>
        <v>##BLANK</v>
      </c>
    </row>
    <row r="1336" spans="2:7">
      <c r="B1336" s="848" t="str">
        <f>+'2H'!AD29</f>
        <v>CR1022SWCR</v>
      </c>
      <c r="D1336" s="2004"/>
      <c r="E1336" s="1658" t="s">
        <v>9033</v>
      </c>
      <c r="F1336" s="2004"/>
      <c r="G1336" s="2004" t="str">
        <f>IF('2H'!E29="","##BLANK",'2H'!E29)</f>
        <v>##BLANK</v>
      </c>
    </row>
    <row r="1337" spans="2:7">
      <c r="B1337" s="848" t="str">
        <f>+'2H'!AD30</f>
        <v>CR1023SWCR</v>
      </c>
      <c r="D1337" s="2004"/>
      <c r="E1337" s="1658" t="s">
        <v>9033</v>
      </c>
      <c r="F1337" s="2004"/>
      <c r="G1337" s="2004" t="str">
        <f>IF('2H'!E30="","##BLANK",'2H'!E30)</f>
        <v>##BLANK</v>
      </c>
    </row>
    <row r="1338" spans="2:7">
      <c r="B1338" s="848" t="str">
        <f>+'2H'!AD31</f>
        <v>CR1025SWCR</v>
      </c>
      <c r="D1338" s="2004"/>
      <c r="E1338" s="1658" t="s">
        <v>9033</v>
      </c>
      <c r="F1338" s="2004"/>
      <c r="G1338" s="2004">
        <f>IF('2H'!E31="","##BLANK",'2H'!E31)</f>
        <v>51.176000000000002</v>
      </c>
    </row>
    <row r="1339" spans="2:7">
      <c r="B1339" s="848" t="str">
        <f>+'2H'!AD33</f>
        <v>CR1030SWCR</v>
      </c>
      <c r="D1339" s="2004"/>
      <c r="E1339" s="1658" t="s">
        <v>9033</v>
      </c>
      <c r="F1339" s="2004"/>
      <c r="G1339" s="2004">
        <f>IF('2H'!E33="","##BLANK",'2H'!E33)</f>
        <v>51.176000000000002</v>
      </c>
    </row>
    <row r="1340" spans="2:7">
      <c r="B1340" s="848" t="str">
        <f>+'2H'!AE6</f>
        <v>CR1001SRR</v>
      </c>
      <c r="D1340" s="2004"/>
      <c r="E1340" s="1658" t="s">
        <v>9033</v>
      </c>
      <c r="F1340" s="2004"/>
      <c r="G1340" s="2004" t="str">
        <f>IF('2H'!F6="","##BLANK",'2H'!F6)</f>
        <v>##BLANK</v>
      </c>
    </row>
    <row r="1341" spans="2:7">
      <c r="B1341" s="848" t="str">
        <f>+'2H'!AE9</f>
        <v>CR1002SRR</v>
      </c>
      <c r="D1341" s="2004"/>
      <c r="E1341" s="1658" t="s">
        <v>9033</v>
      </c>
      <c r="F1341" s="2004"/>
      <c r="G1341" s="2004" t="str">
        <f>IF('2H'!F9="","##BLANK",'2H'!F9)</f>
        <v>##BLANK</v>
      </c>
    </row>
    <row r="1342" spans="2:7">
      <c r="B1342" s="848" t="str">
        <f>+'2H'!AE10</f>
        <v>CR1003SRR</v>
      </c>
      <c r="D1342" s="2004"/>
      <c r="E1342" s="1658" t="s">
        <v>9033</v>
      </c>
      <c r="F1342" s="2004"/>
      <c r="G1342" s="2004" t="str">
        <f>IF('2H'!F10="","##BLANK",'2H'!F10)</f>
        <v>##BLANK</v>
      </c>
    </row>
    <row r="1343" spans="2:7">
      <c r="B1343" s="848" t="str">
        <f>+'2H'!AE11</f>
        <v>CR1004SRR</v>
      </c>
      <c r="D1343" s="2004"/>
      <c r="E1343" s="1658" t="s">
        <v>9033</v>
      </c>
      <c r="F1343" s="2004"/>
      <c r="G1343" s="2004" t="str">
        <f>IF('2H'!F11="","##BLANK",'2H'!F11)</f>
        <v>##BLANK</v>
      </c>
    </row>
    <row r="1344" spans="2:7">
      <c r="B1344" s="848" t="str">
        <f>+'2H'!AE12</f>
        <v>CR1005SRR</v>
      </c>
      <c r="D1344" s="2004"/>
      <c r="E1344" s="1658" t="s">
        <v>9033</v>
      </c>
      <c r="F1344" s="2004"/>
      <c r="G1344" s="2004" t="str">
        <f>IF('2H'!F12="","##BLANK",'2H'!F12)</f>
        <v>##BLANK</v>
      </c>
    </row>
    <row r="1345" spans="2:7">
      <c r="B1345" s="848" t="str">
        <f>+'2H'!AE13</f>
        <v>CR1006SRR</v>
      </c>
      <c r="D1345" s="2004"/>
      <c r="E1345" s="1658" t="s">
        <v>9033</v>
      </c>
      <c r="F1345" s="2004"/>
      <c r="G1345" s="2004" t="str">
        <f>IF('2H'!F13="","##BLANK",'2H'!F13)</f>
        <v>##BLANK</v>
      </c>
    </row>
    <row r="1346" spans="2:7">
      <c r="B1346" s="848" t="str">
        <f>+'2H'!AE14</f>
        <v>CR1007SRR</v>
      </c>
      <c r="D1346" s="2004"/>
      <c r="E1346" s="1658" t="s">
        <v>9033</v>
      </c>
      <c r="F1346" s="2004"/>
      <c r="G1346" s="2004" t="str">
        <f>IF('2H'!F14="","##BLANK",'2H'!F14)</f>
        <v>##BLANK</v>
      </c>
    </row>
    <row r="1347" spans="2:7">
      <c r="B1347" s="848" t="str">
        <f>+'2H'!AE15</f>
        <v>CR1008SRR</v>
      </c>
      <c r="D1347" s="2004"/>
      <c r="E1347" s="1658" t="s">
        <v>9033</v>
      </c>
      <c r="F1347" s="2004"/>
      <c r="G1347" s="2004" t="str">
        <f>IF('2H'!F15="","##BLANK",'2H'!F15)</f>
        <v>##BLANK</v>
      </c>
    </row>
    <row r="1348" spans="2:7">
      <c r="B1348" s="848" t="str">
        <f>+'2H'!AE16</f>
        <v>CR1009SRR</v>
      </c>
      <c r="D1348" s="2004"/>
      <c r="E1348" s="1658" t="s">
        <v>9033</v>
      </c>
      <c r="F1348" s="2004"/>
      <c r="G1348" s="2004">
        <f>IF('2H'!F16="","##BLANK",'2H'!F16)</f>
        <v>1.121</v>
      </c>
    </row>
    <row r="1349" spans="2:7">
      <c r="B1349" s="848" t="str">
        <f>+'2H'!AE17</f>
        <v>CR1010SRR</v>
      </c>
      <c r="D1349" s="2004"/>
      <c r="E1349" s="1658" t="s">
        <v>9033</v>
      </c>
      <c r="F1349" s="2004"/>
      <c r="G1349" s="2004">
        <f>IF('2H'!F17="","##BLANK",'2H'!F17)</f>
        <v>2.516</v>
      </c>
    </row>
    <row r="1350" spans="2:7">
      <c r="B1350" s="848" t="str">
        <f>+'2H'!AE18</f>
        <v>CR1011SRR</v>
      </c>
      <c r="D1350" s="2004"/>
      <c r="E1350" s="1658" t="s">
        <v>9033</v>
      </c>
      <c r="F1350" s="2004"/>
      <c r="G1350" s="2004">
        <f>IF('2H'!F18="","##BLANK",'2H'!F18)</f>
        <v>0.13200000000000001</v>
      </c>
    </row>
    <row r="1351" spans="2:7">
      <c r="B1351" s="848" t="str">
        <f>+'2H'!AE19</f>
        <v>CR1012SRR</v>
      </c>
      <c r="D1351" s="2004"/>
      <c r="E1351" s="1658" t="s">
        <v>9033</v>
      </c>
      <c r="F1351" s="2004"/>
      <c r="G1351" s="2004">
        <f>IF('2H'!F19="","##BLANK",'2H'!F19)</f>
        <v>0.28399999999999997</v>
      </c>
    </row>
    <row r="1352" spans="2:7">
      <c r="B1352" s="848" t="str">
        <f>+'2H'!AE20</f>
        <v>CR1013SRR</v>
      </c>
      <c r="D1352" s="2004"/>
      <c r="E1352" s="1658" t="s">
        <v>9033</v>
      </c>
      <c r="F1352" s="2004"/>
      <c r="G1352" s="2004">
        <f>IF('2H'!F20="","##BLANK",'2H'!F20)</f>
        <v>0.23100000000000001</v>
      </c>
    </row>
    <row r="1353" spans="2:7">
      <c r="B1353" s="848" t="str">
        <f>+'2H'!AE21</f>
        <v>CR1014SRR</v>
      </c>
      <c r="D1353" s="2004"/>
      <c r="E1353" s="1658" t="s">
        <v>9033</v>
      </c>
      <c r="F1353" s="2004"/>
      <c r="G1353" s="2004" t="str">
        <f>IF('2H'!F21="","##BLANK",'2H'!F21)</f>
        <v>##BLANK</v>
      </c>
    </row>
    <row r="1354" spans="2:7">
      <c r="B1354" s="848" t="str">
        <f>+'2H'!AE22</f>
        <v>CR1015SRR</v>
      </c>
      <c r="D1354" s="2004"/>
      <c r="E1354" s="1658" t="s">
        <v>9033</v>
      </c>
      <c r="F1354" s="2004"/>
      <c r="G1354" s="2004" t="str">
        <f>IF('2H'!F22="","##BLANK",'2H'!F22)</f>
        <v>##BLANK</v>
      </c>
    </row>
    <row r="1355" spans="2:7">
      <c r="B1355" s="848" t="str">
        <f>+'2H'!AE23</f>
        <v>CR1016SRR</v>
      </c>
      <c r="D1355" s="2004"/>
      <c r="E1355" s="1658" t="s">
        <v>9033</v>
      </c>
      <c r="F1355" s="2004"/>
      <c r="G1355" s="2004" t="str">
        <f>IF('2H'!F23="","##BLANK",'2H'!F23)</f>
        <v>##BLANK</v>
      </c>
    </row>
    <row r="1356" spans="2:7">
      <c r="B1356" s="848" t="str">
        <f>+'2H'!AE24</f>
        <v>CR1017SRR</v>
      </c>
      <c r="D1356" s="2004"/>
      <c r="E1356" s="1658" t="s">
        <v>9033</v>
      </c>
      <c r="F1356" s="2004"/>
      <c r="G1356" s="2004" t="str">
        <f>IF('2H'!F24="","##BLANK",'2H'!F24)</f>
        <v>##BLANK</v>
      </c>
    </row>
    <row r="1357" spans="2:7">
      <c r="B1357" s="848" t="str">
        <f>+'2H'!AE25</f>
        <v>CR1018SRR</v>
      </c>
      <c r="D1357" s="2004"/>
      <c r="E1357" s="1658" t="s">
        <v>9033</v>
      </c>
      <c r="F1357" s="2004"/>
      <c r="G1357" s="2004" t="str">
        <f>IF('2H'!F25="","##BLANK",'2H'!F25)</f>
        <v>##BLANK</v>
      </c>
    </row>
    <row r="1358" spans="2:7">
      <c r="B1358" s="848" t="str">
        <f>+'2H'!AE26</f>
        <v>CR1019SRR</v>
      </c>
      <c r="D1358" s="2004"/>
      <c r="E1358" s="1658" t="s">
        <v>9033</v>
      </c>
      <c r="F1358" s="2004"/>
      <c r="G1358" s="2004" t="str">
        <f>IF('2H'!F26="","##BLANK",'2H'!F26)</f>
        <v>##BLANK</v>
      </c>
    </row>
    <row r="1359" spans="2:7">
      <c r="B1359" s="848" t="str">
        <f>+'2H'!AE27</f>
        <v>CR1020SRR</v>
      </c>
      <c r="D1359" s="2004"/>
      <c r="E1359" s="1658" t="s">
        <v>9033</v>
      </c>
      <c r="F1359" s="2004"/>
      <c r="G1359" s="2004" t="str">
        <f>IF('2H'!F27="","##BLANK",'2H'!F27)</f>
        <v>##BLANK</v>
      </c>
    </row>
    <row r="1360" spans="2:7">
      <c r="B1360" s="848" t="str">
        <f>+'2H'!AE28</f>
        <v>CR1021SRR</v>
      </c>
      <c r="D1360" s="2004"/>
      <c r="E1360" s="1658" t="s">
        <v>9033</v>
      </c>
      <c r="F1360" s="2004"/>
      <c r="G1360" s="2004" t="str">
        <f>IF('2H'!F28="","##BLANK",'2H'!F28)</f>
        <v>##BLANK</v>
      </c>
    </row>
    <row r="1361" spans="2:7">
      <c r="B1361" s="848" t="str">
        <f>+'2H'!AE29</f>
        <v>CR1022SRR</v>
      </c>
      <c r="D1361" s="2004"/>
      <c r="E1361" s="1658" t="s">
        <v>9033</v>
      </c>
      <c r="F1361" s="2004"/>
      <c r="G1361" s="2004" t="str">
        <f>IF('2H'!F29="","##BLANK",'2H'!F29)</f>
        <v>##BLANK</v>
      </c>
    </row>
    <row r="1362" spans="2:7">
      <c r="B1362" s="848" t="str">
        <f>+'2H'!AE30</f>
        <v>CR1023SRR</v>
      </c>
      <c r="D1362" s="2004"/>
      <c r="E1362" s="1658" t="s">
        <v>9033</v>
      </c>
      <c r="F1362" s="2004"/>
      <c r="G1362" s="2004" t="str">
        <f>IF('2H'!F30="","##BLANK",'2H'!F30)</f>
        <v>##BLANK</v>
      </c>
    </row>
    <row r="1363" spans="2:7">
      <c r="B1363" s="848" t="str">
        <f>+'2H'!AE31</f>
        <v>CR1025SRR</v>
      </c>
      <c r="D1363" s="2004"/>
      <c r="E1363" s="1658" t="s">
        <v>9033</v>
      </c>
      <c r="F1363" s="2004"/>
      <c r="G1363" s="2004">
        <f>IF('2H'!F31="","##BLANK",'2H'!F31)</f>
        <v>4.2839999999999998</v>
      </c>
    </row>
    <row r="1364" spans="2:7">
      <c r="B1364" s="848" t="str">
        <f>+'2H'!AE33</f>
        <v>CR1030SRR</v>
      </c>
      <c r="D1364" s="2004"/>
      <c r="E1364" s="1658" t="s">
        <v>9033</v>
      </c>
      <c r="F1364" s="2004"/>
      <c r="G1364" s="2004">
        <f>IF('2H'!F33="","##BLANK",'2H'!F33)</f>
        <v>4.2839999999999998</v>
      </c>
    </row>
    <row r="1365" spans="2:7">
      <c r="B1365" s="848" t="str">
        <f>+'2H'!AF6</f>
        <v>CR1001STR</v>
      </c>
      <c r="D1365" s="2004"/>
      <c r="E1365" s="1658" t="s">
        <v>9033</v>
      </c>
      <c r="F1365" s="2004"/>
      <c r="G1365" s="2004">
        <f>IF('2H'!G6="","##BLANK",'2H'!G6)</f>
        <v>0</v>
      </c>
    </row>
    <row r="1366" spans="2:7">
      <c r="B1366" s="848" t="str">
        <f>+'2H'!AF9</f>
        <v>CR1002STR</v>
      </c>
      <c r="D1366" s="2004"/>
      <c r="E1366" s="1658" t="s">
        <v>9033</v>
      </c>
      <c r="F1366" s="2004"/>
      <c r="G1366" s="2004">
        <f>IF('2H'!G9="","##BLANK",'2H'!G9)</f>
        <v>0</v>
      </c>
    </row>
    <row r="1367" spans="2:7">
      <c r="B1367" s="848" t="str">
        <f>+'2H'!AF10</f>
        <v>CR1003STR</v>
      </c>
      <c r="D1367" s="2004"/>
      <c r="E1367" s="1658" t="s">
        <v>9033</v>
      </c>
      <c r="F1367" s="2004"/>
      <c r="G1367" s="2004">
        <f>IF('2H'!G10="","##BLANK",'2H'!G10)</f>
        <v>0</v>
      </c>
    </row>
    <row r="1368" spans="2:7">
      <c r="B1368" s="848" t="str">
        <f>+'2H'!AF11</f>
        <v>CR1004STR</v>
      </c>
      <c r="D1368" s="2004"/>
      <c r="E1368" s="1658" t="s">
        <v>9033</v>
      </c>
      <c r="F1368" s="2004"/>
      <c r="G1368" s="2004">
        <f>IF('2H'!G11="","##BLANK",'2H'!G11)</f>
        <v>0</v>
      </c>
    </row>
    <row r="1369" spans="2:7">
      <c r="B1369" s="848" t="str">
        <f>+'2H'!AF12</f>
        <v>CR1005STR</v>
      </c>
      <c r="D1369" s="2004"/>
      <c r="E1369" s="1658" t="s">
        <v>9033</v>
      </c>
      <c r="F1369" s="2004"/>
      <c r="G1369" s="2004">
        <f>IF('2H'!G12="","##BLANK",'2H'!G12)</f>
        <v>0</v>
      </c>
    </row>
    <row r="1370" spans="2:7">
      <c r="B1370" s="848" t="str">
        <f>+'2H'!AF13</f>
        <v>CR1006STR</v>
      </c>
      <c r="D1370" s="2004"/>
      <c r="E1370" s="1658" t="s">
        <v>9033</v>
      </c>
      <c r="F1370" s="2004"/>
      <c r="G1370" s="2004">
        <f>IF('2H'!G13="","##BLANK",'2H'!G13)</f>
        <v>0</v>
      </c>
    </row>
    <row r="1371" spans="2:7">
      <c r="B1371" s="848" t="str">
        <f>+'2H'!AF14</f>
        <v>CR1007STR</v>
      </c>
      <c r="D1371" s="2004"/>
      <c r="E1371" s="1658" t="s">
        <v>9033</v>
      </c>
      <c r="F1371" s="2004"/>
      <c r="G1371" s="2004">
        <f>IF('2H'!G14="","##BLANK",'2H'!G14)</f>
        <v>0</v>
      </c>
    </row>
    <row r="1372" spans="2:7">
      <c r="B1372" s="848" t="str">
        <f>+'2H'!AF15</f>
        <v>CR1008STR</v>
      </c>
      <c r="D1372" s="2004"/>
      <c r="E1372" s="1658" t="s">
        <v>9033</v>
      </c>
      <c r="F1372" s="2004"/>
      <c r="G1372" s="2004">
        <f>IF('2H'!G15="","##BLANK",'2H'!G15)</f>
        <v>0</v>
      </c>
    </row>
    <row r="1373" spans="2:7">
      <c r="B1373" s="848" t="str">
        <f>+'2H'!AF16</f>
        <v>CR1009STR</v>
      </c>
      <c r="D1373" s="2004"/>
      <c r="E1373" s="1658" t="s">
        <v>9033</v>
      </c>
      <c r="F1373" s="2004"/>
      <c r="G1373" s="2004">
        <f>IF('2H'!G16="","##BLANK",'2H'!G16)</f>
        <v>1.9969999999999999</v>
      </c>
    </row>
    <row r="1374" spans="2:7">
      <c r="B1374" s="848" t="str">
        <f>+'2H'!AF17</f>
        <v>CR1010STR</v>
      </c>
      <c r="D1374" s="2004"/>
      <c r="E1374" s="1658" t="s">
        <v>9033</v>
      </c>
      <c r="F1374" s="2004"/>
      <c r="G1374" s="2004">
        <f>IF('2H'!G17="","##BLANK",'2H'!G17)</f>
        <v>29.564</v>
      </c>
    </row>
    <row r="1375" spans="2:7">
      <c r="B1375" s="848" t="str">
        <f>+'2H'!AF18</f>
        <v>CR1011STR</v>
      </c>
      <c r="D1375" s="2004"/>
      <c r="E1375" s="1658" t="s">
        <v>9033</v>
      </c>
      <c r="F1375" s="2004"/>
      <c r="G1375" s="2004">
        <f>IF('2H'!G18="","##BLANK",'2H'!G18)</f>
        <v>1.855</v>
      </c>
    </row>
    <row r="1376" spans="2:7">
      <c r="B1376" s="848" t="str">
        <f>+'2H'!AF19</f>
        <v>CR1012STR</v>
      </c>
      <c r="D1376" s="2004"/>
      <c r="E1376" s="1658" t="s">
        <v>9033</v>
      </c>
      <c r="F1376" s="2004"/>
      <c r="G1376" s="2004">
        <f>IF('2H'!G19="","##BLANK",'2H'!G19)</f>
        <v>12.168000000000001</v>
      </c>
    </row>
    <row r="1377" spans="2:7">
      <c r="B1377" s="848" t="str">
        <f>+'2H'!AF20</f>
        <v>CR1013STR</v>
      </c>
      <c r="D1377" s="2004"/>
      <c r="E1377" s="1658" t="s">
        <v>9033</v>
      </c>
      <c r="F1377" s="2004"/>
      <c r="G1377" s="2004">
        <f>IF('2H'!G20="","##BLANK",'2H'!G20)</f>
        <v>9.8759999999999994</v>
      </c>
    </row>
    <row r="1378" spans="2:7">
      <c r="B1378" s="848" t="str">
        <f>+'2H'!AF21</f>
        <v>CR1014STR</v>
      </c>
      <c r="D1378" s="2004"/>
      <c r="E1378" s="1658" t="s">
        <v>9033</v>
      </c>
      <c r="F1378" s="2004"/>
      <c r="G1378" s="2004">
        <f>IF('2H'!G21="","##BLANK",'2H'!G21)</f>
        <v>0</v>
      </c>
    </row>
    <row r="1379" spans="2:7">
      <c r="B1379" s="848" t="str">
        <f>+'2H'!AF22</f>
        <v>CR1015STR</v>
      </c>
      <c r="D1379" s="2004"/>
      <c r="E1379" s="1658" t="s">
        <v>9033</v>
      </c>
      <c r="F1379" s="2004"/>
      <c r="G1379" s="2004">
        <f>IF('2H'!G22="","##BLANK",'2H'!G22)</f>
        <v>0</v>
      </c>
    </row>
    <row r="1380" spans="2:7">
      <c r="B1380" s="848" t="str">
        <f>+'2H'!AF23</f>
        <v>CR1016STR</v>
      </c>
      <c r="D1380" s="2004"/>
      <c r="E1380" s="1658" t="s">
        <v>9033</v>
      </c>
      <c r="F1380" s="2004"/>
      <c r="G1380" s="2004">
        <f>IF('2H'!G23="","##BLANK",'2H'!G23)</f>
        <v>0</v>
      </c>
    </row>
    <row r="1381" spans="2:7">
      <c r="B1381" s="848" t="str">
        <f>+'2H'!AF24</f>
        <v>CR1017STR</v>
      </c>
      <c r="D1381" s="2004"/>
      <c r="E1381" s="1658" t="s">
        <v>9033</v>
      </c>
      <c r="F1381" s="2004"/>
      <c r="G1381" s="2004">
        <f>IF('2H'!G24="","##BLANK",'2H'!G24)</f>
        <v>0</v>
      </c>
    </row>
    <row r="1382" spans="2:7">
      <c r="B1382" s="848" t="str">
        <f>+'2H'!AF25</f>
        <v>CR1018STR</v>
      </c>
      <c r="D1382" s="2004"/>
      <c r="E1382" s="1658" t="s">
        <v>9033</v>
      </c>
      <c r="F1382" s="2004"/>
      <c r="G1382" s="2004">
        <f>IF('2H'!G25="","##BLANK",'2H'!G25)</f>
        <v>0</v>
      </c>
    </row>
    <row r="1383" spans="2:7">
      <c r="B1383" s="848" t="str">
        <f>+'2H'!AF26</f>
        <v>CR1019STR</v>
      </c>
      <c r="D1383" s="2004"/>
      <c r="E1383" s="1658" t="s">
        <v>9033</v>
      </c>
      <c r="F1383" s="2004"/>
      <c r="G1383" s="2004">
        <f>IF('2H'!G26="","##BLANK",'2H'!G26)</f>
        <v>0</v>
      </c>
    </row>
    <row r="1384" spans="2:7">
      <c r="B1384" s="848" t="str">
        <f>+'2H'!AF27</f>
        <v>CR1020STR</v>
      </c>
      <c r="D1384" s="2004"/>
      <c r="E1384" s="1658" t="s">
        <v>9033</v>
      </c>
      <c r="F1384" s="2004"/>
      <c r="G1384" s="2004">
        <f>IF('2H'!G27="","##BLANK",'2H'!G27)</f>
        <v>0</v>
      </c>
    </row>
    <row r="1385" spans="2:7">
      <c r="B1385" s="848" t="str">
        <f>+'2H'!AF28</f>
        <v>CR1021STR</v>
      </c>
      <c r="D1385" s="2004"/>
      <c r="E1385" s="1658" t="s">
        <v>9033</v>
      </c>
      <c r="F1385" s="2004"/>
      <c r="G1385" s="2004">
        <f>IF('2H'!G28="","##BLANK",'2H'!G28)</f>
        <v>0</v>
      </c>
    </row>
    <row r="1386" spans="2:7">
      <c r="B1386" s="848" t="str">
        <f>+'2H'!AF29</f>
        <v>CR1022STR</v>
      </c>
      <c r="D1386" s="2004"/>
      <c r="E1386" s="1658" t="s">
        <v>9033</v>
      </c>
      <c r="F1386" s="2004"/>
      <c r="G1386" s="2004">
        <f>IF('2H'!G29="","##BLANK",'2H'!G29)</f>
        <v>0</v>
      </c>
    </row>
    <row r="1387" spans="2:7">
      <c r="B1387" s="848" t="str">
        <f>+'2H'!AF30</f>
        <v>CR1023STR</v>
      </c>
      <c r="D1387" s="2004"/>
      <c r="E1387" s="1658" t="s">
        <v>9033</v>
      </c>
      <c r="F1387" s="2004"/>
      <c r="G1387" s="2004">
        <f>IF('2H'!G30="","##BLANK",'2H'!G30)</f>
        <v>0</v>
      </c>
    </row>
    <row r="1388" spans="2:7">
      <c r="B1388" s="848" t="str">
        <f>+'2H'!AF31</f>
        <v>CR1025STR</v>
      </c>
      <c r="D1388" s="2004"/>
      <c r="E1388" s="1658" t="s">
        <v>9033</v>
      </c>
      <c r="F1388" s="2004"/>
      <c r="G1388" s="2004">
        <f>IF('2H'!G31="","##BLANK",'2H'!G31)</f>
        <v>55.459999999999994</v>
      </c>
    </row>
    <row r="1389" spans="2:7">
      <c r="B1389" s="848" t="str">
        <f>+'2H'!AF33</f>
        <v>CR1030STR</v>
      </c>
      <c r="D1389" s="2004"/>
      <c r="E1389" s="1658" t="s">
        <v>9033</v>
      </c>
      <c r="F1389" s="2004"/>
      <c r="G1389" s="2004">
        <f>IF('2H'!G33="","##BLANK",'2H'!G33)</f>
        <v>55.459999999999994</v>
      </c>
    </row>
    <row r="1390" spans="2:7">
      <c r="B1390" s="848" t="str">
        <f>+'2H'!AG6</f>
        <v>CR1041SCO</v>
      </c>
      <c r="D1390" s="2004"/>
      <c r="E1390" s="1658" t="s">
        <v>9033</v>
      </c>
      <c r="F1390" s="2004"/>
      <c r="G1390" s="2004" t="str">
        <f>IF('2H'!H6="","##BLANK",'2H'!H6)</f>
        <v>##BLANK</v>
      </c>
    </row>
    <row r="1391" spans="2:7">
      <c r="B1391" s="848" t="str">
        <f>+'2H'!AG9</f>
        <v>CR1042SCO</v>
      </c>
      <c r="D1391" s="2004"/>
      <c r="E1391" s="1658" t="s">
        <v>9033</v>
      </c>
      <c r="F1391" s="2004"/>
      <c r="G1391" s="2004" t="str">
        <f>IF('2H'!H9="","##BLANK",'2H'!H9)</f>
        <v>##BLANK</v>
      </c>
    </row>
    <row r="1392" spans="2:7">
      <c r="B1392" s="848" t="str">
        <f>+'2H'!AG10</f>
        <v>CR1043SCO</v>
      </c>
      <c r="D1392" s="2004"/>
      <c r="E1392" s="1658" t="s">
        <v>9033</v>
      </c>
      <c r="F1392" s="2004"/>
      <c r="G1392" s="2004" t="str">
        <f>IF('2H'!H10="","##BLANK",'2H'!H10)</f>
        <v>##BLANK</v>
      </c>
    </row>
    <row r="1393" spans="2:7">
      <c r="B1393" s="848" t="str">
        <f>+'2H'!AG11</f>
        <v>CR1044SCO</v>
      </c>
      <c r="D1393" s="2004"/>
      <c r="E1393" s="1658" t="s">
        <v>9033</v>
      </c>
      <c r="F1393" s="2004"/>
      <c r="G1393" s="2004" t="str">
        <f>IF('2H'!H11="","##BLANK",'2H'!H11)</f>
        <v>##BLANK</v>
      </c>
    </row>
    <row r="1394" spans="2:7">
      <c r="B1394" s="848" t="str">
        <f>+'2H'!AG12</f>
        <v>CR1045SCO</v>
      </c>
      <c r="D1394" s="2004"/>
      <c r="E1394" s="1658" t="s">
        <v>9033</v>
      </c>
      <c r="F1394" s="2004"/>
      <c r="G1394" s="2004" t="str">
        <f>IF('2H'!H12="","##BLANK",'2H'!H12)</f>
        <v>##BLANK</v>
      </c>
    </row>
    <row r="1395" spans="2:7">
      <c r="B1395" s="848" t="str">
        <f>+'2H'!AG13</f>
        <v>CR1046SCO</v>
      </c>
      <c r="D1395" s="2004"/>
      <c r="E1395" s="1658" t="s">
        <v>9033</v>
      </c>
      <c r="F1395" s="2004"/>
      <c r="G1395" s="2004" t="str">
        <f>IF('2H'!H13="","##BLANK",'2H'!H13)</f>
        <v>##BLANK</v>
      </c>
    </row>
    <row r="1396" spans="2:7">
      <c r="B1396" s="848" t="str">
        <f>+'2H'!AG14</f>
        <v>CR1047SCO</v>
      </c>
      <c r="D1396" s="2004"/>
      <c r="E1396" s="1658" t="s">
        <v>9033</v>
      </c>
      <c r="F1396" s="2004"/>
      <c r="G1396" s="2004" t="str">
        <f>IF('2H'!H14="","##BLANK",'2H'!H14)</f>
        <v>##BLANK</v>
      </c>
    </row>
    <row r="1397" spans="2:7">
      <c r="B1397" s="848" t="str">
        <f>+'2H'!AG15</f>
        <v>CR1048SCO</v>
      </c>
      <c r="D1397" s="2004"/>
      <c r="E1397" s="1658" t="s">
        <v>9033</v>
      </c>
      <c r="F1397" s="2004"/>
      <c r="G1397" s="2004" t="str">
        <f>IF('2H'!H15="","##BLANK",'2H'!H15)</f>
        <v>##BLANK</v>
      </c>
    </row>
    <row r="1398" spans="2:7">
      <c r="B1398" s="848" t="str">
        <f>+'2H'!AG16</f>
        <v>CR1049SCO</v>
      </c>
      <c r="D1398" s="2004"/>
      <c r="E1398" s="1658" t="s">
        <v>9033</v>
      </c>
      <c r="F1398" s="2004"/>
      <c r="G1398" s="2004">
        <f>IF('2H'!H16="","##BLANK",'2H'!H16)</f>
        <v>17.902000000000001</v>
      </c>
    </row>
    <row r="1399" spans="2:7">
      <c r="B1399" s="848" t="str">
        <f>+'2H'!AG17</f>
        <v>CR1050SCO</v>
      </c>
      <c r="D1399" s="2004"/>
      <c r="E1399" s="1658" t="s">
        <v>9033</v>
      </c>
      <c r="F1399" s="2004"/>
      <c r="G1399" s="2004">
        <f>IF('2H'!H17="","##BLANK",'2H'!H17)</f>
        <v>81.013999999999996</v>
      </c>
    </row>
    <row r="1400" spans="2:7">
      <c r="B1400" s="848" t="str">
        <f>+'2H'!AG18</f>
        <v>CR1051SCO</v>
      </c>
      <c r="D1400" s="2004"/>
      <c r="E1400" s="1658" t="s">
        <v>9033</v>
      </c>
      <c r="F1400" s="2004"/>
      <c r="G1400" s="2004">
        <f>IF('2H'!H18="","##BLANK",'2H'!H18)</f>
        <v>1.7070000000000001</v>
      </c>
    </row>
    <row r="1401" spans="2:7">
      <c r="B1401" s="848" t="str">
        <f>+'2H'!AG19</f>
        <v>CR1052SCO</v>
      </c>
      <c r="D1401" s="2004"/>
      <c r="E1401" s="1658" t="s">
        <v>9033</v>
      </c>
      <c r="F1401" s="2004"/>
      <c r="G1401" s="2004">
        <f>IF('2H'!H19="","##BLANK",'2H'!H19)</f>
        <v>0.28899999999999998</v>
      </c>
    </row>
    <row r="1402" spans="2:7">
      <c r="B1402" s="848" t="str">
        <f>+'2H'!AG20</f>
        <v>CR1053SCO</v>
      </c>
      <c r="D1402" s="2004"/>
      <c r="E1402" s="1658" t="s">
        <v>9033</v>
      </c>
      <c r="F1402" s="2004"/>
      <c r="G1402" s="2004">
        <f>IF('2H'!H20="","##BLANK",'2H'!H20)</f>
        <v>1.7999999999999999E-2</v>
      </c>
    </row>
    <row r="1403" spans="2:7">
      <c r="B1403" s="848" t="str">
        <f>+'2H'!AG21</f>
        <v>CR1054SCO</v>
      </c>
      <c r="D1403" s="2004"/>
      <c r="E1403" s="1658" t="s">
        <v>9033</v>
      </c>
      <c r="F1403" s="2004"/>
      <c r="G1403" s="2004" t="str">
        <f>IF('2H'!H21="","##BLANK",'2H'!H21)</f>
        <v>##BLANK</v>
      </c>
    </row>
    <row r="1404" spans="2:7">
      <c r="B1404" s="848" t="str">
        <f>+'2H'!AG22</f>
        <v>CR1055SCO</v>
      </c>
      <c r="D1404" s="2004"/>
      <c r="E1404" s="1658" t="s">
        <v>9033</v>
      </c>
      <c r="F1404" s="2004"/>
      <c r="G1404" s="2004" t="str">
        <f>IF('2H'!H22="","##BLANK",'2H'!H22)</f>
        <v>##BLANK</v>
      </c>
    </row>
    <row r="1405" spans="2:7">
      <c r="B1405" s="848" t="str">
        <f>+'2H'!AG23</f>
        <v>CR1056SCO</v>
      </c>
      <c r="D1405" s="2004"/>
      <c r="E1405" s="1658" t="s">
        <v>9033</v>
      </c>
      <c r="F1405" s="2004"/>
      <c r="G1405" s="2004" t="str">
        <f>IF('2H'!H23="","##BLANK",'2H'!H23)</f>
        <v>##BLANK</v>
      </c>
    </row>
    <row r="1406" spans="2:7">
      <c r="B1406" s="848" t="str">
        <f>+'2H'!AG24</f>
        <v>CR1057SCO</v>
      </c>
      <c r="D1406" s="2004"/>
      <c r="E1406" s="1658" t="s">
        <v>9033</v>
      </c>
      <c r="F1406" s="2004"/>
      <c r="G1406" s="2004" t="str">
        <f>IF('2H'!H24="","##BLANK",'2H'!H24)</f>
        <v>##BLANK</v>
      </c>
    </row>
    <row r="1407" spans="2:7">
      <c r="B1407" s="848" t="str">
        <f>+'2H'!AG25</f>
        <v>CR1058SCO</v>
      </c>
      <c r="D1407" s="2004"/>
      <c r="E1407" s="1658" t="s">
        <v>9033</v>
      </c>
      <c r="F1407" s="2004"/>
      <c r="G1407" s="2004" t="str">
        <f>IF('2H'!H25="","##BLANK",'2H'!H25)</f>
        <v>##BLANK</v>
      </c>
    </row>
    <row r="1408" spans="2:7">
      <c r="B1408" s="848" t="str">
        <f>+'2H'!AG26</f>
        <v>CR1059SCO</v>
      </c>
      <c r="D1408" s="2004"/>
      <c r="E1408" s="1658" t="s">
        <v>9033</v>
      </c>
      <c r="F1408" s="2004"/>
      <c r="G1408" s="2004" t="str">
        <f>IF('2H'!H26="","##BLANK",'2H'!H26)</f>
        <v>##BLANK</v>
      </c>
    </row>
    <row r="1409" spans="2:7">
      <c r="B1409" s="848" t="str">
        <f>+'2H'!AG27</f>
        <v>CR1060SCO</v>
      </c>
      <c r="D1409" s="2004"/>
      <c r="E1409" s="1658" t="s">
        <v>9033</v>
      </c>
      <c r="F1409" s="2004"/>
      <c r="G1409" s="2004" t="str">
        <f>IF('2H'!H27="","##BLANK",'2H'!H27)</f>
        <v>##BLANK</v>
      </c>
    </row>
    <row r="1410" spans="2:7">
      <c r="B1410" s="848" t="str">
        <f>+'2H'!AG28</f>
        <v>CR1061SCO</v>
      </c>
      <c r="D1410" s="2004"/>
      <c r="E1410" s="1658" t="s">
        <v>9033</v>
      </c>
      <c r="F1410" s="2004"/>
      <c r="G1410" s="2004" t="str">
        <f>IF('2H'!H28="","##BLANK",'2H'!H28)</f>
        <v>##BLANK</v>
      </c>
    </row>
    <row r="1411" spans="2:7">
      <c r="B1411" s="848" t="str">
        <f>+'2H'!AG29</f>
        <v>CR1062SCO</v>
      </c>
      <c r="D1411" s="2004"/>
      <c r="E1411" s="1658" t="s">
        <v>9033</v>
      </c>
      <c r="F1411" s="2004"/>
      <c r="G1411" s="2004" t="str">
        <f>IF('2H'!H29="","##BLANK",'2H'!H29)</f>
        <v>##BLANK</v>
      </c>
    </row>
    <row r="1412" spans="2:7">
      <c r="B1412" s="848" t="str">
        <f>+'2H'!AG30</f>
        <v>CR1063SCO</v>
      </c>
      <c r="D1412" s="2004"/>
      <c r="E1412" s="1658" t="s">
        <v>9033</v>
      </c>
      <c r="F1412" s="2004"/>
      <c r="G1412" s="2004" t="str">
        <f>IF('2H'!H30="","##BLANK",'2H'!H30)</f>
        <v>##BLANK</v>
      </c>
    </row>
    <row r="1413" spans="2:7">
      <c r="B1413" s="848" t="str">
        <f>+'2H'!AG31</f>
        <v>CR1065SCO</v>
      </c>
      <c r="D1413" s="2004"/>
      <c r="E1413" s="1658" t="s">
        <v>9033</v>
      </c>
      <c r="F1413" s="2004"/>
      <c r="G1413" s="2004">
        <f>IF('2H'!H31="","##BLANK",'2H'!H31)</f>
        <v>100.92999999999999</v>
      </c>
    </row>
    <row r="1414" spans="2:7">
      <c r="B1414" s="848" t="str">
        <f>+'2H'!AG33</f>
        <v>CR1066SCO</v>
      </c>
      <c r="D1414" s="2004"/>
      <c r="E1414" s="1658" t="s">
        <v>9033</v>
      </c>
      <c r="F1414" s="2004"/>
      <c r="G1414" s="2004">
        <f>IF('2H'!H33="","##BLANK",'2H'!H33)</f>
        <v>100.92999999999999</v>
      </c>
    </row>
    <row r="1415" spans="2:7">
      <c r="B1415" s="848" t="str">
        <f>+'2H'!AG37</f>
        <v>CR1030SCU</v>
      </c>
      <c r="D1415" s="2004"/>
      <c r="E1415" s="1658" t="s">
        <v>9033</v>
      </c>
      <c r="F1415" s="2004"/>
      <c r="G1415" s="2004">
        <f>IF('2H'!H37="","##BLANK",'2H'!H37)</f>
        <v>80.86</v>
      </c>
    </row>
    <row r="1416" spans="2:7">
      <c r="B1416" s="848" t="str">
        <f>+'2H'!AH6</f>
        <v>CR1041SRPC</v>
      </c>
      <c r="D1416" s="2004"/>
      <c r="E1416" s="1658" t="s">
        <v>9033</v>
      </c>
      <c r="F1416" s="2004"/>
      <c r="G1416" s="2004">
        <f>IF('2H'!I6="","##BLANK",'2H'!I6)</f>
        <v>0</v>
      </c>
    </row>
    <row r="1417" spans="2:7">
      <c r="B1417" s="848" t="str">
        <f>+'2H'!AH9</f>
        <v>CR1042SRPC</v>
      </c>
      <c r="D1417" s="2004"/>
      <c r="E1417" s="1658" t="s">
        <v>9033</v>
      </c>
      <c r="F1417" s="2004"/>
      <c r="G1417" s="2004">
        <f>IF('2H'!I9="","##BLANK",'2H'!I9)</f>
        <v>0</v>
      </c>
    </row>
    <row r="1418" spans="2:7">
      <c r="B1418" s="848" t="str">
        <f>+'2H'!AH10</f>
        <v>CR1043SRPC</v>
      </c>
      <c r="D1418" s="2004"/>
      <c r="E1418" s="1658" t="s">
        <v>9033</v>
      </c>
      <c r="F1418" s="2004"/>
      <c r="G1418" s="2004">
        <f>IF('2H'!I10="","##BLANK",'2H'!I10)</f>
        <v>0</v>
      </c>
    </row>
    <row r="1419" spans="2:7">
      <c r="B1419" s="848" t="str">
        <f>+'2H'!AH11</f>
        <v>CR1044SRPC</v>
      </c>
      <c r="D1419" s="2004"/>
      <c r="E1419" s="1658" t="s">
        <v>9033</v>
      </c>
      <c r="F1419" s="2004"/>
      <c r="G1419" s="2004">
        <f>IF('2H'!I11="","##BLANK",'2H'!I11)</f>
        <v>0</v>
      </c>
    </row>
    <row r="1420" spans="2:7">
      <c r="B1420" s="848" t="str">
        <f>+'2H'!AH12</f>
        <v>CR1045SRPC</v>
      </c>
      <c r="D1420" s="2004"/>
      <c r="E1420" s="1658" t="s">
        <v>9033</v>
      </c>
      <c r="F1420" s="2004"/>
      <c r="G1420" s="2004">
        <f>IF('2H'!I12="","##BLANK",'2H'!I12)</f>
        <v>0</v>
      </c>
    </row>
    <row r="1421" spans="2:7">
      <c r="B1421" s="848" t="str">
        <f>+'2H'!AH13</f>
        <v>CR1046SRPC</v>
      </c>
      <c r="D1421" s="2004"/>
      <c r="E1421" s="1658" t="s">
        <v>9033</v>
      </c>
      <c r="F1421" s="2004"/>
      <c r="G1421" s="2004">
        <f>IF('2H'!I13="","##BLANK",'2H'!I13)</f>
        <v>0</v>
      </c>
    </row>
    <row r="1422" spans="2:7">
      <c r="B1422" s="848" t="str">
        <f>+'2H'!AH14</f>
        <v>CR1047SRPC</v>
      </c>
      <c r="D1422" s="2004"/>
      <c r="E1422" s="1658" t="s">
        <v>9033</v>
      </c>
      <c r="F1422" s="2004"/>
      <c r="G1422" s="2004">
        <f>IF('2H'!I14="","##BLANK",'2H'!I14)</f>
        <v>0</v>
      </c>
    </row>
    <row r="1423" spans="2:7">
      <c r="B1423" s="848" t="str">
        <f>+'2H'!AH15</f>
        <v>CR1048SRPC</v>
      </c>
      <c r="D1423" s="2004"/>
      <c r="E1423" s="1658" t="s">
        <v>9033</v>
      </c>
      <c r="F1423" s="2004"/>
      <c r="G1423" s="2004">
        <f>IF('2H'!I15="","##BLANK",'2H'!I15)</f>
        <v>0</v>
      </c>
    </row>
    <row r="1424" spans="2:7">
      <c r="B1424" s="848" t="str">
        <f>+'2H'!AH16</f>
        <v>CR1049SRPC</v>
      </c>
      <c r="D1424" s="2004"/>
      <c r="E1424" s="1658" t="s">
        <v>9033</v>
      </c>
      <c r="F1424" s="2004"/>
      <c r="G1424" s="2004">
        <f>IF('2H'!I16="","##BLANK",'2H'!I16)</f>
        <v>62.618701821025581</v>
      </c>
    </row>
    <row r="1425" spans="2:7">
      <c r="B1425" s="848" t="str">
        <f>+'2H'!AH17</f>
        <v>CR1050SRPC</v>
      </c>
      <c r="D1425" s="2004"/>
      <c r="E1425" s="1658" t="s">
        <v>9033</v>
      </c>
      <c r="F1425" s="2004"/>
      <c r="G1425" s="2004">
        <f>IF('2H'!I17="","##BLANK",'2H'!I17)</f>
        <v>31.056360629027083</v>
      </c>
    </row>
    <row r="1426" spans="2:7">
      <c r="B1426" s="848" t="str">
        <f>+'2H'!AH18</f>
        <v>CR1051SRPC</v>
      </c>
      <c r="D1426" s="2004"/>
      <c r="E1426" s="1658" t="s">
        <v>9033</v>
      </c>
      <c r="F1426" s="2004"/>
      <c r="G1426" s="2004">
        <f>IF('2H'!I18="","##BLANK",'2H'!I18)</f>
        <v>77.328646748681891</v>
      </c>
    </row>
    <row r="1427" spans="2:7">
      <c r="B1427" s="848" t="str">
        <f>+'2H'!AH19</f>
        <v>CR1052SRPC</v>
      </c>
      <c r="D1427" s="2004"/>
      <c r="E1427" s="1658" t="s">
        <v>9033</v>
      </c>
      <c r="F1427" s="2004"/>
      <c r="G1427" s="2004">
        <f>IF('2H'!I19="","##BLANK",'2H'!I19)</f>
        <v>982.69896193771626</v>
      </c>
    </row>
    <row r="1428" spans="2:7">
      <c r="B1428" s="848" t="str">
        <f>+'2H'!AH20</f>
        <v>CR1053SRPC</v>
      </c>
      <c r="D1428" s="2004"/>
      <c r="E1428" s="1658" t="s">
        <v>9033</v>
      </c>
      <c r="F1428" s="2004"/>
      <c r="G1428" s="2004">
        <f>IF('2H'!I20="","##BLANK",'2H'!I20)</f>
        <v>12833.333333333336</v>
      </c>
    </row>
    <row r="1429" spans="2:7">
      <c r="B1429" s="848" t="str">
        <f>+'2H'!AH21</f>
        <v>CR1054SRPC</v>
      </c>
      <c r="D1429" s="2004"/>
      <c r="E1429" s="1658" t="s">
        <v>9033</v>
      </c>
      <c r="F1429" s="2004"/>
      <c r="G1429" s="2004">
        <f>IF('2H'!I21="","##BLANK",'2H'!I21)</f>
        <v>0</v>
      </c>
    </row>
    <row r="1430" spans="2:7">
      <c r="B1430" s="848" t="str">
        <f>+'2H'!AH22</f>
        <v>CR1055SRPC</v>
      </c>
      <c r="D1430" s="2004"/>
      <c r="E1430" s="1658" t="s">
        <v>9033</v>
      </c>
      <c r="F1430" s="2004"/>
      <c r="G1430" s="2004">
        <f>IF('2H'!I22="","##BLANK",'2H'!I22)</f>
        <v>0</v>
      </c>
    </row>
    <row r="1431" spans="2:7">
      <c r="B1431" s="848" t="str">
        <f>+'2H'!AH23</f>
        <v>CR1056SRPC</v>
      </c>
      <c r="D1431" s="2004"/>
      <c r="E1431" s="1658" t="s">
        <v>9033</v>
      </c>
      <c r="F1431" s="2004"/>
      <c r="G1431" s="2004">
        <f>IF('2H'!I23="","##BLANK",'2H'!I23)</f>
        <v>0</v>
      </c>
    </row>
    <row r="1432" spans="2:7">
      <c r="B1432" s="848" t="str">
        <f>+'2H'!AH24</f>
        <v>CR1057SRPC</v>
      </c>
      <c r="D1432" s="2004"/>
      <c r="E1432" s="1658" t="s">
        <v>9033</v>
      </c>
      <c r="F1432" s="2004"/>
      <c r="G1432" s="2004">
        <f>IF('2H'!I24="","##BLANK",'2H'!I24)</f>
        <v>0</v>
      </c>
    </row>
    <row r="1433" spans="2:7">
      <c r="B1433" s="848" t="str">
        <f>+'2H'!AH25</f>
        <v>CR1058SRPC</v>
      </c>
      <c r="D1433" s="2004"/>
      <c r="E1433" s="1658" t="s">
        <v>9033</v>
      </c>
      <c r="F1433" s="2004"/>
      <c r="G1433" s="2004">
        <f>IF('2H'!I25="","##BLANK",'2H'!I25)</f>
        <v>0</v>
      </c>
    </row>
    <row r="1434" spans="2:7">
      <c r="B1434" s="848" t="str">
        <f>+'2H'!AH26</f>
        <v>CR1059SRPC</v>
      </c>
      <c r="D1434" s="2004"/>
      <c r="E1434" s="1658" t="s">
        <v>9033</v>
      </c>
      <c r="F1434" s="2004"/>
      <c r="G1434" s="2004">
        <f>IF('2H'!I26="","##BLANK",'2H'!I26)</f>
        <v>0</v>
      </c>
    </row>
    <row r="1435" spans="2:7">
      <c r="B1435" s="848" t="str">
        <f>+'2H'!AH27</f>
        <v>CR1060SRPC</v>
      </c>
      <c r="D1435" s="2004"/>
      <c r="E1435" s="1658" t="s">
        <v>9033</v>
      </c>
      <c r="F1435" s="2004"/>
      <c r="G1435" s="2004">
        <f>IF('2H'!I27="","##BLANK",'2H'!I27)</f>
        <v>0</v>
      </c>
    </row>
    <row r="1436" spans="2:7">
      <c r="B1436" s="848" t="str">
        <f>+'2H'!AH28</f>
        <v>CR1061SRPC</v>
      </c>
      <c r="D1436" s="2004"/>
      <c r="E1436" s="1658" t="s">
        <v>9033</v>
      </c>
      <c r="F1436" s="2004"/>
      <c r="G1436" s="2004">
        <f>IF('2H'!I28="","##BLANK",'2H'!I28)</f>
        <v>0</v>
      </c>
    </row>
    <row r="1437" spans="2:7">
      <c r="B1437" s="848" t="str">
        <f>+'2H'!AH29</f>
        <v>CR1062SRPC</v>
      </c>
      <c r="D1437" s="2004"/>
      <c r="E1437" s="1658" t="s">
        <v>9033</v>
      </c>
      <c r="F1437" s="2004"/>
      <c r="G1437" s="2004">
        <f>IF('2H'!I29="","##BLANK",'2H'!I29)</f>
        <v>0</v>
      </c>
    </row>
    <row r="1438" spans="2:7">
      <c r="B1438" s="848" t="str">
        <f>+'2H'!AH30</f>
        <v>CR1063SRPC</v>
      </c>
      <c r="D1438" s="2004"/>
      <c r="E1438" s="1658" t="s">
        <v>9033</v>
      </c>
      <c r="F1438" s="2004"/>
      <c r="G1438" s="2004">
        <f>IF('2H'!I30="","##BLANK",'2H'!I30)</f>
        <v>0</v>
      </c>
    </row>
    <row r="1439" spans="2:7">
      <c r="B1439" s="848" t="str">
        <f>+'2H'!AH31</f>
        <v>CR1065SRPC</v>
      </c>
      <c r="D1439" s="2004"/>
      <c r="E1439" s="1658" t="s">
        <v>9033</v>
      </c>
      <c r="F1439" s="2004"/>
      <c r="G1439" s="2004">
        <f>IF('2H'!I31="","##BLANK",'2H'!I31)</f>
        <v>42.445259090458734</v>
      </c>
    </row>
    <row r="1440" spans="2:7">
      <c r="B1440" s="848" t="str">
        <f>+'2H'!AH33</f>
        <v>CR1066SRPC</v>
      </c>
      <c r="D1440" s="2004"/>
      <c r="E1440" s="1658" t="s">
        <v>9033</v>
      </c>
      <c r="F1440" s="2004"/>
      <c r="G1440" s="2004">
        <f>IF('2H'!I33="","##BLANK",'2H'!I33)</f>
        <v>42.445259090458734</v>
      </c>
    </row>
    <row r="1441" spans="2:7">
      <c r="B1441" s="1739" t="str">
        <f>+'2H'!AH37</f>
        <v>CR1030SRPC</v>
      </c>
      <c r="D1441" s="2004"/>
      <c r="E1441" s="1658" t="s">
        <v>9033</v>
      </c>
      <c r="F1441" s="2004"/>
      <c r="G1441" s="2004">
        <f>IF('2H'!I37="","##BLANK",'2H'!I37)</f>
        <v>52.980460054415033</v>
      </c>
    </row>
    <row r="1442" spans="2:7">
      <c r="B1442" s="848" t="str">
        <f>+'2I'!BI6</f>
        <v>CR581</v>
      </c>
      <c r="D1442" s="2004"/>
      <c r="E1442" s="1658" t="s">
        <v>9033</v>
      </c>
      <c r="F1442" s="2004"/>
      <c r="G1442" s="2004">
        <f>IF('2I'!G6="","##BLANK",'2I'!G6)</f>
        <v>177.49299999999999</v>
      </c>
    </row>
    <row r="1443" spans="2:7">
      <c r="B1443" s="848" t="str">
        <f>+'2I'!BI7</f>
        <v>CR582</v>
      </c>
      <c r="D1443" s="2004"/>
      <c r="E1443" s="1658" t="s">
        <v>9033</v>
      </c>
      <c r="F1443" s="2004"/>
      <c r="G1443" s="2004">
        <f>IF('2I'!G7="","##BLANK",'2I'!G7)</f>
        <v>152.149</v>
      </c>
    </row>
    <row r="1444" spans="2:7">
      <c r="B1444" s="848" t="str">
        <f>+'2I'!BI8</f>
        <v>W9008HH</v>
      </c>
      <c r="D1444" s="2004"/>
      <c r="E1444" s="1658" t="s">
        <v>9033</v>
      </c>
      <c r="F1444" s="2004"/>
      <c r="G1444" s="2004">
        <f>IF('2I'!G8="","##BLANK",'2I'!G8)</f>
        <v>0</v>
      </c>
    </row>
    <row r="1445" spans="2:7">
      <c r="B1445" s="848" t="str">
        <f>+'2I'!BI9</f>
        <v>BR586</v>
      </c>
      <c r="D1445" s="2004"/>
      <c r="E1445" s="1658" t="s">
        <v>9033</v>
      </c>
      <c r="F1445" s="2004"/>
      <c r="G1445" s="2004">
        <f>IF('2I'!G9="","##BLANK",'2I'!G9)</f>
        <v>329.642</v>
      </c>
    </row>
    <row r="1446" spans="2:7">
      <c r="B1446" s="848" t="str">
        <f>+'2I'!BI12</f>
        <v>CR881</v>
      </c>
      <c r="D1446" s="2004"/>
      <c r="E1446" s="1658" t="s">
        <v>9033</v>
      </c>
      <c r="F1446" s="2004"/>
      <c r="G1446" s="2004">
        <f>IF('2I'!G12="","##BLANK",'2I'!G12)</f>
        <v>214.964</v>
      </c>
    </row>
    <row r="1447" spans="2:7">
      <c r="B1447" s="848" t="str">
        <f>+'2I'!BI13</f>
        <v>CR882</v>
      </c>
      <c r="D1447" s="2004"/>
      <c r="E1447" s="1658" t="s">
        <v>9033</v>
      </c>
      <c r="F1447" s="2004"/>
      <c r="G1447" s="2004">
        <f>IF('2I'!G13="","##BLANK",'2I'!G13)</f>
        <v>204.24199999999999</v>
      </c>
    </row>
    <row r="1448" spans="2:7">
      <c r="B1448" s="848" t="str">
        <f>+'2I'!BI14</f>
        <v>S9008HH</v>
      </c>
      <c r="D1448" s="2004"/>
      <c r="E1448" s="1658" t="s">
        <v>9033</v>
      </c>
      <c r="F1448" s="2004"/>
      <c r="G1448" s="2004">
        <f>IF('2I'!G14="","##BLANK",'2I'!G14)</f>
        <v>0</v>
      </c>
    </row>
    <row r="1449" spans="2:7">
      <c r="B1449" s="848" t="str">
        <f>+'2I'!BI15</f>
        <v>BR886</v>
      </c>
      <c r="D1449" s="2004"/>
      <c r="E1449" s="1658" t="s">
        <v>9033</v>
      </c>
      <c r="F1449" s="2004"/>
      <c r="G1449" s="2004">
        <f>IF('2I'!G15="","##BLANK",'2I'!G15)</f>
        <v>419.20600000000002</v>
      </c>
    </row>
    <row r="1450" spans="2:7">
      <c r="B1450" s="848" t="str">
        <f>+'2I'!BI18</f>
        <v>BR881TTT</v>
      </c>
      <c r="D1450" s="2004"/>
      <c r="E1450" s="1658" t="s">
        <v>9033</v>
      </c>
      <c r="F1450" s="2004"/>
      <c r="G1450" s="2004" t="str">
        <f>IF('2I'!G18="","##BLANK",'2I'!G18)</f>
        <v>##BLANK</v>
      </c>
    </row>
    <row r="1451" spans="2:7">
      <c r="B1451" s="848" t="str">
        <f>+'2I'!BI19</f>
        <v>BR882TTT</v>
      </c>
      <c r="D1451" s="2004"/>
      <c r="E1451" s="1658" t="s">
        <v>9033</v>
      </c>
      <c r="F1451" s="2004"/>
      <c r="G1451" s="2004" t="str">
        <f>IF('2I'!G19="","##BLANK",'2I'!G19)</f>
        <v>##BLANK</v>
      </c>
    </row>
    <row r="1452" spans="2:7">
      <c r="B1452" s="848" t="str">
        <f>+'2I'!BI20</f>
        <v>S9008HHTTT</v>
      </c>
      <c r="D1452" s="2004"/>
      <c r="E1452" s="1658" t="s">
        <v>9033</v>
      </c>
      <c r="F1452" s="2004"/>
      <c r="G1452" s="2004" t="str">
        <f>IF('2I'!G20="","##BLANK",'2I'!G20)</f>
        <v>##BLANK</v>
      </c>
    </row>
    <row r="1453" spans="2:7">
      <c r="B1453" s="848" t="str">
        <f>+'2I'!BI21</f>
        <v>BR886TTT</v>
      </c>
      <c r="D1453" s="2004"/>
      <c r="E1453" s="1658" t="s">
        <v>9033</v>
      </c>
      <c r="F1453" s="2004"/>
      <c r="G1453" s="2004">
        <f>IF('2I'!G21="","##BLANK",'2I'!G21)</f>
        <v>0</v>
      </c>
    </row>
    <row r="1454" spans="2:7">
      <c r="B1454" s="848" t="str">
        <f>+'2I'!BI23</f>
        <v>BR986</v>
      </c>
      <c r="D1454" s="2004"/>
      <c r="E1454" s="1658" t="s">
        <v>9033</v>
      </c>
      <c r="F1454" s="2004"/>
      <c r="G1454" s="2004">
        <f>IF('2I'!G23="","##BLANK",'2I'!G23)</f>
        <v>748.84799999999996</v>
      </c>
    </row>
    <row r="1455" spans="2:7">
      <c r="B1455" s="848" t="str">
        <f>+'2I'!BI26</f>
        <v>A19002RRH</v>
      </c>
      <c r="D1455" s="2004"/>
      <c r="E1455" s="1658" t="s">
        <v>9033</v>
      </c>
      <c r="F1455" s="2004"/>
      <c r="G1455" s="2004">
        <f>IF('2I'!G26="","##BLANK",'2I'!G26)</f>
        <v>26.702999999999999</v>
      </c>
    </row>
    <row r="1456" spans="2:7">
      <c r="B1456" s="848" t="str">
        <f>+'2I'!BI27</f>
        <v>A19003RRH</v>
      </c>
      <c r="D1456" s="2004"/>
      <c r="E1456" s="1658" t="s">
        <v>9033</v>
      </c>
      <c r="F1456" s="2004"/>
      <c r="G1456" s="2004">
        <f>IF('2I'!G27="","##BLANK",'2I'!G27)</f>
        <v>39.351999999999997</v>
      </c>
    </row>
    <row r="1457" spans="2:8">
      <c r="B1457" s="848" t="str">
        <f>+'2I'!BI28</f>
        <v>A19039RRH</v>
      </c>
      <c r="D1457" s="2004"/>
      <c r="E1457" s="1658" t="s">
        <v>9033</v>
      </c>
      <c r="F1457" s="2004"/>
      <c r="G1457" s="2004">
        <f>IF('2I'!G28="","##BLANK",'2I'!G28)</f>
        <v>0</v>
      </c>
      <c r="H1457" s="2004"/>
    </row>
    <row r="1458" spans="2:8">
      <c r="B1458" s="848" t="str">
        <f>+'2I'!BI29</f>
        <v>A19004RRH</v>
      </c>
      <c r="D1458" s="2004"/>
      <c r="E1458" s="1658" t="s">
        <v>9033</v>
      </c>
      <c r="F1458" s="2004"/>
      <c r="G1458" s="2004">
        <f>IF('2I'!G29="","##BLANK",'2I'!G29)</f>
        <v>66.054999999999993</v>
      </c>
      <c r="H1458" s="2004"/>
    </row>
    <row r="1459" spans="2:8">
      <c r="B1459" s="848" t="str">
        <f>+'2I'!BI44</f>
        <v>BR589PC</v>
      </c>
      <c r="C1459" s="848"/>
      <c r="D1459" s="2004"/>
      <c r="E1459" s="1658" t="s">
        <v>9033</v>
      </c>
      <c r="F1459" s="2004"/>
      <c r="G1459" s="2004">
        <f>IF('2I'!G44="","##BLANK",'2I'!G44)</f>
        <v>437.77800000000002</v>
      </c>
      <c r="H1459" s="848"/>
    </row>
    <row r="1460" spans="2:8">
      <c r="B1460" s="848" t="str">
        <f>+'2I'!BI45</f>
        <v>BC11274</v>
      </c>
      <c r="C1460" s="848"/>
      <c r="D1460" s="2004"/>
      <c r="E1460" s="1658" t="s">
        <v>9033</v>
      </c>
      <c r="F1460" s="2004"/>
      <c r="G1460" s="2004">
        <f>IF('2I'!G45="","##BLANK",'2I'!G45)</f>
        <v>13.65</v>
      </c>
      <c r="H1460" s="848"/>
    </row>
    <row r="1461" spans="2:8">
      <c r="B1461" s="848" t="str">
        <f>+'2I'!BI46</f>
        <v>W9014</v>
      </c>
      <c r="C1461" s="848"/>
      <c r="D1461" s="2004"/>
      <c r="E1461" s="1658" t="s">
        <v>9033</v>
      </c>
      <c r="F1461" s="2004"/>
      <c r="G1461" s="2004">
        <f>IF('2I'!G46="","##BLANK",'2I'!G46)</f>
        <v>451.428</v>
      </c>
      <c r="H1461" s="848"/>
    </row>
    <row r="1462" spans="2:8">
      <c r="B1462" s="848" t="str">
        <f>+'2I'!BI48</f>
        <v>CRW001</v>
      </c>
      <c r="C1462" s="848"/>
      <c r="D1462" s="2004"/>
      <c r="E1462" s="1658" t="s">
        <v>9033</v>
      </c>
      <c r="F1462" s="2004"/>
      <c r="G1462" s="2004">
        <f>IF('2I'!G48="","##BLANK",'2I'!G48)</f>
        <v>464.67014523756939</v>
      </c>
      <c r="H1462" s="848"/>
    </row>
    <row r="1463" spans="2:8">
      <c r="B1463" s="848" t="str">
        <f>+'2I'!BI49</f>
        <v>CRW008</v>
      </c>
      <c r="C1463" s="848"/>
      <c r="D1463" s="2004"/>
      <c r="E1463" s="1658" t="s">
        <v>9033</v>
      </c>
      <c r="F1463" s="2004"/>
      <c r="G1463" s="2004">
        <f>IF('2I'!G49="","##BLANK",'2I'!G49)</f>
        <v>0</v>
      </c>
      <c r="H1463" s="848"/>
    </row>
    <row r="1464" spans="2:8">
      <c r="B1464" s="848" t="str">
        <f>+'2I'!BI50</f>
        <v>CRW009</v>
      </c>
      <c r="D1464" s="2004"/>
      <c r="E1464" s="1658" t="s">
        <v>9033</v>
      </c>
      <c r="F1464" s="2004"/>
      <c r="G1464" s="2004">
        <f>IF('2I'!G50="","##BLANK",'2I'!G50)</f>
        <v>-3.4379654357674996</v>
      </c>
      <c r="H1464" s="848"/>
    </row>
    <row r="1465" spans="2:8">
      <c r="B1465" s="848" t="str">
        <f>+'2I'!BI51</f>
        <v>CRW010</v>
      </c>
      <c r="D1465" s="2004"/>
      <c r="E1465" s="1658" t="s">
        <v>9033</v>
      </c>
      <c r="F1465" s="2004"/>
      <c r="G1465" s="2004">
        <f>IF('2I'!G51="","##BLANK",'2I'!G51)</f>
        <v>461.23217980180186</v>
      </c>
      <c r="H1465" s="848"/>
    </row>
    <row r="1466" spans="2:8">
      <c r="B1466" s="848" t="str">
        <f>+'2I'!BI53</f>
        <v>CRW002</v>
      </c>
      <c r="D1466" s="2004"/>
      <c r="E1466" s="1658" t="s">
        <v>9033</v>
      </c>
      <c r="F1466" s="2004"/>
      <c r="G1466" s="2004">
        <f>IF('2I'!G53="","##BLANK",'2I'!G53)</f>
        <v>-9.8041798018018653</v>
      </c>
      <c r="H1466" s="848"/>
    </row>
    <row r="1467" spans="2:8">
      <c r="B1467" s="848" t="str">
        <f>+'2I'!BJ6</f>
        <v>CR583</v>
      </c>
      <c r="D1467" s="2004"/>
      <c r="E1467" s="1658" t="s">
        <v>9033</v>
      </c>
      <c r="F1467" s="2004"/>
      <c r="G1467" s="2004">
        <f>IF('2I'!H6="","##BLANK",'2I'!H6)</f>
        <v>1.133</v>
      </c>
      <c r="H1467" s="848"/>
    </row>
    <row r="1468" spans="2:8">
      <c r="B1468" s="848" t="str">
        <f>+'2I'!BJ7</f>
        <v>CR584</v>
      </c>
      <c r="D1468" s="2004"/>
      <c r="E1468" s="1658" t="s">
        <v>9033</v>
      </c>
      <c r="F1468" s="2004"/>
      <c r="G1468" s="2004">
        <f>IF('2I'!H7="","##BLANK",'2I'!H7)</f>
        <v>107.003</v>
      </c>
      <c r="H1468" s="848"/>
    </row>
    <row r="1469" spans="2:8">
      <c r="B1469" s="848" t="str">
        <f>+'2I'!BJ8</f>
        <v>W9008NHH</v>
      </c>
      <c r="D1469" s="2004"/>
      <c r="E1469" s="1658" t="s">
        <v>9033</v>
      </c>
      <c r="F1469" s="2004"/>
      <c r="G1469" s="2004">
        <f>IF('2I'!H8="","##BLANK",'2I'!H8)</f>
        <v>0</v>
      </c>
      <c r="H1469" s="848"/>
    </row>
    <row r="1470" spans="2:8">
      <c r="B1470" s="848" t="str">
        <f>+'2I'!BJ9</f>
        <v>BR588</v>
      </c>
      <c r="D1470" s="2004"/>
      <c r="E1470" s="1658" t="s">
        <v>9033</v>
      </c>
      <c r="F1470" s="2004"/>
      <c r="G1470" s="2004">
        <f>IF('2I'!H9="","##BLANK",'2I'!H9)</f>
        <v>108.136</v>
      </c>
      <c r="H1470" s="848"/>
    </row>
    <row r="1471" spans="2:8">
      <c r="B1471" s="848" t="str">
        <f>+'2I'!BJ12</f>
        <v>CR883</v>
      </c>
      <c r="D1471" s="2004"/>
      <c r="E1471" s="1658" t="s">
        <v>9033</v>
      </c>
      <c r="F1471" s="2004"/>
      <c r="G1471" s="2004">
        <f>IF('2I'!H12="","##BLANK",'2I'!H12)</f>
        <v>2.335</v>
      </c>
      <c r="H1471" s="848"/>
    </row>
    <row r="1472" spans="2:8">
      <c r="B1472" s="848" t="str">
        <f>+'2I'!BJ13</f>
        <v>CR884</v>
      </c>
      <c r="D1472" s="2004"/>
      <c r="E1472" s="1658" t="s">
        <v>9033</v>
      </c>
      <c r="F1472" s="2004"/>
      <c r="G1472" s="2004">
        <f>IF('2I'!H13="","##BLANK",'2I'!H13)</f>
        <v>119.43899999999999</v>
      </c>
      <c r="H1472" s="848"/>
    </row>
    <row r="1473" spans="2:8">
      <c r="B1473" s="848" t="str">
        <f>+'2I'!BJ14</f>
        <v>S9008NHH</v>
      </c>
      <c r="D1473" s="2004"/>
      <c r="E1473" s="1658" t="s">
        <v>9033</v>
      </c>
      <c r="F1473" s="2004"/>
      <c r="G1473" s="2004">
        <f>IF('2I'!H14="","##BLANK",'2I'!H14)</f>
        <v>2.4510000000000001</v>
      </c>
      <c r="H1473" s="848"/>
    </row>
    <row r="1474" spans="2:8">
      <c r="B1474" s="848" t="str">
        <f>+'2I'!BJ15</f>
        <v>BR888</v>
      </c>
      <c r="D1474" s="2004"/>
      <c r="E1474" s="1658" t="s">
        <v>9033</v>
      </c>
      <c r="F1474" s="2004"/>
      <c r="G1474" s="2004">
        <f>IF('2I'!H15="","##BLANK",'2I'!H15)</f>
        <v>124.22499999999998</v>
      </c>
      <c r="H1474" s="848"/>
    </row>
    <row r="1475" spans="2:8">
      <c r="B1475" s="848" t="str">
        <f>+'2I'!BJ18</f>
        <v>BR883TTT</v>
      </c>
      <c r="D1475" s="2004"/>
      <c r="E1475" s="1658" t="s">
        <v>9033</v>
      </c>
      <c r="F1475" s="2004"/>
      <c r="G1475" s="2004" t="str">
        <f>IF('2I'!H18="","##BLANK",'2I'!H18)</f>
        <v>##BLANK</v>
      </c>
      <c r="H1475" s="848"/>
    </row>
    <row r="1476" spans="2:8">
      <c r="B1476" s="848" t="str">
        <f>+'2I'!BJ19</f>
        <v>BR884TTT</v>
      </c>
      <c r="D1476" s="2004"/>
      <c r="E1476" s="1658" t="s">
        <v>9033</v>
      </c>
      <c r="F1476" s="2004"/>
      <c r="G1476" s="2004" t="str">
        <f>IF('2I'!H19="","##BLANK",'2I'!H19)</f>
        <v>##BLANK</v>
      </c>
      <c r="H1476" s="848"/>
    </row>
    <row r="1477" spans="2:8">
      <c r="B1477" s="848" t="str">
        <f>+'2I'!BJ20</f>
        <v>S9008NHHTTT</v>
      </c>
      <c r="D1477" s="2004"/>
      <c r="E1477" s="1658" t="s">
        <v>9033</v>
      </c>
      <c r="F1477" s="2004"/>
      <c r="G1477" s="2004" t="str">
        <f>IF('2I'!H20="","##BLANK",'2I'!H20)</f>
        <v>##BLANK</v>
      </c>
      <c r="H1477" s="848"/>
    </row>
    <row r="1478" spans="2:8">
      <c r="B1478" s="848" t="str">
        <f>+'2I'!BJ21</f>
        <v>BR888TTT</v>
      </c>
      <c r="D1478" s="2004"/>
      <c r="E1478" s="1658" t="s">
        <v>9033</v>
      </c>
      <c r="F1478" s="2004"/>
      <c r="G1478" s="2004">
        <f>IF('2I'!H21="","##BLANK",'2I'!H21)</f>
        <v>0</v>
      </c>
      <c r="H1478" s="2004"/>
    </row>
    <row r="1479" spans="2:8">
      <c r="B1479" s="848" t="str">
        <f>+'2I'!BJ23</f>
        <v>BR988</v>
      </c>
      <c r="D1479" s="2004"/>
      <c r="E1479" s="1658" t="s">
        <v>9033</v>
      </c>
      <c r="F1479" s="2004"/>
      <c r="G1479" s="2004">
        <f>IF('2I'!H23="","##BLANK",'2I'!H23)</f>
        <v>232.36099999999999</v>
      </c>
      <c r="H1479" s="2004"/>
    </row>
    <row r="1480" spans="2:8">
      <c r="B1480" s="848" t="str">
        <f>+'2I'!BJ26</f>
        <v>A19002RRNH</v>
      </c>
      <c r="D1480" s="2004"/>
      <c r="E1480" s="1658" t="s">
        <v>9033</v>
      </c>
      <c r="F1480" s="2004"/>
      <c r="G1480" s="2004">
        <f>IF('2I'!H26="","##BLANK",'2I'!H26)</f>
        <v>1.8029999999999999</v>
      </c>
      <c r="H1480" s="2004"/>
    </row>
    <row r="1481" spans="2:8">
      <c r="B1481" s="848" t="str">
        <f>+'2I'!BJ27</f>
        <v>A19003RRNH</v>
      </c>
      <c r="D1481" s="2004"/>
      <c r="E1481" s="1658" t="s">
        <v>9033</v>
      </c>
      <c r="F1481" s="2004"/>
      <c r="G1481" s="2004">
        <f>IF('2I'!H27="","##BLANK",'2I'!H27)</f>
        <v>5.3789999999999996</v>
      </c>
      <c r="H1481" s="848"/>
    </row>
    <row r="1482" spans="2:8">
      <c r="B1482" s="848" t="str">
        <f>+'2I'!BJ28</f>
        <v>A19039RRNH</v>
      </c>
      <c r="D1482" s="2004"/>
      <c r="E1482" s="1658" t="s">
        <v>9033</v>
      </c>
      <c r="F1482" s="2004"/>
      <c r="G1482" s="2004">
        <f>IF('2I'!H28="","##BLANK",'2I'!H28)</f>
        <v>0.59699999999999998</v>
      </c>
      <c r="H1482" s="2004"/>
    </row>
    <row r="1483" spans="2:8">
      <c r="B1483" s="848" t="str">
        <f>+'2I'!BJ29</f>
        <v>A19004RRNH</v>
      </c>
      <c r="D1483" s="2004"/>
      <c r="E1483" s="1658" t="s">
        <v>9033</v>
      </c>
      <c r="F1483" s="2004"/>
      <c r="G1483" s="2004">
        <f>IF('2I'!H29="","##BLANK",'2I'!H29)</f>
        <v>7.7789999999999999</v>
      </c>
      <c r="H1483" s="2004"/>
    </row>
    <row r="1484" spans="2:8">
      <c r="B1484" s="848" t="str">
        <f>+'2I'!BJ44</f>
        <v>BR689PC</v>
      </c>
      <c r="D1484" s="2004"/>
      <c r="E1484" s="1658" t="s">
        <v>9033</v>
      </c>
      <c r="F1484" s="2004"/>
      <c r="G1484" s="2004">
        <f>IF('2I'!H44="","##BLANK",'2I'!H44)</f>
        <v>543.43100000000004</v>
      </c>
      <c r="H1484" s="2004"/>
    </row>
    <row r="1485" spans="2:8">
      <c r="B1485" s="848" t="str">
        <f>+'2I'!BJ45</f>
        <v>BC11374</v>
      </c>
      <c r="D1485" s="2004"/>
      <c r="E1485" s="1658" t="s">
        <v>9033</v>
      </c>
      <c r="F1485" s="2004"/>
      <c r="G1485" s="2004">
        <f>IF('2I'!H45="","##BLANK",'2I'!H45)</f>
        <v>8.2679999999999989</v>
      </c>
      <c r="H1485" s="2004"/>
    </row>
    <row r="1486" spans="2:8">
      <c r="B1486" s="848" t="str">
        <f>+'2I'!BJ46</f>
        <v>S9014</v>
      </c>
      <c r="D1486" s="2004"/>
      <c r="E1486" s="1658" t="s">
        <v>9033</v>
      </c>
      <c r="F1486" s="2004"/>
      <c r="G1486" s="2004">
        <f>IF('2I'!H46="","##BLANK",'2I'!H46)</f>
        <v>551.69900000000007</v>
      </c>
      <c r="H1486" s="2004"/>
    </row>
    <row r="1487" spans="2:8">
      <c r="B1487" s="848" t="str">
        <f>+'2I'!BJ48</f>
        <v>CRS001</v>
      </c>
      <c r="D1487" s="2004"/>
      <c r="E1487" s="1658" t="s">
        <v>9033</v>
      </c>
      <c r="F1487" s="2004"/>
      <c r="G1487" s="2004">
        <f>IF('2I'!H48="","##BLANK",'2I'!H48)</f>
        <v>567.88108720268428</v>
      </c>
      <c r="H1487" s="2004"/>
    </row>
    <row r="1488" spans="2:8">
      <c r="B1488" s="848" t="str">
        <f>+'2I'!BJ49</f>
        <v>CRS008</v>
      </c>
      <c r="D1488" s="2004"/>
      <c r="E1488" s="1658" t="s">
        <v>9033</v>
      </c>
      <c r="F1488" s="2004"/>
      <c r="G1488" s="2004">
        <f>IF('2I'!H49="","##BLANK",'2I'!H49)</f>
        <v>0</v>
      </c>
      <c r="H1488" s="848"/>
    </row>
    <row r="1489" spans="2:8">
      <c r="B1489" s="848" t="str">
        <f>+'2I'!BJ50</f>
        <v>CRS009</v>
      </c>
      <c r="D1489" s="2004"/>
      <c r="E1489" s="1658" t="s">
        <v>9033</v>
      </c>
      <c r="F1489" s="2004"/>
      <c r="G1489" s="2004">
        <f>IF('2I'!H50="","##BLANK",'2I'!H50)</f>
        <v>6.9649999999999999</v>
      </c>
      <c r="H1489" s="848"/>
    </row>
    <row r="1490" spans="2:8">
      <c r="B1490" s="848" t="str">
        <f>+'2I'!BJ51</f>
        <v>CRS010</v>
      </c>
      <c r="D1490" s="2004"/>
      <c r="E1490" s="1658" t="s">
        <v>9033</v>
      </c>
      <c r="F1490" s="2004"/>
      <c r="G1490" s="2004">
        <f>IF('2I'!H51="","##BLANK",'2I'!H51)</f>
        <v>574.84608720268432</v>
      </c>
      <c r="H1490" s="2004"/>
    </row>
    <row r="1491" spans="2:8">
      <c r="B1491" s="848" t="str">
        <f>+'2I'!BJ53</f>
        <v>CRS002</v>
      </c>
      <c r="D1491" s="2004"/>
      <c r="E1491" s="1658" t="s">
        <v>9033</v>
      </c>
      <c r="F1491" s="2004"/>
      <c r="G1491" s="2004">
        <f>IF('2I'!H53="","##BLANK",'2I'!H53)</f>
        <v>-23.147087202684247</v>
      </c>
      <c r="H1491" s="2004"/>
    </row>
    <row r="1492" spans="2:8">
      <c r="B1492" s="848" t="str">
        <f>+'2I'!BK6</f>
        <v>CR585</v>
      </c>
      <c r="D1492" s="2004"/>
      <c r="E1492" s="1658" t="s">
        <v>9033</v>
      </c>
      <c r="F1492" s="2004"/>
      <c r="G1492" s="2004">
        <f>IF('2I'!I6="","##BLANK",'2I'!I6)</f>
        <v>178.626</v>
      </c>
      <c r="H1492" s="2004"/>
    </row>
    <row r="1493" spans="2:8">
      <c r="B1493" s="848" t="str">
        <f>+'2I'!BK7</f>
        <v>CR586</v>
      </c>
      <c r="D1493" s="2004"/>
      <c r="E1493" s="1658" t="s">
        <v>9033</v>
      </c>
      <c r="F1493" s="2004"/>
      <c r="G1493" s="2004">
        <f>IF('2I'!I7="","##BLANK",'2I'!I7)</f>
        <v>259.15199999999999</v>
      </c>
      <c r="H1493" s="2004"/>
    </row>
    <row r="1494" spans="2:8">
      <c r="B1494" s="848" t="str">
        <f>+'2I'!BK8</f>
        <v>W9008WW</v>
      </c>
      <c r="D1494" s="2004"/>
      <c r="E1494" s="1658" t="s">
        <v>9033</v>
      </c>
      <c r="F1494" s="2004"/>
      <c r="G1494" s="2004">
        <f>IF('2I'!I8="","##BLANK",'2I'!I8)</f>
        <v>0</v>
      </c>
      <c r="H1494" s="2004"/>
    </row>
    <row r="1495" spans="2:8">
      <c r="B1495" s="848" t="str">
        <f>+'2I'!BK9</f>
        <v>BR589</v>
      </c>
      <c r="D1495" s="2004"/>
      <c r="E1495" s="1658" t="s">
        <v>9033</v>
      </c>
      <c r="F1495" s="2004"/>
      <c r="G1495" s="2004">
        <f>IF('2I'!I9="","##BLANK",'2I'!I9)</f>
        <v>437.77800000000002</v>
      </c>
      <c r="H1495" s="2004"/>
    </row>
    <row r="1496" spans="2:8">
      <c r="B1496" s="848" t="str">
        <f>+'2I'!BK12</f>
        <v>CR885</v>
      </c>
      <c r="D1496" s="2004"/>
      <c r="E1496" s="1658" t="s">
        <v>9033</v>
      </c>
      <c r="F1496" s="2004"/>
      <c r="G1496" s="2004">
        <f>IF('2I'!I12="","##BLANK",'2I'!I12)</f>
        <v>217.29900000000001</v>
      </c>
      <c r="H1496" s="2004"/>
    </row>
    <row r="1497" spans="2:8">
      <c r="B1497" s="848" t="str">
        <f>+'2I'!BK13</f>
        <v>CR886</v>
      </c>
      <c r="D1497" s="2004"/>
      <c r="E1497" s="1658" t="s">
        <v>9033</v>
      </c>
      <c r="F1497" s="2004"/>
      <c r="G1497" s="2004">
        <f>IF('2I'!I13="","##BLANK",'2I'!I13)</f>
        <v>323.68099999999998</v>
      </c>
      <c r="H1497" s="2004"/>
    </row>
    <row r="1498" spans="2:8">
      <c r="B1498" s="848" t="str">
        <f>+'2I'!BK14</f>
        <v>S9008WS</v>
      </c>
      <c r="D1498" s="2004"/>
      <c r="E1498" s="1658" t="s">
        <v>9033</v>
      </c>
      <c r="F1498" s="2004"/>
      <c r="G1498" s="2004">
        <f>IF('2I'!I14="","##BLANK",'2I'!I14)</f>
        <v>2.4510000000000001</v>
      </c>
      <c r="H1498" s="2004"/>
    </row>
    <row r="1499" spans="2:8">
      <c r="B1499" s="848" t="str">
        <f>+'2I'!BK15</f>
        <v>BR689</v>
      </c>
      <c r="D1499" s="2004"/>
      <c r="E1499" s="1658" t="s">
        <v>9033</v>
      </c>
      <c r="F1499" s="2004"/>
      <c r="G1499" s="2004">
        <f>IF('2I'!I15="","##BLANK",'2I'!I15)</f>
        <v>543.43100000000004</v>
      </c>
      <c r="H1499" s="2004"/>
    </row>
    <row r="1500" spans="2:8">
      <c r="B1500" s="848" t="str">
        <f>+'2I'!BK18</f>
        <v>BO1130TTT</v>
      </c>
      <c r="D1500" s="2004"/>
      <c r="E1500" s="1658" t="s">
        <v>9033</v>
      </c>
      <c r="F1500" s="2004"/>
      <c r="G1500" s="2004">
        <f>IF('2I'!I18="","##BLANK",'2I'!I18)</f>
        <v>0</v>
      </c>
      <c r="H1500" s="2004"/>
    </row>
    <row r="1501" spans="2:8">
      <c r="B1501" s="848" t="str">
        <f>+'2I'!BK19</f>
        <v>BO1120TTT</v>
      </c>
      <c r="D1501" s="2004"/>
      <c r="E1501" s="1658" t="s">
        <v>9033</v>
      </c>
      <c r="F1501" s="2004"/>
      <c r="G1501" s="2004">
        <f>IF('2I'!I19="","##BLANK",'2I'!I19)</f>
        <v>0</v>
      </c>
      <c r="H1501" s="2004"/>
    </row>
    <row r="1502" spans="2:8">
      <c r="B1502" s="848" t="str">
        <f>+'2I'!BK20</f>
        <v>S9008WSTTT</v>
      </c>
      <c r="D1502" s="2004"/>
      <c r="E1502" s="1658" t="s">
        <v>9033</v>
      </c>
      <c r="F1502" s="2004"/>
      <c r="G1502" s="2004">
        <f>IF('2I'!I20="","##BLANK",'2I'!I20)</f>
        <v>0</v>
      </c>
      <c r="H1502" s="2004"/>
    </row>
    <row r="1503" spans="2:8">
      <c r="B1503" s="848" t="str">
        <f>+'2I'!BK21</f>
        <v>BR689TTT</v>
      </c>
      <c r="D1503" s="2004"/>
      <c r="E1503" s="1658" t="s">
        <v>9033</v>
      </c>
      <c r="F1503" s="2004"/>
      <c r="G1503" s="2004">
        <f>IF('2I'!I21="","##BLANK",'2I'!I21)</f>
        <v>0</v>
      </c>
      <c r="H1503" s="2004"/>
    </row>
    <row r="1504" spans="2:8">
      <c r="B1504" s="848" t="str">
        <f>+'2I'!BK23</f>
        <v>BR989</v>
      </c>
      <c r="D1504" s="2004"/>
      <c r="E1504" s="1658" t="s">
        <v>9033</v>
      </c>
      <c r="F1504" s="2004"/>
      <c r="G1504" s="2004">
        <f>IF('2I'!I23="","##BLANK",'2I'!I23)</f>
        <v>981.20900000000006</v>
      </c>
      <c r="H1504" s="2004"/>
    </row>
    <row r="1505" spans="2:7">
      <c r="B1505" s="848" t="str">
        <f>+'2I'!BK26</f>
        <v>A19002RRA</v>
      </c>
      <c r="D1505" s="2004"/>
      <c r="E1505" s="1658" t="s">
        <v>9033</v>
      </c>
      <c r="F1505" s="2004"/>
      <c r="G1505" s="2004">
        <f>IF('2I'!I26="","##BLANK",'2I'!I26)</f>
        <v>28.506</v>
      </c>
    </row>
    <row r="1506" spans="2:7">
      <c r="B1506" s="848" t="str">
        <f>+'2I'!BK27</f>
        <v>A19003RRA</v>
      </c>
      <c r="D1506" s="2004"/>
      <c r="E1506" s="1658" t="s">
        <v>9033</v>
      </c>
      <c r="F1506" s="2004"/>
      <c r="G1506" s="2004">
        <f>IF('2I'!I27="","##BLANK",'2I'!I27)</f>
        <v>44.730999999999995</v>
      </c>
    </row>
    <row r="1507" spans="2:7">
      <c r="B1507" s="848" t="str">
        <f>+'2I'!BK28</f>
        <v>A19039RRA</v>
      </c>
      <c r="D1507" s="2004"/>
      <c r="E1507" s="1658" t="s">
        <v>9033</v>
      </c>
      <c r="F1507" s="2004"/>
      <c r="G1507" s="2004">
        <f>IF('2I'!I28="","##BLANK",'2I'!I28)</f>
        <v>0.59699999999999998</v>
      </c>
    </row>
    <row r="1508" spans="2:7">
      <c r="B1508" s="848" t="str">
        <f>+'2I'!BK29</f>
        <v>A19004RRA</v>
      </c>
      <c r="D1508" s="2004"/>
      <c r="E1508" s="1658" t="s">
        <v>9033</v>
      </c>
      <c r="F1508" s="2004"/>
      <c r="G1508" s="2004">
        <f>IF('2I'!I29="","##BLANK",'2I'!I29)</f>
        <v>73.833999999999989</v>
      </c>
    </row>
    <row r="1509" spans="2:7">
      <c r="B1509" s="848" t="str">
        <f>+'2I'!BK32</f>
        <v>BM340NPCW</v>
      </c>
      <c r="D1509" s="2004"/>
      <c r="E1509" s="1658" t="s">
        <v>9033</v>
      </c>
      <c r="F1509" s="2004"/>
      <c r="G1509" s="2004">
        <f>IF('2I'!I32="","##BLANK",'2I'!I32)</f>
        <v>0.10100000000000001</v>
      </c>
    </row>
    <row r="1510" spans="2:7">
      <c r="B1510" s="848" t="str">
        <f>+'2I'!BK33</f>
        <v>BM340NPCWW</v>
      </c>
      <c r="D1510" s="2004"/>
      <c r="E1510" s="1658" t="s">
        <v>9033</v>
      </c>
      <c r="F1510" s="2004"/>
      <c r="G1510" s="2004">
        <f>IF('2I'!I33="","##BLANK",'2I'!I33)</f>
        <v>0</v>
      </c>
    </row>
    <row r="1511" spans="2:7">
      <c r="B1511" s="848" t="str">
        <f>+'2I'!BK34</f>
        <v>A19039NPC</v>
      </c>
      <c r="D1511" s="2004"/>
      <c r="E1511" s="1658" t="s">
        <v>9033</v>
      </c>
      <c r="F1511" s="2004"/>
      <c r="G1511" s="2004">
        <f>IF('2I'!I34="","##BLANK",'2I'!I34)</f>
        <v>1.4550000000000001</v>
      </c>
    </row>
    <row r="1512" spans="2:7">
      <c r="B1512" s="848" t="str">
        <f>+'2I'!BK37</f>
        <v>BR973NPC</v>
      </c>
      <c r="D1512" s="2004"/>
      <c r="E1512" s="1658" t="s">
        <v>9033</v>
      </c>
      <c r="F1512" s="2004"/>
      <c r="G1512" s="2004">
        <f>IF('2I'!I37="","##BLANK",'2I'!I37)</f>
        <v>0.61399999999999999</v>
      </c>
    </row>
    <row r="1513" spans="2:7">
      <c r="B1513" s="848" t="str">
        <f>+'2I'!BK39</f>
        <v>BO1183</v>
      </c>
      <c r="D1513" s="2004"/>
      <c r="E1513" s="1658" t="s">
        <v>9033</v>
      </c>
      <c r="F1513" s="2004"/>
      <c r="G1513" s="2004">
        <f>IF('2I'!I39="","##BLANK",'2I'!I39)</f>
        <v>1057.2130000000002</v>
      </c>
    </row>
    <row r="1514" spans="2:7">
      <c r="B1514" s="848" t="str">
        <f>+'2I'!BK44</f>
        <v>BR689TTTPC</v>
      </c>
      <c r="D1514" s="2004"/>
      <c r="E1514" s="1658" t="s">
        <v>9033</v>
      </c>
      <c r="F1514" s="2004"/>
      <c r="G1514" s="2004">
        <f>IF('2I'!I44="","##BLANK",'2I'!I44)</f>
        <v>0</v>
      </c>
    </row>
    <row r="1515" spans="2:7">
      <c r="B1515" s="848" t="str">
        <f>+'2I'!BK45</f>
        <v>BC11374TTT</v>
      </c>
      <c r="D1515" s="2004"/>
      <c r="E1515" s="1658" t="s">
        <v>9033</v>
      </c>
      <c r="F1515" s="2004"/>
      <c r="G1515" s="2004" t="str">
        <f>IF('2I'!I45="","##BLANK",'2I'!I45)</f>
        <v>##BLANK</v>
      </c>
    </row>
    <row r="1516" spans="2:7">
      <c r="B1516" s="848" t="str">
        <f>+'2I'!BK46</f>
        <v>S9014TTT</v>
      </c>
      <c r="D1516" s="2004"/>
      <c r="E1516" s="1658" t="s">
        <v>9033</v>
      </c>
      <c r="F1516" s="2004"/>
      <c r="G1516" s="2004">
        <f>IF('2I'!I46="","##BLANK",'2I'!I46)</f>
        <v>0</v>
      </c>
    </row>
    <row r="1517" spans="2:7">
      <c r="B1517" s="848" t="str">
        <f>+'2I'!BK48</f>
        <v>CRS001TTT</v>
      </c>
      <c r="D1517" s="2004"/>
      <c r="E1517" s="1658" t="s">
        <v>9033</v>
      </c>
      <c r="F1517" s="2004"/>
      <c r="G1517" s="2004" t="str">
        <f>IF('2I'!I48="","##BLANK",'2I'!I48)</f>
        <v>##BLANK</v>
      </c>
    </row>
    <row r="1518" spans="2:7">
      <c r="B1518" s="848" t="str">
        <f>+'2I'!BK49</f>
        <v>CRS008TTT</v>
      </c>
      <c r="D1518" s="2004"/>
      <c r="E1518" s="1658" t="s">
        <v>9033</v>
      </c>
      <c r="F1518" s="2004"/>
      <c r="G1518" s="2004" t="str">
        <f>IF('2I'!I49="","##BLANK",'2I'!I49)</f>
        <v>##BLANK</v>
      </c>
    </row>
    <row r="1519" spans="2:7">
      <c r="B1519" s="848" t="str">
        <f>+'2I'!BK50</f>
        <v>CRS009TTT</v>
      </c>
      <c r="D1519" s="2004"/>
      <c r="E1519" s="1658" t="s">
        <v>9033</v>
      </c>
      <c r="F1519" s="2004"/>
      <c r="G1519" s="2004" t="str">
        <f>IF('2I'!I50="","##BLANK",'2I'!I50)</f>
        <v>##BLANK</v>
      </c>
    </row>
    <row r="1520" spans="2:7">
      <c r="B1520" s="848" t="str">
        <f>+'2I'!BK51</f>
        <v>CRS010TTT</v>
      </c>
      <c r="D1520" s="2004"/>
      <c r="E1520" s="1658" t="s">
        <v>9033</v>
      </c>
      <c r="F1520" s="2004"/>
      <c r="G1520" s="2004">
        <f>IF('2I'!I51="","##BLANK",'2I'!I51)</f>
        <v>0</v>
      </c>
    </row>
    <row r="1521" spans="2:7">
      <c r="B1521" s="848" t="str">
        <f>+'2I'!BK53</f>
        <v>CRS002TTT</v>
      </c>
      <c r="D1521" s="2004"/>
      <c r="E1521" s="1658" t="s">
        <v>9033</v>
      </c>
      <c r="F1521" s="2004"/>
      <c r="G1521" s="2004">
        <f>IF('2I'!I53="","##BLANK",'2I'!I53)</f>
        <v>0</v>
      </c>
    </row>
    <row r="1522" spans="2:7">
      <c r="B1522" s="848" t="str">
        <f>+'2I'!BL44</f>
        <v>BR989PC</v>
      </c>
      <c r="D1522" s="2004"/>
      <c r="E1522" s="1658" t="s">
        <v>9033</v>
      </c>
      <c r="F1522" s="2004"/>
      <c r="G1522" s="2004">
        <f>IF('2I'!J44="","##BLANK",'2I'!J44)</f>
        <v>981.20900000000006</v>
      </c>
    </row>
    <row r="1523" spans="2:7">
      <c r="B1523" s="848" t="str">
        <f>+'2I'!BL45</f>
        <v>BC11474</v>
      </c>
      <c r="D1523" s="2004"/>
      <c r="E1523" s="1658" t="s">
        <v>9033</v>
      </c>
      <c r="F1523" s="2004"/>
      <c r="G1523" s="2004">
        <f>IF('2I'!J45="","##BLANK",'2I'!J45)</f>
        <v>21.917999999999999</v>
      </c>
    </row>
    <row r="1524" spans="2:7">
      <c r="B1524" s="848" t="str">
        <f>+'2I'!BL46</f>
        <v>T9014</v>
      </c>
      <c r="D1524" s="2004"/>
      <c r="E1524" s="1658" t="s">
        <v>9033</v>
      </c>
      <c r="F1524" s="2004"/>
      <c r="G1524" s="2004">
        <f>IF('2I'!J46="","##BLANK",'2I'!J46)</f>
        <v>1003.1270000000001</v>
      </c>
    </row>
    <row r="1525" spans="2:7">
      <c r="B1525" s="848" t="str">
        <f>+'2I'!BL48</f>
        <v>CRT001</v>
      </c>
      <c r="D1525" s="2004"/>
      <c r="E1525" s="1658" t="s">
        <v>9033</v>
      </c>
      <c r="F1525" s="2004"/>
      <c r="G1525" s="2004">
        <f>IF('2I'!J48="","##BLANK",'2I'!J48)</f>
        <v>1032.5512324402537</v>
      </c>
    </row>
    <row r="1526" spans="2:7">
      <c r="B1526" s="848" t="str">
        <f>+'2I'!BL49</f>
        <v>CRT008</v>
      </c>
      <c r="D1526" s="2004"/>
      <c r="E1526" s="1658" t="s">
        <v>9033</v>
      </c>
      <c r="F1526" s="2004"/>
      <c r="G1526" s="2004">
        <f>IF('2I'!J49="","##BLANK",'2I'!J49)</f>
        <v>0</v>
      </c>
    </row>
    <row r="1527" spans="2:7">
      <c r="B1527" s="848" t="str">
        <f>+'2I'!BL50</f>
        <v>CRT009</v>
      </c>
      <c r="D1527" s="2004"/>
      <c r="E1527" s="1658" t="s">
        <v>9033</v>
      </c>
      <c r="F1527" s="2004"/>
      <c r="G1527" s="2004">
        <f>IF('2I'!J50="","##BLANK",'2I'!J50)</f>
        <v>3.5270345642325003</v>
      </c>
    </row>
    <row r="1528" spans="2:7">
      <c r="B1528" s="848" t="str">
        <f>+'2I'!BL51</f>
        <v>CRT010</v>
      </c>
      <c r="D1528" s="2004"/>
      <c r="E1528" s="1658" t="s">
        <v>9033</v>
      </c>
      <c r="F1528" s="2004"/>
      <c r="G1528" s="2004">
        <f>IF('2I'!J51="","##BLANK",'2I'!J51)</f>
        <v>1036.0782670044862</v>
      </c>
    </row>
    <row r="1529" spans="2:7">
      <c r="B1529" s="848" t="str">
        <f>+'2I'!BL53</f>
        <v>CRT002</v>
      </c>
      <c r="D1529" s="2004"/>
      <c r="E1529" s="1658" t="s">
        <v>9033</v>
      </c>
      <c r="F1529" s="2004"/>
      <c r="G1529" s="2004">
        <f>IF('2I'!J53="","##BLANK",'2I'!J53)</f>
        <v>-32.951267004486112</v>
      </c>
    </row>
    <row r="1530" spans="2:7">
      <c r="B1530" s="848" t="str">
        <f>+'2J'!AF6</f>
        <v>BC30449DT</v>
      </c>
      <c r="D1530" s="2004"/>
      <c r="E1530" s="1658" t="s">
        <v>9033</v>
      </c>
      <c r="F1530" s="2004"/>
      <c r="G1530" s="2004">
        <f>IF('2J'!G6="","##BLANK",'2J'!G6)</f>
        <v>3.7789999999999999</v>
      </c>
    </row>
    <row r="1531" spans="2:7">
      <c r="B1531" s="848" t="str">
        <f>+'2J'!AF7</f>
        <v>BC30449PS</v>
      </c>
      <c r="D1531" s="2004"/>
      <c r="E1531" s="1658" t="s">
        <v>9033</v>
      </c>
      <c r="F1531" s="2004"/>
      <c r="G1531" s="2004">
        <f>IF('2J'!G7="","##BLANK",'2J'!G7)</f>
        <v>0.63900000000000001</v>
      </c>
    </row>
    <row r="1532" spans="2:7">
      <c r="B1532" s="848" t="str">
        <f>+'2J'!AF8</f>
        <v>BC30449O</v>
      </c>
      <c r="D1532" s="2004"/>
      <c r="E1532" s="1658" t="s">
        <v>9033</v>
      </c>
      <c r="F1532" s="2004"/>
      <c r="G1532" s="2004">
        <f>IF('2J'!G8="","##BLANK",'2J'!G8)</f>
        <v>0</v>
      </c>
    </row>
    <row r="1533" spans="2:7">
      <c r="B1533" s="848" t="str">
        <f>+'2J'!AF9</f>
        <v>BC30449TWDT</v>
      </c>
      <c r="D1533" s="2004"/>
      <c r="E1533" s="1658" t="s">
        <v>9033</v>
      </c>
      <c r="F1533" s="2004"/>
      <c r="G1533" s="2004">
        <f>IF('2J'!G9="","##BLANK",'2J'!G9)</f>
        <v>4.4180000000000001</v>
      </c>
    </row>
    <row r="1534" spans="2:7">
      <c r="B1534" s="848" t="str">
        <f>+'2J'!AF12</f>
        <v>BC30849FC</v>
      </c>
      <c r="D1534" s="2004"/>
      <c r="E1534" s="1658" t="s">
        <v>9033</v>
      </c>
      <c r="F1534" s="2004"/>
      <c r="G1534" s="2004">
        <f>IF('2J'!G12="","##BLANK",'2J'!G12)</f>
        <v>2.7669999999999999</v>
      </c>
    </row>
    <row r="1535" spans="2:7">
      <c r="B1535" s="848" t="str">
        <f>+'2J'!AF13</f>
        <v>BC30849SW</v>
      </c>
      <c r="D1535" s="2004"/>
      <c r="E1535" s="1658" t="s">
        <v>9033</v>
      </c>
      <c r="F1535" s="2004"/>
      <c r="G1535" s="2004">
        <f>IF('2J'!G13="","##BLANK",'2J'!G13)</f>
        <v>0</v>
      </c>
    </row>
    <row r="1536" spans="2:7">
      <c r="B1536" s="848" t="str">
        <f>+'2J'!AF14</f>
        <v>BC30849PS</v>
      </c>
      <c r="D1536" s="2004"/>
      <c r="E1536" s="1658" t="s">
        <v>9033</v>
      </c>
      <c r="F1536" s="2004"/>
      <c r="G1536" s="2004">
        <f>IF('2J'!G14="","##BLANK",'2J'!G14)</f>
        <v>0</v>
      </c>
    </row>
    <row r="1537" spans="2:7">
      <c r="B1537" s="848" t="str">
        <f>+'2J'!AF15</f>
        <v>BC30849O</v>
      </c>
      <c r="D1537" s="2004"/>
      <c r="E1537" s="1658" t="s">
        <v>9033</v>
      </c>
      <c r="F1537" s="2004"/>
      <c r="G1537" s="2004">
        <f>IF('2J'!G15="","##BLANK",'2J'!G15)</f>
        <v>0</v>
      </c>
    </row>
    <row r="1538" spans="2:7">
      <c r="B1538" s="848" t="str">
        <f>+'2J'!AF16</f>
        <v>BC30849SCT</v>
      </c>
      <c r="D1538" s="2004"/>
      <c r="E1538" s="1658" t="s">
        <v>9033</v>
      </c>
      <c r="F1538" s="2004"/>
      <c r="G1538" s="2004">
        <f>IF('2J'!G16="","##BLANK",'2J'!G16)</f>
        <v>2.7669999999999999</v>
      </c>
    </row>
    <row r="1539" spans="2:7">
      <c r="B1539" s="848" t="str">
        <f>+'2J'!AG6</f>
        <v>BC30449DTM</v>
      </c>
      <c r="D1539" s="2004"/>
      <c r="E1539" s="1658" t="s">
        <v>9033</v>
      </c>
      <c r="F1539" s="2004"/>
      <c r="G1539" s="2004">
        <f>IF('2J'!H6="","##BLANK",'2J'!H6)</f>
        <v>0</v>
      </c>
    </row>
    <row r="1540" spans="2:7">
      <c r="B1540" s="848" t="str">
        <f>+'2J'!AG7</f>
        <v>BC30449PSM</v>
      </c>
      <c r="D1540" s="2004"/>
      <c r="E1540" s="1658" t="s">
        <v>9033</v>
      </c>
      <c r="F1540" s="2004"/>
      <c r="G1540" s="2004">
        <f>IF('2J'!H7="","##BLANK",'2J'!H7)</f>
        <v>0</v>
      </c>
    </row>
    <row r="1541" spans="2:7">
      <c r="B1541" s="848" t="str">
        <f>+'2J'!AG8</f>
        <v>BC30449OM</v>
      </c>
      <c r="D1541" s="2004"/>
      <c r="E1541" s="1658" t="s">
        <v>9033</v>
      </c>
      <c r="F1541" s="2004"/>
      <c r="G1541" s="2004">
        <f>IF('2J'!H8="","##BLANK",'2J'!H8)</f>
        <v>0</v>
      </c>
    </row>
    <row r="1542" spans="2:7">
      <c r="B1542" s="848" t="str">
        <f>+'2J'!AG9</f>
        <v>BC30449TM</v>
      </c>
      <c r="D1542" s="2004"/>
      <c r="E1542" s="1658" t="s">
        <v>9033</v>
      </c>
      <c r="F1542" s="2004"/>
      <c r="G1542" s="2004">
        <f>IF('2J'!H9="","##BLANK",'2J'!H9)</f>
        <v>0</v>
      </c>
    </row>
    <row r="1543" spans="2:7">
      <c r="B1543" s="848" t="str">
        <f>+'2J'!AG12</f>
        <v>BC30849FCM</v>
      </c>
      <c r="D1543" s="2004"/>
      <c r="E1543" s="1658" t="s">
        <v>9033</v>
      </c>
      <c r="F1543" s="2004"/>
      <c r="G1543" s="2004">
        <f>IF('2J'!H12="","##BLANK",'2J'!H12)</f>
        <v>0</v>
      </c>
    </row>
    <row r="1544" spans="2:7">
      <c r="B1544" s="848" t="str">
        <f>+'2J'!AG13</f>
        <v>BC30849SWM</v>
      </c>
      <c r="D1544" s="2004"/>
      <c r="E1544" s="1658" t="s">
        <v>9033</v>
      </c>
      <c r="F1544" s="2004"/>
      <c r="G1544" s="2004">
        <f>IF('2J'!H13="","##BLANK",'2J'!H13)</f>
        <v>0</v>
      </c>
    </row>
    <row r="1545" spans="2:7">
      <c r="B1545" s="848" t="str">
        <f>+'2J'!AG14</f>
        <v>BC30849PSM</v>
      </c>
      <c r="D1545" s="2004"/>
      <c r="E1545" s="1658" t="s">
        <v>9033</v>
      </c>
      <c r="F1545" s="2004"/>
      <c r="G1545" s="2004">
        <f>IF('2J'!H14="","##BLANK",'2J'!H14)</f>
        <v>0</v>
      </c>
    </row>
    <row r="1546" spans="2:7">
      <c r="B1546" s="848" t="str">
        <f>+'2J'!AG15</f>
        <v>BC30849OM</v>
      </c>
      <c r="D1546" s="2004"/>
      <c r="E1546" s="1658" t="s">
        <v>9033</v>
      </c>
      <c r="F1546" s="2004"/>
      <c r="G1546" s="2004">
        <f>IF('2J'!H15="","##BLANK",'2J'!H15)</f>
        <v>0</v>
      </c>
    </row>
    <row r="1547" spans="2:7">
      <c r="B1547" s="848" t="str">
        <f>+'2J'!AG16</f>
        <v>BC30849SCTM</v>
      </c>
      <c r="D1547" s="2004"/>
      <c r="E1547" s="1658" t="s">
        <v>9033</v>
      </c>
      <c r="F1547" s="2004"/>
      <c r="G1547" s="2004">
        <f>IF('2J'!H16="","##BLANK",'2J'!H16)</f>
        <v>0</v>
      </c>
    </row>
    <row r="1548" spans="2:7">
      <c r="B1548" s="848" t="str">
        <f>+'2K'!Z7</f>
        <v>BC11270DIS</v>
      </c>
      <c r="D1548" s="2004"/>
      <c r="E1548" s="1658" t="s">
        <v>9033</v>
      </c>
      <c r="F1548" s="2004"/>
      <c r="G1548" s="2004">
        <f>IF('2K'!G7="","##BLANK",'2K'!G7)</f>
        <v>3.0000000000000001E-3</v>
      </c>
    </row>
    <row r="1549" spans="2:7">
      <c r="B1549" s="848" t="str">
        <f>+'2K'!Z8</f>
        <v>BC11270GROSS</v>
      </c>
      <c r="D1549" s="2004"/>
      <c r="E1549" s="1658" t="s">
        <v>9033</v>
      </c>
      <c r="F1549" s="2004"/>
      <c r="G1549" s="2004">
        <f>IF('2K'!G8="","##BLANK",'2K'!G8)</f>
        <v>3.1160000000000001</v>
      </c>
    </row>
    <row r="1550" spans="2:7">
      <c r="B1550" s="848" t="str">
        <f>+'2K'!Z14</f>
        <v>BC11270VARCFWD</v>
      </c>
      <c r="D1550" s="2004"/>
      <c r="E1550" s="1658" t="s">
        <v>9033</v>
      </c>
      <c r="F1550" s="2004"/>
      <c r="G1550" s="2004">
        <f>IF('2K'!G14="","##BLANK",'2K'!G14)</f>
        <v>-1.302</v>
      </c>
    </row>
    <row r="1551" spans="2:7">
      <c r="B1551" s="848" t="str">
        <f>+'2K'!AA7</f>
        <v>BC11370DIS</v>
      </c>
      <c r="D1551" s="2004"/>
      <c r="E1551" s="1658" t="s">
        <v>9033</v>
      </c>
      <c r="F1551" s="2004"/>
      <c r="G1551" s="2004">
        <f>IF('2K'!H7="","##BLANK",'2K'!H7)</f>
        <v>6.3E-2</v>
      </c>
    </row>
    <row r="1552" spans="2:7">
      <c r="B1552" s="848" t="str">
        <f>+'2K'!AA8</f>
        <v>BC11370GROSS</v>
      </c>
      <c r="D1552" s="2004"/>
      <c r="E1552" s="1658" t="s">
        <v>9033</v>
      </c>
      <c r="F1552" s="2004"/>
      <c r="G1552" s="2004">
        <f>IF('2K'!H8="","##BLANK",'2K'!H8)</f>
        <v>5.6929999999999996</v>
      </c>
    </row>
    <row r="1553" spans="2:7">
      <c r="B1553" s="848" t="str">
        <f>+'2K'!AA14</f>
        <v>BC11370VARCFWD</v>
      </c>
      <c r="D1553" s="2004"/>
      <c r="E1553" s="1658" t="s">
        <v>9033</v>
      </c>
      <c r="F1553" s="2004"/>
      <c r="G1553" s="2004">
        <f>IF('2K'!H14="","##BLANK",'2K'!H14)</f>
        <v>2.9259999999999997</v>
      </c>
    </row>
    <row r="1554" spans="2:7" s="2004" customFormat="1">
      <c r="B1554" s="1759" t="str">
        <f>+'2K'!AB6</f>
        <v>BC11470</v>
      </c>
      <c r="C1554" s="1322"/>
      <c r="E1554" s="1658" t="s">
        <v>9033</v>
      </c>
      <c r="G1554" s="2004">
        <f>IF('2K'!I6="","##BLANK",'2K'!I6)</f>
        <v>8.7430000000000003</v>
      </c>
    </row>
    <row r="1555" spans="2:7">
      <c r="B1555" s="1759" t="str">
        <f>+'2K'!AB7</f>
        <v>BC11470DIS</v>
      </c>
      <c r="D1555" s="2004"/>
      <c r="E1555" s="1658" t="s">
        <v>9033</v>
      </c>
      <c r="F1555" s="2004"/>
      <c r="G1555" s="2004">
        <f>IF('2K'!I7="","##BLANK",'2K'!I7)</f>
        <v>6.6000000000000003E-2</v>
      </c>
    </row>
    <row r="1556" spans="2:7">
      <c r="B1556" s="1759" t="str">
        <f>+'2K'!AB8</f>
        <v>BC11470GROSS</v>
      </c>
      <c r="D1556" s="2004"/>
      <c r="E1556" s="1658" t="s">
        <v>9033</v>
      </c>
      <c r="F1556" s="2004"/>
      <c r="G1556" s="2004">
        <f>IF('2K'!I8="","##BLANK",'2K'!I8)</f>
        <v>8.8089999999999993</v>
      </c>
    </row>
    <row r="1557" spans="2:7">
      <c r="B1557" s="1759" t="str">
        <f>+'2K'!AB11</f>
        <v>BC11470VARBFWD</v>
      </c>
      <c r="D1557" s="2004"/>
      <c r="E1557" s="1658" t="s">
        <v>9033</v>
      </c>
      <c r="F1557" s="2004"/>
      <c r="G1557" s="2004">
        <f>IF('2K'!I11="","##BLANK",'2K'!I11)</f>
        <v>6.4740000000000002</v>
      </c>
    </row>
    <row r="1558" spans="2:7">
      <c r="B1558" s="1759" t="str">
        <f>+'2K'!AB13</f>
        <v>BC11470NRC</v>
      </c>
      <c r="D1558" s="2004"/>
      <c r="E1558" s="1658" t="s">
        <v>9033</v>
      </c>
      <c r="F1558" s="2004"/>
      <c r="G1558" s="2004">
        <f>IF('2K'!I13="","##BLANK",'2K'!I13)</f>
        <v>-7.1850000000000005</v>
      </c>
    </row>
    <row r="1559" spans="2:7">
      <c r="B1559" s="1759" t="str">
        <f>+'2K'!AB14</f>
        <v>BC11470VARCFWD</v>
      </c>
      <c r="D1559" s="2004"/>
      <c r="E1559" s="1658" t="s">
        <v>9033</v>
      </c>
      <c r="F1559" s="2004"/>
      <c r="G1559" s="2004">
        <f>IF('2K'!I14="","##BLANK",'2K'!I14)</f>
        <v>8.097999999999999</v>
      </c>
    </row>
    <row r="1560" spans="2:7">
      <c r="B1560" s="2154" t="str">
        <f>'3D'!AE7</f>
        <v>SIMAMP6_QL1</v>
      </c>
      <c r="D1560" s="2004"/>
      <c r="E1560" s="1658" t="s">
        <v>9033</v>
      </c>
      <c r="F1560" s="2004"/>
      <c r="G1560" s="2004">
        <f>IF('3D'!F7="","##BLANK",'3D'!F7)</f>
        <v>4.32</v>
      </c>
    </row>
    <row r="1561" spans="2:7">
      <c r="B1561" s="2154" t="str">
        <f>'3D'!AE8</f>
        <v>SIMAMP6_QL2</v>
      </c>
      <c r="D1561" s="2004"/>
      <c r="E1561" s="1658" t="s">
        <v>9033</v>
      </c>
      <c r="F1561" s="2004"/>
      <c r="G1561" s="2004">
        <f>IF('3D'!F8="","##BLANK",'3D'!F8)</f>
        <v>4.01</v>
      </c>
    </row>
    <row r="1562" spans="2:7">
      <c r="B1562" s="2154" t="str">
        <f>'3D'!AE9</f>
        <v>SIMAMP6_QL3</v>
      </c>
      <c r="D1562" s="2004"/>
      <c r="E1562" s="1658" t="s">
        <v>9033</v>
      </c>
      <c r="F1562" s="2004"/>
      <c r="G1562" s="2004">
        <f>IF('3D'!F9="","##BLANK",'3D'!F9)</f>
        <v>4.26</v>
      </c>
    </row>
    <row r="1563" spans="2:7">
      <c r="B1563" s="2154" t="str">
        <f>'3D'!AE10</f>
        <v>SIMAMP6_QL4</v>
      </c>
      <c r="D1563" s="2004"/>
      <c r="E1563" s="1658" t="s">
        <v>9033</v>
      </c>
      <c r="F1563" s="2004"/>
      <c r="G1563" s="2004">
        <f>IF('3D'!F10="","##BLANK",'3D'!F10)</f>
        <v>4.43</v>
      </c>
    </row>
    <row r="1564" spans="2:7">
      <c r="B1564" s="2154" t="str">
        <f>'3D'!AE11</f>
        <v>SIMAMP6_QLS</v>
      </c>
      <c r="D1564" s="2004"/>
      <c r="E1564" s="1658" t="s">
        <v>9033</v>
      </c>
      <c r="F1564" s="2004"/>
      <c r="G1564" s="2004">
        <f>IF('3D'!F11="","##BLANK",'3D'!F11)</f>
        <v>63.75</v>
      </c>
    </row>
    <row r="1565" spans="2:7">
      <c r="B1565" s="2154" t="str">
        <f>'3D'!AE12</f>
        <v>SIMAMP6_CS</v>
      </c>
      <c r="D1565" s="2004"/>
      <c r="E1565" s="1658" t="s">
        <v>9033</v>
      </c>
      <c r="F1565" s="2004"/>
      <c r="G1565" s="2004">
        <f>IF('3D'!F12="","##BLANK",'3D'!F12)</f>
        <v>16.579999999999998</v>
      </c>
    </row>
    <row r="1566" spans="2:7">
      <c r="B1566" s="2154" t="str">
        <f>'3D'!AE13</f>
        <v>SIMAMP6_QNS</v>
      </c>
      <c r="D1566" s="2004"/>
      <c r="E1566" s="1658" t="s">
        <v>9033</v>
      </c>
      <c r="F1566" s="2004"/>
      <c r="G1566" s="2004">
        <f>IF('3D'!F13="","##BLANK",'3D'!F13)</f>
        <v>19.473333333333333</v>
      </c>
    </row>
    <row r="1567" spans="2:7">
      <c r="B1567" s="2154" t="str">
        <f>'3D'!AE14</f>
        <v>KI001U</v>
      </c>
      <c r="D1567" s="2004"/>
      <c r="E1567" s="1658" t="s">
        <v>9033</v>
      </c>
      <c r="F1567" s="2004"/>
      <c r="G1567" s="2004">
        <f>IF('3D'!F14="","##BLANK",'3D'!F14)</f>
        <v>83.223333333333329</v>
      </c>
    </row>
    <row r="1568" spans="2:7">
      <c r="B1568" s="848" t="str">
        <f>+'4A'!AF8</f>
        <v>WHV001U</v>
      </c>
      <c r="D1568" s="2004"/>
      <c r="E1568" s="1658" t="s">
        <v>9033</v>
      </c>
      <c r="F1568" s="2004"/>
      <c r="G1568" s="2004">
        <f>IF('4A'!G8="","##BLANK",'4A'!G8)</f>
        <v>63.552999999999997</v>
      </c>
    </row>
    <row r="1569" spans="2:8">
      <c r="B1569" s="848" t="str">
        <f>+'4A'!AF9</f>
        <v>BN2304</v>
      </c>
      <c r="D1569" s="2004"/>
      <c r="E1569" s="1658" t="s">
        <v>9033</v>
      </c>
      <c r="F1569" s="2004"/>
      <c r="G1569" s="2004">
        <f>IF('4A'!G9="","##BLANK",'4A'!G9)</f>
        <v>158.22999999999999</v>
      </c>
      <c r="H1569" s="2004"/>
    </row>
    <row r="1570" spans="2:8">
      <c r="B1570" s="848" t="str">
        <f>+'4A'!AF15</f>
        <v>BN2370</v>
      </c>
      <c r="D1570" s="2004"/>
      <c r="E1570" s="1658" t="s">
        <v>9033</v>
      </c>
      <c r="F1570" s="2004"/>
      <c r="G1570" s="2004">
        <f>IF('4A'!G15="","##BLANK",'4A'!G15)</f>
        <v>0.28599999999999998</v>
      </c>
      <c r="H1570" s="2004"/>
    </row>
    <row r="1571" spans="2:8">
      <c r="B1571" s="848" t="str">
        <f>+'4A'!AF16</f>
        <v>BN2360</v>
      </c>
      <c r="D1571" s="2004"/>
      <c r="E1571" s="1658" t="s">
        <v>9033</v>
      </c>
      <c r="F1571" s="2004"/>
      <c r="G1571" s="2004">
        <f>IF('4A'!G16="","##BLANK",'4A'!G16)</f>
        <v>59.939</v>
      </c>
      <c r="H1571" s="2004"/>
    </row>
    <row r="1572" spans="2:8">
      <c r="B1572" s="848" t="str">
        <f>+'4A'!AF17</f>
        <v>BN1000</v>
      </c>
      <c r="C1572" s="848"/>
      <c r="D1572" s="2004"/>
      <c r="E1572" s="1658" t="s">
        <v>9033</v>
      </c>
      <c r="F1572" s="2004"/>
      <c r="G1572" s="2004">
        <f>IF('4A'!G17="","##BLANK",'4A'!G17)</f>
        <v>1246.04</v>
      </c>
      <c r="H1572" s="848"/>
    </row>
    <row r="1573" spans="2:8">
      <c r="B1573" s="848" t="str">
        <f>+'4A'!AG8</f>
        <v>WHV001M</v>
      </c>
      <c r="D1573" s="2004"/>
      <c r="E1573" s="1658" t="s">
        <v>9033</v>
      </c>
      <c r="F1573" s="2004"/>
      <c r="G1573" s="2004">
        <f>IF('4A'!H8="","##BLANK",'4A'!H8)</f>
        <v>54.232999999999997</v>
      </c>
      <c r="H1573" s="2004"/>
    </row>
    <row r="1574" spans="2:8">
      <c r="B1574" s="848" t="str">
        <f>+'4A'!AG9</f>
        <v>BN2305</v>
      </c>
      <c r="D1574" s="2004"/>
      <c r="E1574" s="1658" t="s">
        <v>9033</v>
      </c>
      <c r="F1574" s="2004"/>
      <c r="G1574" s="2004">
        <f>IF('4A'!H9="","##BLANK",'4A'!H9)</f>
        <v>112.52</v>
      </c>
      <c r="H1574" s="2004"/>
    </row>
    <row r="1575" spans="2:8">
      <c r="B1575" s="848" t="str">
        <f>+'4A'!AG15</f>
        <v>BN2370S</v>
      </c>
      <c r="D1575" s="2004"/>
      <c r="E1575" s="1658" t="s">
        <v>9033</v>
      </c>
      <c r="F1575" s="2004"/>
      <c r="G1575" s="2004">
        <f>IF('4A'!H15="","##BLANK",'4A'!H15)</f>
        <v>0</v>
      </c>
      <c r="H1575" s="2004"/>
    </row>
    <row r="1576" spans="2:8">
      <c r="B1576" s="848" t="str">
        <f>+'4A'!AG16</f>
        <v>BN2360S</v>
      </c>
      <c r="D1576" s="2004"/>
      <c r="E1576" s="1658" t="s">
        <v>9033</v>
      </c>
      <c r="F1576" s="2004"/>
      <c r="G1576" s="2004">
        <f>IF('4A'!H16="","##BLANK",'4A'!H16)</f>
        <v>0</v>
      </c>
      <c r="H1576" s="2004"/>
    </row>
    <row r="1577" spans="2:8">
      <c r="B1577" s="848" t="str">
        <f>+'4B'!AJ7</f>
        <v>W3026MT</v>
      </c>
      <c r="D1577" s="2004"/>
      <c r="E1577" s="1658" t="s">
        <v>9033</v>
      </c>
      <c r="F1577" s="2004"/>
      <c r="G1577" s="2004">
        <f>IF('4B'!G7="","##BLANK",'4B'!G7)</f>
        <v>436.03100000000006</v>
      </c>
      <c r="H1577" s="2004"/>
    </row>
    <row r="1578" spans="2:8">
      <c r="B1578" s="848" t="str">
        <f>+'4B'!AJ10</f>
        <v>CRW004</v>
      </c>
      <c r="D1578" s="2004"/>
      <c r="E1578" s="1658" t="s">
        <v>9033</v>
      </c>
      <c r="F1578" s="2004"/>
      <c r="G1578" s="2004">
        <f>IF('4B'!G10="","##BLANK",'4B'!G10)</f>
        <v>1.4550000000000001</v>
      </c>
      <c r="H1578" s="2004"/>
    </row>
    <row r="1579" spans="2:8">
      <c r="B1579" s="848" t="str">
        <f>+'4B'!AJ11</f>
        <v>CRW003</v>
      </c>
      <c r="D1579" s="2004"/>
      <c r="E1579" s="1658" t="s">
        <v>9033</v>
      </c>
      <c r="F1579" s="2004"/>
      <c r="G1579" s="2004">
        <f>IF('4B'!G11="","##BLANK",'4B'!G11)</f>
        <v>6.1189999999999998</v>
      </c>
      <c r="H1579" s="2004"/>
    </row>
    <row r="1580" spans="2:8">
      <c r="B1580" s="848" t="str">
        <f>+'4B'!AJ12</f>
        <v>CRW005</v>
      </c>
      <c r="D1580" s="2004"/>
      <c r="E1580" s="1658" t="s">
        <v>9033</v>
      </c>
      <c r="F1580" s="2004"/>
      <c r="G1580" s="2004">
        <f>IF('4B'!G12="","##BLANK",'4B'!G12)</f>
        <v>1.726</v>
      </c>
      <c r="H1580" s="2004"/>
    </row>
    <row r="1581" spans="2:8">
      <c r="B1581" s="848" t="str">
        <f>+'4B'!AJ13</f>
        <v>CRW006</v>
      </c>
      <c r="D1581" s="2004"/>
      <c r="E1581" s="1658" t="s">
        <v>9033</v>
      </c>
      <c r="F1581" s="2004"/>
      <c r="G1581" s="2004">
        <f>IF('4B'!G13="","##BLANK",'4B'!G13)</f>
        <v>9.3000000000000007</v>
      </c>
      <c r="H1581" s="2004"/>
    </row>
    <row r="1582" spans="2:8">
      <c r="B1582" s="848" t="str">
        <f>+'4B'!AJ16</f>
        <v>CRW011</v>
      </c>
      <c r="D1582" s="2004"/>
      <c r="E1582" s="1658" t="s">
        <v>9033</v>
      </c>
      <c r="F1582" s="2004"/>
      <c r="G1582" s="2004">
        <f>IF('4B'!G16="","##BLANK",'4B'!G16)</f>
        <v>-1.159</v>
      </c>
      <c r="H1582" s="2004"/>
    </row>
    <row r="1583" spans="2:8">
      <c r="B1583" s="848" t="str">
        <f>+'4B'!AJ19</f>
        <v>CRW012</v>
      </c>
      <c r="D1583" s="2004"/>
      <c r="E1583" s="1658" t="s">
        <v>9033</v>
      </c>
      <c r="F1583" s="2004"/>
      <c r="G1583" s="2004">
        <f>IF('4B'!G19="","##BLANK",'4B'!G19)</f>
        <v>425.57200000000006</v>
      </c>
      <c r="H1583" s="2004"/>
    </row>
    <row r="1584" spans="2:8">
      <c r="B1584" s="848" t="str">
        <f>+'4B'!AJ20</f>
        <v>CRW013</v>
      </c>
      <c r="D1584" s="2004"/>
      <c r="E1584" s="1658" t="s">
        <v>9033</v>
      </c>
      <c r="F1584" s="2004"/>
      <c r="G1584" s="2004">
        <f>IF('4B'!G20="","##BLANK",'4B'!G20)</f>
        <v>358.26499999999999</v>
      </c>
      <c r="H1584" s="2004"/>
    </row>
    <row r="1585" spans="2:7">
      <c r="B1585" s="848" t="str">
        <f>+'4B'!AJ23</f>
        <v>CRW014</v>
      </c>
      <c r="D1585" s="2004"/>
      <c r="E1585" s="1658" t="s">
        <v>9033</v>
      </c>
      <c r="F1585" s="2004"/>
      <c r="G1585" s="2004">
        <f>IF('4B'!G23="","##BLANK",'4B'!G23)</f>
        <v>284.20100000000002</v>
      </c>
    </row>
    <row r="1586" spans="2:7">
      <c r="B1586" s="848" t="str">
        <f>+'4B'!AK7</f>
        <v>S3040MT</v>
      </c>
      <c r="D1586" s="2004"/>
      <c r="E1586" s="1658" t="s">
        <v>9033</v>
      </c>
      <c r="F1586" s="2004"/>
      <c r="G1586" s="2004">
        <f>IF('4B'!H7="","##BLANK",'4B'!H7)</f>
        <v>514.05600000000004</v>
      </c>
    </row>
    <row r="1587" spans="2:7">
      <c r="B1587" s="848" t="str">
        <f>+'4B'!AK10</f>
        <v>CRS004</v>
      </c>
      <c r="D1587" s="2004"/>
      <c r="E1587" s="1658" t="s">
        <v>9033</v>
      </c>
      <c r="F1587" s="2004"/>
      <c r="G1587" s="2004">
        <f>IF('4B'!H10="","##BLANK",'4B'!H10)</f>
        <v>0</v>
      </c>
    </row>
    <row r="1588" spans="2:7">
      <c r="B1588" s="848" t="str">
        <f>+'4B'!AK11</f>
        <v>CRS003</v>
      </c>
      <c r="D1588" s="2004"/>
      <c r="E1588" s="1658" t="s">
        <v>9033</v>
      </c>
      <c r="F1588" s="2004"/>
      <c r="G1588" s="2004">
        <f>IF('4B'!H11="","##BLANK",'4B'!H11)</f>
        <v>6.2480000000000002</v>
      </c>
    </row>
    <row r="1589" spans="2:7">
      <c r="B1589" s="848" t="str">
        <f>+'4B'!AK12</f>
        <v>CRS005</v>
      </c>
      <c r="D1589" s="2004"/>
      <c r="E1589" s="1658" t="s">
        <v>9033</v>
      </c>
      <c r="F1589" s="2004"/>
      <c r="G1589" s="2004">
        <f>IF('4B'!H12="","##BLANK",'4B'!H12)</f>
        <v>2.4239999999999999</v>
      </c>
    </row>
    <row r="1590" spans="2:7">
      <c r="B1590" s="848" t="str">
        <f>+'4B'!AK13</f>
        <v>CRS006</v>
      </c>
      <c r="D1590" s="2004"/>
      <c r="E1590" s="1658" t="s">
        <v>9033</v>
      </c>
      <c r="F1590" s="2004"/>
      <c r="G1590" s="2004">
        <f>IF('4B'!H13="","##BLANK",'4B'!H13)</f>
        <v>8.6720000000000006</v>
      </c>
    </row>
    <row r="1591" spans="2:7">
      <c r="B1591" s="848" t="str">
        <f>+'4B'!AK16</f>
        <v>CRS011</v>
      </c>
      <c r="D1591" s="2004"/>
      <c r="E1591" s="1658" t="s">
        <v>9033</v>
      </c>
      <c r="F1591" s="2004"/>
      <c r="G1591" s="2004">
        <f>IF('4B'!H16="","##BLANK",'4B'!H16)</f>
        <v>-5.1279999999999992</v>
      </c>
    </row>
    <row r="1592" spans="2:7">
      <c r="B1592" s="848" t="str">
        <f>+'4B'!AK19</f>
        <v>CRS012</v>
      </c>
      <c r="D1592" s="2004"/>
      <c r="E1592" s="1658" t="s">
        <v>9033</v>
      </c>
      <c r="F1592" s="2004"/>
      <c r="G1592" s="2004">
        <f>IF('4B'!H19="","##BLANK",'4B'!H19)</f>
        <v>500.25600000000003</v>
      </c>
    </row>
    <row r="1593" spans="2:7">
      <c r="B1593" s="848" t="str">
        <f>+'4B'!AK20</f>
        <v>CRS013</v>
      </c>
      <c r="D1593" s="2004"/>
      <c r="E1593" s="1658" t="s">
        <v>9033</v>
      </c>
      <c r="F1593" s="2004"/>
      <c r="G1593" s="2004">
        <f>IF('4B'!H20="","##BLANK",'4B'!H20)</f>
        <v>421.13900000000001</v>
      </c>
    </row>
    <row r="1594" spans="2:7">
      <c r="B1594" s="848" t="str">
        <f>+'4B'!AK23</f>
        <v>CRS014</v>
      </c>
      <c r="D1594" s="2004"/>
      <c r="E1594" s="1658" t="s">
        <v>9033</v>
      </c>
      <c r="F1594" s="2004"/>
      <c r="G1594" s="2004">
        <f>IF('4B'!H23="","##BLANK",'4B'!H23)</f>
        <v>387.64699999999999</v>
      </c>
    </row>
    <row r="1595" spans="2:7">
      <c r="B1595" s="848" t="str">
        <f>+'4B'!AL10</f>
        <v>CRS004TTT</v>
      </c>
      <c r="D1595" s="2004"/>
      <c r="E1595" s="1658" t="s">
        <v>9033</v>
      </c>
      <c r="F1595" s="2004"/>
      <c r="G1595" s="2004" t="str">
        <f>IF('4B'!I10="","##BLANK",'4B'!I10)</f>
        <v>##BLANK</v>
      </c>
    </row>
    <row r="1596" spans="2:7">
      <c r="B1596" s="848" t="str">
        <f>+'4B'!AL11</f>
        <v>CRS003TTT</v>
      </c>
      <c r="D1596" s="2004"/>
      <c r="E1596" s="1658" t="s">
        <v>9033</v>
      </c>
      <c r="F1596" s="2004"/>
      <c r="G1596" s="2004" t="str">
        <f>IF('4B'!I11="","##BLANK",'4B'!I11)</f>
        <v>##BLANK</v>
      </c>
    </row>
    <row r="1597" spans="2:7">
      <c r="B1597" s="848" t="str">
        <f>+'4B'!AL12</f>
        <v>CRS005TTT</v>
      </c>
      <c r="D1597" s="2004"/>
      <c r="E1597" s="1658" t="s">
        <v>9033</v>
      </c>
      <c r="F1597" s="2004"/>
      <c r="G1597" s="2004" t="str">
        <f>IF('4B'!I12="","##BLANK",'4B'!I12)</f>
        <v>##BLANK</v>
      </c>
    </row>
    <row r="1598" spans="2:7">
      <c r="B1598" s="848" t="str">
        <f>+'4B'!AL13</f>
        <v>CRS006TTT</v>
      </c>
      <c r="D1598" s="2004"/>
      <c r="E1598" s="1658" t="s">
        <v>9033</v>
      </c>
      <c r="F1598" s="2004"/>
      <c r="G1598" s="2004">
        <f>IF('4B'!I13="","##BLANK",'4B'!I13)</f>
        <v>0</v>
      </c>
    </row>
    <row r="1599" spans="2:7">
      <c r="B1599" s="848" t="str">
        <f>+'4B'!AL16</f>
        <v>CRS011TTT</v>
      </c>
      <c r="D1599" s="2004"/>
      <c r="E1599" s="1658" t="s">
        <v>9033</v>
      </c>
      <c r="F1599" s="2004"/>
      <c r="G1599" s="2004" t="str">
        <f>IF('4B'!I16="","##BLANK",'4B'!I16)</f>
        <v>##BLANK</v>
      </c>
    </row>
    <row r="1600" spans="2:7">
      <c r="B1600" s="848" t="str">
        <f>+'4B'!AL19</f>
        <v>CRS012TTT</v>
      </c>
      <c r="D1600" s="2004"/>
      <c r="E1600" s="1658" t="s">
        <v>9033</v>
      </c>
      <c r="F1600" s="2004"/>
      <c r="G1600" s="2004">
        <f>IF('4B'!I19="","##BLANK",'4B'!I19)</f>
        <v>0</v>
      </c>
    </row>
    <row r="1601" spans="2:7">
      <c r="B1601" s="848" t="str">
        <f>+'4B'!AL20</f>
        <v>CRS013TTT</v>
      </c>
      <c r="D1601" s="2004"/>
      <c r="E1601" s="1658" t="s">
        <v>9033</v>
      </c>
      <c r="F1601" s="2004"/>
      <c r="G1601" s="2004" t="str">
        <f>IF('4B'!I20="","##BLANK",'4B'!I20)</f>
        <v>##BLANK</v>
      </c>
    </row>
    <row r="1602" spans="2:7">
      <c r="B1602" s="848" t="str">
        <f>+'4B'!AL23</f>
        <v>CRS014TTT</v>
      </c>
      <c r="D1602" s="2004"/>
      <c r="E1602" s="1658" t="s">
        <v>9033</v>
      </c>
      <c r="F1602" s="2004"/>
      <c r="G1602" s="2004" t="str">
        <f>IF('4B'!I23="","##BLANK",'4B'!I23)</f>
        <v>##BLANK</v>
      </c>
    </row>
    <row r="1603" spans="2:7">
      <c r="B1603" s="848" t="str">
        <f>+'4B'!AM7</f>
        <v>W3026MTCUM</v>
      </c>
      <c r="D1603" s="2004"/>
      <c r="E1603" s="1658" t="s">
        <v>9033</v>
      </c>
      <c r="F1603" s="2004"/>
      <c r="G1603" s="644">
        <f>IF('4B'!J7="","##BLANK",'4B'!J7)</f>
        <v>1853.5</v>
      </c>
    </row>
    <row r="1604" spans="2:7">
      <c r="B1604" s="848" t="str">
        <f>+'4B'!AM10</f>
        <v>CRW004CUM</v>
      </c>
      <c r="D1604" s="2004"/>
      <c r="E1604" s="1658" t="s">
        <v>9033</v>
      </c>
      <c r="F1604" s="2004"/>
      <c r="G1604" s="2004">
        <f>IF('4B'!J10="","##BLANK",'4B'!J10)</f>
        <v>9.8670000000000009</v>
      </c>
    </row>
    <row r="1605" spans="2:7">
      <c r="B1605" s="848" t="str">
        <f>+'4B'!AM11</f>
        <v>CRW003CUM</v>
      </c>
      <c r="D1605" s="2004"/>
      <c r="E1605" s="1658" t="s">
        <v>9033</v>
      </c>
      <c r="F1605" s="2004"/>
      <c r="G1605" s="2004">
        <f>IF('4B'!J11="","##BLANK",'4B'!J11)</f>
        <v>30.51</v>
      </c>
    </row>
    <row r="1606" spans="2:7">
      <c r="B1606" s="848" t="str">
        <f>+'4B'!AM12</f>
        <v>CRW005CUM</v>
      </c>
      <c r="D1606" s="2004"/>
      <c r="E1606" s="1658" t="s">
        <v>9033</v>
      </c>
      <c r="F1606" s="2004"/>
      <c r="G1606" s="2004">
        <f>IF('4B'!J12="","##BLANK",'4B'!J12)</f>
        <v>5.4960000000000004</v>
      </c>
    </row>
    <row r="1607" spans="2:7">
      <c r="B1607" s="848" t="str">
        <f>+'4B'!AM13</f>
        <v>CRW006CUM</v>
      </c>
      <c r="D1607" s="2004"/>
      <c r="E1607" s="1658" t="s">
        <v>9033</v>
      </c>
      <c r="F1607" s="2004"/>
      <c r="G1607" s="2004">
        <f>IF('4B'!J13="","##BLANK",'4B'!J13)</f>
        <v>45.873000000000005</v>
      </c>
    </row>
    <row r="1608" spans="2:7">
      <c r="B1608" s="848" t="str">
        <f>+'4B'!AM16</f>
        <v>CRW011CUM</v>
      </c>
      <c r="D1608" s="2004"/>
      <c r="E1608" s="1658" t="s">
        <v>9033</v>
      </c>
      <c r="F1608" s="2004"/>
      <c r="G1608" s="2004">
        <f>IF('4B'!J16="","##BLANK",'4B'!J16)</f>
        <v>9.0169999999999995</v>
      </c>
    </row>
    <row r="1609" spans="2:7">
      <c r="B1609" s="848" t="str">
        <f>+'4B'!AM19</f>
        <v>CRW012CUM</v>
      </c>
      <c r="D1609" s="2004"/>
      <c r="E1609" s="1658" t="s">
        <v>9033</v>
      </c>
      <c r="F1609" s="2004"/>
      <c r="G1609" s="2004">
        <f>IF('4B'!J19="","##BLANK",'4B'!J19)</f>
        <v>1816.644</v>
      </c>
    </row>
    <row r="1610" spans="2:7">
      <c r="B1610" s="848" t="str">
        <f>+'4B'!AM20</f>
        <v>CRW013CUM</v>
      </c>
      <c r="D1610" s="2004"/>
      <c r="E1610" s="1658" t="s">
        <v>9033</v>
      </c>
      <c r="F1610" s="2004"/>
      <c r="G1610" s="2004">
        <f>IF('4B'!J20="","##BLANK",'4B'!J20)</f>
        <v>1610.741</v>
      </c>
    </row>
    <row r="1611" spans="2:7">
      <c r="B1611" s="848" t="str">
        <f>+'4B'!AM23</f>
        <v>CRW014CUM</v>
      </c>
      <c r="D1611" s="2004"/>
      <c r="E1611" s="1658" t="s">
        <v>9033</v>
      </c>
      <c r="F1611" s="2004"/>
      <c r="G1611" s="2004">
        <f>IF('4B'!J23="","##BLANK",'4B'!J23)</f>
        <v>1483.671</v>
      </c>
    </row>
    <row r="1612" spans="2:7">
      <c r="B1612" s="848" t="str">
        <f>+'4B'!AN7</f>
        <v>S3040MTCUM</v>
      </c>
      <c r="D1612" s="2004"/>
      <c r="E1612" s="1658" t="s">
        <v>9033</v>
      </c>
      <c r="F1612" s="2004"/>
      <c r="G1612" s="2004">
        <f>IF('4B'!K7="","##BLANK",'4B'!K7)</f>
        <v>2205.2649999999999</v>
      </c>
    </row>
    <row r="1613" spans="2:7">
      <c r="B1613" s="848" t="str">
        <f>+'4B'!AN10</f>
        <v>CRS004CUM</v>
      </c>
      <c r="D1613" s="2004"/>
      <c r="E1613" s="1658" t="s">
        <v>9033</v>
      </c>
      <c r="F1613" s="2004"/>
      <c r="G1613" s="2004">
        <f>IF('4B'!K10="","##BLANK",'4B'!K10)</f>
        <v>2E-3</v>
      </c>
    </row>
    <row r="1614" spans="2:7">
      <c r="B1614" s="848" t="str">
        <f>+'4B'!AN11</f>
        <v>CRS003CUM</v>
      </c>
      <c r="D1614" s="2004"/>
      <c r="E1614" s="1658" t="s">
        <v>9033</v>
      </c>
      <c r="F1614" s="2004"/>
      <c r="G1614" s="2004">
        <f>IF('4B'!K11="","##BLANK",'4B'!K11)</f>
        <v>34.279000000000003</v>
      </c>
    </row>
    <row r="1615" spans="2:7">
      <c r="B1615" s="848" t="str">
        <f>+'4B'!AN12</f>
        <v>CRS005CUM</v>
      </c>
      <c r="D1615" s="2004"/>
      <c r="E1615" s="1658" t="s">
        <v>9033</v>
      </c>
      <c r="F1615" s="2004"/>
      <c r="G1615" s="2004">
        <f>IF('4B'!K12="","##BLANK",'4B'!K12)</f>
        <v>7.6020000000000003</v>
      </c>
    </row>
    <row r="1616" spans="2:7">
      <c r="B1616" s="848" t="str">
        <f>+'4B'!AN13</f>
        <v>CRS006CUM</v>
      </c>
      <c r="D1616" s="2004"/>
      <c r="E1616" s="1658" t="s">
        <v>9033</v>
      </c>
      <c r="F1616" s="2004"/>
      <c r="G1616" s="2004">
        <f>IF('4B'!K13="","##BLANK",'4B'!K13)</f>
        <v>41.88300000000001</v>
      </c>
    </row>
    <row r="1617" spans="2:7">
      <c r="B1617" s="848" t="str">
        <f>+'4B'!AN16</f>
        <v>CRS011CUM</v>
      </c>
      <c r="D1617" s="2004"/>
      <c r="E1617" s="1658" t="s">
        <v>9033</v>
      </c>
      <c r="F1617" s="2004"/>
      <c r="G1617" s="2004">
        <f>IF('4B'!K16="","##BLANK",'4B'!K16)</f>
        <v>-0.10299999999999976</v>
      </c>
    </row>
    <row r="1618" spans="2:7">
      <c r="B1618" s="848" t="str">
        <f>+'4B'!AN19</f>
        <v>CRS012CUM</v>
      </c>
      <c r="D1618" s="2004"/>
      <c r="E1618" s="1658" t="s">
        <v>9033</v>
      </c>
      <c r="F1618" s="2004"/>
      <c r="G1618" s="2004">
        <f>IF('4B'!K19="","##BLANK",'4B'!K19)</f>
        <v>2163.279</v>
      </c>
    </row>
    <row r="1619" spans="2:7">
      <c r="B1619" s="848" t="str">
        <f>+'4B'!AN20</f>
        <v>CRS013CUM</v>
      </c>
      <c r="D1619" s="2004"/>
      <c r="E1619" s="1658" t="s">
        <v>9033</v>
      </c>
      <c r="F1619" s="2004"/>
      <c r="G1619" s="2004">
        <f>IF('4B'!K20="","##BLANK",'4B'!K20)</f>
        <v>1917.9960000000001</v>
      </c>
    </row>
    <row r="1620" spans="2:7">
      <c r="B1620" s="848" t="str">
        <f>+'4B'!AN23</f>
        <v>CRS014CUM</v>
      </c>
      <c r="D1620" s="2004"/>
      <c r="E1620" s="1658" t="s">
        <v>9033</v>
      </c>
      <c r="F1620" s="2004"/>
      <c r="G1620" s="2004">
        <f>IF('4B'!K23="","##BLANK",'4B'!K23)</f>
        <v>1938.2360000000001</v>
      </c>
    </row>
    <row r="1621" spans="2:7">
      <c r="B1621" s="848" t="str">
        <f>+'4B'!AO7</f>
        <v>S3040TOTTTTCUM</v>
      </c>
      <c r="D1621" s="2004"/>
      <c r="E1621" s="1658" t="s">
        <v>9033</v>
      </c>
      <c r="F1621" s="2004"/>
      <c r="G1621" s="2004" t="str">
        <f>IF('4B'!L7="","##BLANK",'4B'!L7)</f>
        <v>##BLANK</v>
      </c>
    </row>
    <row r="1622" spans="2:7">
      <c r="B1622" s="848" t="str">
        <f>+'4B'!AO10</f>
        <v>CRS004TTTCUM</v>
      </c>
      <c r="D1622" s="2004"/>
      <c r="E1622" s="1658" t="s">
        <v>9033</v>
      </c>
      <c r="F1622" s="2004"/>
      <c r="G1622" s="2004" t="str">
        <f>IF('4B'!L10="","##BLANK",'4B'!L10)</f>
        <v>##BLANK</v>
      </c>
    </row>
    <row r="1623" spans="2:7">
      <c r="B1623" s="848" t="str">
        <f>+'4B'!AO11</f>
        <v>CRS003TTTCUM</v>
      </c>
      <c r="D1623" s="2004"/>
      <c r="E1623" s="1658" t="s">
        <v>9033</v>
      </c>
      <c r="F1623" s="2004"/>
      <c r="G1623" s="2004" t="str">
        <f>IF('4B'!L11="","##BLANK",'4B'!L11)</f>
        <v>##BLANK</v>
      </c>
    </row>
    <row r="1624" spans="2:7">
      <c r="B1624" s="848" t="str">
        <f>+'4B'!AO12</f>
        <v>CRS005TTTCUM</v>
      </c>
      <c r="D1624" s="2004"/>
      <c r="E1624" s="1658" t="s">
        <v>9033</v>
      </c>
      <c r="F1624" s="2004"/>
      <c r="G1624" s="2004" t="str">
        <f>IF('4B'!L12="","##BLANK",'4B'!L12)</f>
        <v>##BLANK</v>
      </c>
    </row>
    <row r="1625" spans="2:7">
      <c r="B1625" s="848" t="str">
        <f>+'4B'!AO13</f>
        <v>CRS006TTTCUM</v>
      </c>
      <c r="D1625" s="2004"/>
      <c r="E1625" s="1658" t="s">
        <v>9033</v>
      </c>
      <c r="F1625" s="2004"/>
      <c r="G1625" s="2004">
        <f>IF('4B'!L13="","##BLANK",'4B'!L13)</f>
        <v>0</v>
      </c>
    </row>
    <row r="1626" spans="2:7">
      <c r="B1626" s="848" t="str">
        <f>+'4B'!AO16</f>
        <v>CRS011TTTCUM</v>
      </c>
      <c r="D1626" s="2004"/>
      <c r="E1626" s="1658" t="s">
        <v>9033</v>
      </c>
      <c r="F1626" s="2004"/>
      <c r="G1626" s="2004" t="str">
        <f>IF('4B'!L16="","##BLANK",'4B'!L16)</f>
        <v>##BLANK</v>
      </c>
    </row>
    <row r="1627" spans="2:7">
      <c r="B1627" s="848" t="str">
        <f>+'4B'!AO19</f>
        <v>CRS012TTTCUM</v>
      </c>
      <c r="D1627" s="2004"/>
      <c r="E1627" s="1658" t="s">
        <v>9033</v>
      </c>
      <c r="F1627" s="2004"/>
      <c r="G1627" s="2004">
        <f>IF('4B'!L19="","##BLANK",'4B'!L19)</f>
        <v>0</v>
      </c>
    </row>
    <row r="1628" spans="2:7">
      <c r="B1628" s="848" t="str">
        <f>+'4B'!AO20</f>
        <v>CRS013TTTCUM</v>
      </c>
      <c r="D1628" s="2004"/>
      <c r="E1628" s="1658" t="s">
        <v>9033</v>
      </c>
      <c r="F1628" s="2004"/>
      <c r="G1628" s="2004" t="str">
        <f>IF('4B'!L20="","##BLANK",'4B'!L20)</f>
        <v>##BLANK</v>
      </c>
    </row>
    <row r="1629" spans="2:7">
      <c r="B1629" s="848" t="str">
        <f>+'4B'!AO23</f>
        <v>CRS014TTTCUM</v>
      </c>
      <c r="D1629" s="2004"/>
      <c r="E1629" s="1658" t="s">
        <v>9033</v>
      </c>
      <c r="F1629" s="2004"/>
      <c r="G1629" s="2004" t="str">
        <f>IF('4B'!L23="","##BLANK",'4B'!L23)</f>
        <v>##BLANK</v>
      </c>
    </row>
    <row r="1630" spans="2:7">
      <c r="B1630" s="848" t="str">
        <f>+'4C'!AH6</f>
        <v>RCT00587WT</v>
      </c>
      <c r="D1630" s="2004"/>
      <c r="E1630" s="1658" t="s">
        <v>9033</v>
      </c>
      <c r="F1630" s="2004"/>
      <c r="G1630" s="2004">
        <f>IF('4C'!G6="","##BLANK",'4C'!G6)</f>
        <v>-126.646</v>
      </c>
    </row>
    <row r="1631" spans="2:7">
      <c r="B1631" s="848" t="str">
        <f>+'4C'!AH7</f>
        <v>RCT00587WTC</v>
      </c>
      <c r="D1631" s="2004"/>
      <c r="E1631" s="1658" t="s">
        <v>9033</v>
      </c>
      <c r="F1631" s="2004"/>
      <c r="G1631" s="2004">
        <f>IF('4C'!G7="","##BLANK",'4C'!G7)</f>
        <v>-61.887999999999998</v>
      </c>
    </row>
    <row r="1632" spans="2:7">
      <c r="B1632" s="848" t="str">
        <f>+'4C'!AH8</f>
        <v>RCT00587WTCR</v>
      </c>
      <c r="D1632" s="2004"/>
      <c r="E1632" s="1658" t="s">
        <v>9033</v>
      </c>
      <c r="F1632" s="2004"/>
      <c r="G1632" s="2004">
        <f>IF('4C'!G8="","##BLANK",'4C'!G8)</f>
        <v>53.792999999999999</v>
      </c>
    </row>
    <row r="1633" spans="2:7">
      <c r="B1633" s="848" t="str">
        <f>+'4C'!AH9</f>
        <v>RCT00588W</v>
      </c>
      <c r="D1633" s="2004"/>
      <c r="E1633" s="1658" t="s">
        <v>9033</v>
      </c>
      <c r="F1633" s="2004"/>
      <c r="G1633" s="2004">
        <f>IF('4C'!G9="","##BLANK",'4C'!G9)</f>
        <v>-17.277999999999999</v>
      </c>
    </row>
    <row r="1634" spans="2:7">
      <c r="B1634" s="848" t="str">
        <f>+'4C'!AH10</f>
        <v>RCT00586W</v>
      </c>
      <c r="D1634" s="2004"/>
      <c r="E1634" s="1658" t="s">
        <v>9033</v>
      </c>
      <c r="F1634" s="2004"/>
      <c r="G1634" s="2004">
        <f>IF('4C'!G10="","##BLANK",'4C'!G10)</f>
        <v>2891.3240000000001</v>
      </c>
    </row>
    <row r="1635" spans="2:7">
      <c r="B1635" s="848" t="str">
        <f>+'4C'!AH11</f>
        <v>RCT00589W</v>
      </c>
      <c r="D1635" s="2004"/>
      <c r="E1635" s="1658" t="s">
        <v>9033</v>
      </c>
      <c r="F1635" s="2004"/>
      <c r="G1635" s="2004">
        <f>IF('4C'!G11="","##BLANK",'4C'!G11)</f>
        <v>2927.8389999999999</v>
      </c>
    </row>
    <row r="1636" spans="2:7">
      <c r="B1636" s="848" t="str">
        <f>+'4C'!AI6</f>
        <v>RCT00587WWT</v>
      </c>
      <c r="D1636" s="2004"/>
      <c r="E1636" s="1658" t="s">
        <v>9033</v>
      </c>
      <c r="F1636" s="2004"/>
      <c r="G1636" s="2004">
        <f>IF('4C'!H6="","##BLANK",'4C'!H6)</f>
        <v>72.557000000000002</v>
      </c>
    </row>
    <row r="1637" spans="2:7">
      <c r="B1637" s="848" t="str">
        <f>+'4C'!AI7</f>
        <v>RCT00587WWTC</v>
      </c>
      <c r="D1637" s="2004"/>
      <c r="E1637" s="1658" t="s">
        <v>9033</v>
      </c>
      <c r="F1637" s="2004"/>
      <c r="G1637" s="2004">
        <f>IF('4C'!H7="","##BLANK",'4C'!H7)</f>
        <v>36.206000000000003</v>
      </c>
    </row>
    <row r="1638" spans="2:7">
      <c r="B1638" s="848" t="str">
        <f>+'4C'!AI8</f>
        <v>RCT00587WWTCR</v>
      </c>
      <c r="D1638" s="2004"/>
      <c r="E1638" s="1658" t="s">
        <v>9033</v>
      </c>
      <c r="F1638" s="2004"/>
      <c r="G1638" s="2004">
        <f>IF('4C'!H8="","##BLANK",'4C'!H8)</f>
        <v>-55.886000000000003</v>
      </c>
    </row>
    <row r="1639" spans="2:7">
      <c r="B1639" s="848" t="str">
        <f>+'4C'!AI9</f>
        <v>RCT00588WW</v>
      </c>
      <c r="D1639" s="2004"/>
      <c r="E1639" s="1658" t="s">
        <v>9033</v>
      </c>
      <c r="F1639" s="2004"/>
      <c r="G1639" s="2004">
        <f>IF('4C'!H9="","##BLANK",'4C'!H9)</f>
        <v>0</v>
      </c>
    </row>
    <row r="1640" spans="2:7">
      <c r="B1640" s="848" t="str">
        <f>+'4C'!AI10</f>
        <v>RCT00586WW</v>
      </c>
      <c r="D1640" s="2004"/>
      <c r="E1640" s="1658" t="s">
        <v>9033</v>
      </c>
      <c r="F1640" s="2004"/>
      <c r="G1640" s="2004">
        <f>IF('4C'!H10="","##BLANK",'4C'!H10)</f>
        <v>4059.18</v>
      </c>
    </row>
    <row r="1641" spans="2:7">
      <c r="B1641" s="848" t="str">
        <f>+'4C'!AI11</f>
        <v>RCT00589WW</v>
      </c>
      <c r="D1641" s="2004"/>
      <c r="E1641" s="1658" t="s">
        <v>9033</v>
      </c>
      <c r="F1641" s="2004"/>
      <c r="G1641" s="2004">
        <f>IF('4C'!H11="","##BLANK",'4C'!H11)</f>
        <v>4003.2939999999999</v>
      </c>
    </row>
    <row r="1642" spans="2:7">
      <c r="B1642" s="848" t="str">
        <f>+'4C'!AJ6</f>
        <v>RCT00587TTTT</v>
      </c>
      <c r="D1642" s="2004"/>
      <c r="E1642" s="1658" t="s">
        <v>9033</v>
      </c>
      <c r="F1642" s="2004"/>
      <c r="G1642" s="2004" t="str">
        <f>IF('4C'!I6="","##BLANK",'4C'!I6)</f>
        <v>##BLANK</v>
      </c>
    </row>
    <row r="1643" spans="2:7">
      <c r="B1643" s="848" t="str">
        <f>+'4C'!AJ7</f>
        <v>RCT00587TTTTC</v>
      </c>
      <c r="D1643" s="2004"/>
      <c r="E1643" s="1658" t="s">
        <v>9033</v>
      </c>
      <c r="F1643" s="2004"/>
      <c r="G1643" s="2004" t="str">
        <f>IF('4C'!I7="","##BLANK",'4C'!I7)</f>
        <v>##BLANK</v>
      </c>
    </row>
    <row r="1644" spans="2:7">
      <c r="B1644" s="848" t="str">
        <f>+'4C'!AJ8</f>
        <v>RCT00587TTTTCR</v>
      </c>
      <c r="D1644" s="2004"/>
      <c r="E1644" s="1658" t="s">
        <v>9033</v>
      </c>
      <c r="F1644" s="2004"/>
      <c r="G1644" s="2004" t="str">
        <f>IF('4C'!I8="","##BLANK",'4C'!I8)</f>
        <v>##BLANK</v>
      </c>
    </row>
    <row r="1645" spans="2:7">
      <c r="B1645" s="848" t="str">
        <f>+'4C'!AJ9</f>
        <v>RCT00588TTT</v>
      </c>
      <c r="D1645" s="2004"/>
      <c r="E1645" s="1658" t="s">
        <v>9033</v>
      </c>
      <c r="F1645" s="2004"/>
      <c r="G1645" s="2004" t="str">
        <f>IF('4C'!I9="","##BLANK",'4C'!I9)</f>
        <v>##BLANK</v>
      </c>
    </row>
    <row r="1646" spans="2:7">
      <c r="B1646" s="848" t="str">
        <f>+'4C'!AJ10</f>
        <v>RCT00586TTT</v>
      </c>
      <c r="D1646" s="2004"/>
      <c r="E1646" s="1658" t="s">
        <v>9033</v>
      </c>
      <c r="F1646" s="2004"/>
      <c r="G1646" s="2004" t="str">
        <f>IF('4C'!I10="","##BLANK",'4C'!I10)</f>
        <v>##BLANK</v>
      </c>
    </row>
    <row r="1647" spans="2:7">
      <c r="B1647" s="848" t="str">
        <f>+'4C'!AJ11</f>
        <v>RCT00589TTT</v>
      </c>
      <c r="D1647" s="2004"/>
      <c r="E1647" s="1658" t="s">
        <v>9033</v>
      </c>
      <c r="F1647" s="2004"/>
      <c r="G1647" s="2004">
        <f>IF('4C'!I11="","##BLANK",'4C'!I11)</f>
        <v>0</v>
      </c>
    </row>
    <row r="1648" spans="2:7">
      <c r="B1648" s="848" t="str">
        <f>+'4D'!BF7</f>
        <v>BM102AL</v>
      </c>
      <c r="D1648" s="2004"/>
      <c r="E1648" s="1658" t="s">
        <v>9033</v>
      </c>
      <c r="F1648" s="2004"/>
      <c r="G1648" s="2004">
        <f>IF('4D'!G7="","##BLANK",'4D'!G7)</f>
        <v>0</v>
      </c>
    </row>
    <row r="1649" spans="2:7">
      <c r="B1649" s="848" t="str">
        <f>+'4D'!BF8</f>
        <v>BM336AL</v>
      </c>
      <c r="D1649" s="2004"/>
      <c r="E1649" s="1658" t="s">
        <v>9033</v>
      </c>
      <c r="F1649" s="2004"/>
      <c r="G1649" s="2004">
        <f>IF('4D'!G8="","##BLANK",'4D'!G8)</f>
        <v>0</v>
      </c>
    </row>
    <row r="1650" spans="2:7">
      <c r="B1650" s="848" t="str">
        <f>+'4D'!BF9</f>
        <v>BM131AL</v>
      </c>
      <c r="D1650" s="2004"/>
      <c r="E1650" s="1658" t="s">
        <v>9033</v>
      </c>
      <c r="F1650" s="2004"/>
      <c r="G1650" s="2004">
        <f>IF('4D'!G9="","##BLANK",'4D'!G9)</f>
        <v>4.9690000000000003</v>
      </c>
    </row>
    <row r="1651" spans="2:7">
      <c r="B1651" s="848" t="str">
        <f>+'4D'!BF10</f>
        <v>BM140AL</v>
      </c>
      <c r="D1651" s="2004"/>
      <c r="E1651" s="1658" t="s">
        <v>9033</v>
      </c>
      <c r="F1651" s="2004"/>
      <c r="G1651" s="2004">
        <f>IF('4D'!G10="","##BLANK",'4D'!G10)</f>
        <v>0</v>
      </c>
    </row>
    <row r="1652" spans="2:7">
      <c r="B1652" s="848" t="str">
        <f>+'4D'!BF11</f>
        <v>BM339ALIR</v>
      </c>
      <c r="D1652" s="2004"/>
      <c r="E1652" s="1658" t="s">
        <v>9033</v>
      </c>
      <c r="F1652" s="2004"/>
      <c r="G1652" s="2004">
        <f>IF('4D'!G11="","##BLANK",'4D'!G11)</f>
        <v>0</v>
      </c>
    </row>
    <row r="1653" spans="2:7">
      <c r="B1653" s="848" t="str">
        <f>+'4D'!BF12</f>
        <v>BM339ALNIR</v>
      </c>
      <c r="D1653" s="2004"/>
      <c r="E1653" s="1658" t="s">
        <v>9033</v>
      </c>
      <c r="F1653" s="2004"/>
      <c r="G1653" s="2004">
        <f>IF('4D'!G12="","##BLANK",'4D'!G12)</f>
        <v>0</v>
      </c>
    </row>
    <row r="1654" spans="2:7">
      <c r="B1654" s="848" t="str">
        <f>+'4D'!BF13</f>
        <v>BM339ALER</v>
      </c>
      <c r="D1654" s="2004"/>
      <c r="E1654" s="1658" t="s">
        <v>9033</v>
      </c>
      <c r="F1654" s="2004"/>
      <c r="G1654" s="2004">
        <f>IF('4D'!G13="","##BLANK",'4D'!G13)</f>
        <v>0.26200000000000001</v>
      </c>
    </row>
    <row r="1655" spans="2:7">
      <c r="B1655" s="848" t="str">
        <f>+'4D'!BF14</f>
        <v>BM317AL</v>
      </c>
      <c r="D1655" s="2004"/>
      <c r="E1655" s="1658" t="s">
        <v>9033</v>
      </c>
      <c r="F1655" s="2004"/>
      <c r="G1655" s="2004">
        <f>IF('4D'!G14="","##BLANK",'4D'!G14)</f>
        <v>0</v>
      </c>
    </row>
    <row r="1656" spans="2:7">
      <c r="B1656" s="848" t="str">
        <f>+'4D'!BF15</f>
        <v>BM319AL</v>
      </c>
      <c r="D1656" s="2004"/>
      <c r="E1656" s="1658" t="s">
        <v>9033</v>
      </c>
      <c r="F1656" s="2004"/>
      <c r="G1656" s="2004">
        <f>IF('4D'!G15="","##BLANK",'4D'!G15)</f>
        <v>5.2309999999999999</v>
      </c>
    </row>
    <row r="1657" spans="2:7">
      <c r="B1657" s="848" t="str">
        <f>+'4D'!BF17</f>
        <v>BM323AL</v>
      </c>
      <c r="D1657" s="2004"/>
      <c r="E1657" s="1658" t="s">
        <v>9033</v>
      </c>
      <c r="F1657" s="2004"/>
      <c r="G1657" s="2004">
        <f>IF('4D'!G17="","##BLANK",'4D'!G17)</f>
        <v>0</v>
      </c>
    </row>
    <row r="1658" spans="2:7">
      <c r="B1658" s="848" t="str">
        <f>+'4D'!BF18</f>
        <v>BM351AL</v>
      </c>
      <c r="D1658" s="2004"/>
      <c r="E1658" s="1658" t="s">
        <v>9033</v>
      </c>
      <c r="F1658" s="2004"/>
      <c r="G1658" s="2004">
        <f>IF('4D'!G18="","##BLANK",'4D'!G18)</f>
        <v>5.2309999999999999</v>
      </c>
    </row>
    <row r="1659" spans="2:7">
      <c r="B1659" s="848" t="str">
        <f>+'4D'!BF21</f>
        <v>BC30445AL</v>
      </c>
      <c r="D1659" s="2004"/>
      <c r="E1659" s="1658" t="s">
        <v>9033</v>
      </c>
      <c r="F1659" s="2004"/>
      <c r="G1659" s="2004">
        <f>IF('4D'!G21="","##BLANK",'4D'!G21)</f>
        <v>0</v>
      </c>
    </row>
    <row r="1660" spans="2:7">
      <c r="B1660" s="848" t="str">
        <f>+'4D'!BF22</f>
        <v>CW00036AL</v>
      </c>
      <c r="D1660" s="2004"/>
      <c r="E1660" s="1658" t="s">
        <v>9033</v>
      </c>
      <c r="F1660" s="2004"/>
      <c r="G1660" s="2004">
        <f>IF('4D'!G22="","##BLANK",'4D'!G22)</f>
        <v>0</v>
      </c>
    </row>
    <row r="1661" spans="2:7">
      <c r="B1661" s="848" t="str">
        <f>+'4D'!BF23</f>
        <v>BC30444AL</v>
      </c>
      <c r="D1661" s="2004"/>
      <c r="E1661" s="1658" t="s">
        <v>9033</v>
      </c>
      <c r="F1661" s="2004"/>
      <c r="G1661" s="2004">
        <f>IF('4D'!G23="","##BLANK",'4D'!G23)</f>
        <v>0</v>
      </c>
    </row>
    <row r="1662" spans="2:7">
      <c r="B1662" s="848" t="str">
        <f>+'4D'!BF24</f>
        <v>CW00037AL</v>
      </c>
      <c r="D1662" s="2004"/>
      <c r="E1662" s="1658" t="s">
        <v>9033</v>
      </c>
      <c r="F1662" s="2004"/>
      <c r="G1662" s="2004">
        <f>IF('4D'!G24="","##BLANK",'4D'!G24)</f>
        <v>0</v>
      </c>
    </row>
    <row r="1663" spans="2:7">
      <c r="B1663" s="848" t="str">
        <f>+'4D'!BF25</f>
        <v>BC30449AL</v>
      </c>
      <c r="D1663" s="2004"/>
      <c r="E1663" s="1658" t="s">
        <v>9033</v>
      </c>
      <c r="F1663" s="2004"/>
      <c r="G1663" s="2004">
        <f>IF('4D'!G25="","##BLANK",'4D'!G25)</f>
        <v>0</v>
      </c>
    </row>
    <row r="1664" spans="2:7">
      <c r="B1664" s="848" t="str">
        <f>+'4D'!BF26</f>
        <v>BC30498AL</v>
      </c>
      <c r="D1664" s="2004"/>
      <c r="E1664" s="1658" t="s">
        <v>9033</v>
      </c>
      <c r="F1664" s="2004"/>
      <c r="G1664" s="2004">
        <f>IF('4D'!G26="","##BLANK",'4D'!G26)</f>
        <v>0</v>
      </c>
    </row>
    <row r="1665" spans="2:7">
      <c r="B1665" s="848" t="str">
        <f>+'4D'!BF27</f>
        <v>BM333AL</v>
      </c>
      <c r="D1665" s="2004"/>
      <c r="E1665" s="1658" t="s">
        <v>9033</v>
      </c>
      <c r="F1665" s="2004"/>
      <c r="G1665" s="2004">
        <f>IF('4D'!G27="","##BLANK",'4D'!G27)</f>
        <v>0</v>
      </c>
    </row>
    <row r="1666" spans="2:7">
      <c r="B1666" s="848" t="str">
        <f>+'4D'!BF28</f>
        <v>BA1070AL</v>
      </c>
      <c r="D1666" s="2004"/>
      <c r="E1666" s="1658" t="s">
        <v>9033</v>
      </c>
      <c r="F1666" s="2004"/>
      <c r="G1666" s="2004">
        <f>IF('4D'!G28="","##BLANK",'4D'!G28)</f>
        <v>0</v>
      </c>
    </row>
    <row r="1667" spans="2:7">
      <c r="B1667" s="848" t="str">
        <f>+'4D'!BF31</f>
        <v>BA1071AL</v>
      </c>
      <c r="D1667" s="2004"/>
      <c r="E1667" s="1658" t="s">
        <v>9033</v>
      </c>
      <c r="F1667" s="2004"/>
      <c r="G1667" s="2004">
        <f>IF('4D'!G31="","##BLANK",'4D'!G31)</f>
        <v>0</v>
      </c>
    </row>
    <row r="1668" spans="2:7">
      <c r="B1668" s="848" t="str">
        <f>+'4D'!BF33</f>
        <v>BM325AL</v>
      </c>
      <c r="D1668" s="2004"/>
      <c r="E1668" s="1658" t="s">
        <v>9033</v>
      </c>
      <c r="F1668" s="2004"/>
      <c r="G1668" s="2004">
        <f>IF('4D'!G33="","##BLANK",'4D'!G33)</f>
        <v>5.2309999999999999</v>
      </c>
    </row>
    <row r="1669" spans="2:7">
      <c r="B1669" s="848" t="str">
        <f>+'4D'!BF36</f>
        <v>CR00558AL</v>
      </c>
      <c r="D1669" s="2004"/>
      <c r="E1669" s="1658" t="s">
        <v>9033</v>
      </c>
      <c r="F1669" s="2004"/>
      <c r="G1669" s="2004">
        <f>IF('4D'!G36="","##BLANK",'4D'!G36)</f>
        <v>0</v>
      </c>
    </row>
    <row r="1670" spans="2:7">
      <c r="B1670" s="848" t="str">
        <f>+'4D'!BF37</f>
        <v>CR00561AL</v>
      </c>
      <c r="D1670" s="2004"/>
      <c r="E1670" s="1658" t="s">
        <v>9033</v>
      </c>
      <c r="F1670" s="2004"/>
      <c r="G1670" s="2004">
        <f>IF('4D'!G37="","##BLANK",'4D'!G37)</f>
        <v>0</v>
      </c>
    </row>
    <row r="1671" spans="2:7">
      <c r="B1671" s="848" t="str">
        <f>+'4D'!BF39</f>
        <v>W3026AL</v>
      </c>
      <c r="D1671" s="2004"/>
      <c r="E1671" s="1658" t="s">
        <v>9033</v>
      </c>
      <c r="F1671" s="2004"/>
      <c r="G1671" s="2004">
        <f>IF('4D'!G39="","##BLANK",'4D'!G39)</f>
        <v>5.2309999999999999</v>
      </c>
    </row>
    <row r="1672" spans="2:7">
      <c r="B1672" s="848" t="str">
        <f>+'4D'!BF42</f>
        <v>CRASAL005</v>
      </c>
      <c r="D1672" s="2004"/>
      <c r="E1672" s="1658" t="s">
        <v>9033</v>
      </c>
      <c r="F1672" s="2004"/>
      <c r="G1672" s="2004">
        <f>IF('4D'!G42="","##BLANK",'4D'!G42)</f>
        <v>740462.76199999999</v>
      </c>
    </row>
    <row r="1673" spans="2:7">
      <c r="B1673" s="848" t="str">
        <f>+'4D'!BF48</f>
        <v>CRASAL006</v>
      </c>
      <c r="D1673" s="2004"/>
      <c r="E1673" s="1658" t="s">
        <v>9033</v>
      </c>
      <c r="F1673" s="2004"/>
      <c r="G1673" s="2004">
        <f>IF('4D'!G48="","##BLANK",'4D'!G48)</f>
        <v>7.0645011045133419</v>
      </c>
    </row>
    <row r="1674" spans="2:7">
      <c r="B1674" s="848" t="str">
        <f>+'4D'!BF49</f>
        <v>BN2590AL</v>
      </c>
      <c r="D1674" s="2004"/>
      <c r="E1674" s="1658" t="s">
        <v>9033</v>
      </c>
      <c r="F1674" s="2004"/>
      <c r="G1674" s="2004">
        <f>IF('4D'!G49="","##BLANK",'4D'!G49)</f>
        <v>5071.1340710172544</v>
      </c>
    </row>
    <row r="1675" spans="2:7">
      <c r="B1675" s="848" t="str">
        <f>+'4D'!BF50</f>
        <v>BN2591AL</v>
      </c>
      <c r="D1675" s="2004"/>
      <c r="E1675" s="1658" t="s">
        <v>9033</v>
      </c>
      <c r="F1675" s="2004"/>
      <c r="G1675" s="2004">
        <f>IF('4D'!G50="","##BLANK",'4D'!G50)</f>
        <v>1.0315246898906534</v>
      </c>
    </row>
    <row r="1676" spans="2:7">
      <c r="B1676" s="848" t="str">
        <f>+'4D'!BG7</f>
        <v>BM102RWA</v>
      </c>
      <c r="D1676" s="2004"/>
      <c r="E1676" s="1658" t="s">
        <v>9033</v>
      </c>
      <c r="F1676" s="2004"/>
      <c r="G1676" s="2004">
        <f>IF('4D'!H7="","##BLANK",'4D'!H7)</f>
        <v>2.2200000000000002</v>
      </c>
    </row>
    <row r="1677" spans="2:7">
      <c r="B1677" s="848" t="str">
        <f>+'4D'!BG8</f>
        <v>BM336RWA</v>
      </c>
      <c r="D1677" s="2004"/>
      <c r="E1677" s="1658" t="s">
        <v>9033</v>
      </c>
      <c r="F1677" s="2004"/>
      <c r="G1677" s="2004">
        <f>IF('4D'!H8="","##BLANK",'4D'!H8)</f>
        <v>0</v>
      </c>
    </row>
    <row r="1678" spans="2:7">
      <c r="B1678" s="848" t="str">
        <f>+'4D'!BG9</f>
        <v>BM131RWA</v>
      </c>
      <c r="D1678" s="2004"/>
      <c r="E1678" s="1658" t="s">
        <v>9033</v>
      </c>
      <c r="F1678" s="2004"/>
      <c r="G1678" s="2004">
        <f>IF('4D'!H9="","##BLANK",'4D'!H9)</f>
        <v>0.57999999999999996</v>
      </c>
    </row>
    <row r="1679" spans="2:7">
      <c r="B1679" s="848" t="str">
        <f>+'4D'!BG10</f>
        <v>BM140RWA</v>
      </c>
      <c r="D1679" s="2004"/>
      <c r="E1679" s="1658" t="s">
        <v>9033</v>
      </c>
      <c r="F1679" s="2004"/>
      <c r="G1679" s="2004">
        <f>IF('4D'!H10="","##BLANK",'4D'!H10)</f>
        <v>3.8039999999999998</v>
      </c>
    </row>
    <row r="1680" spans="2:7">
      <c r="B1680" s="848" t="str">
        <f>+'4D'!BG11</f>
        <v>BM339RWAIR</v>
      </c>
      <c r="D1680" s="2004"/>
      <c r="E1680" s="1658" t="s">
        <v>9033</v>
      </c>
      <c r="F1680" s="2004"/>
      <c r="G1680" s="2004">
        <f>IF('4D'!H11="","##BLANK",'4D'!H11)</f>
        <v>0</v>
      </c>
    </row>
    <row r="1681" spans="2:7">
      <c r="B1681" s="848" t="str">
        <f>+'4D'!BG12</f>
        <v>BM339RWANIR</v>
      </c>
      <c r="D1681" s="2004"/>
      <c r="E1681" s="1658" t="s">
        <v>9033</v>
      </c>
      <c r="F1681" s="2004"/>
      <c r="G1681" s="2004">
        <f>IF('4D'!H12="","##BLANK",'4D'!H12)</f>
        <v>0</v>
      </c>
    </row>
    <row r="1682" spans="2:7">
      <c r="B1682" s="848" t="str">
        <f>+'4D'!BG13</f>
        <v>BM339RWAER</v>
      </c>
      <c r="D1682" s="2004"/>
      <c r="E1682" s="1658" t="s">
        <v>9033</v>
      </c>
      <c r="F1682" s="2004"/>
      <c r="G1682" s="2004">
        <f>IF('4D'!H13="","##BLANK",'4D'!H13)</f>
        <v>9.0690000000000008</v>
      </c>
    </row>
    <row r="1683" spans="2:7">
      <c r="B1683" s="848" t="str">
        <f>+'4D'!BG14</f>
        <v>BM317RWA</v>
      </c>
      <c r="D1683" s="2004"/>
      <c r="E1683" s="1658" t="s">
        <v>9033</v>
      </c>
      <c r="F1683" s="2004"/>
      <c r="G1683" s="2004">
        <f>IF('4D'!H14="","##BLANK",'4D'!H14)</f>
        <v>7.923</v>
      </c>
    </row>
    <row r="1684" spans="2:7">
      <c r="B1684" s="848" t="str">
        <f>+'4D'!BG15</f>
        <v>BM319RWA</v>
      </c>
      <c r="D1684" s="2004"/>
      <c r="E1684" s="1658" t="s">
        <v>9033</v>
      </c>
      <c r="F1684" s="2004"/>
      <c r="G1684" s="2004">
        <f>IF('4D'!H15="","##BLANK",'4D'!H15)</f>
        <v>23.596000000000004</v>
      </c>
    </row>
    <row r="1685" spans="2:7">
      <c r="B1685" s="848" t="str">
        <f>+'4D'!BG17</f>
        <v>BM323RWA</v>
      </c>
      <c r="D1685" s="2004"/>
      <c r="E1685" s="1658" t="s">
        <v>9033</v>
      </c>
      <c r="F1685" s="2004"/>
      <c r="G1685" s="2004">
        <f>IF('4D'!H17="","##BLANK",'4D'!H17)</f>
        <v>0</v>
      </c>
    </row>
    <row r="1686" spans="2:7">
      <c r="B1686" s="848" t="str">
        <f>+'4D'!BG18</f>
        <v>BM351RWA</v>
      </c>
      <c r="D1686" s="2004"/>
      <c r="E1686" s="1658" t="s">
        <v>9033</v>
      </c>
      <c r="F1686" s="2004"/>
      <c r="G1686" s="2004">
        <f>IF('4D'!H18="","##BLANK",'4D'!H18)</f>
        <v>23.596000000000004</v>
      </c>
    </row>
    <row r="1687" spans="2:7">
      <c r="B1687" s="848" t="str">
        <f>+'4D'!BG21</f>
        <v>BC30445RWA</v>
      </c>
      <c r="D1687" s="2004"/>
      <c r="E1687" s="1658" t="s">
        <v>9033</v>
      </c>
      <c r="F1687" s="2004"/>
      <c r="G1687" s="2004">
        <f>IF('4D'!H21="","##BLANK",'4D'!H21)</f>
        <v>7.7869999999999999</v>
      </c>
    </row>
    <row r="1688" spans="2:7">
      <c r="B1688" s="848" t="str">
        <f>+'4D'!BG22</f>
        <v>CW00036RWA</v>
      </c>
      <c r="D1688" s="2004"/>
      <c r="E1688" s="1658" t="s">
        <v>9033</v>
      </c>
      <c r="F1688" s="2004"/>
      <c r="G1688" s="2004">
        <f>IF('4D'!H22="","##BLANK",'4D'!H22)</f>
        <v>1.3879999999999999</v>
      </c>
    </row>
    <row r="1689" spans="2:7">
      <c r="B1689" s="848" t="str">
        <f>+'4D'!BG23</f>
        <v>BC30444RWA</v>
      </c>
      <c r="D1689" s="2004"/>
      <c r="E1689" s="1658" t="s">
        <v>9033</v>
      </c>
      <c r="F1689" s="2004"/>
      <c r="G1689" s="2004">
        <f>IF('4D'!H23="","##BLANK",'4D'!H23)</f>
        <v>0.71799999999999997</v>
      </c>
    </row>
    <row r="1690" spans="2:7">
      <c r="B1690" s="848" t="str">
        <f>+'4D'!BG24</f>
        <v>CW00037RWA</v>
      </c>
      <c r="D1690" s="2004"/>
      <c r="E1690" s="1658" t="s">
        <v>9033</v>
      </c>
      <c r="F1690" s="2004"/>
      <c r="G1690" s="2004">
        <f>IF('4D'!H24="","##BLANK",'4D'!H24)</f>
        <v>3.3130000000000002</v>
      </c>
    </row>
    <row r="1691" spans="2:7">
      <c r="B1691" s="848" t="str">
        <f>+'4D'!BG25</f>
        <v>BC30449RWA</v>
      </c>
      <c r="D1691" s="2004"/>
      <c r="E1691" s="1658" t="s">
        <v>9033</v>
      </c>
      <c r="F1691" s="2004"/>
      <c r="G1691" s="2004">
        <f>IF('4D'!H25="","##BLANK",'4D'!H25)</f>
        <v>0</v>
      </c>
    </row>
    <row r="1692" spans="2:7">
      <c r="B1692" s="848" t="str">
        <f>+'4D'!BG26</f>
        <v>BC30498RWA</v>
      </c>
      <c r="D1692" s="2004"/>
      <c r="E1692" s="1658" t="s">
        <v>9033</v>
      </c>
      <c r="F1692" s="2004"/>
      <c r="G1692" s="2004">
        <f>IF('4D'!H26="","##BLANK",'4D'!H26)</f>
        <v>13.206000000000001</v>
      </c>
    </row>
    <row r="1693" spans="2:7">
      <c r="B1693" s="848" t="str">
        <f>+'4D'!BG27</f>
        <v>BM333RWA</v>
      </c>
      <c r="D1693" s="2004"/>
      <c r="E1693" s="1658" t="s">
        <v>9033</v>
      </c>
      <c r="F1693" s="2004"/>
      <c r="G1693" s="2004">
        <f>IF('4D'!H27="","##BLANK",'4D'!H27)</f>
        <v>0</v>
      </c>
    </row>
    <row r="1694" spans="2:7">
      <c r="B1694" s="848" t="str">
        <f>+'4D'!BG28</f>
        <v>BA1070RWA</v>
      </c>
      <c r="D1694" s="2004"/>
      <c r="E1694" s="1658" t="s">
        <v>9033</v>
      </c>
      <c r="F1694" s="2004"/>
      <c r="G1694" s="2004">
        <f>IF('4D'!H28="","##BLANK",'4D'!H28)</f>
        <v>13.206000000000001</v>
      </c>
    </row>
    <row r="1695" spans="2:7">
      <c r="B1695" s="848" t="str">
        <f>+'4D'!BG31</f>
        <v>BA1071RWA</v>
      </c>
      <c r="D1695" s="2004"/>
      <c r="E1695" s="1658" t="s">
        <v>9033</v>
      </c>
      <c r="F1695" s="2004"/>
      <c r="G1695" s="2004">
        <f>IF('4D'!H31="","##BLANK",'4D'!H31)</f>
        <v>0.23300000000000001</v>
      </c>
    </row>
    <row r="1696" spans="2:7">
      <c r="B1696" s="848" t="str">
        <f>+'4D'!BG33</f>
        <v>BM325RWA</v>
      </c>
      <c r="D1696" s="2004"/>
      <c r="E1696" s="1658" t="s">
        <v>9033</v>
      </c>
      <c r="F1696" s="2004"/>
      <c r="G1696" s="2004">
        <f>IF('4D'!H33="","##BLANK",'4D'!H33)</f>
        <v>36.56900000000001</v>
      </c>
    </row>
    <row r="1697" spans="2:7">
      <c r="B1697" s="848" t="str">
        <f>+'4D'!BG36</f>
        <v>CR00558RWA</v>
      </c>
      <c r="D1697" s="2004"/>
      <c r="E1697" s="1658" t="s">
        <v>9033</v>
      </c>
      <c r="F1697" s="2004"/>
      <c r="G1697" s="2004">
        <f>IF('4D'!H36="","##BLANK",'4D'!H36)</f>
        <v>0</v>
      </c>
    </row>
    <row r="1698" spans="2:7">
      <c r="B1698" s="848" t="str">
        <f>+'4D'!BG37</f>
        <v>CR00561RWA</v>
      </c>
      <c r="D1698" s="2004"/>
      <c r="E1698" s="1658" t="s">
        <v>9033</v>
      </c>
      <c r="F1698" s="2004"/>
      <c r="G1698" s="2004">
        <f>IF('4D'!H37="","##BLANK",'4D'!H37)</f>
        <v>0</v>
      </c>
    </row>
    <row r="1699" spans="2:7">
      <c r="B1699" s="848" t="str">
        <f>+'4D'!BG39</f>
        <v>W3026RWA</v>
      </c>
      <c r="D1699" s="2004"/>
      <c r="E1699" s="1658" t="s">
        <v>9033</v>
      </c>
      <c r="F1699" s="2004"/>
      <c r="G1699" s="2004">
        <f>IF('4D'!H39="","##BLANK",'4D'!H39)</f>
        <v>36.56900000000001</v>
      </c>
    </row>
    <row r="1700" spans="2:7">
      <c r="B1700" s="848" t="str">
        <f>+'4D'!BG43</f>
        <v>CRASREA005</v>
      </c>
      <c r="D1700" s="2004"/>
      <c r="E1700" s="1658" t="s">
        <v>9033</v>
      </c>
      <c r="F1700" s="2004"/>
      <c r="G1700" s="2004">
        <f>IF('4D'!H43="","##BLANK",'4D'!H43)</f>
        <v>445977.77899999998</v>
      </c>
    </row>
    <row r="1701" spans="2:7">
      <c r="B1701" s="848" t="str">
        <f>+'4D'!BG48</f>
        <v>CRASRWA006</v>
      </c>
      <c r="D1701" s="2004"/>
      <c r="E1701" s="1658" t="s">
        <v>9033</v>
      </c>
      <c r="F1701" s="2004"/>
      <c r="G1701" s="2004">
        <f>IF('4D'!H48="","##BLANK",'4D'!H48)</f>
        <v>52.908465648016076</v>
      </c>
    </row>
    <row r="1702" spans="2:7">
      <c r="B1702" s="848" t="str">
        <f>+'4D'!BG49</f>
        <v>BN2590RWA</v>
      </c>
      <c r="D1702" s="2004"/>
      <c r="E1702" s="1658" t="s">
        <v>9033</v>
      </c>
      <c r="F1702" s="2004"/>
      <c r="G1702" s="2004">
        <f>IF('4D'!H49="","##BLANK",'4D'!H49)</f>
        <v>5071.1340710172544</v>
      </c>
    </row>
    <row r="1703" spans="2:7">
      <c r="B1703" s="848" t="str">
        <f>+'4D'!BG50</f>
        <v>BN2591RWA</v>
      </c>
      <c r="D1703" s="2004"/>
      <c r="E1703" s="1658" t="s">
        <v>9033</v>
      </c>
      <c r="F1703" s="2004"/>
      <c r="G1703" s="2004">
        <f>IF('4D'!H50="","##BLANK",'4D'!H50)</f>
        <v>4.6530025965704187</v>
      </c>
    </row>
    <row r="1704" spans="2:7">
      <c r="B1704" s="848" t="str">
        <f>+'4D'!BH7</f>
        <v>BM202RWT</v>
      </c>
      <c r="D1704" s="2004"/>
      <c r="E1704" s="1658" t="s">
        <v>9033</v>
      </c>
      <c r="F1704" s="2004"/>
      <c r="G1704" s="2004">
        <f>IF('4D'!I7="","##BLANK",'4D'!I7)</f>
        <v>4.4109999999999996</v>
      </c>
    </row>
    <row r="1705" spans="2:7">
      <c r="B1705" s="848" t="str">
        <f>+'4D'!BH8</f>
        <v>BM336RWT</v>
      </c>
      <c r="D1705" s="2004"/>
      <c r="E1705" s="1658" t="s">
        <v>9033</v>
      </c>
      <c r="F1705" s="2004"/>
      <c r="G1705" s="2004">
        <f>IF('4D'!I8="","##BLANK",'4D'!I8)</f>
        <v>0</v>
      </c>
    </row>
    <row r="1706" spans="2:7">
      <c r="B1706" s="848" t="str">
        <f>+'4D'!BH9</f>
        <v>BM231RWT</v>
      </c>
      <c r="D1706" s="2004"/>
      <c r="E1706" s="1658" t="s">
        <v>9033</v>
      </c>
      <c r="F1706" s="2004"/>
      <c r="G1706" s="2004">
        <f>IF('4D'!I9="","##BLANK",'4D'!I9)</f>
        <v>0</v>
      </c>
    </row>
    <row r="1707" spans="2:7">
      <c r="B1707" s="848" t="str">
        <f>+'4D'!BH10</f>
        <v>BM240RWT</v>
      </c>
      <c r="D1707" s="2004"/>
      <c r="E1707" s="1658" t="s">
        <v>9033</v>
      </c>
      <c r="F1707" s="2004"/>
      <c r="G1707" s="2004">
        <f>IF('4D'!I10="","##BLANK",'4D'!I10)</f>
        <v>0</v>
      </c>
    </row>
    <row r="1708" spans="2:7">
      <c r="B1708" s="848" t="str">
        <f>+'4D'!BH11</f>
        <v>BM339RWTIR</v>
      </c>
      <c r="D1708" s="2004"/>
      <c r="E1708" s="1658" t="s">
        <v>9033</v>
      </c>
      <c r="F1708" s="2004"/>
      <c r="G1708" s="2004">
        <f>IF('4D'!I11="","##BLANK",'4D'!I11)</f>
        <v>0</v>
      </c>
    </row>
    <row r="1709" spans="2:7">
      <c r="B1709" s="848" t="str">
        <f>+'4D'!BH12</f>
        <v>BM339RWTNIR</v>
      </c>
      <c r="D1709" s="2004"/>
      <c r="E1709" s="1658" t="s">
        <v>9033</v>
      </c>
      <c r="F1709" s="2004"/>
      <c r="G1709" s="2004">
        <f>IF('4D'!I12="","##BLANK",'4D'!I12)</f>
        <v>0</v>
      </c>
    </row>
    <row r="1710" spans="2:7">
      <c r="B1710" s="848" t="str">
        <f>+'4D'!BH13</f>
        <v>BM339RWTER</v>
      </c>
      <c r="D1710" s="2004"/>
      <c r="E1710" s="1658" t="s">
        <v>9033</v>
      </c>
      <c r="F1710" s="2004"/>
      <c r="G1710" s="2004">
        <f>IF('4D'!I13="","##BLANK",'4D'!I13)</f>
        <v>3.5950000000000002</v>
      </c>
    </row>
    <row r="1711" spans="2:7">
      <c r="B1711" s="848" t="str">
        <f>+'4D'!BH14</f>
        <v>BM317RWT</v>
      </c>
      <c r="D1711" s="2004"/>
      <c r="E1711" s="1658" t="s">
        <v>9033</v>
      </c>
      <c r="F1711" s="2004"/>
      <c r="G1711" s="2004">
        <f>IF('4D'!I14="","##BLANK",'4D'!I14)</f>
        <v>1.992</v>
      </c>
    </row>
    <row r="1712" spans="2:7">
      <c r="B1712" s="848" t="str">
        <f>+'4D'!BH15</f>
        <v>BM319RWT</v>
      </c>
      <c r="D1712" s="2004"/>
      <c r="E1712" s="1658" t="s">
        <v>9033</v>
      </c>
      <c r="F1712" s="2004"/>
      <c r="G1712" s="2004">
        <f>IF('4D'!I15="","##BLANK",'4D'!I15)</f>
        <v>9.9980000000000011</v>
      </c>
    </row>
    <row r="1713" spans="2:7">
      <c r="B1713" s="848" t="str">
        <f>+'4D'!BH17</f>
        <v>BM323RWT</v>
      </c>
      <c r="D1713" s="2004"/>
      <c r="E1713" s="1658" t="s">
        <v>9033</v>
      </c>
      <c r="F1713" s="2004"/>
      <c r="G1713" s="2004">
        <f>IF('4D'!I17="","##BLANK",'4D'!I17)</f>
        <v>0</v>
      </c>
    </row>
    <row r="1714" spans="2:7">
      <c r="B1714" s="848" t="str">
        <f>+'4D'!BH18</f>
        <v>BM351RWT</v>
      </c>
      <c r="D1714" s="2004"/>
      <c r="E1714" s="1658" t="s">
        <v>9033</v>
      </c>
      <c r="F1714" s="2004"/>
      <c r="G1714" s="2004">
        <f>IF('4D'!I18="","##BLANK",'4D'!I18)</f>
        <v>9.9980000000000011</v>
      </c>
    </row>
    <row r="1715" spans="2:7">
      <c r="B1715" s="848" t="str">
        <f>+'4D'!BH21</f>
        <v>BC30445RWT</v>
      </c>
      <c r="D1715" s="2004"/>
      <c r="E1715" s="1658" t="s">
        <v>9033</v>
      </c>
      <c r="F1715" s="2004"/>
      <c r="G1715" s="2004">
        <f>IF('4D'!I21="","##BLANK",'4D'!I21)</f>
        <v>-5.3999999999999999E-2</v>
      </c>
    </row>
    <row r="1716" spans="2:7">
      <c r="B1716" s="848" t="str">
        <f>+'4D'!BH22</f>
        <v>CW00036RWT</v>
      </c>
      <c r="D1716" s="2004"/>
      <c r="E1716" s="1658" t="s">
        <v>9033</v>
      </c>
      <c r="F1716" s="2004"/>
      <c r="G1716" s="2004">
        <f>IF('4D'!I22="","##BLANK",'4D'!I22)</f>
        <v>2.2429999999999999</v>
      </c>
    </row>
    <row r="1717" spans="2:7">
      <c r="B1717" s="848" t="str">
        <f>+'4D'!BH23</f>
        <v>BC30444RWT</v>
      </c>
      <c r="D1717" s="2004"/>
      <c r="E1717" s="1658" t="s">
        <v>9033</v>
      </c>
      <c r="F1717" s="2004"/>
      <c r="G1717" s="2004">
        <f>IF('4D'!I23="","##BLANK",'4D'!I23)</f>
        <v>0</v>
      </c>
    </row>
    <row r="1718" spans="2:7">
      <c r="B1718" s="848" t="str">
        <f>+'4D'!BH24</f>
        <v>CW00037RWT</v>
      </c>
      <c r="D1718" s="2004"/>
      <c r="E1718" s="1658" t="s">
        <v>9033</v>
      </c>
      <c r="F1718" s="2004"/>
      <c r="G1718" s="2004">
        <f>IF('4D'!I24="","##BLANK",'4D'!I24)</f>
        <v>7.0000000000000001E-3</v>
      </c>
    </row>
    <row r="1719" spans="2:7">
      <c r="B1719" s="848" t="str">
        <f>+'4D'!BH25</f>
        <v>BC30449RWT</v>
      </c>
      <c r="D1719" s="2004"/>
      <c r="E1719" s="1658" t="s">
        <v>9033</v>
      </c>
      <c r="F1719" s="2004"/>
      <c r="G1719" s="2004">
        <f>IF('4D'!I25="","##BLANK",'4D'!I25)</f>
        <v>0</v>
      </c>
    </row>
    <row r="1720" spans="2:7">
      <c r="B1720" s="848" t="str">
        <f>+'4D'!BH26</f>
        <v>BC30498RWT</v>
      </c>
      <c r="D1720" s="2004"/>
      <c r="E1720" s="1658" t="s">
        <v>9033</v>
      </c>
      <c r="F1720" s="2004"/>
      <c r="G1720" s="2004">
        <f>IF('4D'!I26="","##BLANK",'4D'!I26)</f>
        <v>2.1960000000000002</v>
      </c>
    </row>
    <row r="1721" spans="2:7">
      <c r="B1721" s="848" t="str">
        <f>+'4D'!BH27</f>
        <v>BM333RWT</v>
      </c>
      <c r="D1721" s="2004"/>
      <c r="E1721" s="1658" t="s">
        <v>9033</v>
      </c>
      <c r="F1721" s="2004"/>
      <c r="G1721" s="2004">
        <f>IF('4D'!I27="","##BLANK",'4D'!I27)</f>
        <v>0</v>
      </c>
    </row>
    <row r="1722" spans="2:7">
      <c r="B1722" s="848" t="str">
        <f>+'4D'!BH28</f>
        <v>BA1070RWT</v>
      </c>
      <c r="D1722" s="2004"/>
      <c r="E1722" s="1658" t="s">
        <v>9033</v>
      </c>
      <c r="F1722" s="2004"/>
      <c r="G1722" s="2004">
        <f>IF('4D'!I28="","##BLANK",'4D'!I28)</f>
        <v>2.1960000000000002</v>
      </c>
    </row>
    <row r="1723" spans="2:7">
      <c r="B1723" s="848" t="str">
        <f>+'4D'!BH31</f>
        <v>BA1071RWT</v>
      </c>
      <c r="D1723" s="2004"/>
      <c r="E1723" s="1658" t="s">
        <v>9033</v>
      </c>
      <c r="F1723" s="2004"/>
      <c r="G1723" s="2004">
        <f>IF('4D'!I31="","##BLANK",'4D'!I31)</f>
        <v>0</v>
      </c>
    </row>
    <row r="1724" spans="2:7">
      <c r="B1724" s="848" t="str">
        <f>+'4D'!BH33</f>
        <v>BM325RWT</v>
      </c>
      <c r="D1724" s="2004"/>
      <c r="E1724" s="1658" t="s">
        <v>9033</v>
      </c>
      <c r="F1724" s="2004"/>
      <c r="G1724" s="2004">
        <f>IF('4D'!I33="","##BLANK",'4D'!I33)</f>
        <v>12.194000000000001</v>
      </c>
    </row>
    <row r="1725" spans="2:7">
      <c r="B1725" s="848" t="str">
        <f>+'4D'!BH36</f>
        <v>CR00558RWT</v>
      </c>
      <c r="D1725" s="2004"/>
      <c r="E1725" s="1658" t="s">
        <v>9033</v>
      </c>
      <c r="F1725" s="2004"/>
      <c r="G1725" s="2004">
        <f>IF('4D'!I36="","##BLANK",'4D'!I36)</f>
        <v>0</v>
      </c>
    </row>
    <row r="1726" spans="2:7">
      <c r="B1726" s="848" t="str">
        <f>+'4D'!BH37</f>
        <v>CR00561RWT</v>
      </c>
      <c r="D1726" s="2004"/>
      <c r="E1726" s="1658" t="s">
        <v>9033</v>
      </c>
      <c r="F1726" s="2004"/>
      <c r="G1726" s="2004">
        <f>IF('4D'!I37="","##BLANK",'4D'!I37)</f>
        <v>0</v>
      </c>
    </row>
    <row r="1727" spans="2:7">
      <c r="B1727" s="848" t="str">
        <f>+'4D'!BH39</f>
        <v>W3026RWT</v>
      </c>
      <c r="D1727" s="2004"/>
      <c r="E1727" s="1658" t="s">
        <v>9033</v>
      </c>
      <c r="F1727" s="2004"/>
      <c r="G1727" s="2004">
        <f>IF('4D'!I39="","##BLANK",'4D'!I39)</f>
        <v>12.194000000000001</v>
      </c>
    </row>
    <row r="1728" spans="2:7">
      <c r="B1728" s="848" t="str">
        <f>+'4D'!BH44</f>
        <v>CRASRWT005</v>
      </c>
      <c r="D1728" s="2004"/>
      <c r="E1728" s="1658" t="s">
        <v>9033</v>
      </c>
      <c r="F1728" s="2004"/>
      <c r="G1728" s="2004">
        <f>IF('4D'!I44="","##BLANK",'4D'!I44)</f>
        <v>275366.50300000003</v>
      </c>
    </row>
    <row r="1729" spans="2:7">
      <c r="B1729" s="848" t="str">
        <f>+'4D'!BH48</f>
        <v>CRASRWT006</v>
      </c>
      <c r="D1729" s="2004"/>
      <c r="E1729" s="1658" t="s">
        <v>9033</v>
      </c>
      <c r="F1729" s="2004"/>
      <c r="G1729" s="2004">
        <f>IF('4D'!I48="","##BLANK",'4D'!I48)</f>
        <v>36.30797461229335</v>
      </c>
    </row>
    <row r="1730" spans="2:7">
      <c r="B1730" s="848" t="str">
        <f>+'4D'!BH49</f>
        <v>BN2590RWT</v>
      </c>
      <c r="D1730" s="2004"/>
      <c r="E1730" s="1658" t="s">
        <v>9033</v>
      </c>
      <c r="F1730" s="2004"/>
      <c r="G1730" s="2004">
        <f>IF('4D'!I49="","##BLANK",'4D'!I49)</f>
        <v>5071.1340710172544</v>
      </c>
    </row>
    <row r="1731" spans="2:7">
      <c r="B1731" s="848" t="str">
        <f>+'4D'!BH50</f>
        <v>BN2591RWT</v>
      </c>
      <c r="D1731" s="2004"/>
      <c r="E1731" s="1658" t="s">
        <v>9033</v>
      </c>
      <c r="F1731" s="2004"/>
      <c r="G1731" s="2004">
        <f>IF('4D'!I50="","##BLANK",'4D'!I50)</f>
        <v>1.9715511086841435</v>
      </c>
    </row>
    <row r="1732" spans="2:7">
      <c r="B1732" s="848" t="str">
        <f>+'4D'!BI7</f>
        <v>BM202RWS</v>
      </c>
      <c r="D1732" s="2004"/>
      <c r="E1732" s="1658" t="s">
        <v>9033</v>
      </c>
      <c r="F1732" s="2004"/>
      <c r="G1732" s="2004">
        <f>IF('4D'!J7="","##BLANK",'4D'!J7)</f>
        <v>2E-3</v>
      </c>
    </row>
    <row r="1733" spans="2:7">
      <c r="B1733" s="848" t="str">
        <f>+'4D'!BI8</f>
        <v>BM336RWS</v>
      </c>
      <c r="D1733" s="2004"/>
      <c r="E1733" s="1658" t="s">
        <v>9033</v>
      </c>
      <c r="F1733" s="2004"/>
      <c r="G1733" s="2004">
        <f>IF('4D'!J8="","##BLANK",'4D'!J8)</f>
        <v>0</v>
      </c>
    </row>
    <row r="1734" spans="2:7">
      <c r="B1734" s="848" t="str">
        <f>+'4D'!BI9</f>
        <v>BM231RWS</v>
      </c>
      <c r="D1734" s="2004"/>
      <c r="E1734" s="1658" t="s">
        <v>9033</v>
      </c>
      <c r="F1734" s="2004"/>
      <c r="G1734" s="2004">
        <f>IF('4D'!J9="","##BLANK",'4D'!J9)</f>
        <v>0</v>
      </c>
    </row>
    <row r="1735" spans="2:7">
      <c r="B1735" s="848" t="str">
        <f>+'4D'!BI10</f>
        <v>BM240RWS</v>
      </c>
      <c r="D1735" s="2004"/>
      <c r="E1735" s="1658" t="s">
        <v>9033</v>
      </c>
      <c r="F1735" s="2004"/>
      <c r="G1735" s="2004">
        <f>IF('4D'!J10="","##BLANK",'4D'!J10)</f>
        <v>0</v>
      </c>
    </row>
    <row r="1736" spans="2:7">
      <c r="B1736" s="848" t="str">
        <f>+'4D'!BI11</f>
        <v>BM339RWSIR</v>
      </c>
      <c r="D1736" s="2004"/>
      <c r="E1736" s="1658" t="s">
        <v>9033</v>
      </c>
      <c r="F1736" s="2004"/>
      <c r="G1736" s="2004">
        <f>IF('4D'!J11="","##BLANK",'4D'!J11)</f>
        <v>0</v>
      </c>
    </row>
    <row r="1737" spans="2:7">
      <c r="B1737" s="848" t="str">
        <f>+'4D'!BI12</f>
        <v>BM339RWSNIR</v>
      </c>
      <c r="D1737" s="2004"/>
      <c r="E1737" s="1658" t="s">
        <v>9033</v>
      </c>
      <c r="F1737" s="2004"/>
      <c r="G1737" s="2004">
        <f>IF('4D'!J12="","##BLANK",'4D'!J12)</f>
        <v>0</v>
      </c>
    </row>
    <row r="1738" spans="2:7">
      <c r="B1738" s="848" t="str">
        <f>+'4D'!BI13</f>
        <v>BM339RWSER</v>
      </c>
      <c r="D1738" s="2004"/>
      <c r="E1738" s="1658" t="s">
        <v>9033</v>
      </c>
      <c r="F1738" s="2004"/>
      <c r="G1738" s="2004">
        <f>IF('4D'!J13="","##BLANK",'4D'!J13)</f>
        <v>1.056</v>
      </c>
    </row>
    <row r="1739" spans="2:7">
      <c r="B1739" s="848" t="str">
        <f>+'4D'!BI14</f>
        <v>BM317RWS</v>
      </c>
      <c r="D1739" s="2004"/>
      <c r="E1739" s="1658" t="s">
        <v>9033</v>
      </c>
      <c r="F1739" s="2004"/>
      <c r="G1739" s="2004">
        <f>IF('4D'!J14="","##BLANK",'4D'!J14)</f>
        <v>0.67400000000000004</v>
      </c>
    </row>
    <row r="1740" spans="2:7">
      <c r="B1740" s="848" t="str">
        <f>+'4D'!BI15</f>
        <v>BM319RWS</v>
      </c>
      <c r="D1740" s="2004"/>
      <c r="E1740" s="1658" t="s">
        <v>9033</v>
      </c>
      <c r="F1740" s="2004"/>
      <c r="G1740" s="2004">
        <f>IF('4D'!J15="","##BLANK",'4D'!J15)</f>
        <v>1.7320000000000002</v>
      </c>
    </row>
    <row r="1741" spans="2:7">
      <c r="B1741" s="848" t="str">
        <f>+'4D'!BI17</f>
        <v>BM323RWS</v>
      </c>
      <c r="D1741" s="2004"/>
      <c r="E1741" s="1658" t="s">
        <v>9033</v>
      </c>
      <c r="F1741" s="2004"/>
      <c r="G1741" s="2004">
        <f>IF('4D'!J17="","##BLANK",'4D'!J17)</f>
        <v>0</v>
      </c>
    </row>
    <row r="1742" spans="2:7">
      <c r="B1742" s="848" t="str">
        <f>+'4D'!BI18</f>
        <v>BM351RWS</v>
      </c>
      <c r="D1742" s="2004"/>
      <c r="E1742" s="1658" t="s">
        <v>9033</v>
      </c>
      <c r="F1742" s="2004"/>
      <c r="G1742" s="2004">
        <f>IF('4D'!J18="","##BLANK",'4D'!J18)</f>
        <v>1.7320000000000002</v>
      </c>
    </row>
    <row r="1743" spans="2:7">
      <c r="B1743" s="848" t="str">
        <f>+'4D'!BI21</f>
        <v>BC30445RWS</v>
      </c>
      <c r="D1743" s="2004"/>
      <c r="E1743" s="1658" t="s">
        <v>9033</v>
      </c>
      <c r="F1743" s="2004"/>
      <c r="G1743" s="2004">
        <f>IF('4D'!J21="","##BLANK",'4D'!J21)</f>
        <v>-0.25900000000000001</v>
      </c>
    </row>
    <row r="1744" spans="2:7">
      <c r="B1744" s="848" t="str">
        <f>+'4D'!BI22</f>
        <v>CW00036RWS</v>
      </c>
      <c r="D1744" s="2004"/>
      <c r="E1744" s="1658" t="s">
        <v>9033</v>
      </c>
      <c r="F1744" s="2004"/>
      <c r="G1744" s="2004">
        <f>IF('4D'!J22="","##BLANK",'4D'!J22)</f>
        <v>0.40699999999999997</v>
      </c>
    </row>
    <row r="1745" spans="2:7">
      <c r="B1745" s="848" t="str">
        <f>+'4D'!BI23</f>
        <v>BC30444RWS</v>
      </c>
      <c r="D1745" s="2004"/>
      <c r="E1745" s="1658" t="s">
        <v>9033</v>
      </c>
      <c r="F1745" s="2004"/>
      <c r="G1745" s="2004">
        <f>IF('4D'!J23="","##BLANK",'4D'!J23)</f>
        <v>0</v>
      </c>
    </row>
    <row r="1746" spans="2:7">
      <c r="B1746" s="848" t="str">
        <f>+'4D'!BI24</f>
        <v>CW00037RWS</v>
      </c>
      <c r="D1746" s="2004"/>
      <c r="E1746" s="1658" t="s">
        <v>9033</v>
      </c>
      <c r="F1746" s="2004"/>
      <c r="G1746" s="2004">
        <f>IF('4D'!J24="","##BLANK",'4D'!J24)</f>
        <v>1.7999999999999999E-2</v>
      </c>
    </row>
    <row r="1747" spans="2:7">
      <c r="B1747" s="848" t="str">
        <f>+'4D'!BI25</f>
        <v>BC30449RWS</v>
      </c>
      <c r="D1747" s="2004"/>
      <c r="E1747" s="1658" t="s">
        <v>9033</v>
      </c>
      <c r="F1747" s="2004"/>
      <c r="G1747" s="2004">
        <f>IF('4D'!J25="","##BLANK",'4D'!J25)</f>
        <v>0</v>
      </c>
    </row>
    <row r="1748" spans="2:7">
      <c r="B1748" s="848" t="str">
        <f>+'4D'!BI26</f>
        <v>BC30498RWS</v>
      </c>
      <c r="D1748" s="2004"/>
      <c r="E1748" s="1658" t="s">
        <v>9033</v>
      </c>
      <c r="F1748" s="2004"/>
      <c r="G1748" s="2004">
        <f>IF('4D'!J26="","##BLANK",'4D'!J26)</f>
        <v>0.16599999999999995</v>
      </c>
    </row>
    <row r="1749" spans="2:7">
      <c r="B1749" s="848" t="str">
        <f>+'4D'!BI27</f>
        <v>BM333RWS</v>
      </c>
      <c r="D1749" s="2004"/>
      <c r="E1749" s="1658" t="s">
        <v>9033</v>
      </c>
      <c r="F1749" s="2004"/>
      <c r="G1749" s="2004">
        <f>IF('4D'!J27="","##BLANK",'4D'!J27)</f>
        <v>0</v>
      </c>
    </row>
    <row r="1750" spans="2:7">
      <c r="B1750" s="848" t="str">
        <f>+'4D'!BI28</f>
        <v>BA1070RWS</v>
      </c>
      <c r="D1750" s="2004"/>
      <c r="E1750" s="1658" t="s">
        <v>9033</v>
      </c>
      <c r="F1750" s="2004"/>
      <c r="G1750" s="2004">
        <f>IF('4D'!J28="","##BLANK",'4D'!J28)</f>
        <v>0.16599999999999995</v>
      </c>
    </row>
    <row r="1751" spans="2:7">
      <c r="B1751" s="848" t="str">
        <f>+'4D'!BI31</f>
        <v>BA1071RWS</v>
      </c>
      <c r="D1751" s="2004"/>
      <c r="E1751" s="1658" t="s">
        <v>9033</v>
      </c>
      <c r="F1751" s="2004"/>
      <c r="G1751" s="2004">
        <f>IF('4D'!J31="","##BLANK",'4D'!J31)</f>
        <v>0</v>
      </c>
    </row>
    <row r="1752" spans="2:7">
      <c r="B1752" s="848" t="str">
        <f>+'4D'!BI33</f>
        <v>BM325RWS</v>
      </c>
      <c r="D1752" s="2004"/>
      <c r="E1752" s="1658" t="s">
        <v>9033</v>
      </c>
      <c r="F1752" s="2004"/>
      <c r="G1752" s="2004">
        <f>IF('4D'!J33="","##BLANK",'4D'!J33)</f>
        <v>1.8980000000000001</v>
      </c>
    </row>
    <row r="1753" spans="2:7">
      <c r="B1753" s="848" t="str">
        <f>+'4D'!BI36</f>
        <v>CR00558RWS</v>
      </c>
      <c r="D1753" s="2004"/>
      <c r="E1753" s="1658" t="s">
        <v>9033</v>
      </c>
      <c r="F1753" s="2004"/>
      <c r="G1753" s="2004">
        <f>IF('4D'!J36="","##BLANK",'4D'!J36)</f>
        <v>0</v>
      </c>
    </row>
    <row r="1754" spans="2:7">
      <c r="B1754" s="848" t="str">
        <f>+'4D'!BI37</f>
        <v>CR00561RWS</v>
      </c>
      <c r="D1754" s="2004"/>
      <c r="E1754" s="1658" t="s">
        <v>9033</v>
      </c>
      <c r="F1754" s="2004"/>
      <c r="G1754" s="2004">
        <f>IF('4D'!J37="","##BLANK",'4D'!J37)</f>
        <v>0</v>
      </c>
    </row>
    <row r="1755" spans="2:7">
      <c r="B1755" s="848" t="str">
        <f>+'4D'!BI39</f>
        <v>W3026RWS</v>
      </c>
      <c r="D1755" s="2004"/>
      <c r="E1755" s="1658" t="s">
        <v>9033</v>
      </c>
      <c r="F1755" s="2004"/>
      <c r="G1755" s="2004">
        <f>IF('4D'!J39="","##BLANK",'4D'!J39)</f>
        <v>1.8980000000000001</v>
      </c>
    </row>
    <row r="1756" spans="2:7">
      <c r="B1756" s="848" t="str">
        <f>+'4D'!BI45</f>
        <v>CRASRWS005</v>
      </c>
      <c r="D1756" s="2004"/>
      <c r="E1756" s="1658" t="s">
        <v>9033</v>
      </c>
      <c r="F1756" s="2004"/>
      <c r="G1756" s="2004">
        <f>IF('4D'!J45="","##BLANK",'4D'!J45)</f>
        <v>3139.7750000000001</v>
      </c>
    </row>
    <row r="1757" spans="2:7">
      <c r="B1757" s="848" t="str">
        <f>+'4D'!BI48</f>
        <v>CRASRWS006</v>
      </c>
      <c r="D1757" s="2004"/>
      <c r="E1757" s="1658" t="s">
        <v>9033</v>
      </c>
      <c r="F1757" s="2004"/>
      <c r="G1757" s="2004">
        <f>IF('4D'!J48="","##BLANK",'4D'!J48)</f>
        <v>551.63188445031892</v>
      </c>
    </row>
    <row r="1758" spans="2:7">
      <c r="B1758" s="848" t="str">
        <f>+'4D'!BI49</f>
        <v>BN2590RWS</v>
      </c>
      <c r="D1758" s="2004"/>
      <c r="E1758" s="1658" t="s">
        <v>9033</v>
      </c>
      <c r="F1758" s="2004"/>
      <c r="G1758" s="2004">
        <f>IF('4D'!J49="","##BLANK",'4D'!J49)</f>
        <v>5071.1340710172544</v>
      </c>
    </row>
    <row r="1759" spans="2:7">
      <c r="B1759" s="848" t="str">
        <f>+'4D'!BI50</f>
        <v>BN2591RWS</v>
      </c>
      <c r="D1759" s="2004"/>
      <c r="E1759" s="1658" t="s">
        <v>9033</v>
      </c>
      <c r="F1759" s="2004"/>
      <c r="G1759" s="2004">
        <f>IF('4D'!J50="","##BLANK",'4D'!J50)</f>
        <v>0.34154096021613684</v>
      </c>
    </row>
    <row r="1760" spans="2:7">
      <c r="B1760" s="848" t="str">
        <f>+'4D'!BJ7</f>
        <v>BM102WT</v>
      </c>
      <c r="D1760" s="2004"/>
      <c r="E1760" s="1658" t="s">
        <v>9033</v>
      </c>
      <c r="F1760" s="2004"/>
      <c r="G1760" s="2004">
        <f>IF('4D'!K7="","##BLANK",'4D'!K7)</f>
        <v>9.2940000000000005</v>
      </c>
    </row>
    <row r="1761" spans="2:7">
      <c r="B1761" s="848" t="str">
        <f>+'4D'!BJ8</f>
        <v>BM336WT</v>
      </c>
      <c r="D1761" s="2004"/>
      <c r="E1761" s="1658" t="s">
        <v>9033</v>
      </c>
      <c r="F1761" s="2004"/>
      <c r="G1761" s="2004">
        <f>IF('4D'!K8="","##BLANK",'4D'!K8)</f>
        <v>0</v>
      </c>
    </row>
    <row r="1762" spans="2:7">
      <c r="B1762" s="848" t="str">
        <f>+'4D'!BJ9</f>
        <v>BM131WT</v>
      </c>
      <c r="D1762" s="2004"/>
      <c r="E1762" s="1658" t="s">
        <v>9033</v>
      </c>
      <c r="F1762" s="2004"/>
      <c r="G1762" s="2004">
        <f>IF('4D'!K9="","##BLANK",'4D'!K9)</f>
        <v>4.0000000000000001E-3</v>
      </c>
    </row>
    <row r="1763" spans="2:7">
      <c r="B1763" s="848" t="str">
        <f>+'4D'!BJ10</f>
        <v>BM140WT</v>
      </c>
      <c r="D1763" s="2004"/>
      <c r="E1763" s="1658" t="s">
        <v>9033</v>
      </c>
      <c r="F1763" s="2004"/>
      <c r="G1763" s="2004">
        <f>IF('4D'!K10="","##BLANK",'4D'!K10)</f>
        <v>0</v>
      </c>
    </row>
    <row r="1764" spans="2:7">
      <c r="B1764" s="848" t="str">
        <f>+'4D'!BJ11</f>
        <v>BM339WTIR</v>
      </c>
      <c r="D1764" s="2004"/>
      <c r="E1764" s="1658" t="s">
        <v>9033</v>
      </c>
      <c r="F1764" s="2004"/>
      <c r="G1764" s="2004">
        <f>IF('4D'!K11="","##BLANK",'4D'!K11)</f>
        <v>0</v>
      </c>
    </row>
    <row r="1765" spans="2:7">
      <c r="B1765" s="848" t="str">
        <f>+'4D'!BJ12</f>
        <v>BM339WTNIR</v>
      </c>
      <c r="D1765" s="2004"/>
      <c r="E1765" s="1658" t="s">
        <v>9033</v>
      </c>
      <c r="F1765" s="2004"/>
      <c r="G1765" s="2004">
        <f>IF('4D'!K12="","##BLANK",'4D'!K12)</f>
        <v>0</v>
      </c>
    </row>
    <row r="1766" spans="2:7">
      <c r="B1766" s="848" t="str">
        <f>+'4D'!BJ13</f>
        <v>BM339WTER</v>
      </c>
      <c r="D1766" s="2004"/>
      <c r="E1766" s="1658" t="s">
        <v>9033</v>
      </c>
      <c r="F1766" s="2004"/>
      <c r="G1766" s="2004">
        <f>IF('4D'!K13="","##BLANK",'4D'!K13)</f>
        <v>46.621000000000002</v>
      </c>
    </row>
    <row r="1767" spans="2:7">
      <c r="B1767" s="848" t="str">
        <f>+'4D'!BJ14</f>
        <v>BM317WT</v>
      </c>
      <c r="D1767" s="2004"/>
      <c r="E1767" s="1658" t="s">
        <v>9033</v>
      </c>
      <c r="F1767" s="2004"/>
      <c r="G1767" s="2004">
        <f>IF('4D'!K14="","##BLANK",'4D'!K14)</f>
        <v>1.179</v>
      </c>
    </row>
    <row r="1768" spans="2:7">
      <c r="B1768" s="848" t="str">
        <f>+'4D'!BJ15</f>
        <v>BM319WT</v>
      </c>
      <c r="D1768" s="2004"/>
      <c r="E1768" s="1658" t="s">
        <v>9033</v>
      </c>
      <c r="F1768" s="2004"/>
      <c r="G1768" s="2004">
        <f>IF('4D'!K15="","##BLANK",'4D'!K15)</f>
        <v>57.098000000000006</v>
      </c>
    </row>
    <row r="1769" spans="2:7">
      <c r="B1769" s="848" t="str">
        <f>+'4D'!BJ17</f>
        <v>BM323WT</v>
      </c>
      <c r="D1769" s="2004"/>
      <c r="E1769" s="1658" t="s">
        <v>9033</v>
      </c>
      <c r="F1769" s="2004"/>
      <c r="G1769" s="2004">
        <f>IF('4D'!K17="","##BLANK",'4D'!K17)</f>
        <v>0</v>
      </c>
    </row>
    <row r="1770" spans="2:7">
      <c r="B1770" s="848" t="str">
        <f>+'4D'!BJ18</f>
        <v>BM351WT</v>
      </c>
      <c r="D1770" s="2004"/>
      <c r="E1770" s="1658" t="s">
        <v>9033</v>
      </c>
      <c r="F1770" s="2004"/>
      <c r="G1770" s="2004">
        <f>IF('4D'!K18="","##BLANK",'4D'!K18)</f>
        <v>57.098000000000006</v>
      </c>
    </row>
    <row r="1771" spans="2:7">
      <c r="B1771" s="848" t="str">
        <f>+'4D'!BJ21</f>
        <v>BC30445WT</v>
      </c>
      <c r="D1771" s="2004"/>
      <c r="E1771" s="1658" t="s">
        <v>9033</v>
      </c>
      <c r="F1771" s="2004"/>
      <c r="G1771" s="2004">
        <f>IF('4D'!K21="","##BLANK",'4D'!K21)</f>
        <v>-2.5000000000000001E-2</v>
      </c>
    </row>
    <row r="1772" spans="2:7">
      <c r="B1772" s="848" t="str">
        <f>+'4D'!BJ22</f>
        <v>CW00036WT</v>
      </c>
      <c r="D1772" s="2004"/>
      <c r="E1772" s="1658" t="s">
        <v>9033</v>
      </c>
      <c r="F1772" s="2004"/>
      <c r="G1772" s="2004">
        <f>IF('4D'!K22="","##BLANK",'4D'!K22)</f>
        <v>42.128999999999998</v>
      </c>
    </row>
    <row r="1773" spans="2:7">
      <c r="B1773" s="848" t="str">
        <f>+'4D'!BJ23</f>
        <v>BC30444WT</v>
      </c>
      <c r="D1773" s="2004"/>
      <c r="E1773" s="1658" t="s">
        <v>9033</v>
      </c>
      <c r="F1773" s="2004"/>
      <c r="G1773" s="2004">
        <f>IF('4D'!K23="","##BLANK",'4D'!K23)</f>
        <v>0.13900000000000001</v>
      </c>
    </row>
    <row r="1774" spans="2:7">
      <c r="B1774" s="848" t="str">
        <f>+'4D'!BJ24</f>
        <v>CW00037WT</v>
      </c>
      <c r="D1774" s="2004"/>
      <c r="E1774" s="1658" t="s">
        <v>9033</v>
      </c>
      <c r="F1774" s="2004"/>
      <c r="G1774" s="2004">
        <f>IF('4D'!K24="","##BLANK",'4D'!K24)</f>
        <v>8.4130000000000003</v>
      </c>
    </row>
    <row r="1775" spans="2:7">
      <c r="B1775" s="848" t="str">
        <f>+'4D'!BJ25</f>
        <v>BC30449WT</v>
      </c>
      <c r="D1775" s="2004"/>
      <c r="E1775" s="1658" t="s">
        <v>9033</v>
      </c>
      <c r="F1775" s="2004"/>
      <c r="G1775" s="2004">
        <f>IF('4D'!K25="","##BLANK",'4D'!K25)</f>
        <v>0</v>
      </c>
    </row>
    <row r="1776" spans="2:7">
      <c r="B1776" s="848" t="str">
        <f>+'4D'!BJ26</f>
        <v>BC30498WT</v>
      </c>
      <c r="D1776" s="2004"/>
      <c r="E1776" s="1658" t="s">
        <v>9033</v>
      </c>
      <c r="F1776" s="2004"/>
      <c r="G1776" s="2004">
        <f>IF('4D'!K26="","##BLANK",'4D'!K26)</f>
        <v>50.656000000000006</v>
      </c>
    </row>
    <row r="1777" spans="2:7">
      <c r="B1777" s="848" t="str">
        <f>+'4D'!BJ27</f>
        <v>BM333WT</v>
      </c>
      <c r="D1777" s="2004"/>
      <c r="E1777" s="1658" t="s">
        <v>9033</v>
      </c>
      <c r="F1777" s="2004"/>
      <c r="G1777" s="2004">
        <f>IF('4D'!K27="","##BLANK",'4D'!K27)</f>
        <v>0</v>
      </c>
    </row>
    <row r="1778" spans="2:7">
      <c r="B1778" s="848" t="str">
        <f>+'4D'!BJ28</f>
        <v>BA1070WT</v>
      </c>
      <c r="D1778" s="2004"/>
      <c r="E1778" s="1658" t="s">
        <v>9033</v>
      </c>
      <c r="F1778" s="2004"/>
      <c r="G1778" s="2004">
        <f>IF('4D'!K28="","##BLANK",'4D'!K28)</f>
        <v>50.656000000000006</v>
      </c>
    </row>
    <row r="1779" spans="2:7">
      <c r="B1779" s="848" t="str">
        <f>+'4D'!BJ31</f>
        <v>BA1071WT</v>
      </c>
      <c r="D1779" s="2004"/>
      <c r="E1779" s="1658" t="s">
        <v>9033</v>
      </c>
      <c r="F1779" s="2004"/>
      <c r="G1779" s="2004">
        <f>IF('4D'!K31="","##BLANK",'4D'!K31)</f>
        <v>0</v>
      </c>
    </row>
    <row r="1780" spans="2:7">
      <c r="B1780" s="848" t="str">
        <f>+'4D'!BJ33</f>
        <v>BM325WT</v>
      </c>
      <c r="D1780" s="2004"/>
      <c r="E1780" s="1658" t="s">
        <v>9033</v>
      </c>
      <c r="F1780" s="2004"/>
      <c r="G1780" s="2004">
        <f>IF('4D'!K33="","##BLANK",'4D'!K33)</f>
        <v>107.75400000000002</v>
      </c>
    </row>
    <row r="1781" spans="2:7">
      <c r="B1781" s="848" t="str">
        <f>+'4D'!BJ36</f>
        <v>CR00558WT</v>
      </c>
      <c r="D1781" s="2004"/>
      <c r="E1781" s="1658" t="s">
        <v>9033</v>
      </c>
      <c r="F1781" s="2004"/>
      <c r="G1781" s="2004">
        <f>IF('4D'!K36="","##BLANK",'4D'!K36)</f>
        <v>0</v>
      </c>
    </row>
    <row r="1782" spans="2:7">
      <c r="B1782" s="848" t="str">
        <f>+'4D'!BJ37</f>
        <v>CR00561WT</v>
      </c>
      <c r="D1782" s="2004"/>
      <c r="E1782" s="1658" t="s">
        <v>9033</v>
      </c>
      <c r="F1782" s="2004"/>
      <c r="G1782" s="2004">
        <f>IF('4D'!K37="","##BLANK",'4D'!K37)</f>
        <v>0</v>
      </c>
    </row>
    <row r="1783" spans="2:7">
      <c r="B1783" s="848" t="str">
        <f>+'4D'!BJ39</f>
        <v>W3026WT</v>
      </c>
      <c r="D1783" s="2004"/>
      <c r="E1783" s="1658" t="s">
        <v>9033</v>
      </c>
      <c r="F1783" s="2004"/>
      <c r="G1783" s="2004">
        <f>IF('4D'!K39="","##BLANK",'4D'!K39)</f>
        <v>107.75400000000002</v>
      </c>
    </row>
    <row r="1784" spans="2:7">
      <c r="B1784" s="848" t="str">
        <f>+'4D'!BJ46</f>
        <v>CRASWT001D</v>
      </c>
      <c r="D1784" s="2004"/>
      <c r="E1784" s="1658" t="s">
        <v>9033</v>
      </c>
      <c r="F1784" s="2004"/>
      <c r="G1784" s="2004">
        <f>IF('4D'!K46="","##BLANK",'4D'!K46)</f>
        <v>456050.64</v>
      </c>
    </row>
    <row r="1785" spans="2:7">
      <c r="B1785" s="848" t="str">
        <f>+'4D'!BJ48</f>
        <v>CRASWT001C</v>
      </c>
      <c r="D1785" s="2004"/>
      <c r="E1785" s="1658" t="s">
        <v>9033</v>
      </c>
      <c r="F1785" s="2004"/>
      <c r="G1785" s="2004">
        <f>IF('4D'!K48="","##BLANK",'4D'!K48)</f>
        <v>125.20100837924491</v>
      </c>
    </row>
    <row r="1786" spans="2:7">
      <c r="B1786" s="848" t="str">
        <f>+'4D'!BJ49</f>
        <v>BN2590WT</v>
      </c>
      <c r="D1786" s="2004"/>
      <c r="E1786" s="1658" t="s">
        <v>9033</v>
      </c>
      <c r="F1786" s="2004"/>
      <c r="G1786" s="2004">
        <f>IF('4D'!K49="","##BLANK",'4D'!K49)</f>
        <v>5071.1340710172544</v>
      </c>
    </row>
    <row r="1787" spans="2:7">
      <c r="B1787" s="848" t="str">
        <f>+'4D'!BJ50</f>
        <v>BN2591WT</v>
      </c>
      <c r="D1787" s="2004"/>
      <c r="E1787" s="1658" t="s">
        <v>9033</v>
      </c>
      <c r="F1787" s="2004"/>
      <c r="G1787" s="2004">
        <f>IF('4D'!K50="","##BLANK",'4D'!K50)</f>
        <v>11.259414403245371</v>
      </c>
    </row>
    <row r="1788" spans="2:7">
      <c r="B1788" s="848" t="str">
        <f>+'4D'!BK7</f>
        <v>BM202TWD</v>
      </c>
      <c r="D1788" s="2004"/>
      <c r="E1788" s="1658" t="s">
        <v>9033</v>
      </c>
      <c r="F1788" s="2004"/>
      <c r="G1788" s="2004">
        <f>IF('4D'!L7="","##BLANK",'4D'!L7)</f>
        <v>12.13</v>
      </c>
    </row>
    <row r="1789" spans="2:7">
      <c r="B1789" s="848" t="str">
        <f>+'4D'!BK8</f>
        <v>BM336TWD</v>
      </c>
      <c r="D1789" s="2004"/>
      <c r="E1789" s="1658" t="s">
        <v>9033</v>
      </c>
      <c r="F1789" s="2004"/>
      <c r="G1789" s="2004">
        <f>IF('4D'!L8="","##BLANK",'4D'!L8)</f>
        <v>0</v>
      </c>
    </row>
    <row r="1790" spans="2:7">
      <c r="B1790" s="848" t="str">
        <f>+'4D'!BK9</f>
        <v>BM231TWD</v>
      </c>
      <c r="D1790" s="2004"/>
      <c r="E1790" s="1658" t="s">
        <v>9033</v>
      </c>
      <c r="F1790" s="2004"/>
      <c r="G1790" s="2004">
        <f>IF('4D'!L9="","##BLANK",'4D'!L9)</f>
        <v>0</v>
      </c>
    </row>
    <row r="1791" spans="2:7">
      <c r="B1791" s="848" t="str">
        <f>+'4D'!BK10</f>
        <v>BM240TWD</v>
      </c>
      <c r="D1791" s="2004"/>
      <c r="E1791" s="1658" t="s">
        <v>9033</v>
      </c>
      <c r="F1791" s="2004"/>
      <c r="G1791" s="2004">
        <f>IF('4D'!L10="","##BLANK",'4D'!L10)</f>
        <v>0</v>
      </c>
    </row>
    <row r="1792" spans="2:7">
      <c r="B1792" s="848" t="str">
        <f>+'4D'!BK11</f>
        <v>BM339TWDIR</v>
      </c>
      <c r="D1792" s="2004"/>
      <c r="E1792" s="1658" t="s">
        <v>9033</v>
      </c>
      <c r="F1792" s="2004"/>
      <c r="G1792" s="2004">
        <f>IF('4D'!L11="","##BLANK",'4D'!L11)</f>
        <v>0</v>
      </c>
    </row>
    <row r="1793" spans="2:7">
      <c r="B1793" s="848" t="str">
        <f>+'4D'!BK12</f>
        <v>BM339TWDNIR</v>
      </c>
      <c r="D1793" s="2004"/>
      <c r="E1793" s="1658" t="s">
        <v>9033</v>
      </c>
      <c r="F1793" s="2004"/>
      <c r="G1793" s="2004">
        <f>IF('4D'!L12="","##BLANK",'4D'!L12)</f>
        <v>0</v>
      </c>
    </row>
    <row r="1794" spans="2:7">
      <c r="B1794" s="848" t="str">
        <f>+'4D'!BK13</f>
        <v>BM339TWDER</v>
      </c>
      <c r="D1794" s="2004"/>
      <c r="E1794" s="1658" t="s">
        <v>9033</v>
      </c>
      <c r="F1794" s="2004"/>
      <c r="G1794" s="2004">
        <f>IF('4D'!L13="","##BLANK",'4D'!L13)</f>
        <v>107.63</v>
      </c>
    </row>
    <row r="1795" spans="2:7">
      <c r="B1795" s="848" t="str">
        <f>+'4D'!BK14</f>
        <v>BM317TWD</v>
      </c>
      <c r="D1795" s="2004"/>
      <c r="E1795" s="1658" t="s">
        <v>9033</v>
      </c>
      <c r="F1795" s="2004"/>
      <c r="G1795" s="2004">
        <f>IF('4D'!L14="","##BLANK",'4D'!L14)</f>
        <v>29.033000000000001</v>
      </c>
    </row>
    <row r="1796" spans="2:7">
      <c r="B1796" s="848" t="str">
        <f>+'4D'!BK15</f>
        <v>BM319TWD</v>
      </c>
      <c r="D1796" s="2004"/>
      <c r="E1796" s="1658" t="s">
        <v>9033</v>
      </c>
      <c r="F1796" s="2004"/>
      <c r="G1796" s="2004">
        <f>IF('4D'!L15="","##BLANK",'4D'!L15)</f>
        <v>148.79300000000001</v>
      </c>
    </row>
    <row r="1797" spans="2:7">
      <c r="B1797" s="848" t="str">
        <f>+'4D'!BK17</f>
        <v>BM323TWD</v>
      </c>
      <c r="D1797" s="2004"/>
      <c r="E1797" s="1658" t="s">
        <v>9033</v>
      </c>
      <c r="F1797" s="2004"/>
      <c r="G1797" s="2004">
        <f>IF('4D'!L17="","##BLANK",'4D'!L17)</f>
        <v>1.4550000000000001</v>
      </c>
    </row>
    <row r="1798" spans="2:7">
      <c r="B1798" s="848" t="str">
        <f>+'4D'!BK18</f>
        <v>BM351TWD</v>
      </c>
      <c r="D1798" s="2004"/>
      <c r="E1798" s="1658" t="s">
        <v>9033</v>
      </c>
      <c r="F1798" s="2004"/>
      <c r="G1798" s="2004">
        <f>IF('4D'!L18="","##BLANK",'4D'!L18)</f>
        <v>150.24800000000002</v>
      </c>
    </row>
    <row r="1799" spans="2:7">
      <c r="B1799" s="848" t="str">
        <f>+'4D'!BK21</f>
        <v>BC30445TWD</v>
      </c>
      <c r="D1799" s="2004"/>
      <c r="E1799" s="1658" t="s">
        <v>9033</v>
      </c>
      <c r="F1799" s="2004"/>
      <c r="G1799" s="2004">
        <f>IF('4D'!L21="","##BLANK",'4D'!L21)</f>
        <v>29.382000000000001</v>
      </c>
    </row>
    <row r="1800" spans="2:7">
      <c r="B1800" s="848" t="str">
        <f>+'4D'!BK22</f>
        <v>CW00036TWD</v>
      </c>
      <c r="D1800" s="2004"/>
      <c r="E1800" s="1658" t="s">
        <v>9033</v>
      </c>
      <c r="F1800" s="2004"/>
      <c r="G1800" s="2004">
        <f>IF('4D'!L22="","##BLANK",'4D'!L22)</f>
        <v>29.143999999999998</v>
      </c>
    </row>
    <row r="1801" spans="2:7">
      <c r="B1801" s="848" t="str">
        <f>+'4D'!BK23</f>
        <v>BC30444TWD</v>
      </c>
      <c r="D1801" s="2004"/>
      <c r="E1801" s="1658" t="s">
        <v>9033</v>
      </c>
      <c r="F1801" s="2004"/>
      <c r="G1801" s="2004">
        <f>IF('4D'!L23="","##BLANK",'4D'!L23)</f>
        <v>40.616</v>
      </c>
    </row>
    <row r="1802" spans="2:7">
      <c r="B1802" s="848" t="str">
        <f>+'4D'!BK24</f>
        <v>CW00037TWD</v>
      </c>
      <c r="D1802" s="2004"/>
      <c r="E1802" s="1658" t="s">
        <v>9033</v>
      </c>
      <c r="F1802" s="2004"/>
      <c r="G1802" s="2004">
        <f>IF('4D'!L24="","##BLANK",'4D'!L24)</f>
        <v>34.527000000000001</v>
      </c>
    </row>
    <row r="1803" spans="2:7">
      <c r="B1803" s="848" t="str">
        <f>+'4D'!BK25</f>
        <v>BC30449TWD</v>
      </c>
      <c r="D1803" s="2004"/>
      <c r="E1803" s="1658" t="s">
        <v>9033</v>
      </c>
      <c r="F1803" s="2004"/>
      <c r="G1803" s="2004">
        <f>IF('4D'!L25="","##BLANK",'4D'!L25)</f>
        <v>4.4180000000000001</v>
      </c>
    </row>
    <row r="1804" spans="2:7">
      <c r="B1804" s="848" t="str">
        <f>+'4D'!BK26</f>
        <v>BC30498TWD</v>
      </c>
      <c r="D1804" s="2004"/>
      <c r="E1804" s="1658" t="s">
        <v>9033</v>
      </c>
      <c r="F1804" s="2004"/>
      <c r="G1804" s="2004">
        <f>IF('4D'!L26="","##BLANK",'4D'!L26)</f>
        <v>138.08699999999999</v>
      </c>
    </row>
    <row r="1805" spans="2:7">
      <c r="B1805" s="848" t="str">
        <f>+'4D'!BK27</f>
        <v>BM333TWD</v>
      </c>
      <c r="D1805" s="2004"/>
      <c r="E1805" s="1658" t="s">
        <v>9033</v>
      </c>
      <c r="F1805" s="2004"/>
      <c r="G1805" s="2004">
        <f>IF('4D'!L27="","##BLANK",'4D'!L27)</f>
        <v>0</v>
      </c>
    </row>
    <row r="1806" spans="2:7">
      <c r="B1806" s="848" t="str">
        <f>+'4D'!BK28</f>
        <v>BA1070TWD</v>
      </c>
      <c r="D1806" s="2004"/>
      <c r="E1806" s="1658" t="s">
        <v>9033</v>
      </c>
      <c r="F1806" s="2004"/>
      <c r="G1806" s="2004">
        <f>IF('4D'!L28="","##BLANK",'4D'!L28)</f>
        <v>138.08699999999999</v>
      </c>
    </row>
    <row r="1807" spans="2:7">
      <c r="B1807" s="848" t="str">
        <f>+'4D'!BK31</f>
        <v>BA1071TWD</v>
      </c>
      <c r="D1807" s="2004"/>
      <c r="E1807" s="1658" t="s">
        <v>9033</v>
      </c>
      <c r="F1807" s="2004"/>
      <c r="G1807" s="2004">
        <f>IF('4D'!L31="","##BLANK",'4D'!L31)</f>
        <v>15.95</v>
      </c>
    </row>
    <row r="1808" spans="2:7">
      <c r="B1808" s="848" t="str">
        <f>+'4D'!BK33</f>
        <v>BM325TWD</v>
      </c>
      <c r="D1808" s="2004"/>
      <c r="E1808" s="1658" t="s">
        <v>9033</v>
      </c>
      <c r="F1808" s="2004"/>
      <c r="G1808" s="2004">
        <f>IF('4D'!L33="","##BLANK",'4D'!L33)</f>
        <v>272.38500000000005</v>
      </c>
    </row>
    <row r="1809" spans="2:7">
      <c r="B1809" s="848" t="str">
        <f>+'4D'!BK36</f>
        <v>CR00558TWD</v>
      </c>
      <c r="D1809" s="2004"/>
      <c r="E1809" s="1658" t="s">
        <v>9033</v>
      </c>
      <c r="F1809" s="2004"/>
      <c r="G1809" s="2004">
        <f>IF('4D'!L36="","##BLANK",'4D'!L36)</f>
        <v>0</v>
      </c>
    </row>
    <row r="1810" spans="2:7">
      <c r="B1810" s="848" t="str">
        <f>+'4D'!BK37</f>
        <v>CR00561TWD</v>
      </c>
      <c r="D1810" s="2004"/>
      <c r="E1810" s="1658" t="s">
        <v>9033</v>
      </c>
      <c r="F1810" s="2004"/>
      <c r="G1810" s="2004">
        <f>IF('4D'!L37="","##BLANK",'4D'!L37)</f>
        <v>0</v>
      </c>
    </row>
    <row r="1811" spans="2:7">
      <c r="B1811" s="848" t="str">
        <f>+'4D'!BK39</f>
        <v>W3026TWD</v>
      </c>
      <c r="D1811" s="2004"/>
      <c r="E1811" s="1658" t="s">
        <v>9033</v>
      </c>
      <c r="F1811" s="2004"/>
      <c r="G1811" s="2004">
        <f>IF('4D'!L39="","##BLANK",'4D'!L39)</f>
        <v>272.38500000000005</v>
      </c>
    </row>
    <row r="1812" spans="2:7">
      <c r="B1812" s="848" t="str">
        <f>+'4D'!BK47</f>
        <v>CRASTWD005</v>
      </c>
      <c r="D1812" s="2004"/>
      <c r="E1812" s="1658" t="s">
        <v>9033</v>
      </c>
      <c r="F1812" s="2004"/>
      <c r="G1812" s="2004">
        <f>IF('4D'!L47="","##BLANK",'4D'!L47)</f>
        <v>456050.64</v>
      </c>
    </row>
    <row r="1813" spans="2:7">
      <c r="B1813" s="848" t="str">
        <f>+'4D'!BK48</f>
        <v>CRASTWD006</v>
      </c>
      <c r="D1813" s="2004"/>
      <c r="E1813" s="1658" t="s">
        <v>9033</v>
      </c>
      <c r="F1813" s="2004"/>
      <c r="G1813" s="2004">
        <f>IF('4D'!L48="","##BLANK",'4D'!L48)</f>
        <v>329.45464126527708</v>
      </c>
    </row>
    <row r="1814" spans="2:7">
      <c r="B1814" s="848" t="str">
        <f>+'4D'!BK49</f>
        <v>BN2590TWD</v>
      </c>
      <c r="D1814" s="2004"/>
      <c r="E1814" s="1658" t="s">
        <v>9033</v>
      </c>
      <c r="F1814" s="2004"/>
      <c r="G1814" s="2004">
        <f>IF('4D'!L49="","##BLANK",'4D'!L49)</f>
        <v>5071.1340710172544</v>
      </c>
    </row>
    <row r="1815" spans="2:7">
      <c r="B1815" s="848" t="str">
        <f>+'4D'!BK50</f>
        <v>BN2591TWD</v>
      </c>
      <c r="D1815" s="2004"/>
      <c r="E1815" s="1658" t="s">
        <v>9033</v>
      </c>
      <c r="F1815" s="2004"/>
      <c r="G1815" s="2004">
        <f>IF('4D'!L50="","##BLANK",'4D'!L50)</f>
        <v>29.62808671510054</v>
      </c>
    </row>
    <row r="1816" spans="2:7">
      <c r="B1816" s="848" t="str">
        <f>+'4D'!BL7</f>
        <v>BM302TAS</v>
      </c>
      <c r="D1816" s="2004"/>
      <c r="E1816" s="1658" t="s">
        <v>9033</v>
      </c>
      <c r="F1816" s="2004"/>
      <c r="G1816" s="2004">
        <f>IF('4D'!M7="","##BLANK",'4D'!M7)</f>
        <v>28.057000000000002</v>
      </c>
    </row>
    <row r="1817" spans="2:7">
      <c r="B1817" s="848" t="str">
        <f>+'4D'!BL8</f>
        <v>BM336TAS</v>
      </c>
      <c r="D1817" s="2004"/>
      <c r="E1817" s="1658" t="s">
        <v>9033</v>
      </c>
      <c r="F1817" s="2004"/>
      <c r="G1817" s="2004">
        <f>IF('4D'!M8="","##BLANK",'4D'!M8)</f>
        <v>0</v>
      </c>
    </row>
    <row r="1818" spans="2:7">
      <c r="B1818" s="848" t="str">
        <f>+'4D'!BL9</f>
        <v>BM331TAS</v>
      </c>
      <c r="D1818" s="2004"/>
      <c r="E1818" s="1658" t="s">
        <v>9033</v>
      </c>
      <c r="F1818" s="2004"/>
      <c r="G1818" s="2004">
        <f>IF('4D'!M9="","##BLANK",'4D'!M9)</f>
        <v>5.5529999999999999</v>
      </c>
    </row>
    <row r="1819" spans="2:7">
      <c r="B1819" s="848" t="str">
        <f>+'4D'!BL10</f>
        <v>BM340TAS</v>
      </c>
      <c r="D1819" s="2004"/>
      <c r="E1819" s="1658" t="s">
        <v>9033</v>
      </c>
      <c r="F1819" s="2004"/>
      <c r="G1819" s="2004">
        <f>IF('4D'!M10="","##BLANK",'4D'!M10)</f>
        <v>3.8039999999999998</v>
      </c>
    </row>
    <row r="1820" spans="2:7">
      <c r="B1820" s="848" t="str">
        <f>+'4D'!BL11</f>
        <v>BM339TASIR</v>
      </c>
      <c r="D1820" s="2004"/>
      <c r="E1820" s="1658" t="s">
        <v>9033</v>
      </c>
      <c r="F1820" s="2004"/>
      <c r="G1820" s="2004">
        <f>IF('4D'!M11="","##BLANK",'4D'!M11)</f>
        <v>0</v>
      </c>
    </row>
    <row r="1821" spans="2:7">
      <c r="B1821" s="848" t="str">
        <f>+'4D'!BL12</f>
        <v>BM339TASNIR</v>
      </c>
      <c r="D1821" s="2004"/>
      <c r="E1821" s="1658" t="s">
        <v>9033</v>
      </c>
      <c r="F1821" s="2004"/>
      <c r="G1821" s="2004">
        <f>IF('4D'!M12="","##BLANK",'4D'!M12)</f>
        <v>0</v>
      </c>
    </row>
    <row r="1822" spans="2:7">
      <c r="B1822" s="848" t="str">
        <f>+'4D'!BL13</f>
        <v>BM339TASER</v>
      </c>
      <c r="D1822" s="2004"/>
      <c r="E1822" s="1658" t="s">
        <v>9033</v>
      </c>
      <c r="F1822" s="2004"/>
      <c r="G1822" s="2004">
        <f>IF('4D'!M13="","##BLANK",'4D'!M13)</f>
        <v>168.233</v>
      </c>
    </row>
    <row r="1823" spans="2:7">
      <c r="B1823" s="848" t="str">
        <f>+'4D'!BL14</f>
        <v>BM317TAS</v>
      </c>
      <c r="D1823" s="2004"/>
      <c r="E1823" s="1658" t="s">
        <v>9033</v>
      </c>
      <c r="F1823" s="2004"/>
      <c r="G1823" s="2004">
        <f>IF('4D'!M14="","##BLANK",'4D'!M14)</f>
        <v>40.801000000000002</v>
      </c>
    </row>
    <row r="1824" spans="2:7">
      <c r="B1824" s="848" t="str">
        <f>+'4D'!BL15</f>
        <v>BM319TAS</v>
      </c>
      <c r="D1824" s="2004"/>
      <c r="E1824" s="1658" t="s">
        <v>9033</v>
      </c>
      <c r="F1824" s="2004"/>
      <c r="G1824" s="2004">
        <f>IF('4D'!M15="","##BLANK",'4D'!M15)</f>
        <v>246.44800000000001</v>
      </c>
    </row>
    <row r="1825" spans="2:7">
      <c r="B1825" s="848" t="str">
        <f>+'4D'!BL17</f>
        <v>BM323TAS</v>
      </c>
      <c r="D1825" s="2004"/>
      <c r="E1825" s="1658" t="s">
        <v>9033</v>
      </c>
      <c r="F1825" s="2004"/>
      <c r="G1825" s="2004">
        <f>IF('4D'!M17="","##BLANK",'4D'!M17)</f>
        <v>1.4550000000000001</v>
      </c>
    </row>
    <row r="1826" spans="2:7">
      <c r="B1826" s="848" t="str">
        <f>+'4D'!BL18</f>
        <v>BM351TAS</v>
      </c>
      <c r="D1826" s="2004"/>
      <c r="E1826" s="1658" t="s">
        <v>9033</v>
      </c>
      <c r="F1826" s="2004"/>
      <c r="G1826" s="2004">
        <f>IF('4D'!M18="","##BLANK",'4D'!M18)</f>
        <v>247.90300000000002</v>
      </c>
    </row>
    <row r="1827" spans="2:7">
      <c r="B1827" s="848" t="str">
        <f>+'4D'!BL21</f>
        <v>BC30445</v>
      </c>
      <c r="D1827" s="2004"/>
      <c r="E1827" s="1658" t="s">
        <v>9033</v>
      </c>
      <c r="F1827" s="2004"/>
      <c r="G1827" s="2004">
        <f>IF('4D'!M21="","##BLANK",'4D'!M21)</f>
        <v>36.831000000000003</v>
      </c>
    </row>
    <row r="1828" spans="2:7">
      <c r="B1828" s="848" t="str">
        <f>+'4D'!BL22</f>
        <v>CW00036</v>
      </c>
      <c r="D1828" s="2004"/>
      <c r="E1828" s="1658" t="s">
        <v>9033</v>
      </c>
      <c r="F1828" s="2004"/>
      <c r="G1828" s="2004">
        <f>IF('4D'!M22="","##BLANK",'4D'!M22)</f>
        <v>75.310999999999993</v>
      </c>
    </row>
    <row r="1829" spans="2:7">
      <c r="B1829" s="848" t="str">
        <f>+'4D'!BL23</f>
        <v>BC30444TAS</v>
      </c>
      <c r="D1829" s="2004"/>
      <c r="E1829" s="1658" t="s">
        <v>9033</v>
      </c>
      <c r="F1829" s="2004"/>
      <c r="G1829" s="2004">
        <f>IF('4D'!M23="","##BLANK",'4D'!M23)</f>
        <v>41.472999999999999</v>
      </c>
    </row>
    <row r="1830" spans="2:7">
      <c r="B1830" s="848" t="str">
        <f>+'4D'!BL24</f>
        <v>CW00037TAS</v>
      </c>
      <c r="D1830" s="2004"/>
      <c r="E1830" s="1658" t="s">
        <v>9033</v>
      </c>
      <c r="F1830" s="2004"/>
      <c r="G1830" s="2004">
        <f>IF('4D'!M24="","##BLANK",'4D'!M24)</f>
        <v>46.278000000000006</v>
      </c>
    </row>
    <row r="1831" spans="2:7">
      <c r="B1831" s="848" t="str">
        <f>+'4D'!BL25</f>
        <v>BC30449</v>
      </c>
      <c r="D1831" s="2004"/>
      <c r="E1831" s="1658" t="s">
        <v>9033</v>
      </c>
      <c r="F1831" s="2004"/>
      <c r="G1831" s="2004">
        <f>IF('4D'!M25="","##BLANK",'4D'!M25)</f>
        <v>4.4180000000000001</v>
      </c>
    </row>
    <row r="1832" spans="2:7">
      <c r="B1832" s="848" t="str">
        <f>+'4D'!BL26</f>
        <v>BC30498TAS</v>
      </c>
      <c r="D1832" s="2004"/>
      <c r="E1832" s="1658" t="s">
        <v>9033</v>
      </c>
      <c r="F1832" s="2004"/>
      <c r="G1832" s="2004">
        <f>IF('4D'!M26="","##BLANK",'4D'!M26)</f>
        <v>204.31099999999998</v>
      </c>
    </row>
    <row r="1833" spans="2:7">
      <c r="B1833" s="848" t="str">
        <f>+'4D'!BL27</f>
        <v>BM333TAS</v>
      </c>
      <c r="D1833" s="2004"/>
      <c r="E1833" s="1658" t="s">
        <v>9033</v>
      </c>
      <c r="F1833" s="2004"/>
      <c r="G1833" s="2004">
        <f>IF('4D'!M27="","##BLANK",'4D'!M27)</f>
        <v>0</v>
      </c>
    </row>
    <row r="1834" spans="2:7">
      <c r="B1834" s="848" t="str">
        <f>+'4D'!BL28</f>
        <v>BA1070TAS</v>
      </c>
      <c r="D1834" s="2004"/>
      <c r="E1834" s="1658" t="s">
        <v>9033</v>
      </c>
      <c r="F1834" s="2004"/>
      <c r="G1834" s="2004">
        <f>IF('4D'!M28="","##BLANK",'4D'!M28)</f>
        <v>204.31099999999998</v>
      </c>
    </row>
    <row r="1835" spans="2:7">
      <c r="B1835" s="848" t="str">
        <f>+'4D'!BL31</f>
        <v>BA1071TAS</v>
      </c>
      <c r="D1835" s="2004"/>
      <c r="E1835" s="1658" t="s">
        <v>9033</v>
      </c>
      <c r="F1835" s="2004"/>
      <c r="G1835" s="2004">
        <f>IF('4D'!M31="","##BLANK",'4D'!M31)</f>
        <v>16.183</v>
      </c>
    </row>
    <row r="1836" spans="2:7">
      <c r="B1836" s="848" t="str">
        <f>+'4D'!BL33</f>
        <v>BM325TAS</v>
      </c>
      <c r="D1836" s="2004"/>
      <c r="E1836" s="1658" t="s">
        <v>9033</v>
      </c>
      <c r="F1836" s="2004"/>
      <c r="G1836" s="2004">
        <f>IF('4D'!M33="","##BLANK",'4D'!M33)</f>
        <v>436.03100000000006</v>
      </c>
    </row>
    <row r="1837" spans="2:7">
      <c r="B1837" s="848" t="str">
        <f>+'4D'!BL36</f>
        <v>CR00558TOT</v>
      </c>
      <c r="D1837" s="2004"/>
      <c r="E1837" s="1658" t="s">
        <v>9033</v>
      </c>
      <c r="F1837" s="2004"/>
      <c r="G1837" s="2004">
        <f>IF('4D'!M36="","##BLANK",'4D'!M36)</f>
        <v>0</v>
      </c>
    </row>
    <row r="1838" spans="2:7">
      <c r="B1838" s="848" t="str">
        <f>+'4D'!BL37</f>
        <v>CR00561TOT</v>
      </c>
      <c r="D1838" s="2004"/>
      <c r="E1838" s="1658" t="s">
        <v>9033</v>
      </c>
      <c r="F1838" s="2004"/>
      <c r="G1838" s="2004">
        <f>IF('4D'!M37="","##BLANK",'4D'!M37)</f>
        <v>0</v>
      </c>
    </row>
    <row r="1839" spans="2:7">
      <c r="B1839" s="848" t="str">
        <f>+'4D'!BL39</f>
        <v>W3026TOT</v>
      </c>
      <c r="D1839" s="2004"/>
      <c r="E1839" s="1658" t="s">
        <v>9033</v>
      </c>
      <c r="F1839" s="2004"/>
      <c r="G1839" s="2004">
        <f>IF('4D'!M39="","##BLANK",'4D'!M39)</f>
        <v>436.03100000000006</v>
      </c>
    </row>
    <row r="1840" spans="2:7">
      <c r="B1840" s="848" t="str">
        <f>+'4E'!BF7</f>
        <v>BM402F</v>
      </c>
      <c r="D1840" s="2004"/>
      <c r="E1840" s="1658" t="s">
        <v>9033</v>
      </c>
      <c r="F1840" s="2004"/>
      <c r="G1840" s="2004">
        <f>IF('4E'!G7="","##BLANK",'4E'!G7)</f>
        <v>1.768</v>
      </c>
    </row>
    <row r="1841" spans="2:7">
      <c r="B1841" s="848" t="str">
        <f>+'4E'!BF8</f>
        <v>BM836F</v>
      </c>
      <c r="D1841" s="2004"/>
      <c r="E1841" s="1658" t="s">
        <v>9033</v>
      </c>
      <c r="F1841" s="2004"/>
      <c r="G1841" s="2004">
        <f>IF('4E'!G8="","##BLANK",'4E'!G8)</f>
        <v>0</v>
      </c>
    </row>
    <row r="1842" spans="2:7">
      <c r="B1842" s="848" t="str">
        <f>+'4E'!BF9</f>
        <v>BM131F</v>
      </c>
      <c r="D1842" s="2004"/>
      <c r="E1842" s="1658" t="s">
        <v>9033</v>
      </c>
      <c r="F1842" s="2004"/>
      <c r="G1842" s="2004">
        <f>IF('4E'!G9="","##BLANK",'4E'!G9)</f>
        <v>0.68100000000000005</v>
      </c>
    </row>
    <row r="1843" spans="2:7">
      <c r="B1843" s="848" t="str">
        <f>+'4E'!BF10</f>
        <v>BM140F</v>
      </c>
      <c r="D1843" s="2004"/>
      <c r="E1843" s="1658" t="s">
        <v>9033</v>
      </c>
      <c r="F1843" s="2004"/>
      <c r="G1843" s="2004">
        <f>IF('4E'!G10="","##BLANK",'4E'!G10)</f>
        <v>0</v>
      </c>
    </row>
    <row r="1844" spans="2:7">
      <c r="B1844" s="848" t="str">
        <f>+'4E'!BF11</f>
        <v>BM839FIR</v>
      </c>
      <c r="D1844" s="2004"/>
      <c r="E1844" s="1658" t="s">
        <v>9033</v>
      </c>
      <c r="F1844" s="2004"/>
      <c r="G1844" s="2004">
        <f>IF('4E'!G11="","##BLANK",'4E'!G11)</f>
        <v>0</v>
      </c>
    </row>
    <row r="1845" spans="2:7">
      <c r="B1845" s="848" t="str">
        <f>+'4E'!BF12</f>
        <v>BM839FNIR</v>
      </c>
      <c r="D1845" s="2004"/>
      <c r="E1845" s="1658" t="s">
        <v>9033</v>
      </c>
      <c r="F1845" s="2004"/>
      <c r="G1845" s="2004">
        <f>IF('4E'!G12="","##BLANK",'4E'!G12)</f>
        <v>0</v>
      </c>
    </row>
    <row r="1846" spans="2:7">
      <c r="B1846" s="848" t="str">
        <f>+'4E'!BF13</f>
        <v>BM839FER</v>
      </c>
      <c r="D1846" s="2004"/>
      <c r="E1846" s="1658" t="s">
        <v>9033</v>
      </c>
      <c r="F1846" s="2004"/>
      <c r="G1846" s="2004">
        <f>IF('4E'!G13="","##BLANK",'4E'!G13)</f>
        <v>27.814</v>
      </c>
    </row>
    <row r="1847" spans="2:7">
      <c r="B1847" s="848" t="str">
        <f>+'4E'!BF14</f>
        <v>BM817F</v>
      </c>
      <c r="D1847" s="2004"/>
      <c r="E1847" s="1658" t="s">
        <v>9033</v>
      </c>
      <c r="F1847" s="2004"/>
      <c r="G1847" s="2004">
        <f>IF('4E'!G14="","##BLANK",'4E'!G14)</f>
        <v>8.5000000000000006E-2</v>
      </c>
    </row>
    <row r="1848" spans="2:7">
      <c r="B1848" s="848" t="str">
        <f>+'4E'!BF15</f>
        <v>BM844F</v>
      </c>
      <c r="D1848" s="2004"/>
      <c r="E1848" s="1658" t="s">
        <v>9033</v>
      </c>
      <c r="F1848" s="2004"/>
      <c r="G1848" s="2004">
        <f>IF('4E'!G15="","##BLANK",'4E'!G15)</f>
        <v>30.347999999999999</v>
      </c>
    </row>
    <row r="1849" spans="2:7">
      <c r="B1849" s="848" t="str">
        <f>+'4E'!BF17</f>
        <v>BM823F</v>
      </c>
      <c r="D1849" s="2004"/>
      <c r="E1849" s="1658" t="s">
        <v>9033</v>
      </c>
      <c r="F1849" s="2004"/>
      <c r="G1849" s="2004">
        <f>IF('4E'!G17="","##BLANK",'4E'!G17)</f>
        <v>0</v>
      </c>
    </row>
    <row r="1850" spans="2:7">
      <c r="B1850" s="848" t="str">
        <f>+'4E'!BF18</f>
        <v>BM850F</v>
      </c>
      <c r="D1850" s="2004"/>
      <c r="E1850" s="1658" t="s">
        <v>9033</v>
      </c>
      <c r="F1850" s="2004"/>
      <c r="G1850" s="2004">
        <f>IF('4E'!G18="","##BLANK",'4E'!G18)</f>
        <v>30.347999999999999</v>
      </c>
    </row>
    <row r="1851" spans="2:7">
      <c r="B1851" s="848" t="str">
        <f>+'4E'!BF21</f>
        <v>BC30945F</v>
      </c>
      <c r="D1851" s="2004"/>
      <c r="E1851" s="1658" t="s">
        <v>9033</v>
      </c>
      <c r="F1851" s="2004"/>
      <c r="G1851" s="2004">
        <f>IF('4E'!G21="","##BLANK",'4E'!G21)</f>
        <v>11.992000000000001</v>
      </c>
    </row>
    <row r="1852" spans="2:7">
      <c r="B1852" s="848" t="str">
        <f>+'4E'!BF22</f>
        <v>CS00036F</v>
      </c>
      <c r="D1852" s="2004"/>
      <c r="E1852" s="1658" t="s">
        <v>9033</v>
      </c>
      <c r="F1852" s="2004"/>
      <c r="G1852" s="2004">
        <f>IF('4E'!G22="","##BLANK",'4E'!G22)</f>
        <v>9.5570000000000004</v>
      </c>
    </row>
    <row r="1853" spans="2:7">
      <c r="B1853" s="848" t="str">
        <f>+'4E'!BF23</f>
        <v>BC30944F</v>
      </c>
      <c r="D1853" s="2004"/>
      <c r="E1853" s="1658" t="s">
        <v>9033</v>
      </c>
      <c r="F1853" s="2004"/>
      <c r="G1853" s="2004">
        <f>IF('4E'!G23="","##BLANK",'4E'!G23)</f>
        <v>17.324000000000002</v>
      </c>
    </row>
    <row r="1854" spans="2:7">
      <c r="B1854" s="848" t="str">
        <f>+'4E'!BF24</f>
        <v>CS00037F</v>
      </c>
      <c r="D1854" s="2004"/>
      <c r="E1854" s="1658" t="s">
        <v>9033</v>
      </c>
      <c r="F1854" s="2004"/>
      <c r="G1854" s="2004">
        <f>IF('4E'!G24="","##BLANK",'4E'!G24)</f>
        <v>10.999000000000001</v>
      </c>
    </row>
    <row r="1855" spans="2:7">
      <c r="B1855" s="848" t="str">
        <f>+'4E'!BF25</f>
        <v>BC30849F</v>
      </c>
      <c r="D1855" s="2004"/>
      <c r="E1855" s="1658" t="s">
        <v>9033</v>
      </c>
      <c r="F1855" s="2004"/>
      <c r="G1855" s="2004">
        <f>IF('4E'!G25="","##BLANK",'4E'!G25)</f>
        <v>1.079</v>
      </c>
    </row>
    <row r="1856" spans="2:7">
      <c r="B1856" s="848" t="str">
        <f>+'4E'!BF26</f>
        <v>BC30998F</v>
      </c>
      <c r="D1856" s="2004"/>
      <c r="E1856" s="1658" t="s">
        <v>9033</v>
      </c>
      <c r="F1856" s="2004"/>
      <c r="G1856" s="2004">
        <f>IF('4E'!G26="","##BLANK",'4E'!G26)</f>
        <v>50.951000000000008</v>
      </c>
    </row>
    <row r="1857" spans="2:7">
      <c r="B1857" s="848" t="str">
        <f>+'4E'!BF27</f>
        <v>BM833F</v>
      </c>
      <c r="D1857" s="2004"/>
      <c r="E1857" s="1658" t="s">
        <v>9033</v>
      </c>
      <c r="F1857" s="2004"/>
      <c r="G1857" s="2004">
        <f>IF('4E'!G27="","##BLANK",'4E'!G27)</f>
        <v>0</v>
      </c>
    </row>
    <row r="1858" spans="2:7">
      <c r="B1858" s="848" t="str">
        <f>+'4E'!BF28</f>
        <v>BA2120F</v>
      </c>
      <c r="D1858" s="2004"/>
      <c r="E1858" s="1658" t="s">
        <v>9033</v>
      </c>
      <c r="F1858" s="2004"/>
      <c r="G1858" s="2004">
        <f>IF('4E'!G28="","##BLANK",'4E'!G28)</f>
        <v>50.951000000000008</v>
      </c>
    </row>
    <row r="1859" spans="2:7">
      <c r="B1859" s="848" t="str">
        <f>+'4E'!BF31</f>
        <v>BA2121F</v>
      </c>
      <c r="D1859" s="2004"/>
      <c r="E1859" s="1658" t="s">
        <v>9033</v>
      </c>
      <c r="F1859" s="2004"/>
      <c r="G1859" s="2004">
        <f>IF('4E'!G31="","##BLANK",'4E'!G31)</f>
        <v>3.7650000000000001</v>
      </c>
    </row>
    <row r="1860" spans="2:7">
      <c r="B1860" s="848" t="str">
        <f>+'4E'!BF33</f>
        <v>BM825F</v>
      </c>
      <c r="D1860" s="2004"/>
      <c r="E1860" s="1658" t="s">
        <v>9033</v>
      </c>
      <c r="F1860" s="2004"/>
      <c r="G1860" s="2004">
        <f>IF('4E'!G33="","##BLANK",'4E'!G33)</f>
        <v>77.534000000000006</v>
      </c>
    </row>
    <row r="1861" spans="2:7">
      <c r="B1861" s="848" t="str">
        <f>+'4E'!BF36</f>
        <v>CR00559F</v>
      </c>
      <c r="D1861" s="2004"/>
      <c r="E1861" s="1658" t="s">
        <v>9033</v>
      </c>
      <c r="F1861" s="2004"/>
      <c r="G1861" s="2004">
        <f>IF('4E'!G36="","##BLANK",'4E'!G36)</f>
        <v>0</v>
      </c>
    </row>
    <row r="1862" spans="2:7">
      <c r="B1862" s="848" t="str">
        <f>+'4E'!BF37</f>
        <v>CR00562F</v>
      </c>
      <c r="D1862" s="2004"/>
      <c r="E1862" s="1658" t="s">
        <v>9033</v>
      </c>
      <c r="F1862" s="2004"/>
      <c r="G1862" s="2004">
        <f>IF('4E'!G37="","##BLANK",'4E'!G37)</f>
        <v>0</v>
      </c>
    </row>
    <row r="1863" spans="2:7">
      <c r="B1863" s="848" t="str">
        <f>+'4E'!BF39</f>
        <v>S3040F</v>
      </c>
      <c r="D1863" s="2004"/>
      <c r="E1863" s="1658" t="s">
        <v>9033</v>
      </c>
      <c r="F1863" s="2004"/>
      <c r="G1863" s="2004">
        <f>IF('4E'!G39="","##BLANK",'4E'!G39)</f>
        <v>77.534000000000006</v>
      </c>
    </row>
    <row r="1864" spans="2:7">
      <c r="B1864" s="848" t="str">
        <f>+'4E'!BF42</f>
        <v>CRASF005</v>
      </c>
      <c r="D1864" s="2004"/>
      <c r="E1864" s="1658" t="s">
        <v>9033</v>
      </c>
      <c r="F1864" s="2004"/>
      <c r="G1864" s="2004">
        <f>IF('4E'!G42="","##BLANK",'4E'!G42)</f>
        <v>296733.76199999999</v>
      </c>
    </row>
    <row r="1865" spans="2:7">
      <c r="B1865" s="848" t="str">
        <f>+'4E'!BF50</f>
        <v>CRASF006</v>
      </c>
      <c r="D1865" s="2004"/>
      <c r="E1865" s="1658" t="s">
        <v>9033</v>
      </c>
      <c r="F1865" s="2004"/>
      <c r="G1865" s="2004">
        <f>IF('4E'!G50="","##BLANK",'4E'!G50)</f>
        <v>102.27349862534349</v>
      </c>
    </row>
    <row r="1866" spans="2:7">
      <c r="B1866" s="848" t="str">
        <f>+'4E'!BF51</f>
        <v>BN2630F</v>
      </c>
      <c r="D1866" s="2004"/>
      <c r="E1866" s="1658" t="s">
        <v>9033</v>
      </c>
      <c r="F1866" s="2004"/>
      <c r="G1866" s="2004">
        <f>IF('4E'!G51="","##BLANK",'4E'!G51)</f>
        <v>5217.0190000000002</v>
      </c>
    </row>
    <row r="1867" spans="2:7">
      <c r="B1867" s="848" t="str">
        <f>+'4E'!BF52</f>
        <v>BN2631F</v>
      </c>
      <c r="D1867" s="2004"/>
      <c r="E1867" s="1658" t="s">
        <v>9033</v>
      </c>
      <c r="F1867" s="2004"/>
      <c r="G1867" s="2004">
        <f>IF('4E'!G52="","##BLANK",'4E'!G52)</f>
        <v>5.8171150996383183</v>
      </c>
    </row>
    <row r="1868" spans="2:7">
      <c r="B1868" s="848" t="str">
        <f>+'4E'!BG7</f>
        <v>BM402SWD</v>
      </c>
      <c r="D1868" s="2004"/>
      <c r="E1868" s="1658" t="s">
        <v>9033</v>
      </c>
      <c r="F1868" s="2004"/>
      <c r="G1868" s="2004">
        <f>IF('4E'!H7="","##BLANK",'4E'!H7)</f>
        <v>1.944</v>
      </c>
    </row>
    <row r="1869" spans="2:7">
      <c r="B1869" s="848" t="str">
        <f>+'4E'!BG8</f>
        <v>BM836SWD</v>
      </c>
      <c r="D1869" s="2004"/>
      <c r="E1869" s="1658" t="s">
        <v>9033</v>
      </c>
      <c r="F1869" s="2004"/>
      <c r="G1869" s="2004">
        <f>IF('4E'!H8="","##BLANK",'4E'!H8)</f>
        <v>0</v>
      </c>
    </row>
    <row r="1870" spans="2:7">
      <c r="B1870" s="848" t="str">
        <f>+'4E'!BG9</f>
        <v>BM131SWD</v>
      </c>
      <c r="D1870" s="2004"/>
      <c r="E1870" s="1658" t="s">
        <v>9033</v>
      </c>
      <c r="F1870" s="2004"/>
      <c r="G1870" s="2004">
        <f>IF('4E'!H9="","##BLANK",'4E'!H9)</f>
        <v>0.751</v>
      </c>
    </row>
    <row r="1871" spans="2:7">
      <c r="B1871" s="848" t="str">
        <f>+'4E'!BG10</f>
        <v>BM140SWD</v>
      </c>
      <c r="D1871" s="2004"/>
      <c r="E1871" s="1658" t="s">
        <v>9033</v>
      </c>
      <c r="F1871" s="2004"/>
      <c r="G1871" s="2004">
        <f>IF('4E'!H10="","##BLANK",'4E'!H10)</f>
        <v>0</v>
      </c>
    </row>
    <row r="1872" spans="2:7">
      <c r="B1872" s="848" t="str">
        <f>+'4E'!BG11</f>
        <v>BM839SWDIR</v>
      </c>
      <c r="D1872" s="2004"/>
      <c r="E1872" s="1658" t="s">
        <v>9033</v>
      </c>
      <c r="F1872" s="2004"/>
      <c r="G1872" s="2004">
        <f>IF('4E'!H11="","##BLANK",'4E'!H11)</f>
        <v>0</v>
      </c>
    </row>
    <row r="1873" spans="2:7">
      <c r="B1873" s="848" t="str">
        <f>+'4E'!BG12</f>
        <v>BM839SWDNIR</v>
      </c>
      <c r="D1873" s="2004"/>
      <c r="E1873" s="1658" t="s">
        <v>9033</v>
      </c>
      <c r="F1873" s="2004"/>
      <c r="G1873" s="2004">
        <f>IF('4E'!H12="","##BLANK",'4E'!H12)</f>
        <v>0</v>
      </c>
    </row>
    <row r="1874" spans="2:7">
      <c r="B1874" s="848" t="str">
        <f>+'4E'!BG13</f>
        <v>BM839SWDER</v>
      </c>
      <c r="D1874" s="2004"/>
      <c r="E1874" s="1658" t="s">
        <v>9033</v>
      </c>
      <c r="F1874" s="2004"/>
      <c r="G1874" s="2004">
        <f>IF('4E'!H13="","##BLANK",'4E'!H13)</f>
        <v>27.423999999999999</v>
      </c>
    </row>
    <row r="1875" spans="2:7">
      <c r="B1875" s="848" t="str">
        <f>+'4E'!BG14</f>
        <v>BM817SWD</v>
      </c>
      <c r="D1875" s="2004"/>
      <c r="E1875" s="1658" t="s">
        <v>9033</v>
      </c>
      <c r="F1875" s="2004"/>
      <c r="G1875" s="2004">
        <f>IF('4E'!H14="","##BLANK",'4E'!H14)</f>
        <v>0.08</v>
      </c>
    </row>
    <row r="1876" spans="2:7">
      <c r="B1876" s="848" t="str">
        <f>+'4E'!BG15</f>
        <v>BM844SWD</v>
      </c>
      <c r="D1876" s="2004"/>
      <c r="E1876" s="1658" t="s">
        <v>9033</v>
      </c>
      <c r="F1876" s="2004"/>
      <c r="G1876" s="2004">
        <f>IF('4E'!H15="","##BLANK",'4E'!H15)</f>
        <v>30.198999999999998</v>
      </c>
    </row>
    <row r="1877" spans="2:7">
      <c r="B1877" s="848" t="str">
        <f>+'4E'!BG17</f>
        <v>BM823SWD</v>
      </c>
      <c r="D1877" s="2004"/>
      <c r="E1877" s="1658" t="s">
        <v>9033</v>
      </c>
      <c r="F1877" s="2004"/>
      <c r="G1877" s="2004">
        <f>IF('4E'!H17="","##BLANK",'4E'!H17)</f>
        <v>0</v>
      </c>
    </row>
    <row r="1878" spans="2:7">
      <c r="B1878" s="848" t="str">
        <f>+'4E'!BG18</f>
        <v>BM850SWD</v>
      </c>
      <c r="D1878" s="2004"/>
      <c r="E1878" s="1658" t="s">
        <v>9033</v>
      </c>
      <c r="F1878" s="2004"/>
      <c r="G1878" s="2004">
        <f>IF('4E'!H18="","##BLANK",'4E'!H18)</f>
        <v>30.198999999999998</v>
      </c>
    </row>
    <row r="1879" spans="2:7">
      <c r="B1879" s="848" t="str">
        <f>+'4E'!BG21</f>
        <v>BC30945SWD</v>
      </c>
      <c r="D1879" s="2004"/>
      <c r="E1879" s="1658" t="s">
        <v>9033</v>
      </c>
      <c r="F1879" s="2004"/>
      <c r="G1879" s="2004">
        <f>IF('4E'!H21="","##BLANK",'4E'!H21)</f>
        <v>13.222</v>
      </c>
    </row>
    <row r="1880" spans="2:7">
      <c r="B1880" s="848" t="str">
        <f>+'4E'!BG22</f>
        <v>CS00036SWD</v>
      </c>
      <c r="D1880" s="2004"/>
      <c r="E1880" s="1658" t="s">
        <v>9033</v>
      </c>
      <c r="F1880" s="2004"/>
      <c r="G1880" s="2004">
        <f>IF('4E'!H22="","##BLANK",'4E'!H22)</f>
        <v>9.4220000000000006</v>
      </c>
    </row>
    <row r="1881" spans="2:7">
      <c r="B1881" s="848" t="str">
        <f>+'4E'!BG23</f>
        <v>BC30944SWD</v>
      </c>
      <c r="D1881" s="2004"/>
      <c r="E1881" s="1658" t="s">
        <v>9033</v>
      </c>
      <c r="F1881" s="2004"/>
      <c r="G1881" s="2004">
        <f>IF('4E'!H23="","##BLANK",'4E'!H23)</f>
        <v>19.100999999999999</v>
      </c>
    </row>
    <row r="1882" spans="2:7">
      <c r="B1882" s="848" t="str">
        <f>+'4E'!BG24</f>
        <v>CS00037SWD</v>
      </c>
      <c r="D1882" s="2004"/>
      <c r="E1882" s="1658" t="s">
        <v>9033</v>
      </c>
      <c r="F1882" s="2004"/>
      <c r="G1882" s="2004">
        <f>IF('4E'!H24="","##BLANK",'4E'!H24)</f>
        <v>12.071999999999999</v>
      </c>
    </row>
    <row r="1883" spans="2:7">
      <c r="B1883" s="848" t="str">
        <f>+'4E'!BG25</f>
        <v>BC30849SWD</v>
      </c>
      <c r="D1883" s="2004"/>
      <c r="E1883" s="1658" t="s">
        <v>9033</v>
      </c>
      <c r="F1883" s="2004"/>
      <c r="G1883" s="2004">
        <f>IF('4E'!H25="","##BLANK",'4E'!H25)</f>
        <v>1.19</v>
      </c>
    </row>
    <row r="1884" spans="2:7">
      <c r="B1884" s="848" t="str">
        <f>+'4E'!BG26</f>
        <v>BC30998SWD</v>
      </c>
      <c r="D1884" s="2004"/>
      <c r="E1884" s="1658" t="s">
        <v>9033</v>
      </c>
      <c r="F1884" s="2004"/>
      <c r="G1884" s="2004">
        <f>IF('4E'!H26="","##BLANK",'4E'!H26)</f>
        <v>55.006999999999991</v>
      </c>
    </row>
    <row r="1885" spans="2:7">
      <c r="B1885" s="848" t="str">
        <f>+'4E'!BG27</f>
        <v>BM833SWD</v>
      </c>
      <c r="D1885" s="2004"/>
      <c r="E1885" s="1658" t="s">
        <v>9033</v>
      </c>
      <c r="F1885" s="2004"/>
      <c r="G1885" s="2004">
        <f>IF('4E'!H27="","##BLANK",'4E'!H27)</f>
        <v>0</v>
      </c>
    </row>
    <row r="1886" spans="2:7">
      <c r="B1886" s="848" t="str">
        <f>+'4E'!BG28</f>
        <v>BA2120SWD</v>
      </c>
      <c r="D1886" s="2004"/>
      <c r="E1886" s="1658" t="s">
        <v>9033</v>
      </c>
      <c r="F1886" s="2004"/>
      <c r="G1886" s="2004">
        <f>IF('4E'!H28="","##BLANK",'4E'!H28)</f>
        <v>55.006999999999991</v>
      </c>
    </row>
    <row r="1887" spans="2:7">
      <c r="B1887" s="848" t="str">
        <f>+'4E'!BG31</f>
        <v>BA2121SWD</v>
      </c>
      <c r="D1887" s="2004"/>
      <c r="E1887" s="1658" t="s">
        <v>9033</v>
      </c>
      <c r="F1887" s="2004"/>
      <c r="G1887" s="2004">
        <f>IF('4E'!H31="","##BLANK",'4E'!H31)</f>
        <v>4.1509999999999998</v>
      </c>
    </row>
    <row r="1888" spans="2:7">
      <c r="B1888" s="848" t="str">
        <f>+'4E'!BG33</f>
        <v>BM825SWD</v>
      </c>
      <c r="D1888" s="2004"/>
      <c r="E1888" s="1658" t="s">
        <v>9033</v>
      </c>
      <c r="F1888" s="2004"/>
      <c r="G1888" s="2004">
        <f>IF('4E'!H33="","##BLANK",'4E'!H33)</f>
        <v>81.054999999999993</v>
      </c>
    </row>
    <row r="1889" spans="2:7">
      <c r="B1889" s="848" t="str">
        <f>+'4E'!BG36</f>
        <v>CR00559SWD</v>
      </c>
      <c r="D1889" s="2004"/>
      <c r="E1889" s="1658" t="s">
        <v>9033</v>
      </c>
      <c r="F1889" s="2004"/>
      <c r="G1889" s="2004">
        <f>IF('4E'!H36="","##BLANK",'4E'!H36)</f>
        <v>0</v>
      </c>
    </row>
    <row r="1890" spans="2:7">
      <c r="B1890" s="848" t="str">
        <f>+'4E'!BG37</f>
        <v>CR00562SWD</v>
      </c>
      <c r="D1890" s="2004"/>
      <c r="E1890" s="1658" t="s">
        <v>9033</v>
      </c>
      <c r="F1890" s="2004"/>
      <c r="G1890" s="2004">
        <f>IF('4E'!H37="","##BLANK",'4E'!H37)</f>
        <v>0</v>
      </c>
    </row>
    <row r="1891" spans="2:7">
      <c r="B1891" s="848" t="str">
        <f>+'4E'!BG39</f>
        <v>S3040SWD</v>
      </c>
      <c r="D1891" s="2004"/>
      <c r="E1891" s="1658" t="s">
        <v>9033</v>
      </c>
      <c r="F1891" s="2004"/>
      <c r="G1891" s="2004">
        <f>IF('4E'!H39="","##BLANK",'4E'!H39)</f>
        <v>81.054999999999993</v>
      </c>
    </row>
    <row r="1892" spans="2:7">
      <c r="B1892" s="848" t="str">
        <f>+'4E'!BG43</f>
        <v>CRASSWD005</v>
      </c>
      <c r="D1892" s="2004"/>
      <c r="E1892" s="1658" t="s">
        <v>9033</v>
      </c>
      <c r="F1892" s="2004"/>
      <c r="G1892" s="2004">
        <f>IF('4E'!H43="","##BLANK",'4E'!H43)</f>
        <v>700806.58400000003</v>
      </c>
    </row>
    <row r="1893" spans="2:7">
      <c r="B1893" s="848" t="str">
        <f>+'4E'!BG50</f>
        <v>CRASSWD006</v>
      </c>
      <c r="D1893" s="2004"/>
      <c r="E1893" s="1658" t="s">
        <v>9033</v>
      </c>
      <c r="F1893" s="2004"/>
      <c r="G1893" s="2004">
        <f>IF('4E'!H50="","##BLANK",'4E'!H50)</f>
        <v>43.091775519049627</v>
      </c>
    </row>
    <row r="1894" spans="2:7">
      <c r="B1894" s="848" t="str">
        <f>+'4E'!BG51</f>
        <v>BN2630SWD</v>
      </c>
      <c r="D1894" s="2004"/>
      <c r="E1894" s="1658" t="s">
        <v>9033</v>
      </c>
      <c r="F1894" s="2004"/>
      <c r="G1894" s="2004">
        <f>IF('4E'!H51="","##BLANK",'4E'!H51)</f>
        <v>5217.0190000000002</v>
      </c>
    </row>
    <row r="1895" spans="2:7">
      <c r="B1895" s="848" t="str">
        <f>+'4E'!BG52</f>
        <v>BN2631SWD</v>
      </c>
      <c r="D1895" s="2004"/>
      <c r="E1895" s="1658" t="s">
        <v>9033</v>
      </c>
      <c r="F1895" s="2004"/>
      <c r="G1895" s="2004">
        <f>IF('4E'!H52="","##BLANK",'4E'!H52)</f>
        <v>5.7885547282844847</v>
      </c>
    </row>
    <row r="1896" spans="2:7">
      <c r="B1896" s="848" t="str">
        <f>+'4E'!BH7</f>
        <v>BM402HD</v>
      </c>
      <c r="D1896" s="2004"/>
      <c r="E1896" s="1658" t="s">
        <v>9033</v>
      </c>
      <c r="F1896" s="2004"/>
      <c r="G1896" s="2004">
        <f>IF('4E'!I7="","##BLANK",'4E'!I7)</f>
        <v>0.82499999999999996</v>
      </c>
    </row>
    <row r="1897" spans="2:7">
      <c r="B1897" s="848" t="str">
        <f>+'4E'!BH8</f>
        <v>BM836HD</v>
      </c>
      <c r="D1897" s="2004"/>
      <c r="E1897" s="1658" t="s">
        <v>9033</v>
      </c>
      <c r="F1897" s="2004"/>
      <c r="G1897" s="2004">
        <f>IF('4E'!I8="","##BLANK",'4E'!I8)</f>
        <v>0</v>
      </c>
    </row>
    <row r="1898" spans="2:7">
      <c r="B1898" s="848" t="str">
        <f>+'4E'!BH9</f>
        <v>BM131HD</v>
      </c>
      <c r="D1898" s="2004"/>
      <c r="E1898" s="1658" t="s">
        <v>9033</v>
      </c>
      <c r="F1898" s="2004"/>
      <c r="G1898" s="2004">
        <f>IF('4E'!I9="","##BLANK",'4E'!I9)</f>
        <v>0.58299999999999996</v>
      </c>
    </row>
    <row r="1899" spans="2:7">
      <c r="B1899" s="848" t="str">
        <f>+'4E'!BH10</f>
        <v>BM140HD</v>
      </c>
      <c r="D1899" s="2004"/>
      <c r="E1899" s="1658" t="s">
        <v>9033</v>
      </c>
      <c r="F1899" s="2004"/>
      <c r="G1899" s="2004">
        <f>IF('4E'!I10="","##BLANK",'4E'!I10)</f>
        <v>0</v>
      </c>
    </row>
    <row r="1900" spans="2:7">
      <c r="B1900" s="848" t="str">
        <f>+'4E'!BH11</f>
        <v>BM839HDIR</v>
      </c>
      <c r="D1900" s="2004"/>
      <c r="E1900" s="1658" t="s">
        <v>9033</v>
      </c>
      <c r="F1900" s="2004"/>
      <c r="G1900" s="2004">
        <f>IF('4E'!I11="","##BLANK",'4E'!I11)</f>
        <v>0</v>
      </c>
    </row>
    <row r="1901" spans="2:7">
      <c r="B1901" s="848" t="str">
        <f>+'4E'!BH12</f>
        <v>BM839HDNIR</v>
      </c>
      <c r="D1901" s="2004"/>
      <c r="E1901" s="1658" t="s">
        <v>9033</v>
      </c>
      <c r="F1901" s="2004"/>
      <c r="G1901" s="2004">
        <f>IF('4E'!I12="","##BLANK",'4E'!I12)</f>
        <v>0</v>
      </c>
    </row>
    <row r="1902" spans="2:7">
      <c r="B1902" s="848" t="str">
        <f>+'4E'!BH13</f>
        <v>BM839HDER</v>
      </c>
      <c r="D1902" s="2004"/>
      <c r="E1902" s="1658" t="s">
        <v>9033</v>
      </c>
      <c r="F1902" s="2004"/>
      <c r="G1902" s="2004">
        <f>IF('4E'!I13="","##BLANK",'4E'!I13)</f>
        <v>17.302</v>
      </c>
    </row>
    <row r="1903" spans="2:7">
      <c r="B1903" s="848" t="str">
        <f>+'4E'!BH14</f>
        <v>BM817HD</v>
      </c>
      <c r="D1903" s="2004"/>
      <c r="E1903" s="1658" t="s">
        <v>9033</v>
      </c>
      <c r="F1903" s="2004"/>
      <c r="G1903" s="2004">
        <f>IF('4E'!I14="","##BLANK",'4E'!I14)</f>
        <v>6.0999999999999999E-2</v>
      </c>
    </row>
    <row r="1904" spans="2:7">
      <c r="B1904" s="848" t="str">
        <f>+'4E'!BH15</f>
        <v>BM844HD</v>
      </c>
      <c r="D1904" s="2004"/>
      <c r="E1904" s="1658" t="s">
        <v>9033</v>
      </c>
      <c r="F1904" s="2004"/>
      <c r="G1904" s="2004">
        <f>IF('4E'!I15="","##BLANK",'4E'!I15)</f>
        <v>18.771000000000001</v>
      </c>
    </row>
    <row r="1905" spans="2:7">
      <c r="B1905" s="848" t="str">
        <f>+'4E'!BH17</f>
        <v>BM823HD</v>
      </c>
      <c r="D1905" s="2004"/>
      <c r="E1905" s="1658" t="s">
        <v>9033</v>
      </c>
      <c r="F1905" s="2004"/>
      <c r="G1905" s="2004">
        <f>IF('4E'!I17="","##BLANK",'4E'!I17)</f>
        <v>0</v>
      </c>
    </row>
    <row r="1906" spans="2:7">
      <c r="B1906" s="848" t="str">
        <f>+'4E'!BH18</f>
        <v>BM850HD</v>
      </c>
      <c r="D1906" s="2004"/>
      <c r="E1906" s="1658" t="s">
        <v>9033</v>
      </c>
      <c r="F1906" s="2004"/>
      <c r="G1906" s="2004">
        <f>IF('4E'!I18="","##BLANK",'4E'!I18)</f>
        <v>18.771000000000001</v>
      </c>
    </row>
    <row r="1907" spans="2:7">
      <c r="B1907" s="848" t="str">
        <f>+'4E'!BH21</f>
        <v>BC30945HD</v>
      </c>
      <c r="D1907" s="2004"/>
      <c r="E1907" s="1658" t="s">
        <v>9033</v>
      </c>
      <c r="F1907" s="2004"/>
      <c r="G1907" s="2004">
        <f>IF('4E'!I21="","##BLANK",'4E'!I21)</f>
        <v>5.5350000000000001</v>
      </c>
    </row>
    <row r="1908" spans="2:7">
      <c r="B1908" s="848" t="str">
        <f>+'4E'!BH22</f>
        <v>CS00036HD</v>
      </c>
      <c r="D1908" s="2004"/>
      <c r="E1908" s="1658" t="s">
        <v>9033</v>
      </c>
      <c r="F1908" s="2004"/>
      <c r="G1908" s="2004">
        <f>IF('4E'!I22="","##BLANK",'4E'!I22)</f>
        <v>6.2750000000000004</v>
      </c>
    </row>
    <row r="1909" spans="2:7">
      <c r="B1909" s="848" t="str">
        <f>+'4E'!BH23</f>
        <v>BC30944HD</v>
      </c>
      <c r="D1909" s="2004"/>
      <c r="E1909" s="1658" t="s">
        <v>9033</v>
      </c>
      <c r="F1909" s="2004"/>
      <c r="G1909" s="2004">
        <f>IF('4E'!I23="","##BLANK",'4E'!I23)</f>
        <v>7.9960000000000004</v>
      </c>
    </row>
    <row r="1910" spans="2:7">
      <c r="B1910" s="848" t="str">
        <f>+'4E'!BH24</f>
        <v>CS00037HD</v>
      </c>
      <c r="D1910" s="2004"/>
      <c r="E1910" s="1658" t="s">
        <v>9033</v>
      </c>
      <c r="F1910" s="2004"/>
      <c r="G1910" s="2004">
        <f>IF('4E'!I24="","##BLANK",'4E'!I24)</f>
        <v>5.1669999999999998</v>
      </c>
    </row>
    <row r="1911" spans="2:7">
      <c r="B1911" s="848" t="str">
        <f>+'4E'!BH25</f>
        <v>BC30849HD</v>
      </c>
      <c r="D1911" s="2004"/>
      <c r="E1911" s="1658" t="s">
        <v>9033</v>
      </c>
      <c r="F1911" s="2004"/>
      <c r="G1911" s="2004">
        <f>IF('4E'!I25="","##BLANK",'4E'!I25)</f>
        <v>0.498</v>
      </c>
    </row>
    <row r="1912" spans="2:7">
      <c r="B1912" s="848" t="str">
        <f>+'4E'!BH26</f>
        <v>BC30998HD</v>
      </c>
      <c r="D1912" s="2004"/>
      <c r="E1912" s="1658" t="s">
        <v>9033</v>
      </c>
      <c r="F1912" s="2004"/>
      <c r="G1912" s="2004">
        <f>IF('4E'!I26="","##BLANK",'4E'!I26)</f>
        <v>25.471</v>
      </c>
    </row>
    <row r="1913" spans="2:7">
      <c r="B1913" s="848" t="str">
        <f>+'4E'!BH27</f>
        <v>BM833HD</v>
      </c>
      <c r="D1913" s="2004"/>
      <c r="E1913" s="1658" t="s">
        <v>9033</v>
      </c>
      <c r="F1913" s="2004"/>
      <c r="G1913" s="2004">
        <f>IF('4E'!I27="","##BLANK",'4E'!I27)</f>
        <v>0</v>
      </c>
    </row>
    <row r="1914" spans="2:7">
      <c r="B1914" s="848" t="str">
        <f>+'4E'!BH28</f>
        <v>BA2120HD</v>
      </c>
      <c r="D1914" s="2004"/>
      <c r="E1914" s="1658" t="s">
        <v>9033</v>
      </c>
      <c r="F1914" s="2004"/>
      <c r="G1914" s="2004">
        <f>IF('4E'!I28="","##BLANK",'4E'!I28)</f>
        <v>25.471</v>
      </c>
    </row>
    <row r="1915" spans="2:7">
      <c r="B1915" s="848" t="str">
        <f>+'4E'!BH31</f>
        <v>BA2121HD</v>
      </c>
      <c r="D1915" s="2004"/>
      <c r="E1915" s="1658" t="s">
        <v>9033</v>
      </c>
      <c r="F1915" s="2004"/>
      <c r="G1915" s="2004">
        <f>IF('4E'!I31="","##BLANK",'4E'!I31)</f>
        <v>1.738</v>
      </c>
    </row>
    <row r="1916" spans="2:7">
      <c r="B1916" s="848" t="str">
        <f>+'4E'!BH33</f>
        <v>BM825HD</v>
      </c>
      <c r="D1916" s="2004"/>
      <c r="E1916" s="1658" t="s">
        <v>9033</v>
      </c>
      <c r="F1916" s="2004"/>
      <c r="G1916" s="2004">
        <f>IF('4E'!I33="","##BLANK",'4E'!I33)</f>
        <v>42.504000000000005</v>
      </c>
    </row>
    <row r="1917" spans="2:7">
      <c r="B1917" s="848" t="str">
        <f>+'4E'!BH36</f>
        <v>CR00559HD</v>
      </c>
      <c r="D1917" s="2004"/>
      <c r="E1917" s="1658" t="s">
        <v>9033</v>
      </c>
      <c r="F1917" s="2004"/>
      <c r="G1917" s="2004">
        <f>IF('4E'!I36="","##BLANK",'4E'!I36)</f>
        <v>0</v>
      </c>
    </row>
    <row r="1918" spans="2:7">
      <c r="B1918" s="848" t="str">
        <f>+'4E'!BH37</f>
        <v>CR00562HD</v>
      </c>
      <c r="D1918" s="2004"/>
      <c r="E1918" s="1658" t="s">
        <v>9033</v>
      </c>
      <c r="F1918" s="2004"/>
      <c r="G1918" s="2004">
        <f>IF('4E'!I37="","##BLANK",'4E'!I37)</f>
        <v>0</v>
      </c>
    </row>
    <row r="1919" spans="2:7">
      <c r="B1919" s="848" t="str">
        <f>+'4E'!BH39</f>
        <v>S3040HD</v>
      </c>
      <c r="D1919" s="2004"/>
      <c r="E1919" s="1658" t="s">
        <v>9033</v>
      </c>
      <c r="F1919" s="2004"/>
      <c r="G1919" s="2004">
        <f>IF('4E'!I39="","##BLANK",'4E'!I39)</f>
        <v>42.504000000000005</v>
      </c>
    </row>
    <row r="1920" spans="2:7">
      <c r="B1920" s="848" t="str">
        <f>+'4E'!BH44</f>
        <v>CRASHD005</v>
      </c>
      <c r="D1920" s="2004"/>
      <c r="E1920" s="1658" t="s">
        <v>9033</v>
      </c>
      <c r="F1920" s="2004"/>
      <c r="G1920" s="2004">
        <f>IF('4E'!I44="","##BLANK",'4E'!I44)</f>
        <v>189217.77799999999</v>
      </c>
    </row>
    <row r="1921" spans="2:7">
      <c r="B1921" s="848" t="str">
        <f>+'4E'!BH50</f>
        <v>CRASHD006</v>
      </c>
      <c r="D1921" s="2004"/>
      <c r="E1921" s="1658" t="s">
        <v>9033</v>
      </c>
      <c r="F1921" s="2004"/>
      <c r="G1921" s="2004">
        <f>IF('4E'!I50="","##BLANK",'4E'!I50)</f>
        <v>99.203152042087723</v>
      </c>
    </row>
    <row r="1922" spans="2:7">
      <c r="B1922" s="848" t="str">
        <f>+'4E'!BH51</f>
        <v>BN2630HD</v>
      </c>
      <c r="D1922" s="2004"/>
      <c r="E1922" s="1658" t="s">
        <v>9033</v>
      </c>
      <c r="F1922" s="2004"/>
      <c r="G1922" s="2004">
        <f>IF('4E'!I51="","##BLANK",'4E'!I51)</f>
        <v>5217.0190000000002</v>
      </c>
    </row>
    <row r="1923" spans="2:7">
      <c r="B1923" s="848" t="str">
        <f>+'4E'!BH52</f>
        <v>BN2631HD</v>
      </c>
      <c r="D1923" s="2004"/>
      <c r="E1923" s="1658" t="s">
        <v>9033</v>
      </c>
      <c r="F1923" s="2004"/>
      <c r="G1923" s="2004">
        <f>IF('4E'!I52="","##BLANK",'4E'!I52)</f>
        <v>3.598031749548928</v>
      </c>
    </row>
    <row r="1924" spans="2:7">
      <c r="B1924" s="848" t="str">
        <f>+'4E'!BI7</f>
        <v>BM502STD</v>
      </c>
      <c r="D1924" s="2004"/>
      <c r="E1924" s="1658" t="s">
        <v>9033</v>
      </c>
      <c r="F1924" s="2004"/>
      <c r="G1924" s="2004">
        <f>IF('4E'!J7="","##BLANK",'4E'!J7)</f>
        <v>28.495999999999999</v>
      </c>
    </row>
    <row r="1925" spans="2:7">
      <c r="B1925" s="848" t="str">
        <f>+'4E'!BI8</f>
        <v>BM836STD</v>
      </c>
      <c r="D1925" s="2004"/>
      <c r="E1925" s="1658" t="s">
        <v>9033</v>
      </c>
      <c r="F1925" s="2004"/>
      <c r="G1925" s="2004">
        <f>IF('4E'!J8="","##BLANK",'4E'!J8)</f>
        <v>0</v>
      </c>
    </row>
    <row r="1926" spans="2:7">
      <c r="B1926" s="848" t="str">
        <f>+'4E'!BI9</f>
        <v>BM231STD</v>
      </c>
      <c r="D1926" s="2004"/>
      <c r="E1926" s="1658" t="s">
        <v>9033</v>
      </c>
      <c r="F1926" s="2004"/>
      <c r="G1926" s="2004">
        <f>IF('4E'!J9="","##BLANK",'4E'!J9)</f>
        <v>4.2489999999999997</v>
      </c>
    </row>
    <row r="1927" spans="2:7">
      <c r="B1927" s="848" t="str">
        <f>+'4E'!BI10</f>
        <v>BM140STD</v>
      </c>
      <c r="D1927" s="2004"/>
      <c r="E1927" s="1658" t="s">
        <v>9033</v>
      </c>
      <c r="F1927" s="2004"/>
      <c r="G1927" s="2004">
        <f>IF('4E'!J10="","##BLANK",'4E'!J10)</f>
        <v>0</v>
      </c>
    </row>
    <row r="1928" spans="2:7">
      <c r="B1928" s="848" t="str">
        <f>+'4E'!BI11</f>
        <v>BM839STDIR</v>
      </c>
      <c r="D1928" s="2004"/>
      <c r="E1928" s="1658" t="s">
        <v>9033</v>
      </c>
      <c r="F1928" s="2004"/>
      <c r="G1928" s="2004">
        <f>IF('4E'!J11="","##BLANK",'4E'!J11)</f>
        <v>0</v>
      </c>
    </row>
    <row r="1929" spans="2:7">
      <c r="B1929" s="848" t="str">
        <f>+'4E'!BI12</f>
        <v>BM839STDNIR</v>
      </c>
      <c r="D1929" s="2004"/>
      <c r="E1929" s="1658" t="s">
        <v>9033</v>
      </c>
      <c r="F1929" s="2004"/>
      <c r="G1929" s="2004">
        <f>IF('4E'!J12="","##BLANK",'4E'!J12)</f>
        <v>0</v>
      </c>
    </row>
    <row r="1930" spans="2:7">
      <c r="B1930" s="848" t="str">
        <f>+'4E'!BI13</f>
        <v>BM839STDER</v>
      </c>
      <c r="D1930" s="2004"/>
      <c r="E1930" s="1658" t="s">
        <v>9033</v>
      </c>
      <c r="F1930" s="2004"/>
      <c r="G1930" s="2004">
        <f>IF('4E'!J13="","##BLANK",'4E'!J13)</f>
        <v>48.308</v>
      </c>
    </row>
    <row r="1931" spans="2:7">
      <c r="B1931" s="848" t="str">
        <f>+'4E'!BI14</f>
        <v>BM817STD</v>
      </c>
      <c r="D1931" s="2004"/>
      <c r="E1931" s="1658" t="s">
        <v>9033</v>
      </c>
      <c r="F1931" s="2004"/>
      <c r="G1931" s="2004">
        <f>IF('4E'!J14="","##BLANK",'4E'!J14)</f>
        <v>19.806000000000001</v>
      </c>
    </row>
    <row r="1932" spans="2:7">
      <c r="B1932" s="848" t="str">
        <f>+'4E'!BI15</f>
        <v>BM844STD</v>
      </c>
      <c r="D1932" s="2004"/>
      <c r="E1932" s="1658" t="s">
        <v>9033</v>
      </c>
      <c r="F1932" s="2004"/>
      <c r="G1932" s="2004">
        <f>IF('4E'!J15="","##BLANK",'4E'!J15)</f>
        <v>100.85899999999999</v>
      </c>
    </row>
    <row r="1933" spans="2:7">
      <c r="B1933" s="848" t="str">
        <f>+'4E'!BI17</f>
        <v>BM823STD</v>
      </c>
      <c r="D1933" s="2004"/>
      <c r="E1933" s="1658" t="s">
        <v>9033</v>
      </c>
      <c r="F1933" s="2004"/>
      <c r="G1933" s="2004">
        <f>IF('4E'!J17="","##BLANK",'4E'!J17)</f>
        <v>0</v>
      </c>
    </row>
    <row r="1934" spans="2:7">
      <c r="B1934" s="848" t="str">
        <f>+'4E'!BI18</f>
        <v>BM850STD</v>
      </c>
      <c r="D1934" s="2004"/>
      <c r="E1934" s="1658" t="s">
        <v>9033</v>
      </c>
      <c r="F1934" s="2004"/>
      <c r="G1934" s="2004">
        <f>IF('4E'!J18="","##BLANK",'4E'!J18)</f>
        <v>100.85899999999999</v>
      </c>
    </row>
    <row r="1935" spans="2:7">
      <c r="B1935" s="848" t="str">
        <f>+'4E'!BI21</f>
        <v>BC30945STD</v>
      </c>
      <c r="D1935" s="2004"/>
      <c r="E1935" s="1658" t="s">
        <v>9033</v>
      </c>
      <c r="F1935" s="2004"/>
      <c r="G1935" s="2004">
        <f>IF('4E'!J21="","##BLANK",'4E'!J21)</f>
        <v>3.5659999999999998</v>
      </c>
    </row>
    <row r="1936" spans="2:7">
      <c r="B1936" s="848" t="str">
        <f>+'4E'!BI22</f>
        <v>CS00036STD</v>
      </c>
      <c r="D1936" s="2004"/>
      <c r="E1936" s="1658" t="s">
        <v>9033</v>
      </c>
      <c r="F1936" s="2004"/>
      <c r="G1936" s="2004">
        <f>IF('4E'!J22="","##BLANK",'4E'!J22)</f>
        <v>58.448</v>
      </c>
    </row>
    <row r="1937" spans="2:7">
      <c r="B1937" s="848" t="str">
        <f>+'4E'!BI23</f>
        <v>BC30944STD</v>
      </c>
      <c r="D1937" s="2004"/>
      <c r="E1937" s="1658" t="s">
        <v>9033</v>
      </c>
      <c r="F1937" s="2004"/>
      <c r="G1937" s="2004">
        <f>IF('4E'!J23="","##BLANK",'4E'!J23)</f>
        <v>0</v>
      </c>
    </row>
    <row r="1938" spans="2:7">
      <c r="B1938" s="848" t="str">
        <f>+'4E'!BI24</f>
        <v>CS00037STD</v>
      </c>
      <c r="D1938" s="2004"/>
      <c r="E1938" s="1658" t="s">
        <v>9033</v>
      </c>
      <c r="F1938" s="2004"/>
      <c r="G1938" s="2004">
        <f>IF('4E'!J24="","##BLANK",'4E'!J24)</f>
        <v>35.654000000000003</v>
      </c>
    </row>
    <row r="1939" spans="2:7">
      <c r="B1939" s="848" t="str">
        <f>+'4E'!BI25</f>
        <v>BC30849STD</v>
      </c>
      <c r="D1939" s="2004"/>
      <c r="E1939" s="1658" t="s">
        <v>9033</v>
      </c>
      <c r="F1939" s="2004"/>
      <c r="G1939" s="2004">
        <f>IF('4E'!J25="","##BLANK",'4E'!J25)</f>
        <v>0</v>
      </c>
    </row>
    <row r="1940" spans="2:7">
      <c r="B1940" s="848" t="str">
        <f>+'4E'!BI26</f>
        <v>BC30998STD</v>
      </c>
      <c r="D1940" s="2004"/>
      <c r="E1940" s="1658" t="s">
        <v>9033</v>
      </c>
      <c r="F1940" s="2004"/>
      <c r="G1940" s="2004">
        <f>IF('4E'!J26="","##BLANK",'4E'!J26)</f>
        <v>97.668000000000006</v>
      </c>
    </row>
    <row r="1941" spans="2:7">
      <c r="B1941" s="848" t="str">
        <f>+'4E'!BI27</f>
        <v>BM833STD</v>
      </c>
      <c r="D1941" s="2004"/>
      <c r="E1941" s="1658" t="s">
        <v>9033</v>
      </c>
      <c r="F1941" s="2004"/>
      <c r="G1941" s="2004">
        <f>IF('4E'!J27="","##BLANK",'4E'!J27)</f>
        <v>0</v>
      </c>
    </row>
    <row r="1942" spans="2:7">
      <c r="B1942" s="848" t="str">
        <f>+'4E'!BI28</f>
        <v>BA2120STD</v>
      </c>
      <c r="D1942" s="2004"/>
      <c r="E1942" s="1658" t="s">
        <v>9033</v>
      </c>
      <c r="F1942" s="2004"/>
      <c r="G1942" s="2004">
        <f>IF('4E'!J28="","##BLANK",'4E'!J28)</f>
        <v>97.668000000000006</v>
      </c>
    </row>
    <row r="1943" spans="2:7">
      <c r="B1943" s="848" t="str">
        <f>+'4E'!BI31</f>
        <v>BA2121STD</v>
      </c>
      <c r="D1943" s="2004"/>
      <c r="E1943" s="1658" t="s">
        <v>9033</v>
      </c>
      <c r="F1943" s="2004"/>
      <c r="G1943" s="2004">
        <f>IF('4E'!J31="","##BLANK",'4E'!J31)</f>
        <v>0.93600000000000005</v>
      </c>
    </row>
    <row r="1944" spans="2:7">
      <c r="B1944" s="848" t="str">
        <f>+'4E'!BI33</f>
        <v>BM825STD</v>
      </c>
      <c r="D1944" s="2004"/>
      <c r="E1944" s="1658" t="s">
        <v>9033</v>
      </c>
      <c r="F1944" s="2004"/>
      <c r="G1944" s="2004">
        <f>IF('4E'!J33="","##BLANK",'4E'!J33)</f>
        <v>197.59099999999998</v>
      </c>
    </row>
    <row r="1945" spans="2:7">
      <c r="B1945" s="848" t="str">
        <f>+'4E'!BI36</f>
        <v>CR00559STD</v>
      </c>
      <c r="D1945" s="2004"/>
      <c r="E1945" s="1658" t="s">
        <v>9033</v>
      </c>
      <c r="F1945" s="2004"/>
      <c r="G1945" s="2004">
        <f>IF('4E'!J36="","##BLANK",'4E'!J36)</f>
        <v>0</v>
      </c>
    </row>
    <row r="1946" spans="2:7">
      <c r="B1946" s="848" t="str">
        <f>+'4E'!BI37</f>
        <v>CR00562STD</v>
      </c>
      <c r="D1946" s="2004"/>
      <c r="E1946" s="1658" t="s">
        <v>9033</v>
      </c>
      <c r="F1946" s="2004"/>
      <c r="G1946" s="2004">
        <f>IF('4E'!J37="","##BLANK",'4E'!J37)</f>
        <v>0</v>
      </c>
    </row>
    <row r="1947" spans="2:7">
      <c r="B1947" s="848" t="str">
        <f>+'4E'!BI39</f>
        <v>S3040STD</v>
      </c>
      <c r="D1947" s="2004"/>
      <c r="E1947" s="1658" t="s">
        <v>9033</v>
      </c>
      <c r="F1947" s="2004"/>
      <c r="G1947" s="2004">
        <f>IF('4E'!J39="","##BLANK",'4E'!J39)</f>
        <v>197.59099999999998</v>
      </c>
    </row>
    <row r="1948" spans="2:7">
      <c r="B1948" s="848" t="str">
        <f>+'4E'!BI45</f>
        <v>CRSTSERV01D</v>
      </c>
      <c r="D1948" s="2004"/>
      <c r="E1948" s="1658" t="s">
        <v>9033</v>
      </c>
      <c r="F1948" s="2004"/>
      <c r="G1948" s="2004">
        <f>IF('4E'!J45="","##BLANK",'4E'!J45)</f>
        <v>133384.696</v>
      </c>
    </row>
    <row r="1949" spans="2:7">
      <c r="B1949" s="848" t="str">
        <f>+'4E'!BI50</f>
        <v>CRSTSERV01C</v>
      </c>
      <c r="D1949" s="2004"/>
      <c r="E1949" s="1658" t="s">
        <v>9033</v>
      </c>
      <c r="F1949" s="2004"/>
      <c r="G1949" s="2004">
        <f>IF('4E'!J50="","##BLANK",'4E'!J50)</f>
        <v>756.15121542879251</v>
      </c>
    </row>
    <row r="1950" spans="2:7">
      <c r="B1950" s="848" t="str">
        <f>+'4E'!BI51</f>
        <v>BN2630STD</v>
      </c>
      <c r="D1950" s="2004"/>
      <c r="E1950" s="1658" t="s">
        <v>9033</v>
      </c>
      <c r="F1950" s="2004"/>
      <c r="G1950" s="2004">
        <f>IF('4E'!J51="","##BLANK",'4E'!J51)</f>
        <v>5217.0190000000002</v>
      </c>
    </row>
    <row r="1951" spans="2:7">
      <c r="B1951" s="848" t="str">
        <f>+'4E'!BI52</f>
        <v>BN2631STD</v>
      </c>
      <c r="D1951" s="2004"/>
      <c r="E1951" s="1658" t="s">
        <v>9033</v>
      </c>
      <c r="F1951" s="2004"/>
      <c r="G1951" s="2004">
        <f>IF('4E'!J52="","##BLANK",'4E'!J52)</f>
        <v>19.332687881719426</v>
      </c>
    </row>
    <row r="1952" spans="2:7">
      <c r="B1952" s="848" t="str">
        <f>+'4E'!BJ7</f>
        <v>BM502SLT</v>
      </c>
      <c r="D1952" s="2004"/>
      <c r="E1952" s="1658" t="s">
        <v>9033</v>
      </c>
      <c r="F1952" s="2004"/>
      <c r="G1952" s="2004">
        <f>IF('4E'!K7="","##BLANK",'4E'!K7)</f>
        <v>0.20899999999999999</v>
      </c>
    </row>
    <row r="1953" spans="2:7">
      <c r="B1953" s="848" t="str">
        <f>+'4E'!BJ8</f>
        <v>BM836SLT</v>
      </c>
      <c r="D1953" s="2004"/>
      <c r="E1953" s="1658" t="s">
        <v>9033</v>
      </c>
      <c r="F1953" s="2004"/>
      <c r="G1953" s="2004">
        <f>IF('4E'!K8="","##BLANK",'4E'!K8)</f>
        <v>0</v>
      </c>
    </row>
    <row r="1954" spans="2:7">
      <c r="B1954" s="848" t="str">
        <f>+'4E'!BJ9</f>
        <v>BM231SLT</v>
      </c>
      <c r="D1954" s="2004"/>
      <c r="E1954" s="1658" t="s">
        <v>9033</v>
      </c>
      <c r="F1954" s="2004"/>
      <c r="G1954" s="2004">
        <f>IF('4E'!K9="","##BLANK",'4E'!K9)</f>
        <v>0</v>
      </c>
    </row>
    <row r="1955" spans="2:7">
      <c r="B1955" s="848" t="str">
        <f>+'4E'!BJ10</f>
        <v>BM140SLT</v>
      </c>
      <c r="D1955" s="2004"/>
      <c r="E1955" s="1658" t="s">
        <v>9033</v>
      </c>
      <c r="F1955" s="2004"/>
      <c r="G1955" s="2004">
        <f>IF('4E'!K10="","##BLANK",'4E'!K10)</f>
        <v>0</v>
      </c>
    </row>
    <row r="1956" spans="2:7">
      <c r="B1956" s="848" t="str">
        <f>+'4E'!BJ11</f>
        <v>BM839SLTIR</v>
      </c>
      <c r="D1956" s="2004"/>
      <c r="E1956" s="1658" t="s">
        <v>9033</v>
      </c>
      <c r="F1956" s="2004"/>
      <c r="G1956" s="2004">
        <f>IF('4E'!K11="","##BLANK",'4E'!K11)</f>
        <v>0</v>
      </c>
    </row>
    <row r="1957" spans="2:7">
      <c r="B1957" s="848" t="str">
        <f>+'4E'!BJ12</f>
        <v>BM839SLTNIR</v>
      </c>
      <c r="D1957" s="2004"/>
      <c r="E1957" s="1658" t="s">
        <v>9033</v>
      </c>
      <c r="F1957" s="2004"/>
      <c r="G1957" s="2004">
        <f>IF('4E'!K12="","##BLANK",'4E'!K12)</f>
        <v>0</v>
      </c>
    </row>
    <row r="1958" spans="2:7">
      <c r="B1958" s="848" t="str">
        <f>+'4E'!BJ13</f>
        <v>BM839SLTER</v>
      </c>
      <c r="D1958" s="2004"/>
      <c r="E1958" s="1658" t="s">
        <v>9033</v>
      </c>
      <c r="F1958" s="2004"/>
      <c r="G1958" s="2004">
        <f>IF('4E'!K13="","##BLANK",'4E'!K13)</f>
        <v>0.61499999999999999</v>
      </c>
    </row>
    <row r="1959" spans="2:7">
      <c r="B1959" s="848" t="str">
        <f>+'4E'!BJ14</f>
        <v>BM817SLT</v>
      </c>
      <c r="D1959" s="2004"/>
      <c r="E1959" s="1658" t="s">
        <v>9033</v>
      </c>
      <c r="F1959" s="2004"/>
      <c r="G1959" s="2004">
        <f>IF('4E'!K14="","##BLANK",'4E'!K14)</f>
        <v>3.0000000000000001E-3</v>
      </c>
    </row>
    <row r="1960" spans="2:7">
      <c r="B1960" s="848" t="str">
        <f>+'4E'!BJ15</f>
        <v>BM844SLT</v>
      </c>
      <c r="D1960" s="2004"/>
      <c r="E1960" s="1658" t="s">
        <v>9033</v>
      </c>
      <c r="F1960" s="2004"/>
      <c r="G1960" s="2004">
        <f>IF('4E'!K15="","##BLANK",'4E'!K15)</f>
        <v>0.82699999999999996</v>
      </c>
    </row>
    <row r="1961" spans="2:7">
      <c r="B1961" s="848" t="str">
        <f>+'4E'!BJ17</f>
        <v>BM823SLT</v>
      </c>
      <c r="D1961" s="2004"/>
      <c r="E1961" s="1658" t="s">
        <v>9033</v>
      </c>
      <c r="F1961" s="2004"/>
      <c r="G1961" s="2004">
        <f>IF('4E'!K17="","##BLANK",'4E'!K17)</f>
        <v>0</v>
      </c>
    </row>
    <row r="1962" spans="2:7">
      <c r="B1962" s="848" t="str">
        <f>+'4E'!BJ18</f>
        <v>BM850SLT</v>
      </c>
      <c r="D1962" s="2004"/>
      <c r="E1962" s="1658" t="s">
        <v>9033</v>
      </c>
      <c r="F1962" s="2004"/>
      <c r="G1962" s="2004">
        <f>IF('4E'!K18="","##BLANK",'4E'!K18)</f>
        <v>0.82699999999999996</v>
      </c>
    </row>
    <row r="1963" spans="2:7">
      <c r="B1963" s="848" t="str">
        <f>+'4E'!BJ21</f>
        <v>BC30945SLT</v>
      </c>
      <c r="D1963" s="2004"/>
      <c r="E1963" s="1658" t="s">
        <v>9033</v>
      </c>
      <c r="F1963" s="2004"/>
      <c r="G1963" s="2004">
        <f>IF('4E'!K21="","##BLANK",'4E'!K21)</f>
        <v>0</v>
      </c>
    </row>
    <row r="1964" spans="2:7">
      <c r="B1964" s="848" t="str">
        <f>+'4E'!BJ22</f>
        <v>CS00036SLT</v>
      </c>
      <c r="D1964" s="2004"/>
      <c r="E1964" s="1658" t="s">
        <v>9033</v>
      </c>
      <c r="F1964" s="2004"/>
      <c r="G1964" s="2004">
        <f>IF('4E'!K22="","##BLANK",'4E'!K22)</f>
        <v>0.22500000000000001</v>
      </c>
    </row>
    <row r="1965" spans="2:7">
      <c r="B1965" s="848" t="str">
        <f>+'4E'!BJ23</f>
        <v>BC30944SLT</v>
      </c>
      <c r="D1965" s="2004"/>
      <c r="E1965" s="1658" t="s">
        <v>9033</v>
      </c>
      <c r="F1965" s="2004"/>
      <c r="G1965" s="2004">
        <f>IF('4E'!K23="","##BLANK",'4E'!K23)</f>
        <v>0</v>
      </c>
    </row>
    <row r="1966" spans="2:7">
      <c r="B1966" s="848" t="str">
        <f>+'4E'!BJ24</f>
        <v>CS00037SLT</v>
      </c>
      <c r="D1966" s="2004"/>
      <c r="E1966" s="1658" t="s">
        <v>9033</v>
      </c>
      <c r="F1966" s="2004"/>
      <c r="G1966" s="2004">
        <f>IF('4E'!K24="","##BLANK",'4E'!K24)</f>
        <v>1.0999999999999999E-2</v>
      </c>
    </row>
    <row r="1967" spans="2:7">
      <c r="B1967" s="848" t="str">
        <f>+'4E'!BJ25</f>
        <v>BC30849SLT</v>
      </c>
      <c r="D1967" s="2004"/>
      <c r="E1967" s="1658" t="s">
        <v>9033</v>
      </c>
      <c r="F1967" s="2004"/>
      <c r="G1967" s="2004">
        <f>IF('4E'!K25="","##BLANK",'4E'!K25)</f>
        <v>0</v>
      </c>
    </row>
    <row r="1968" spans="2:7">
      <c r="B1968" s="848" t="str">
        <f>+'4E'!BJ26</f>
        <v>BC30998SLT</v>
      </c>
      <c r="D1968" s="2004"/>
      <c r="E1968" s="1658" t="s">
        <v>9033</v>
      </c>
      <c r="F1968" s="2004"/>
      <c r="G1968" s="2004">
        <f>IF('4E'!K26="","##BLANK",'4E'!K26)</f>
        <v>0.23600000000000002</v>
      </c>
    </row>
    <row r="1969" spans="2:7">
      <c r="B1969" s="848" t="str">
        <f>+'4E'!BJ27</f>
        <v>BM833SLT</v>
      </c>
      <c r="D1969" s="2004"/>
      <c r="E1969" s="1658" t="s">
        <v>9033</v>
      </c>
      <c r="F1969" s="2004"/>
      <c r="G1969" s="2004">
        <f>IF('4E'!K27="","##BLANK",'4E'!K27)</f>
        <v>0</v>
      </c>
    </row>
    <row r="1970" spans="2:7">
      <c r="B1970" s="848" t="str">
        <f>+'4E'!BJ28</f>
        <v>BA2120SLT</v>
      </c>
      <c r="D1970" s="2004"/>
      <c r="E1970" s="1658" t="s">
        <v>9033</v>
      </c>
      <c r="F1970" s="2004"/>
      <c r="G1970" s="2004">
        <f>IF('4E'!K28="","##BLANK",'4E'!K28)</f>
        <v>0.23600000000000002</v>
      </c>
    </row>
    <row r="1971" spans="2:7">
      <c r="B1971" s="848" t="str">
        <f>+'4E'!BJ31</f>
        <v>BA2121SLT</v>
      </c>
      <c r="D1971" s="2004"/>
      <c r="E1971" s="1658" t="s">
        <v>9033</v>
      </c>
      <c r="F1971" s="2004"/>
      <c r="G1971" s="2004">
        <f>IF('4E'!K31="","##BLANK",'4E'!K31)</f>
        <v>0</v>
      </c>
    </row>
    <row r="1972" spans="2:7">
      <c r="B1972" s="848" t="str">
        <f>+'4E'!BJ33</f>
        <v>BM825SLT</v>
      </c>
      <c r="D1972" s="2004"/>
      <c r="E1972" s="1658" t="s">
        <v>9033</v>
      </c>
      <c r="F1972" s="2004"/>
      <c r="G1972" s="2004">
        <f>IF('4E'!K33="","##BLANK",'4E'!K33)</f>
        <v>1.0629999999999999</v>
      </c>
    </row>
    <row r="1973" spans="2:7">
      <c r="B1973" s="848" t="str">
        <f>+'4E'!BJ36</f>
        <v>CR00559SLT</v>
      </c>
      <c r="D1973" s="2004"/>
      <c r="E1973" s="1658" t="s">
        <v>9033</v>
      </c>
      <c r="F1973" s="2004"/>
      <c r="G1973" s="2004">
        <f>IF('4E'!K36="","##BLANK",'4E'!K36)</f>
        <v>0</v>
      </c>
    </row>
    <row r="1974" spans="2:7">
      <c r="B1974" s="848" t="str">
        <f>+'4E'!BJ37</f>
        <v>CR00562SLT</v>
      </c>
      <c r="D1974" s="2004"/>
      <c r="E1974" s="1658" t="s">
        <v>9033</v>
      </c>
      <c r="F1974" s="2004"/>
      <c r="G1974" s="2004">
        <f>IF('4E'!K37="","##BLANK",'4E'!K37)</f>
        <v>0</v>
      </c>
    </row>
    <row r="1975" spans="2:7">
      <c r="B1975" s="848" t="str">
        <f>+'4E'!BJ39</f>
        <v>S3040SLT</v>
      </c>
      <c r="D1975" s="2004"/>
      <c r="E1975" s="1658" t="s">
        <v>9033</v>
      </c>
      <c r="F1975" s="2004"/>
      <c r="G1975" s="2004">
        <f>IF('4E'!K39="","##BLANK",'4E'!K39)</f>
        <v>1.0629999999999999</v>
      </c>
    </row>
    <row r="1976" spans="2:7">
      <c r="B1976" s="848" t="str">
        <f>+'4E'!BJ46</f>
        <v>CRASLT005</v>
      </c>
      <c r="D1976" s="2004"/>
      <c r="E1976" s="1658" t="s">
        <v>9033</v>
      </c>
      <c r="F1976" s="2004"/>
      <c r="G1976" s="2004">
        <f>IF('4E'!K46="","##BLANK",'4E'!K46)</f>
        <v>5356.3149999999996</v>
      </c>
    </row>
    <row r="1977" spans="2:7">
      <c r="B1977" s="848" t="str">
        <f>+'4E'!BJ50</f>
        <v>CRASLT006</v>
      </c>
      <c r="D1977" s="2004"/>
      <c r="E1977" s="1658" t="s">
        <v>9033</v>
      </c>
      <c r="F1977" s="2004"/>
      <c r="G1977" s="2004">
        <f>IF('4E'!K50="","##BLANK",'4E'!K50)</f>
        <v>154.39719284620116</v>
      </c>
    </row>
    <row r="1978" spans="2:7">
      <c r="B1978" s="848" t="str">
        <f>+'4E'!BJ51</f>
        <v>BN2630SLT</v>
      </c>
      <c r="D1978" s="2004"/>
      <c r="E1978" s="1658" t="s">
        <v>9033</v>
      </c>
      <c r="F1978" s="2004"/>
      <c r="G1978" s="2004">
        <f>IF('4E'!K51="","##BLANK",'4E'!K51)</f>
        <v>5217.0190000000002</v>
      </c>
    </row>
    <row r="1979" spans="2:7">
      <c r="B1979" s="848" t="str">
        <f>+'4E'!BJ52</f>
        <v>BN2631SLT</v>
      </c>
      <c r="D1979" s="2004"/>
      <c r="E1979" s="1658" t="s">
        <v>9033</v>
      </c>
      <c r="F1979" s="2004"/>
      <c r="G1979" s="2004">
        <f>IF('4E'!K52="","##BLANK",'4E'!K52)</f>
        <v>0.15851964503100333</v>
      </c>
    </row>
    <row r="1980" spans="2:7">
      <c r="B1980" s="848" t="str">
        <f>+'4E'!BK7</f>
        <v>BM602STP</v>
      </c>
      <c r="D1980" s="2004"/>
      <c r="E1980" s="1658" t="s">
        <v>9033</v>
      </c>
      <c r="F1980" s="2004"/>
      <c r="G1980" s="2004">
        <f>IF('4E'!L7="","##BLANK",'4E'!L7)</f>
        <v>0</v>
      </c>
    </row>
    <row r="1981" spans="2:7">
      <c r="B1981" s="848" t="str">
        <f>+'4E'!BK8</f>
        <v>BM836STP</v>
      </c>
      <c r="D1981" s="2004"/>
      <c r="E1981" s="1658" t="s">
        <v>9033</v>
      </c>
      <c r="F1981" s="2004"/>
      <c r="G1981" s="2004">
        <f>IF('4E'!L8="","##BLANK",'4E'!L8)</f>
        <v>0</v>
      </c>
    </row>
    <row r="1982" spans="2:7">
      <c r="B1982" s="848" t="str">
        <f>+'4E'!BK9</f>
        <v>BM631STP</v>
      </c>
      <c r="D1982" s="2004"/>
      <c r="E1982" s="1658" t="s">
        <v>9033</v>
      </c>
      <c r="F1982" s="2004"/>
      <c r="G1982" s="2004">
        <f>IF('4E'!L9="","##BLANK",'4E'!L9)</f>
        <v>0</v>
      </c>
    </row>
    <row r="1983" spans="2:7">
      <c r="B1983" s="848" t="str">
        <f>+'4E'!BK10</f>
        <v>BM140STP</v>
      </c>
      <c r="D1983" s="2004"/>
      <c r="E1983" s="1658" t="s">
        <v>9033</v>
      </c>
      <c r="F1983" s="2004"/>
      <c r="G1983" s="2004">
        <f>IF('4E'!L10="","##BLANK",'4E'!L10)</f>
        <v>0</v>
      </c>
    </row>
    <row r="1984" spans="2:7">
      <c r="B1984" s="848" t="str">
        <f>+'4E'!BK11</f>
        <v>BM839STPIR</v>
      </c>
      <c r="D1984" s="2004"/>
      <c r="E1984" s="1658" t="s">
        <v>9033</v>
      </c>
      <c r="F1984" s="2004"/>
      <c r="G1984" s="2004">
        <f>IF('4E'!L11="","##BLANK",'4E'!L11)</f>
        <v>0</v>
      </c>
    </row>
    <row r="1985" spans="2:7">
      <c r="B1985" s="848" t="str">
        <f>+'4E'!BK12</f>
        <v>BM839STPNIR</v>
      </c>
      <c r="D1985" s="2004"/>
      <c r="E1985" s="1658" t="s">
        <v>9033</v>
      </c>
      <c r="F1985" s="2004"/>
      <c r="G1985" s="2004">
        <f>IF('4E'!L12="","##BLANK",'4E'!L12)</f>
        <v>0</v>
      </c>
    </row>
    <row r="1986" spans="2:7">
      <c r="B1986" s="848" t="str">
        <f>+'4E'!BK13</f>
        <v>BM839STPER</v>
      </c>
      <c r="D1986" s="2004"/>
      <c r="E1986" s="1658" t="s">
        <v>9033</v>
      </c>
      <c r="F1986" s="2004"/>
      <c r="G1986" s="2004">
        <f>IF('4E'!L13="","##BLANK",'4E'!L13)</f>
        <v>4.8360000000000003</v>
      </c>
    </row>
    <row r="1987" spans="2:7">
      <c r="B1987" s="848" t="str">
        <f>+'4E'!BK14</f>
        <v>BM817STP</v>
      </c>
      <c r="D1987" s="2004"/>
      <c r="E1987" s="1658" t="s">
        <v>9033</v>
      </c>
      <c r="F1987" s="2004"/>
      <c r="G1987" s="2004">
        <f>IF('4E'!L14="","##BLANK",'4E'!L14)</f>
        <v>1E-3</v>
      </c>
    </row>
    <row r="1988" spans="2:7">
      <c r="B1988" s="848" t="str">
        <f>+'4E'!BK15</f>
        <v>BM844STP</v>
      </c>
      <c r="D1988" s="2004"/>
      <c r="E1988" s="1658" t="s">
        <v>9033</v>
      </c>
      <c r="F1988" s="2004"/>
      <c r="G1988" s="2004">
        <f>IF('4E'!L15="","##BLANK",'4E'!L15)</f>
        <v>4.8370000000000006</v>
      </c>
    </row>
    <row r="1989" spans="2:7">
      <c r="B1989" s="848" t="str">
        <f>+'4E'!BK17</f>
        <v>BM823STP</v>
      </c>
      <c r="D1989" s="2004"/>
      <c r="E1989" s="1658" t="s">
        <v>9033</v>
      </c>
      <c r="F1989" s="2004"/>
      <c r="G1989" s="2004">
        <f>IF('4E'!L17="","##BLANK",'4E'!L17)</f>
        <v>0</v>
      </c>
    </row>
    <row r="1990" spans="2:7">
      <c r="B1990" s="848" t="str">
        <f>+'4E'!BK18</f>
        <v>BM850STP</v>
      </c>
      <c r="D1990" s="2004"/>
      <c r="E1990" s="1658" t="s">
        <v>9033</v>
      </c>
      <c r="F1990" s="2004"/>
      <c r="G1990" s="2004">
        <f>IF('4E'!L18="","##BLANK",'4E'!L18)</f>
        <v>4.8370000000000006</v>
      </c>
    </row>
    <row r="1991" spans="2:7">
      <c r="B1991" s="848" t="str">
        <f>+'4E'!BK21</f>
        <v>BC30945STP</v>
      </c>
      <c r="D1991" s="2004"/>
      <c r="E1991" s="1658" t="s">
        <v>9033</v>
      </c>
      <c r="F1991" s="2004"/>
      <c r="G1991" s="2004">
        <f>IF('4E'!L21="","##BLANK",'4E'!L21)</f>
        <v>0</v>
      </c>
    </row>
    <row r="1992" spans="2:7">
      <c r="B1992" s="848" t="str">
        <f>+'4E'!BK22</f>
        <v>CS00036STP</v>
      </c>
      <c r="D1992" s="2004"/>
      <c r="E1992" s="1658" t="s">
        <v>9033</v>
      </c>
      <c r="F1992" s="2004"/>
      <c r="G1992" s="2004">
        <f>IF('4E'!L22="","##BLANK",'4E'!L22)</f>
        <v>0.55700000000000005</v>
      </c>
    </row>
    <row r="1993" spans="2:7">
      <c r="B1993" s="848" t="str">
        <f>+'4E'!BK23</f>
        <v>BC30944STP</v>
      </c>
      <c r="D1993" s="2004"/>
      <c r="E1993" s="1658" t="s">
        <v>9033</v>
      </c>
      <c r="F1993" s="2004"/>
      <c r="G1993" s="2004">
        <f>IF('4E'!L23="","##BLANK",'4E'!L23)</f>
        <v>0</v>
      </c>
    </row>
    <row r="1994" spans="2:7">
      <c r="B1994" s="848" t="str">
        <f>+'4E'!BK24</f>
        <v>CS00037STP</v>
      </c>
      <c r="D1994" s="2004"/>
      <c r="E1994" s="1658" t="s">
        <v>9033</v>
      </c>
      <c r="F1994" s="2004"/>
      <c r="G1994" s="2004">
        <f>IF('4E'!L24="","##BLANK",'4E'!L24)</f>
        <v>2.7E-2</v>
      </c>
    </row>
    <row r="1995" spans="2:7">
      <c r="B1995" s="848" t="str">
        <f>+'4E'!BK25</f>
        <v>BC30849STP</v>
      </c>
      <c r="D1995" s="2004"/>
      <c r="E1995" s="1658" t="s">
        <v>9033</v>
      </c>
      <c r="F1995" s="2004"/>
      <c r="G1995" s="2004">
        <f>IF('4E'!L25="","##BLANK",'4E'!L25)</f>
        <v>0</v>
      </c>
    </row>
    <row r="1996" spans="2:7">
      <c r="B1996" s="848" t="str">
        <f>+'4E'!BK26</f>
        <v>BC30998STP</v>
      </c>
      <c r="D1996" s="2004"/>
      <c r="E1996" s="1658" t="s">
        <v>9033</v>
      </c>
      <c r="F1996" s="2004"/>
      <c r="G1996" s="2004">
        <f>IF('4E'!L26="","##BLANK",'4E'!L26)</f>
        <v>0.58400000000000007</v>
      </c>
    </row>
    <row r="1997" spans="2:7">
      <c r="B1997" s="848" t="str">
        <f>+'4E'!BK27</f>
        <v>BM833STP</v>
      </c>
      <c r="D1997" s="2004"/>
      <c r="E1997" s="1658" t="s">
        <v>9033</v>
      </c>
      <c r="F1997" s="2004"/>
      <c r="G1997" s="2004">
        <f>IF('4E'!L27="","##BLANK",'4E'!L27)</f>
        <v>0</v>
      </c>
    </row>
    <row r="1998" spans="2:7">
      <c r="B1998" s="848" t="str">
        <f>+'4E'!BK28</f>
        <v>BA2120STP</v>
      </c>
      <c r="D1998" s="2004"/>
      <c r="E1998" s="1658" t="s">
        <v>9033</v>
      </c>
      <c r="F1998" s="2004"/>
      <c r="G1998" s="2004">
        <f>IF('4E'!L28="","##BLANK",'4E'!L28)</f>
        <v>0.58400000000000007</v>
      </c>
    </row>
    <row r="1999" spans="2:7">
      <c r="B1999" s="848" t="str">
        <f>+'4E'!BK31</f>
        <v>BA2121STP</v>
      </c>
      <c r="D1999" s="2004"/>
      <c r="E1999" s="1658" t="s">
        <v>9033</v>
      </c>
      <c r="F1999" s="2004"/>
      <c r="G1999" s="2004">
        <f>IF('4E'!L31="","##BLANK",'4E'!L31)</f>
        <v>0</v>
      </c>
    </row>
    <row r="2000" spans="2:7">
      <c r="B2000" s="848" t="str">
        <f>+'4E'!BK33</f>
        <v>BM825STP</v>
      </c>
      <c r="D2000" s="2004"/>
      <c r="E2000" s="1658" t="s">
        <v>9033</v>
      </c>
      <c r="F2000" s="2004"/>
      <c r="G2000" s="2004">
        <f>IF('4E'!L33="","##BLANK",'4E'!L33)</f>
        <v>5.4210000000000012</v>
      </c>
    </row>
    <row r="2001" spans="2:7">
      <c r="B2001" s="848" t="str">
        <f>+'4E'!BK36</f>
        <v>CR00559STP</v>
      </c>
      <c r="D2001" s="2004"/>
      <c r="E2001" s="1658" t="s">
        <v>9033</v>
      </c>
      <c r="F2001" s="2004"/>
      <c r="G2001" s="2004">
        <f>IF('4E'!L36="","##BLANK",'4E'!L36)</f>
        <v>0</v>
      </c>
    </row>
    <row r="2002" spans="2:7">
      <c r="B2002" s="848" t="str">
        <f>+'4E'!BK37</f>
        <v>CR00562STP</v>
      </c>
      <c r="D2002" s="2004"/>
      <c r="E2002" s="1658" t="s">
        <v>9033</v>
      </c>
      <c r="F2002" s="2004"/>
      <c r="G2002" s="2004">
        <f>IF('4E'!L37="","##BLANK",'4E'!L37)</f>
        <v>0</v>
      </c>
    </row>
    <row r="2003" spans="2:7">
      <c r="B2003" s="848" t="str">
        <f>+'4E'!BK39</f>
        <v>S3040STP</v>
      </c>
      <c r="D2003" s="2004"/>
      <c r="E2003" s="1658" t="s">
        <v>9033</v>
      </c>
      <c r="F2003" s="2004"/>
      <c r="G2003" s="2004">
        <f>IF('4E'!L39="","##BLANK",'4E'!L39)</f>
        <v>5.4210000000000012</v>
      </c>
    </row>
    <row r="2004" spans="2:7">
      <c r="B2004" s="848" t="str">
        <f>+'4E'!BK47</f>
        <v>CRASST005</v>
      </c>
      <c r="D2004" s="2004"/>
      <c r="E2004" s="1658" t="s">
        <v>9033</v>
      </c>
      <c r="F2004" s="2004"/>
      <c r="G2004" s="2004">
        <f>IF('4E'!L47="","##BLANK",'4E'!L47)</f>
        <v>1208982.835</v>
      </c>
    </row>
    <row r="2005" spans="2:7">
      <c r="B2005" s="848" t="str">
        <f>+'4E'!BK50</f>
        <v>CRASST006</v>
      </c>
      <c r="D2005" s="2004"/>
      <c r="E2005" s="1658" t="s">
        <v>9033</v>
      </c>
      <c r="F2005" s="2004"/>
      <c r="G2005" s="2004">
        <f>IF('4E'!L50="","##BLANK",'4E'!L50)</f>
        <v>4.0008839331453379</v>
      </c>
    </row>
    <row r="2006" spans="2:7">
      <c r="B2006" s="848" t="str">
        <f>+'4E'!BK51</f>
        <v>BN2630STP</v>
      </c>
      <c r="D2006" s="2004"/>
      <c r="E2006" s="1658" t="s">
        <v>9033</v>
      </c>
      <c r="F2006" s="2004"/>
      <c r="G2006" s="2004">
        <f>IF('4E'!L51="","##BLANK",'4E'!L51)</f>
        <v>5217.0190000000002</v>
      </c>
    </row>
    <row r="2007" spans="2:7">
      <c r="B2007" s="848" t="str">
        <f>+'4E'!BK52</f>
        <v>BN2631STP</v>
      </c>
      <c r="D2007" s="2004"/>
      <c r="E2007" s="1658" t="s">
        <v>9033</v>
      </c>
      <c r="F2007" s="2004"/>
      <c r="G2007" s="2004">
        <f>IF('4E'!L52="","##BLANK",'4E'!L52)</f>
        <v>0.9271578271039459</v>
      </c>
    </row>
    <row r="2008" spans="2:7">
      <c r="B2008" s="848" t="str">
        <f>+'4E'!BL7</f>
        <v>BM602SDT</v>
      </c>
      <c r="D2008" s="2004"/>
      <c r="E2008" s="1658" t="s">
        <v>9033</v>
      </c>
      <c r="F2008" s="2004"/>
      <c r="G2008" s="2004">
        <f>IF('4E'!M7="","##BLANK",'4E'!M7)</f>
        <v>-3.0710000000000002</v>
      </c>
    </row>
    <row r="2009" spans="2:7">
      <c r="B2009" s="848" t="str">
        <f>+'4E'!BL8</f>
        <v>BM836SDT</v>
      </c>
      <c r="D2009" s="2004"/>
      <c r="E2009" s="1658" t="s">
        <v>9033</v>
      </c>
      <c r="F2009" s="2004"/>
      <c r="G2009" s="2004">
        <f>IF('4E'!M8="","##BLANK",'4E'!M8)</f>
        <v>-2.262</v>
      </c>
    </row>
    <row r="2010" spans="2:7">
      <c r="B2010" s="848" t="str">
        <f>+'4E'!BL9</f>
        <v>BM631SDT</v>
      </c>
      <c r="D2010" s="2004"/>
      <c r="E2010" s="1658" t="s">
        <v>9033</v>
      </c>
      <c r="F2010" s="2004"/>
      <c r="G2010" s="2004">
        <f>IF('4E'!M9="","##BLANK",'4E'!M9)</f>
        <v>0</v>
      </c>
    </row>
    <row r="2011" spans="2:7">
      <c r="B2011" s="848" t="str">
        <f>+'4E'!BL10</f>
        <v>BM140SDT</v>
      </c>
      <c r="D2011" s="2004"/>
      <c r="E2011" s="1658" t="s">
        <v>9033</v>
      </c>
      <c r="F2011" s="2004"/>
      <c r="G2011" s="2004">
        <f>IF('4E'!M10="","##BLANK",'4E'!M10)</f>
        <v>0</v>
      </c>
    </row>
    <row r="2012" spans="2:7">
      <c r="B2012" s="848" t="str">
        <f>+'4E'!BL11</f>
        <v>BM839SDTIR</v>
      </c>
      <c r="D2012" s="2004"/>
      <c r="E2012" s="1658" t="s">
        <v>9033</v>
      </c>
      <c r="F2012" s="2004"/>
      <c r="G2012" s="2004">
        <f>IF('4E'!M11="","##BLANK",'4E'!M11)</f>
        <v>0</v>
      </c>
    </row>
    <row r="2013" spans="2:7">
      <c r="B2013" s="848" t="str">
        <f>+'4E'!BL12</f>
        <v>BM839SDTNIR</v>
      </c>
      <c r="D2013" s="2004"/>
      <c r="E2013" s="1658" t="s">
        <v>9033</v>
      </c>
      <c r="F2013" s="2004"/>
      <c r="G2013" s="2004">
        <f>IF('4E'!M12="","##BLANK",'4E'!M12)</f>
        <v>0</v>
      </c>
    </row>
    <row r="2014" spans="2:7">
      <c r="B2014" s="848" t="str">
        <f>+'4E'!BL13</f>
        <v>BM839SDTER</v>
      </c>
      <c r="D2014" s="2004"/>
      <c r="E2014" s="1658" t="s">
        <v>9033</v>
      </c>
      <c r="F2014" s="2004"/>
      <c r="G2014" s="2004">
        <f>IF('4E'!M13="","##BLANK",'4E'!M13)</f>
        <v>20.64</v>
      </c>
    </row>
    <row r="2015" spans="2:7">
      <c r="B2015" s="848" t="str">
        <f>+'4E'!BL14</f>
        <v>BM817SDT</v>
      </c>
      <c r="D2015" s="2004"/>
      <c r="E2015" s="1658" t="s">
        <v>9033</v>
      </c>
      <c r="F2015" s="2004"/>
      <c r="G2015" s="2004">
        <f>IF('4E'!M14="","##BLANK",'4E'!M14)</f>
        <v>1.4119999999999999</v>
      </c>
    </row>
    <row r="2016" spans="2:7">
      <c r="B2016" s="848" t="str">
        <f>+'4E'!BL15</f>
        <v>BM844SDT</v>
      </c>
      <c r="D2016" s="2004"/>
      <c r="E2016" s="1658" t="s">
        <v>9033</v>
      </c>
      <c r="F2016" s="2004"/>
      <c r="G2016" s="2004">
        <f>IF('4E'!M15="","##BLANK",'4E'!M15)</f>
        <v>16.719000000000001</v>
      </c>
    </row>
    <row r="2017" spans="2:7">
      <c r="B2017" s="848" t="str">
        <f>+'4E'!BL17</f>
        <v>BM823SDT</v>
      </c>
      <c r="D2017" s="2004"/>
      <c r="E2017" s="1658" t="s">
        <v>9033</v>
      </c>
      <c r="F2017" s="2004"/>
      <c r="G2017" s="2004">
        <f>IF('4E'!M17="","##BLANK",'4E'!M17)</f>
        <v>0</v>
      </c>
    </row>
    <row r="2018" spans="2:7">
      <c r="B2018" s="848" t="str">
        <f>+'4E'!BL18</f>
        <v>BM850SDT</v>
      </c>
      <c r="D2018" s="2004"/>
      <c r="E2018" s="1658" t="s">
        <v>9033</v>
      </c>
      <c r="F2018" s="2004"/>
      <c r="G2018" s="2004">
        <f>IF('4E'!M18="","##BLANK",'4E'!M18)</f>
        <v>16.719000000000001</v>
      </c>
    </row>
    <row r="2019" spans="2:7">
      <c r="B2019" s="848" t="str">
        <f>+'4E'!BL21</f>
        <v>BC30945SDT</v>
      </c>
      <c r="D2019" s="2004"/>
      <c r="E2019" s="1658" t="s">
        <v>9033</v>
      </c>
      <c r="F2019" s="2004"/>
      <c r="G2019" s="2004">
        <f>IF('4E'!M21="","##BLANK",'4E'!M21)</f>
        <v>0</v>
      </c>
    </row>
    <row r="2020" spans="2:7">
      <c r="B2020" s="848" t="str">
        <f>+'4E'!BL22</f>
        <v>CS00036SDT</v>
      </c>
      <c r="D2020" s="2004"/>
      <c r="E2020" s="1658" t="s">
        <v>9033</v>
      </c>
      <c r="F2020" s="2004"/>
      <c r="G2020" s="2004">
        <f>IF('4E'!M22="","##BLANK",'4E'!M22)</f>
        <v>78.873000000000005</v>
      </c>
    </row>
    <row r="2021" spans="2:7">
      <c r="B2021" s="848" t="str">
        <f>+'4E'!BL23</f>
        <v>BC30944SDT</v>
      </c>
      <c r="D2021" s="2004"/>
      <c r="E2021" s="1658" t="s">
        <v>9033</v>
      </c>
      <c r="F2021" s="2004"/>
      <c r="G2021" s="2004">
        <f>IF('4E'!M23="","##BLANK",'4E'!M23)</f>
        <v>0</v>
      </c>
    </row>
    <row r="2022" spans="2:7">
      <c r="B2022" s="848" t="str">
        <f>+'4E'!BL24</f>
        <v>CS00037SDT</v>
      </c>
      <c r="D2022" s="2004"/>
      <c r="E2022" s="1658" t="s">
        <v>9033</v>
      </c>
      <c r="F2022" s="2004"/>
      <c r="G2022" s="2004">
        <f>IF('4E'!M24="","##BLANK",'4E'!M24)</f>
        <v>2.294</v>
      </c>
    </row>
    <row r="2023" spans="2:7">
      <c r="B2023" s="848" t="str">
        <f>+'4E'!BL25</f>
        <v>BC30849SDT</v>
      </c>
      <c r="D2023" s="2004"/>
      <c r="E2023" s="1658" t="s">
        <v>9033</v>
      </c>
      <c r="F2023" s="2004"/>
      <c r="G2023" s="2004">
        <f>IF('4E'!M25="","##BLANK",'4E'!M25)</f>
        <v>0</v>
      </c>
    </row>
    <row r="2024" spans="2:7">
      <c r="B2024" s="848" t="str">
        <f>+'4E'!BL26</f>
        <v>BC30998SDT</v>
      </c>
      <c r="D2024" s="2004"/>
      <c r="E2024" s="1658" t="s">
        <v>9033</v>
      </c>
      <c r="F2024" s="2004"/>
      <c r="G2024" s="2004">
        <f>IF('4E'!M26="","##BLANK",'4E'!M26)</f>
        <v>81.167000000000002</v>
      </c>
    </row>
    <row r="2025" spans="2:7">
      <c r="B2025" s="848" t="str">
        <f>+'4E'!BL27</f>
        <v>BM833SDT</v>
      </c>
      <c r="D2025" s="2004"/>
      <c r="E2025" s="1658" t="s">
        <v>9033</v>
      </c>
      <c r="F2025" s="2004"/>
      <c r="G2025" s="2004">
        <f>IF('4E'!M27="","##BLANK",'4E'!M27)</f>
        <v>0</v>
      </c>
    </row>
    <row r="2026" spans="2:7">
      <c r="B2026" s="848" t="str">
        <f>+'4E'!BL28</f>
        <v>BA2120SDT</v>
      </c>
      <c r="D2026" s="2004"/>
      <c r="E2026" s="1658" t="s">
        <v>9033</v>
      </c>
      <c r="F2026" s="2004"/>
      <c r="G2026" s="2004">
        <f>IF('4E'!M28="","##BLANK",'4E'!M28)</f>
        <v>81.167000000000002</v>
      </c>
    </row>
    <row r="2027" spans="2:7">
      <c r="B2027" s="848" t="str">
        <f>+'4E'!BL31</f>
        <v>BA2121SDT</v>
      </c>
      <c r="D2027" s="2004"/>
      <c r="E2027" s="1658" t="s">
        <v>9033</v>
      </c>
      <c r="F2027" s="2004"/>
      <c r="G2027" s="2004">
        <f>IF('4E'!M31="","##BLANK",'4E'!M31)</f>
        <v>0</v>
      </c>
    </row>
    <row r="2028" spans="2:7">
      <c r="B2028" s="848" t="str">
        <f>+'4E'!BL33</f>
        <v>BM825SDT</v>
      </c>
      <c r="D2028" s="2004"/>
      <c r="E2028" s="1658" t="s">
        <v>9033</v>
      </c>
      <c r="F2028" s="2004"/>
      <c r="G2028" s="2004">
        <f>IF('4E'!M33="","##BLANK",'4E'!M33)</f>
        <v>97.885999999999996</v>
      </c>
    </row>
    <row r="2029" spans="2:7">
      <c r="B2029" s="848" t="str">
        <f>+'4E'!BL36</f>
        <v>CR00559SDT</v>
      </c>
      <c r="D2029" s="2004"/>
      <c r="E2029" s="1658" t="s">
        <v>9033</v>
      </c>
      <c r="F2029" s="2004"/>
      <c r="G2029" s="2004">
        <f>IF('4E'!M36="","##BLANK",'4E'!M36)</f>
        <v>0</v>
      </c>
    </row>
    <row r="2030" spans="2:7">
      <c r="B2030" s="848" t="str">
        <f>+'4E'!BL37</f>
        <v>CR00562SDT</v>
      </c>
      <c r="D2030" s="2004"/>
      <c r="E2030" s="1658" t="s">
        <v>9033</v>
      </c>
      <c r="F2030" s="2004"/>
      <c r="G2030" s="2004">
        <f>IF('4E'!M37="","##BLANK",'4E'!M37)</f>
        <v>0</v>
      </c>
    </row>
    <row r="2031" spans="2:7">
      <c r="B2031" s="848" t="str">
        <f>+'4E'!BL39</f>
        <v>S3040SDT</v>
      </c>
      <c r="D2031" s="2004"/>
      <c r="E2031" s="1658" t="s">
        <v>9033</v>
      </c>
      <c r="F2031" s="2004"/>
      <c r="G2031" s="2004">
        <f>IF('4E'!M39="","##BLANK",'4E'!M39)</f>
        <v>97.885999999999996</v>
      </c>
    </row>
    <row r="2032" spans="2:7">
      <c r="B2032" s="848" t="str">
        <f>+'4E'!BL48</f>
        <v>CRASSTS005</v>
      </c>
      <c r="D2032" s="2004"/>
      <c r="E2032" s="1658" t="s">
        <v>9033</v>
      </c>
      <c r="F2032" s="2004"/>
      <c r="G2032" s="2004">
        <f>IF('4E'!M48="","##BLANK",'4E'!M48)</f>
        <v>153.30600000000001</v>
      </c>
    </row>
    <row r="2033" spans="2:7">
      <c r="B2033" s="848" t="str">
        <f>+'4E'!BL50</f>
        <v>CRASSTS006</v>
      </c>
      <c r="D2033" s="2004"/>
      <c r="E2033" s="1658" t="s">
        <v>9033</v>
      </c>
      <c r="F2033" s="2004"/>
      <c r="G2033" s="2004">
        <f>IF('4E'!M50="","##BLANK",'4E'!M50)</f>
        <v>109056.39700990178</v>
      </c>
    </row>
    <row r="2034" spans="2:7">
      <c r="B2034" s="848" t="str">
        <f>+'4E'!BL51</f>
        <v>BN2630SDT</v>
      </c>
      <c r="D2034" s="2004"/>
      <c r="E2034" s="1658" t="s">
        <v>9033</v>
      </c>
      <c r="F2034" s="2004"/>
      <c r="G2034" s="2004">
        <f>IF('4E'!M51="","##BLANK",'4E'!M51)</f>
        <v>5217.0190000000002</v>
      </c>
    </row>
    <row r="2035" spans="2:7">
      <c r="B2035" s="848" t="str">
        <f>+'4E'!BL52</f>
        <v>BN2631SDT</v>
      </c>
      <c r="D2035" s="2004"/>
      <c r="E2035" s="1658" t="s">
        <v>9033</v>
      </c>
      <c r="F2035" s="2004"/>
      <c r="G2035" s="2004">
        <f>IF('4E'!M52="","##BLANK",'4E'!M52)</f>
        <v>3.204703682313597</v>
      </c>
    </row>
    <row r="2036" spans="2:7">
      <c r="B2036" s="848" t="str">
        <f>+'4E'!BM7</f>
        <v>BM602SDD</v>
      </c>
      <c r="D2036" s="2004"/>
      <c r="E2036" s="1658" t="s">
        <v>9033</v>
      </c>
      <c r="F2036" s="2004"/>
      <c r="G2036" s="2004">
        <f>IF('4E'!N7="","##BLANK",'4E'!N7)</f>
        <v>0</v>
      </c>
    </row>
    <row r="2037" spans="2:7">
      <c r="B2037" s="848" t="str">
        <f>+'4E'!BM8</f>
        <v>BM836SDD</v>
      </c>
      <c r="D2037" s="2004"/>
      <c r="E2037" s="1658" t="s">
        <v>9033</v>
      </c>
      <c r="F2037" s="2004"/>
      <c r="G2037" s="2004">
        <f>IF('4E'!N8="","##BLANK",'4E'!N8)</f>
        <v>0</v>
      </c>
    </row>
    <row r="2038" spans="2:7">
      <c r="B2038" s="848" t="str">
        <f>+'4E'!BM9</f>
        <v>BM631SDD</v>
      </c>
      <c r="D2038" s="2004"/>
      <c r="E2038" s="1658" t="s">
        <v>9033</v>
      </c>
      <c r="F2038" s="2004"/>
      <c r="G2038" s="2004">
        <f>IF('4E'!N9="","##BLANK",'4E'!N9)</f>
        <v>0</v>
      </c>
    </row>
    <row r="2039" spans="2:7">
      <c r="B2039" s="848" t="str">
        <f>+'4E'!BM10</f>
        <v>BM140SDD</v>
      </c>
      <c r="D2039" s="2004"/>
      <c r="E2039" s="1658" t="s">
        <v>9033</v>
      </c>
      <c r="F2039" s="2004"/>
      <c r="G2039" s="2004">
        <f>IF('4E'!N10="","##BLANK",'4E'!N10)</f>
        <v>0</v>
      </c>
    </row>
    <row r="2040" spans="2:7">
      <c r="B2040" s="848" t="str">
        <f>+'4E'!BM11</f>
        <v>BM839SDDIR</v>
      </c>
      <c r="D2040" s="2004"/>
      <c r="E2040" s="1658" t="s">
        <v>9033</v>
      </c>
      <c r="F2040" s="2004"/>
      <c r="G2040" s="2004">
        <f>IF('4E'!N11="","##BLANK",'4E'!N11)</f>
        <v>0</v>
      </c>
    </row>
    <row r="2041" spans="2:7">
      <c r="B2041" s="848" t="str">
        <f>+'4E'!BM12</f>
        <v>BM839SDDNIR</v>
      </c>
      <c r="D2041" s="2004"/>
      <c r="E2041" s="1658" t="s">
        <v>9033</v>
      </c>
      <c r="F2041" s="2004"/>
      <c r="G2041" s="2004">
        <f>IF('4E'!N12="","##BLANK",'4E'!N12)</f>
        <v>0</v>
      </c>
    </row>
    <row r="2042" spans="2:7">
      <c r="B2042" s="848" t="str">
        <f>+'4E'!BM13</f>
        <v>BM839SDDER</v>
      </c>
      <c r="D2042" s="2004"/>
      <c r="E2042" s="1658" t="s">
        <v>9033</v>
      </c>
      <c r="F2042" s="2004"/>
      <c r="G2042" s="2004">
        <f>IF('4E'!N13="","##BLANK",'4E'!N13)</f>
        <v>10.897</v>
      </c>
    </row>
    <row r="2043" spans="2:7">
      <c r="B2043" s="848" t="str">
        <f>+'4E'!BM14</f>
        <v>BM817SDD</v>
      </c>
      <c r="D2043" s="2004"/>
      <c r="E2043" s="1658" t="s">
        <v>9033</v>
      </c>
      <c r="F2043" s="2004"/>
      <c r="G2043" s="2004">
        <f>IF('4E'!N14="","##BLANK",'4E'!N14)</f>
        <v>0</v>
      </c>
    </row>
    <row r="2044" spans="2:7">
      <c r="B2044" s="848" t="str">
        <f>+'4E'!BM15</f>
        <v>BM844SDD</v>
      </c>
      <c r="D2044" s="2004"/>
      <c r="E2044" s="1658" t="s">
        <v>9033</v>
      </c>
      <c r="F2044" s="2004"/>
      <c r="G2044" s="2004">
        <f>IF('4E'!N15="","##BLANK",'4E'!N15)</f>
        <v>10.897</v>
      </c>
    </row>
    <row r="2045" spans="2:7">
      <c r="B2045" s="848" t="str">
        <f>+'4E'!BM17</f>
        <v>BM823SDD</v>
      </c>
      <c r="D2045" s="2004"/>
      <c r="E2045" s="1658" t="s">
        <v>9033</v>
      </c>
      <c r="F2045" s="2004"/>
      <c r="G2045" s="2004">
        <f>IF('4E'!N17="","##BLANK",'4E'!N17)</f>
        <v>0</v>
      </c>
    </row>
    <row r="2046" spans="2:7">
      <c r="B2046" s="848" t="str">
        <f>+'4E'!BM18</f>
        <v>BM850SDD</v>
      </c>
      <c r="D2046" s="2004"/>
      <c r="E2046" s="1658" t="s">
        <v>9033</v>
      </c>
      <c r="F2046" s="2004"/>
      <c r="G2046" s="2004">
        <f>IF('4E'!N18="","##BLANK",'4E'!N18)</f>
        <v>10.897</v>
      </c>
    </row>
    <row r="2047" spans="2:7">
      <c r="B2047" s="848" t="str">
        <f>+'4E'!BM21</f>
        <v>BC30945SDD</v>
      </c>
      <c r="D2047" s="2004"/>
      <c r="E2047" s="1658" t="s">
        <v>9033</v>
      </c>
      <c r="F2047" s="2004"/>
      <c r="G2047" s="2004">
        <f>IF('4E'!N21="","##BLANK",'4E'!N21)</f>
        <v>0</v>
      </c>
    </row>
    <row r="2048" spans="2:7">
      <c r="B2048" s="848" t="str">
        <f>+'4E'!BM22</f>
        <v>CS00036SDD</v>
      </c>
      <c r="D2048" s="2004"/>
      <c r="E2048" s="1658" t="s">
        <v>9033</v>
      </c>
      <c r="F2048" s="2004"/>
      <c r="G2048" s="2004">
        <f>IF('4E'!N22="","##BLANK",'4E'!N22)</f>
        <v>0.1</v>
      </c>
    </row>
    <row r="2049" spans="2:7">
      <c r="B2049" s="848" t="str">
        <f>+'4E'!BM23</f>
        <v>BC30944SDD</v>
      </c>
      <c r="D2049" s="2004"/>
      <c r="E2049" s="1658" t="s">
        <v>9033</v>
      </c>
      <c r="F2049" s="2004"/>
      <c r="G2049" s="2004">
        <f>IF('4E'!N23="","##BLANK",'4E'!N23)</f>
        <v>0</v>
      </c>
    </row>
    <row r="2050" spans="2:7">
      <c r="B2050" s="848" t="str">
        <f>+'4E'!BM24</f>
        <v>CS00037SDD</v>
      </c>
      <c r="D2050" s="2004"/>
      <c r="E2050" s="1658" t="s">
        <v>9033</v>
      </c>
      <c r="F2050" s="2004"/>
      <c r="G2050" s="2004">
        <f>IF('4E'!N24="","##BLANK",'4E'!N24)</f>
        <v>5.0000000000000001E-3</v>
      </c>
    </row>
    <row r="2051" spans="2:7">
      <c r="B2051" s="848" t="str">
        <f>+'4E'!BM25</f>
        <v>BC30849SDD</v>
      </c>
      <c r="D2051" s="2004"/>
      <c r="E2051" s="1658" t="s">
        <v>9033</v>
      </c>
      <c r="F2051" s="2004"/>
      <c r="G2051" s="2004">
        <f>IF('4E'!N25="","##BLANK",'4E'!N25)</f>
        <v>0</v>
      </c>
    </row>
    <row r="2052" spans="2:7">
      <c r="B2052" s="848" t="str">
        <f>+'4E'!BM26</f>
        <v>BC30998SDD</v>
      </c>
      <c r="D2052" s="2004"/>
      <c r="E2052" s="1658" t="s">
        <v>9033</v>
      </c>
      <c r="F2052" s="2004"/>
      <c r="G2052" s="2004">
        <f>IF('4E'!N26="","##BLANK",'4E'!N26)</f>
        <v>0.10500000000000001</v>
      </c>
    </row>
    <row r="2053" spans="2:7">
      <c r="B2053" s="848" t="str">
        <f>+'4E'!BM27</f>
        <v>BM833SDD</v>
      </c>
      <c r="D2053" s="2004"/>
      <c r="E2053" s="1658" t="s">
        <v>9033</v>
      </c>
      <c r="F2053" s="2004"/>
      <c r="G2053" s="2004">
        <f>IF('4E'!N27="","##BLANK",'4E'!N27)</f>
        <v>0</v>
      </c>
    </row>
    <row r="2054" spans="2:7">
      <c r="B2054" s="848" t="str">
        <f>+'4E'!BM28</f>
        <v>BA2120SDD</v>
      </c>
      <c r="D2054" s="2004"/>
      <c r="E2054" s="1658" t="s">
        <v>9033</v>
      </c>
      <c r="F2054" s="2004"/>
      <c r="G2054" s="2004">
        <f>IF('4E'!N28="","##BLANK",'4E'!N28)</f>
        <v>0.10500000000000001</v>
      </c>
    </row>
    <row r="2055" spans="2:7">
      <c r="B2055" s="848" t="str">
        <f>+'4E'!BM31</f>
        <v>BA2121SDD</v>
      </c>
      <c r="D2055" s="2004"/>
      <c r="E2055" s="1658" t="s">
        <v>9033</v>
      </c>
      <c r="F2055" s="2004"/>
      <c r="G2055" s="2004">
        <f>IF('4E'!N31="","##BLANK",'4E'!N31)</f>
        <v>0</v>
      </c>
    </row>
    <row r="2056" spans="2:7">
      <c r="B2056" s="848" t="str">
        <f>+'4E'!BM33</f>
        <v>BM825SDD</v>
      </c>
      <c r="D2056" s="2004"/>
      <c r="E2056" s="1658" t="s">
        <v>9033</v>
      </c>
      <c r="F2056" s="2004"/>
      <c r="G2056" s="2004">
        <f>IF('4E'!N33="","##BLANK",'4E'!N33)</f>
        <v>11.002000000000001</v>
      </c>
    </row>
    <row r="2057" spans="2:7">
      <c r="B2057" s="848" t="str">
        <f>+'4E'!BM36</f>
        <v>CR00559SDD</v>
      </c>
      <c r="D2057" s="2004"/>
      <c r="E2057" s="1658" t="s">
        <v>9033</v>
      </c>
      <c r="F2057" s="2004"/>
      <c r="G2057" s="2004">
        <f>IF('4E'!N36="","##BLANK",'4E'!N36)</f>
        <v>0</v>
      </c>
    </row>
    <row r="2058" spans="2:7">
      <c r="B2058" s="848" t="str">
        <f>+'4E'!BM37</f>
        <v>CR00562SDD</v>
      </c>
      <c r="D2058" s="2004"/>
      <c r="E2058" s="1658" t="s">
        <v>9033</v>
      </c>
      <c r="F2058" s="2004"/>
      <c r="G2058" s="2004">
        <f>IF('4E'!N37="","##BLANK",'4E'!N37)</f>
        <v>0</v>
      </c>
    </row>
    <row r="2059" spans="2:7">
      <c r="B2059" s="848" t="str">
        <f>+'4E'!BM39</f>
        <v>S3040SDD</v>
      </c>
      <c r="D2059" s="2004"/>
      <c r="E2059" s="1658" t="s">
        <v>9033</v>
      </c>
      <c r="F2059" s="2004"/>
      <c r="G2059" s="2004">
        <f>IF('4E'!N39="","##BLANK",'4E'!N39)</f>
        <v>11.002000000000001</v>
      </c>
    </row>
    <row r="2060" spans="2:7">
      <c r="B2060" s="848" t="str">
        <f>+'4E'!BM49</f>
        <v>CRSDSERV01D</v>
      </c>
      <c r="D2060" s="2004"/>
      <c r="E2060" s="1658" t="s">
        <v>9033</v>
      </c>
      <c r="F2060" s="2004"/>
      <c r="G2060" s="2004">
        <f>IF('4E'!N49="","##BLANK",'4E'!N49)</f>
        <v>150.84100000000001</v>
      </c>
    </row>
    <row r="2061" spans="2:7">
      <c r="B2061" s="848" t="str">
        <f>+'4E'!BM50</f>
        <v>CRSDSERV01C</v>
      </c>
      <c r="D2061" s="2004"/>
      <c r="E2061" s="1658" t="s">
        <v>9033</v>
      </c>
      <c r="F2061" s="2004"/>
      <c r="G2061" s="2004">
        <f>IF('4E'!N50="","##BLANK",'4E'!N50)</f>
        <v>72241.631917051724</v>
      </c>
    </row>
    <row r="2062" spans="2:7">
      <c r="B2062" s="848" t="str">
        <f>+'4E'!BM51</f>
        <v>BN2630SDD</v>
      </c>
      <c r="D2062" s="2004"/>
      <c r="E2062" s="1658" t="s">
        <v>9033</v>
      </c>
      <c r="F2062" s="2004"/>
      <c r="G2062" s="2004">
        <f>IF('4E'!N51="","##BLANK",'4E'!N51)</f>
        <v>5217.0190000000002</v>
      </c>
    </row>
    <row r="2063" spans="2:7">
      <c r="B2063" s="848" t="str">
        <f>+'4E'!BM52</f>
        <v>BN2631SDD</v>
      </c>
      <c r="D2063" s="2004"/>
      <c r="E2063" s="1658" t="s">
        <v>9033</v>
      </c>
      <c r="F2063" s="2004"/>
      <c r="G2063" s="2004">
        <f>IF('4E'!N52="","##BLANK",'4E'!N52)</f>
        <v>2.0887407157229059</v>
      </c>
    </row>
    <row r="2064" spans="2:7">
      <c r="B2064" s="848" t="str">
        <f>+'4E'!BN7</f>
        <v>BM802TAS</v>
      </c>
      <c r="D2064" s="2004"/>
      <c r="E2064" s="1658" t="s">
        <v>9033</v>
      </c>
      <c r="F2064" s="2004"/>
      <c r="G2064" s="2004">
        <f>IF('4E'!O7="","##BLANK",'4E'!O7)</f>
        <v>30.171000000000003</v>
      </c>
    </row>
    <row r="2065" spans="2:7">
      <c r="B2065" s="848" t="str">
        <f>+'4E'!BN8</f>
        <v>BM836TAS</v>
      </c>
      <c r="D2065" s="2004"/>
      <c r="E2065" s="1658" t="s">
        <v>9033</v>
      </c>
      <c r="F2065" s="2004"/>
      <c r="G2065" s="2004">
        <f>IF('4E'!O8="","##BLANK",'4E'!O8)</f>
        <v>-2.262</v>
      </c>
    </row>
    <row r="2066" spans="2:7">
      <c r="B2066" s="848" t="str">
        <f>+'4E'!BN9</f>
        <v>BM831TAS</v>
      </c>
      <c r="D2066" s="2004"/>
      <c r="E2066" s="1658" t="s">
        <v>9033</v>
      </c>
      <c r="F2066" s="2004"/>
      <c r="G2066" s="2004">
        <f>IF('4E'!O9="","##BLANK",'4E'!O9)</f>
        <v>6.2639999999999993</v>
      </c>
    </row>
    <row r="2067" spans="2:7">
      <c r="B2067" s="848" t="str">
        <f>+'4E'!BN10</f>
        <v>BM140TAS</v>
      </c>
      <c r="D2067" s="2004"/>
      <c r="E2067" s="1658" t="s">
        <v>9033</v>
      </c>
      <c r="F2067" s="2004"/>
      <c r="G2067" s="2004">
        <f>IF('4E'!O10="","##BLANK",'4E'!O10)</f>
        <v>0</v>
      </c>
    </row>
    <row r="2068" spans="2:7">
      <c r="B2068" s="848" t="str">
        <f>+'4E'!BN11</f>
        <v>BM839TASIR</v>
      </c>
      <c r="D2068" s="2004"/>
      <c r="E2068" s="1658" t="s">
        <v>9033</v>
      </c>
      <c r="F2068" s="2004"/>
      <c r="G2068" s="2004">
        <f>IF('4E'!O11="","##BLANK",'4E'!O11)</f>
        <v>0</v>
      </c>
    </row>
    <row r="2069" spans="2:7">
      <c r="B2069" s="848" t="str">
        <f>+'4E'!BN12</f>
        <v>BM839TASNIR</v>
      </c>
      <c r="D2069" s="2004"/>
      <c r="E2069" s="1658" t="s">
        <v>9033</v>
      </c>
      <c r="F2069" s="2004"/>
      <c r="G2069" s="2004">
        <f>IF('4E'!O12="","##BLANK",'4E'!O12)</f>
        <v>0</v>
      </c>
    </row>
    <row r="2070" spans="2:7">
      <c r="B2070" s="848" t="str">
        <f>+'4E'!BN13</f>
        <v>BM839TASER</v>
      </c>
      <c r="D2070" s="2004"/>
      <c r="E2070" s="1658" t="s">
        <v>9033</v>
      </c>
      <c r="F2070" s="2004"/>
      <c r="G2070" s="2004">
        <f>IF('4E'!O13="","##BLANK",'4E'!O13)</f>
        <v>157.83599999999996</v>
      </c>
    </row>
    <row r="2071" spans="2:7">
      <c r="B2071" s="848" t="str">
        <f>+'4E'!BN14</f>
        <v>BM817TAS</v>
      </c>
      <c r="D2071" s="2004"/>
      <c r="E2071" s="1658" t="s">
        <v>9033</v>
      </c>
      <c r="F2071" s="2004"/>
      <c r="G2071" s="2004">
        <f>IF('4E'!O14="","##BLANK",'4E'!O14)</f>
        <v>21.448</v>
      </c>
    </row>
    <row r="2072" spans="2:7">
      <c r="B2072" s="848" t="str">
        <f>+'4E'!BN15</f>
        <v>BM844TAS</v>
      </c>
      <c r="D2072" s="2004"/>
      <c r="E2072" s="1658" t="s">
        <v>9033</v>
      </c>
      <c r="F2072" s="2004"/>
      <c r="G2072" s="2004">
        <f>IF('4E'!O15="","##BLANK",'4E'!O15)</f>
        <v>213.45699999999997</v>
      </c>
    </row>
    <row r="2073" spans="2:7">
      <c r="B2073" s="848" t="str">
        <f>+'4E'!BN17</f>
        <v>BM823TAS</v>
      </c>
      <c r="D2073" s="2004"/>
      <c r="E2073" s="1658" t="s">
        <v>9033</v>
      </c>
      <c r="F2073" s="2004"/>
      <c r="G2073" s="2004">
        <f>IF('4E'!O17="","##BLANK",'4E'!O17)</f>
        <v>0</v>
      </c>
    </row>
    <row r="2074" spans="2:7">
      <c r="B2074" s="848" t="str">
        <f>+'4E'!BN18</f>
        <v>BM850TAS</v>
      </c>
      <c r="D2074" s="2004"/>
      <c r="E2074" s="1658" t="s">
        <v>9033</v>
      </c>
      <c r="F2074" s="2004"/>
      <c r="G2074" s="2004">
        <f>IF('4E'!O18="","##BLANK",'4E'!O18)</f>
        <v>213.45699999999997</v>
      </c>
    </row>
    <row r="2075" spans="2:7">
      <c r="B2075" s="848" t="str">
        <f>+'4E'!BN21</f>
        <v>BC30945</v>
      </c>
      <c r="D2075" s="2004"/>
      <c r="E2075" s="1658" t="s">
        <v>9033</v>
      </c>
      <c r="F2075" s="2004"/>
      <c r="G2075" s="2004">
        <f>IF('4E'!O21="","##BLANK",'4E'!O21)</f>
        <v>34.314999999999998</v>
      </c>
    </row>
    <row r="2076" spans="2:7">
      <c r="B2076" s="848" t="str">
        <f>+'4E'!BN22</f>
        <v>CS00036</v>
      </c>
      <c r="D2076" s="2004"/>
      <c r="E2076" s="1658" t="s">
        <v>9033</v>
      </c>
      <c r="F2076" s="2004"/>
      <c r="G2076" s="2004">
        <f>IF('4E'!O22="","##BLANK",'4E'!O22)</f>
        <v>163.45699999999999</v>
      </c>
    </row>
    <row r="2077" spans="2:7">
      <c r="B2077" s="848" t="str">
        <f>+'4E'!BN23</f>
        <v>BC30944TAS</v>
      </c>
      <c r="D2077" s="2004"/>
      <c r="E2077" s="1658" t="s">
        <v>9033</v>
      </c>
      <c r="F2077" s="2004"/>
      <c r="G2077" s="2004">
        <f>IF('4E'!O23="","##BLANK",'4E'!O23)</f>
        <v>44.420999999999999</v>
      </c>
    </row>
    <row r="2078" spans="2:7">
      <c r="B2078" s="848" t="str">
        <f>+'4E'!BN24</f>
        <v>CS00037TAS</v>
      </c>
      <c r="D2078" s="2004"/>
      <c r="E2078" s="1658" t="s">
        <v>9033</v>
      </c>
      <c r="F2078" s="2004"/>
      <c r="G2078" s="2004">
        <f>IF('4E'!O24="","##BLANK",'4E'!O24)</f>
        <v>66.228999999999999</v>
      </c>
    </row>
    <row r="2079" spans="2:7">
      <c r="B2079" s="848" t="str">
        <f>+'4E'!BN25</f>
        <v>BC30849</v>
      </c>
      <c r="D2079" s="2004"/>
      <c r="E2079" s="1658" t="s">
        <v>9033</v>
      </c>
      <c r="F2079" s="2004"/>
      <c r="G2079" s="2004">
        <f>IF('4E'!O25="","##BLANK",'4E'!O25)</f>
        <v>2.7670000000000003</v>
      </c>
    </row>
    <row r="2080" spans="2:7">
      <c r="B2080" s="848" t="str">
        <f>+'4E'!BN26</f>
        <v>BC30998TAS</v>
      </c>
      <c r="D2080" s="2004"/>
      <c r="E2080" s="1658" t="s">
        <v>9033</v>
      </c>
      <c r="F2080" s="2004"/>
      <c r="G2080" s="2004">
        <f>IF('4E'!O26="","##BLANK",'4E'!O26)</f>
        <v>311.18900000000002</v>
      </c>
    </row>
    <row r="2081" spans="2:7">
      <c r="B2081" s="848" t="str">
        <f>+'4E'!BN27</f>
        <v>BM833TAS</v>
      </c>
      <c r="D2081" s="2004"/>
      <c r="E2081" s="1658" t="s">
        <v>9033</v>
      </c>
      <c r="F2081" s="2004"/>
      <c r="G2081" s="2004">
        <f>IF('4E'!O27="","##BLANK",'4E'!O27)</f>
        <v>0</v>
      </c>
    </row>
    <row r="2082" spans="2:7">
      <c r="B2082" s="848" t="str">
        <f>+'4E'!BN28</f>
        <v>BA2120TAS</v>
      </c>
      <c r="D2082" s="2004"/>
      <c r="E2082" s="1658" t="s">
        <v>9033</v>
      </c>
      <c r="F2082" s="2004"/>
      <c r="G2082" s="2004">
        <f>IF('4E'!O28="","##BLANK",'4E'!O28)</f>
        <v>311.18900000000002</v>
      </c>
    </row>
    <row r="2083" spans="2:7">
      <c r="B2083" s="848" t="str">
        <f>+'4E'!BN31</f>
        <v>BA2121TAS</v>
      </c>
      <c r="D2083" s="2004"/>
      <c r="E2083" s="1658" t="s">
        <v>9033</v>
      </c>
      <c r="F2083" s="2004"/>
      <c r="G2083" s="2004">
        <f>IF('4E'!O31="","##BLANK",'4E'!O31)</f>
        <v>10.59</v>
      </c>
    </row>
    <row r="2084" spans="2:7">
      <c r="B2084" s="848" t="str">
        <f>+'4E'!BN33</f>
        <v>BM825TAS</v>
      </c>
      <c r="D2084" s="2004"/>
      <c r="E2084" s="1658" t="s">
        <v>9033</v>
      </c>
      <c r="F2084" s="2004"/>
      <c r="G2084" s="2004">
        <f>IF('4E'!O33="","##BLANK",'4E'!O33)</f>
        <v>514.05599999999993</v>
      </c>
    </row>
    <row r="2085" spans="2:7">
      <c r="B2085" s="848" t="str">
        <f>+'4E'!BN36</f>
        <v>CR00559TOT</v>
      </c>
      <c r="D2085" s="2004"/>
      <c r="E2085" s="1658" t="s">
        <v>9033</v>
      </c>
      <c r="F2085" s="2004"/>
      <c r="G2085" s="2004">
        <f>IF('4E'!O36="","##BLANK",'4E'!O36)</f>
        <v>0</v>
      </c>
    </row>
    <row r="2086" spans="2:7">
      <c r="B2086" s="848" t="str">
        <f>+'4E'!BN37</f>
        <v>CR00562TOT</v>
      </c>
      <c r="D2086" s="2004"/>
      <c r="E2086" s="1658" t="s">
        <v>9033</v>
      </c>
      <c r="F2086" s="2004"/>
      <c r="G2086" s="2004">
        <f>IF('4E'!O37="","##BLANK",'4E'!O37)</f>
        <v>0</v>
      </c>
    </row>
    <row r="2087" spans="2:7">
      <c r="B2087" s="848" t="str">
        <f>+'4E'!BN39</f>
        <v>S3040TOT</v>
      </c>
      <c r="D2087" s="2004"/>
      <c r="E2087" s="1658" t="s">
        <v>9033</v>
      </c>
      <c r="F2087" s="2004"/>
      <c r="G2087" s="2004">
        <f>IF('4E'!O39="","##BLANK",'4E'!O39)</f>
        <v>514.05599999999993</v>
      </c>
    </row>
    <row r="2088" spans="2:7">
      <c r="B2088" s="848" t="str">
        <f>+'4F'!BF7</f>
        <v>BM9030UWO</v>
      </c>
      <c r="D2088" s="2004"/>
      <c r="E2088" s="1658" t="s">
        <v>9033</v>
      </c>
      <c r="F2088" s="2004"/>
      <c r="G2088" s="2004">
        <f>IF('4F'!G7="","##BLANK",'4F'!G7)</f>
        <v>0.55200000000000005</v>
      </c>
    </row>
    <row r="2089" spans="2:7">
      <c r="B2089" s="848" t="str">
        <f>+'4F'!BF8</f>
        <v>BM9002UWO</v>
      </c>
      <c r="D2089" s="2004"/>
      <c r="E2089" s="1658" t="s">
        <v>9033</v>
      </c>
      <c r="F2089" s="2004"/>
      <c r="G2089" s="2004">
        <f>IF('4F'!G8="","##BLANK",'4F'!G8)</f>
        <v>8.2000000000000003E-2</v>
      </c>
    </row>
    <row r="2090" spans="2:7">
      <c r="B2090" s="848" t="str">
        <f>+'4F'!BF9</f>
        <v>BM9003UWO</v>
      </c>
      <c r="D2090" s="2004"/>
      <c r="E2090" s="1658" t="s">
        <v>9033</v>
      </c>
      <c r="F2090" s="2004"/>
      <c r="G2090" s="2004">
        <f>IF('4F'!G9="","##BLANK",'4F'!G9)</f>
        <v>0.54200000000000004</v>
      </c>
    </row>
    <row r="2091" spans="2:7">
      <c r="B2091" s="848" t="str">
        <f>+'4F'!BF11</f>
        <v>BM9033UWO</v>
      </c>
      <c r="D2091" s="2004"/>
      <c r="E2091" s="1658" t="s">
        <v>9033</v>
      </c>
      <c r="F2091" s="2004"/>
      <c r="G2091" s="2004">
        <f>IF('4F'!G11="","##BLANK",'4F'!G11)</f>
        <v>0.17799999999999999</v>
      </c>
    </row>
    <row r="2092" spans="2:7">
      <c r="B2092" s="848" t="str">
        <f>+'4F'!BF12</f>
        <v>BM9021UWO</v>
      </c>
      <c r="D2092" s="2004"/>
      <c r="E2092" s="1658" t="s">
        <v>9033</v>
      </c>
      <c r="F2092" s="2004"/>
      <c r="G2092" s="2004">
        <f>IF('4F'!G12="","##BLANK",'4F'!G12)</f>
        <v>1.3540000000000001</v>
      </c>
    </row>
    <row r="2093" spans="2:7">
      <c r="B2093" s="848" t="str">
        <f>+'4F'!BF14</f>
        <v>BM9022UWO</v>
      </c>
      <c r="D2093" s="2004"/>
      <c r="E2093" s="1658" t="s">
        <v>9033</v>
      </c>
      <c r="F2093" s="2004"/>
      <c r="G2093" s="2004">
        <f>IF('4F'!G14="","##BLANK",'4F'!G14)</f>
        <v>0</v>
      </c>
    </row>
    <row r="2094" spans="2:7">
      <c r="B2094" s="848" t="str">
        <f>+'4F'!BF15</f>
        <v>BM9023UWO</v>
      </c>
      <c r="D2094" s="2004"/>
      <c r="E2094" s="1658" t="s">
        <v>9033</v>
      </c>
      <c r="F2094" s="2004"/>
      <c r="G2094" s="2004">
        <f>IF('4F'!G15="","##BLANK",'4F'!G15)</f>
        <v>1.3540000000000001</v>
      </c>
    </row>
    <row r="2095" spans="2:7">
      <c r="B2095" s="848" t="str">
        <f>+'4F'!BF17</f>
        <v>BM4290EXUWO</v>
      </c>
      <c r="D2095" s="2004"/>
      <c r="E2095" s="1658" t="s">
        <v>9033</v>
      </c>
      <c r="F2095" s="2004"/>
      <c r="G2095" s="2004">
        <f>IF('4F'!G17="","##BLANK",'4F'!G17)</f>
        <v>1.4E-2</v>
      </c>
    </row>
    <row r="2096" spans="2:7">
      <c r="B2096" s="848" t="str">
        <f>+'4F'!BF18</f>
        <v>BM4290AQUWO</v>
      </c>
      <c r="D2096" s="2004"/>
      <c r="E2096" s="1658" t="s">
        <v>9033</v>
      </c>
      <c r="F2096" s="2004"/>
      <c r="G2096" s="2004">
        <f>IF('4F'!G18="","##BLANK",'4F'!G18)</f>
        <v>3.1E-2</v>
      </c>
    </row>
    <row r="2097" spans="2:7">
      <c r="B2097" s="848" t="str">
        <f>+'4F'!BF19</f>
        <v>BM9027EXUWO</v>
      </c>
      <c r="D2097" s="2004"/>
      <c r="E2097" s="1658" t="s">
        <v>9033</v>
      </c>
      <c r="F2097" s="2004"/>
      <c r="G2097" s="2004">
        <f>IF('4F'!G19="","##BLANK",'4F'!G19)</f>
        <v>0</v>
      </c>
    </row>
    <row r="2098" spans="2:7">
      <c r="B2098" s="848" t="str">
        <f>+'4F'!BF20</f>
        <v>BM9027AQUWO</v>
      </c>
      <c r="D2098" s="2004"/>
      <c r="E2098" s="1658" t="s">
        <v>9033</v>
      </c>
      <c r="F2098" s="2004"/>
      <c r="G2098" s="2004">
        <f>IF('4F'!G20="","##BLANK",'4F'!G20)</f>
        <v>0</v>
      </c>
    </row>
    <row r="2099" spans="2:7">
      <c r="B2099" s="848" t="str">
        <f>+'4F'!BF21</f>
        <v>BM9029UWO</v>
      </c>
      <c r="D2099" s="2004"/>
      <c r="E2099" s="1658" t="s">
        <v>9033</v>
      </c>
      <c r="F2099" s="2004"/>
      <c r="G2099" s="2004">
        <f>IF('4F'!G21="","##BLANK",'4F'!G21)</f>
        <v>1.399</v>
      </c>
    </row>
    <row r="2100" spans="2:7">
      <c r="B2100" s="848" t="str">
        <f>+'4F'!BF23</f>
        <v>BM4017UWO</v>
      </c>
      <c r="D2100" s="2004"/>
      <c r="E2100" s="1658" t="s">
        <v>9033</v>
      </c>
      <c r="F2100" s="2004"/>
      <c r="G2100" s="2004">
        <f>IF('4F'!G23="","##BLANK",'4F'!G23)</f>
        <v>8.2000000000000003E-2</v>
      </c>
    </row>
    <row r="2101" spans="2:7">
      <c r="B2101" s="848" t="str">
        <f>+'4F'!BG7</f>
        <v>BM9030USO</v>
      </c>
      <c r="D2101" s="2004"/>
      <c r="E2101" s="1658" t="s">
        <v>9033</v>
      </c>
      <c r="F2101" s="2004"/>
      <c r="G2101" s="2004">
        <f>IF('4F'!H7="","##BLANK",'4F'!H7)</f>
        <v>0.59</v>
      </c>
    </row>
    <row r="2102" spans="2:7">
      <c r="B2102" s="848" t="str">
        <f>+'4F'!BG8</f>
        <v>BM9002USO</v>
      </c>
      <c r="D2102" s="2004"/>
      <c r="E2102" s="1658" t="s">
        <v>9033</v>
      </c>
      <c r="F2102" s="2004"/>
      <c r="G2102" s="2004">
        <f>IF('4F'!H8="","##BLANK",'4F'!H8)</f>
        <v>8.6999999999999994E-2</v>
      </c>
    </row>
    <row r="2103" spans="2:7">
      <c r="B2103" s="848" t="str">
        <f>+'4F'!BG9</f>
        <v>BM9003USO</v>
      </c>
      <c r="D2103" s="2004"/>
      <c r="E2103" s="1658" t="s">
        <v>9033</v>
      </c>
      <c r="F2103" s="2004"/>
      <c r="G2103" s="2004">
        <f>IF('4F'!H9="","##BLANK",'4F'!H9)</f>
        <v>6.0999999999999999E-2</v>
      </c>
    </row>
    <row r="2104" spans="2:7">
      <c r="B2104" s="848" t="str">
        <f>+'4F'!BG11</f>
        <v>BM9033USO</v>
      </c>
      <c r="D2104" s="2004"/>
      <c r="E2104" s="1658" t="s">
        <v>9033</v>
      </c>
      <c r="F2104" s="2004"/>
      <c r="G2104" s="2004">
        <f>IF('4F'!H11="","##BLANK",'4F'!H11)</f>
        <v>0.19</v>
      </c>
    </row>
    <row r="2105" spans="2:7">
      <c r="B2105" s="848" t="str">
        <f>+'4F'!BG12</f>
        <v>BM9021USO</v>
      </c>
      <c r="D2105" s="2004"/>
      <c r="E2105" s="1658" t="s">
        <v>9033</v>
      </c>
      <c r="F2105" s="2004"/>
      <c r="G2105" s="2004">
        <f>IF('4F'!H12="","##BLANK",'4F'!H12)</f>
        <v>0.92799999999999994</v>
      </c>
    </row>
    <row r="2106" spans="2:7">
      <c r="B2106" s="848" t="str">
        <f>+'4F'!BG14</f>
        <v>BM9022USO</v>
      </c>
      <c r="D2106" s="2004"/>
      <c r="E2106" s="1658" t="s">
        <v>9033</v>
      </c>
      <c r="F2106" s="2004"/>
      <c r="G2106" s="2004">
        <f>IF('4F'!H14="","##BLANK",'4F'!H14)</f>
        <v>0</v>
      </c>
    </row>
    <row r="2107" spans="2:7">
      <c r="B2107" s="848" t="str">
        <f>+'4F'!BG15</f>
        <v>BM9023USO</v>
      </c>
      <c r="D2107" s="2004"/>
      <c r="E2107" s="1658" t="s">
        <v>9033</v>
      </c>
      <c r="F2107" s="2004"/>
      <c r="G2107" s="2004">
        <f>IF('4F'!H15="","##BLANK",'4F'!H15)</f>
        <v>0.92799999999999994</v>
      </c>
    </row>
    <row r="2108" spans="2:7">
      <c r="B2108" s="848" t="str">
        <f>+'4F'!BG17</f>
        <v>BM4290EXUSO</v>
      </c>
      <c r="D2108" s="2004"/>
      <c r="E2108" s="1658" t="s">
        <v>9033</v>
      </c>
      <c r="F2108" s="2004"/>
      <c r="G2108" s="2004">
        <f>IF('4F'!H17="","##BLANK",'4F'!H17)</f>
        <v>1.4999999999999999E-2</v>
      </c>
    </row>
    <row r="2109" spans="2:7">
      <c r="B2109" s="848" t="str">
        <f>+'4F'!BG18</f>
        <v>BM4290AQUSO</v>
      </c>
      <c r="D2109" s="2004"/>
      <c r="E2109" s="1658" t="s">
        <v>9033</v>
      </c>
      <c r="F2109" s="2004"/>
      <c r="G2109" s="2004">
        <f>IF('4F'!H18="","##BLANK",'4F'!H18)</f>
        <v>3.3000000000000002E-2</v>
      </c>
    </row>
    <row r="2110" spans="2:7">
      <c r="B2110" s="848" t="str">
        <f>+'4F'!BG19</f>
        <v>BM9027EXUSO</v>
      </c>
      <c r="D2110" s="2004"/>
      <c r="E2110" s="1658" t="s">
        <v>9033</v>
      </c>
      <c r="F2110" s="2004"/>
      <c r="G2110" s="2004">
        <f>IF('4F'!H19="","##BLANK",'4F'!H19)</f>
        <v>0</v>
      </c>
    </row>
    <row r="2111" spans="2:7">
      <c r="B2111" s="848" t="str">
        <f>+'4F'!BG20</f>
        <v>BM9027AQUSO</v>
      </c>
      <c r="D2111" s="2004"/>
      <c r="E2111" s="1658" t="s">
        <v>9033</v>
      </c>
      <c r="F2111" s="2004"/>
      <c r="G2111" s="2004">
        <f>IF('4F'!H20="","##BLANK",'4F'!H20)</f>
        <v>0</v>
      </c>
    </row>
    <row r="2112" spans="2:7">
      <c r="B2112" s="848" t="str">
        <f>+'4F'!BG21</f>
        <v>BM9029USO</v>
      </c>
      <c r="D2112" s="2004"/>
      <c r="E2112" s="1658" t="s">
        <v>9033</v>
      </c>
      <c r="F2112" s="2004"/>
      <c r="G2112" s="2004">
        <f>IF('4F'!H21="","##BLANK",'4F'!H21)</f>
        <v>0.97599999999999998</v>
      </c>
    </row>
    <row r="2113" spans="2:7">
      <c r="B2113" s="848" t="str">
        <f>+'4F'!BG23</f>
        <v>BM4017USO</v>
      </c>
      <c r="D2113" s="2004"/>
      <c r="E2113" s="1658" t="s">
        <v>9033</v>
      </c>
      <c r="F2113" s="2004"/>
      <c r="G2113" s="2004">
        <f>IF('4F'!H23="","##BLANK",'4F'!H23)</f>
        <v>8.6999999999999994E-2</v>
      </c>
    </row>
    <row r="2114" spans="2:7">
      <c r="B2114" s="848" t="str">
        <f>+'4F'!BH7</f>
        <v>BM9030UWS</v>
      </c>
      <c r="D2114" s="2004"/>
      <c r="E2114" s="1658" t="s">
        <v>9033</v>
      </c>
      <c r="F2114" s="2004"/>
      <c r="G2114" s="2004">
        <f>IF('4F'!I7="","##BLANK",'4F'!I7)</f>
        <v>11.295999999999999</v>
      </c>
    </row>
    <row r="2115" spans="2:7">
      <c r="B2115" s="848" t="str">
        <f>+'4F'!BH8</f>
        <v>BM9002UWS</v>
      </c>
      <c r="D2115" s="2004"/>
      <c r="E2115" s="1658" t="s">
        <v>9033</v>
      </c>
      <c r="F2115" s="2004"/>
      <c r="G2115" s="2004">
        <f>IF('4F'!I8="","##BLANK",'4F'!I8)</f>
        <v>1.6729999999999998</v>
      </c>
    </row>
    <row r="2116" spans="2:7">
      <c r="B2116" s="848" t="str">
        <f>+'4F'!BH9</f>
        <v>BM9003UWS</v>
      </c>
      <c r="D2116" s="2004"/>
      <c r="E2116" s="1658" t="s">
        <v>9033</v>
      </c>
      <c r="F2116" s="2004"/>
      <c r="G2116" s="2004">
        <f>IF('4F'!I9="","##BLANK",'4F'!I9)</f>
        <v>9.56</v>
      </c>
    </row>
    <row r="2117" spans="2:7">
      <c r="B2117" s="848" t="str">
        <f>+'4F'!BH11</f>
        <v>BM9033UWS</v>
      </c>
      <c r="D2117" s="2004"/>
      <c r="E2117" s="1658" t="s">
        <v>9033</v>
      </c>
      <c r="F2117" s="2004"/>
      <c r="G2117" s="2004">
        <f>IF('4F'!I11="","##BLANK",'4F'!I11)</f>
        <v>3.6429999999999998</v>
      </c>
    </row>
    <row r="2118" spans="2:7">
      <c r="B2118" s="848" t="str">
        <f>+'4F'!BH12</f>
        <v>BM9021UWS</v>
      </c>
      <c r="D2118" s="2004"/>
      <c r="E2118" s="1658" t="s">
        <v>9033</v>
      </c>
      <c r="F2118" s="2004"/>
      <c r="G2118" s="2004">
        <f>IF('4F'!I12="","##BLANK",'4F'!I12)</f>
        <v>26.172000000000001</v>
      </c>
    </row>
    <row r="2119" spans="2:7">
      <c r="B2119" s="848" t="str">
        <f>+'4F'!BH14</f>
        <v>BM9022UWS</v>
      </c>
      <c r="D2119" s="2004"/>
      <c r="E2119" s="1658" t="s">
        <v>9033</v>
      </c>
      <c r="F2119" s="2004"/>
      <c r="G2119" s="2004">
        <f>IF('4F'!I14="","##BLANK",'4F'!I14)</f>
        <v>0</v>
      </c>
    </row>
    <row r="2120" spans="2:7">
      <c r="B2120" s="848" t="str">
        <f>+'4F'!BH15</f>
        <v>BM9023UWS</v>
      </c>
      <c r="D2120" s="2004"/>
      <c r="E2120" s="1658" t="s">
        <v>9033</v>
      </c>
      <c r="F2120" s="2004"/>
      <c r="G2120" s="2004">
        <f>IF('4F'!I15="","##BLANK",'4F'!I15)</f>
        <v>26.172000000000001</v>
      </c>
    </row>
    <row r="2121" spans="2:7">
      <c r="B2121" s="848" t="str">
        <f>+'4F'!BH17</f>
        <v>BM4290EXUWS</v>
      </c>
      <c r="D2121" s="2004"/>
      <c r="E2121" s="1658" t="s">
        <v>9033</v>
      </c>
      <c r="F2121" s="2004"/>
      <c r="G2121" s="2004">
        <f>IF('4F'!I17="","##BLANK",'4F'!I17)</f>
        <v>0.29299999999999998</v>
      </c>
    </row>
    <row r="2122" spans="2:7">
      <c r="B2122" s="848" t="str">
        <f>+'4F'!BH18</f>
        <v>BM4290AQUWS</v>
      </c>
      <c r="D2122" s="2004"/>
      <c r="E2122" s="1658" t="s">
        <v>9033</v>
      </c>
      <c r="F2122" s="2004"/>
      <c r="G2122" s="2004">
        <f>IF('4F'!I18="","##BLANK",'4F'!I18)</f>
        <v>0.63</v>
      </c>
    </row>
    <row r="2123" spans="2:7">
      <c r="B2123" s="848" t="str">
        <f>+'4F'!BH19</f>
        <v>BM9027EXUWS</v>
      </c>
      <c r="D2123" s="2004"/>
      <c r="E2123" s="1658" t="s">
        <v>9033</v>
      </c>
      <c r="F2123" s="2004"/>
      <c r="G2123" s="2004">
        <f>IF('4F'!I19="","##BLANK",'4F'!I19)</f>
        <v>0</v>
      </c>
    </row>
    <row r="2124" spans="2:7">
      <c r="B2124" s="848" t="str">
        <f>+'4F'!BH20</f>
        <v>BM9027AQUWS</v>
      </c>
      <c r="D2124" s="2004"/>
      <c r="E2124" s="1658" t="s">
        <v>9033</v>
      </c>
      <c r="F2124" s="2004"/>
      <c r="G2124" s="2004">
        <f>IF('4F'!I20="","##BLANK",'4F'!I20)</f>
        <v>0</v>
      </c>
    </row>
    <row r="2125" spans="2:7">
      <c r="B2125" s="848" t="str">
        <f>+'4F'!BH21</f>
        <v>BM9029UWS</v>
      </c>
      <c r="D2125" s="2004"/>
      <c r="E2125" s="1658" t="s">
        <v>9033</v>
      </c>
      <c r="F2125" s="2004"/>
      <c r="G2125" s="2004">
        <f>IF('4F'!I21="","##BLANK",'4F'!I21)</f>
        <v>27.094999999999999</v>
      </c>
    </row>
    <row r="2126" spans="2:7">
      <c r="B2126" s="848" t="str">
        <f>+'4F'!BH23</f>
        <v>BM4017UWS</v>
      </c>
      <c r="D2126" s="2004"/>
      <c r="E2126" s="1658" t="s">
        <v>9033</v>
      </c>
      <c r="F2126" s="2004"/>
      <c r="G2126" s="2004">
        <f>IF('4F'!I23="","##BLANK",'4F'!I23)</f>
        <v>1.67</v>
      </c>
    </row>
    <row r="2127" spans="2:7">
      <c r="B2127" s="848" t="str">
        <f>+'4F'!BI7</f>
        <v>BM9030UTOT</v>
      </c>
      <c r="D2127" s="2004"/>
      <c r="E2127" s="1658" t="s">
        <v>9033</v>
      </c>
      <c r="F2127" s="2004"/>
      <c r="G2127" s="2004">
        <f>IF('4F'!J7="","##BLANK",'4F'!J7)</f>
        <v>12.437999999999999</v>
      </c>
    </row>
    <row r="2128" spans="2:7">
      <c r="B2128" s="848" t="str">
        <f>+'4F'!BI8</f>
        <v>BM9002UTOT</v>
      </c>
      <c r="D2128" s="2004"/>
      <c r="E2128" s="1658" t="s">
        <v>9033</v>
      </c>
      <c r="F2128" s="2004"/>
      <c r="G2128" s="2004">
        <f>IF('4F'!J8="","##BLANK",'4F'!J8)</f>
        <v>1.8419999999999999</v>
      </c>
    </row>
    <row r="2129" spans="2:7">
      <c r="B2129" s="848" t="str">
        <f>+'4F'!BI9</f>
        <v>BM9003UTOT</v>
      </c>
      <c r="D2129" s="2004"/>
      <c r="E2129" s="1658" t="s">
        <v>9033</v>
      </c>
      <c r="F2129" s="2004"/>
      <c r="G2129" s="2004">
        <f>IF('4F'!J9="","##BLANK",'4F'!J9)</f>
        <v>10.163</v>
      </c>
    </row>
    <row r="2130" spans="2:7">
      <c r="B2130" s="848" t="str">
        <f>+'4F'!BI11</f>
        <v>BM9033UTOT</v>
      </c>
      <c r="D2130" s="2004"/>
      <c r="E2130" s="1658" t="s">
        <v>9033</v>
      </c>
      <c r="F2130" s="2004"/>
      <c r="G2130" s="2004">
        <f>IF('4F'!J11="","##BLANK",'4F'!J11)</f>
        <v>4.0110000000000001</v>
      </c>
    </row>
    <row r="2131" spans="2:7">
      <c r="B2131" s="848" t="str">
        <f>+'4F'!BI12</f>
        <v>BM9021UTOT</v>
      </c>
      <c r="D2131" s="2004"/>
      <c r="E2131" s="1658" t="s">
        <v>9033</v>
      </c>
      <c r="F2131" s="2004"/>
      <c r="G2131" s="2004">
        <f>IF('4F'!J12="","##BLANK",'4F'!J12)</f>
        <v>28.453999999999997</v>
      </c>
    </row>
    <row r="2132" spans="2:7">
      <c r="B2132" s="848" t="str">
        <f>+'4F'!BI14</f>
        <v>BM9022UTOT</v>
      </c>
      <c r="D2132" s="2004"/>
      <c r="E2132" s="1658" t="s">
        <v>9033</v>
      </c>
      <c r="F2132" s="2004"/>
      <c r="G2132" s="2004">
        <f>IF('4F'!J14="","##BLANK",'4F'!J14)</f>
        <v>0</v>
      </c>
    </row>
    <row r="2133" spans="2:7">
      <c r="B2133" s="848" t="str">
        <f>+'4F'!BI15</f>
        <v>BM9023UTOT</v>
      </c>
      <c r="D2133" s="2004"/>
      <c r="E2133" s="1658" t="s">
        <v>9033</v>
      </c>
      <c r="F2133" s="2004"/>
      <c r="G2133" s="2004">
        <f>IF('4F'!J15="","##BLANK",'4F'!J15)</f>
        <v>28.453999999999997</v>
      </c>
    </row>
    <row r="2134" spans="2:7">
      <c r="B2134" s="848" t="str">
        <f>+'4F'!BI17</f>
        <v>BM4290EXUTOT</v>
      </c>
      <c r="D2134" s="2004"/>
      <c r="E2134" s="1658" t="s">
        <v>9033</v>
      </c>
      <c r="F2134" s="2004"/>
      <c r="G2134" s="2004">
        <f>IF('4F'!J17="","##BLANK",'4F'!J17)</f>
        <v>0.32199999999999995</v>
      </c>
    </row>
    <row r="2135" spans="2:7">
      <c r="B2135" s="848" t="str">
        <f>+'4F'!BI18</f>
        <v>BM4290AQUTOT</v>
      </c>
      <c r="D2135" s="2004"/>
      <c r="E2135" s="1658" t="s">
        <v>9033</v>
      </c>
      <c r="F2135" s="2004"/>
      <c r="G2135" s="2004">
        <f>IF('4F'!J18="","##BLANK",'4F'!J18)</f>
        <v>0.69399999999999995</v>
      </c>
    </row>
    <row r="2136" spans="2:7">
      <c r="B2136" s="848" t="str">
        <f>+'4F'!BI19</f>
        <v>BM9027EXUTOT</v>
      </c>
      <c r="D2136" s="2004"/>
      <c r="E2136" s="1658" t="s">
        <v>9033</v>
      </c>
      <c r="F2136" s="2004"/>
      <c r="G2136" s="2004">
        <f>IF('4F'!J19="","##BLANK",'4F'!J19)</f>
        <v>0</v>
      </c>
    </row>
    <row r="2137" spans="2:7">
      <c r="B2137" s="848" t="str">
        <f>+'4F'!BI20</f>
        <v>BM9027AQUTOT</v>
      </c>
      <c r="D2137" s="2004"/>
      <c r="E2137" s="1658" t="s">
        <v>9033</v>
      </c>
      <c r="F2137" s="2004"/>
      <c r="G2137" s="2004">
        <f>IF('4F'!J20="","##BLANK",'4F'!J20)</f>
        <v>0</v>
      </c>
    </row>
    <row r="2138" spans="2:7">
      <c r="B2138" s="848" t="str">
        <f>+'4F'!BI21</f>
        <v>BM9029UTOT</v>
      </c>
      <c r="D2138" s="2004"/>
      <c r="E2138" s="1658" t="s">
        <v>9033</v>
      </c>
      <c r="F2138" s="2004"/>
      <c r="G2138" s="2004">
        <f>IF('4F'!J21="","##BLANK",'4F'!J21)</f>
        <v>29.47</v>
      </c>
    </row>
    <row r="2139" spans="2:7">
      <c r="B2139" s="848" t="str">
        <f>+'4F'!BI23</f>
        <v>BM4017UTOT</v>
      </c>
      <c r="D2139" s="2004"/>
      <c r="E2139" s="1658" t="s">
        <v>9033</v>
      </c>
      <c r="F2139" s="2004"/>
      <c r="G2139" s="2004">
        <f>IF('4F'!J23="","##BLANK",'4F'!J23)</f>
        <v>1.839</v>
      </c>
    </row>
    <row r="2140" spans="2:7">
      <c r="B2140" s="848" t="str">
        <f>+'4F'!BJ7</f>
        <v>BM9030MWO</v>
      </c>
      <c r="D2140" s="2004"/>
      <c r="E2140" s="1658" t="s">
        <v>9033</v>
      </c>
      <c r="F2140" s="2004"/>
      <c r="G2140" s="2004">
        <f>IF('4F'!K7="","##BLANK",'4F'!K7)</f>
        <v>0.52700000000000002</v>
      </c>
    </row>
    <row r="2141" spans="2:7">
      <c r="B2141" s="848" t="str">
        <f>+'4F'!BJ8</f>
        <v>BM9002MWO</v>
      </c>
      <c r="D2141" s="2004"/>
      <c r="E2141" s="1658" t="s">
        <v>9033</v>
      </c>
      <c r="F2141" s="2004"/>
      <c r="G2141" s="2004">
        <f>IF('4F'!K8="","##BLANK",'4F'!K8)</f>
        <v>7.8E-2</v>
      </c>
    </row>
    <row r="2142" spans="2:7">
      <c r="B2142" s="848" t="str">
        <f>+'4F'!BJ9</f>
        <v>BM9003MWO</v>
      </c>
      <c r="D2142" s="2004"/>
      <c r="E2142" s="1658" t="s">
        <v>9033</v>
      </c>
      <c r="F2142" s="2004"/>
      <c r="G2142" s="2004">
        <f>IF('4F'!K9="","##BLANK",'4F'!K9)</f>
        <v>0.29699999999999999</v>
      </c>
    </row>
    <row r="2143" spans="2:7">
      <c r="B2143" s="848" t="str">
        <f>+'4F'!BJ11</f>
        <v>BM9033MWO</v>
      </c>
      <c r="D2143" s="2004"/>
      <c r="E2143" s="1658" t="s">
        <v>9033</v>
      </c>
      <c r="F2143" s="2004"/>
      <c r="G2143" s="2004">
        <f>IF('4F'!K11="","##BLANK",'4F'!K11)</f>
        <v>0.17</v>
      </c>
    </row>
    <row r="2144" spans="2:7">
      <c r="B2144" s="848" t="str">
        <f>+'4F'!BJ12</f>
        <v>BM9021MWO</v>
      </c>
      <c r="D2144" s="2004"/>
      <c r="E2144" s="1658" t="s">
        <v>9033</v>
      </c>
      <c r="F2144" s="2004"/>
      <c r="G2144" s="2004">
        <f>IF('4F'!K12="","##BLANK",'4F'!K12)</f>
        <v>1.1259999999999999</v>
      </c>
    </row>
    <row r="2145" spans="2:7">
      <c r="B2145" s="848" t="str">
        <f>+'4F'!BJ14</f>
        <v>BM9022MWO</v>
      </c>
      <c r="D2145" s="2004"/>
      <c r="E2145" s="1658" t="s">
        <v>9033</v>
      </c>
      <c r="F2145" s="2004"/>
      <c r="G2145" s="2004">
        <f>IF('4F'!K14="","##BLANK",'4F'!K14)</f>
        <v>0</v>
      </c>
    </row>
    <row r="2146" spans="2:7">
      <c r="B2146" s="848" t="str">
        <f>+'4F'!BJ15</f>
        <v>BM9023MWO</v>
      </c>
      <c r="D2146" s="2004"/>
      <c r="E2146" s="1658" t="s">
        <v>9033</v>
      </c>
      <c r="F2146" s="2004"/>
      <c r="G2146" s="2004">
        <f>IF('4F'!K15="","##BLANK",'4F'!K15)</f>
        <v>1.1259999999999999</v>
      </c>
    </row>
    <row r="2147" spans="2:7">
      <c r="B2147" s="848" t="str">
        <f>+'4F'!BJ17</f>
        <v>BM4290EXMWO</v>
      </c>
      <c r="D2147" s="2004"/>
      <c r="E2147" s="1658" t="s">
        <v>9033</v>
      </c>
      <c r="F2147" s="2004"/>
      <c r="G2147" s="2004">
        <f>IF('4F'!K17="","##BLANK",'4F'!K17)</f>
        <v>1.4E-2</v>
      </c>
    </row>
    <row r="2148" spans="2:7">
      <c r="B2148" s="848" t="str">
        <f>+'4F'!BJ18</f>
        <v>BM4290AQMWO</v>
      </c>
      <c r="D2148" s="2004"/>
      <c r="E2148" s="1658" t="s">
        <v>9033</v>
      </c>
      <c r="F2148" s="2004"/>
      <c r="G2148" s="2004">
        <f>IF('4F'!K18="","##BLANK",'4F'!K18)</f>
        <v>2.9000000000000001E-2</v>
      </c>
    </row>
    <row r="2149" spans="2:7">
      <c r="B2149" s="848" t="str">
        <f>+'4F'!BJ19</f>
        <v>BM9027EXMWO</v>
      </c>
      <c r="D2149" s="2004"/>
      <c r="E2149" s="1658" t="s">
        <v>9033</v>
      </c>
      <c r="F2149" s="2004"/>
      <c r="G2149" s="2004">
        <f>IF('4F'!K19="","##BLANK",'4F'!K19)</f>
        <v>0</v>
      </c>
    </row>
    <row r="2150" spans="2:7">
      <c r="B2150" s="848" t="str">
        <f>+'4F'!BJ20</f>
        <v>BM9027AQMWO</v>
      </c>
      <c r="D2150" s="2004"/>
      <c r="E2150" s="1658" t="s">
        <v>9033</v>
      </c>
      <c r="F2150" s="2004"/>
      <c r="G2150" s="2004">
        <f>IF('4F'!K20="","##BLANK",'4F'!K20)</f>
        <v>0</v>
      </c>
    </row>
    <row r="2151" spans="2:7">
      <c r="B2151" s="848" t="str">
        <f>+'4F'!BJ21</f>
        <v>BM9029MWO</v>
      </c>
      <c r="D2151" s="2004"/>
      <c r="E2151" s="1658" t="s">
        <v>9033</v>
      </c>
      <c r="F2151" s="2004"/>
      <c r="G2151" s="2004">
        <f>IF('4F'!K21="","##BLANK",'4F'!K21)</f>
        <v>1.1689999999999998</v>
      </c>
    </row>
    <row r="2152" spans="2:7">
      <c r="B2152" s="848" t="str">
        <f>+'4F'!BJ23</f>
        <v>BM4017MWO</v>
      </c>
      <c r="D2152" s="2004"/>
      <c r="E2152" s="1658" t="s">
        <v>9033</v>
      </c>
      <c r="F2152" s="2004"/>
      <c r="G2152" s="2004">
        <f>IF('4F'!K23="","##BLANK",'4F'!K23)</f>
        <v>7.8E-2</v>
      </c>
    </row>
    <row r="2153" spans="2:7">
      <c r="B2153" s="848" t="str">
        <f>+'4F'!BK7</f>
        <v>BM9030MSO</v>
      </c>
      <c r="D2153" s="2004"/>
      <c r="E2153" s="1658" t="s">
        <v>9033</v>
      </c>
      <c r="F2153" s="2004"/>
      <c r="G2153" s="2004">
        <f>IF('4F'!L7="","##BLANK",'4F'!L7)</f>
        <v>0.52200000000000002</v>
      </c>
    </row>
    <row r="2154" spans="2:7">
      <c r="B2154" s="848" t="str">
        <f>+'4F'!BK8</f>
        <v>BM9002MSO</v>
      </c>
      <c r="D2154" s="2004"/>
      <c r="E2154" s="1658" t="s">
        <v>9033</v>
      </c>
      <c r="F2154" s="2004"/>
      <c r="G2154" s="2004">
        <f>IF('4F'!L8="","##BLANK",'4F'!L8)</f>
        <v>7.6999999999999999E-2</v>
      </c>
    </row>
    <row r="2155" spans="2:7">
      <c r="B2155" s="848" t="str">
        <f>+'4F'!BK9</f>
        <v>BM9003MSO</v>
      </c>
      <c r="D2155" s="2004"/>
      <c r="E2155" s="1658" t="s">
        <v>9033</v>
      </c>
      <c r="F2155" s="2004"/>
      <c r="G2155" s="2004">
        <f>IF('4F'!L9="","##BLANK",'4F'!L9)</f>
        <v>3.0000000000000001E-3</v>
      </c>
    </row>
    <row r="2156" spans="2:7">
      <c r="B2156" s="848" t="str">
        <f>+'4F'!BK11</f>
        <v>BM9033MSO</v>
      </c>
      <c r="D2156" s="2004"/>
      <c r="E2156" s="1658" t="s">
        <v>9033</v>
      </c>
      <c r="F2156" s="2004"/>
      <c r="G2156" s="2004">
        <f>IF('4F'!L11="","##BLANK",'4F'!L11)</f>
        <v>0.16800000000000001</v>
      </c>
    </row>
    <row r="2157" spans="2:7">
      <c r="B2157" s="848" t="str">
        <f>+'4F'!BK12</f>
        <v>BM9021MSO</v>
      </c>
      <c r="D2157" s="2004"/>
      <c r="E2157" s="1658" t="s">
        <v>9033</v>
      </c>
      <c r="F2157" s="2004"/>
      <c r="G2157" s="2004">
        <f>IF('4F'!L12="","##BLANK",'4F'!L12)</f>
        <v>0.82400000000000007</v>
      </c>
    </row>
    <row r="2158" spans="2:7">
      <c r="B2158" s="848" t="str">
        <f>+'4F'!BK14</f>
        <v>BM9022MSO</v>
      </c>
      <c r="D2158" s="2004"/>
      <c r="E2158" s="1658" t="s">
        <v>9033</v>
      </c>
      <c r="F2158" s="2004"/>
      <c r="G2158" s="2004">
        <f>IF('4F'!L14="","##BLANK",'4F'!L14)</f>
        <v>0</v>
      </c>
    </row>
    <row r="2159" spans="2:7">
      <c r="B2159" s="848" t="str">
        <f>+'4F'!BK15</f>
        <v>BM9023MSO</v>
      </c>
      <c r="D2159" s="2004"/>
      <c r="E2159" s="1658" t="s">
        <v>9033</v>
      </c>
      <c r="F2159" s="2004"/>
      <c r="G2159" s="2004">
        <f>IF('4F'!L15="","##BLANK",'4F'!L15)</f>
        <v>0.82400000000000007</v>
      </c>
    </row>
    <row r="2160" spans="2:7">
      <c r="B2160" s="848" t="str">
        <f>+'4F'!BK17</f>
        <v>BM4290EXMSO</v>
      </c>
      <c r="D2160" s="2004"/>
      <c r="E2160" s="1658" t="s">
        <v>9033</v>
      </c>
      <c r="F2160" s="2004"/>
      <c r="G2160" s="2004">
        <f>IF('4F'!L17="","##BLANK",'4F'!L17)</f>
        <v>1.4E-2</v>
      </c>
    </row>
    <row r="2161" spans="2:7">
      <c r="B2161" s="848" t="str">
        <f>+'4F'!BK18</f>
        <v>BM4290AQMSO</v>
      </c>
      <c r="D2161" s="2004"/>
      <c r="E2161" s="1658" t="s">
        <v>9033</v>
      </c>
      <c r="F2161" s="2004"/>
      <c r="G2161" s="2004">
        <f>IF('4F'!L18="","##BLANK",'4F'!L18)</f>
        <v>2.9000000000000001E-2</v>
      </c>
    </row>
    <row r="2162" spans="2:7">
      <c r="B2162" s="848" t="str">
        <f>+'4F'!BK19</f>
        <v>BM9027EXMSO</v>
      </c>
      <c r="D2162" s="2004"/>
      <c r="E2162" s="1658" t="s">
        <v>9033</v>
      </c>
      <c r="F2162" s="2004"/>
      <c r="G2162" s="2004">
        <f>IF('4F'!L19="","##BLANK",'4F'!L19)</f>
        <v>0</v>
      </c>
    </row>
    <row r="2163" spans="2:7">
      <c r="B2163" s="848" t="str">
        <f>+'4F'!BK20</f>
        <v>BM9027AQMSO</v>
      </c>
      <c r="D2163" s="2004"/>
      <c r="E2163" s="1658" t="s">
        <v>9033</v>
      </c>
      <c r="F2163" s="2004"/>
      <c r="G2163" s="2004">
        <f>IF('4F'!L20="","##BLANK",'4F'!L20)</f>
        <v>0</v>
      </c>
    </row>
    <row r="2164" spans="2:7">
      <c r="B2164" s="848" t="str">
        <f>+'4F'!BK21</f>
        <v>BM9029MSO</v>
      </c>
      <c r="D2164" s="2004"/>
      <c r="E2164" s="1658" t="s">
        <v>9033</v>
      </c>
      <c r="F2164" s="2004"/>
      <c r="G2164" s="2004">
        <f>IF('4F'!L21="","##BLANK",'4F'!L21)</f>
        <v>0.8670000000000001</v>
      </c>
    </row>
    <row r="2165" spans="2:7">
      <c r="B2165" s="848" t="str">
        <f>+'4F'!BK23</f>
        <v>BM4017MSO</v>
      </c>
      <c r="D2165" s="2004"/>
      <c r="E2165" s="1658" t="s">
        <v>9033</v>
      </c>
      <c r="F2165" s="2004"/>
      <c r="G2165" s="2004">
        <f>IF('4F'!L23="","##BLANK",'4F'!L23)</f>
        <v>7.8E-2</v>
      </c>
    </row>
    <row r="2166" spans="2:7">
      <c r="B2166" s="848" t="str">
        <f>+'4F'!BL7</f>
        <v>BM9030MWS</v>
      </c>
      <c r="D2166" s="2004"/>
      <c r="E2166" s="1658" t="s">
        <v>9033</v>
      </c>
      <c r="F2166" s="2004"/>
      <c r="G2166" s="2004">
        <f>IF('4F'!M7="","##BLANK",'4F'!M7)</f>
        <v>13.72</v>
      </c>
    </row>
    <row r="2167" spans="2:7">
      <c r="B2167" s="848" t="str">
        <f>+'4F'!BL8</f>
        <v>BM9002MWS</v>
      </c>
      <c r="D2167" s="2004"/>
      <c r="E2167" s="1658" t="s">
        <v>9033</v>
      </c>
      <c r="F2167" s="2004"/>
      <c r="G2167" s="2004">
        <f>IF('4F'!M8="","##BLANK",'4F'!M8)</f>
        <v>2.032</v>
      </c>
    </row>
    <row r="2168" spans="2:7">
      <c r="B2168" s="848" t="str">
        <f>+'4F'!BL9</f>
        <v>BM9003MWS</v>
      </c>
      <c r="D2168" s="2004"/>
      <c r="E2168" s="1658" t="s">
        <v>9033</v>
      </c>
      <c r="F2168" s="2004"/>
      <c r="G2168" s="2004">
        <f>IF('4F'!M9="","##BLANK",'4F'!M9)</f>
        <v>13.617000000000001</v>
      </c>
    </row>
    <row r="2169" spans="2:7">
      <c r="B2169" s="848" t="str">
        <f>+'4F'!BL11</f>
        <v>BM9033MWS</v>
      </c>
      <c r="D2169" s="2004"/>
      <c r="E2169" s="1658" t="s">
        <v>9033</v>
      </c>
      <c r="F2169" s="2004"/>
      <c r="G2169" s="2004">
        <f>IF('4F'!M11="","##BLANK",'4F'!M11)</f>
        <v>4.4260000000000002</v>
      </c>
    </row>
    <row r="2170" spans="2:7">
      <c r="B2170" s="848" t="str">
        <f>+'4F'!BL12</f>
        <v>BM9021MWS</v>
      </c>
      <c r="D2170" s="2004"/>
      <c r="E2170" s="1658" t="s">
        <v>9033</v>
      </c>
      <c r="F2170" s="2004"/>
      <c r="G2170" s="2004">
        <f>IF('4F'!M12="","##BLANK",'4F'!M12)</f>
        <v>35.210999999999999</v>
      </c>
    </row>
    <row r="2171" spans="2:7">
      <c r="B2171" s="848" t="str">
        <f>+'4F'!BL14</f>
        <v>BM9022MWS</v>
      </c>
      <c r="D2171" s="2004"/>
      <c r="E2171" s="1658" t="s">
        <v>9033</v>
      </c>
      <c r="F2171" s="2004"/>
      <c r="G2171" s="2004">
        <f>IF('4F'!M14="","##BLANK",'4F'!M14)</f>
        <v>0</v>
      </c>
    </row>
    <row r="2172" spans="2:7">
      <c r="B2172" s="848" t="str">
        <f>+'4F'!BL15</f>
        <v>BM9023MWS</v>
      </c>
      <c r="D2172" s="2004"/>
      <c r="E2172" s="1658" t="s">
        <v>9033</v>
      </c>
      <c r="F2172" s="2004"/>
      <c r="G2172" s="2004">
        <f>IF('4F'!M15="","##BLANK",'4F'!M15)</f>
        <v>35.210999999999999</v>
      </c>
    </row>
    <row r="2173" spans="2:7">
      <c r="B2173" s="848" t="str">
        <f>+'4F'!BL17</f>
        <v>BM4290EXMWS</v>
      </c>
      <c r="D2173" s="2004"/>
      <c r="E2173" s="1658" t="s">
        <v>9033</v>
      </c>
      <c r="F2173" s="2004"/>
      <c r="G2173" s="2004">
        <f>IF('4F'!M17="","##BLANK",'4F'!M17)</f>
        <v>0.35599999999999998</v>
      </c>
    </row>
    <row r="2174" spans="2:7">
      <c r="B2174" s="848" t="str">
        <f>+'4F'!BL18</f>
        <v>BM4290AQMWS</v>
      </c>
      <c r="D2174" s="2004"/>
      <c r="E2174" s="1658" t="s">
        <v>9033</v>
      </c>
      <c r="F2174" s="2004"/>
      <c r="G2174" s="2004">
        <f>IF('4F'!M18="","##BLANK",'4F'!M18)</f>
        <v>0.76600000000000001</v>
      </c>
    </row>
    <row r="2175" spans="2:7">
      <c r="B2175" s="848" t="str">
        <f>+'4F'!BL19</f>
        <v>BM9027EXMWS</v>
      </c>
      <c r="D2175" s="2004"/>
      <c r="E2175" s="1658" t="s">
        <v>9033</v>
      </c>
      <c r="F2175" s="2004"/>
      <c r="G2175" s="2004">
        <f>IF('4F'!M19="","##BLANK",'4F'!M19)</f>
        <v>0</v>
      </c>
    </row>
    <row r="2176" spans="2:7">
      <c r="B2176" s="848" t="str">
        <f>+'4F'!BL20</f>
        <v>BM9027AQMWS</v>
      </c>
      <c r="D2176" s="2004"/>
      <c r="E2176" s="1658" t="s">
        <v>9033</v>
      </c>
      <c r="F2176" s="2004"/>
      <c r="G2176" s="2004">
        <f>IF('4F'!M20="","##BLANK",'4F'!M20)</f>
        <v>0</v>
      </c>
    </row>
    <row r="2177" spans="2:7">
      <c r="B2177" s="848" t="str">
        <f>+'4F'!BL21</f>
        <v>BM9029MWS</v>
      </c>
      <c r="D2177" s="2004"/>
      <c r="E2177" s="1658" t="s">
        <v>9033</v>
      </c>
      <c r="F2177" s="2004"/>
      <c r="G2177" s="2004">
        <f>IF('4F'!M21="","##BLANK",'4F'!M21)</f>
        <v>36.332999999999998</v>
      </c>
    </row>
    <row r="2178" spans="2:7">
      <c r="B2178" s="848" t="str">
        <f>+'4F'!BL23</f>
        <v>BM4017MWS</v>
      </c>
      <c r="D2178" s="2004"/>
      <c r="E2178" s="1658" t="s">
        <v>9033</v>
      </c>
      <c r="F2178" s="2004"/>
      <c r="G2178" s="2004">
        <f>IF('4F'!M23="","##BLANK",'4F'!M23)</f>
        <v>2.0289999999999999</v>
      </c>
    </row>
    <row r="2179" spans="2:7">
      <c r="B2179" s="848" t="str">
        <f>+'4F'!BM7</f>
        <v>BM9030MTOT</v>
      </c>
      <c r="D2179" s="2004"/>
      <c r="E2179" s="1658" t="s">
        <v>9033</v>
      </c>
      <c r="F2179" s="2004"/>
      <c r="G2179" s="2004">
        <f>IF('4F'!N7="","##BLANK",'4F'!N7)</f>
        <v>14.769</v>
      </c>
    </row>
    <row r="2180" spans="2:7">
      <c r="B2180" s="848" t="str">
        <f>+'4F'!BM8</f>
        <v>BM9002MTOT</v>
      </c>
      <c r="D2180" s="2004"/>
      <c r="E2180" s="1658" t="s">
        <v>9033</v>
      </c>
      <c r="F2180" s="2004"/>
      <c r="G2180" s="2004">
        <f>IF('4F'!N8="","##BLANK",'4F'!N8)</f>
        <v>2.1869999999999998</v>
      </c>
    </row>
    <row r="2181" spans="2:7">
      <c r="B2181" s="848" t="str">
        <f>+'4F'!BM9</f>
        <v>BM9003MTOT</v>
      </c>
      <c r="D2181" s="2004"/>
      <c r="E2181" s="1658" t="s">
        <v>9033</v>
      </c>
      <c r="F2181" s="2004"/>
      <c r="G2181" s="2004">
        <f>IF('4F'!N9="","##BLANK",'4F'!N9)</f>
        <v>13.917000000000002</v>
      </c>
    </row>
    <row r="2182" spans="2:7">
      <c r="B2182" s="848" t="str">
        <f>+'4F'!BM11</f>
        <v>BM9033MTOT</v>
      </c>
      <c r="D2182" s="2004"/>
      <c r="E2182" s="1658" t="s">
        <v>9033</v>
      </c>
      <c r="F2182" s="2004"/>
      <c r="G2182" s="2004">
        <f>IF('4F'!N11="","##BLANK",'4F'!N11)</f>
        <v>4.7640000000000002</v>
      </c>
    </row>
    <row r="2183" spans="2:7">
      <c r="B2183" s="848" t="str">
        <f>+'4F'!BM12</f>
        <v>BM9021MTOT</v>
      </c>
      <c r="D2183" s="2004"/>
      <c r="E2183" s="1658" t="s">
        <v>9033</v>
      </c>
      <c r="F2183" s="2004"/>
      <c r="G2183" s="2004">
        <f>IF('4F'!N12="","##BLANK",'4F'!N12)</f>
        <v>37.161000000000001</v>
      </c>
    </row>
    <row r="2184" spans="2:7">
      <c r="B2184" s="848" t="str">
        <f>+'4F'!BM14</f>
        <v>BM9022MTOT</v>
      </c>
      <c r="D2184" s="2004"/>
      <c r="E2184" s="1658" t="s">
        <v>9033</v>
      </c>
      <c r="F2184" s="2004"/>
      <c r="G2184" s="2004">
        <f>IF('4F'!N14="","##BLANK",'4F'!N14)</f>
        <v>0</v>
      </c>
    </row>
    <row r="2185" spans="2:7">
      <c r="B2185" s="848" t="str">
        <f>+'4F'!BM15</f>
        <v>BM9023MTOT</v>
      </c>
      <c r="D2185" s="2004"/>
      <c r="E2185" s="1658" t="s">
        <v>9033</v>
      </c>
      <c r="F2185" s="2004"/>
      <c r="G2185" s="2004">
        <f>IF('4F'!N15="","##BLANK",'4F'!N15)</f>
        <v>37.161000000000001</v>
      </c>
    </row>
    <row r="2186" spans="2:7">
      <c r="B2186" s="848" t="str">
        <f>+'4F'!BM17</f>
        <v>BM4290EXMTOT</v>
      </c>
      <c r="D2186" s="2004"/>
      <c r="E2186" s="1658" t="s">
        <v>9033</v>
      </c>
      <c r="F2186" s="2004"/>
      <c r="G2186" s="2004">
        <f>IF('4F'!N17="","##BLANK",'4F'!N17)</f>
        <v>0.38400000000000001</v>
      </c>
    </row>
    <row r="2187" spans="2:7">
      <c r="B2187" s="848" t="str">
        <f>+'4F'!BM18</f>
        <v>BM4290AQMTOT</v>
      </c>
      <c r="D2187" s="2004"/>
      <c r="E2187" s="1658" t="s">
        <v>9033</v>
      </c>
      <c r="F2187" s="2004"/>
      <c r="G2187" s="2004">
        <f>IF('4F'!N18="","##BLANK",'4F'!N18)</f>
        <v>0.82400000000000007</v>
      </c>
    </row>
    <row r="2188" spans="2:7">
      <c r="B2188" s="848" t="str">
        <f>+'4F'!BM19</f>
        <v>BM9027EXMTOT</v>
      </c>
      <c r="D2188" s="2004"/>
      <c r="E2188" s="1658" t="s">
        <v>9033</v>
      </c>
      <c r="F2188" s="2004"/>
      <c r="G2188" s="2004">
        <f>IF('4F'!N19="","##BLANK",'4F'!N19)</f>
        <v>0</v>
      </c>
    </row>
    <row r="2189" spans="2:7">
      <c r="B2189" s="848" t="str">
        <f>+'4F'!BM20</f>
        <v>BM9027AQMTOT</v>
      </c>
      <c r="D2189" s="2004"/>
      <c r="E2189" s="1658" t="s">
        <v>9033</v>
      </c>
      <c r="F2189" s="2004"/>
      <c r="G2189" s="2004">
        <f>IF('4F'!N20="","##BLANK",'4F'!N20)</f>
        <v>0</v>
      </c>
    </row>
    <row r="2190" spans="2:7">
      <c r="B2190" s="848" t="str">
        <f>+'4F'!BM21</f>
        <v>BM9029MTOT</v>
      </c>
      <c r="D2190" s="2004"/>
      <c r="E2190" s="1658" t="s">
        <v>9033</v>
      </c>
      <c r="F2190" s="2004"/>
      <c r="G2190" s="2004">
        <f>IF('4F'!N21="","##BLANK",'4F'!N21)</f>
        <v>38.369</v>
      </c>
    </row>
    <row r="2191" spans="2:7">
      <c r="B2191" s="848" t="str">
        <f>+'4F'!BM23</f>
        <v>BM4017MTOT</v>
      </c>
      <c r="D2191" s="2004"/>
      <c r="E2191" s="1658" t="s">
        <v>9033</v>
      </c>
      <c r="F2191" s="2004"/>
      <c r="G2191" s="2004">
        <f>IF('4F'!N23="","##BLANK",'4F'!N23)</f>
        <v>2.1850000000000001</v>
      </c>
    </row>
    <row r="2192" spans="2:7">
      <c r="B2192" s="848" t="str">
        <f>+'4F'!BN7</f>
        <v>BM9030</v>
      </c>
      <c r="D2192" s="2004"/>
      <c r="E2192" s="1658" t="s">
        <v>9033</v>
      </c>
      <c r="F2192" s="2004"/>
      <c r="G2192" s="2004">
        <f>IF('4F'!O7="","##BLANK",'4F'!O7)</f>
        <v>27.207000000000001</v>
      </c>
    </row>
    <row r="2193" spans="2:7">
      <c r="B2193" s="848" t="str">
        <f>+'4F'!BN8</f>
        <v>BM9002</v>
      </c>
      <c r="D2193" s="2004"/>
      <c r="E2193" s="1658" t="s">
        <v>9033</v>
      </c>
      <c r="F2193" s="2004"/>
      <c r="G2193" s="2004">
        <f>IF('4F'!O8="","##BLANK",'4F'!O8)</f>
        <v>4.0289999999999999</v>
      </c>
    </row>
    <row r="2194" spans="2:7">
      <c r="B2194" s="848" t="str">
        <f>+'4F'!BN9</f>
        <v>BM9003</v>
      </c>
      <c r="D2194" s="2004"/>
      <c r="E2194" s="1658" t="s">
        <v>9033</v>
      </c>
      <c r="F2194" s="2004"/>
      <c r="G2194" s="2004">
        <f>IF('4F'!O9="","##BLANK",'4F'!O9)</f>
        <v>24.080000000000002</v>
      </c>
    </row>
    <row r="2195" spans="2:7">
      <c r="B2195" s="848" t="str">
        <f>+'4F'!BN11</f>
        <v>BM9033</v>
      </c>
      <c r="D2195" s="2004"/>
      <c r="E2195" s="1658" t="s">
        <v>9033</v>
      </c>
      <c r="F2195" s="2004"/>
      <c r="G2195" s="2004">
        <f>IF('4F'!O11="","##BLANK",'4F'!O11)</f>
        <v>8.7750000000000004</v>
      </c>
    </row>
    <row r="2196" spans="2:7">
      <c r="B2196" s="848" t="str">
        <f>+'4F'!BN12</f>
        <v>BM9021</v>
      </c>
      <c r="D2196" s="2004"/>
      <c r="E2196" s="1658" t="s">
        <v>9033</v>
      </c>
      <c r="F2196" s="2004"/>
      <c r="G2196" s="2004">
        <f>IF('4F'!O12="","##BLANK",'4F'!O12)</f>
        <v>65.614999999999995</v>
      </c>
    </row>
    <row r="2197" spans="2:7">
      <c r="B2197" s="848" t="str">
        <f>+'4F'!BN14</f>
        <v>BM9022</v>
      </c>
      <c r="D2197" s="2004"/>
      <c r="E2197" s="1658" t="s">
        <v>9033</v>
      </c>
      <c r="F2197" s="2004"/>
      <c r="G2197" s="2004">
        <f>IF('4F'!O14="","##BLANK",'4F'!O14)</f>
        <v>0</v>
      </c>
    </row>
    <row r="2198" spans="2:7">
      <c r="B2198" s="848" t="str">
        <f>+'4F'!BN15</f>
        <v>BM9023</v>
      </c>
      <c r="D2198" s="2004"/>
      <c r="E2198" s="1658" t="s">
        <v>9033</v>
      </c>
      <c r="F2198" s="2004"/>
      <c r="G2198" s="2004">
        <f>IF('4F'!O15="","##BLANK",'4F'!O15)</f>
        <v>65.614999999999995</v>
      </c>
    </row>
    <row r="2199" spans="2:7">
      <c r="B2199" s="848" t="str">
        <f>+'4F'!BN17</f>
        <v>BM4290EX</v>
      </c>
      <c r="D2199" s="2004"/>
      <c r="E2199" s="1658" t="s">
        <v>9033</v>
      </c>
      <c r="F2199" s="2004"/>
      <c r="G2199" s="2004">
        <f>IF('4F'!O17="","##BLANK",'4F'!O17)</f>
        <v>0.70599999999999996</v>
      </c>
    </row>
    <row r="2200" spans="2:7">
      <c r="B2200" s="848" t="str">
        <f>+'4F'!BN18</f>
        <v>BM4290AQ</v>
      </c>
      <c r="D2200" s="2004"/>
      <c r="E2200" s="1658" t="s">
        <v>9033</v>
      </c>
      <c r="F2200" s="2004"/>
      <c r="G2200" s="2004">
        <f>IF('4F'!O18="","##BLANK",'4F'!O18)</f>
        <v>1.518</v>
      </c>
    </row>
    <row r="2201" spans="2:7">
      <c r="B2201" s="848" t="str">
        <f>+'4F'!BN19</f>
        <v>BM9027EX</v>
      </c>
      <c r="D2201" s="2004"/>
      <c r="E2201" s="1658" t="s">
        <v>9033</v>
      </c>
      <c r="F2201" s="2004"/>
      <c r="G2201" s="2004">
        <f>IF('4F'!O19="","##BLANK",'4F'!O19)</f>
        <v>0</v>
      </c>
    </row>
    <row r="2202" spans="2:7">
      <c r="B2202" s="848" t="str">
        <f>+'4F'!BN20</f>
        <v>BM9027AQ</v>
      </c>
      <c r="D2202" s="2004"/>
      <c r="E2202" s="1658" t="s">
        <v>9033</v>
      </c>
      <c r="F2202" s="2004"/>
      <c r="G2202" s="2004">
        <f>IF('4F'!O20="","##BLANK",'4F'!O20)</f>
        <v>0</v>
      </c>
    </row>
    <row r="2203" spans="2:7">
      <c r="B2203" s="848" t="str">
        <f>+'4F'!BN21</f>
        <v>BM9029</v>
      </c>
      <c r="D2203" s="2004"/>
      <c r="E2203" s="1658" t="s">
        <v>9033</v>
      </c>
      <c r="F2203" s="2004"/>
      <c r="G2203" s="2004">
        <f>IF('4F'!O21="","##BLANK",'4F'!O21)</f>
        <v>67.838999999999999</v>
      </c>
    </row>
    <row r="2204" spans="2:7">
      <c r="B2204" s="848" t="str">
        <f>+'4F'!BN23</f>
        <v>BM4017</v>
      </c>
      <c r="D2204" s="2004"/>
      <c r="E2204" s="1658" t="s">
        <v>9033</v>
      </c>
      <c r="F2204" s="2004"/>
      <c r="G2204" s="2004">
        <f>IF('4F'!O23="","##BLANK",'4F'!O23)</f>
        <v>4.024</v>
      </c>
    </row>
    <row r="2205" spans="2:7">
      <c r="B2205" s="848" t="str">
        <f>+'4F'!BN26</f>
        <v>R3006</v>
      </c>
      <c r="D2205" s="2004"/>
      <c r="E2205" s="1658" t="s">
        <v>9033</v>
      </c>
      <c r="F2205" s="2004"/>
      <c r="G2205" s="2004">
        <f>IF('4F'!O26="","##BLANK",'4F'!O26)</f>
        <v>0.65100000000000002</v>
      </c>
    </row>
    <row r="2206" spans="2:7">
      <c r="B2206" s="848" t="str">
        <f>+'4F'!BN27</f>
        <v>R3007</v>
      </c>
      <c r="D2206" s="2004"/>
      <c r="E2206" s="1658" t="s">
        <v>9033</v>
      </c>
      <c r="F2206" s="2004"/>
      <c r="G2206" s="2004">
        <f>IF('4F'!O27="","##BLANK",'4F'!O27)</f>
        <v>0.65100000000000002</v>
      </c>
    </row>
    <row r="2207" spans="2:7">
      <c r="B2207" s="848" t="str">
        <f>+'4F'!BN28</f>
        <v>R3008</v>
      </c>
      <c r="D2207" s="2004"/>
      <c r="E2207" s="1658" t="s">
        <v>9033</v>
      </c>
      <c r="F2207" s="2004"/>
      <c r="G2207" s="2004">
        <f>IF('4F'!O28="","##BLANK",'4F'!O28)</f>
        <v>0</v>
      </c>
    </row>
    <row r="2208" spans="2:7">
      <c r="B2208" s="848" t="str">
        <f>+'4F'!BN29</f>
        <v>R3009</v>
      </c>
      <c r="D2208" s="2004"/>
      <c r="E2208" s="1658" t="s">
        <v>9033</v>
      </c>
      <c r="F2208" s="2004"/>
      <c r="G2208" s="2004">
        <f>IF('4F'!O29="","##BLANK",'4F'!O29)</f>
        <v>4.5940000000000003</v>
      </c>
    </row>
    <row r="2209" spans="2:7">
      <c r="B2209" s="848" t="str">
        <f>+'4F'!BN30</f>
        <v>R3010</v>
      </c>
      <c r="D2209" s="2004"/>
      <c r="E2209" s="1658" t="s">
        <v>9033</v>
      </c>
      <c r="F2209" s="2004"/>
      <c r="G2209" s="2004">
        <f>IF('4F'!O30="","##BLANK",'4F'!O30)</f>
        <v>4.5620000000000003</v>
      </c>
    </row>
    <row r="2210" spans="2:7">
      <c r="B2210" s="848" t="str">
        <f>+'4F'!BN31</f>
        <v>R3011</v>
      </c>
      <c r="D2210" s="2004"/>
      <c r="E2210" s="1658" t="s">
        <v>9033</v>
      </c>
      <c r="F2210" s="2004"/>
      <c r="G2210" s="2004">
        <f>IF('4F'!O31="","##BLANK",'4F'!O31)</f>
        <v>3.2000000000000028E-2</v>
      </c>
    </row>
    <row r="2211" spans="2:7">
      <c r="B2211" s="848" t="str">
        <f>+'4G'!AH5</f>
        <v>W9010</v>
      </c>
      <c r="D2211" s="2004"/>
      <c r="E2211" s="1658" t="s">
        <v>9033</v>
      </c>
      <c r="F2211" s="2004"/>
      <c r="G2211" s="2004">
        <f>IF('4G'!G5="","##BLANK",'4G'!G5)</f>
        <v>439.15500000000003</v>
      </c>
    </row>
    <row r="2212" spans="2:7">
      <c r="B2212" s="848" t="str">
        <f>+'4G'!AH6</f>
        <v>BM351TASN</v>
      </c>
      <c r="D2212" s="2004"/>
      <c r="E2212" s="1658" t="s">
        <v>9033</v>
      </c>
      <c r="F2212" s="2004"/>
      <c r="G2212" s="2004">
        <f>IF('4G'!G6="","##BLANK",'4G'!G6)</f>
        <v>-247.90299999999999</v>
      </c>
    </row>
    <row r="2213" spans="2:7">
      <c r="B2213" s="848" t="str">
        <f>+'4G'!AH7</f>
        <v>BM349TAS</v>
      </c>
      <c r="D2213" s="2004"/>
      <c r="E2213" s="1658" t="s">
        <v>9033</v>
      </c>
      <c r="F2213" s="2004"/>
      <c r="G2213" s="2004">
        <f>IF('4G'!G7="","##BLANK",'4G'!G7)</f>
        <v>-89.917000000000002</v>
      </c>
    </row>
    <row r="2214" spans="2:7">
      <c r="B2214" s="848" t="str">
        <f>+'4G'!AH9</f>
        <v>BO3166WPL</v>
      </c>
      <c r="D2214" s="2004"/>
      <c r="E2214" s="1658" t="s">
        <v>9033</v>
      </c>
      <c r="F2214" s="2004"/>
      <c r="G2214" s="2004">
        <f>IF('4G'!G9="","##BLANK",'4G'!G9)</f>
        <v>102.66800000000003</v>
      </c>
    </row>
    <row r="2215" spans="2:7">
      <c r="B2215" s="848" t="str">
        <f>+'4G'!AH11</f>
        <v>A10007WW</v>
      </c>
      <c r="D2215" s="2004"/>
      <c r="E2215" s="1658" t="s">
        <v>9033</v>
      </c>
      <c r="F2215" s="2004"/>
      <c r="G2215" s="2004">
        <f>IF('4G'!G11="","##BLANK",'4G'!G11)</f>
        <v>6.4749999999999996</v>
      </c>
    </row>
    <row r="2216" spans="2:7">
      <c r="B2216" s="848" t="str">
        <f>+'4G'!AH12</f>
        <v>A10008WW</v>
      </c>
      <c r="D2216" s="2004"/>
      <c r="E2216" s="1658" t="s">
        <v>9033</v>
      </c>
      <c r="F2216" s="2004"/>
      <c r="G2216" s="2004">
        <f>IF('4G'!G12="","##BLANK",'4G'!G12)</f>
        <v>21.010999999999999</v>
      </c>
    </row>
    <row r="2217" spans="2:7">
      <c r="B2217" s="848" t="str">
        <f>+'4G'!AH13</f>
        <v>A10009WW</v>
      </c>
      <c r="D2217" s="2004"/>
      <c r="E2217" s="1658" t="s">
        <v>9033</v>
      </c>
      <c r="F2217" s="2004"/>
      <c r="G2217" s="2004">
        <f>IF('4G'!G13="","##BLANK",'4G'!G13)</f>
        <v>-87.308999999999997</v>
      </c>
    </row>
    <row r="2218" spans="2:7">
      <c r="B2218" s="848" t="str">
        <f>+'4G'!AH14</f>
        <v>A10010WW</v>
      </c>
      <c r="D2218" s="2004"/>
      <c r="E2218" s="1658" t="s">
        <v>9033</v>
      </c>
      <c r="F2218" s="2004"/>
      <c r="G2218" s="2004">
        <f>IF('4G'!G14="","##BLANK",'4G'!G14)</f>
        <v>0</v>
      </c>
    </row>
    <row r="2219" spans="2:7">
      <c r="B2219" s="848" t="str">
        <f>+'4G'!AH15</f>
        <v>A10011WW</v>
      </c>
      <c r="D2219" s="2004"/>
      <c r="E2219" s="1658" t="s">
        <v>9033</v>
      </c>
      <c r="F2219" s="2004"/>
      <c r="G2219" s="2004">
        <f>IF('4G'!G15="","##BLANK",'4G'!G15)</f>
        <v>42.845000000000034</v>
      </c>
    </row>
    <row r="2220" spans="2:7">
      <c r="B2220" s="848" t="str">
        <f>+'4G'!AH17</f>
        <v>A10012WW</v>
      </c>
      <c r="D2220" s="2004"/>
      <c r="E2220" s="1658" t="s">
        <v>9033</v>
      </c>
      <c r="F2220" s="2004"/>
      <c r="G2220" s="2004">
        <f>IF('4G'!G17="","##BLANK",'4G'!G17)</f>
        <v>-14.936453835771662</v>
      </c>
    </row>
    <row r="2221" spans="2:7">
      <c r="B2221" s="848" t="str">
        <f>+'4G'!AH18</f>
        <v>A10013WW</v>
      </c>
      <c r="D2221" s="2004"/>
      <c r="E2221" s="1658" t="s">
        <v>9033</v>
      </c>
      <c r="F2221" s="2004"/>
      <c r="G2221" s="2004">
        <f>IF('4G'!G18="","##BLANK",'4G'!G18)</f>
        <v>27.908546164228373</v>
      </c>
    </row>
    <row r="2222" spans="2:7">
      <c r="B2222" s="848" t="str">
        <f>+'4G'!AI5</f>
        <v>S9010</v>
      </c>
      <c r="D2222" s="2004"/>
      <c r="E2222" s="1658" t="s">
        <v>9033</v>
      </c>
      <c r="F2222" s="2004"/>
      <c r="G2222" s="2004">
        <f>IF('4G'!H5="","##BLANK",'4G'!H5)</f>
        <v>544.22400000000005</v>
      </c>
    </row>
    <row r="2223" spans="2:7">
      <c r="B2223" s="848" t="str">
        <f>+'4G'!AI6</f>
        <v>BM850TASN</v>
      </c>
      <c r="D2223" s="2004"/>
      <c r="E2223" s="1658" t="s">
        <v>9033</v>
      </c>
      <c r="F2223" s="2004"/>
      <c r="G2223" s="2004">
        <f>IF('4G'!H6="","##BLANK",'4G'!H6)</f>
        <v>-213.45699999999999</v>
      </c>
    </row>
    <row r="2224" spans="2:7">
      <c r="B2224" s="848" t="str">
        <f>+'4G'!AI7</f>
        <v>BM815TAS</v>
      </c>
      <c r="D2224" s="2004"/>
      <c r="E2224" s="1658" t="s">
        <v>9033</v>
      </c>
      <c r="F2224" s="2004"/>
      <c r="G2224" s="2004">
        <f>IF('4G'!H7="","##BLANK",'4G'!H7)</f>
        <v>-181.15299999999999</v>
      </c>
    </row>
    <row r="2225" spans="2:7">
      <c r="B2225" s="848" t="str">
        <f>+'4G'!AI9</f>
        <v>BO3166SPL</v>
      </c>
      <c r="D2225" s="2004"/>
      <c r="E2225" s="1658" t="s">
        <v>9033</v>
      </c>
      <c r="F2225" s="2004"/>
      <c r="G2225" s="2004">
        <f>IF('4G'!H9="","##BLANK",'4G'!H9)</f>
        <v>152.62600000000006</v>
      </c>
    </row>
    <row r="2226" spans="2:7">
      <c r="B2226" s="848" t="str">
        <f>+'4G'!AI11</f>
        <v>A10007WS</v>
      </c>
      <c r="D2226" s="2004"/>
      <c r="E2226" s="1658" t="s">
        <v>9033</v>
      </c>
      <c r="F2226" s="2004"/>
      <c r="G2226" s="2004">
        <f>IF('4G'!H11="","##BLANK",'4G'!H11)</f>
        <v>6.4290000000000003</v>
      </c>
    </row>
    <row r="2227" spans="2:7">
      <c r="B2227" s="848" t="str">
        <f>+'4G'!AI12</f>
        <v>A10008WS</v>
      </c>
      <c r="D2227" s="2004"/>
      <c r="E2227" s="1658" t="s">
        <v>9033</v>
      </c>
      <c r="F2227" s="2004"/>
      <c r="G2227" s="2004">
        <f>IF('4G'!H12="","##BLANK",'4G'!H12)</f>
        <v>29.497</v>
      </c>
    </row>
    <row r="2228" spans="2:7">
      <c r="B2228" s="848" t="str">
        <f>+'4G'!AI13</f>
        <v>A10009WS</v>
      </c>
      <c r="D2228" s="2004"/>
      <c r="E2228" s="1658" t="s">
        <v>9033</v>
      </c>
      <c r="F2228" s="2004"/>
      <c r="G2228" s="2004">
        <f>IF('4G'!H13="","##BLANK",'4G'!H13)</f>
        <v>-122.575</v>
      </c>
    </row>
    <row r="2229" spans="2:7">
      <c r="B2229" s="848" t="str">
        <f>+'4G'!AI14</f>
        <v>A10010WS</v>
      </c>
      <c r="D2229" s="2004"/>
      <c r="E2229" s="1658" t="s">
        <v>9033</v>
      </c>
      <c r="F2229" s="2004"/>
      <c r="G2229" s="2004">
        <f>IF('4G'!H14="","##BLANK",'4G'!H14)</f>
        <v>0</v>
      </c>
    </row>
    <row r="2230" spans="2:7">
      <c r="B2230" s="848" t="str">
        <f>+'4G'!AI15</f>
        <v>A10011WS</v>
      </c>
      <c r="D2230" s="2004"/>
      <c r="E2230" s="1658" t="s">
        <v>9033</v>
      </c>
      <c r="F2230" s="2004"/>
      <c r="G2230" s="2004">
        <f>IF('4G'!H15="","##BLANK",'4G'!H15)</f>
        <v>65.977000000000061</v>
      </c>
    </row>
    <row r="2231" spans="2:7">
      <c r="B2231" s="848" t="str">
        <f>+'4G'!AI17</f>
        <v>A10012WS</v>
      </c>
      <c r="D2231" s="2004"/>
      <c r="E2231" s="1658" t="s">
        <v>9033</v>
      </c>
      <c r="F2231" s="2004"/>
      <c r="G2231" s="2004">
        <f>IF('4G'!H17="","##BLANK",'4G'!H17)</f>
        <v>-20.969546164228337</v>
      </c>
    </row>
    <row r="2232" spans="2:7">
      <c r="B2232" s="848" t="str">
        <f>+'4G'!AI18</f>
        <v>A10013WS</v>
      </c>
      <c r="D2232" s="2004"/>
      <c r="E2232" s="1658" t="s">
        <v>9033</v>
      </c>
      <c r="F2232" s="2004"/>
      <c r="G2232" s="2004">
        <f>IF('4G'!H18="","##BLANK",'4G'!H18)</f>
        <v>45.007453835771727</v>
      </c>
    </row>
    <row r="2233" spans="2:7">
      <c r="B2233" s="848" t="str">
        <f>+'4G'!AJ5</f>
        <v>S9010TTT</v>
      </c>
      <c r="D2233" s="2004"/>
      <c r="E2233" s="1658" t="s">
        <v>9033</v>
      </c>
      <c r="F2233" s="2004"/>
      <c r="G2233" s="2004">
        <f>IF('4G'!I5="","##BLANK",'4G'!I5)</f>
        <v>0</v>
      </c>
    </row>
    <row r="2234" spans="2:7">
      <c r="B2234" s="848" t="str">
        <f>+'4G'!AJ6</f>
        <v>BM850TTTN</v>
      </c>
      <c r="D2234" s="2004"/>
      <c r="E2234" s="1658" t="s">
        <v>9033</v>
      </c>
      <c r="F2234" s="2004"/>
      <c r="G2234" s="2004">
        <f>IF('4G'!I6="","##BLANK",'4G'!I6)</f>
        <v>0</v>
      </c>
    </row>
    <row r="2235" spans="2:7">
      <c r="B2235" s="848" t="str">
        <f>+'4G'!AJ7</f>
        <v>BM815TASTTT</v>
      </c>
      <c r="D2235" s="2004"/>
      <c r="E2235" s="1658" t="s">
        <v>9033</v>
      </c>
      <c r="F2235" s="2004"/>
      <c r="G2235" s="2004">
        <f>IF('4G'!I7="","##BLANK",'4G'!I7)</f>
        <v>0</v>
      </c>
    </row>
    <row r="2236" spans="2:7">
      <c r="B2236" s="848" t="str">
        <f>+'4G'!AJ9</f>
        <v>BO3166SPLTTT</v>
      </c>
      <c r="D2236" s="2004"/>
      <c r="E2236" s="1658" t="s">
        <v>9033</v>
      </c>
      <c r="F2236" s="2004"/>
      <c r="G2236" s="2004">
        <f>IF('4G'!I9="","##BLANK",'4G'!I9)</f>
        <v>0</v>
      </c>
    </row>
    <row r="2237" spans="2:7">
      <c r="B2237" s="848" t="str">
        <f>+'4G'!AJ11</f>
        <v>A10007WSTTT</v>
      </c>
      <c r="D2237" s="2004"/>
      <c r="E2237" s="1658" t="s">
        <v>9033</v>
      </c>
      <c r="F2237" s="2004"/>
      <c r="G2237" s="2004" t="str">
        <f>IF('4G'!I11="","##BLANK",'4G'!I11)</f>
        <v>##BLANK</v>
      </c>
    </row>
    <row r="2238" spans="2:7">
      <c r="B2238" s="848" t="str">
        <f>+'4G'!AJ12</f>
        <v>A10008WSTTT</v>
      </c>
      <c r="D2238" s="2004"/>
      <c r="E2238" s="1658" t="s">
        <v>9033</v>
      </c>
      <c r="F2238" s="2004"/>
      <c r="G2238" s="2004" t="str">
        <f>IF('4G'!I12="","##BLANK",'4G'!I12)</f>
        <v>##BLANK</v>
      </c>
    </row>
    <row r="2239" spans="2:7">
      <c r="B2239" s="848" t="str">
        <f>+'4G'!AJ13</f>
        <v>A10009WSTTT</v>
      </c>
      <c r="D2239" s="2004"/>
      <c r="E2239" s="1658" t="s">
        <v>9033</v>
      </c>
      <c r="F2239" s="2004"/>
      <c r="G2239" s="2004" t="str">
        <f>IF('4G'!I13="","##BLANK",'4G'!I13)</f>
        <v>##BLANK</v>
      </c>
    </row>
    <row r="2240" spans="2:7">
      <c r="B2240" s="848" t="str">
        <f>+'4G'!AJ14</f>
        <v>A10010WSTTT</v>
      </c>
      <c r="D2240" s="2004"/>
      <c r="E2240" s="1658" t="s">
        <v>9033</v>
      </c>
      <c r="F2240" s="2004"/>
      <c r="G2240" s="2004" t="str">
        <f>IF('4G'!I14="","##BLANK",'4G'!I14)</f>
        <v>##BLANK</v>
      </c>
    </row>
    <row r="2241" spans="2:7">
      <c r="B2241" s="848" t="str">
        <f>+'4G'!AJ15</f>
        <v>A10011WSTTT</v>
      </c>
      <c r="D2241" s="2004"/>
      <c r="E2241" s="1658" t="s">
        <v>9033</v>
      </c>
      <c r="F2241" s="2004"/>
      <c r="G2241" s="2004">
        <f>IF('4G'!I15="","##BLANK",'4G'!I15)</f>
        <v>0</v>
      </c>
    </row>
    <row r="2242" spans="2:7">
      <c r="B2242" s="848" t="str">
        <f>+'4G'!AJ17</f>
        <v>A10012WSTTT</v>
      </c>
      <c r="D2242" s="2004"/>
      <c r="E2242" s="1658" t="s">
        <v>9033</v>
      </c>
      <c r="F2242" s="2004"/>
      <c r="G2242" s="2004" t="str">
        <f>IF('4G'!I17="","##BLANK",'4G'!I17)</f>
        <v>##BLANK</v>
      </c>
    </row>
    <row r="2243" spans="2:7">
      <c r="B2243" s="848" t="str">
        <f>+'4G'!AJ18</f>
        <v>A10013WSTTT</v>
      </c>
      <c r="D2243" s="2004"/>
      <c r="E2243" s="1658" t="s">
        <v>9033</v>
      </c>
      <c r="F2243" s="2004"/>
      <c r="G2243" s="2004">
        <f>IF('4G'!I18="","##BLANK",'4G'!I18)</f>
        <v>0</v>
      </c>
    </row>
    <row r="2244" spans="2:7">
      <c r="B2244" s="848" t="str">
        <f>+'4G'!AK5</f>
        <v>T9010</v>
      </c>
      <c r="D2244" s="2004"/>
      <c r="E2244" s="1658" t="s">
        <v>9033</v>
      </c>
      <c r="F2244" s="2004"/>
      <c r="G2244" s="2004">
        <f>IF('4G'!J5="","##BLANK",'4G'!J5)</f>
        <v>983.37900000000013</v>
      </c>
    </row>
    <row r="2245" spans="2:7">
      <c r="B2245" s="848" t="str">
        <f>+'4G'!AK6</f>
        <v>BM924TAS</v>
      </c>
      <c r="D2245" s="2004"/>
      <c r="E2245" s="1658" t="s">
        <v>9033</v>
      </c>
      <c r="F2245" s="2004"/>
      <c r="G2245" s="2004">
        <f>IF('4G'!J6="","##BLANK",'4G'!J6)</f>
        <v>-461.36</v>
      </c>
    </row>
    <row r="2246" spans="2:7">
      <c r="B2246" s="848" t="str">
        <f>+'4G'!AK7</f>
        <v>BM915TAS</v>
      </c>
      <c r="D2246" s="2004"/>
      <c r="E2246" s="1658" t="s">
        <v>9033</v>
      </c>
      <c r="F2246" s="2004"/>
      <c r="G2246" s="2004">
        <f>IF('4G'!J7="","##BLANK",'4G'!J7)</f>
        <v>-271.07</v>
      </c>
    </row>
    <row r="2247" spans="2:7">
      <c r="B2247" s="848" t="str">
        <f>+'4G'!AK8</f>
        <v>A10005</v>
      </c>
      <c r="D2247" s="2004"/>
      <c r="E2247" s="1658" t="s">
        <v>9033</v>
      </c>
      <c r="F2247" s="2004"/>
      <c r="G2247" s="2004">
        <f>IF('4G'!J8="","##BLANK",'4G'!J8)</f>
        <v>4.3449999999999998</v>
      </c>
    </row>
    <row r="2248" spans="2:7">
      <c r="B2248" s="848" t="str">
        <f>+'4G'!AK9</f>
        <v>BO3166PL</v>
      </c>
      <c r="D2248" s="2004"/>
      <c r="E2248" s="1658" t="s">
        <v>9033</v>
      </c>
      <c r="F2248" s="2004"/>
      <c r="G2248" s="2004">
        <f>IF('4G'!J9="","##BLANK",'4G'!J9)</f>
        <v>255.2940000000001</v>
      </c>
    </row>
    <row r="2249" spans="2:7">
      <c r="B2249" s="848" t="str">
        <f>+'4G'!AK11</f>
        <v>A10007</v>
      </c>
      <c r="D2249" s="2004"/>
      <c r="E2249" s="1658" t="s">
        <v>9033</v>
      </c>
      <c r="F2249" s="2004"/>
      <c r="G2249" s="2004">
        <f>IF('4G'!J11="","##BLANK",'4G'!J11)</f>
        <v>12.904</v>
      </c>
    </row>
    <row r="2250" spans="2:7">
      <c r="B2250" s="848" t="str">
        <f>+'4G'!AK12</f>
        <v>A10008</v>
      </c>
      <c r="D2250" s="2004"/>
      <c r="E2250" s="1658" t="s">
        <v>9033</v>
      </c>
      <c r="F2250" s="2004"/>
      <c r="G2250" s="2004">
        <f>IF('4G'!J12="","##BLANK",'4G'!J12)</f>
        <v>50.507999999999996</v>
      </c>
    </row>
    <row r="2251" spans="2:7">
      <c r="B2251" s="848" t="str">
        <f>+'4G'!AK13</f>
        <v>A10009</v>
      </c>
      <c r="D2251" s="2004"/>
      <c r="E2251" s="1658" t="s">
        <v>9033</v>
      </c>
      <c r="F2251" s="2004"/>
      <c r="G2251" s="2004">
        <f>IF('4G'!J13="","##BLANK",'4G'!J13)</f>
        <v>-209.88400000000001</v>
      </c>
    </row>
    <row r="2252" spans="2:7">
      <c r="B2252" s="848" t="str">
        <f>+'4G'!AK14</f>
        <v>A10010</v>
      </c>
      <c r="D2252" s="2004"/>
      <c r="E2252" s="1658" t="s">
        <v>9033</v>
      </c>
      <c r="F2252" s="2004"/>
      <c r="G2252" s="2004">
        <f>IF('4G'!J14="","##BLANK",'4G'!J14)</f>
        <v>0</v>
      </c>
    </row>
    <row r="2253" spans="2:7">
      <c r="B2253" s="848" t="str">
        <f>+'4G'!AK15</f>
        <v>A10011</v>
      </c>
      <c r="D2253" s="2004"/>
      <c r="E2253" s="1658" t="s">
        <v>9033</v>
      </c>
      <c r="F2253" s="2004"/>
      <c r="G2253" s="2004">
        <f>IF('4G'!J15="","##BLANK",'4G'!J15)</f>
        <v>108.82200000000009</v>
      </c>
    </row>
    <row r="2254" spans="2:7">
      <c r="B2254" s="848" t="str">
        <f>+'4G'!AK17</f>
        <v>A10012</v>
      </c>
      <c r="D2254" s="2004"/>
      <c r="E2254" s="1658" t="s">
        <v>9033</v>
      </c>
      <c r="F2254" s="2004"/>
      <c r="G2254" s="2004">
        <f>IF('4G'!J17="","##BLANK",'4G'!J17)</f>
        <v>-35.905999999999999</v>
      </c>
    </row>
    <row r="2255" spans="2:7">
      <c r="B2255" s="848" t="str">
        <f>+'4G'!AK18</f>
        <v>A10013</v>
      </c>
      <c r="D2255" s="2004"/>
      <c r="E2255" s="1658" t="s">
        <v>9033</v>
      </c>
      <c r="F2255" s="2004"/>
      <c r="G2255" s="2004">
        <f>IF('4G'!J18="","##BLANK",'4G'!J18)</f>
        <v>72.916000000000096</v>
      </c>
    </row>
    <row r="2256" spans="2:7">
      <c r="B2256" s="848" t="str">
        <f>'4H'!AH8</f>
        <v>RCT00600</v>
      </c>
      <c r="D2256" s="2004"/>
      <c r="E2256" s="1658" t="s">
        <v>9033</v>
      </c>
      <c r="F2256" s="2004"/>
      <c r="G2256" s="2004">
        <f>IF('4H'!G8="","##BLANK",'4H'!G8)</f>
        <v>1606.7080000000005</v>
      </c>
    </row>
    <row r="2257" spans="2:7">
      <c r="B2257" s="848" t="str">
        <f>'4H'!AH10</f>
        <v>T19004PT</v>
      </c>
      <c r="D2257" s="2004"/>
      <c r="E2257" s="1658" t="s">
        <v>9033</v>
      </c>
      <c r="F2257" s="2004"/>
      <c r="G2257" s="2004">
        <f>IF('4H'!G10="","##BLANK",'4H'!G10)</f>
        <v>2.5399999999999999E-2</v>
      </c>
    </row>
    <row r="2258" spans="2:7">
      <c r="B2258" s="848" t="str">
        <f>'4H'!AH11</f>
        <v>T19004</v>
      </c>
      <c r="D2258" s="2004"/>
      <c r="E2258" s="1658" t="s">
        <v>9033</v>
      </c>
      <c r="F2258" s="2004"/>
      <c r="G2258" s="2004">
        <f>IF('4H'!G11="","##BLANK",'4H'!G11)</f>
        <v>6.0100000000000001E-2</v>
      </c>
    </row>
    <row r="2259" spans="2:7" s="2004" customFormat="1">
      <c r="B2259" s="2514" t="str">
        <f>'4H'!AI11</f>
        <v>T19004AMP</v>
      </c>
      <c r="C2259" s="1322"/>
      <c r="E2259" s="1658" t="s">
        <v>9033</v>
      </c>
      <c r="G2259" s="2004">
        <f>IF('4H'!H11="","##BLANK",'4H'!H11)</f>
        <v>5.16E-2</v>
      </c>
    </row>
    <row r="2260" spans="2:7">
      <c r="B2260" s="848" t="str">
        <f>'4H'!AH12</f>
        <v>CR1050</v>
      </c>
      <c r="D2260" s="2004"/>
      <c r="E2260" s="1658" t="s">
        <v>9033</v>
      </c>
      <c r="F2260" s="2004"/>
      <c r="G2260" s="2004">
        <f>IF('4H'!G12="","##BLANK",'4H'!G12)</f>
        <v>3.8699999999999998E-2</v>
      </c>
    </row>
    <row r="2261" spans="2:7">
      <c r="B2261" s="848" t="str">
        <f>'4H'!AH13</f>
        <v>R5004HH</v>
      </c>
      <c r="D2261" s="2004"/>
      <c r="E2261" s="1658" t="s">
        <v>9033</v>
      </c>
      <c r="F2261" s="2004"/>
      <c r="G2261" s="2004">
        <f>IF('4H'!G13="","##BLANK",'4H'!G13)</f>
        <v>-2.189217612403148E-3</v>
      </c>
    </row>
    <row r="2262" spans="2:7">
      <c r="B2262" s="848" t="str">
        <f>'4H'!AH14</f>
        <v>R5004NH</v>
      </c>
      <c r="D2262" s="2004"/>
      <c r="E2262" s="1658" t="s">
        <v>9033</v>
      </c>
      <c r="F2262" s="2004"/>
      <c r="G2262" s="2004">
        <f>IF('4H'!G14="","##BLANK",'4H'!G14)</f>
        <v>-4.3378862330307272E-2</v>
      </c>
    </row>
    <row r="2263" spans="2:7">
      <c r="B2263" s="848" t="str">
        <f>'4H'!AH15</f>
        <v>A8012FM</v>
      </c>
      <c r="D2263" s="2004"/>
      <c r="E2263" s="1658" t="s">
        <v>9033</v>
      </c>
      <c r="F2263" s="2004"/>
      <c r="G2263" s="2004" t="str">
        <f>IF('4H'!G15="","##BLANK",'4H'!G15)</f>
        <v>Baa2 (negative)</v>
      </c>
    </row>
    <row r="2264" spans="2:7">
      <c r="B2264" s="848" t="str">
        <f>'4H'!AH16</f>
        <v>CR19006</v>
      </c>
      <c r="D2264" s="2004"/>
      <c r="E2264" s="1658" t="s">
        <v>9033</v>
      </c>
      <c r="F2264" s="2004"/>
      <c r="G2264" s="2004">
        <f>IF('4H'!G16="","##BLANK",'4H'!G16)</f>
        <v>2.92E-2</v>
      </c>
    </row>
    <row r="2265" spans="2:7">
      <c r="B2265" s="848" t="str">
        <f>'4H'!AH17</f>
        <v>CR2610</v>
      </c>
      <c r="D2265" s="2004"/>
      <c r="E2265" s="1658" t="s">
        <v>9033</v>
      </c>
      <c r="F2265" s="2004"/>
      <c r="G2265" s="2004">
        <f>IF('4H'!G17="","##BLANK",'4H'!G17)</f>
        <v>-0.19</v>
      </c>
    </row>
    <row r="2266" spans="2:7">
      <c r="B2266" s="848" t="str">
        <f>'4H'!AH18</f>
        <v>A14025</v>
      </c>
      <c r="D2266" s="2004"/>
      <c r="E2266" s="1658" t="s">
        <v>9033</v>
      </c>
      <c r="F2266" s="2004"/>
      <c r="G2266" s="2004">
        <f>IF('4H'!G18="","##BLANK",'4H'!G18)</f>
        <v>387.70212347999967</v>
      </c>
    </row>
    <row r="2267" spans="2:7">
      <c r="B2267" s="848" t="str">
        <f>'4H'!AH19</f>
        <v>CR1051</v>
      </c>
      <c r="D2267" s="2004"/>
      <c r="E2267" s="1658" t="s">
        <v>9033</v>
      </c>
      <c r="F2267" s="2004"/>
      <c r="G2267" s="2004">
        <f>IF('4H'!G19="","##BLANK",'4H'!G19)</f>
        <v>3.24</v>
      </c>
    </row>
    <row r="2268" spans="2:7">
      <c r="B2268" s="848" t="str">
        <f>'4H'!AH20</f>
        <v>CR1052</v>
      </c>
      <c r="D2268" s="2004"/>
      <c r="E2268" s="1658" t="s">
        <v>9033</v>
      </c>
      <c r="F2268" s="2004"/>
      <c r="G2268" s="2004">
        <f>IF('4H'!G20="","##BLANK",'4H'!G20)</f>
        <v>2.0099999999999998</v>
      </c>
    </row>
    <row r="2269" spans="2:7">
      <c r="B2269" s="848" t="str">
        <f>'4H'!AH21</f>
        <v>CR1053</v>
      </c>
      <c r="D2269" s="2004"/>
      <c r="E2269" s="1658" t="s">
        <v>9033</v>
      </c>
      <c r="F2269" s="2004"/>
      <c r="G2269" s="2004">
        <f>IF('4H'!G21="","##BLANK",'4H'!G21)</f>
        <v>7.2551819620359712E-2</v>
      </c>
    </row>
    <row r="2270" spans="2:7">
      <c r="B2270" s="848" t="str">
        <f>'4H'!AH22</f>
        <v>CR1054</v>
      </c>
      <c r="D2270" s="2004"/>
      <c r="E2270" s="1658" t="s">
        <v>9033</v>
      </c>
      <c r="F2270" s="2004"/>
      <c r="G2270" s="2004">
        <f>IF('4H'!G22="","##BLANK",'4H'!G22)</f>
        <v>0.27200000000000002</v>
      </c>
    </row>
    <row r="2271" spans="2:7">
      <c r="B2271" s="848" t="str">
        <f>'4H'!AH23</f>
        <v>CR1055</v>
      </c>
      <c r="D2271" s="2004"/>
      <c r="E2271" s="1658" t="s">
        <v>9033</v>
      </c>
      <c r="F2271" s="2004"/>
      <c r="G2271" s="2004">
        <f>IF('4H'!G23="","##BLANK",'4H'!G23)</f>
        <v>277.67312347999967</v>
      </c>
    </row>
    <row r="2272" spans="2:7">
      <c r="B2272" s="848" t="str">
        <f>'4H'!AH24</f>
        <v>CR1056</v>
      </c>
      <c r="D2272" s="2004"/>
      <c r="E2272" s="1658" t="s">
        <v>9033</v>
      </c>
      <c r="F2272" s="2004"/>
      <c r="G2272" s="2004">
        <f>IF('4H'!G24="","##BLANK",'4H'!G24)</f>
        <v>0.54188263110750234</v>
      </c>
    </row>
    <row r="2273" spans="2:7">
      <c r="B2273" s="848" t="str">
        <f>'4H'!AH28</f>
        <v>CR1057</v>
      </c>
      <c r="D2273" s="2004"/>
      <c r="E2273" s="1658" t="s">
        <v>9033</v>
      </c>
      <c r="F2273" s="2004"/>
      <c r="G2273" s="2004">
        <f>IF('4H'!G28="","##BLANK",'4H'!G28)</f>
        <v>513.70600000000013</v>
      </c>
    </row>
    <row r="2274" spans="2:7">
      <c r="B2274" s="848" t="str">
        <f>'4H'!AH31</f>
        <v>CR1066</v>
      </c>
      <c r="D2274" s="2004"/>
      <c r="E2274" s="1658" t="s">
        <v>9033</v>
      </c>
      <c r="F2274" s="2004"/>
      <c r="G2274" s="2004">
        <f>IF('4H'!G31="","##BLANK",'4H'!G31)</f>
        <v>5.5899999999999998E-2</v>
      </c>
    </row>
    <row r="2275" spans="2:7">
      <c r="B2275" s="848" t="str">
        <f>'4H'!AH32</f>
        <v>CR1067</v>
      </c>
      <c r="D2275" s="2004"/>
      <c r="E2275" s="1658" t="s">
        <v>9033</v>
      </c>
      <c r="F2275" s="2004"/>
      <c r="G2275" s="2004">
        <f>IF('4H'!G32="","##BLANK",'4H'!G32)</f>
        <v>-6.7000000000000002E-3</v>
      </c>
    </row>
    <row r="2276" spans="2:7">
      <c r="B2276" s="848" t="str">
        <f>'4H'!AH33</f>
        <v>CR1068</v>
      </c>
      <c r="D2276" s="2004"/>
      <c r="E2276" s="1658" t="s">
        <v>9033</v>
      </c>
      <c r="F2276" s="2004"/>
      <c r="G2276" s="2004">
        <f>IF('4H'!G33="","##BLANK",'4H'!G33)</f>
        <v>-7.1000000000000004E-3</v>
      </c>
    </row>
    <row r="2277" spans="2:7">
      <c r="B2277" s="848" t="str">
        <f>'4H'!AH34</f>
        <v>CR1069</v>
      </c>
      <c r="D2277" s="2004"/>
      <c r="E2277" s="1658" t="s">
        <v>9033</v>
      </c>
      <c r="F2277" s="2004"/>
      <c r="G2277" s="2004">
        <f>IF('4H'!G34="","##BLANK",'4H'!G34)</f>
        <v>1.03E-2</v>
      </c>
    </row>
    <row r="2278" spans="2:7">
      <c r="B2278" s="848" t="str">
        <f>'4H'!AH35</f>
        <v>CR1070</v>
      </c>
      <c r="D2278" s="2004"/>
      <c r="E2278" s="1658" t="s">
        <v>9033</v>
      </c>
      <c r="F2278" s="2004"/>
      <c r="G2278" s="2004">
        <f>IF('4H'!G35="","##BLANK",'4H'!G35)</f>
        <v>7.7000000000000002E-3</v>
      </c>
    </row>
    <row r="2279" spans="2:7" s="2004" customFormat="1">
      <c r="B2279" s="848" t="str">
        <f>'4H'!AH36</f>
        <v>CR1073</v>
      </c>
      <c r="C2279" s="1322"/>
      <c r="E2279" s="1658" t="s">
        <v>9033</v>
      </c>
      <c r="G2279" s="2004">
        <f>IF('4H'!G36="","##BLANK",'4H'!G36)</f>
        <v>0</v>
      </c>
    </row>
    <row r="2280" spans="2:7">
      <c r="B2280" s="848" t="str">
        <f>'4H'!AH37</f>
        <v>CR1071</v>
      </c>
      <c r="D2280" s="2004"/>
      <c r="E2280" s="1658" t="s">
        <v>9033</v>
      </c>
      <c r="F2280" s="2004"/>
      <c r="G2280" s="2004">
        <f>IF('4H'!G37="","##BLANK",'4H'!G37)</f>
        <v>6.0100000000000001E-2</v>
      </c>
    </row>
    <row r="2281" spans="2:7">
      <c r="B2281" s="848" t="str">
        <f>'4H'!AH40</f>
        <v>CR1058</v>
      </c>
      <c r="D2281" s="2004"/>
      <c r="E2281" s="1658" t="s">
        <v>9033</v>
      </c>
      <c r="F2281" s="2004"/>
      <c r="G2281" s="2004">
        <f>IF('4H'!G40="","##BLANK",'4H'!G40)</f>
        <v>0.44573973693608565</v>
      </c>
    </row>
    <row r="2282" spans="2:7">
      <c r="B2282" s="848" t="str">
        <f>'4H'!AH41</f>
        <v>CR1059</v>
      </c>
      <c r="D2282" s="2004"/>
      <c r="E2282" s="1658" t="s">
        <v>9033</v>
      </c>
      <c r="F2282" s="2004"/>
      <c r="G2282" s="2004">
        <f>IF('4H'!G41="","##BLANK",'4H'!G41)</f>
        <v>0.23309220363194946</v>
      </c>
    </row>
    <row r="2283" spans="2:7">
      <c r="B2283" s="848" t="str">
        <f>'4H'!AH42</f>
        <v>CR1060</v>
      </c>
      <c r="D2283" s="2004"/>
      <c r="E2283" s="1658" t="s">
        <v>9033</v>
      </c>
      <c r="F2283" s="2004"/>
      <c r="G2283" s="2004">
        <f>IF('4H'!G42="","##BLANK",'4H'!G42)</f>
        <v>0.32116805943196497</v>
      </c>
    </row>
    <row r="2284" spans="2:7">
      <c r="B2284" s="848" t="str">
        <f>'4H'!AH43</f>
        <v>CR1061</v>
      </c>
      <c r="D2284" s="2004"/>
      <c r="E2284" s="1658" t="s">
        <v>9033</v>
      </c>
      <c r="F2284" s="2004"/>
      <c r="G2284" s="2004">
        <f>IF('4H'!G43="","##BLANK",'4H'!G43)</f>
        <v>5.0000000000000001E-3</v>
      </c>
    </row>
    <row r="2285" spans="2:7">
      <c r="B2285" s="848" t="str">
        <f>'4H'!AH44</f>
        <v>CR1062</v>
      </c>
      <c r="D2285" s="2004"/>
      <c r="E2285" s="1658" t="s">
        <v>9033</v>
      </c>
      <c r="F2285" s="2004"/>
      <c r="G2285" s="2004">
        <f>IF('4H'!G44="","##BLANK",'4H'!G44)</f>
        <v>3.5099999999999999E-2</v>
      </c>
    </row>
    <row r="2286" spans="2:7">
      <c r="B2286" s="848" t="str">
        <f>'4H'!AH45</f>
        <v>CR1063</v>
      </c>
      <c r="D2286" s="2004"/>
      <c r="E2286" s="1658" t="s">
        <v>9033</v>
      </c>
      <c r="F2286" s="2004"/>
      <c r="G2286" s="2004">
        <f>IF('4H'!G45="","##BLANK",'4H'!G45)</f>
        <v>0.1769</v>
      </c>
    </row>
    <row r="2287" spans="2:7">
      <c r="B2287" s="848" t="str">
        <f>'4H'!AH46</f>
        <v>CR1064</v>
      </c>
      <c r="D2287" s="2004"/>
      <c r="E2287" s="1658" t="s">
        <v>9033</v>
      </c>
      <c r="F2287" s="2004"/>
      <c r="G2287" s="2004">
        <f>IF('4H'!G46="","##BLANK",'4H'!G46)</f>
        <v>0.55610000000000004</v>
      </c>
    </row>
    <row r="2288" spans="2:7">
      <c r="B2288" s="848" t="str">
        <f>'4H'!AH47</f>
        <v>CR1065</v>
      </c>
      <c r="D2288" s="2004"/>
      <c r="E2288" s="1658" t="s">
        <v>9033</v>
      </c>
      <c r="F2288" s="2004"/>
      <c r="G2288" s="2004">
        <f>IF('4H'!G47="","##BLANK",'4H'!G47)</f>
        <v>0.22689999999999999</v>
      </c>
    </row>
    <row r="2289" spans="2:7">
      <c r="B2289" s="848" t="str">
        <f>'4H'!AI31</f>
        <v>CR1076</v>
      </c>
      <c r="D2289" s="2004"/>
      <c r="E2289" s="1658" t="s">
        <v>9033</v>
      </c>
      <c r="F2289" s="2004"/>
      <c r="G2289" s="2004">
        <f>IF('4H'!H31="","##BLANK",'4H'!H31)</f>
        <v>5.5899999999999998E-2</v>
      </c>
    </row>
    <row r="2290" spans="2:7">
      <c r="B2290" s="848" t="str">
        <f>'4H'!AI32</f>
        <v>CR1077</v>
      </c>
      <c r="D2290" s="2004"/>
      <c r="E2290" s="1658" t="s">
        <v>9033</v>
      </c>
      <c r="F2290" s="2004"/>
      <c r="G2290" s="2004">
        <f>IF('4H'!H32="","##BLANK",'4H'!H32)</f>
        <v>-2.2000000000000001E-3</v>
      </c>
    </row>
    <row r="2291" spans="2:7">
      <c r="B2291" s="848" t="str">
        <f>'4H'!AI33</f>
        <v>CR1078</v>
      </c>
      <c r="D2291" s="2004"/>
      <c r="E2291" s="1658" t="s">
        <v>9033</v>
      </c>
      <c r="F2291" s="2004"/>
      <c r="G2291" s="2004">
        <f>IF('4H'!H33="","##BLANK",'4H'!H33)</f>
        <v>-3.8999999999999998E-3</v>
      </c>
    </row>
    <row r="2292" spans="2:7">
      <c r="B2292" s="848" t="str">
        <f>'4H'!AI34</f>
        <v>CR1079</v>
      </c>
      <c r="D2292" s="2004"/>
      <c r="E2292" s="1658" t="s">
        <v>9033</v>
      </c>
      <c r="F2292" s="2004"/>
      <c r="G2292" s="2004">
        <f>IF('4H'!H34="","##BLANK",'4H'!H34)</f>
        <v>4.8999999999999998E-3</v>
      </c>
    </row>
    <row r="2293" spans="2:7">
      <c r="B2293" s="848" t="str">
        <f>'4H'!AI35</f>
        <v>CR1080</v>
      </c>
      <c r="D2293" s="2004"/>
      <c r="E2293" s="1658" t="s">
        <v>9033</v>
      </c>
      <c r="F2293" s="2004"/>
      <c r="G2293" s="2004">
        <f>IF('4H'!H35="","##BLANK",'4H'!H35)</f>
        <v>-3.0999999999999999E-3</v>
      </c>
    </row>
    <row r="2294" spans="2:7" s="2004" customFormat="1">
      <c r="B2294" s="848" t="str">
        <f>'4H'!AI36</f>
        <v>CR1083</v>
      </c>
      <c r="C2294" s="1322"/>
      <c r="E2294" s="1658" t="s">
        <v>9033</v>
      </c>
      <c r="G2294" s="2004">
        <f>IF('4H'!H36="","##BLANK",'4H'!H36)</f>
        <v>0</v>
      </c>
    </row>
    <row r="2295" spans="2:7">
      <c r="B2295" s="848" t="str">
        <f>'4H'!AI37</f>
        <v>CR1081</v>
      </c>
      <c r="D2295" s="2004"/>
      <c r="E2295" s="1658" t="s">
        <v>9033</v>
      </c>
      <c r="F2295" s="2004"/>
      <c r="G2295" s="2004">
        <f>IF('4H'!H37="","##BLANK",'4H'!H37)</f>
        <v>5.16E-2</v>
      </c>
    </row>
    <row r="2296" spans="2:7">
      <c r="B2296" s="848" t="str">
        <f>'4I'!BF8</f>
        <v>CR2021N1</v>
      </c>
      <c r="D2296" s="2004"/>
      <c r="E2296" s="1658" t="s">
        <v>9033</v>
      </c>
      <c r="F2296" s="2004"/>
      <c r="G2296" s="2004">
        <f>IF('4I'!G8="","##BLANK",'4I'!G8)</f>
        <v>0</v>
      </c>
    </row>
    <row r="2297" spans="2:7">
      <c r="B2297" s="848" t="str">
        <f>'4I'!BF9</f>
        <v>CR2022N1</v>
      </c>
      <c r="D2297" s="2004"/>
      <c r="E2297" s="1658" t="s">
        <v>9033</v>
      </c>
      <c r="F2297" s="2004"/>
      <c r="G2297" s="2004">
        <f>IF('4I'!G9="","##BLANK",'4I'!G9)</f>
        <v>0</v>
      </c>
    </row>
    <row r="2298" spans="2:7">
      <c r="B2298" s="848" t="str">
        <f>'4I'!BF10</f>
        <v>CR2023N1</v>
      </c>
      <c r="D2298" s="2004"/>
      <c r="E2298" s="1658" t="s">
        <v>9033</v>
      </c>
      <c r="F2298" s="2004"/>
      <c r="G2298" s="2004">
        <f>IF('4I'!G10="","##BLANK",'4I'!G10)</f>
        <v>0</v>
      </c>
    </row>
    <row r="2299" spans="2:7">
      <c r="B2299" s="848" t="str">
        <f>'4I'!BF11</f>
        <v>CR2024N1</v>
      </c>
      <c r="D2299" s="2004"/>
      <c r="E2299" s="1658" t="s">
        <v>9033</v>
      </c>
      <c r="F2299" s="2004"/>
      <c r="G2299" s="2004">
        <f>IF('4I'!G11="","##BLANK",'4I'!G11)</f>
        <v>0</v>
      </c>
    </row>
    <row r="2300" spans="2:7">
      <c r="B2300" s="848" t="str">
        <f>'4I'!BF12</f>
        <v>CR2025N1</v>
      </c>
      <c r="D2300" s="2004"/>
      <c r="E2300" s="1658" t="s">
        <v>9033</v>
      </c>
      <c r="F2300" s="2004"/>
      <c r="G2300" s="2004">
        <f>IF('4I'!G12="","##BLANK",'4I'!G12)</f>
        <v>0</v>
      </c>
    </row>
    <row r="2301" spans="2:7">
      <c r="B2301" s="848" t="str">
        <f>'4I'!BF13</f>
        <v>CR2026N1</v>
      </c>
      <c r="D2301" s="2004"/>
      <c r="E2301" s="1658" t="s">
        <v>9033</v>
      </c>
      <c r="F2301" s="2004"/>
      <c r="G2301" s="2004">
        <f>IF('4I'!G13="","##BLANK",'4I'!G13)</f>
        <v>0</v>
      </c>
    </row>
    <row r="2302" spans="2:7">
      <c r="B2302" s="848" t="str">
        <f>'4I'!BF14</f>
        <v>CR2027N1</v>
      </c>
      <c r="D2302" s="2004"/>
      <c r="E2302" s="1658" t="s">
        <v>9033</v>
      </c>
      <c r="F2302" s="2004"/>
      <c r="G2302" s="2004">
        <f>IF('4I'!G14="","##BLANK",'4I'!G14)</f>
        <v>0</v>
      </c>
    </row>
    <row r="2303" spans="2:7">
      <c r="B2303" s="848" t="str">
        <f>'4I'!BF17</f>
        <v>CR2005N1</v>
      </c>
      <c r="D2303" s="2004"/>
      <c r="E2303" s="1658" t="s">
        <v>9033</v>
      </c>
      <c r="F2303" s="2004"/>
      <c r="G2303" s="2004">
        <f>IF('4I'!G17="","##BLANK",'4I'!G17)</f>
        <v>144.55799999999999</v>
      </c>
    </row>
    <row r="2304" spans="2:7">
      <c r="B2304" s="848" t="str">
        <f>'4I'!BF18</f>
        <v>CR2006N1</v>
      </c>
      <c r="D2304" s="2004"/>
      <c r="E2304" s="1658" t="s">
        <v>9033</v>
      </c>
      <c r="F2304" s="2004"/>
      <c r="G2304" s="2004">
        <f>IF('4I'!G18="","##BLANK",'4I'!G18)</f>
        <v>0</v>
      </c>
    </row>
    <row r="2305" spans="2:7">
      <c r="B2305" s="848" t="str">
        <f>'4I'!BF19</f>
        <v>CR2007N1</v>
      </c>
      <c r="D2305" s="2004"/>
      <c r="E2305" s="1658" t="s">
        <v>9033</v>
      </c>
      <c r="F2305" s="2004"/>
      <c r="G2305" s="2004">
        <f>IF('4I'!G19="","##BLANK",'4I'!G19)</f>
        <v>0</v>
      </c>
    </row>
    <row r="2306" spans="2:7">
      <c r="B2306" s="848" t="str">
        <f>'4I'!BF20</f>
        <v>CR2008N1</v>
      </c>
      <c r="D2306" s="2004"/>
      <c r="E2306" s="1658" t="s">
        <v>9033</v>
      </c>
      <c r="F2306" s="2004"/>
      <c r="G2306" s="2004">
        <f>IF('4I'!G20="","##BLANK",'4I'!G20)</f>
        <v>0</v>
      </c>
    </row>
    <row r="2307" spans="2:7">
      <c r="B2307" s="848" t="str">
        <f>'4I'!BF21</f>
        <v>CR2009N1</v>
      </c>
      <c r="D2307" s="2004"/>
      <c r="E2307" s="1658" t="s">
        <v>9033</v>
      </c>
      <c r="F2307" s="2004"/>
      <c r="G2307" s="2004">
        <f>IF('4I'!G21="","##BLANK",'4I'!G21)</f>
        <v>144.55799999999999</v>
      </c>
    </row>
    <row r="2308" spans="2:7">
      <c r="B2308" s="848" t="str">
        <f>'4I'!BF24</f>
        <v>CR20010N1</v>
      </c>
      <c r="D2308" s="2004"/>
      <c r="E2308" s="1658" t="s">
        <v>9033</v>
      </c>
      <c r="F2308" s="2004"/>
      <c r="G2308" s="2004">
        <f>IF('4I'!G24="","##BLANK",'4I'!G24)</f>
        <v>0</v>
      </c>
    </row>
    <row r="2309" spans="2:7">
      <c r="B2309" s="848" t="str">
        <f>'4I'!BF25</f>
        <v>CR20011N1</v>
      </c>
      <c r="D2309" s="2004"/>
      <c r="E2309" s="1658" t="s">
        <v>9033</v>
      </c>
      <c r="F2309" s="2004"/>
      <c r="G2309" s="2004">
        <f>IF('4I'!G25="","##BLANK",'4I'!G25)</f>
        <v>0</v>
      </c>
    </row>
    <row r="2310" spans="2:7">
      <c r="B2310" s="848" t="str">
        <f>'4I'!BF26</f>
        <v>CR20012N1</v>
      </c>
      <c r="D2310" s="2004"/>
      <c r="E2310" s="1658" t="s">
        <v>9033</v>
      </c>
      <c r="F2310" s="2004"/>
      <c r="G2310" s="2004">
        <f>IF('4I'!G26="","##BLANK",'4I'!G26)</f>
        <v>0</v>
      </c>
    </row>
    <row r="2311" spans="2:7">
      <c r="B2311" s="848" t="str">
        <f>'4I'!BF27</f>
        <v>CR20013N1</v>
      </c>
      <c r="D2311" s="2004"/>
      <c r="E2311" s="1658" t="s">
        <v>9033</v>
      </c>
      <c r="F2311" s="2004"/>
      <c r="G2311" s="2004">
        <f>IF('4I'!G27="","##BLANK",'4I'!G27)</f>
        <v>0</v>
      </c>
    </row>
    <row r="2312" spans="2:7">
      <c r="B2312" s="848" t="str">
        <f>'4I'!BF28</f>
        <v>CR20014N1</v>
      </c>
      <c r="D2312" s="2004"/>
      <c r="E2312" s="1658" t="s">
        <v>9033</v>
      </c>
      <c r="F2312" s="2004"/>
      <c r="G2312" s="2004">
        <f>IF('4I'!G28="","##BLANK",'4I'!G28)</f>
        <v>0</v>
      </c>
    </row>
    <row r="2313" spans="2:7">
      <c r="B2313" s="848" t="str">
        <f>'4I'!BF31</f>
        <v>CR20015N1</v>
      </c>
      <c r="D2313" s="2004"/>
      <c r="E2313" s="1658" t="s">
        <v>9033</v>
      </c>
      <c r="F2313" s="2004"/>
      <c r="G2313" s="2004">
        <f>IF('4I'!G31="","##BLANK",'4I'!G31)</f>
        <v>0</v>
      </c>
    </row>
    <row r="2314" spans="2:7">
      <c r="B2314" s="848" t="str">
        <f>'4I'!BF32</f>
        <v>CR20016N1</v>
      </c>
      <c r="D2314" s="2004"/>
      <c r="E2314" s="1658" t="s">
        <v>9033</v>
      </c>
      <c r="F2314" s="2004"/>
      <c r="G2314" s="2004">
        <f>IF('4I'!G32="","##BLANK",'4I'!G32)</f>
        <v>0</v>
      </c>
    </row>
    <row r="2315" spans="2:7">
      <c r="B2315" s="848" t="str">
        <f>'4I'!BF33</f>
        <v>CR20017N1</v>
      </c>
      <c r="D2315" s="2004"/>
      <c r="E2315" s="1658" t="s">
        <v>9033</v>
      </c>
      <c r="F2315" s="2004"/>
      <c r="G2315" s="2004">
        <f>IF('4I'!G33="","##BLANK",'4I'!G33)</f>
        <v>0</v>
      </c>
    </row>
    <row r="2316" spans="2:7">
      <c r="B2316" s="848" t="str">
        <f>'4I'!BF37</f>
        <v>CR20018N1</v>
      </c>
      <c r="D2316" s="2004"/>
      <c r="E2316" s="1658" t="s">
        <v>9033</v>
      </c>
      <c r="F2316" s="2004"/>
      <c r="G2316" s="2004">
        <f>IF('4I'!G37="","##BLANK",'4I'!G37)</f>
        <v>0</v>
      </c>
    </row>
    <row r="2317" spans="2:7">
      <c r="B2317" s="848" t="str">
        <f>'4I'!BF38</f>
        <v>CR20019N1</v>
      </c>
      <c r="D2317" s="2004"/>
      <c r="E2317" s="1658" t="s">
        <v>9033</v>
      </c>
      <c r="F2317" s="2004"/>
      <c r="G2317" s="2004">
        <f>IF('4I'!G38="","##BLANK",'4I'!G38)</f>
        <v>0</v>
      </c>
    </row>
    <row r="2318" spans="2:7">
      <c r="B2318" s="848" t="str">
        <f>'4I'!BF41</f>
        <v>CR2028N1</v>
      </c>
      <c r="D2318" s="2004"/>
      <c r="E2318" s="1658" t="s">
        <v>9033</v>
      </c>
      <c r="F2318" s="2004"/>
      <c r="G2318" s="2004">
        <f>IF('4I'!G41="","##BLANK",'4I'!G41)</f>
        <v>0</v>
      </c>
    </row>
    <row r="2319" spans="2:7">
      <c r="B2319" s="848" t="str">
        <f>'4I'!BF44</f>
        <v>CR20020N1</v>
      </c>
      <c r="D2319" s="2004"/>
      <c r="E2319" s="1658" t="s">
        <v>9033</v>
      </c>
      <c r="F2319" s="2004"/>
      <c r="G2319" s="2004">
        <f>IF('4I'!G44="","##BLANK",'4I'!G44)</f>
        <v>144.55799999999999</v>
      </c>
    </row>
    <row r="2320" spans="2:7">
      <c r="B2320" s="848" t="str">
        <f>'4I'!BG8</f>
        <v>CR2021N2</v>
      </c>
      <c r="D2320" s="2004"/>
      <c r="E2320" s="1658" t="s">
        <v>9033</v>
      </c>
      <c r="F2320" s="2004"/>
      <c r="G2320" s="2004">
        <f>IF('4I'!H8="","##BLANK",'4I'!H8)</f>
        <v>0</v>
      </c>
    </row>
    <row r="2321" spans="2:7">
      <c r="B2321" s="848" t="str">
        <f>'4I'!BG9</f>
        <v>CR2022N2</v>
      </c>
      <c r="D2321" s="2004"/>
      <c r="E2321" s="1658" t="s">
        <v>9033</v>
      </c>
      <c r="F2321" s="2004"/>
      <c r="G2321" s="2004">
        <f>IF('4I'!H9="","##BLANK",'4I'!H9)</f>
        <v>0</v>
      </c>
    </row>
    <row r="2322" spans="2:7">
      <c r="B2322" s="848" t="str">
        <f>'4I'!BG10</f>
        <v>CR2023N2</v>
      </c>
      <c r="D2322" s="2004"/>
      <c r="E2322" s="1658" t="s">
        <v>9033</v>
      </c>
      <c r="F2322" s="2004"/>
      <c r="G2322" s="2004">
        <f>IF('4I'!H10="","##BLANK",'4I'!H10)</f>
        <v>0</v>
      </c>
    </row>
    <row r="2323" spans="2:7">
      <c r="B2323" s="848" t="str">
        <f>'4I'!BG11</f>
        <v>CR2024N2</v>
      </c>
      <c r="D2323" s="2004"/>
      <c r="E2323" s="1658" t="s">
        <v>9033</v>
      </c>
      <c r="F2323" s="2004"/>
      <c r="G2323" s="2004">
        <f>IF('4I'!H11="","##BLANK",'4I'!H11)</f>
        <v>174.928</v>
      </c>
    </row>
    <row r="2324" spans="2:7">
      <c r="B2324" s="848" t="str">
        <f>'4I'!BG12</f>
        <v>CR2025N2</v>
      </c>
      <c r="D2324" s="2004"/>
      <c r="E2324" s="1658" t="s">
        <v>9033</v>
      </c>
      <c r="F2324" s="2004"/>
      <c r="G2324" s="2004">
        <f>IF('4I'!H12="","##BLANK",'4I'!H12)</f>
        <v>0</v>
      </c>
    </row>
    <row r="2325" spans="2:7">
      <c r="B2325" s="848" t="str">
        <f>'4I'!BG13</f>
        <v>CR2026N2</v>
      </c>
      <c r="D2325" s="2004"/>
      <c r="E2325" s="1658" t="s">
        <v>9033</v>
      </c>
      <c r="F2325" s="2004"/>
      <c r="G2325" s="2004">
        <f>IF('4I'!H13="","##BLANK",'4I'!H13)</f>
        <v>0</v>
      </c>
    </row>
    <row r="2326" spans="2:7">
      <c r="B2326" s="848" t="str">
        <f>'4I'!BG14</f>
        <v>CR2027N2</v>
      </c>
      <c r="D2326" s="2004"/>
      <c r="E2326" s="1658" t="s">
        <v>9033</v>
      </c>
      <c r="F2326" s="2004"/>
      <c r="G2326" s="2004">
        <f>IF('4I'!H14="","##BLANK",'4I'!H14)</f>
        <v>174.928</v>
      </c>
    </row>
    <row r="2327" spans="2:7">
      <c r="B2327" s="848" t="str">
        <f>'4I'!BG17</f>
        <v>CR2005N2</v>
      </c>
      <c r="D2327" s="2004"/>
      <c r="E2327" s="1658" t="s">
        <v>9033</v>
      </c>
      <c r="F2327" s="2004"/>
      <c r="G2327" s="2004">
        <f>IF('4I'!H17="","##BLANK",'4I'!H17)</f>
        <v>113.11199999999999</v>
      </c>
    </row>
    <row r="2328" spans="2:7">
      <c r="B2328" s="848" t="str">
        <f>'4I'!BG18</f>
        <v>CR2006N2</v>
      </c>
      <c r="D2328" s="2004"/>
      <c r="E2328" s="1658" t="s">
        <v>9033</v>
      </c>
      <c r="F2328" s="2004"/>
      <c r="G2328" s="2004">
        <f>IF('4I'!H18="","##BLANK",'4I'!H18)</f>
        <v>0</v>
      </c>
    </row>
    <row r="2329" spans="2:7">
      <c r="B2329" s="848" t="str">
        <f>'4I'!BG19</f>
        <v>CR2007N2</v>
      </c>
      <c r="D2329" s="2004"/>
      <c r="E2329" s="1658" t="s">
        <v>9033</v>
      </c>
      <c r="F2329" s="2004"/>
      <c r="G2329" s="2004">
        <f>IF('4I'!H19="","##BLANK",'4I'!H19)</f>
        <v>0</v>
      </c>
    </row>
    <row r="2330" spans="2:7">
      <c r="B2330" s="848" t="str">
        <f>'4I'!BG20</f>
        <v>CR2008N2</v>
      </c>
      <c r="D2330" s="2004"/>
      <c r="E2330" s="1658" t="s">
        <v>9033</v>
      </c>
      <c r="F2330" s="2004"/>
      <c r="G2330" s="2004">
        <f>IF('4I'!H20="","##BLANK",'4I'!H20)</f>
        <v>33.799999999999997</v>
      </c>
    </row>
    <row r="2331" spans="2:7">
      <c r="B2331" s="848" t="str">
        <f>'4I'!BG21</f>
        <v>CR2009N2</v>
      </c>
      <c r="D2331" s="2004"/>
      <c r="E2331" s="1658" t="s">
        <v>9033</v>
      </c>
      <c r="F2331" s="2004"/>
      <c r="G2331" s="2004">
        <f>IF('4I'!H21="","##BLANK",'4I'!H21)</f>
        <v>146.91199999999998</v>
      </c>
    </row>
    <row r="2332" spans="2:7">
      <c r="B2332" s="848" t="str">
        <f>'4I'!BG24</f>
        <v>CR20010N2</v>
      </c>
      <c r="D2332" s="2004"/>
      <c r="E2332" s="1658" t="s">
        <v>9033</v>
      </c>
      <c r="F2332" s="2004"/>
      <c r="G2332" s="2004">
        <f>IF('4I'!H24="","##BLANK",'4I'!H24)</f>
        <v>0</v>
      </c>
    </row>
    <row r="2333" spans="2:7">
      <c r="B2333" s="848" t="str">
        <f>'4I'!BG25</f>
        <v>CR20011N2</v>
      </c>
      <c r="D2333" s="2004"/>
      <c r="E2333" s="1658" t="s">
        <v>9033</v>
      </c>
      <c r="F2333" s="2004"/>
      <c r="G2333" s="2004">
        <f>IF('4I'!H25="","##BLANK",'4I'!H25)</f>
        <v>0</v>
      </c>
    </row>
    <row r="2334" spans="2:7">
      <c r="B2334" s="848" t="str">
        <f>'4I'!BG26</f>
        <v>CR20012N2</v>
      </c>
      <c r="D2334" s="2004"/>
      <c r="E2334" s="1658" t="s">
        <v>9033</v>
      </c>
      <c r="F2334" s="2004"/>
      <c r="G2334" s="2004">
        <f>IF('4I'!H26="","##BLANK",'4I'!H26)</f>
        <v>0</v>
      </c>
    </row>
    <row r="2335" spans="2:7">
      <c r="B2335" s="848" t="str">
        <f>'4I'!BG27</f>
        <v>CR20013N2</v>
      </c>
      <c r="D2335" s="2004"/>
      <c r="E2335" s="1658" t="s">
        <v>9033</v>
      </c>
      <c r="F2335" s="2004"/>
      <c r="G2335" s="2004">
        <f>IF('4I'!H27="","##BLANK",'4I'!H27)</f>
        <v>0</v>
      </c>
    </row>
    <row r="2336" spans="2:7">
      <c r="B2336" s="848" t="str">
        <f>'4I'!BG28</f>
        <v>CR20014N2</v>
      </c>
      <c r="D2336" s="2004"/>
      <c r="E2336" s="1658" t="s">
        <v>9033</v>
      </c>
      <c r="F2336" s="2004"/>
      <c r="G2336" s="2004">
        <f>IF('4I'!H28="","##BLANK",'4I'!H28)</f>
        <v>0</v>
      </c>
    </row>
    <row r="2337" spans="2:7">
      <c r="B2337" s="848" t="str">
        <f>'4I'!BG31</f>
        <v>CR20015N2</v>
      </c>
      <c r="D2337" s="2004"/>
      <c r="E2337" s="1658" t="s">
        <v>9033</v>
      </c>
      <c r="F2337" s="2004"/>
      <c r="G2337" s="2004">
        <f>IF('4I'!H31="","##BLANK",'4I'!H31)</f>
        <v>0</v>
      </c>
    </row>
    <row r="2338" spans="2:7">
      <c r="B2338" s="848" t="str">
        <f>'4I'!BG32</f>
        <v>CR20016N2</v>
      </c>
      <c r="D2338" s="2004"/>
      <c r="E2338" s="1658" t="s">
        <v>9033</v>
      </c>
      <c r="F2338" s="2004"/>
      <c r="G2338" s="2004">
        <f>IF('4I'!H32="","##BLANK",'4I'!H32)</f>
        <v>0</v>
      </c>
    </row>
    <row r="2339" spans="2:7">
      <c r="B2339" s="848" t="str">
        <f>'4I'!BG33</f>
        <v>CR20017N2</v>
      </c>
      <c r="D2339" s="2004"/>
      <c r="E2339" s="1658" t="s">
        <v>9033</v>
      </c>
      <c r="F2339" s="2004"/>
      <c r="G2339" s="2004">
        <f>IF('4I'!H33="","##BLANK",'4I'!H33)</f>
        <v>0</v>
      </c>
    </row>
    <row r="2340" spans="2:7">
      <c r="B2340" s="848" t="str">
        <f>'4I'!BG37</f>
        <v>CR20018N2</v>
      </c>
      <c r="D2340" s="2004"/>
      <c r="E2340" s="1658" t="s">
        <v>9033</v>
      </c>
      <c r="F2340" s="2004"/>
      <c r="G2340" s="2004">
        <f>IF('4I'!H37="","##BLANK",'4I'!H37)</f>
        <v>0</v>
      </c>
    </row>
    <row r="2341" spans="2:7">
      <c r="B2341" s="848" t="str">
        <f>'4I'!BG38</f>
        <v>CR20019N2</v>
      </c>
      <c r="D2341" s="2004"/>
      <c r="E2341" s="1658" t="s">
        <v>9033</v>
      </c>
      <c r="F2341" s="2004"/>
      <c r="G2341" s="2004">
        <f>IF('4I'!H38="","##BLANK",'4I'!H38)</f>
        <v>0</v>
      </c>
    </row>
    <row r="2342" spans="2:7">
      <c r="B2342" s="848" t="str">
        <f>'4I'!BG41</f>
        <v>CR2028N2</v>
      </c>
      <c r="D2342" s="2004"/>
      <c r="E2342" s="1658" t="s">
        <v>9033</v>
      </c>
      <c r="F2342" s="2004"/>
      <c r="G2342" s="2004">
        <f>IF('4I'!H41="","##BLANK",'4I'!H41)</f>
        <v>0</v>
      </c>
    </row>
    <row r="2343" spans="2:7">
      <c r="B2343" s="848" t="str">
        <f>'4I'!BG44</f>
        <v>CR20020N2</v>
      </c>
      <c r="D2343" s="2004"/>
      <c r="E2343" s="1658" t="s">
        <v>9033</v>
      </c>
      <c r="F2343" s="2004"/>
      <c r="G2343" s="2004">
        <f>IF('4I'!H44="","##BLANK",'4I'!H44)</f>
        <v>321.83999999999997</v>
      </c>
    </row>
    <row r="2344" spans="2:7">
      <c r="B2344" s="848" t="str">
        <f>'4I'!BH8</f>
        <v>CR2021N5</v>
      </c>
      <c r="D2344" s="2004"/>
      <c r="E2344" s="1658" t="s">
        <v>9033</v>
      </c>
      <c r="F2344" s="2004"/>
      <c r="G2344" s="2004">
        <f>IF('4I'!I8="","##BLANK",'4I'!I8)</f>
        <v>45</v>
      </c>
    </row>
    <row r="2345" spans="2:7">
      <c r="B2345" s="848" t="str">
        <f>'4I'!BH9</f>
        <v>CR2022N5</v>
      </c>
      <c r="D2345" s="2004"/>
      <c r="E2345" s="1658" t="s">
        <v>9033</v>
      </c>
      <c r="F2345" s="2004"/>
      <c r="G2345" s="2004">
        <f>IF('4I'!I9="","##BLANK",'4I'!I9)</f>
        <v>430</v>
      </c>
    </row>
    <row r="2346" spans="2:7">
      <c r="B2346" s="848" t="str">
        <f>'4I'!BH10</f>
        <v>CR2023N5</v>
      </c>
      <c r="D2346" s="2004"/>
      <c r="E2346" s="1658" t="s">
        <v>9033</v>
      </c>
      <c r="F2346" s="2004"/>
      <c r="G2346" s="2004">
        <f>IF('4I'!I10="","##BLANK",'4I'!I10)</f>
        <v>0</v>
      </c>
    </row>
    <row r="2347" spans="2:7">
      <c r="B2347" s="848" t="str">
        <f>'4I'!BH11</f>
        <v>CR2024N5</v>
      </c>
      <c r="D2347" s="2004"/>
      <c r="E2347" s="1658" t="s">
        <v>9033</v>
      </c>
      <c r="F2347" s="2004"/>
      <c r="G2347" s="2004">
        <f>IF('4I'!I11="","##BLANK",'4I'!I11)</f>
        <v>1114.0719999999999</v>
      </c>
    </row>
    <row r="2348" spans="2:7">
      <c r="B2348" s="848" t="str">
        <f>'4I'!BH12</f>
        <v>CR2025N5</v>
      </c>
      <c r="D2348" s="2004"/>
      <c r="E2348" s="1658" t="s">
        <v>9033</v>
      </c>
      <c r="F2348" s="2004"/>
      <c r="G2348" s="2004">
        <f>IF('4I'!I12="","##BLANK",'4I'!I12)</f>
        <v>0</v>
      </c>
    </row>
    <row r="2349" spans="2:7">
      <c r="B2349" s="848" t="str">
        <f>'4I'!BH13</f>
        <v>CR2026N5</v>
      </c>
      <c r="D2349" s="2004"/>
      <c r="E2349" s="1658" t="s">
        <v>9033</v>
      </c>
      <c r="F2349" s="2004"/>
      <c r="G2349" s="2004">
        <f>IF('4I'!I13="","##BLANK",'4I'!I13)</f>
        <v>0</v>
      </c>
    </row>
    <row r="2350" spans="2:7">
      <c r="B2350" s="848" t="str">
        <f>'4I'!BH14</f>
        <v>CR2027N5</v>
      </c>
      <c r="D2350" s="2004"/>
      <c r="E2350" s="1658" t="s">
        <v>9033</v>
      </c>
      <c r="F2350" s="2004"/>
      <c r="G2350" s="2004">
        <f>IF('4I'!I14="","##BLANK",'4I'!I14)</f>
        <v>1589.0719999999999</v>
      </c>
    </row>
    <row r="2351" spans="2:7">
      <c r="B2351" s="848" t="str">
        <f>'4I'!BH17</f>
        <v>CR2005N5</v>
      </c>
      <c r="D2351" s="2004"/>
      <c r="E2351" s="1658" t="s">
        <v>9033</v>
      </c>
      <c r="F2351" s="2004"/>
      <c r="G2351" s="2004">
        <f>IF('4I'!I17="","##BLANK",'4I'!I17)</f>
        <v>0</v>
      </c>
    </row>
    <row r="2352" spans="2:7">
      <c r="B2352" s="848" t="str">
        <f>'4I'!BH18</f>
        <v>CR2006N5</v>
      </c>
      <c r="D2352" s="2004"/>
      <c r="E2352" s="1658" t="s">
        <v>9033</v>
      </c>
      <c r="F2352" s="2004"/>
      <c r="G2352" s="2004">
        <f>IF('4I'!I18="","##BLANK",'4I'!I18)</f>
        <v>0</v>
      </c>
    </row>
    <row r="2353" spans="2:7">
      <c r="B2353" s="848" t="str">
        <f>'4I'!BH19</f>
        <v>CR2007N5</v>
      </c>
      <c r="D2353" s="2004"/>
      <c r="E2353" s="1658" t="s">
        <v>9033</v>
      </c>
      <c r="F2353" s="2004"/>
      <c r="G2353" s="2004">
        <f>IF('4I'!I19="","##BLANK",'4I'!I19)</f>
        <v>0</v>
      </c>
    </row>
    <row r="2354" spans="2:7">
      <c r="B2354" s="848" t="str">
        <f>'4I'!BH20</f>
        <v>CR2008N5</v>
      </c>
      <c r="D2354" s="2004"/>
      <c r="E2354" s="1658" t="s">
        <v>9033</v>
      </c>
      <c r="F2354" s="2004"/>
      <c r="G2354" s="2004">
        <f>IF('4I'!I20="","##BLANK",'4I'!I20)</f>
        <v>0</v>
      </c>
    </row>
    <row r="2355" spans="2:7">
      <c r="B2355" s="848" t="str">
        <f>'4I'!BH21</f>
        <v>CR2009N5</v>
      </c>
      <c r="D2355" s="2004"/>
      <c r="E2355" s="1658" t="s">
        <v>9033</v>
      </c>
      <c r="F2355" s="2004"/>
      <c r="G2355" s="2004">
        <f>IF('4I'!I21="","##BLANK",'4I'!I21)</f>
        <v>0</v>
      </c>
    </row>
    <row r="2356" spans="2:7">
      <c r="B2356" s="848" t="str">
        <f>'4I'!BH24</f>
        <v>CR20010N5</v>
      </c>
      <c r="D2356" s="2004"/>
      <c r="E2356" s="1658" t="s">
        <v>9033</v>
      </c>
      <c r="F2356" s="2004"/>
      <c r="G2356" s="2004">
        <f>IF('4I'!I24="","##BLANK",'4I'!I24)</f>
        <v>0</v>
      </c>
    </row>
    <row r="2357" spans="2:7">
      <c r="B2357" s="848" t="str">
        <f>'4I'!BH25</f>
        <v>CR20011N5</v>
      </c>
      <c r="D2357" s="2004"/>
      <c r="E2357" s="1658" t="s">
        <v>9033</v>
      </c>
      <c r="F2357" s="2004"/>
      <c r="G2357" s="2004">
        <f>IF('4I'!I25="","##BLANK",'4I'!I25)</f>
        <v>0</v>
      </c>
    </row>
    <row r="2358" spans="2:7">
      <c r="B2358" s="848" t="str">
        <f>'4I'!BH26</f>
        <v>CR20012N5</v>
      </c>
      <c r="D2358" s="2004"/>
      <c r="E2358" s="1658" t="s">
        <v>9033</v>
      </c>
      <c r="F2358" s="2004"/>
      <c r="G2358" s="2004">
        <f>IF('4I'!I26="","##BLANK",'4I'!I26)</f>
        <v>0</v>
      </c>
    </row>
    <row r="2359" spans="2:7">
      <c r="B2359" s="848" t="str">
        <f>'4I'!BH27</f>
        <v>CR20013N5</v>
      </c>
      <c r="D2359" s="2004"/>
      <c r="E2359" s="1658" t="s">
        <v>9033</v>
      </c>
      <c r="F2359" s="2004"/>
      <c r="G2359" s="2004">
        <f>IF('4I'!I27="","##BLANK",'4I'!I27)</f>
        <v>0</v>
      </c>
    </row>
    <row r="2360" spans="2:7">
      <c r="B2360" s="848" t="str">
        <f>'4I'!BH28</f>
        <v>CR20014N5</v>
      </c>
      <c r="D2360" s="2004"/>
      <c r="E2360" s="1658" t="s">
        <v>9033</v>
      </c>
      <c r="F2360" s="2004"/>
      <c r="G2360" s="2004">
        <f>IF('4I'!I28="","##BLANK",'4I'!I28)</f>
        <v>0</v>
      </c>
    </row>
    <row r="2361" spans="2:7">
      <c r="B2361" s="848" t="str">
        <f>'4I'!BH31</f>
        <v>CR20015N5</v>
      </c>
      <c r="D2361" s="2004"/>
      <c r="E2361" s="1658" t="s">
        <v>9033</v>
      </c>
      <c r="F2361" s="2004"/>
      <c r="G2361" s="2004">
        <f>IF('4I'!I31="","##BLANK",'4I'!I31)</f>
        <v>0</v>
      </c>
    </row>
    <row r="2362" spans="2:7">
      <c r="B2362" s="848" t="str">
        <f>'4I'!BH32</f>
        <v>CR20016N5</v>
      </c>
      <c r="D2362" s="2004"/>
      <c r="E2362" s="1658" t="s">
        <v>9033</v>
      </c>
      <c r="F2362" s="2004"/>
      <c r="G2362" s="2004">
        <f>IF('4I'!I32="","##BLANK",'4I'!I32)</f>
        <v>0</v>
      </c>
    </row>
    <row r="2363" spans="2:7">
      <c r="B2363" s="848" t="str">
        <f>'4I'!BH33</f>
        <v>CR20017N5</v>
      </c>
      <c r="D2363" s="2004"/>
      <c r="E2363" s="1658" t="s">
        <v>9033</v>
      </c>
      <c r="F2363" s="2004"/>
      <c r="G2363" s="2004">
        <f>IF('4I'!I33="","##BLANK",'4I'!I33)</f>
        <v>0</v>
      </c>
    </row>
    <row r="2364" spans="2:7">
      <c r="B2364" s="848" t="str">
        <f>'4I'!BH37</f>
        <v>CR20018N5</v>
      </c>
      <c r="D2364" s="2004"/>
      <c r="E2364" s="1658" t="s">
        <v>9033</v>
      </c>
      <c r="F2364" s="2004"/>
      <c r="G2364" s="2004">
        <f>IF('4I'!I37="","##BLANK",'4I'!I37)</f>
        <v>0</v>
      </c>
    </row>
    <row r="2365" spans="2:7">
      <c r="B2365" s="848" t="str">
        <f>'4I'!BH38</f>
        <v>CR20019N5</v>
      </c>
      <c r="D2365" s="2004"/>
      <c r="E2365" s="1658" t="s">
        <v>9033</v>
      </c>
      <c r="F2365" s="2004"/>
      <c r="G2365" s="2004">
        <f>IF('4I'!I38="","##BLANK",'4I'!I38)</f>
        <v>0</v>
      </c>
    </row>
    <row r="2366" spans="2:7">
      <c r="B2366" s="848" t="str">
        <f>'4I'!BH41</f>
        <v>CR2028N5</v>
      </c>
      <c r="D2366" s="2004"/>
      <c r="E2366" s="1658" t="s">
        <v>9033</v>
      </c>
      <c r="F2366" s="2004"/>
      <c r="G2366" s="2004">
        <f>IF('4I'!I41="","##BLANK",'4I'!I41)</f>
        <v>0</v>
      </c>
    </row>
    <row r="2367" spans="2:7">
      <c r="B2367" s="848" t="str">
        <f>'4I'!BH44</f>
        <v>CR20020N5</v>
      </c>
      <c r="D2367" s="2004"/>
      <c r="E2367" s="1658" t="s">
        <v>9033</v>
      </c>
      <c r="F2367" s="2004"/>
      <c r="G2367" s="2004">
        <f>IF('4I'!I44="","##BLANK",'4I'!I44)</f>
        <v>1589.0719999999999</v>
      </c>
    </row>
    <row r="2368" spans="2:7">
      <c r="B2368" s="848" t="str">
        <f>'4I'!BI8</f>
        <v>CR2021N6</v>
      </c>
      <c r="D2368" s="2004"/>
      <c r="E2368" s="1658" t="s">
        <v>9033</v>
      </c>
      <c r="F2368" s="2004"/>
      <c r="G2368" s="2004">
        <f>IF('4I'!J8="","##BLANK",'4I'!J8)</f>
        <v>45</v>
      </c>
    </row>
    <row r="2369" spans="2:7">
      <c r="B2369" s="848" t="str">
        <f>'4I'!BI9</f>
        <v>CR2022N6</v>
      </c>
      <c r="D2369" s="2004"/>
      <c r="E2369" s="1658" t="s">
        <v>9033</v>
      </c>
      <c r="F2369" s="2004"/>
      <c r="G2369" s="2004">
        <f>IF('4I'!J9="","##BLANK",'4I'!J9)</f>
        <v>430</v>
      </c>
    </row>
    <row r="2370" spans="2:7">
      <c r="B2370" s="848" t="str">
        <f>'4I'!BI10</f>
        <v>CR2023N6</v>
      </c>
      <c r="D2370" s="2004"/>
      <c r="E2370" s="1658" t="s">
        <v>9033</v>
      </c>
      <c r="F2370" s="2004"/>
      <c r="G2370" s="2004">
        <f>IF('4I'!J10="","##BLANK",'4I'!J10)</f>
        <v>0</v>
      </c>
    </row>
    <row r="2371" spans="2:7">
      <c r="B2371" s="848" t="str">
        <f>'4I'!BI11</f>
        <v>CR2024N6</v>
      </c>
      <c r="D2371" s="2004"/>
      <c r="E2371" s="1658" t="s">
        <v>9033</v>
      </c>
      <c r="F2371" s="2004"/>
      <c r="G2371" s="2004">
        <f>IF('4I'!J11="","##BLANK",'4I'!J11)</f>
        <v>1289</v>
      </c>
    </row>
    <row r="2372" spans="2:7">
      <c r="B2372" s="848" t="str">
        <f>'4I'!BI12</f>
        <v>CR2025N6</v>
      </c>
      <c r="D2372" s="2004"/>
      <c r="E2372" s="1658" t="s">
        <v>9033</v>
      </c>
      <c r="F2372" s="2004"/>
      <c r="G2372" s="2004">
        <f>IF('4I'!J12="","##BLANK",'4I'!J12)</f>
        <v>0</v>
      </c>
    </row>
    <row r="2373" spans="2:7">
      <c r="B2373" s="848" t="str">
        <f>'4I'!BI13</f>
        <v>CR2026N6</v>
      </c>
      <c r="D2373" s="2004"/>
      <c r="E2373" s="1658" t="s">
        <v>9033</v>
      </c>
      <c r="F2373" s="2004"/>
      <c r="G2373" s="2004">
        <f>IF('4I'!J13="","##BLANK",'4I'!J13)</f>
        <v>0</v>
      </c>
    </row>
    <row r="2374" spans="2:7">
      <c r="B2374" s="848" t="str">
        <f>'4I'!BI14</f>
        <v>CR2027N6</v>
      </c>
      <c r="D2374" s="2004"/>
      <c r="E2374" s="1658" t="s">
        <v>9033</v>
      </c>
      <c r="F2374" s="2004"/>
      <c r="G2374" s="2004">
        <f>IF('4I'!J14="","##BLANK",'4I'!J14)</f>
        <v>1764</v>
      </c>
    </row>
    <row r="2375" spans="2:7">
      <c r="B2375" s="848" t="str">
        <f>'4I'!BI17</f>
        <v>CR2005N6</v>
      </c>
      <c r="D2375" s="2004"/>
      <c r="E2375" s="1658" t="s">
        <v>9033</v>
      </c>
      <c r="F2375" s="2004"/>
      <c r="G2375" s="2004">
        <f>IF('4I'!J17="","##BLANK",'4I'!J17)</f>
        <v>257.66999999999996</v>
      </c>
    </row>
    <row r="2376" spans="2:7">
      <c r="B2376" s="848" t="str">
        <f>'4I'!BI18</f>
        <v>CR2006N6</v>
      </c>
      <c r="D2376" s="2004"/>
      <c r="E2376" s="1658" t="s">
        <v>9033</v>
      </c>
      <c r="F2376" s="2004"/>
      <c r="G2376" s="2004">
        <f>IF('4I'!J18="","##BLANK",'4I'!J18)</f>
        <v>0</v>
      </c>
    </row>
    <row r="2377" spans="2:7">
      <c r="B2377" s="848" t="str">
        <f>'4I'!BI19</f>
        <v>CR2007N6</v>
      </c>
      <c r="D2377" s="2004"/>
      <c r="E2377" s="1658" t="s">
        <v>9033</v>
      </c>
      <c r="F2377" s="2004"/>
      <c r="G2377" s="2004">
        <f>IF('4I'!J19="","##BLANK",'4I'!J19)</f>
        <v>0</v>
      </c>
    </row>
    <row r="2378" spans="2:7">
      <c r="B2378" s="848" t="str">
        <f>'4I'!BI20</f>
        <v>CR2008N6</v>
      </c>
      <c r="D2378" s="2004"/>
      <c r="E2378" s="1658" t="s">
        <v>9033</v>
      </c>
      <c r="F2378" s="2004"/>
      <c r="G2378" s="2004">
        <f>IF('4I'!J20="","##BLANK",'4I'!J20)</f>
        <v>33.799999999999997</v>
      </c>
    </row>
    <row r="2379" spans="2:7">
      <c r="B2379" s="848" t="str">
        <f>'4I'!BI21</f>
        <v>CR2009N6</v>
      </c>
      <c r="D2379" s="2004"/>
      <c r="E2379" s="1658" t="s">
        <v>9033</v>
      </c>
      <c r="F2379" s="2004"/>
      <c r="G2379" s="2004">
        <f>IF('4I'!J21="","##BLANK",'4I'!J21)</f>
        <v>291.46999999999997</v>
      </c>
    </row>
    <row r="2380" spans="2:7">
      <c r="B2380" s="848" t="str">
        <f>'4I'!BI24</f>
        <v>CR20010N6</v>
      </c>
      <c r="D2380" s="2004"/>
      <c r="E2380" s="1658" t="s">
        <v>9033</v>
      </c>
      <c r="F2380" s="2004"/>
      <c r="G2380" s="2004">
        <f>IF('4I'!J24="","##BLANK",'4I'!J24)</f>
        <v>0</v>
      </c>
    </row>
    <row r="2381" spans="2:7">
      <c r="B2381" s="848" t="str">
        <f>'4I'!BI25</f>
        <v>CR20011N6</v>
      </c>
      <c r="D2381" s="2004"/>
      <c r="E2381" s="1658" t="s">
        <v>9033</v>
      </c>
      <c r="F2381" s="2004"/>
      <c r="G2381" s="2004">
        <f>IF('4I'!J25="","##BLANK",'4I'!J25)</f>
        <v>0</v>
      </c>
    </row>
    <row r="2382" spans="2:7">
      <c r="B2382" s="848" t="str">
        <f>'4I'!BI26</f>
        <v>CR20012N6</v>
      </c>
      <c r="D2382" s="2004"/>
      <c r="E2382" s="1658" t="s">
        <v>9033</v>
      </c>
      <c r="F2382" s="2004"/>
      <c r="G2382" s="2004">
        <f>IF('4I'!J26="","##BLANK",'4I'!J26)</f>
        <v>0</v>
      </c>
    </row>
    <row r="2383" spans="2:7">
      <c r="B2383" s="848" t="str">
        <f>'4I'!BI27</f>
        <v>CR20013N6</v>
      </c>
      <c r="D2383" s="2004"/>
      <c r="E2383" s="1658" t="s">
        <v>9033</v>
      </c>
      <c r="F2383" s="2004"/>
      <c r="G2383" s="2004">
        <f>IF('4I'!J27="","##BLANK",'4I'!J27)</f>
        <v>0</v>
      </c>
    </row>
    <row r="2384" spans="2:7">
      <c r="B2384" s="848" t="str">
        <f>'4I'!BI28</f>
        <v>CR20014N6</v>
      </c>
      <c r="D2384" s="2004"/>
      <c r="E2384" s="1658" t="s">
        <v>9033</v>
      </c>
      <c r="F2384" s="2004"/>
      <c r="G2384" s="2004">
        <f>IF('4I'!J28="","##BLANK",'4I'!J28)</f>
        <v>0</v>
      </c>
    </row>
    <row r="2385" spans="2:7">
      <c r="B2385" s="848" t="str">
        <f>'4I'!BI31</f>
        <v>CR20015N6</v>
      </c>
      <c r="D2385" s="2004"/>
      <c r="E2385" s="1658" t="s">
        <v>9033</v>
      </c>
      <c r="F2385" s="2004"/>
      <c r="G2385" s="2004">
        <f>IF('4I'!J31="","##BLANK",'4I'!J31)</f>
        <v>0</v>
      </c>
    </row>
    <row r="2386" spans="2:7">
      <c r="B2386" s="848" t="str">
        <f>'4I'!BI32</f>
        <v>CR20016N6</v>
      </c>
      <c r="D2386" s="2004"/>
      <c r="E2386" s="1658" t="s">
        <v>9033</v>
      </c>
      <c r="F2386" s="2004"/>
      <c r="G2386" s="2004">
        <f>IF('4I'!J32="","##BLANK",'4I'!J32)</f>
        <v>0</v>
      </c>
    </row>
    <row r="2387" spans="2:7">
      <c r="B2387" s="848" t="str">
        <f>'4I'!BI33</f>
        <v>CR20017N6</v>
      </c>
      <c r="D2387" s="2004"/>
      <c r="E2387" s="1658" t="s">
        <v>9033</v>
      </c>
      <c r="F2387" s="2004"/>
      <c r="G2387" s="2004">
        <f>IF('4I'!J33="","##BLANK",'4I'!J33)</f>
        <v>0</v>
      </c>
    </row>
    <row r="2388" spans="2:7">
      <c r="B2388" s="848" t="str">
        <f>'4I'!BI37</f>
        <v>CR20018N6</v>
      </c>
      <c r="D2388" s="2004"/>
      <c r="E2388" s="1658" t="s">
        <v>9033</v>
      </c>
      <c r="F2388" s="2004"/>
      <c r="G2388" s="2004">
        <f>IF('4I'!J37="","##BLANK",'4I'!J37)</f>
        <v>0</v>
      </c>
    </row>
    <row r="2389" spans="2:7">
      <c r="B2389" s="848" t="str">
        <f>'4I'!BI38</f>
        <v>CR20019N6</v>
      </c>
      <c r="D2389" s="2004"/>
      <c r="E2389" s="1658" t="s">
        <v>9033</v>
      </c>
      <c r="F2389" s="2004"/>
      <c r="G2389" s="2004">
        <f>IF('4I'!J38="","##BLANK",'4I'!J38)</f>
        <v>0</v>
      </c>
    </row>
    <row r="2390" spans="2:7">
      <c r="B2390" s="848" t="str">
        <f>'4I'!BI41</f>
        <v>CR2028N6</v>
      </c>
      <c r="D2390" s="2004"/>
      <c r="E2390" s="1658" t="s">
        <v>9033</v>
      </c>
      <c r="F2390" s="2004"/>
      <c r="G2390" s="2004">
        <f>IF('4I'!J41="","##BLANK",'4I'!J41)</f>
        <v>0</v>
      </c>
    </row>
    <row r="2391" spans="2:7">
      <c r="B2391" s="848" t="str">
        <f>'4I'!BI44</f>
        <v>CR20020N6</v>
      </c>
      <c r="D2391" s="2004"/>
      <c r="E2391" s="1658" t="s">
        <v>9033</v>
      </c>
      <c r="F2391" s="2004"/>
      <c r="G2391" s="2004">
        <f>IF('4I'!J44="","##BLANK",'4I'!J44)</f>
        <v>2055.4699999999998</v>
      </c>
    </row>
    <row r="2392" spans="2:7">
      <c r="B2392" s="848" t="str">
        <f>'4I'!BJ8</f>
        <v>CR2021MM</v>
      </c>
      <c r="D2392" s="2004"/>
      <c r="E2392" s="1658" t="s">
        <v>9033</v>
      </c>
      <c r="F2392" s="2004"/>
      <c r="G2392" s="2004">
        <f>IF('4I'!K8="","##BLANK",'4I'!K8)</f>
        <v>-26.611000000000001</v>
      </c>
    </row>
    <row r="2393" spans="2:7">
      <c r="B2393" s="848" t="str">
        <f>'4I'!BJ9</f>
        <v>CR2022MM</v>
      </c>
      <c r="D2393" s="2004"/>
      <c r="E2393" s="1658" t="s">
        <v>9033</v>
      </c>
      <c r="F2393" s="2004"/>
      <c r="G2393" s="2004">
        <f>IF('4I'!K9="","##BLANK",'4I'!K9)</f>
        <v>82.409000000000006</v>
      </c>
    </row>
    <row r="2394" spans="2:7">
      <c r="B2394" s="848" t="str">
        <f>'4I'!BJ10</f>
        <v>CR2023MM</v>
      </c>
      <c r="D2394" s="2004"/>
      <c r="E2394" s="1658" t="s">
        <v>9033</v>
      </c>
      <c r="F2394" s="2004"/>
      <c r="G2394" s="2004">
        <f>IF('4I'!K10="","##BLANK",'4I'!K10)</f>
        <v>0</v>
      </c>
    </row>
    <row r="2395" spans="2:7">
      <c r="B2395" s="848" t="str">
        <f>'4I'!BJ11</f>
        <v>CR2024MM</v>
      </c>
      <c r="D2395" s="2004"/>
      <c r="E2395" s="1658" t="s">
        <v>9033</v>
      </c>
      <c r="F2395" s="2004"/>
      <c r="G2395" s="2004">
        <f>IF('4I'!K11="","##BLANK",'4I'!K11)</f>
        <v>-2694.5390000000002</v>
      </c>
    </row>
    <row r="2396" spans="2:7">
      <c r="B2396" s="848" t="str">
        <f>'4I'!BJ12</f>
        <v>CR2025MM</v>
      </c>
      <c r="D2396" s="2004"/>
      <c r="E2396" s="1658" t="s">
        <v>9033</v>
      </c>
      <c r="F2396" s="2004"/>
      <c r="G2396" s="2004">
        <f>IF('4I'!K12="","##BLANK",'4I'!K12)</f>
        <v>0</v>
      </c>
    </row>
    <row r="2397" spans="2:7">
      <c r="B2397" s="848" t="str">
        <f>'4I'!BJ13</f>
        <v>CR2026MM</v>
      </c>
      <c r="D2397" s="2004"/>
      <c r="E2397" s="1658" t="s">
        <v>9033</v>
      </c>
      <c r="F2397" s="2004"/>
      <c r="G2397" s="2004">
        <f>IF('4I'!K13="","##BLANK",'4I'!K13)</f>
        <v>0</v>
      </c>
    </row>
    <row r="2398" spans="2:7">
      <c r="B2398" s="848" t="str">
        <f>'4I'!BJ14</f>
        <v>CR2027MM</v>
      </c>
      <c r="D2398" s="2004"/>
      <c r="E2398" s="1658" t="s">
        <v>9033</v>
      </c>
      <c r="F2398" s="2004"/>
      <c r="G2398" s="2004">
        <f>IF('4I'!K14="","##BLANK",'4I'!K14)</f>
        <v>-2638.741</v>
      </c>
    </row>
    <row r="2399" spans="2:7">
      <c r="B2399" s="848" t="str">
        <f>'4I'!BJ17</f>
        <v>CR2005MM</v>
      </c>
      <c r="D2399" s="2004"/>
      <c r="E2399" s="1658" t="s">
        <v>9033</v>
      </c>
      <c r="F2399" s="2004"/>
      <c r="G2399" s="2004">
        <f>IF('4I'!K17="","##BLANK",'4I'!K17)</f>
        <v>90.7</v>
      </c>
    </row>
    <row r="2400" spans="2:7">
      <c r="B2400" s="848" t="str">
        <f>'4I'!BJ18</f>
        <v>CR2006MM</v>
      </c>
      <c r="D2400" s="2004"/>
      <c r="E2400" s="1658" t="s">
        <v>9033</v>
      </c>
      <c r="F2400" s="2004"/>
      <c r="G2400" s="2004">
        <f>IF('4I'!K18="","##BLANK",'4I'!K18)</f>
        <v>0</v>
      </c>
    </row>
    <row r="2401" spans="2:7">
      <c r="B2401" s="848" t="str">
        <f>'4I'!BJ19</f>
        <v>CR2007MM</v>
      </c>
      <c r="D2401" s="2004"/>
      <c r="E2401" s="1658" t="s">
        <v>9033</v>
      </c>
      <c r="F2401" s="2004"/>
      <c r="G2401" s="2004">
        <f>IF('4I'!K19="","##BLANK",'4I'!K19)</f>
        <v>0</v>
      </c>
    </row>
    <row r="2402" spans="2:7">
      <c r="B2402" s="848" t="str">
        <f>'4I'!BJ20</f>
        <v>CR2008MM</v>
      </c>
      <c r="D2402" s="2004"/>
      <c r="E2402" s="1658" t="s">
        <v>9033</v>
      </c>
      <c r="F2402" s="2004"/>
      <c r="G2402" s="2004">
        <f>IF('4I'!K20="","##BLANK",'4I'!K20)</f>
        <v>-6.952</v>
      </c>
    </row>
    <row r="2403" spans="2:7">
      <c r="B2403" s="848" t="str">
        <f>'4I'!BJ21</f>
        <v>CR2009MM</v>
      </c>
      <c r="D2403" s="2004"/>
      <c r="E2403" s="1658" t="s">
        <v>9033</v>
      </c>
      <c r="F2403" s="2004"/>
      <c r="G2403" s="2004">
        <f>IF('4I'!K21="","##BLANK",'4I'!K21)</f>
        <v>83.748000000000005</v>
      </c>
    </row>
    <row r="2404" spans="2:7">
      <c r="B2404" s="848" t="str">
        <f>'4I'!BJ24</f>
        <v>CR20010MM</v>
      </c>
      <c r="D2404" s="2004"/>
      <c r="E2404" s="1658" t="s">
        <v>9033</v>
      </c>
      <c r="F2404" s="2004"/>
      <c r="G2404" s="2004">
        <f>IF('4I'!K24="","##BLANK",'4I'!K24)</f>
        <v>0</v>
      </c>
    </row>
    <row r="2405" spans="2:7">
      <c r="B2405" s="848" t="str">
        <f>'4I'!BJ25</f>
        <v>CR20011MM</v>
      </c>
      <c r="D2405" s="2004"/>
      <c r="E2405" s="1658" t="s">
        <v>9033</v>
      </c>
      <c r="F2405" s="2004"/>
      <c r="G2405" s="2004">
        <f>IF('4I'!K25="","##BLANK",'4I'!K25)</f>
        <v>0</v>
      </c>
    </row>
    <row r="2406" spans="2:7">
      <c r="B2406" s="848" t="str">
        <f>'4I'!BJ26</f>
        <v>CR20012MM</v>
      </c>
      <c r="D2406" s="2004"/>
      <c r="E2406" s="1658" t="s">
        <v>9033</v>
      </c>
      <c r="F2406" s="2004"/>
      <c r="G2406" s="2004">
        <f>IF('4I'!K26="","##BLANK",'4I'!K26)</f>
        <v>0</v>
      </c>
    </row>
    <row r="2407" spans="2:7">
      <c r="B2407" s="848" t="str">
        <f>'4I'!BJ27</f>
        <v>CR20013MM</v>
      </c>
      <c r="D2407" s="2004"/>
      <c r="E2407" s="1658" t="s">
        <v>9033</v>
      </c>
      <c r="F2407" s="2004"/>
      <c r="G2407" s="2004">
        <f>IF('4I'!K27="","##BLANK",'4I'!K27)</f>
        <v>0</v>
      </c>
    </row>
    <row r="2408" spans="2:7">
      <c r="B2408" s="848" t="str">
        <f>'4I'!BJ28</f>
        <v>CR20014MM</v>
      </c>
      <c r="D2408" s="2004"/>
      <c r="E2408" s="1658" t="s">
        <v>9033</v>
      </c>
      <c r="F2408" s="2004"/>
      <c r="G2408" s="2004">
        <f>IF('4I'!K28="","##BLANK",'4I'!K28)</f>
        <v>0</v>
      </c>
    </row>
    <row r="2409" spans="2:7">
      <c r="B2409" s="848" t="str">
        <f>'4I'!BJ31</f>
        <v>CR20015MM</v>
      </c>
      <c r="D2409" s="2004"/>
      <c r="E2409" s="1658" t="s">
        <v>9033</v>
      </c>
      <c r="F2409" s="2004"/>
      <c r="G2409" s="2004">
        <f>IF('4I'!K31="","##BLANK",'4I'!K31)</f>
        <v>0</v>
      </c>
    </row>
    <row r="2410" spans="2:7">
      <c r="B2410" s="848" t="str">
        <f>'4I'!BJ32</f>
        <v>CR20016MM</v>
      </c>
      <c r="D2410" s="2004"/>
      <c r="E2410" s="1658" t="s">
        <v>9033</v>
      </c>
      <c r="F2410" s="2004"/>
      <c r="G2410" s="2004">
        <f>IF('4I'!K32="","##BLANK",'4I'!K32)</f>
        <v>0</v>
      </c>
    </row>
    <row r="2411" spans="2:7">
      <c r="B2411" s="848" t="str">
        <f>'4I'!BJ33</f>
        <v>CR20017MM</v>
      </c>
      <c r="D2411" s="2004"/>
      <c r="E2411" s="1658" t="s">
        <v>9033</v>
      </c>
      <c r="F2411" s="2004"/>
      <c r="G2411" s="2004">
        <f>IF('4I'!K33="","##BLANK",'4I'!K33)</f>
        <v>0</v>
      </c>
    </row>
    <row r="2412" spans="2:7">
      <c r="B2412" s="848" t="str">
        <f>'4I'!BJ37</f>
        <v>CR20018MM</v>
      </c>
      <c r="D2412" s="2004"/>
      <c r="E2412" s="1658" t="s">
        <v>9033</v>
      </c>
      <c r="F2412" s="2004"/>
      <c r="G2412" s="2004">
        <f>IF('4I'!K37="","##BLANK",'4I'!K37)</f>
        <v>0</v>
      </c>
    </row>
    <row r="2413" spans="2:7">
      <c r="B2413" s="848" t="str">
        <f>'4I'!BJ38</f>
        <v>CR20019MM</v>
      </c>
      <c r="D2413" s="2004"/>
      <c r="E2413" s="1658" t="s">
        <v>9033</v>
      </c>
      <c r="F2413" s="2004"/>
      <c r="G2413" s="2004">
        <f>IF('4I'!K38="","##BLANK",'4I'!K38)</f>
        <v>0</v>
      </c>
    </row>
    <row r="2414" spans="2:7">
      <c r="B2414" s="848" t="str">
        <f>'4I'!BJ41</f>
        <v>CR2028MM</v>
      </c>
      <c r="D2414" s="2004"/>
      <c r="E2414" s="1658" t="s">
        <v>9033</v>
      </c>
      <c r="F2414" s="2004"/>
      <c r="G2414" s="2004">
        <f>IF('4I'!K41="","##BLANK",'4I'!K41)</f>
        <v>-3.8639999999999999</v>
      </c>
    </row>
    <row r="2415" spans="2:7">
      <c r="B2415" s="848" t="str">
        <f>'4I'!BJ44</f>
        <v>CR20020MM</v>
      </c>
      <c r="D2415" s="2004"/>
      <c r="E2415" s="1658" t="s">
        <v>9033</v>
      </c>
      <c r="F2415" s="2004"/>
      <c r="G2415" s="2004">
        <f>IF('4I'!K44="","##BLANK",'4I'!K44)</f>
        <v>-2558.857</v>
      </c>
    </row>
    <row r="2416" spans="2:7">
      <c r="B2416" s="848" t="str">
        <f>'4I'!BK8</f>
        <v>CR2021TA</v>
      </c>
      <c r="D2416" s="2004"/>
      <c r="E2416" s="1658" t="s">
        <v>9033</v>
      </c>
      <c r="F2416" s="2004"/>
      <c r="G2416" s="2004">
        <f>IF('4I'!L8="","##BLANK",'4I'!L8)</f>
        <v>0</v>
      </c>
    </row>
    <row r="2417" spans="2:7">
      <c r="B2417" s="848" t="str">
        <f>'4I'!BK9</f>
        <v>CR2022TA</v>
      </c>
      <c r="D2417" s="2004"/>
      <c r="E2417" s="1658" t="s">
        <v>9033</v>
      </c>
      <c r="F2417" s="2004"/>
      <c r="G2417" s="2004">
        <f>IF('4I'!L9="","##BLANK",'4I'!L9)</f>
        <v>0</v>
      </c>
    </row>
    <row r="2418" spans="2:7">
      <c r="B2418" s="848" t="str">
        <f>'4I'!BK10</f>
        <v>CR2023TA</v>
      </c>
      <c r="D2418" s="2004"/>
      <c r="E2418" s="1658" t="s">
        <v>9033</v>
      </c>
      <c r="F2418" s="2004"/>
      <c r="G2418" s="2004">
        <f>IF('4I'!L10="","##BLANK",'4I'!L10)</f>
        <v>0</v>
      </c>
    </row>
    <row r="2419" spans="2:7">
      <c r="B2419" s="848" t="str">
        <f>'4I'!BK11</f>
        <v>CR2024TA</v>
      </c>
      <c r="D2419" s="2004"/>
      <c r="E2419" s="1658" t="s">
        <v>9033</v>
      </c>
      <c r="F2419" s="2004"/>
      <c r="G2419" s="2004">
        <f>IF('4I'!L11="","##BLANK",'4I'!L11)</f>
        <v>154.00200000000001</v>
      </c>
    </row>
    <row r="2420" spans="2:7">
      <c r="B2420" s="848" t="str">
        <f>'4I'!BK12</f>
        <v>CR2025TA</v>
      </c>
      <c r="D2420" s="2004"/>
      <c r="E2420" s="1658" t="s">
        <v>9033</v>
      </c>
      <c r="F2420" s="2004"/>
      <c r="G2420" s="2004">
        <f>IF('4I'!L12="","##BLANK",'4I'!L12)</f>
        <v>0</v>
      </c>
    </row>
    <row r="2421" spans="2:7">
      <c r="B2421" s="848" t="str">
        <f>'4I'!BK13</f>
        <v>CR2026TA</v>
      </c>
      <c r="D2421" s="2004"/>
      <c r="E2421" s="1658" t="s">
        <v>9033</v>
      </c>
      <c r="F2421" s="2004"/>
      <c r="G2421" s="2004">
        <f>IF('4I'!L13="","##BLANK",'4I'!L13)</f>
        <v>0</v>
      </c>
    </row>
    <row r="2422" spans="2:7">
      <c r="B2422" s="848" t="str">
        <f>'4I'!BK14</f>
        <v>CR2027TA</v>
      </c>
      <c r="D2422" s="2004"/>
      <c r="E2422" s="1658" t="s">
        <v>9033</v>
      </c>
      <c r="F2422" s="2004"/>
      <c r="G2422" s="2004">
        <f>IF('4I'!L14="","##BLANK",'4I'!L14)</f>
        <v>154.00200000000001</v>
      </c>
    </row>
    <row r="2423" spans="2:7">
      <c r="B2423" s="848" t="str">
        <f>'4I'!BK17</f>
        <v>CR2005TA</v>
      </c>
      <c r="D2423" s="2004"/>
      <c r="E2423" s="1658" t="s">
        <v>9033</v>
      </c>
      <c r="F2423" s="2004"/>
      <c r="G2423" s="2004">
        <f>IF('4I'!L17="","##BLANK",'4I'!L17)</f>
        <v>0</v>
      </c>
    </row>
    <row r="2424" spans="2:7">
      <c r="B2424" s="848" t="str">
        <f>'4I'!BK18</f>
        <v>CR2006TA</v>
      </c>
      <c r="D2424" s="2004"/>
      <c r="E2424" s="1658" t="s">
        <v>9033</v>
      </c>
      <c r="F2424" s="2004"/>
      <c r="G2424" s="2004">
        <f>IF('4I'!L18="","##BLANK",'4I'!L18)</f>
        <v>0</v>
      </c>
    </row>
    <row r="2425" spans="2:7">
      <c r="B2425" s="848" t="str">
        <f>'4I'!BK19</f>
        <v>CR2007TA</v>
      </c>
      <c r="D2425" s="2004"/>
      <c r="E2425" s="1658" t="s">
        <v>9033</v>
      </c>
      <c r="F2425" s="2004"/>
      <c r="G2425" s="2004">
        <f>IF('4I'!L19="","##BLANK",'4I'!L19)</f>
        <v>0</v>
      </c>
    </row>
    <row r="2426" spans="2:7">
      <c r="B2426" s="848" t="str">
        <f>'4I'!BK20</f>
        <v>CR2008TA</v>
      </c>
      <c r="D2426" s="2004"/>
      <c r="E2426" s="1658" t="s">
        <v>9033</v>
      </c>
      <c r="F2426" s="2004"/>
      <c r="G2426" s="2004">
        <f>IF('4I'!L20="","##BLANK",'4I'!L20)</f>
        <v>0</v>
      </c>
    </row>
    <row r="2427" spans="2:7">
      <c r="B2427" s="848" t="str">
        <f>'4I'!BK21</f>
        <v>CR2009TA</v>
      </c>
      <c r="D2427" s="2004"/>
      <c r="E2427" s="1658" t="s">
        <v>9033</v>
      </c>
      <c r="F2427" s="2004"/>
      <c r="G2427" s="2004">
        <f>IF('4I'!L21="","##BLANK",'4I'!L21)</f>
        <v>0</v>
      </c>
    </row>
    <row r="2428" spans="2:7">
      <c r="B2428" s="848" t="str">
        <f>'4I'!BK24</f>
        <v>CR20010TA</v>
      </c>
      <c r="D2428" s="2004"/>
      <c r="E2428" s="1658" t="s">
        <v>9033</v>
      </c>
      <c r="F2428" s="2004"/>
      <c r="G2428" s="2004">
        <f>IF('4I'!L24="","##BLANK",'4I'!L24)</f>
        <v>0</v>
      </c>
    </row>
    <row r="2429" spans="2:7">
      <c r="B2429" s="848" t="str">
        <f>'4I'!BK25</f>
        <v>CR20011TA</v>
      </c>
      <c r="D2429" s="2004"/>
      <c r="E2429" s="1658" t="s">
        <v>9033</v>
      </c>
      <c r="F2429" s="2004"/>
      <c r="G2429" s="2004">
        <f>IF('4I'!L25="","##BLANK",'4I'!L25)</f>
        <v>0</v>
      </c>
    </row>
    <row r="2430" spans="2:7">
      <c r="B2430" s="848" t="str">
        <f>'4I'!BK26</f>
        <v>CR20012TA</v>
      </c>
      <c r="D2430" s="2004"/>
      <c r="E2430" s="1658" t="s">
        <v>9033</v>
      </c>
      <c r="F2430" s="2004"/>
      <c r="G2430" s="2004">
        <f>IF('4I'!L26="","##BLANK",'4I'!L26)</f>
        <v>0</v>
      </c>
    </row>
    <row r="2431" spans="2:7">
      <c r="B2431" s="848" t="str">
        <f>'4I'!BK27</f>
        <v>CR20013TA</v>
      </c>
      <c r="D2431" s="2004"/>
      <c r="E2431" s="1658" t="s">
        <v>9033</v>
      </c>
      <c r="F2431" s="2004"/>
      <c r="G2431" s="2004">
        <f>IF('4I'!L27="","##BLANK",'4I'!L27)</f>
        <v>0</v>
      </c>
    </row>
    <row r="2432" spans="2:7">
      <c r="B2432" s="848" t="str">
        <f>'4I'!BK28</f>
        <v>CR20014TA</v>
      </c>
      <c r="D2432" s="2004"/>
      <c r="E2432" s="1658" t="s">
        <v>9033</v>
      </c>
      <c r="F2432" s="2004"/>
      <c r="G2432" s="2004">
        <f>IF('4I'!L28="","##BLANK",'4I'!L28)</f>
        <v>0</v>
      </c>
    </row>
    <row r="2433" spans="2:8">
      <c r="B2433" s="848" t="str">
        <f>'4I'!BK31</f>
        <v>CR20015TA</v>
      </c>
      <c r="D2433" s="2004"/>
      <c r="E2433" s="1658" t="s">
        <v>9033</v>
      </c>
      <c r="F2433" s="2004"/>
      <c r="G2433" s="2004">
        <f>IF('4I'!L31="","##BLANK",'4I'!L31)</f>
        <v>0</v>
      </c>
      <c r="H2433" s="2004"/>
    </row>
    <row r="2434" spans="2:8">
      <c r="B2434" s="848" t="str">
        <f>'4I'!BK32</f>
        <v>CR20016TA</v>
      </c>
      <c r="D2434" s="2004"/>
      <c r="E2434" s="1658" t="s">
        <v>9033</v>
      </c>
      <c r="F2434" s="2004"/>
      <c r="G2434" s="2004">
        <f>IF('4I'!L32="","##BLANK",'4I'!L32)</f>
        <v>0</v>
      </c>
      <c r="H2434" s="2004"/>
    </row>
    <row r="2435" spans="2:8">
      <c r="B2435" s="848" t="str">
        <f>'4I'!BK33</f>
        <v>CR20017TA</v>
      </c>
      <c r="D2435" s="2004"/>
      <c r="E2435" s="1658" t="s">
        <v>9033</v>
      </c>
      <c r="F2435" s="2004"/>
      <c r="G2435" s="2004">
        <f>IF('4I'!L33="","##BLANK",'4I'!L33)</f>
        <v>0</v>
      </c>
      <c r="H2435" s="2004"/>
    </row>
    <row r="2436" spans="2:8">
      <c r="B2436" s="848" t="str">
        <f>'4I'!BK37</f>
        <v>CR20018TA</v>
      </c>
      <c r="D2436" s="2004"/>
      <c r="E2436" s="1658" t="s">
        <v>9033</v>
      </c>
      <c r="F2436" s="2004"/>
      <c r="G2436" s="2004">
        <f>IF('4I'!L37="","##BLANK",'4I'!L37)</f>
        <v>0</v>
      </c>
      <c r="H2436" s="2004"/>
    </row>
    <row r="2437" spans="2:8">
      <c r="B2437" s="848" t="str">
        <f>'4I'!BK38</f>
        <v>CR20019TA</v>
      </c>
      <c r="D2437" s="2004"/>
      <c r="E2437" s="1658" t="s">
        <v>9033</v>
      </c>
      <c r="F2437" s="2004"/>
      <c r="G2437" s="2004">
        <f>IF('4I'!L38="","##BLANK",'4I'!L38)</f>
        <v>0</v>
      </c>
      <c r="H2437" s="2004"/>
    </row>
    <row r="2438" spans="2:8">
      <c r="B2438" s="848" t="str">
        <f>'4I'!BK41</f>
        <v>CR2028TA</v>
      </c>
      <c r="D2438" s="2004"/>
      <c r="E2438" s="1658" t="s">
        <v>9033</v>
      </c>
      <c r="F2438" s="2004"/>
      <c r="G2438" s="2004">
        <f>IF('4I'!L41="","##BLANK",'4I'!L41)</f>
        <v>0</v>
      </c>
      <c r="H2438" s="2004"/>
    </row>
    <row r="2439" spans="2:8">
      <c r="B2439" s="848" t="str">
        <f>'4I'!BK44</f>
        <v>CR20020TA</v>
      </c>
      <c r="D2439" s="2004"/>
      <c r="E2439" s="1658" t="s">
        <v>9033</v>
      </c>
      <c r="F2439" s="2004"/>
      <c r="G2439" s="2004">
        <f>IF('4I'!L44="","##BLANK",'4I'!L44)</f>
        <v>154.00200000000001</v>
      </c>
      <c r="H2439" s="2004"/>
    </row>
    <row r="2440" spans="2:8">
      <c r="B2440" s="848" t="str">
        <f>'4I'!BN8</f>
        <v>CR2021IRP</v>
      </c>
      <c r="D2440" s="2004"/>
      <c r="E2440" s="1658" t="s">
        <v>9033</v>
      </c>
      <c r="F2440" s="2004"/>
      <c r="G2440" s="2004">
        <f>IF('4I'!O8="","##BLANK",'4I'!O8)</f>
        <v>6.0299999999999999E-2</v>
      </c>
      <c r="H2440" s="2004"/>
    </row>
    <row r="2441" spans="2:8">
      <c r="B2441" s="848" t="str">
        <f>'4I'!BN9</f>
        <v>CR2022IRP</v>
      </c>
      <c r="D2441" s="2004"/>
      <c r="E2441" s="1658" t="s">
        <v>9033</v>
      </c>
      <c r="F2441" s="2004"/>
      <c r="G2441" s="2004">
        <f>IF('4I'!O9="","##BLANK",'4I'!O9)</f>
        <v>1.4200000000000001E-2</v>
      </c>
      <c r="H2441" s="2004"/>
    </row>
    <row r="2442" spans="2:8">
      <c r="B2442" s="848" t="str">
        <f>'4I'!BN10</f>
        <v>CR2023IRP</v>
      </c>
      <c r="D2442" s="2004"/>
      <c r="E2442" s="1658" t="s">
        <v>9033</v>
      </c>
      <c r="F2442" s="2004"/>
      <c r="G2442" s="2004">
        <f>IF('4I'!O10="","##BLANK",'4I'!O10)</f>
        <v>0</v>
      </c>
      <c r="H2442" s="2004"/>
    </row>
    <row r="2443" spans="2:8">
      <c r="B2443" s="848" t="str">
        <f>'4I'!BN11</f>
        <v>CR2024IRP</v>
      </c>
      <c r="D2443" s="2004"/>
      <c r="E2443" s="1658" t="s">
        <v>9033</v>
      </c>
      <c r="F2443" s="2004"/>
      <c r="G2443" s="2004">
        <f>IF('4I'!O11="","##BLANK",'4I'!O11)</f>
        <v>2.9100000000000001E-2</v>
      </c>
      <c r="H2443" s="2004"/>
    </row>
    <row r="2444" spans="2:8">
      <c r="B2444" s="848" t="str">
        <f>'4I'!BN12</f>
        <v>CR2025IRP</v>
      </c>
      <c r="D2444" s="2004"/>
      <c r="E2444" s="1658" t="s">
        <v>9033</v>
      </c>
      <c r="F2444" s="2004"/>
      <c r="G2444" s="2004">
        <f>IF('4I'!O12="","##BLANK",'4I'!O12)</f>
        <v>0</v>
      </c>
      <c r="H2444" s="2004"/>
    </row>
    <row r="2445" spans="2:8">
      <c r="B2445" s="848" t="str">
        <f>'4I'!BN13</f>
        <v>CR2026IRP</v>
      </c>
      <c r="D2445" s="2004"/>
      <c r="E2445" s="1658" t="s">
        <v>9033</v>
      </c>
      <c r="F2445" s="2004"/>
      <c r="G2445" s="2004">
        <f>IF('4I'!O13="","##BLANK",'4I'!O13)</f>
        <v>0</v>
      </c>
      <c r="H2445" s="2004"/>
    </row>
    <row r="2446" spans="2:8">
      <c r="B2446" s="848" t="str">
        <f>'4I'!BN17</f>
        <v>CR2005IRP</v>
      </c>
      <c r="D2446" s="2004"/>
      <c r="E2446" s="1658" t="s">
        <v>9033</v>
      </c>
      <c r="F2446" s="2004"/>
      <c r="G2446" s="2004">
        <f>IF('4I'!O17="","##BLANK",'4I'!O17)</f>
        <v>1.72E-2</v>
      </c>
      <c r="H2446" s="848"/>
    </row>
    <row r="2447" spans="2:8">
      <c r="B2447" s="848" t="str">
        <f>'4I'!BN18</f>
        <v>CR2006IRP</v>
      </c>
      <c r="D2447" s="2004"/>
      <c r="E2447" s="1658" t="s">
        <v>9033</v>
      </c>
      <c r="F2447" s="2004"/>
      <c r="G2447" s="2004">
        <f>IF('4I'!O18="","##BLANK",'4I'!O18)</f>
        <v>0</v>
      </c>
      <c r="H2447" s="2004"/>
    </row>
    <row r="2448" spans="2:8">
      <c r="B2448" s="848" t="str">
        <f>'4I'!BN19</f>
        <v>CR2007IRP</v>
      </c>
      <c r="D2448" s="2004"/>
      <c r="E2448" s="1658" t="s">
        <v>9033</v>
      </c>
      <c r="F2448" s="2004"/>
      <c r="G2448" s="2004">
        <f>IF('4I'!O19="","##BLANK",'4I'!O19)</f>
        <v>0</v>
      </c>
      <c r="H2448" s="2004"/>
    </row>
    <row r="2449" spans="2:8">
      <c r="B2449" s="848" t="str">
        <f>'4I'!BN20</f>
        <v>CR2008IRP</v>
      </c>
      <c r="D2449" s="2004"/>
      <c r="E2449" s="1658" t="s">
        <v>9033</v>
      </c>
      <c r="F2449" s="2004"/>
      <c r="G2449" s="2004">
        <f>IF('4I'!O20="","##BLANK",'4I'!O20)</f>
        <v>1.4500000000000001E-2</v>
      </c>
      <c r="H2449" s="2004"/>
    </row>
    <row r="2450" spans="2:8">
      <c r="B2450" s="848" t="str">
        <f>'4I'!BN24</f>
        <v>CR20010IRP</v>
      </c>
      <c r="D2450" s="2004"/>
      <c r="E2450" s="1658" t="s">
        <v>9033</v>
      </c>
      <c r="F2450" s="2004"/>
      <c r="G2450" s="2004">
        <f>IF('4I'!O24="","##BLANK",'4I'!O24)</f>
        <v>0</v>
      </c>
      <c r="H2450" s="2004"/>
    </row>
    <row r="2451" spans="2:8">
      <c r="B2451" s="848" t="str">
        <f>'4I'!BN25</f>
        <v>CR20011IRP</v>
      </c>
      <c r="D2451" s="2004"/>
      <c r="E2451" s="1658" t="s">
        <v>9033</v>
      </c>
      <c r="F2451" s="2004"/>
      <c r="G2451" s="2004">
        <f>IF('4I'!O25="","##BLANK",'4I'!O25)</f>
        <v>0</v>
      </c>
      <c r="H2451" s="848"/>
    </row>
    <row r="2452" spans="2:8">
      <c r="B2452" s="848" t="str">
        <f>'4I'!BN26</f>
        <v>CR20012IRP</v>
      </c>
      <c r="D2452" s="2004"/>
      <c r="E2452" s="1658" t="s">
        <v>9033</v>
      </c>
      <c r="F2452" s="2004"/>
      <c r="G2452" s="2004">
        <f>IF('4I'!O26="","##BLANK",'4I'!O26)</f>
        <v>0</v>
      </c>
      <c r="H2452" s="2004"/>
    </row>
    <row r="2453" spans="2:8">
      <c r="B2453" s="848" t="str">
        <f>'4I'!BN27</f>
        <v>CR20013IRP</v>
      </c>
      <c r="D2453" s="2004"/>
      <c r="E2453" s="1658" t="s">
        <v>9033</v>
      </c>
      <c r="F2453" s="2004"/>
      <c r="G2453" s="2004">
        <f>IF('4I'!O27="","##BLANK",'4I'!O27)</f>
        <v>0</v>
      </c>
      <c r="H2453" s="2004"/>
    </row>
    <row r="2454" spans="2:8">
      <c r="B2454" s="848" t="str">
        <f>'4I'!BN31</f>
        <v>CR20015IRP</v>
      </c>
      <c r="D2454" s="2004"/>
      <c r="E2454" s="1658" t="s">
        <v>9033</v>
      </c>
      <c r="F2454" s="2004"/>
      <c r="G2454" s="2004">
        <f>IF('4I'!O31="","##BLANK",'4I'!O31)</f>
        <v>0</v>
      </c>
      <c r="H2454" s="2004"/>
    </row>
    <row r="2455" spans="2:8">
      <c r="B2455" s="848" t="str">
        <f>'4I'!BN32</f>
        <v>CR20016IRP</v>
      </c>
      <c r="D2455" s="2004"/>
      <c r="E2455" s="1658" t="s">
        <v>9033</v>
      </c>
      <c r="F2455" s="2004"/>
      <c r="G2455" s="2004">
        <f>IF('4I'!O32="","##BLANK",'4I'!O32)</f>
        <v>0</v>
      </c>
      <c r="H2455" s="2004"/>
    </row>
    <row r="2456" spans="2:8">
      <c r="B2456" s="848" t="str">
        <f>'4I'!BN33</f>
        <v>CR20017IRP</v>
      </c>
      <c r="D2456" s="2004"/>
      <c r="E2456" s="1658" t="s">
        <v>9033</v>
      </c>
      <c r="F2456" s="2004"/>
      <c r="G2456" s="2004">
        <f>IF('4I'!O33="","##BLANK",'4I'!O33)</f>
        <v>0</v>
      </c>
      <c r="H2456" s="848"/>
    </row>
    <row r="2457" spans="2:8">
      <c r="B2457" s="848" t="str">
        <f>'4I'!BN37</f>
        <v>CR20018IRP</v>
      </c>
      <c r="D2457" s="2004"/>
      <c r="E2457" s="1658" t="s">
        <v>9033</v>
      </c>
      <c r="F2457" s="2004"/>
      <c r="G2457" s="2004">
        <f>IF('4I'!O37="","##BLANK",'4I'!O37)</f>
        <v>0</v>
      </c>
      <c r="H2457" s="2004"/>
    </row>
    <row r="2458" spans="2:8">
      <c r="B2458" s="848" t="str">
        <f>'4I'!BN41</f>
        <v>CR2028IRP</v>
      </c>
      <c r="D2458" s="2004"/>
      <c r="E2458" s="1658" t="s">
        <v>9033</v>
      </c>
      <c r="F2458" s="2004"/>
      <c r="G2458" s="2004">
        <f>IF('4I'!O41="","##BLANK",'4I'!O41)</f>
        <v>0</v>
      </c>
      <c r="H2458" s="2004"/>
    </row>
    <row r="2459" spans="2:8">
      <c r="B2459" s="848" t="str">
        <f>'4I'!BO8</f>
        <v>CR2021IRR</v>
      </c>
      <c r="D2459" s="2004"/>
      <c r="E2459" s="1658" t="s">
        <v>9033</v>
      </c>
      <c r="F2459" s="2004"/>
      <c r="G2459" s="2004">
        <f>IF('4I'!P8="","##BLANK",'4I'!P8)</f>
        <v>0</v>
      </c>
      <c r="H2459" s="2004"/>
    </row>
    <row r="2460" spans="2:8">
      <c r="B2460" s="848" t="str">
        <f>'4I'!BO9</f>
        <v>CR2022IRR</v>
      </c>
      <c r="D2460" s="2004"/>
      <c r="E2460" s="1658" t="s">
        <v>9033</v>
      </c>
      <c r="F2460" s="2004"/>
      <c r="G2460" s="2004">
        <f>IF('4I'!P9="","##BLANK",'4I'!P9)</f>
        <v>0</v>
      </c>
      <c r="H2460" s="2004"/>
    </row>
    <row r="2461" spans="2:8">
      <c r="B2461" s="848" t="str">
        <f>'4I'!BO10</f>
        <v>CR2023IRR</v>
      </c>
      <c r="D2461" s="2004"/>
      <c r="E2461" s="1658" t="s">
        <v>9033</v>
      </c>
      <c r="F2461" s="2004"/>
      <c r="G2461" s="2004">
        <f>IF('4I'!P10="","##BLANK",'4I'!P10)</f>
        <v>0</v>
      </c>
      <c r="H2461" s="848"/>
    </row>
    <row r="2462" spans="2:8">
      <c r="B2462" s="848" t="str">
        <f>'4I'!BO11</f>
        <v>CR2024IRR</v>
      </c>
      <c r="D2462" s="2004"/>
      <c r="E2462" s="1658" t="s">
        <v>9033</v>
      </c>
      <c r="F2462" s="2004"/>
      <c r="G2462" s="2004">
        <f>IF('4I'!P11="","##BLANK",'4I'!P11)</f>
        <v>3.1899999999999998E-2</v>
      </c>
      <c r="H2462" s="2004"/>
    </row>
    <row r="2463" spans="2:8">
      <c r="B2463" s="848" t="str">
        <f>'4I'!BO12</f>
        <v>CR2025IRR</v>
      </c>
      <c r="D2463" s="2004"/>
      <c r="E2463" s="1658" t="s">
        <v>9033</v>
      </c>
      <c r="F2463" s="2004"/>
      <c r="G2463" s="2004">
        <f>IF('4I'!P12="","##BLANK",'4I'!P12)</f>
        <v>0</v>
      </c>
      <c r="H2463" s="848"/>
    </row>
    <row r="2464" spans="2:8">
      <c r="B2464" s="848" t="str">
        <f>'4I'!BO13</f>
        <v>CR2026IRR</v>
      </c>
      <c r="D2464" s="2004"/>
      <c r="E2464" s="1658" t="s">
        <v>9033</v>
      </c>
      <c r="F2464" s="2004"/>
      <c r="G2464" s="2004">
        <f>IF('4I'!P13="","##BLANK",'4I'!P13)</f>
        <v>0</v>
      </c>
      <c r="H2464" s="2004"/>
    </row>
    <row r="2465" spans="2:7">
      <c r="B2465" s="848" t="str">
        <f>'4I'!BO17</f>
        <v>CR2005IRR</v>
      </c>
      <c r="D2465" s="2004"/>
      <c r="E2465" s="1658" t="s">
        <v>9033</v>
      </c>
      <c r="F2465" s="2004"/>
      <c r="G2465" s="2004">
        <f>IF('4I'!P17="","##BLANK",'4I'!P17)</f>
        <v>0</v>
      </c>
    </row>
    <row r="2466" spans="2:7">
      <c r="B2466" s="848" t="str">
        <f>'4I'!BO18</f>
        <v>CR2006IRR</v>
      </c>
      <c r="D2466" s="2004"/>
      <c r="E2466" s="1658" t="s">
        <v>9033</v>
      </c>
      <c r="F2466" s="2004"/>
      <c r="G2466" s="2004">
        <f>IF('4I'!P18="","##BLANK",'4I'!P18)</f>
        <v>0</v>
      </c>
    </row>
    <row r="2467" spans="2:7">
      <c r="B2467" s="848" t="str">
        <f>'4I'!BO19</f>
        <v>CR2007IRR</v>
      </c>
      <c r="D2467" s="2004"/>
      <c r="E2467" s="1658" t="s">
        <v>9033</v>
      </c>
      <c r="F2467" s="2004"/>
      <c r="G2467" s="2004">
        <f>IF('4I'!P19="","##BLANK",'4I'!P19)</f>
        <v>0</v>
      </c>
    </row>
    <row r="2468" spans="2:7">
      <c r="B2468" s="848" t="str">
        <f>'4I'!BO20</f>
        <v>CR2008IRR</v>
      </c>
      <c r="D2468" s="2004"/>
      <c r="E2468" s="1658" t="s">
        <v>9033</v>
      </c>
      <c r="F2468" s="2004"/>
      <c r="G2468" s="2004">
        <f>IF('4I'!P20="","##BLANK",'4I'!P20)</f>
        <v>0</v>
      </c>
    </row>
    <row r="2469" spans="2:7">
      <c r="B2469" s="848" t="str">
        <f>'4I'!BO24</f>
        <v>CR20010IRR</v>
      </c>
      <c r="D2469" s="2004"/>
      <c r="E2469" s="1658" t="s">
        <v>9033</v>
      </c>
      <c r="F2469" s="2004"/>
      <c r="G2469" s="2004">
        <f>IF('4I'!P24="","##BLANK",'4I'!P24)</f>
        <v>0</v>
      </c>
    </row>
    <row r="2470" spans="2:7">
      <c r="B2470" s="848" t="str">
        <f>'4I'!BO25</f>
        <v>CR20011IRR</v>
      </c>
      <c r="D2470" s="2004"/>
      <c r="E2470" s="1658" t="s">
        <v>9033</v>
      </c>
      <c r="F2470" s="2004"/>
      <c r="G2470" s="2004">
        <f>IF('4I'!P25="","##BLANK",'4I'!P25)</f>
        <v>0</v>
      </c>
    </row>
    <row r="2471" spans="2:7">
      <c r="B2471" s="848" t="str">
        <f>'4I'!BO26</f>
        <v>CR20012IRR</v>
      </c>
      <c r="D2471" s="2004"/>
      <c r="E2471" s="1658" t="s">
        <v>9033</v>
      </c>
      <c r="F2471" s="2004"/>
      <c r="G2471" s="2004">
        <f>IF('4I'!P26="","##BLANK",'4I'!P26)</f>
        <v>0</v>
      </c>
    </row>
    <row r="2472" spans="2:7">
      <c r="B2472" s="848" t="str">
        <f>'4I'!BO27</f>
        <v>CR20013IRR</v>
      </c>
      <c r="D2472" s="2004"/>
      <c r="E2472" s="1658" t="s">
        <v>9033</v>
      </c>
      <c r="F2472" s="2004"/>
      <c r="G2472" s="2004">
        <f>IF('4I'!P27="","##BLANK",'4I'!P27)</f>
        <v>0</v>
      </c>
    </row>
    <row r="2473" spans="2:7">
      <c r="B2473" s="848" t="str">
        <f>'4I'!BO31</f>
        <v>CR20015IRR</v>
      </c>
      <c r="D2473" s="2004"/>
      <c r="E2473" s="1658" t="s">
        <v>9033</v>
      </c>
      <c r="F2473" s="2004"/>
      <c r="G2473" s="2004">
        <f>IF('4I'!P31="","##BLANK",'4I'!P31)</f>
        <v>0</v>
      </c>
    </row>
    <row r="2474" spans="2:7">
      <c r="B2474" s="848" t="str">
        <f>'4I'!BO32</f>
        <v>CR20016IRR</v>
      </c>
      <c r="D2474" s="2004"/>
      <c r="E2474" s="1658" t="s">
        <v>9033</v>
      </c>
      <c r="F2474" s="2004"/>
      <c r="G2474" s="2004">
        <f>IF('4I'!P32="","##BLANK",'4I'!P32)</f>
        <v>0</v>
      </c>
    </row>
    <row r="2475" spans="2:7">
      <c r="B2475" s="848" t="str">
        <f>'4I'!BO33</f>
        <v>CR20017IRR</v>
      </c>
      <c r="D2475" s="2004"/>
      <c r="E2475" s="1658" t="s">
        <v>9033</v>
      </c>
      <c r="F2475" s="2004"/>
      <c r="G2475" s="2004">
        <f>IF('4I'!P33="","##BLANK",'4I'!P33)</f>
        <v>0</v>
      </c>
    </row>
    <row r="2476" spans="2:7">
      <c r="B2476" s="848" t="str">
        <f>'4I'!BO37</f>
        <v>CR20018IRR</v>
      </c>
      <c r="D2476" s="2004"/>
      <c r="E2476" s="1658" t="s">
        <v>9033</v>
      </c>
      <c r="F2476" s="2004"/>
      <c r="G2476" s="2004">
        <f>IF('4I'!P37="","##BLANK",'4I'!P37)</f>
        <v>0</v>
      </c>
    </row>
    <row r="2477" spans="2:7">
      <c r="B2477" s="848" t="str">
        <f>'4I'!BO41</f>
        <v>CR2028IRR</v>
      </c>
      <c r="D2477" s="2004"/>
      <c r="E2477" s="1658" t="s">
        <v>9033</v>
      </c>
      <c r="F2477" s="2004"/>
      <c r="G2477" s="2004">
        <f>IF('4I'!P41="","##BLANK",'4I'!P41)</f>
        <v>0</v>
      </c>
    </row>
    <row r="2478" spans="2:7">
      <c r="B2478" s="848" t="str">
        <f>+'4J'!AQ7</f>
        <v>WS1001AL</v>
      </c>
      <c r="D2478" s="848"/>
      <c r="E2478" s="1658" t="s">
        <v>9033</v>
      </c>
      <c r="F2478" s="2004"/>
      <c r="G2478" s="2004">
        <f>IF('4J'!G7="","##BLANK",'4J'!G7)</f>
        <v>0</v>
      </c>
    </row>
    <row r="2479" spans="2:7">
      <c r="B2479" s="848" t="str">
        <f>+'4J'!AQ8</f>
        <v>WS1002AL</v>
      </c>
      <c r="D2479" s="848"/>
      <c r="E2479" s="1658" t="s">
        <v>9033</v>
      </c>
      <c r="F2479" s="2004"/>
      <c r="G2479" s="2004">
        <f>IF('4J'!G8="","##BLANK",'4J'!G8)</f>
        <v>0</v>
      </c>
    </row>
    <row r="2480" spans="2:7">
      <c r="B2480" s="848" t="str">
        <f>+'4J'!AQ9</f>
        <v>WS1003AL</v>
      </c>
      <c r="D2480" s="848"/>
      <c r="E2480" s="1658" t="s">
        <v>9033</v>
      </c>
      <c r="F2480" s="2004"/>
      <c r="G2480" s="2004">
        <f>IF('4J'!G9="","##BLANK",'4J'!G9)</f>
        <v>4.9690000000000003</v>
      </c>
    </row>
    <row r="2481" spans="2:7">
      <c r="B2481" s="848" t="str">
        <f>+'4J'!AQ10</f>
        <v>WS1004AL</v>
      </c>
      <c r="D2481" s="848"/>
      <c r="E2481" s="1658" t="s">
        <v>9033</v>
      </c>
      <c r="F2481" s="2004"/>
      <c r="G2481" s="2004">
        <f>IF('4J'!G10="","##BLANK",'4J'!G10)</f>
        <v>0</v>
      </c>
    </row>
    <row r="2482" spans="2:7">
      <c r="B2482" s="848" t="str">
        <f>+'4J'!AQ12</f>
        <v>WS1005AL</v>
      </c>
      <c r="D2482" s="848"/>
      <c r="E2482" s="1658" t="s">
        <v>9033</v>
      </c>
      <c r="F2482" s="2004"/>
      <c r="G2482" s="2004">
        <f>IF('4J'!G12="","##BLANK",'4J'!G12)</f>
        <v>0</v>
      </c>
    </row>
    <row r="2483" spans="2:7">
      <c r="B2483" s="848" t="str">
        <f>+'4J'!AQ13</f>
        <v>WS1006AL</v>
      </c>
      <c r="D2483" s="848"/>
      <c r="E2483" s="1658" t="s">
        <v>9033</v>
      </c>
      <c r="F2483" s="2004"/>
      <c r="G2483" s="2004">
        <f>IF('4J'!G13="","##BLANK",'4J'!G13)</f>
        <v>0</v>
      </c>
    </row>
    <row r="2484" spans="2:7">
      <c r="B2484" s="848" t="str">
        <f>+'4J'!AQ14</f>
        <v>WS1007AL</v>
      </c>
      <c r="D2484" s="848"/>
      <c r="E2484" s="1658" t="s">
        <v>9033</v>
      </c>
      <c r="F2484" s="2004"/>
      <c r="G2484" s="2004">
        <f>IF('4J'!G14="","##BLANK",'4J'!G14)</f>
        <v>0.218</v>
      </c>
    </row>
    <row r="2485" spans="2:7">
      <c r="B2485" s="848" t="str">
        <f>+'4J'!AQ15</f>
        <v>WS1008AL</v>
      </c>
      <c r="D2485" s="848"/>
      <c r="E2485" s="1658" t="s">
        <v>9033</v>
      </c>
      <c r="F2485" s="2004"/>
      <c r="G2485" s="2004">
        <f>IF('4J'!G15="","##BLANK",'4J'!G15)</f>
        <v>0</v>
      </c>
    </row>
    <row r="2486" spans="2:7">
      <c r="B2486" s="848" t="str">
        <f>+'4J'!AQ16</f>
        <v>WS1009AL</v>
      </c>
      <c r="D2486" s="848"/>
      <c r="E2486" s="1658" t="s">
        <v>9033</v>
      </c>
      <c r="F2486" s="2004"/>
      <c r="G2486" s="2004">
        <f>IF('4J'!G16="","##BLANK",'4J'!G16)</f>
        <v>5.1870000000000003</v>
      </c>
    </row>
    <row r="2487" spans="2:7">
      <c r="B2487" s="848" t="str">
        <f>+'4J'!AQ18</f>
        <v>WS1010AL</v>
      </c>
      <c r="D2487" s="848"/>
      <c r="E2487" s="1658" t="s">
        <v>9033</v>
      </c>
      <c r="F2487" s="2004"/>
      <c r="G2487" s="2004">
        <f>IF('4J'!G18="","##BLANK",'4J'!G18)</f>
        <v>0</v>
      </c>
    </row>
    <row r="2488" spans="2:7">
      <c r="B2488" s="848" t="str">
        <f>+'4J'!AQ19</f>
        <v>WS1011AL</v>
      </c>
      <c r="D2488" s="848"/>
      <c r="E2488" s="1658" t="s">
        <v>9033</v>
      </c>
      <c r="F2488" s="2004"/>
      <c r="G2488" s="2004">
        <f>IF('4J'!G19="","##BLANK",'4J'!G19)</f>
        <v>5.1870000000000003</v>
      </c>
    </row>
    <row r="2489" spans="2:7">
      <c r="B2489" s="848" t="str">
        <f>+'4J'!AQ22</f>
        <v>WS1012AL</v>
      </c>
      <c r="D2489" s="848"/>
      <c r="E2489" s="1658" t="s">
        <v>9033</v>
      </c>
      <c r="F2489" s="2004"/>
      <c r="G2489" s="2004">
        <f>IF('4J'!G22="","##BLANK",'4J'!G22)</f>
        <v>0</v>
      </c>
    </row>
    <row r="2490" spans="2:7">
      <c r="B2490" s="848" t="str">
        <f>+'4J'!AQ23</f>
        <v>WS1013AL</v>
      </c>
      <c r="D2490" s="848"/>
      <c r="E2490" s="1658" t="s">
        <v>9033</v>
      </c>
      <c r="F2490" s="2004"/>
      <c r="G2490" s="2004">
        <f>IF('4J'!G23="","##BLANK",'4J'!G23)</f>
        <v>0</v>
      </c>
    </row>
    <row r="2491" spans="2:7">
      <c r="B2491" s="848" t="str">
        <f>+'4J'!AQ24</f>
        <v>WS1014AL</v>
      </c>
      <c r="D2491" s="848"/>
      <c r="E2491" s="1658" t="s">
        <v>9033</v>
      </c>
      <c r="F2491" s="2004"/>
      <c r="G2491" s="2004">
        <f>IF('4J'!G24="","##BLANK",'4J'!G24)</f>
        <v>0</v>
      </c>
    </row>
    <row r="2492" spans="2:7">
      <c r="B2492" s="848" t="str">
        <f>+'4J'!AQ25</f>
        <v>WS1015AL</v>
      </c>
      <c r="D2492" s="848"/>
      <c r="E2492" s="1658" t="s">
        <v>9033</v>
      </c>
      <c r="F2492" s="2004"/>
      <c r="G2492" s="2004">
        <f>IF('4J'!G25="","##BLANK",'4J'!G25)</f>
        <v>0</v>
      </c>
    </row>
    <row r="2493" spans="2:7">
      <c r="B2493" s="848" t="str">
        <f>+'4J'!AQ26</f>
        <v>WS1016AL</v>
      </c>
      <c r="D2493" s="848"/>
      <c r="E2493" s="1658" t="s">
        <v>9033</v>
      </c>
      <c r="F2493" s="2004"/>
      <c r="G2493" s="2004">
        <f>IF('4J'!G26="","##BLANK",'4J'!G26)</f>
        <v>0</v>
      </c>
    </row>
    <row r="2494" spans="2:7">
      <c r="B2494" s="848" t="str">
        <f>+'4J'!AQ27</f>
        <v>WS1017AL</v>
      </c>
      <c r="D2494" s="848"/>
      <c r="E2494" s="1658" t="s">
        <v>9033</v>
      </c>
      <c r="F2494" s="2004"/>
      <c r="G2494" s="2004">
        <f>IF('4J'!G27="","##BLANK",'4J'!G27)</f>
        <v>0</v>
      </c>
    </row>
    <row r="2495" spans="2:7">
      <c r="B2495" s="848" t="str">
        <f>+'4J'!AQ28</f>
        <v>WS1018AL</v>
      </c>
      <c r="D2495" s="848"/>
      <c r="E2495" s="1658" t="s">
        <v>9033</v>
      </c>
      <c r="F2495" s="2004"/>
      <c r="G2495" s="2004">
        <f>IF('4J'!G28="","##BLANK",'4J'!G28)</f>
        <v>0</v>
      </c>
    </row>
    <row r="2496" spans="2:7">
      <c r="B2496" s="848" t="str">
        <f>+'4J'!AQ29</f>
        <v>WS1019AL</v>
      </c>
      <c r="D2496" s="848"/>
      <c r="E2496" s="1658" t="s">
        <v>9033</v>
      </c>
      <c r="F2496" s="2004"/>
      <c r="G2496" s="2004">
        <f>IF('4J'!G29="","##BLANK",'4J'!G29)</f>
        <v>0</v>
      </c>
    </row>
    <row r="2497" spans="2:7">
      <c r="B2497" s="848" t="str">
        <f>+'4J'!AQ30</f>
        <v>WS1020AL</v>
      </c>
      <c r="D2497" s="848"/>
      <c r="E2497" s="1658" t="s">
        <v>9033</v>
      </c>
      <c r="F2497" s="2004"/>
      <c r="G2497" s="2004">
        <f>IF('4J'!G30="","##BLANK",'4J'!G30)</f>
        <v>0</v>
      </c>
    </row>
    <row r="2498" spans="2:7">
      <c r="B2498" s="848" t="str">
        <f>+'4J'!AQ31</f>
        <v>WS1021AL</v>
      </c>
      <c r="D2498" s="848"/>
      <c r="E2498" s="1658" t="s">
        <v>9033</v>
      </c>
      <c r="F2498" s="2004"/>
      <c r="G2498" s="2004">
        <f>IF('4J'!G31="","##BLANK",'4J'!G31)</f>
        <v>5.1870000000000003</v>
      </c>
    </row>
    <row r="2499" spans="2:7">
      <c r="B2499" s="848" t="str">
        <f>+'4J'!AQ34</f>
        <v>WS1022AL</v>
      </c>
      <c r="D2499" s="848"/>
      <c r="E2499" s="1658" t="s">
        <v>9033</v>
      </c>
      <c r="F2499" s="2004"/>
      <c r="G2499" s="2004">
        <f>IF('4J'!G34="","##BLANK",'4J'!G34)</f>
        <v>0</v>
      </c>
    </row>
    <row r="2500" spans="2:7">
      <c r="B2500" s="848" t="str">
        <f>+'4J'!AQ35</f>
        <v>WS1023AL</v>
      </c>
      <c r="D2500" s="848"/>
      <c r="E2500" s="1658" t="s">
        <v>9033</v>
      </c>
      <c r="F2500" s="2004"/>
      <c r="G2500" s="2004">
        <f>IF('4J'!G35="","##BLANK",'4J'!G35)</f>
        <v>0</v>
      </c>
    </row>
    <row r="2501" spans="2:7">
      <c r="B2501" s="848" t="str">
        <f>+'4J'!AQ36</f>
        <v>WS1024AL</v>
      </c>
      <c r="D2501" s="848"/>
      <c r="E2501" s="1658" t="s">
        <v>9033</v>
      </c>
      <c r="F2501" s="2004"/>
      <c r="G2501" s="2004">
        <f>IF('4J'!G36="","##BLANK",'4J'!G36)</f>
        <v>5.1870000000000003</v>
      </c>
    </row>
    <row r="2502" spans="2:7">
      <c r="B2502" s="848" t="str">
        <f>+'4J'!AQ39</f>
        <v>BP3357001AL</v>
      </c>
      <c r="D2502" s="848"/>
      <c r="E2502" s="1658" t="s">
        <v>9033</v>
      </c>
      <c r="F2502" s="2004" t="str">
        <f>+'4J'!C$39</f>
        <v>Y1 Flooding - Capex</v>
      </c>
      <c r="G2502" s="2004">
        <f>IF('4J'!G39="","##BLANK",'4J'!G39)</f>
        <v>0</v>
      </c>
    </row>
    <row r="2503" spans="2:7">
      <c r="B2503" s="848" t="str">
        <f>+'4J'!AQ40</f>
        <v>BP3357002AL</v>
      </c>
      <c r="D2503" s="848"/>
      <c r="E2503" s="1658" t="s">
        <v>9033</v>
      </c>
      <c r="F2503" s="2004" t="str">
        <f>+'4J'!C$40</f>
        <v>Y5 Flooding Nov - Capex</v>
      </c>
      <c r="G2503" s="2004">
        <f>IF('4J'!G40="","##BLANK",'4J'!G40)</f>
        <v>0</v>
      </c>
    </row>
    <row r="2504" spans="2:7">
      <c r="B2504" s="848" t="str">
        <f>+'4J'!AQ41</f>
        <v>BP3357003AL</v>
      </c>
      <c r="D2504" s="848"/>
      <c r="E2504" s="1658" t="s">
        <v>9033</v>
      </c>
      <c r="F2504" s="2004" t="str">
        <f>+'4J'!C$41</f>
        <v>Y5 Flooding Jan - Capex</v>
      </c>
      <c r="G2504" s="2004">
        <f>IF('4J'!G41="","##BLANK",'4J'!G41)</f>
        <v>0</v>
      </c>
    </row>
    <row r="2505" spans="2:7">
      <c r="B2505" s="848" t="str">
        <f>+'4J'!AQ42</f>
        <v>BP3357004AL</v>
      </c>
      <c r="D2505" s="848"/>
      <c r="E2505" s="1658" t="s">
        <v>9033</v>
      </c>
      <c r="F2505" s="2004" t="str">
        <f>+'4J'!C$42</f>
        <v>2020-25 Transition Expenditure -Capex</v>
      </c>
      <c r="G2505" s="2004">
        <f>IF('4J'!G42="","##BLANK",'4J'!G42)</f>
        <v>0</v>
      </c>
    </row>
    <row r="2506" spans="2:7">
      <c r="B2506" s="848" t="str">
        <f>+'4J'!AQ43</f>
        <v>BP3357005AL</v>
      </c>
      <c r="D2506" s="848"/>
      <c r="E2506" s="1658" t="s">
        <v>9033</v>
      </c>
      <c r="F2506" s="2004" t="str">
        <f>+'4J'!C$43</f>
        <v>Flooding Nov 19 - Opex</v>
      </c>
      <c r="G2506" s="2004">
        <f>IF('4J'!G43="","##BLANK",'4J'!G43)</f>
        <v>0</v>
      </c>
    </row>
    <row r="2507" spans="2:7">
      <c r="B2507" s="848" t="str">
        <f>+'4J'!AQ44</f>
        <v>BP3357006AL</v>
      </c>
      <c r="D2507" s="848"/>
      <c r="E2507" s="1658" t="s">
        <v>9033</v>
      </c>
      <c r="F2507" s="2004" t="str">
        <f>+'4J'!C$44</f>
        <v>Flooding Feb 20 - Opex</v>
      </c>
      <c r="G2507" s="2004">
        <f>IF('4J'!G44="","##BLANK",'4J'!G44)</f>
        <v>0</v>
      </c>
    </row>
    <row r="2508" spans="2:7">
      <c r="B2508" s="848" t="str">
        <f>+'4J'!AQ45</f>
        <v>BP3357007AL</v>
      </c>
      <c r="D2508" s="848"/>
      <c r="E2508" s="1658" t="s">
        <v>9033</v>
      </c>
      <c r="F2508" s="2004" t="str">
        <f>+'4J'!C$45</f>
        <v>Regulation costs - Opex</v>
      </c>
      <c r="G2508" s="2004">
        <f>IF('4J'!G45="","##BLANK",'4J'!G45)</f>
        <v>3.9E-2</v>
      </c>
    </row>
    <row r="2509" spans="2:7">
      <c r="B2509" s="848" t="str">
        <f>+'4J'!AQ46</f>
        <v>BP3357008AL</v>
      </c>
      <c r="D2509" s="848"/>
      <c r="E2509" s="1658" t="s">
        <v>9033</v>
      </c>
      <c r="F2509" s="2004" t="str">
        <f>+'4J'!C$46</f>
        <v>Reorganisational costs - Opex</v>
      </c>
      <c r="G2509" s="2004">
        <f>IF('4J'!G46="","##BLANK",'4J'!G46)</f>
        <v>5.0000000000000001E-3</v>
      </c>
    </row>
    <row r="2510" spans="2:7">
      <c r="B2510" s="848" t="str">
        <f>+'4J'!AQ47</f>
        <v>BP3357009AL</v>
      </c>
      <c r="D2510" s="848"/>
      <c r="E2510" s="1658" t="s">
        <v>9033</v>
      </c>
      <c r="F2510" s="2004" t="str">
        <f>+'4J'!C$47</f>
        <v>Transition expenditure - Opex</v>
      </c>
      <c r="G2510" s="2004">
        <f>IF('4J'!G47="","##BLANK",'4J'!G47)</f>
        <v>0</v>
      </c>
    </row>
    <row r="2511" spans="2:7">
      <c r="B2511" s="848" t="str">
        <f>+'4J'!AQ48</f>
        <v>BP3357010AL</v>
      </c>
      <c r="D2511" s="848"/>
      <c r="E2511" s="1658" t="s">
        <v>9033</v>
      </c>
      <c r="F2511" s="2004" t="str">
        <f>+'4J'!C$48</f>
        <v>Item 10</v>
      </c>
      <c r="G2511" s="2004" t="str">
        <f>IF('4J'!G48="","##BLANK",'4J'!G48)</f>
        <v>##BLANK</v>
      </c>
    </row>
    <row r="2512" spans="2:7">
      <c r="B2512" s="848" t="str">
        <f>+'4J'!AQ49</f>
        <v>BP3357020AL</v>
      </c>
      <c r="D2512" s="848"/>
      <c r="E2512" s="1658" t="s">
        <v>9033</v>
      </c>
      <c r="F2512" s="2004"/>
      <c r="G2512" s="2004">
        <f>IF('4J'!G49="","##BLANK",'4J'!G49)</f>
        <v>4.3999999999999997E-2</v>
      </c>
    </row>
    <row r="2513" spans="2:7">
      <c r="B2513" s="848" t="str">
        <f>+'4J'!AQ52</f>
        <v>W3026TEAL</v>
      </c>
      <c r="D2513" s="848"/>
      <c r="E2513" s="1658" t="s">
        <v>9033</v>
      </c>
      <c r="F2513" s="2004"/>
      <c r="G2513" s="2004">
        <f>IF('4J'!G52="","##BLANK",'4J'!G52)</f>
        <v>5.2309999999999999</v>
      </c>
    </row>
    <row r="2514" spans="2:7">
      <c r="B2514" s="848" t="str">
        <f>+'4J'!AR7</f>
        <v>WS1001RWA</v>
      </c>
      <c r="D2514" s="848"/>
      <c r="E2514" s="1658" t="s">
        <v>9033</v>
      </c>
      <c r="F2514" s="2004"/>
      <c r="G2514" s="2004">
        <f>IF('4J'!H7="","##BLANK",'4J'!H7)</f>
        <v>2.2200000000000002</v>
      </c>
    </row>
    <row r="2515" spans="2:7">
      <c r="B2515" s="848" t="str">
        <f>+'4J'!AR8</f>
        <v>WS1002RWA</v>
      </c>
      <c r="D2515" s="848"/>
      <c r="E2515" s="1658" t="s">
        <v>9033</v>
      </c>
      <c r="F2515" s="2004"/>
      <c r="G2515" s="2004">
        <f>IF('4J'!H8="","##BLANK",'4J'!H8)</f>
        <v>0</v>
      </c>
    </row>
    <row r="2516" spans="2:7">
      <c r="B2516" s="848" t="str">
        <f>+'4J'!AR9</f>
        <v>WS1003RWA</v>
      </c>
      <c r="D2516" s="848"/>
      <c r="E2516" s="1658" t="s">
        <v>9033</v>
      </c>
      <c r="F2516" s="2004"/>
      <c r="G2516" s="2004">
        <f>IF('4J'!H9="","##BLANK",'4J'!H9)</f>
        <v>0.57999999999999996</v>
      </c>
    </row>
    <row r="2517" spans="2:7">
      <c r="B2517" s="848" t="str">
        <f>+'4J'!AR10</f>
        <v>WS1004RWA</v>
      </c>
      <c r="D2517" s="848"/>
      <c r="E2517" s="1658" t="s">
        <v>9033</v>
      </c>
      <c r="F2517" s="2004"/>
      <c r="G2517" s="2004">
        <f>IF('4J'!H10="","##BLANK",'4J'!H10)</f>
        <v>3.8039999999999998</v>
      </c>
    </row>
    <row r="2518" spans="2:7">
      <c r="B2518" s="848" t="str">
        <f>+'4J'!AR12</f>
        <v>WS1005RWA</v>
      </c>
      <c r="D2518" s="848"/>
      <c r="E2518" s="1658" t="s">
        <v>9033</v>
      </c>
      <c r="F2518" s="2004"/>
      <c r="G2518" s="2004">
        <f>IF('4J'!H12="","##BLANK",'4J'!H12)</f>
        <v>0</v>
      </c>
    </row>
    <row r="2519" spans="2:7">
      <c r="B2519" s="848" t="str">
        <f>+'4J'!AR13</f>
        <v>WS1006RWA</v>
      </c>
      <c r="D2519" s="848"/>
      <c r="E2519" s="1658" t="s">
        <v>9033</v>
      </c>
      <c r="F2519" s="2004"/>
      <c r="G2519" s="2004">
        <f>IF('4J'!H13="","##BLANK",'4J'!H13)</f>
        <v>0</v>
      </c>
    </row>
    <row r="2520" spans="2:7">
      <c r="B2520" s="848" t="str">
        <f>+'4J'!AR14</f>
        <v>WS1007RWA</v>
      </c>
      <c r="D2520" s="848"/>
      <c r="E2520" s="1658" t="s">
        <v>9033</v>
      </c>
      <c r="F2520" s="2004"/>
      <c r="G2520" s="2004">
        <f>IF('4J'!H14="","##BLANK",'4J'!H14)</f>
        <v>8.8879999999999999</v>
      </c>
    </row>
    <row r="2521" spans="2:7">
      <c r="B2521" s="848" t="str">
        <f>+'4J'!AR15</f>
        <v>WS1008RWA</v>
      </c>
      <c r="D2521" s="848"/>
      <c r="E2521" s="1658" t="s">
        <v>9033</v>
      </c>
      <c r="F2521" s="2004"/>
      <c r="G2521" s="2004">
        <f>IF('4J'!H15="","##BLANK",'4J'!H15)</f>
        <v>7.923</v>
      </c>
    </row>
    <row r="2522" spans="2:7">
      <c r="B2522" s="848" t="str">
        <f>+'4J'!AR16</f>
        <v>WS1009RWA</v>
      </c>
      <c r="D2522" s="848"/>
      <c r="E2522" s="1658" t="s">
        <v>9033</v>
      </c>
      <c r="F2522" s="2004"/>
      <c r="G2522" s="2004">
        <f>IF('4J'!H16="","##BLANK",'4J'!H16)</f>
        <v>23.414999999999999</v>
      </c>
    </row>
    <row r="2523" spans="2:7">
      <c r="B2523" s="848" t="str">
        <f>+'4J'!AR18</f>
        <v>WS1010RWA</v>
      </c>
      <c r="D2523" s="848"/>
      <c r="E2523" s="1658" t="s">
        <v>9033</v>
      </c>
      <c r="F2523" s="2004"/>
      <c r="G2523" s="2004">
        <f>IF('4J'!H18="","##BLANK",'4J'!H18)</f>
        <v>0</v>
      </c>
    </row>
    <row r="2524" spans="2:7">
      <c r="B2524" s="848" t="str">
        <f>+'4J'!AR19</f>
        <v>WS1011RWA</v>
      </c>
      <c r="D2524" s="848"/>
      <c r="E2524" s="1658" t="s">
        <v>9033</v>
      </c>
      <c r="F2524" s="2004"/>
      <c r="G2524" s="2004">
        <f>IF('4J'!H19="","##BLANK",'4J'!H19)</f>
        <v>23.414999999999999</v>
      </c>
    </row>
    <row r="2525" spans="2:7">
      <c r="B2525" s="848" t="str">
        <f>+'4J'!AR22</f>
        <v>WS1012RWA</v>
      </c>
      <c r="D2525" s="848"/>
      <c r="E2525" s="1658" t="s">
        <v>9033</v>
      </c>
      <c r="F2525" s="2004"/>
      <c r="G2525" s="2004">
        <f>IF('4J'!H22="","##BLANK",'4J'!H22)</f>
        <v>7.7869999999999999</v>
      </c>
    </row>
    <row r="2526" spans="2:7">
      <c r="B2526" s="848" t="str">
        <f>+'4J'!AR23</f>
        <v>WS1013RWA</v>
      </c>
      <c r="D2526" s="848"/>
      <c r="E2526" s="1658" t="s">
        <v>9033</v>
      </c>
      <c r="F2526" s="2004"/>
      <c r="G2526" s="2004">
        <f>IF('4J'!H23="","##BLANK",'4J'!H23)</f>
        <v>1.1439999999999999</v>
      </c>
    </row>
    <row r="2527" spans="2:7">
      <c r="B2527" s="848" t="str">
        <f>+'4J'!AR24</f>
        <v>WS1014RWA</v>
      </c>
      <c r="D2527" s="848"/>
      <c r="E2527" s="1658" t="s">
        <v>9033</v>
      </c>
      <c r="F2527" s="2004"/>
      <c r="G2527" s="2004">
        <f>IF('4J'!H24="","##BLANK",'4J'!H24)</f>
        <v>0.60499999999999998</v>
      </c>
    </row>
    <row r="2528" spans="2:7">
      <c r="B2528" s="848" t="str">
        <f>+'4J'!AR25</f>
        <v>WS1015RWA</v>
      </c>
      <c r="D2528" s="848"/>
      <c r="E2528" s="1658" t="s">
        <v>9033</v>
      </c>
      <c r="F2528" s="2004"/>
      <c r="G2528" s="2004">
        <f>IF('4J'!H25="","##BLANK",'4J'!H25)</f>
        <v>3.3130000000000002</v>
      </c>
    </row>
    <row r="2529" spans="2:7">
      <c r="B2529" s="848" t="str">
        <f>+'4J'!AR26</f>
        <v>WS1016RWA</v>
      </c>
      <c r="D2529" s="848"/>
      <c r="E2529" s="1658" t="s">
        <v>9033</v>
      </c>
      <c r="F2529" s="2004"/>
      <c r="G2529" s="2004">
        <f>IF('4J'!H26="","##BLANK",'4J'!H26)</f>
        <v>0</v>
      </c>
    </row>
    <row r="2530" spans="2:7">
      <c r="B2530" s="848" t="str">
        <f>+'4J'!AR27</f>
        <v>WS1017RWA</v>
      </c>
      <c r="D2530" s="848"/>
      <c r="E2530" s="1658" t="s">
        <v>9033</v>
      </c>
      <c r="F2530" s="2004"/>
      <c r="G2530" s="2004">
        <f>IF('4J'!H27="","##BLANK",'4J'!H27)</f>
        <v>12.849</v>
      </c>
    </row>
    <row r="2531" spans="2:7">
      <c r="B2531" s="848" t="str">
        <f>+'4J'!AR28</f>
        <v>WS1018RWA</v>
      </c>
      <c r="D2531" s="848"/>
      <c r="E2531" s="1658" t="s">
        <v>9033</v>
      </c>
      <c r="F2531" s="2004"/>
      <c r="G2531" s="2004">
        <f>IF('4J'!H28="","##BLANK",'4J'!H28)</f>
        <v>0</v>
      </c>
    </row>
    <row r="2532" spans="2:7">
      <c r="B2532" s="848" t="str">
        <f>+'4J'!AR29</f>
        <v>WS1019RWA</v>
      </c>
      <c r="D2532" s="848"/>
      <c r="E2532" s="1658" t="s">
        <v>9033</v>
      </c>
      <c r="F2532" s="2004"/>
      <c r="G2532" s="2004">
        <f>IF('4J'!H29="","##BLANK",'4J'!H29)</f>
        <v>12.849</v>
      </c>
    </row>
    <row r="2533" spans="2:7">
      <c r="B2533" s="848" t="str">
        <f>+'4J'!AR30</f>
        <v>WS1020RWA</v>
      </c>
      <c r="D2533" s="848"/>
      <c r="E2533" s="1658" t="s">
        <v>9033</v>
      </c>
      <c r="F2533" s="2004"/>
      <c r="G2533" s="2004">
        <f>IF('4J'!H30="","##BLANK",'4J'!H30)</f>
        <v>0.23300000000000001</v>
      </c>
    </row>
    <row r="2534" spans="2:7">
      <c r="B2534" s="848" t="str">
        <f>+'4J'!AR31</f>
        <v>WS1021RWA</v>
      </c>
      <c r="D2534" s="848"/>
      <c r="E2534" s="1658" t="s">
        <v>9033</v>
      </c>
      <c r="F2534" s="2004"/>
      <c r="G2534" s="2004">
        <f>IF('4J'!H31="","##BLANK",'4J'!H31)</f>
        <v>36.030999999999999</v>
      </c>
    </row>
    <row r="2535" spans="2:7">
      <c r="B2535" s="848" t="str">
        <f>+'4J'!AR34</f>
        <v>WS1022RWA</v>
      </c>
      <c r="D2535" s="848"/>
      <c r="E2535" s="1658" t="s">
        <v>9033</v>
      </c>
      <c r="F2535" s="2004"/>
      <c r="G2535" s="2004">
        <f>IF('4J'!H34="","##BLANK",'4J'!H34)</f>
        <v>0</v>
      </c>
    </row>
    <row r="2536" spans="2:7">
      <c r="B2536" s="848" t="str">
        <f>+'4J'!AR35</f>
        <v>WS1023RWA</v>
      </c>
      <c r="D2536" s="848"/>
      <c r="E2536" s="1658" t="s">
        <v>9033</v>
      </c>
      <c r="F2536" s="2004"/>
      <c r="G2536" s="2004">
        <f>IF('4J'!H35="","##BLANK",'4J'!H35)</f>
        <v>0</v>
      </c>
    </row>
    <row r="2537" spans="2:7">
      <c r="B2537" s="848" t="str">
        <f>+'4J'!AR36</f>
        <v>WS1024RWA</v>
      </c>
      <c r="D2537" s="848"/>
      <c r="E2537" s="1658" t="s">
        <v>9033</v>
      </c>
      <c r="F2537" s="2004"/>
      <c r="G2537" s="2004">
        <f>IF('4J'!H36="","##BLANK",'4J'!H36)</f>
        <v>36.030999999999999</v>
      </c>
    </row>
    <row r="2538" spans="2:7">
      <c r="B2538" s="848" t="str">
        <f>+'4J'!AR39</f>
        <v>BP3357001RWA</v>
      </c>
      <c r="D2538" s="848"/>
      <c r="E2538" s="1658" t="s">
        <v>9033</v>
      </c>
      <c r="F2538" s="2004" t="str">
        <f>+'4J'!C$39</f>
        <v>Y1 Flooding - Capex</v>
      </c>
      <c r="G2538" s="2004">
        <f>IF('4J'!H39="","##BLANK",'4J'!H39)</f>
        <v>0</v>
      </c>
    </row>
    <row r="2539" spans="2:7">
      <c r="B2539" s="848" t="str">
        <f>+'4J'!AR40</f>
        <v>BP3357002RWA</v>
      </c>
      <c r="D2539" s="848"/>
      <c r="E2539" s="1658" t="s">
        <v>9033</v>
      </c>
      <c r="F2539" s="2004" t="str">
        <f>+'4J'!C$40</f>
        <v>Y5 Flooding Nov - Capex</v>
      </c>
      <c r="G2539" s="2004">
        <f>IF('4J'!H40="","##BLANK",'4J'!H40)</f>
        <v>0</v>
      </c>
    </row>
    <row r="2540" spans="2:7">
      <c r="B2540" s="848" t="str">
        <f>+'4J'!AR41</f>
        <v>BP3357003RWA</v>
      </c>
      <c r="D2540" s="848"/>
      <c r="E2540" s="1658" t="s">
        <v>9033</v>
      </c>
      <c r="F2540" s="2004" t="str">
        <f>+'4J'!C$41</f>
        <v>Y5 Flooding Jan - Capex</v>
      </c>
      <c r="G2540" s="2004">
        <f>IF('4J'!H41="","##BLANK",'4J'!H41)</f>
        <v>0</v>
      </c>
    </row>
    <row r="2541" spans="2:7">
      <c r="B2541" s="848" t="str">
        <f>+'4J'!AR42</f>
        <v>BP3357004RWA</v>
      </c>
      <c r="D2541" s="848"/>
      <c r="E2541" s="1658" t="s">
        <v>9033</v>
      </c>
      <c r="F2541" s="2004" t="str">
        <f>+'4J'!C$42</f>
        <v>2020-25 Transition Expenditure -Capex</v>
      </c>
      <c r="G2541" s="2004">
        <f>IF('4J'!H42="","##BLANK",'4J'!H42)</f>
        <v>0.35699999999999998</v>
      </c>
    </row>
    <row r="2542" spans="2:7">
      <c r="B2542" s="848" t="str">
        <f>+'4J'!AR43</f>
        <v>BP3357005RWA</v>
      </c>
      <c r="D2542" s="848"/>
      <c r="E2542" s="1658" t="s">
        <v>9033</v>
      </c>
      <c r="F2542" s="2004" t="str">
        <f>+'4J'!C$43</f>
        <v>Flooding Nov 19 - Opex</v>
      </c>
      <c r="G2542" s="2004">
        <f>IF('4J'!H43="","##BLANK",'4J'!H43)</f>
        <v>0</v>
      </c>
    </row>
    <row r="2543" spans="2:7">
      <c r="B2543" s="848" t="str">
        <f>+'4J'!AR44</f>
        <v>BP3357006RWA</v>
      </c>
      <c r="D2543" s="848"/>
      <c r="E2543" s="1658" t="s">
        <v>9033</v>
      </c>
      <c r="F2543" s="2004" t="str">
        <f>+'4J'!C$44</f>
        <v>Flooding Feb 20 - Opex</v>
      </c>
      <c r="G2543" s="2004">
        <f>IF('4J'!H44="","##BLANK",'4J'!H44)</f>
        <v>0</v>
      </c>
    </row>
    <row r="2544" spans="2:7">
      <c r="B2544" s="848" t="str">
        <f>+'4J'!AR45</f>
        <v>BP3357007RWA</v>
      </c>
      <c r="D2544" s="848"/>
      <c r="E2544" s="1658" t="s">
        <v>9033</v>
      </c>
      <c r="F2544" s="2004" t="str">
        <f>+'4J'!C$45</f>
        <v>Regulation costs - Opex</v>
      </c>
      <c r="G2544" s="2004">
        <f>IF('4J'!H45="","##BLANK",'4J'!H45)</f>
        <v>8.3000000000000004E-2</v>
      </c>
    </row>
    <row r="2545" spans="2:7">
      <c r="B2545" s="848" t="str">
        <f>+'4J'!AR46</f>
        <v>BP3357008RWA</v>
      </c>
      <c r="D2545" s="848"/>
      <c r="E2545" s="1658" t="s">
        <v>9033</v>
      </c>
      <c r="F2545" s="2004" t="str">
        <f>+'4J'!C$46</f>
        <v>Reorganisational costs - Opex</v>
      </c>
      <c r="G2545" s="2004">
        <f>IF('4J'!H46="","##BLANK",'4J'!H46)</f>
        <v>5.0999999999999997E-2</v>
      </c>
    </row>
    <row r="2546" spans="2:7">
      <c r="B2546" s="848" t="str">
        <f>+'4J'!AR47</f>
        <v>BP3357009RWA</v>
      </c>
      <c r="D2546" s="848"/>
      <c r="E2546" s="1658" t="s">
        <v>9033</v>
      </c>
      <c r="F2546" s="2004" t="str">
        <f>+'4J'!C$47</f>
        <v>Transition expenditure - Opex</v>
      </c>
      <c r="G2546" s="2004">
        <f>IF('4J'!H47="","##BLANK",'4J'!H47)</f>
        <v>4.8000000000000001E-2</v>
      </c>
    </row>
    <row r="2547" spans="2:7">
      <c r="B2547" s="848" t="str">
        <f>+'4J'!AR48</f>
        <v>BP3357010RWA</v>
      </c>
      <c r="D2547" s="848"/>
      <c r="E2547" s="1658" t="s">
        <v>9033</v>
      </c>
      <c r="F2547" s="2004" t="str">
        <f>+'4J'!C$48</f>
        <v>Item 10</v>
      </c>
      <c r="G2547" s="2004" t="str">
        <f>IF('4J'!H48="","##BLANK",'4J'!H48)</f>
        <v>##BLANK</v>
      </c>
    </row>
    <row r="2548" spans="2:7">
      <c r="B2548" s="848" t="str">
        <f>+'4J'!AR49</f>
        <v>BP3357020RWA</v>
      </c>
      <c r="D2548" s="848"/>
      <c r="E2548" s="1658" t="s">
        <v>9033</v>
      </c>
      <c r="F2548" s="2004"/>
      <c r="G2548" s="2004">
        <f>IF('4J'!H49="","##BLANK",'4J'!H49)</f>
        <v>0.53900000000000003</v>
      </c>
    </row>
    <row r="2549" spans="2:7">
      <c r="B2549" s="848" t="str">
        <f>+'4J'!AR52</f>
        <v>W3026TERWA</v>
      </c>
      <c r="D2549" s="848"/>
      <c r="E2549" s="1658" t="s">
        <v>9033</v>
      </c>
      <c r="F2549" s="2004"/>
      <c r="G2549" s="2004">
        <f>IF('4J'!H52="","##BLANK",'4J'!H52)</f>
        <v>36.57</v>
      </c>
    </row>
    <row r="2550" spans="2:7">
      <c r="B2550" s="848" t="str">
        <f>+'4J'!AS7</f>
        <v>WS1001RWT</v>
      </c>
      <c r="D2550" s="848"/>
      <c r="E2550" s="1658" t="s">
        <v>9033</v>
      </c>
      <c r="F2550" s="2004"/>
      <c r="G2550" s="2004">
        <f>IF('4J'!I7="","##BLANK",'4J'!I7)</f>
        <v>4.4109999999999996</v>
      </c>
    </row>
    <row r="2551" spans="2:7">
      <c r="B2551" s="848" t="str">
        <f>+'4J'!AS8</f>
        <v>WS1002RWT</v>
      </c>
      <c r="D2551" s="848"/>
      <c r="E2551" s="1658" t="s">
        <v>9033</v>
      </c>
      <c r="F2551" s="2004"/>
      <c r="G2551" s="2004">
        <f>IF('4J'!I8="","##BLANK",'4J'!I8)</f>
        <v>0</v>
      </c>
    </row>
    <row r="2552" spans="2:7">
      <c r="B2552" s="848" t="str">
        <f>+'4J'!AS9</f>
        <v>WS1003RWT</v>
      </c>
      <c r="D2552" s="848"/>
      <c r="E2552" s="1658" t="s">
        <v>9033</v>
      </c>
      <c r="F2552" s="2004"/>
      <c r="G2552" s="2004">
        <f>IF('4J'!I9="","##BLANK",'4J'!I9)</f>
        <v>0</v>
      </c>
    </row>
    <row r="2553" spans="2:7">
      <c r="B2553" s="848" t="str">
        <f>+'4J'!AS10</f>
        <v>WS1004RWT</v>
      </c>
      <c r="D2553" s="848"/>
      <c r="E2553" s="1658" t="s">
        <v>9033</v>
      </c>
      <c r="F2553" s="2004"/>
      <c r="G2553" s="2004">
        <f>IF('4J'!I10="","##BLANK",'4J'!I10)</f>
        <v>0</v>
      </c>
    </row>
    <row r="2554" spans="2:7">
      <c r="B2554" s="848" t="str">
        <f>+'4J'!AS12</f>
        <v>WS1005RWT</v>
      </c>
      <c r="D2554" s="848"/>
      <c r="E2554" s="1658" t="s">
        <v>9033</v>
      </c>
      <c r="F2554" s="2004"/>
      <c r="G2554" s="2004">
        <f>IF('4J'!I12="","##BLANK",'4J'!I12)</f>
        <v>0</v>
      </c>
    </row>
    <row r="2555" spans="2:7">
      <c r="B2555" s="848" t="str">
        <f>+'4J'!AS13</f>
        <v>WS1006RWT</v>
      </c>
      <c r="D2555" s="848"/>
      <c r="E2555" s="1658" t="s">
        <v>9033</v>
      </c>
      <c r="F2555" s="2004"/>
      <c r="G2555" s="2004">
        <f>IF('4J'!I13="","##BLANK",'4J'!I13)</f>
        <v>0</v>
      </c>
    </row>
    <row r="2556" spans="2:7">
      <c r="B2556" s="848" t="str">
        <f>+'4J'!AS14</f>
        <v>WS1007RWT</v>
      </c>
      <c r="D2556" s="848"/>
      <c r="E2556" s="1658" t="s">
        <v>9033</v>
      </c>
      <c r="F2556" s="2004"/>
      <c r="G2556" s="2004">
        <f>IF('4J'!I14="","##BLANK",'4J'!I14)</f>
        <v>3.4630000000000001</v>
      </c>
    </row>
    <row r="2557" spans="2:7">
      <c r="B2557" s="848" t="str">
        <f>+'4J'!AS15</f>
        <v>WS1008RWT</v>
      </c>
      <c r="D2557" s="848"/>
      <c r="E2557" s="1658" t="s">
        <v>9033</v>
      </c>
      <c r="F2557" s="2004"/>
      <c r="G2557" s="2004">
        <f>IF('4J'!I15="","##BLANK",'4J'!I15)</f>
        <v>1.992</v>
      </c>
    </row>
    <row r="2558" spans="2:7">
      <c r="B2558" s="848" t="str">
        <f>+'4J'!AS16</f>
        <v>WS1009RWT</v>
      </c>
      <c r="D2558" s="848"/>
      <c r="E2558" s="1658" t="s">
        <v>9033</v>
      </c>
      <c r="F2558" s="2004"/>
      <c r="G2558" s="2004">
        <f>IF('4J'!I16="","##BLANK",'4J'!I16)</f>
        <v>9.8659999999999997</v>
      </c>
    </row>
    <row r="2559" spans="2:7">
      <c r="B2559" s="848" t="str">
        <f>+'4J'!AS18</f>
        <v>WS1010RWT</v>
      </c>
      <c r="D2559" s="848"/>
      <c r="E2559" s="1658" t="s">
        <v>9033</v>
      </c>
      <c r="F2559" s="2004"/>
      <c r="G2559" s="2004">
        <f>IF('4J'!I18="","##BLANK",'4J'!I18)</f>
        <v>0</v>
      </c>
    </row>
    <row r="2560" spans="2:7">
      <c r="B2560" s="848" t="str">
        <f>+'4J'!AS19</f>
        <v>WS1011RWT</v>
      </c>
      <c r="D2560" s="848"/>
      <c r="E2560" s="1658" t="s">
        <v>9033</v>
      </c>
      <c r="F2560" s="2004"/>
      <c r="G2560" s="2004">
        <f>IF('4J'!I19="","##BLANK",'4J'!I19)</f>
        <v>9.8659999999999997</v>
      </c>
    </row>
    <row r="2561" spans="2:7">
      <c r="B2561" s="848" t="str">
        <f>+'4J'!AS22</f>
        <v>WS1012RWT</v>
      </c>
      <c r="D2561" s="848"/>
      <c r="E2561" s="1658" t="s">
        <v>9033</v>
      </c>
      <c r="F2561" s="2004"/>
      <c r="G2561" s="2004">
        <f>IF('4J'!I22="","##BLANK",'4J'!I22)</f>
        <v>-5.3999999999999999E-2</v>
      </c>
    </row>
    <row r="2562" spans="2:7">
      <c r="B2562" s="848" t="str">
        <f>+'4J'!AS23</f>
        <v>WS1013RWT</v>
      </c>
      <c r="D2562" s="848"/>
      <c r="E2562" s="1658" t="s">
        <v>9033</v>
      </c>
      <c r="F2562" s="2004"/>
      <c r="G2562" s="2004">
        <f>IF('4J'!I23="","##BLANK",'4J'!I23)</f>
        <v>2.2410000000000001</v>
      </c>
    </row>
    <row r="2563" spans="2:7">
      <c r="B2563" s="848" t="str">
        <f>+'4J'!AS24</f>
        <v>WS1014RWT</v>
      </c>
      <c r="D2563" s="848"/>
      <c r="E2563" s="1658" t="s">
        <v>9033</v>
      </c>
      <c r="F2563" s="2004"/>
      <c r="G2563" s="2004">
        <f>IF('4J'!I24="","##BLANK",'4J'!I24)</f>
        <v>0</v>
      </c>
    </row>
    <row r="2564" spans="2:7">
      <c r="B2564" s="848" t="str">
        <f>+'4J'!AS25</f>
        <v>WS1015RWT</v>
      </c>
      <c r="D2564" s="848"/>
      <c r="E2564" s="1658" t="s">
        <v>9033</v>
      </c>
      <c r="F2564" s="2004"/>
      <c r="G2564" s="2004">
        <f>IF('4J'!I25="","##BLANK",'4J'!I25)</f>
        <v>7.0000000000000001E-3</v>
      </c>
    </row>
    <row r="2565" spans="2:7">
      <c r="B2565" s="848" t="str">
        <f>+'4J'!AS26</f>
        <v>WS1016RWT</v>
      </c>
      <c r="D2565" s="848"/>
      <c r="E2565" s="1658" t="s">
        <v>9033</v>
      </c>
      <c r="F2565" s="2004"/>
      <c r="G2565" s="2004">
        <f>IF('4J'!I26="","##BLANK",'4J'!I26)</f>
        <v>0</v>
      </c>
    </row>
    <row r="2566" spans="2:7">
      <c r="B2566" s="848" t="str">
        <f>+'4J'!AS27</f>
        <v>WS1017RWT</v>
      </c>
      <c r="D2566" s="848"/>
      <c r="E2566" s="1658" t="s">
        <v>9033</v>
      </c>
      <c r="F2566" s="2004"/>
      <c r="G2566" s="2004">
        <f>IF('4J'!I27="","##BLANK",'4J'!I27)</f>
        <v>2.1940000000000004</v>
      </c>
    </row>
    <row r="2567" spans="2:7">
      <c r="B2567" s="848" t="str">
        <f>+'4J'!AS28</f>
        <v>WS1018RWT</v>
      </c>
      <c r="D2567" s="848"/>
      <c r="E2567" s="1658" t="s">
        <v>9033</v>
      </c>
      <c r="F2567" s="2004"/>
      <c r="G2567" s="2004">
        <f>IF('4J'!I28="","##BLANK",'4J'!I28)</f>
        <v>0</v>
      </c>
    </row>
    <row r="2568" spans="2:7">
      <c r="B2568" s="848" t="str">
        <f>+'4J'!AS29</f>
        <v>WS1019RWT</v>
      </c>
      <c r="D2568" s="848"/>
      <c r="E2568" s="1658" t="s">
        <v>9033</v>
      </c>
      <c r="F2568" s="2004"/>
      <c r="G2568" s="2004">
        <f>IF('4J'!I29="","##BLANK",'4J'!I29)</f>
        <v>2.1940000000000004</v>
      </c>
    </row>
    <row r="2569" spans="2:7">
      <c r="B2569" s="848" t="str">
        <f>+'4J'!AS30</f>
        <v>WS1020RWT</v>
      </c>
      <c r="D2569" s="848"/>
      <c r="E2569" s="1658" t="s">
        <v>9033</v>
      </c>
      <c r="F2569" s="2004"/>
      <c r="G2569" s="2004">
        <f>IF('4J'!I30="","##BLANK",'4J'!I30)</f>
        <v>0</v>
      </c>
    </row>
    <row r="2570" spans="2:7">
      <c r="B2570" s="848" t="str">
        <f>+'4J'!AS31</f>
        <v>WS1021RWT</v>
      </c>
      <c r="D2570" s="848"/>
      <c r="E2570" s="1658" t="s">
        <v>9033</v>
      </c>
      <c r="F2570" s="2004"/>
      <c r="G2570" s="2004">
        <f>IF('4J'!I31="","##BLANK",'4J'!I31)</f>
        <v>12.06</v>
      </c>
    </row>
    <row r="2571" spans="2:7">
      <c r="B2571" s="848" t="str">
        <f>+'4J'!AS34</f>
        <v>WS1022RWT</v>
      </c>
      <c r="D2571" s="848"/>
      <c r="E2571" s="1658" t="s">
        <v>9033</v>
      </c>
      <c r="F2571" s="2004"/>
      <c r="G2571" s="2004">
        <f>IF('4J'!I34="","##BLANK",'4J'!I34)</f>
        <v>0</v>
      </c>
    </row>
    <row r="2572" spans="2:7">
      <c r="B2572" s="848" t="str">
        <f>+'4J'!AS35</f>
        <v>WS1023RWT</v>
      </c>
      <c r="D2572" s="848"/>
      <c r="E2572" s="1658" t="s">
        <v>9033</v>
      </c>
      <c r="F2572" s="2004"/>
      <c r="G2572" s="2004">
        <f>IF('4J'!I35="","##BLANK",'4J'!I35)</f>
        <v>0</v>
      </c>
    </row>
    <row r="2573" spans="2:7">
      <c r="B2573" s="848" t="str">
        <f>+'4J'!AS36</f>
        <v>WS1024RWT</v>
      </c>
      <c r="D2573" s="848"/>
      <c r="E2573" s="1658" t="s">
        <v>9033</v>
      </c>
      <c r="F2573" s="2004"/>
      <c r="G2573" s="2004">
        <f>IF('4J'!I36="","##BLANK",'4J'!I36)</f>
        <v>12.06</v>
      </c>
    </row>
    <row r="2574" spans="2:7">
      <c r="B2574" s="848" t="str">
        <f>+'4J'!AS39</f>
        <v>BP3357001RWT</v>
      </c>
      <c r="D2574" s="848"/>
      <c r="E2574" s="1658" t="s">
        <v>9033</v>
      </c>
      <c r="F2574" s="2004" t="str">
        <f>+'4J'!C$39</f>
        <v>Y1 Flooding - Capex</v>
      </c>
      <c r="G2574" s="2004">
        <f>IF('4J'!I39="","##BLANK",'4J'!I39)</f>
        <v>2E-3</v>
      </c>
    </row>
    <row r="2575" spans="2:7">
      <c r="B2575" s="848" t="str">
        <f>+'4J'!AS40</f>
        <v>BP3357002RWT</v>
      </c>
      <c r="D2575" s="848"/>
      <c r="E2575" s="1658" t="s">
        <v>9033</v>
      </c>
      <c r="F2575" s="2004" t="str">
        <f>+'4J'!C$40</f>
        <v>Y5 Flooding Nov - Capex</v>
      </c>
      <c r="G2575" s="2004">
        <f>IF('4J'!I40="","##BLANK",'4J'!I40)</f>
        <v>0</v>
      </c>
    </row>
    <row r="2576" spans="2:7">
      <c r="B2576" s="848" t="str">
        <f>+'4J'!AS41</f>
        <v>BP3357003RWT</v>
      </c>
      <c r="D2576" s="848"/>
      <c r="E2576" s="1658" t="s">
        <v>9033</v>
      </c>
      <c r="F2576" s="2004" t="str">
        <f>+'4J'!C$41</f>
        <v>Y5 Flooding Jan - Capex</v>
      </c>
      <c r="G2576" s="2004">
        <f>IF('4J'!I41="","##BLANK",'4J'!I41)</f>
        <v>0</v>
      </c>
    </row>
    <row r="2577" spans="2:7">
      <c r="B2577" s="848" t="str">
        <f>+'4J'!AS42</f>
        <v>BP3357004RWT</v>
      </c>
      <c r="D2577" s="848"/>
      <c r="E2577" s="1658" t="s">
        <v>9033</v>
      </c>
      <c r="F2577" s="2004" t="str">
        <f>+'4J'!C$42</f>
        <v>2020-25 Transition Expenditure -Capex</v>
      </c>
      <c r="G2577" s="2004">
        <f>IF('4J'!I42="","##BLANK",'4J'!I42)</f>
        <v>0</v>
      </c>
    </row>
    <row r="2578" spans="2:7">
      <c r="B2578" s="848" t="str">
        <f>+'4J'!AS43</f>
        <v>BP3357005RWT</v>
      </c>
      <c r="D2578" s="848"/>
      <c r="E2578" s="1658" t="s">
        <v>9033</v>
      </c>
      <c r="F2578" s="2004" t="str">
        <f>+'4J'!C$43</f>
        <v>Flooding Nov 19 - Opex</v>
      </c>
      <c r="G2578" s="2004">
        <f>IF('4J'!I43="","##BLANK",'4J'!I43)</f>
        <v>0</v>
      </c>
    </row>
    <row r="2579" spans="2:7">
      <c r="B2579" s="848" t="str">
        <f>+'4J'!AS44</f>
        <v>BP3357006RWT</v>
      </c>
      <c r="D2579" s="848"/>
      <c r="E2579" s="1658" t="s">
        <v>9033</v>
      </c>
      <c r="F2579" s="2004" t="str">
        <f>+'4J'!C$44</f>
        <v>Flooding Feb 20 - Opex</v>
      </c>
      <c r="G2579" s="2004">
        <f>IF('4J'!I44="","##BLANK",'4J'!I44)</f>
        <v>0</v>
      </c>
    </row>
    <row r="2580" spans="2:7">
      <c r="B2580" s="848" t="str">
        <f>+'4J'!AS45</f>
        <v>BP3357007RWT</v>
      </c>
      <c r="D2580" s="848"/>
      <c r="E2580" s="1658" t="s">
        <v>9033</v>
      </c>
      <c r="F2580" s="2004" t="str">
        <f>+'4J'!C$45</f>
        <v>Regulation costs - Opex</v>
      </c>
      <c r="G2580" s="2004">
        <f>IF('4J'!I45="","##BLANK",'4J'!I45)</f>
        <v>0.108</v>
      </c>
    </row>
    <row r="2581" spans="2:7">
      <c r="B2581" s="848" t="str">
        <f>+'4J'!AS46</f>
        <v>BP3357008RWT</v>
      </c>
      <c r="D2581" s="848"/>
      <c r="E2581" s="1658" t="s">
        <v>9033</v>
      </c>
      <c r="F2581" s="2004" t="str">
        <f>+'4J'!C$46</f>
        <v>Reorganisational costs - Opex</v>
      </c>
      <c r="G2581" s="2004">
        <f>IF('4J'!I46="","##BLANK",'4J'!I46)</f>
        <v>2.4E-2</v>
      </c>
    </row>
    <row r="2582" spans="2:7">
      <c r="B2582" s="848" t="str">
        <f>+'4J'!AS47</f>
        <v>BP3357009RWT</v>
      </c>
      <c r="D2582" s="848"/>
      <c r="E2582" s="1658" t="s">
        <v>9033</v>
      </c>
      <c r="F2582" s="2004" t="str">
        <f>+'4J'!C$47</f>
        <v>Transition expenditure - Opex</v>
      </c>
      <c r="G2582" s="2004">
        <f>IF('4J'!I47="","##BLANK",'4J'!I47)</f>
        <v>0</v>
      </c>
    </row>
    <row r="2583" spans="2:7">
      <c r="B2583" s="848" t="str">
        <f>+'4J'!AS48</f>
        <v>BP3357010RWT</v>
      </c>
      <c r="D2583" s="848"/>
      <c r="E2583" s="1658" t="s">
        <v>9033</v>
      </c>
      <c r="F2583" s="2004" t="str">
        <f>+'4J'!C$48</f>
        <v>Item 10</v>
      </c>
      <c r="G2583" s="2004" t="str">
        <f>IF('4J'!I48="","##BLANK",'4J'!I48)</f>
        <v>##BLANK</v>
      </c>
    </row>
    <row r="2584" spans="2:7">
      <c r="B2584" s="848" t="str">
        <f>+'4J'!AS49</f>
        <v>BP3357020RWT</v>
      </c>
      <c r="D2584" s="848"/>
      <c r="E2584" s="1658" t="s">
        <v>9033</v>
      </c>
      <c r="F2584" s="2004"/>
      <c r="G2584" s="2004">
        <f>IF('4J'!I49="","##BLANK",'4J'!I49)</f>
        <v>0.13400000000000001</v>
      </c>
    </row>
    <row r="2585" spans="2:7">
      <c r="B2585" s="848" t="str">
        <f>+'4J'!AS52</f>
        <v>W3026TERWT</v>
      </c>
      <c r="D2585" s="848"/>
      <c r="E2585" s="1658" t="s">
        <v>9033</v>
      </c>
      <c r="F2585" s="2004"/>
      <c r="G2585" s="2004">
        <f>IF('4J'!I52="","##BLANK",'4J'!I52)</f>
        <v>12.194000000000001</v>
      </c>
    </row>
    <row r="2586" spans="2:7">
      <c r="B2586" s="848" t="str">
        <f>+'4J'!AT7</f>
        <v>WS1001RWS</v>
      </c>
      <c r="D2586" s="848"/>
      <c r="E2586" s="1658" t="s">
        <v>9033</v>
      </c>
      <c r="F2586" s="2004"/>
      <c r="G2586" s="2004">
        <f>IF('4J'!J7="","##BLANK",'4J'!J7)</f>
        <v>2E-3</v>
      </c>
    </row>
    <row r="2587" spans="2:7">
      <c r="B2587" s="848" t="str">
        <f>+'4J'!AT8</f>
        <v>WS1002RWS</v>
      </c>
      <c r="D2587" s="848"/>
      <c r="E2587" s="1658" t="s">
        <v>9033</v>
      </c>
      <c r="F2587" s="2004"/>
      <c r="G2587" s="2004">
        <f>IF('4J'!J8="","##BLANK",'4J'!J8)</f>
        <v>0</v>
      </c>
    </row>
    <row r="2588" spans="2:7">
      <c r="B2588" s="848" t="str">
        <f>+'4J'!AT9</f>
        <v>WS1003RWS</v>
      </c>
      <c r="D2588" s="848"/>
      <c r="E2588" s="1658" t="s">
        <v>9033</v>
      </c>
      <c r="F2588" s="2004"/>
      <c r="G2588" s="2004">
        <f>IF('4J'!J9="","##BLANK",'4J'!J9)</f>
        <v>0</v>
      </c>
    </row>
    <row r="2589" spans="2:7">
      <c r="B2589" s="848" t="str">
        <f>+'4J'!AT10</f>
        <v>WS1004RWS</v>
      </c>
      <c r="D2589" s="848"/>
      <c r="E2589" s="1658" t="s">
        <v>9033</v>
      </c>
      <c r="F2589" s="2004"/>
      <c r="G2589" s="2004">
        <f>IF('4J'!J10="","##BLANK",'4J'!J10)</f>
        <v>0</v>
      </c>
    </row>
    <row r="2590" spans="2:7">
      <c r="B2590" s="848" t="str">
        <f>+'4J'!AT12</f>
        <v>WS1005RWS</v>
      </c>
      <c r="D2590" s="848"/>
      <c r="E2590" s="1658" t="s">
        <v>9033</v>
      </c>
      <c r="F2590" s="2004"/>
      <c r="G2590" s="2004">
        <f>IF('4J'!J12="","##BLANK",'4J'!J12)</f>
        <v>0</v>
      </c>
    </row>
    <row r="2591" spans="2:7">
      <c r="B2591" s="848" t="str">
        <f>+'4J'!AT13</f>
        <v>WS1006RWS</v>
      </c>
      <c r="D2591" s="848"/>
      <c r="E2591" s="1658" t="s">
        <v>9033</v>
      </c>
      <c r="F2591" s="2004"/>
      <c r="G2591" s="2004">
        <f>IF('4J'!J13="","##BLANK",'4J'!J13)</f>
        <v>0</v>
      </c>
    </row>
    <row r="2592" spans="2:7">
      <c r="B2592" s="848" t="str">
        <f>+'4J'!AT14</f>
        <v>WS1007RWS</v>
      </c>
      <c r="D2592" s="848"/>
      <c r="E2592" s="1658" t="s">
        <v>9033</v>
      </c>
      <c r="F2592" s="2004"/>
      <c r="G2592" s="2004">
        <f>IF('4J'!J14="","##BLANK",'4J'!J14)</f>
        <v>1.036</v>
      </c>
    </row>
    <row r="2593" spans="2:7">
      <c r="B2593" s="848" t="str">
        <f>+'4J'!AT15</f>
        <v>WS1008RWS</v>
      </c>
      <c r="D2593" s="848"/>
      <c r="E2593" s="1658" t="s">
        <v>9033</v>
      </c>
      <c r="F2593" s="2004"/>
      <c r="G2593" s="2004">
        <f>IF('4J'!J15="","##BLANK",'4J'!J15)</f>
        <v>0.67400000000000004</v>
      </c>
    </row>
    <row r="2594" spans="2:7">
      <c r="B2594" s="848" t="str">
        <f>+'4J'!AT16</f>
        <v>WS1009RWS</v>
      </c>
      <c r="D2594" s="848"/>
      <c r="E2594" s="1658" t="s">
        <v>9033</v>
      </c>
      <c r="F2594" s="2004"/>
      <c r="G2594" s="2004">
        <f>IF('4J'!J16="","##BLANK",'4J'!J16)</f>
        <v>1.7120000000000002</v>
      </c>
    </row>
    <row r="2595" spans="2:7">
      <c r="B2595" s="848" t="str">
        <f>+'4J'!AT18</f>
        <v>WS1010RWS</v>
      </c>
      <c r="D2595" s="848"/>
      <c r="E2595" s="1658" t="s">
        <v>9033</v>
      </c>
      <c r="F2595" s="2004"/>
      <c r="G2595" s="2004">
        <f>IF('4J'!J18="","##BLANK",'4J'!J18)</f>
        <v>0</v>
      </c>
    </row>
    <row r="2596" spans="2:7">
      <c r="B2596" s="848" t="str">
        <f>+'4J'!AT19</f>
        <v>WS1011RWS</v>
      </c>
      <c r="D2596" s="848"/>
      <c r="E2596" s="1658" t="s">
        <v>9033</v>
      </c>
      <c r="F2596" s="2004"/>
      <c r="G2596" s="2004">
        <f>IF('4J'!J19="","##BLANK",'4J'!J19)</f>
        <v>1.7120000000000002</v>
      </c>
    </row>
    <row r="2597" spans="2:7">
      <c r="B2597" s="848" t="str">
        <f>+'4J'!AT22</f>
        <v>WS1012RWS</v>
      </c>
      <c r="D2597" s="848"/>
      <c r="E2597" s="1658" t="s">
        <v>9033</v>
      </c>
      <c r="F2597" s="2004"/>
      <c r="G2597" s="2004">
        <f>IF('4J'!J22="","##BLANK",'4J'!J22)</f>
        <v>-0.25900000000000001</v>
      </c>
    </row>
    <row r="2598" spans="2:7">
      <c r="B2598" s="848" t="str">
        <f>+'4J'!AT23</f>
        <v>WS1013RWS</v>
      </c>
      <c r="D2598" s="848"/>
      <c r="E2598" s="1658" t="s">
        <v>9033</v>
      </c>
      <c r="F2598" s="2004"/>
      <c r="G2598" s="2004">
        <f>IF('4J'!J23="","##BLANK",'4J'!J23)</f>
        <v>0.40699999999999997</v>
      </c>
    </row>
    <row r="2599" spans="2:7">
      <c r="B2599" s="848" t="str">
        <f>+'4J'!AT24</f>
        <v>WS1014RWS</v>
      </c>
      <c r="D2599" s="848"/>
      <c r="E2599" s="1658" t="s">
        <v>9033</v>
      </c>
      <c r="F2599" s="2004"/>
      <c r="G2599" s="2004">
        <f>IF('4J'!J24="","##BLANK",'4J'!J24)</f>
        <v>0</v>
      </c>
    </row>
    <row r="2600" spans="2:7">
      <c r="B2600" s="848" t="str">
        <f>+'4J'!AT25</f>
        <v>WS1015RWS</v>
      </c>
      <c r="D2600" s="848"/>
      <c r="E2600" s="1658" t="s">
        <v>9033</v>
      </c>
      <c r="F2600" s="2004"/>
      <c r="G2600" s="2004">
        <f>IF('4J'!J25="","##BLANK",'4J'!J25)</f>
        <v>1.7999999999999999E-2</v>
      </c>
    </row>
    <row r="2601" spans="2:7">
      <c r="B2601" s="848" t="str">
        <f>+'4J'!AT26</f>
        <v>WS1016RWS</v>
      </c>
      <c r="D2601" s="848"/>
      <c r="E2601" s="1658" t="s">
        <v>9033</v>
      </c>
      <c r="F2601" s="2004"/>
      <c r="G2601" s="2004">
        <f>IF('4J'!J26="","##BLANK",'4J'!J26)</f>
        <v>0</v>
      </c>
    </row>
    <row r="2602" spans="2:7">
      <c r="B2602" s="848" t="str">
        <f>+'4J'!AT27</f>
        <v>WS1017RWS</v>
      </c>
      <c r="D2602" s="848"/>
      <c r="E2602" s="1658" t="s">
        <v>9033</v>
      </c>
      <c r="F2602" s="2004"/>
      <c r="G2602" s="2004">
        <f>IF('4J'!J27="","##BLANK",'4J'!J27)</f>
        <v>0.16599999999999995</v>
      </c>
    </row>
    <row r="2603" spans="2:7">
      <c r="B2603" s="848" t="str">
        <f>+'4J'!AT28</f>
        <v>WS1018RWS</v>
      </c>
      <c r="D2603" s="848"/>
      <c r="E2603" s="1658" t="s">
        <v>9033</v>
      </c>
      <c r="F2603" s="2004"/>
      <c r="G2603" s="2004">
        <f>IF('4J'!J28="","##BLANK",'4J'!J28)</f>
        <v>0</v>
      </c>
    </row>
    <row r="2604" spans="2:7">
      <c r="B2604" s="848" t="str">
        <f>+'4J'!AT29</f>
        <v>WS1019RWS</v>
      </c>
      <c r="D2604" s="848"/>
      <c r="E2604" s="1658" t="s">
        <v>9033</v>
      </c>
      <c r="F2604" s="2004"/>
      <c r="G2604" s="2004">
        <f>IF('4J'!J29="","##BLANK",'4J'!J29)</f>
        <v>0.16599999999999995</v>
      </c>
    </row>
    <row r="2605" spans="2:7">
      <c r="B2605" s="848" t="str">
        <f>+'4J'!AT30</f>
        <v>WS1020RWS</v>
      </c>
      <c r="D2605" s="848"/>
      <c r="E2605" s="1658" t="s">
        <v>9033</v>
      </c>
      <c r="F2605" s="2004"/>
      <c r="G2605" s="2004">
        <f>IF('4J'!J30="","##BLANK",'4J'!J30)</f>
        <v>0</v>
      </c>
    </row>
    <row r="2606" spans="2:7">
      <c r="B2606" s="848" t="str">
        <f>+'4J'!AT31</f>
        <v>WS1021RWS</v>
      </c>
      <c r="D2606" s="848"/>
      <c r="E2606" s="1658" t="s">
        <v>9033</v>
      </c>
      <c r="F2606" s="2004"/>
      <c r="G2606" s="2004">
        <f>IF('4J'!J31="","##BLANK",'4J'!J31)</f>
        <v>1.8780000000000001</v>
      </c>
    </row>
    <row r="2607" spans="2:7">
      <c r="B2607" s="848" t="str">
        <f>+'4J'!AT34</f>
        <v>WS1022RWS</v>
      </c>
      <c r="D2607" s="848"/>
      <c r="E2607" s="1658" t="s">
        <v>9033</v>
      </c>
      <c r="F2607" s="2004"/>
      <c r="G2607" s="2004">
        <f>IF('4J'!J34="","##BLANK",'4J'!J34)</f>
        <v>0</v>
      </c>
    </row>
    <row r="2608" spans="2:7">
      <c r="B2608" s="848" t="str">
        <f>+'4J'!AT35</f>
        <v>WS1023RWS</v>
      </c>
      <c r="D2608" s="848"/>
      <c r="E2608" s="1658" t="s">
        <v>9033</v>
      </c>
      <c r="F2608" s="2004"/>
      <c r="G2608" s="2004">
        <f>IF('4J'!J35="","##BLANK",'4J'!J35)</f>
        <v>0</v>
      </c>
    </row>
    <row r="2609" spans="2:7">
      <c r="B2609" s="848" t="str">
        <f>+'4J'!AT36</f>
        <v>WS1024RWS</v>
      </c>
      <c r="D2609" s="848"/>
      <c r="E2609" s="1658" t="s">
        <v>9033</v>
      </c>
      <c r="F2609" s="2004"/>
      <c r="G2609" s="2004">
        <f>IF('4J'!J36="","##BLANK",'4J'!J36)</f>
        <v>1.8780000000000001</v>
      </c>
    </row>
    <row r="2610" spans="2:7">
      <c r="B2610" s="848" t="str">
        <f>+'4J'!AT39</f>
        <v>BP3357001RWS</v>
      </c>
      <c r="D2610" s="848"/>
      <c r="E2610" s="1658" t="s">
        <v>9033</v>
      </c>
      <c r="F2610" s="2004" t="str">
        <f>+'4J'!C$39</f>
        <v>Y1 Flooding - Capex</v>
      </c>
      <c r="G2610" s="2004">
        <f>IF('4J'!J39="","##BLANK",'4J'!J39)</f>
        <v>0</v>
      </c>
    </row>
    <row r="2611" spans="2:7">
      <c r="B2611" s="848" t="str">
        <f>+'4J'!AT40</f>
        <v>BP3357002RWS</v>
      </c>
      <c r="D2611" s="848"/>
      <c r="E2611" s="1658" t="s">
        <v>9033</v>
      </c>
      <c r="F2611" s="2004" t="str">
        <f>+'4J'!C$40</f>
        <v>Y5 Flooding Nov - Capex</v>
      </c>
      <c r="G2611" s="2004">
        <f>IF('4J'!J40="","##BLANK",'4J'!J40)</f>
        <v>0</v>
      </c>
    </row>
    <row r="2612" spans="2:7">
      <c r="B2612" s="848" t="str">
        <f>+'4J'!AT41</f>
        <v>BP3357003RWS</v>
      </c>
      <c r="D2612" s="848"/>
      <c r="E2612" s="1658" t="s">
        <v>9033</v>
      </c>
      <c r="F2612" s="2004" t="str">
        <f>+'4J'!C$41</f>
        <v>Y5 Flooding Jan - Capex</v>
      </c>
      <c r="G2612" s="2004">
        <f>IF('4J'!J41="","##BLANK",'4J'!J41)</f>
        <v>0</v>
      </c>
    </row>
    <row r="2613" spans="2:7">
      <c r="B2613" s="848" t="str">
        <f>+'4J'!AT42</f>
        <v>BP3357004RWS</v>
      </c>
      <c r="D2613" s="848"/>
      <c r="E2613" s="1658" t="s">
        <v>9033</v>
      </c>
      <c r="F2613" s="2004" t="str">
        <f>+'4J'!C$42</f>
        <v>2020-25 Transition Expenditure -Capex</v>
      </c>
      <c r="G2613" s="2004">
        <f>IF('4J'!J42="","##BLANK",'4J'!J42)</f>
        <v>0</v>
      </c>
    </row>
    <row r="2614" spans="2:7">
      <c r="B2614" s="848" t="str">
        <f>+'4J'!AT43</f>
        <v>BP3357005RWS</v>
      </c>
      <c r="D2614" s="848"/>
      <c r="E2614" s="1658" t="s">
        <v>9033</v>
      </c>
      <c r="F2614" s="2004" t="str">
        <f>+'4J'!C$43</f>
        <v>Flooding Nov 19 - Opex</v>
      </c>
      <c r="G2614" s="2004">
        <f>IF('4J'!J43="","##BLANK",'4J'!J43)</f>
        <v>0</v>
      </c>
    </row>
    <row r="2615" spans="2:7">
      <c r="B2615" s="848" t="str">
        <f>+'4J'!AT44</f>
        <v>BP3357006RWS</v>
      </c>
      <c r="D2615" s="848"/>
      <c r="E2615" s="1658" t="s">
        <v>9033</v>
      </c>
      <c r="F2615" s="2004" t="str">
        <f>+'4J'!C$44</f>
        <v>Flooding Feb 20 - Opex</v>
      </c>
      <c r="G2615" s="2004">
        <f>IF('4J'!J44="","##BLANK",'4J'!J44)</f>
        <v>0</v>
      </c>
    </row>
    <row r="2616" spans="2:7">
      <c r="B2616" s="848" t="str">
        <f>+'4J'!AT45</f>
        <v>BP3357007RWS</v>
      </c>
      <c r="D2616" s="848"/>
      <c r="E2616" s="1658" t="s">
        <v>9033</v>
      </c>
      <c r="F2616" s="2004" t="str">
        <f>+'4J'!C$45</f>
        <v>Regulation costs - Opex</v>
      </c>
      <c r="G2616" s="2004">
        <f>IF('4J'!J45="","##BLANK",'4J'!J45)</f>
        <v>1.4E-2</v>
      </c>
    </row>
    <row r="2617" spans="2:7">
      <c r="B2617" s="848" t="str">
        <f>+'4J'!AT46</f>
        <v>BP3357008RWS</v>
      </c>
      <c r="D2617" s="848"/>
      <c r="E2617" s="1658" t="s">
        <v>9033</v>
      </c>
      <c r="F2617" s="2004" t="str">
        <f>+'4J'!C$46</f>
        <v>Reorganisational costs - Opex</v>
      </c>
      <c r="G2617" s="2004">
        <f>IF('4J'!J46="","##BLANK",'4J'!J46)</f>
        <v>6.0000000000000001E-3</v>
      </c>
    </row>
    <row r="2618" spans="2:7">
      <c r="B2618" s="848" t="str">
        <f>+'4J'!AT47</f>
        <v>BP3357009RWS</v>
      </c>
      <c r="D2618" s="848"/>
      <c r="E2618" s="1658" t="s">
        <v>9033</v>
      </c>
      <c r="F2618" s="2004" t="str">
        <f>+'4J'!C$47</f>
        <v>Transition expenditure - Opex</v>
      </c>
      <c r="G2618" s="2004">
        <f>IF('4J'!J47="","##BLANK",'4J'!J47)</f>
        <v>0</v>
      </c>
    </row>
    <row r="2619" spans="2:7">
      <c r="B2619" s="848" t="str">
        <f>+'4J'!AT48</f>
        <v>BP3357010RWS</v>
      </c>
      <c r="D2619" s="848"/>
      <c r="E2619" s="1658" t="s">
        <v>9033</v>
      </c>
      <c r="F2619" s="2004" t="str">
        <f>+'4J'!C$48</f>
        <v>Item 10</v>
      </c>
      <c r="G2619" s="2004" t="str">
        <f>IF('4J'!J48="","##BLANK",'4J'!J48)</f>
        <v>##BLANK</v>
      </c>
    </row>
    <row r="2620" spans="2:7">
      <c r="B2620" s="848" t="str">
        <f>+'4J'!AT49</f>
        <v>BP3357020RWS</v>
      </c>
      <c r="D2620" s="848"/>
      <c r="E2620" s="1658" t="s">
        <v>9033</v>
      </c>
      <c r="F2620" s="2004"/>
      <c r="G2620" s="2004">
        <f>IF('4J'!J49="","##BLANK",'4J'!J49)</f>
        <v>0.02</v>
      </c>
    </row>
    <row r="2621" spans="2:7">
      <c r="B2621" s="848" t="str">
        <f>+'4J'!AT52</f>
        <v>W3026TERWS</v>
      </c>
      <c r="D2621" s="848"/>
      <c r="E2621" s="1658" t="s">
        <v>9033</v>
      </c>
      <c r="F2621" s="2004"/>
      <c r="G2621" s="2004">
        <f>IF('4J'!J52="","##BLANK",'4J'!J52)</f>
        <v>1.8980000000000001</v>
      </c>
    </row>
    <row r="2622" spans="2:7">
      <c r="B2622" s="848" t="str">
        <f>+'4J'!AU7</f>
        <v>WS1001WT</v>
      </c>
      <c r="D2622" s="848"/>
      <c r="E2622" s="1658" t="s">
        <v>9033</v>
      </c>
      <c r="F2622" s="2004"/>
      <c r="G2622" s="2004">
        <f>IF('4J'!K7="","##BLANK",'4J'!K7)</f>
        <v>9.2940000000000005</v>
      </c>
    </row>
    <row r="2623" spans="2:7">
      <c r="B2623" s="848" t="str">
        <f>+'4J'!AU8</f>
        <v>WS1002WT</v>
      </c>
      <c r="D2623" s="848"/>
      <c r="E2623" s="1658" t="s">
        <v>9033</v>
      </c>
      <c r="F2623" s="2004"/>
      <c r="G2623" s="2004">
        <f>IF('4J'!K8="","##BLANK",'4J'!K8)</f>
        <v>0</v>
      </c>
    </row>
    <row r="2624" spans="2:7">
      <c r="B2624" s="848" t="str">
        <f>+'4J'!AU9</f>
        <v>WS1003WT</v>
      </c>
      <c r="D2624" s="848"/>
      <c r="E2624" s="1658" t="s">
        <v>9033</v>
      </c>
      <c r="F2624" s="2004"/>
      <c r="G2624" s="2004">
        <f>IF('4J'!K9="","##BLANK",'4J'!K9)</f>
        <v>4.0000000000000001E-3</v>
      </c>
    </row>
    <row r="2625" spans="2:7">
      <c r="B2625" s="848" t="str">
        <f>+'4J'!AU10</f>
        <v>WS1004WT</v>
      </c>
      <c r="D2625" s="848"/>
      <c r="E2625" s="1658" t="s">
        <v>9033</v>
      </c>
      <c r="F2625" s="2004"/>
      <c r="G2625" s="2004">
        <f>IF('4J'!K10="","##BLANK",'4J'!K10)</f>
        <v>0</v>
      </c>
    </row>
    <row r="2626" spans="2:7">
      <c r="B2626" s="848" t="str">
        <f>+'4J'!AU12</f>
        <v>WS1005WT</v>
      </c>
      <c r="D2626" s="848"/>
      <c r="E2626" s="1658" t="s">
        <v>9033</v>
      </c>
      <c r="F2626" s="2004"/>
      <c r="G2626" s="2004">
        <f>IF('4J'!K12="","##BLANK",'4J'!K12)</f>
        <v>0</v>
      </c>
    </row>
    <row r="2627" spans="2:7">
      <c r="B2627" s="848" t="str">
        <f>+'4J'!AU13</f>
        <v>WS1006WT</v>
      </c>
      <c r="D2627" s="848"/>
      <c r="E2627" s="1658" t="s">
        <v>9033</v>
      </c>
      <c r="F2627" s="2004"/>
      <c r="G2627" s="2004">
        <f>IF('4J'!K13="","##BLANK",'4J'!K13)</f>
        <v>0</v>
      </c>
    </row>
    <row r="2628" spans="2:7">
      <c r="B2628" s="848" t="str">
        <f>+'4J'!AU14</f>
        <v>WS1007WT</v>
      </c>
      <c r="D2628" s="848"/>
      <c r="E2628" s="1658" t="s">
        <v>9033</v>
      </c>
      <c r="F2628" s="2004"/>
      <c r="G2628" s="2004">
        <f>IF('4J'!K14="","##BLANK",'4J'!K14)</f>
        <v>46.037999999999997</v>
      </c>
    </row>
    <row r="2629" spans="2:7">
      <c r="B2629" s="848" t="str">
        <f>+'4J'!AU15</f>
        <v>WS1008WT</v>
      </c>
      <c r="D2629" s="848"/>
      <c r="E2629" s="1658" t="s">
        <v>9033</v>
      </c>
      <c r="F2629" s="2004"/>
      <c r="G2629" s="2004">
        <f>IF('4J'!K15="","##BLANK",'4J'!K15)</f>
        <v>1.179</v>
      </c>
    </row>
    <row r="2630" spans="2:7">
      <c r="B2630" s="848" t="str">
        <f>+'4J'!AU16</f>
        <v>WS1009WT</v>
      </c>
      <c r="D2630" s="848"/>
      <c r="E2630" s="1658" t="s">
        <v>9033</v>
      </c>
      <c r="F2630" s="2004"/>
      <c r="G2630" s="2004">
        <f>IF('4J'!K16="","##BLANK",'4J'!K16)</f>
        <v>56.515000000000001</v>
      </c>
    </row>
    <row r="2631" spans="2:7">
      <c r="B2631" s="848" t="str">
        <f>+'4J'!AU18</f>
        <v>WS1010WT</v>
      </c>
      <c r="D2631" s="848"/>
      <c r="E2631" s="1658" t="s">
        <v>9033</v>
      </c>
      <c r="F2631" s="2004"/>
      <c r="G2631" s="2004">
        <f>IF('4J'!K18="","##BLANK",'4J'!K18)</f>
        <v>0</v>
      </c>
    </row>
    <row r="2632" spans="2:7">
      <c r="B2632" s="848" t="str">
        <f>+'4J'!AU19</f>
        <v>WS1011WT</v>
      </c>
      <c r="D2632" s="848"/>
      <c r="E2632" s="1658" t="s">
        <v>9033</v>
      </c>
      <c r="F2632" s="2004"/>
      <c r="G2632" s="2004">
        <f>IF('4J'!K19="","##BLANK",'4J'!K19)</f>
        <v>56.515000000000001</v>
      </c>
    </row>
    <row r="2633" spans="2:7">
      <c r="B2633" s="848" t="str">
        <f>+'4J'!AU22</f>
        <v>WS1012WT</v>
      </c>
      <c r="D2633" s="848"/>
      <c r="E2633" s="1658" t="s">
        <v>9033</v>
      </c>
      <c r="F2633" s="2004"/>
      <c r="G2633" s="2004">
        <f>IF('4J'!K22="","##BLANK",'4J'!K22)</f>
        <v>-2.5000000000000001E-2</v>
      </c>
    </row>
    <row r="2634" spans="2:7">
      <c r="B2634" s="848" t="str">
        <f>+'4J'!AU23</f>
        <v>WS1013WT</v>
      </c>
      <c r="D2634" s="848"/>
      <c r="E2634" s="1658" t="s">
        <v>9033</v>
      </c>
      <c r="F2634" s="2004"/>
      <c r="G2634" s="2004">
        <f>IF('4J'!K23="","##BLANK",'4J'!K23)</f>
        <v>42.128999999999998</v>
      </c>
    </row>
    <row r="2635" spans="2:7">
      <c r="B2635" s="848" t="str">
        <f>+'4J'!AU24</f>
        <v>WS1014WT</v>
      </c>
      <c r="D2635" s="848"/>
      <c r="E2635" s="1658" t="s">
        <v>9033</v>
      </c>
      <c r="F2635" s="2004"/>
      <c r="G2635" s="2004">
        <f>IF('4J'!K24="","##BLANK",'4J'!K24)</f>
        <v>7.0000000000000001E-3</v>
      </c>
    </row>
    <row r="2636" spans="2:7">
      <c r="B2636" s="848" t="str">
        <f>+'4J'!AU25</f>
        <v>WS1015WT</v>
      </c>
      <c r="D2636" s="848"/>
      <c r="E2636" s="1658" t="s">
        <v>9033</v>
      </c>
      <c r="F2636" s="2004"/>
      <c r="G2636" s="2004">
        <f>IF('4J'!K25="","##BLANK",'4J'!K25)</f>
        <v>7.7910000000000004</v>
      </c>
    </row>
    <row r="2637" spans="2:7">
      <c r="B2637" s="848" t="str">
        <f>+'4J'!AU26</f>
        <v>WS1016WT</v>
      </c>
      <c r="D2637" s="848"/>
      <c r="E2637" s="1658" t="s">
        <v>9033</v>
      </c>
      <c r="F2637" s="2004"/>
      <c r="G2637" s="2004">
        <f>IF('4J'!K26="","##BLANK",'4J'!K26)</f>
        <v>0</v>
      </c>
    </row>
    <row r="2638" spans="2:7">
      <c r="B2638" s="848" t="str">
        <f>+'4J'!AU27</f>
        <v>WS1017WT</v>
      </c>
      <c r="D2638" s="848"/>
      <c r="E2638" s="1658" t="s">
        <v>9033</v>
      </c>
      <c r="F2638" s="2004"/>
      <c r="G2638" s="2004">
        <f>IF('4J'!K27="","##BLANK",'4J'!K27)</f>
        <v>49.902000000000001</v>
      </c>
    </row>
    <row r="2639" spans="2:7">
      <c r="B2639" s="848" t="str">
        <f>+'4J'!AU28</f>
        <v>WS1018WT</v>
      </c>
      <c r="D2639" s="848"/>
      <c r="E2639" s="1658" t="s">
        <v>9033</v>
      </c>
      <c r="F2639" s="2004"/>
      <c r="G2639" s="2004">
        <f>IF('4J'!K28="","##BLANK",'4J'!K28)</f>
        <v>0</v>
      </c>
    </row>
    <row r="2640" spans="2:7">
      <c r="B2640" s="848" t="str">
        <f>+'4J'!AU29</f>
        <v>WS1019WT</v>
      </c>
      <c r="D2640" s="848"/>
      <c r="E2640" s="1658" t="s">
        <v>9033</v>
      </c>
      <c r="F2640" s="2004"/>
      <c r="G2640" s="2004">
        <f>IF('4J'!K29="","##BLANK",'4J'!K29)</f>
        <v>49.902000000000001</v>
      </c>
    </row>
    <row r="2641" spans="2:7">
      <c r="B2641" s="848" t="str">
        <f>+'4J'!AU30</f>
        <v>WS1020WT</v>
      </c>
      <c r="D2641" s="848"/>
      <c r="E2641" s="1658" t="s">
        <v>9033</v>
      </c>
      <c r="F2641" s="2004"/>
      <c r="G2641" s="2004">
        <f>IF('4J'!K30="","##BLANK",'4J'!K30)</f>
        <v>0</v>
      </c>
    </row>
    <row r="2642" spans="2:7">
      <c r="B2642" s="848" t="str">
        <f>+'4J'!AU31</f>
        <v>WS1021WT</v>
      </c>
      <c r="D2642" s="848"/>
      <c r="E2642" s="1658" t="s">
        <v>9033</v>
      </c>
      <c r="F2642" s="2004"/>
      <c r="G2642" s="2004">
        <f>IF('4J'!K31="","##BLANK",'4J'!K31)</f>
        <v>106.417</v>
      </c>
    </row>
    <row r="2643" spans="2:7">
      <c r="B2643" s="848" t="str">
        <f>+'4J'!AU34</f>
        <v>WS1022WT</v>
      </c>
      <c r="D2643" s="848"/>
      <c r="E2643" s="1658" t="s">
        <v>9033</v>
      </c>
      <c r="F2643" s="2004"/>
      <c r="G2643" s="2004">
        <f>IF('4J'!K34="","##BLANK",'4J'!K34)</f>
        <v>0</v>
      </c>
    </row>
    <row r="2644" spans="2:7">
      <c r="B2644" s="848" t="str">
        <f>+'4J'!AU35</f>
        <v>WS1023WT</v>
      </c>
      <c r="D2644" s="848"/>
      <c r="E2644" s="1658" t="s">
        <v>9033</v>
      </c>
      <c r="F2644" s="2004"/>
      <c r="G2644" s="2004">
        <f>IF('4J'!K35="","##BLANK",'4J'!K35)</f>
        <v>0</v>
      </c>
    </row>
    <row r="2645" spans="2:7">
      <c r="B2645" s="848" t="str">
        <f>+'4J'!AU36</f>
        <v>WS1024WT</v>
      </c>
      <c r="D2645" s="848"/>
      <c r="E2645" s="1658" t="s">
        <v>9033</v>
      </c>
      <c r="F2645" s="2004"/>
      <c r="G2645" s="2004">
        <f>IF('4J'!K36="","##BLANK",'4J'!K36)</f>
        <v>106.417</v>
      </c>
    </row>
    <row r="2646" spans="2:7">
      <c r="B2646" s="848" t="str">
        <f>+'4J'!AU39</f>
        <v>BP3357001WT</v>
      </c>
      <c r="D2646" s="848"/>
      <c r="E2646" s="1658" t="s">
        <v>9033</v>
      </c>
      <c r="F2646" s="2004" t="str">
        <f>+'4J'!C$39</f>
        <v>Y1 Flooding - Capex</v>
      </c>
      <c r="G2646" s="2004">
        <f>IF('4J'!K39="","##BLANK",'4J'!K39)</f>
        <v>0</v>
      </c>
    </row>
    <row r="2647" spans="2:7">
      <c r="B2647" s="848" t="str">
        <f>+'4J'!AU40</f>
        <v>BP3357002WT</v>
      </c>
      <c r="D2647" s="848"/>
      <c r="E2647" s="1658" t="s">
        <v>9033</v>
      </c>
      <c r="F2647" s="2004" t="str">
        <f>+'4J'!C$40</f>
        <v>Y5 Flooding Nov - Capex</v>
      </c>
      <c r="G2647" s="2004">
        <f>IF('4J'!K40="","##BLANK",'4J'!K40)</f>
        <v>0</v>
      </c>
    </row>
    <row r="2648" spans="2:7">
      <c r="B2648" s="848" t="str">
        <f>+'4J'!AU41</f>
        <v>BP3357003WT</v>
      </c>
      <c r="D2648" s="848"/>
      <c r="E2648" s="1658" t="s">
        <v>9033</v>
      </c>
      <c r="F2648" s="2004" t="str">
        <f>+'4J'!C$41</f>
        <v>Y5 Flooding Jan - Capex</v>
      </c>
      <c r="G2648" s="2004">
        <f>IF('4J'!K41="","##BLANK",'4J'!K41)</f>
        <v>0</v>
      </c>
    </row>
    <row r="2649" spans="2:7">
      <c r="B2649" s="848" t="str">
        <f>+'4J'!AU42</f>
        <v>BP3357004WT</v>
      </c>
      <c r="D2649" s="848"/>
      <c r="E2649" s="1658" t="s">
        <v>9033</v>
      </c>
      <c r="F2649" s="2004" t="str">
        <f>+'4J'!C$42</f>
        <v>2020-25 Transition Expenditure -Capex</v>
      </c>
      <c r="G2649" s="2004">
        <f>IF('4J'!K42="","##BLANK",'4J'!K42)</f>
        <v>0.754</v>
      </c>
    </row>
    <row r="2650" spans="2:7">
      <c r="B2650" s="848" t="str">
        <f>+'4J'!AU43</f>
        <v>BP3357005WT</v>
      </c>
      <c r="D2650" s="848"/>
      <c r="E2650" s="1658" t="s">
        <v>9033</v>
      </c>
      <c r="F2650" s="2004" t="str">
        <f>+'4J'!C$43</f>
        <v>Flooding Nov 19 - Opex</v>
      </c>
      <c r="G2650" s="2004">
        <f>IF('4J'!K43="","##BLANK",'4J'!K43)</f>
        <v>8.5000000000000006E-2</v>
      </c>
    </row>
    <row r="2651" spans="2:7">
      <c r="B2651" s="848" t="str">
        <f>+'4J'!AU44</f>
        <v>BP3357006WT</v>
      </c>
      <c r="D2651" s="848"/>
      <c r="E2651" s="1658" t="s">
        <v>9033</v>
      </c>
      <c r="F2651" s="2004" t="str">
        <f>+'4J'!C$44</f>
        <v>Flooding Feb 20 - Opex</v>
      </c>
      <c r="G2651" s="2004">
        <f>IF('4J'!K44="","##BLANK",'4J'!K44)</f>
        <v>0.13700000000000001</v>
      </c>
    </row>
    <row r="2652" spans="2:7">
      <c r="B2652" s="848" t="str">
        <f>+'4J'!AU45</f>
        <v>BP3357007WT</v>
      </c>
      <c r="D2652" s="848"/>
      <c r="E2652" s="1658" t="s">
        <v>9033</v>
      </c>
      <c r="F2652" s="2004" t="str">
        <f>+'4J'!C$45</f>
        <v>Regulation costs - Opex</v>
      </c>
      <c r="G2652" s="2004">
        <f>IF('4J'!K45="","##BLANK",'4J'!K45)</f>
        <v>0.122</v>
      </c>
    </row>
    <row r="2653" spans="2:7">
      <c r="B2653" s="848" t="str">
        <f>+'4J'!AU46</f>
        <v>BP3357008WT</v>
      </c>
      <c r="D2653" s="848"/>
      <c r="E2653" s="1658" t="s">
        <v>9033</v>
      </c>
      <c r="F2653" s="2004" t="str">
        <f>+'4J'!C$46</f>
        <v>Reorganisational costs - Opex</v>
      </c>
      <c r="G2653" s="2004">
        <f>IF('4J'!K46="","##BLANK",'4J'!K46)</f>
        <v>0.23799999999999999</v>
      </c>
    </row>
    <row r="2654" spans="2:7">
      <c r="B2654" s="848" t="str">
        <f>+'4J'!AU47</f>
        <v>BP3357009WT</v>
      </c>
      <c r="D2654" s="848"/>
      <c r="E2654" s="1658" t="s">
        <v>9033</v>
      </c>
      <c r="F2654" s="2004" t="str">
        <f>+'4J'!C$47</f>
        <v>Transition expenditure - Opex</v>
      </c>
      <c r="G2654" s="2004">
        <f>IF('4J'!K47="","##BLANK",'4J'!K47)</f>
        <v>0</v>
      </c>
    </row>
    <row r="2655" spans="2:7">
      <c r="B2655" s="848" t="str">
        <f>+'4J'!AU48</f>
        <v>BP3357010WT</v>
      </c>
      <c r="D2655" s="848"/>
      <c r="E2655" s="1658" t="s">
        <v>9033</v>
      </c>
      <c r="F2655" s="2004" t="str">
        <f>+'4J'!C$48</f>
        <v>Item 10</v>
      </c>
      <c r="G2655" s="2004" t="str">
        <f>IF('4J'!K48="","##BLANK",'4J'!K48)</f>
        <v>##BLANK</v>
      </c>
    </row>
    <row r="2656" spans="2:7">
      <c r="B2656" s="848" t="str">
        <f>+'4J'!AU49</f>
        <v>BP3357020WT</v>
      </c>
      <c r="D2656" s="848"/>
      <c r="E2656" s="1658" t="s">
        <v>9033</v>
      </c>
      <c r="F2656" s="2004"/>
      <c r="G2656" s="2004">
        <f>IF('4J'!K49="","##BLANK",'4J'!K49)</f>
        <v>1.3359999999999999</v>
      </c>
    </row>
    <row r="2657" spans="2:7">
      <c r="B2657" s="848" t="str">
        <f>+'4J'!AU52</f>
        <v>W3026TEWT</v>
      </c>
      <c r="D2657" s="848"/>
      <c r="E2657" s="1658" t="s">
        <v>9033</v>
      </c>
      <c r="F2657" s="2004"/>
      <c r="G2657" s="2004">
        <f>IF('4J'!K52="","##BLANK",'4J'!K52)</f>
        <v>107.753</v>
      </c>
    </row>
    <row r="2658" spans="2:7">
      <c r="B2658" s="848" t="str">
        <f>+'4J'!AV7</f>
        <v>WS1001TWD</v>
      </c>
      <c r="D2658" s="848"/>
      <c r="E2658" s="1658" t="s">
        <v>9033</v>
      </c>
      <c r="F2658" s="2004"/>
      <c r="G2658" s="2004">
        <f>IF('4J'!L7="","##BLANK",'4J'!L7)</f>
        <v>12.13</v>
      </c>
    </row>
    <row r="2659" spans="2:7">
      <c r="B2659" s="848" t="str">
        <f>+'4J'!AV8</f>
        <v>WS1002TWD</v>
      </c>
      <c r="D2659" s="848"/>
      <c r="E2659" s="1658" t="s">
        <v>9033</v>
      </c>
      <c r="F2659" s="2004"/>
      <c r="G2659" s="2004">
        <f>IF('4J'!L8="","##BLANK",'4J'!L8)</f>
        <v>0</v>
      </c>
    </row>
    <row r="2660" spans="2:7">
      <c r="B2660" s="848" t="str">
        <f>+'4J'!AV9</f>
        <v>WS1003TWD</v>
      </c>
      <c r="D2660" s="848"/>
      <c r="E2660" s="1658" t="s">
        <v>9033</v>
      </c>
      <c r="F2660" s="2004"/>
      <c r="G2660" s="2004">
        <f>IF('4J'!L9="","##BLANK",'4J'!L9)</f>
        <v>0</v>
      </c>
    </row>
    <row r="2661" spans="2:7">
      <c r="B2661" s="848" t="str">
        <f>+'4J'!AV10</f>
        <v>WS1004TWD</v>
      </c>
      <c r="D2661" s="848"/>
      <c r="E2661" s="1658" t="s">
        <v>9033</v>
      </c>
      <c r="F2661" s="2004"/>
      <c r="G2661" s="2004">
        <f>IF('4J'!L10="","##BLANK",'4J'!L10)</f>
        <v>0</v>
      </c>
    </row>
    <row r="2662" spans="2:7">
      <c r="B2662" s="848" t="str">
        <f>+'4J'!AV12</f>
        <v>WS1005TWD</v>
      </c>
      <c r="D2662" s="848"/>
      <c r="E2662" s="1658" t="s">
        <v>9033</v>
      </c>
      <c r="F2662" s="2004"/>
      <c r="G2662" s="2004">
        <f>IF('4J'!L12="","##BLANK",'4J'!L12)</f>
        <v>0</v>
      </c>
    </row>
    <row r="2663" spans="2:7">
      <c r="B2663" s="848" t="str">
        <f>+'4J'!AV13</f>
        <v>WS1006TWD</v>
      </c>
      <c r="D2663" s="848"/>
      <c r="E2663" s="1658" t="s">
        <v>9033</v>
      </c>
      <c r="F2663" s="2004"/>
      <c r="G2663" s="2004">
        <f>IF('4J'!L13="","##BLANK",'4J'!L13)</f>
        <v>0</v>
      </c>
    </row>
    <row r="2664" spans="2:7">
      <c r="B2664" s="848" t="str">
        <f>+'4J'!AV14</f>
        <v>WS1007TWD</v>
      </c>
      <c r="D2664" s="848"/>
      <c r="E2664" s="1658" t="s">
        <v>9033</v>
      </c>
      <c r="F2664" s="2004"/>
      <c r="G2664" s="2004">
        <f>IF('4J'!L14="","##BLANK",'4J'!L14)</f>
        <v>106.72199999999999</v>
      </c>
    </row>
    <row r="2665" spans="2:7">
      <c r="B2665" s="848" t="str">
        <f>+'4J'!AV15</f>
        <v>WS1008TWD</v>
      </c>
      <c r="D2665" s="848"/>
      <c r="E2665" s="1658" t="s">
        <v>9033</v>
      </c>
      <c r="F2665" s="2004"/>
      <c r="G2665" s="2004">
        <f>IF('4J'!L15="","##BLANK",'4J'!L15)</f>
        <v>29.033000000000001</v>
      </c>
    </row>
    <row r="2666" spans="2:7">
      <c r="B2666" s="848" t="str">
        <f>+'4J'!AV16</f>
        <v>WS1009TWD</v>
      </c>
      <c r="D2666" s="848"/>
      <c r="E2666" s="1658" t="s">
        <v>9033</v>
      </c>
      <c r="F2666" s="2004"/>
      <c r="G2666" s="2004">
        <f>IF('4J'!L16="","##BLANK",'4J'!L16)</f>
        <v>147.88499999999999</v>
      </c>
    </row>
    <row r="2667" spans="2:7">
      <c r="B2667" s="848" t="str">
        <f>+'4J'!AV18</f>
        <v>WS1010TWD</v>
      </c>
      <c r="D2667" s="848"/>
      <c r="E2667" s="1658" t="s">
        <v>9033</v>
      </c>
      <c r="F2667" s="2004"/>
      <c r="G2667" s="2004">
        <f>IF('4J'!L18="","##BLANK",'4J'!L18)</f>
        <v>1.4550000000000001</v>
      </c>
    </row>
    <row r="2668" spans="2:7">
      <c r="B2668" s="848" t="str">
        <f>+'4J'!AV19</f>
        <v>WS1011TWD</v>
      </c>
      <c r="D2668" s="848"/>
      <c r="E2668" s="1658" t="s">
        <v>9033</v>
      </c>
      <c r="F2668" s="2004"/>
      <c r="G2668" s="2004">
        <f>IF('4J'!L19="","##BLANK",'4J'!L19)</f>
        <v>149.34</v>
      </c>
    </row>
    <row r="2669" spans="2:7">
      <c r="B2669" s="848" t="str">
        <f>+'4J'!AV22</f>
        <v>WS1012TWD</v>
      </c>
      <c r="D2669" s="848"/>
      <c r="E2669" s="1658" t="s">
        <v>9033</v>
      </c>
      <c r="F2669" s="2004"/>
      <c r="G2669" s="2004">
        <f>IF('4J'!L22="","##BLANK",'4J'!L22)</f>
        <v>29.382000000000001</v>
      </c>
    </row>
    <row r="2670" spans="2:7">
      <c r="B2670" s="848" t="str">
        <f>+'4J'!AV23</f>
        <v>WS1013TWD</v>
      </c>
      <c r="D2670" s="848"/>
      <c r="E2670" s="1658" t="s">
        <v>9033</v>
      </c>
      <c r="F2670" s="2004"/>
      <c r="G2670" s="2004">
        <f>IF('4J'!L23="","##BLANK",'4J'!L23)</f>
        <v>29.145</v>
      </c>
    </row>
    <row r="2671" spans="2:7">
      <c r="B2671" s="848" t="str">
        <f>+'4J'!AV24</f>
        <v>WS1014TWD</v>
      </c>
      <c r="D2671" s="848"/>
      <c r="E2671" s="1658" t="s">
        <v>9033</v>
      </c>
      <c r="F2671" s="2004"/>
      <c r="G2671" s="2004">
        <f>IF('4J'!L24="","##BLANK",'4J'!L24)</f>
        <v>40.616</v>
      </c>
    </row>
    <row r="2672" spans="2:7">
      <c r="B2672" s="848" t="str">
        <f>+'4J'!AV25</f>
        <v>WS1015TWD</v>
      </c>
      <c r="D2672" s="848"/>
      <c r="E2672" s="1658" t="s">
        <v>9033</v>
      </c>
      <c r="F2672" s="2004"/>
      <c r="G2672" s="2004">
        <f>IF('4J'!L25="","##BLANK",'4J'!L25)</f>
        <v>34.527000000000001</v>
      </c>
    </row>
    <row r="2673" spans="2:7">
      <c r="B2673" s="848" t="str">
        <f>+'4J'!AV26</f>
        <v>WS1016TWD</v>
      </c>
      <c r="D2673" s="848"/>
      <c r="E2673" s="1658" t="s">
        <v>9033</v>
      </c>
      <c r="F2673" s="2004"/>
      <c r="G2673" s="2004">
        <f>IF('4J'!L26="","##BLANK",'4J'!L26)</f>
        <v>4.4180000000000001</v>
      </c>
    </row>
    <row r="2674" spans="2:7">
      <c r="B2674" s="848" t="str">
        <f>+'4J'!AV27</f>
        <v>WS1017TWD</v>
      </c>
      <c r="D2674" s="848"/>
      <c r="E2674" s="1658" t="s">
        <v>9033</v>
      </c>
      <c r="F2674" s="2004"/>
      <c r="G2674" s="2004">
        <f>IF('4J'!L27="","##BLANK",'4J'!L27)</f>
        <v>138.08800000000002</v>
      </c>
    </row>
    <row r="2675" spans="2:7">
      <c r="B2675" s="848" t="str">
        <f>+'4J'!AV28</f>
        <v>WS1018TWD</v>
      </c>
      <c r="D2675" s="848"/>
      <c r="E2675" s="1658" t="s">
        <v>9033</v>
      </c>
      <c r="F2675" s="2004"/>
      <c r="G2675" s="2004">
        <f>IF('4J'!L28="","##BLANK",'4J'!L28)</f>
        <v>0</v>
      </c>
    </row>
    <row r="2676" spans="2:7">
      <c r="B2676" s="848" t="str">
        <f>+'4J'!AV29</f>
        <v>WS1019TWD</v>
      </c>
      <c r="D2676" s="848"/>
      <c r="E2676" s="1658" t="s">
        <v>9033</v>
      </c>
      <c r="F2676" s="2004"/>
      <c r="G2676" s="2004">
        <f>IF('4J'!L29="","##BLANK",'4J'!L29)</f>
        <v>138.08800000000002</v>
      </c>
    </row>
    <row r="2677" spans="2:7">
      <c r="B2677" s="848" t="str">
        <f>+'4J'!AV30</f>
        <v>WS1020TWD</v>
      </c>
      <c r="D2677" s="848"/>
      <c r="E2677" s="1658" t="s">
        <v>9033</v>
      </c>
      <c r="F2677" s="2004"/>
      <c r="G2677" s="2004">
        <f>IF('4J'!L30="","##BLANK",'4J'!L30)</f>
        <v>15.95</v>
      </c>
    </row>
    <row r="2678" spans="2:7">
      <c r="B2678" s="848" t="str">
        <f>+'4J'!AV31</f>
        <v>WS1021TWD</v>
      </c>
      <c r="D2678" s="848"/>
      <c r="E2678" s="1658" t="s">
        <v>9033</v>
      </c>
      <c r="F2678" s="2004"/>
      <c r="G2678" s="2004">
        <f>IF('4J'!L31="","##BLANK",'4J'!L31)</f>
        <v>271.47800000000001</v>
      </c>
    </row>
    <row r="2679" spans="2:7">
      <c r="B2679" s="848" t="str">
        <f>+'4J'!AV34</f>
        <v>WS1022TWD</v>
      </c>
      <c r="D2679" s="848"/>
      <c r="E2679" s="1658" t="s">
        <v>9033</v>
      </c>
      <c r="F2679" s="2004"/>
      <c r="G2679" s="2004">
        <f>IF('4J'!L34="","##BLANK",'4J'!L34)</f>
        <v>0</v>
      </c>
    </row>
    <row r="2680" spans="2:7">
      <c r="B2680" s="848" t="str">
        <f>+'4J'!AV35</f>
        <v>WS1023TWD</v>
      </c>
      <c r="D2680" s="848"/>
      <c r="E2680" s="1658" t="s">
        <v>9033</v>
      </c>
      <c r="F2680" s="2004"/>
      <c r="G2680" s="2004">
        <f>IF('4J'!L35="","##BLANK",'4J'!L35)</f>
        <v>0</v>
      </c>
    </row>
    <row r="2681" spans="2:7">
      <c r="B2681" s="848" t="str">
        <f>+'4J'!AV36</f>
        <v>WS1024TWD</v>
      </c>
      <c r="D2681" s="848"/>
      <c r="E2681" s="1658" t="s">
        <v>9033</v>
      </c>
      <c r="F2681" s="2004"/>
      <c r="G2681" s="2004">
        <f>IF('4J'!L36="","##BLANK",'4J'!L36)</f>
        <v>271.47800000000001</v>
      </c>
    </row>
    <row r="2682" spans="2:7">
      <c r="B2682" s="848" t="str">
        <f>+'4J'!AV39</f>
        <v>BP3357001TWD</v>
      </c>
      <c r="D2682" s="848"/>
      <c r="E2682" s="1658" t="s">
        <v>9033</v>
      </c>
      <c r="F2682" s="2004" t="str">
        <f>+'4J'!C$39</f>
        <v>Y1 Flooding - Capex</v>
      </c>
      <c r="G2682" s="2004">
        <f>IF('4J'!L39="","##BLANK",'4J'!L39)</f>
        <v>-1E-3</v>
      </c>
    </row>
    <row r="2683" spans="2:7">
      <c r="B2683" s="848" t="str">
        <f>+'4J'!AV40</f>
        <v>BP3357002TWD</v>
      </c>
      <c r="D2683" s="848"/>
      <c r="E2683" s="1658" t="s">
        <v>9033</v>
      </c>
      <c r="F2683" s="2004" t="str">
        <f>+'4J'!C$40</f>
        <v>Y5 Flooding Nov - Capex</v>
      </c>
      <c r="G2683" s="2004">
        <f>IF('4J'!L40="","##BLANK",'4J'!L40)</f>
        <v>0</v>
      </c>
    </row>
    <row r="2684" spans="2:7">
      <c r="B2684" s="848" t="str">
        <f>+'4J'!AV41</f>
        <v>BP3357003TWD</v>
      </c>
      <c r="D2684" s="848"/>
      <c r="E2684" s="1658" t="s">
        <v>9033</v>
      </c>
      <c r="F2684" s="2004" t="str">
        <f>+'4J'!C$41</f>
        <v>Y5 Flooding Jan - Capex</v>
      </c>
      <c r="G2684" s="2004">
        <f>IF('4J'!L41="","##BLANK",'4J'!L41)</f>
        <v>0</v>
      </c>
    </row>
    <row r="2685" spans="2:7">
      <c r="B2685" s="848" t="str">
        <f>+'4J'!AV42</f>
        <v>BP3357004TWD</v>
      </c>
      <c r="D2685" s="848"/>
      <c r="E2685" s="1658" t="s">
        <v>9033</v>
      </c>
      <c r="F2685" s="2004" t="str">
        <f>+'4J'!C$42</f>
        <v>2020-25 Transition Expenditure -Capex</v>
      </c>
      <c r="G2685" s="2004">
        <f>IF('4J'!L42="","##BLANK",'4J'!L42)</f>
        <v>0</v>
      </c>
    </row>
    <row r="2686" spans="2:7">
      <c r="B2686" s="848" t="str">
        <f>+'4J'!AV43</f>
        <v>BP3357005TWD</v>
      </c>
      <c r="D2686" s="848"/>
      <c r="E2686" s="1658" t="s">
        <v>9033</v>
      </c>
      <c r="F2686" s="2004" t="str">
        <f>+'4J'!C$43</f>
        <v>Flooding Nov 19 - Opex</v>
      </c>
      <c r="G2686" s="2004">
        <f>IF('4J'!L43="","##BLANK",'4J'!L43)</f>
        <v>0</v>
      </c>
    </row>
    <row r="2687" spans="2:7">
      <c r="B2687" s="848" t="str">
        <f>+'4J'!AV44</f>
        <v>BP3357006TWD</v>
      </c>
      <c r="D2687" s="848"/>
      <c r="E2687" s="1658" t="s">
        <v>9033</v>
      </c>
      <c r="F2687" s="2004" t="str">
        <f>+'4J'!C$44</f>
        <v>Flooding Feb 20 - Opex</v>
      </c>
      <c r="G2687" s="2004">
        <f>IF('4J'!L44="","##BLANK",'4J'!L44)</f>
        <v>0</v>
      </c>
    </row>
    <row r="2688" spans="2:7">
      <c r="B2688" s="848" t="str">
        <f>+'4J'!AV45</f>
        <v>BP3357007TWD</v>
      </c>
      <c r="D2688" s="848"/>
      <c r="E2688" s="1658" t="s">
        <v>9033</v>
      </c>
      <c r="F2688" s="2004" t="str">
        <f>+'4J'!C$45</f>
        <v>Regulation costs - Opex</v>
      </c>
      <c r="G2688" s="2004">
        <f>IF('4J'!L45="","##BLANK",'4J'!L45)</f>
        <v>0.122</v>
      </c>
    </row>
    <row r="2689" spans="2:7">
      <c r="B2689" s="848" t="str">
        <f>+'4J'!AV46</f>
        <v>BP3357008TWD</v>
      </c>
      <c r="D2689" s="848"/>
      <c r="E2689" s="1658" t="s">
        <v>9033</v>
      </c>
      <c r="F2689" s="2004" t="str">
        <f>+'4J'!C$46</f>
        <v>Reorganisational costs - Opex</v>
      </c>
      <c r="G2689" s="2004">
        <f>IF('4J'!L46="","##BLANK",'4J'!L46)</f>
        <v>0.78600000000000003</v>
      </c>
    </row>
    <row r="2690" spans="2:7">
      <c r="B2690" s="848" t="str">
        <f>+'4J'!AV47</f>
        <v>BP3357009TWD</v>
      </c>
      <c r="D2690" s="848"/>
      <c r="E2690" s="1658" t="s">
        <v>9033</v>
      </c>
      <c r="F2690" s="2004" t="str">
        <f>+'4J'!C$47</f>
        <v>Transition expenditure - Opex</v>
      </c>
      <c r="G2690" s="2004">
        <f>IF('4J'!L47="","##BLANK",'4J'!L47)</f>
        <v>0</v>
      </c>
    </row>
    <row r="2691" spans="2:7">
      <c r="B2691" s="848" t="str">
        <f>+'4J'!AV48</f>
        <v>BP3357010TWD</v>
      </c>
      <c r="D2691" s="848"/>
      <c r="E2691" s="1658" t="s">
        <v>9033</v>
      </c>
      <c r="F2691" s="2004" t="str">
        <f>+'4J'!C$48</f>
        <v>Item 10</v>
      </c>
      <c r="G2691" s="2004" t="str">
        <f>IF('4J'!L48="","##BLANK",'4J'!L48)</f>
        <v>##BLANK</v>
      </c>
    </row>
    <row r="2692" spans="2:7">
      <c r="B2692" s="848" t="str">
        <f>+'4J'!AV49</f>
        <v>BP3357020TWD</v>
      </c>
      <c r="D2692" s="848"/>
      <c r="E2692" s="1658" t="s">
        <v>9033</v>
      </c>
      <c r="F2692" s="2004"/>
      <c r="G2692" s="2004">
        <f>IF('4J'!L49="","##BLANK",'4J'!L49)</f>
        <v>0.90700000000000003</v>
      </c>
    </row>
    <row r="2693" spans="2:7">
      <c r="B2693" s="848" t="str">
        <f>+'4J'!AV52</f>
        <v>W3026TETWD</v>
      </c>
      <c r="D2693" s="848"/>
      <c r="E2693" s="1658" t="s">
        <v>9033</v>
      </c>
      <c r="F2693" s="2004"/>
      <c r="G2693" s="2004">
        <f>IF('4J'!L52="","##BLANK",'4J'!L52)</f>
        <v>272.38499999999999</v>
      </c>
    </row>
    <row r="2694" spans="2:7">
      <c r="B2694" s="848" t="str">
        <f>+'4J'!AW7</f>
        <v>WS1001CAW</v>
      </c>
      <c r="D2694" s="848"/>
      <c r="E2694" s="1658" t="s">
        <v>9033</v>
      </c>
      <c r="F2694" s="2004"/>
      <c r="G2694" s="2004">
        <f>IF('4J'!M7="","##BLANK",'4J'!M7)</f>
        <v>28.057000000000002</v>
      </c>
    </row>
    <row r="2695" spans="2:7">
      <c r="B2695" s="848" t="str">
        <f>+'4J'!AW8</f>
        <v>WS1002CAW</v>
      </c>
      <c r="D2695" s="848"/>
      <c r="E2695" s="1658" t="s">
        <v>9033</v>
      </c>
      <c r="F2695" s="2004"/>
      <c r="G2695" s="2004">
        <f>IF('4J'!M8="","##BLANK",'4J'!M8)</f>
        <v>0</v>
      </c>
    </row>
    <row r="2696" spans="2:7">
      <c r="B2696" s="848" t="str">
        <f>+'4J'!AW9</f>
        <v>WS1003CAW</v>
      </c>
      <c r="D2696" s="848"/>
      <c r="E2696" s="1658" t="s">
        <v>9033</v>
      </c>
      <c r="F2696" s="2004"/>
      <c r="G2696" s="2004">
        <f>IF('4J'!M9="","##BLANK",'4J'!M9)</f>
        <v>5.5529999999999999</v>
      </c>
    </row>
    <row r="2697" spans="2:7">
      <c r="B2697" s="848" t="str">
        <f>+'4J'!AW10</f>
        <v>WS1004CAW</v>
      </c>
      <c r="D2697" s="848"/>
      <c r="E2697" s="1658" t="s">
        <v>9033</v>
      </c>
      <c r="F2697" s="2004"/>
      <c r="G2697" s="2004">
        <f>IF('4J'!M10="","##BLANK",'4J'!M10)</f>
        <v>3.8039999999999998</v>
      </c>
    </row>
    <row r="2698" spans="2:7">
      <c r="B2698" s="848" t="str">
        <f>+'4J'!AW12</f>
        <v>WS1005CAW</v>
      </c>
      <c r="D2698" s="848"/>
      <c r="E2698" s="1658" t="s">
        <v>9033</v>
      </c>
      <c r="F2698" s="2004"/>
      <c r="G2698" s="2004">
        <f>IF('4J'!M12="","##BLANK",'4J'!M12)</f>
        <v>0</v>
      </c>
    </row>
    <row r="2699" spans="2:7">
      <c r="B2699" s="848" t="str">
        <f>+'4J'!AW13</f>
        <v>WS1006CAW</v>
      </c>
      <c r="D2699" s="848"/>
      <c r="E2699" s="1658" t="s">
        <v>9033</v>
      </c>
      <c r="F2699" s="2004"/>
      <c r="G2699" s="2004">
        <f>IF('4J'!M13="","##BLANK",'4J'!M13)</f>
        <v>0</v>
      </c>
    </row>
    <row r="2700" spans="2:7">
      <c r="B2700" s="848" t="str">
        <f>+'4J'!AW14</f>
        <v>WS1007CAW</v>
      </c>
      <c r="D2700" s="848"/>
      <c r="E2700" s="1658" t="s">
        <v>9033</v>
      </c>
      <c r="F2700" s="2004"/>
      <c r="G2700" s="2004">
        <f>IF('4J'!M14="","##BLANK",'4J'!M14)</f>
        <v>166.36499999999998</v>
      </c>
    </row>
    <row r="2701" spans="2:7">
      <c r="B2701" s="848" t="str">
        <f>+'4J'!AW15</f>
        <v>WS1008CAW</v>
      </c>
      <c r="D2701" s="848"/>
      <c r="E2701" s="1658" t="s">
        <v>9033</v>
      </c>
      <c r="F2701" s="2004"/>
      <c r="G2701" s="2004">
        <f>IF('4J'!M15="","##BLANK",'4J'!M15)</f>
        <v>40.801000000000002</v>
      </c>
    </row>
    <row r="2702" spans="2:7">
      <c r="B2702" s="848" t="str">
        <f>+'4J'!AW16</f>
        <v>WS1009CAW</v>
      </c>
      <c r="D2702" s="848"/>
      <c r="E2702" s="1658" t="s">
        <v>9033</v>
      </c>
      <c r="F2702" s="2004"/>
      <c r="G2702" s="2004">
        <f>IF('4J'!M16="","##BLANK",'4J'!M16)</f>
        <v>244.57999999999998</v>
      </c>
    </row>
    <row r="2703" spans="2:7">
      <c r="B2703" s="848" t="str">
        <f>+'4J'!AW18</f>
        <v>WS1010CAW</v>
      </c>
      <c r="D2703" s="848"/>
      <c r="E2703" s="1658" t="s">
        <v>9033</v>
      </c>
      <c r="F2703" s="2004"/>
      <c r="G2703" s="2004">
        <f>IF('4J'!M18="","##BLANK",'4J'!M18)</f>
        <v>1.4550000000000001</v>
      </c>
    </row>
    <row r="2704" spans="2:7">
      <c r="B2704" s="848" t="str">
        <f>+'4J'!AW19</f>
        <v>WS1011CAW</v>
      </c>
      <c r="D2704" s="848"/>
      <c r="E2704" s="1658" t="s">
        <v>9033</v>
      </c>
      <c r="F2704" s="2004"/>
      <c r="G2704" s="2004">
        <f>IF('4J'!M19="","##BLANK",'4J'!M19)</f>
        <v>246.03500000000003</v>
      </c>
    </row>
    <row r="2705" spans="2:7">
      <c r="B2705" s="848" t="str">
        <f>+'4J'!AW22</f>
        <v>WS1012CAW</v>
      </c>
      <c r="D2705" s="848"/>
      <c r="E2705" s="1658" t="s">
        <v>9033</v>
      </c>
      <c r="F2705" s="2004"/>
      <c r="G2705" s="2004">
        <f>IF('4J'!M22="","##BLANK",'4J'!M22)</f>
        <v>36.831000000000003</v>
      </c>
    </row>
    <row r="2706" spans="2:7">
      <c r="B2706" s="848" t="str">
        <f>+'4J'!AW23</f>
        <v>WS1013CAW</v>
      </c>
      <c r="D2706" s="848"/>
      <c r="E2706" s="1658" t="s">
        <v>9033</v>
      </c>
      <c r="F2706" s="2004"/>
      <c r="G2706" s="2004">
        <f>IF('4J'!M23="","##BLANK",'4J'!M23)</f>
        <v>75.066000000000003</v>
      </c>
    </row>
    <row r="2707" spans="2:7">
      <c r="B2707" s="848" t="str">
        <f>+'4J'!AW24</f>
        <v>WS1014CAW</v>
      </c>
      <c r="D2707" s="848"/>
      <c r="E2707" s="1658" t="s">
        <v>9033</v>
      </c>
      <c r="F2707" s="2004"/>
      <c r="G2707" s="2004">
        <f>IF('4J'!M24="","##BLANK",'4J'!M24)</f>
        <v>41.228000000000002</v>
      </c>
    </row>
    <row r="2708" spans="2:7">
      <c r="B2708" s="848" t="str">
        <f>+'4J'!AW25</f>
        <v>WS1015CAW</v>
      </c>
      <c r="D2708" s="848"/>
      <c r="E2708" s="1658" t="s">
        <v>9033</v>
      </c>
      <c r="F2708" s="2004"/>
      <c r="G2708" s="2004">
        <f>IF('4J'!M25="","##BLANK",'4J'!M25)</f>
        <v>45.656000000000006</v>
      </c>
    </row>
    <row r="2709" spans="2:7">
      <c r="B2709" s="848" t="str">
        <f>+'4J'!AW26</f>
        <v>WS1016CAW</v>
      </c>
      <c r="D2709" s="848"/>
      <c r="E2709" s="1658" t="s">
        <v>9033</v>
      </c>
      <c r="F2709" s="2004"/>
      <c r="G2709" s="2004">
        <f>IF('4J'!M26="","##BLANK",'4J'!M26)</f>
        <v>4.4180000000000001</v>
      </c>
    </row>
    <row r="2710" spans="2:7">
      <c r="B2710" s="848" t="str">
        <f>+'4J'!AW27</f>
        <v>WS1017CAW</v>
      </c>
      <c r="D2710" s="848"/>
      <c r="E2710" s="1658" t="s">
        <v>9033</v>
      </c>
      <c r="F2710" s="2004"/>
      <c r="G2710" s="2004">
        <f>IF('4J'!M27="","##BLANK",'4J'!M27)</f>
        <v>203.19900000000001</v>
      </c>
    </row>
    <row r="2711" spans="2:7">
      <c r="B2711" s="848" t="str">
        <f>+'4J'!AW28</f>
        <v>WS1018CAW</v>
      </c>
      <c r="D2711" s="848"/>
      <c r="E2711" s="1658" t="s">
        <v>9033</v>
      </c>
      <c r="F2711" s="2004"/>
      <c r="G2711" s="2004">
        <f>IF('4J'!M28="","##BLANK",'4J'!M28)</f>
        <v>0</v>
      </c>
    </row>
    <row r="2712" spans="2:7">
      <c r="B2712" s="848" t="str">
        <f>+'4J'!AW29</f>
        <v>WS1019CAW</v>
      </c>
      <c r="D2712" s="848"/>
      <c r="E2712" s="1658" t="s">
        <v>9033</v>
      </c>
      <c r="F2712" s="2004"/>
      <c r="G2712" s="2004">
        <f>IF('4J'!M29="","##BLANK",'4J'!M29)</f>
        <v>203.19900000000001</v>
      </c>
    </row>
    <row r="2713" spans="2:7">
      <c r="B2713" s="848" t="str">
        <f>+'4J'!AW30</f>
        <v>WS1020CAW</v>
      </c>
      <c r="D2713" s="848"/>
      <c r="E2713" s="1658" t="s">
        <v>9033</v>
      </c>
      <c r="F2713" s="2004"/>
      <c r="G2713" s="2004">
        <f>IF('4J'!M30="","##BLANK",'4J'!M30)</f>
        <v>16.183</v>
      </c>
    </row>
    <row r="2714" spans="2:7">
      <c r="B2714" s="848" t="str">
        <f>+'4J'!AW31</f>
        <v>WS1021CAW</v>
      </c>
      <c r="D2714" s="848"/>
      <c r="E2714" s="1658" t="s">
        <v>9033</v>
      </c>
      <c r="F2714" s="2004"/>
      <c r="G2714" s="2004">
        <f>IF('4J'!M31="","##BLANK",'4J'!M31)</f>
        <v>433.05100000000004</v>
      </c>
    </row>
    <row r="2715" spans="2:7">
      <c r="B2715" s="848" t="str">
        <f>+'4J'!AW34</f>
        <v>WS1022CAW</v>
      </c>
      <c r="D2715" s="848"/>
      <c r="E2715" s="1658" t="s">
        <v>9033</v>
      </c>
      <c r="F2715" s="2004"/>
      <c r="G2715" s="2004">
        <f>IF('4J'!M34="","##BLANK",'4J'!M34)</f>
        <v>0</v>
      </c>
    </row>
    <row r="2716" spans="2:7">
      <c r="B2716" s="848" t="str">
        <f>+'4J'!AW35</f>
        <v>WS1023CAW</v>
      </c>
      <c r="D2716" s="848"/>
      <c r="E2716" s="1658" t="s">
        <v>9033</v>
      </c>
      <c r="F2716" s="2004"/>
      <c r="G2716" s="2004">
        <f>IF('4J'!M35="","##BLANK",'4J'!M35)</f>
        <v>0</v>
      </c>
    </row>
    <row r="2717" spans="2:7">
      <c r="B2717" s="848" t="str">
        <f>+'4J'!AW36</f>
        <v>WS1024CAW</v>
      </c>
      <c r="D2717" s="848"/>
      <c r="E2717" s="1658" t="s">
        <v>9033</v>
      </c>
      <c r="F2717" s="2004"/>
      <c r="G2717" s="2004">
        <f>IF('4J'!M36="","##BLANK",'4J'!M36)</f>
        <v>433.05100000000004</v>
      </c>
    </row>
    <row r="2718" spans="2:7">
      <c r="B2718" s="848" t="str">
        <f>+'4J'!AW39</f>
        <v>BP3357001CAW</v>
      </c>
      <c r="D2718" s="848"/>
      <c r="E2718" s="1658" t="s">
        <v>9033</v>
      </c>
      <c r="F2718" s="2004" t="str">
        <f>+'4J'!C$39</f>
        <v>Y1 Flooding - Capex</v>
      </c>
      <c r="G2718" s="2004">
        <f>IF('4J'!M39="","##BLANK",'4J'!M39)</f>
        <v>1E-3</v>
      </c>
    </row>
    <row r="2719" spans="2:7">
      <c r="B2719" s="848" t="str">
        <f>+'4J'!AW40</f>
        <v>BP3357002CAW</v>
      </c>
      <c r="D2719" s="848"/>
      <c r="E2719" s="1658" t="s">
        <v>9033</v>
      </c>
      <c r="F2719" s="2004" t="str">
        <f>+'4J'!C$40</f>
        <v>Y5 Flooding Nov - Capex</v>
      </c>
      <c r="G2719" s="2004">
        <f>IF('4J'!M40="","##BLANK",'4J'!M40)</f>
        <v>0</v>
      </c>
    </row>
    <row r="2720" spans="2:7">
      <c r="B2720" s="848" t="str">
        <f>+'4J'!AW41</f>
        <v>BP3357003CAW</v>
      </c>
      <c r="D2720" s="848"/>
      <c r="E2720" s="1658" t="s">
        <v>9033</v>
      </c>
      <c r="F2720" s="2004" t="str">
        <f>+'4J'!C$41</f>
        <v>Y5 Flooding Jan - Capex</v>
      </c>
      <c r="G2720" s="2004">
        <f>IF('4J'!M41="","##BLANK",'4J'!M41)</f>
        <v>0</v>
      </c>
    </row>
    <row r="2721" spans="2:7">
      <c r="B2721" s="848" t="str">
        <f>+'4J'!AW42</f>
        <v>BP3357004CAW</v>
      </c>
      <c r="D2721" s="848"/>
      <c r="E2721" s="1658" t="s">
        <v>9033</v>
      </c>
      <c r="F2721" s="2004" t="str">
        <f>+'4J'!C$42</f>
        <v>2020-25 Transition Expenditure -Capex</v>
      </c>
      <c r="G2721" s="2004">
        <f>IF('4J'!M42="","##BLANK",'4J'!M42)</f>
        <v>1.111</v>
      </c>
    </row>
    <row r="2722" spans="2:7">
      <c r="B2722" s="848" t="str">
        <f>+'4J'!AW43</f>
        <v>BP3357005CAW</v>
      </c>
      <c r="D2722" s="848"/>
      <c r="E2722" s="1658" t="s">
        <v>9033</v>
      </c>
      <c r="F2722" s="2004" t="str">
        <f>+'4J'!C$43</f>
        <v>Flooding Nov 19 - Opex</v>
      </c>
      <c r="G2722" s="2004">
        <f>IF('4J'!M43="","##BLANK",'4J'!M43)</f>
        <v>8.5000000000000006E-2</v>
      </c>
    </row>
    <row r="2723" spans="2:7">
      <c r="B2723" s="848" t="str">
        <f>+'4J'!AW44</f>
        <v>BP3357006CAW</v>
      </c>
      <c r="D2723" s="848"/>
      <c r="E2723" s="1658" t="s">
        <v>9033</v>
      </c>
      <c r="F2723" s="2004" t="str">
        <f>+'4J'!C$44</f>
        <v>Flooding Feb 20 - Opex</v>
      </c>
      <c r="G2723" s="2004">
        <f>IF('4J'!M44="","##BLANK",'4J'!M44)</f>
        <v>0.13700000000000001</v>
      </c>
    </row>
    <row r="2724" spans="2:7">
      <c r="B2724" s="848" t="str">
        <f>+'4J'!AW45</f>
        <v>BP3357007CAW</v>
      </c>
      <c r="D2724" s="848"/>
      <c r="E2724" s="1658" t="s">
        <v>9033</v>
      </c>
      <c r="F2724" s="2004" t="str">
        <f>+'4J'!C$45</f>
        <v>Regulation costs - Opex</v>
      </c>
      <c r="G2724" s="2004">
        <f>IF('4J'!M45="","##BLANK",'4J'!M45)</f>
        <v>0.48799999999999999</v>
      </c>
    </row>
    <row r="2725" spans="2:7">
      <c r="B2725" s="848" t="str">
        <f>+'4J'!AW46</f>
        <v>BP3357008CAW</v>
      </c>
      <c r="D2725" s="848"/>
      <c r="E2725" s="1658" t="s">
        <v>9033</v>
      </c>
      <c r="F2725" s="2004" t="str">
        <f>+'4J'!C$46</f>
        <v>Reorganisational costs - Opex</v>
      </c>
      <c r="G2725" s="2004">
        <f>IF('4J'!M46="","##BLANK",'4J'!M46)</f>
        <v>1.1099999999999999</v>
      </c>
    </row>
    <row r="2726" spans="2:7">
      <c r="B2726" s="848" t="str">
        <f>+'4J'!AW47</f>
        <v>BP3357009CAW</v>
      </c>
      <c r="D2726" s="848"/>
      <c r="E2726" s="1658" t="s">
        <v>9033</v>
      </c>
      <c r="F2726" s="2004" t="str">
        <f>+'4J'!C$47</f>
        <v>Transition expenditure - Opex</v>
      </c>
      <c r="G2726" s="2004">
        <f>IF('4J'!M47="","##BLANK",'4J'!M47)</f>
        <v>4.8000000000000001E-2</v>
      </c>
    </row>
    <row r="2727" spans="2:7">
      <c r="B2727" s="848" t="str">
        <f>+'4J'!AW48</f>
        <v>BP3357010CAW</v>
      </c>
      <c r="D2727" s="848"/>
      <c r="E2727" s="1658" t="s">
        <v>9033</v>
      </c>
      <c r="F2727" s="2004" t="str">
        <f>+'4J'!C$48</f>
        <v>Item 10</v>
      </c>
      <c r="G2727" s="2004">
        <f>IF('4J'!M48="","##BLANK",'4J'!M48)</f>
        <v>0</v>
      </c>
    </row>
    <row r="2728" spans="2:7">
      <c r="B2728" s="848" t="str">
        <f>+'4J'!AW49</f>
        <v>BP3357020CAW</v>
      </c>
      <c r="D2728" s="848"/>
      <c r="E2728" s="1658" t="s">
        <v>9033</v>
      </c>
      <c r="F2728" s="2004"/>
      <c r="G2728" s="2004">
        <f>IF('4J'!M49="","##BLANK",'4J'!M49)</f>
        <v>2.98</v>
      </c>
    </row>
    <row r="2729" spans="2:7">
      <c r="B2729" s="848" t="str">
        <f>+'4J'!AW52</f>
        <v>W3026TECAW</v>
      </c>
      <c r="D2729" s="848"/>
      <c r="E2729" s="1658" t="s">
        <v>9033</v>
      </c>
      <c r="F2729" s="2004"/>
      <c r="G2729" s="2004">
        <f>IF('4J'!M52="","##BLANK",'4J'!M52)</f>
        <v>436.03100000000001</v>
      </c>
    </row>
    <row r="2730" spans="2:7">
      <c r="B2730" s="848" t="str">
        <f>+'4K'!AQ7</f>
        <v>WWS1001FL</v>
      </c>
      <c r="D2730" s="2004"/>
      <c r="E2730" s="1658" t="s">
        <v>9033</v>
      </c>
      <c r="F2730" s="2004"/>
      <c r="G2730" s="2004">
        <f>IF('4K'!G7="","##BLANK",'4K'!G7)</f>
        <v>1.768</v>
      </c>
    </row>
    <row r="2731" spans="2:7">
      <c r="B2731" s="848" t="str">
        <f>+'4K'!AQ8</f>
        <v>WWS1002FL</v>
      </c>
      <c r="D2731" s="2004"/>
      <c r="E2731" s="1658" t="s">
        <v>9033</v>
      </c>
      <c r="F2731" s="2004"/>
      <c r="G2731" s="2004">
        <f>IF('4K'!G8="","##BLANK",'4K'!G8)</f>
        <v>0</v>
      </c>
    </row>
    <row r="2732" spans="2:7">
      <c r="B2732" s="848" t="str">
        <f>+'4K'!AQ9</f>
        <v>WWS1003FL</v>
      </c>
      <c r="D2732" s="2004"/>
      <c r="E2732" s="1658" t="s">
        <v>9033</v>
      </c>
      <c r="F2732" s="2004"/>
      <c r="G2732" s="2004">
        <f>IF('4K'!G9="","##BLANK",'4K'!G9)</f>
        <v>0.68100000000000005</v>
      </c>
    </row>
    <row r="2733" spans="2:7">
      <c r="B2733" s="848" t="str">
        <f>+'4K'!AQ10</f>
        <v>WWS1004FL</v>
      </c>
      <c r="D2733" s="2004"/>
      <c r="E2733" s="1658" t="s">
        <v>9033</v>
      </c>
      <c r="F2733" s="2004"/>
      <c r="G2733" s="2004">
        <f>IF('4K'!G10="","##BLANK",'4K'!G10)</f>
        <v>0</v>
      </c>
    </row>
    <row r="2734" spans="2:7">
      <c r="B2734" s="848" t="str">
        <f>+'4K'!AQ12</f>
        <v>WWS1005FL</v>
      </c>
      <c r="D2734" s="2004"/>
      <c r="E2734" s="1658" t="s">
        <v>9033</v>
      </c>
      <c r="F2734" s="2004"/>
      <c r="G2734" s="2004">
        <f>IF('4K'!G12="","##BLANK",'4K'!G12)</f>
        <v>0</v>
      </c>
    </row>
    <row r="2735" spans="2:7">
      <c r="B2735" s="848" t="str">
        <f>+'4K'!AQ13</f>
        <v>WWS1006FL</v>
      </c>
      <c r="D2735" s="2004"/>
      <c r="E2735" s="1658" t="s">
        <v>9033</v>
      </c>
      <c r="F2735" s="2004"/>
      <c r="G2735" s="2004">
        <f>IF('4K'!G13="","##BLANK",'4K'!G13)</f>
        <v>0</v>
      </c>
    </row>
    <row r="2736" spans="2:7">
      <c r="B2736" s="848" t="str">
        <f>+'4K'!AQ14</f>
        <v>WWS1007FL</v>
      </c>
      <c r="D2736" s="2004"/>
      <c r="E2736" s="1658" t="s">
        <v>9033</v>
      </c>
      <c r="F2736" s="2004"/>
      <c r="G2736" s="2004">
        <f>IF('4K'!G14="","##BLANK",'4K'!G14)</f>
        <v>26.684999999999999</v>
      </c>
    </row>
    <row r="2737" spans="2:7">
      <c r="B2737" s="848" t="str">
        <f>+'4K'!AQ15</f>
        <v>WWS1008FL</v>
      </c>
      <c r="D2737" s="2004"/>
      <c r="E2737" s="1658" t="s">
        <v>9033</v>
      </c>
      <c r="F2737" s="2004"/>
      <c r="G2737" s="2004">
        <f>IF('4K'!G15="","##BLANK",'4K'!G15)</f>
        <v>8.5000000000000006E-2</v>
      </c>
    </row>
    <row r="2738" spans="2:7">
      <c r="B2738" s="848" t="str">
        <f>+'4K'!AQ16</f>
        <v>WWS1009FL</v>
      </c>
      <c r="D2738" s="2004"/>
      <c r="E2738" s="1658" t="s">
        <v>9033</v>
      </c>
      <c r="F2738" s="2004"/>
      <c r="G2738" s="2004">
        <f>IF('4K'!G16="","##BLANK",'4K'!G16)</f>
        <v>29.219000000000001</v>
      </c>
    </row>
    <row r="2739" spans="2:7">
      <c r="B2739" s="848" t="str">
        <f>+'4K'!AQ18</f>
        <v>WWS1010FL</v>
      </c>
      <c r="D2739" s="2004"/>
      <c r="E2739" s="1658" t="s">
        <v>9033</v>
      </c>
      <c r="F2739" s="2004"/>
      <c r="G2739" s="2004">
        <f>IF('4K'!G18="","##BLANK",'4K'!G18)</f>
        <v>0</v>
      </c>
    </row>
    <row r="2740" spans="2:7">
      <c r="B2740" s="848" t="str">
        <f>+'4K'!AQ19</f>
        <v>WWS1011FL</v>
      </c>
      <c r="D2740" s="2004"/>
      <c r="E2740" s="1658" t="s">
        <v>9033</v>
      </c>
      <c r="F2740" s="2004"/>
      <c r="G2740" s="2004">
        <f>IF('4K'!G19="","##BLANK",'4K'!G19)</f>
        <v>29.219000000000001</v>
      </c>
    </row>
    <row r="2741" spans="2:7">
      <c r="B2741" s="848" t="str">
        <f>+'4K'!AQ22</f>
        <v>WWS1012FL</v>
      </c>
      <c r="D2741" s="2004"/>
      <c r="E2741" s="1658" t="s">
        <v>9033</v>
      </c>
      <c r="F2741" s="2004"/>
      <c r="G2741" s="2004">
        <f>IF('4K'!G22="","##BLANK",'4K'!G22)</f>
        <v>11.930999999999999</v>
      </c>
    </row>
    <row r="2742" spans="2:7">
      <c r="B2742" s="848" t="str">
        <f>+'4K'!AQ23</f>
        <v>WWS1013FL</v>
      </c>
      <c r="D2742" s="2004"/>
      <c r="E2742" s="1658" t="s">
        <v>9033</v>
      </c>
      <c r="F2742" s="2004"/>
      <c r="G2742" s="2004">
        <f>IF('4K'!G23="","##BLANK",'4K'!G23)</f>
        <v>9.2189999999999994</v>
      </c>
    </row>
    <row r="2743" spans="2:7">
      <c r="B2743" s="848" t="str">
        <f>+'4K'!AQ24</f>
        <v>WWS1014FL</v>
      </c>
      <c r="D2743" s="2004"/>
      <c r="E2743" s="1658" t="s">
        <v>9033</v>
      </c>
      <c r="F2743" s="2004"/>
      <c r="G2743" s="2004">
        <f>IF('4K'!G24="","##BLANK",'4K'!G24)</f>
        <v>17.324000000000002</v>
      </c>
    </row>
    <row r="2744" spans="2:7">
      <c r="B2744" s="848" t="str">
        <f>+'4K'!AQ25</f>
        <v>WWS1015FL</v>
      </c>
      <c r="D2744" s="2004"/>
      <c r="E2744" s="1658" t="s">
        <v>9033</v>
      </c>
      <c r="F2744" s="2004"/>
      <c r="G2744" s="2004">
        <f>IF('4K'!G25="","##BLANK",'4K'!G25)</f>
        <v>10.999000000000001</v>
      </c>
    </row>
    <row r="2745" spans="2:7">
      <c r="B2745" s="848" t="str">
        <f>+'4K'!AQ26</f>
        <v>WWS1016FL</v>
      </c>
      <c r="D2745" s="2004"/>
      <c r="E2745" s="1658" t="s">
        <v>9033</v>
      </c>
      <c r="F2745" s="2004"/>
      <c r="G2745" s="2004">
        <f>IF('4K'!G26="","##BLANK",'4K'!G26)</f>
        <v>1.079</v>
      </c>
    </row>
    <row r="2746" spans="2:7">
      <c r="B2746" s="848" t="str">
        <f>+'4K'!AQ27</f>
        <v>WWS1017FL</v>
      </c>
      <c r="D2746" s="2004"/>
      <c r="E2746" s="1658" t="s">
        <v>9033</v>
      </c>
      <c r="F2746" s="2004"/>
      <c r="G2746" s="2004">
        <f>IF('4K'!G27="","##BLANK",'4K'!G27)</f>
        <v>50.552000000000007</v>
      </c>
    </row>
    <row r="2747" spans="2:7">
      <c r="B2747" s="848" t="str">
        <f>+'4K'!AQ28</f>
        <v>WWS1018FL</v>
      </c>
      <c r="D2747" s="2004"/>
      <c r="E2747" s="1658" t="s">
        <v>9033</v>
      </c>
      <c r="F2747" s="2004"/>
      <c r="G2747" s="2004">
        <f>IF('4K'!G28="","##BLANK",'4K'!G28)</f>
        <v>0</v>
      </c>
    </row>
    <row r="2748" spans="2:7">
      <c r="B2748" s="848" t="str">
        <f>+'4K'!AQ29</f>
        <v>WWS1019FL</v>
      </c>
      <c r="D2748" s="2004"/>
      <c r="E2748" s="1658" t="s">
        <v>9033</v>
      </c>
      <c r="F2748" s="2004"/>
      <c r="G2748" s="2004">
        <f>IF('4K'!G29="","##BLANK",'4K'!G29)</f>
        <v>50.552000000000007</v>
      </c>
    </row>
    <row r="2749" spans="2:7">
      <c r="B2749" s="848" t="str">
        <f>+'4K'!AQ30</f>
        <v>WWS1020FL</v>
      </c>
      <c r="D2749" s="2004"/>
      <c r="E2749" s="1658" t="s">
        <v>9033</v>
      </c>
      <c r="F2749" s="2004"/>
      <c r="G2749" s="2004">
        <f>IF('4K'!G30="","##BLANK",'4K'!G30)</f>
        <v>3.7650000000000001</v>
      </c>
    </row>
    <row r="2750" spans="2:7">
      <c r="B2750" s="848" t="str">
        <f>+'4K'!AQ31</f>
        <v>WWS1021FL</v>
      </c>
      <c r="D2750" s="2004"/>
      <c r="E2750" s="1658" t="s">
        <v>9033</v>
      </c>
      <c r="F2750" s="2004"/>
      <c r="G2750" s="2004">
        <f>IF('4K'!G31="","##BLANK",'4K'!G31)</f>
        <v>76.006000000000014</v>
      </c>
    </row>
    <row r="2751" spans="2:7">
      <c r="B2751" s="848" t="str">
        <f>+'4K'!AQ34</f>
        <v>WWS1022FL</v>
      </c>
      <c r="D2751" s="2004"/>
      <c r="E2751" s="1658" t="s">
        <v>9033</v>
      </c>
      <c r="F2751" s="2004"/>
      <c r="G2751" s="2004">
        <f>IF('4K'!G34="","##BLANK",'4K'!G34)</f>
        <v>0</v>
      </c>
    </row>
    <row r="2752" spans="2:7">
      <c r="B2752" s="848" t="str">
        <f>+'4K'!AQ35</f>
        <v>WWS1023FL</v>
      </c>
      <c r="D2752" s="2004"/>
      <c r="E2752" s="1658" t="s">
        <v>9033</v>
      </c>
      <c r="F2752" s="2004"/>
      <c r="G2752" s="2004">
        <f>IF('4K'!G35="","##BLANK",'4K'!G35)</f>
        <v>0</v>
      </c>
    </row>
    <row r="2753" spans="2:7">
      <c r="B2753" s="848" t="str">
        <f>+'4K'!AQ36</f>
        <v>WWS1024FL</v>
      </c>
      <c r="D2753" s="2004"/>
      <c r="E2753" s="1658" t="s">
        <v>9033</v>
      </c>
      <c r="F2753" s="2004"/>
      <c r="G2753" s="2004">
        <f>IF('4K'!G36="","##BLANK",'4K'!G36)</f>
        <v>76.006000000000014</v>
      </c>
    </row>
    <row r="2754" spans="2:7">
      <c r="B2754" s="848" t="str">
        <f>+'4K'!AQ39</f>
        <v>BP3357001FL</v>
      </c>
      <c r="D2754" s="2004"/>
      <c r="E2754" s="1658" t="s">
        <v>9033</v>
      </c>
      <c r="F2754" s="2004" t="str">
        <f>+'4K'!C$39</f>
        <v>Y1 Flooding - Capex</v>
      </c>
      <c r="G2754" s="2004">
        <f>IF('4K'!G39="","##BLANK",'4K'!G39)</f>
        <v>0.11600000000000001</v>
      </c>
    </row>
    <row r="2755" spans="2:7">
      <c r="B2755" s="848" t="str">
        <f>+'4K'!AQ40</f>
        <v>BP3357002FL</v>
      </c>
      <c r="D2755" s="2004"/>
      <c r="E2755" s="1658" t="s">
        <v>9033</v>
      </c>
      <c r="F2755" s="2004" t="str">
        <f>+'4K'!C$40</f>
        <v>Y5 Flooding Nov - Capex</v>
      </c>
      <c r="G2755" s="2004">
        <f>IF('4K'!G40="","##BLANK",'4K'!G40)</f>
        <v>0.16200000000000001</v>
      </c>
    </row>
    <row r="2756" spans="2:7">
      <c r="B2756" s="848" t="str">
        <f>+'4K'!AQ41</f>
        <v>BP3357003FL</v>
      </c>
      <c r="D2756" s="2004"/>
      <c r="E2756" s="1658" t="s">
        <v>9033</v>
      </c>
      <c r="F2756" s="2004" t="str">
        <f>+'4K'!C$41</f>
        <v>2020-25 Transition Expenditure -Capex</v>
      </c>
      <c r="G2756" s="2004">
        <f>IF('4K'!G41="","##BLANK",'4K'!G41)</f>
        <v>0.122</v>
      </c>
    </row>
    <row r="2757" spans="2:7">
      <c r="B2757" s="848" t="str">
        <f>+'4K'!AQ42</f>
        <v>BP3357004FL</v>
      </c>
      <c r="D2757" s="2004"/>
      <c r="E2757" s="1658" t="s">
        <v>9033</v>
      </c>
      <c r="F2757" s="2004" t="str">
        <f>+'4K'!C$42</f>
        <v>Flooding December 2015</v>
      </c>
      <c r="G2757" s="2004">
        <f>IF('4K'!G42="","##BLANK",'4K'!G42)</f>
        <v>0</v>
      </c>
    </row>
    <row r="2758" spans="2:7">
      <c r="B2758" s="848" t="str">
        <f>+'4K'!AQ43</f>
        <v>BP3357005FL</v>
      </c>
      <c r="D2758" s="2004"/>
      <c r="E2758" s="1658" t="s">
        <v>9033</v>
      </c>
      <c r="F2758" s="2004" t="str">
        <f>+'4K'!C$43</f>
        <v>Flooding November 2019</v>
      </c>
      <c r="G2758" s="2004">
        <f>IF('4K'!G43="","##BLANK",'4K'!G43)</f>
        <v>0.65200000000000002</v>
      </c>
    </row>
    <row r="2759" spans="2:7">
      <c r="B2759" s="848" t="str">
        <f>+'4K'!AQ44</f>
        <v>BP3357006FL</v>
      </c>
      <c r="D2759" s="2004"/>
      <c r="E2759" s="1658" t="s">
        <v>9033</v>
      </c>
      <c r="F2759" s="2004" t="str">
        <f>+'4K'!C$44</f>
        <v>Flooding February 2020</v>
      </c>
      <c r="G2759" s="2004">
        <f>IF('4K'!G44="","##BLANK",'4K'!G44)</f>
        <v>0.215</v>
      </c>
    </row>
    <row r="2760" spans="2:7">
      <c r="B2760" s="848" t="str">
        <f>+'4K'!AQ45</f>
        <v>BP3357007FL</v>
      </c>
      <c r="D2760" s="2004"/>
      <c r="E2760" s="1658" t="s">
        <v>9033</v>
      </c>
      <c r="F2760" s="2004" t="str">
        <f>+'4K'!C$45</f>
        <v>Regulation costs - Opex</v>
      </c>
      <c r="G2760" s="2004">
        <f>IF('4K'!G45="","##BLANK",'4K'!G45)</f>
        <v>4.7E-2</v>
      </c>
    </row>
    <row r="2761" spans="2:7">
      <c r="B2761" s="848" t="str">
        <f>+'4K'!AQ46</f>
        <v>BP3357008FL</v>
      </c>
      <c r="D2761" s="2004"/>
      <c r="E2761" s="1658" t="s">
        <v>9033</v>
      </c>
      <c r="F2761" s="2004" t="str">
        <f>+'4K'!C$46</f>
        <v>Reorganisational costs - Opex</v>
      </c>
      <c r="G2761" s="2004">
        <f>IF('4K'!G46="","##BLANK",'4K'!G46)</f>
        <v>0.215</v>
      </c>
    </row>
    <row r="2762" spans="2:7">
      <c r="B2762" s="848" t="str">
        <f>+'4K'!AQ47</f>
        <v>BP3357009FL</v>
      </c>
      <c r="D2762" s="2004"/>
      <c r="E2762" s="1658" t="s">
        <v>9033</v>
      </c>
      <c r="F2762" s="2004" t="str">
        <f>+'4K'!C$47</f>
        <v>Transition expenditure - Opex</v>
      </c>
      <c r="G2762" s="2004">
        <f>IF('4K'!G47="","##BLANK",'4K'!G47)</f>
        <v>0</v>
      </c>
    </row>
    <row r="2763" spans="2:7">
      <c r="B2763" s="848" t="str">
        <f>+'4K'!AQ48</f>
        <v>BP3357010FL</v>
      </c>
      <c r="D2763" s="2004"/>
      <c r="E2763" s="1658" t="s">
        <v>9033</v>
      </c>
      <c r="F2763" s="2004" t="str">
        <f>+'4K'!C$48</f>
        <v>Item 10</v>
      </c>
      <c r="G2763" s="2004" t="str">
        <f>IF('4K'!G48="","##BLANK",'4K'!G48)</f>
        <v>##BLANK</v>
      </c>
    </row>
    <row r="2764" spans="2:7">
      <c r="B2764" s="848" t="str">
        <f>+'4K'!AQ49</f>
        <v>BP3357020FL</v>
      </c>
      <c r="D2764" s="2004"/>
      <c r="E2764" s="1658" t="s">
        <v>9033</v>
      </c>
      <c r="F2764" s="2004"/>
      <c r="G2764" s="2004">
        <f>IF('4K'!G49="","##BLANK",'4K'!G49)</f>
        <v>1.5290000000000001</v>
      </c>
    </row>
    <row r="2765" spans="2:7">
      <c r="B2765" s="848" t="str">
        <f>+'4K'!AQ52</f>
        <v>S3040TCAFL</v>
      </c>
      <c r="D2765" s="2004"/>
      <c r="E2765" s="1658" t="s">
        <v>9033</v>
      </c>
      <c r="F2765" s="2004"/>
      <c r="G2765" s="2004">
        <f>IF('4K'!G52="","##BLANK",'4K'!G52)</f>
        <v>77.535000000000011</v>
      </c>
    </row>
    <row r="2766" spans="2:7">
      <c r="B2766" s="848" t="str">
        <f>+'4K'!AR7</f>
        <v>WWS1001SWD</v>
      </c>
      <c r="D2766" s="2004"/>
      <c r="E2766" s="1658" t="s">
        <v>9033</v>
      </c>
      <c r="F2766" s="2004"/>
      <c r="G2766" s="2004">
        <f>IF('4K'!H7="","##BLANK",'4K'!H7)</f>
        <v>1.944</v>
      </c>
    </row>
    <row r="2767" spans="2:7">
      <c r="B2767" s="848" t="str">
        <f>+'4K'!AR8</f>
        <v>WWS1002SWD</v>
      </c>
      <c r="D2767" s="2004"/>
      <c r="E2767" s="1658" t="s">
        <v>9033</v>
      </c>
      <c r="F2767" s="2004"/>
      <c r="G2767" s="2004">
        <f>IF('4K'!H8="","##BLANK",'4K'!H8)</f>
        <v>0</v>
      </c>
    </row>
    <row r="2768" spans="2:7">
      <c r="B2768" s="848" t="str">
        <f>+'4K'!AR9</f>
        <v>WWS1003SWD</v>
      </c>
      <c r="D2768" s="2004"/>
      <c r="E2768" s="1658" t="s">
        <v>9033</v>
      </c>
      <c r="F2768" s="2004"/>
      <c r="G2768" s="2004">
        <f>IF('4K'!H9="","##BLANK",'4K'!H9)</f>
        <v>0.751</v>
      </c>
    </row>
    <row r="2769" spans="2:7">
      <c r="B2769" s="848" t="str">
        <f>+'4K'!AR10</f>
        <v>WWS1004SWD</v>
      </c>
      <c r="D2769" s="2004"/>
      <c r="E2769" s="1658" t="s">
        <v>9033</v>
      </c>
      <c r="F2769" s="2004"/>
      <c r="G2769" s="2004">
        <f>IF('4K'!H10="","##BLANK",'4K'!H10)</f>
        <v>0</v>
      </c>
    </row>
    <row r="2770" spans="2:7">
      <c r="B2770" s="848" t="str">
        <f>+'4K'!AR12</f>
        <v>WWS1005SWD</v>
      </c>
      <c r="D2770" s="2004"/>
      <c r="E2770" s="1658" t="s">
        <v>9033</v>
      </c>
      <c r="F2770" s="2004"/>
      <c r="G2770" s="2004">
        <f>IF('4K'!H12="","##BLANK",'4K'!H12)</f>
        <v>0</v>
      </c>
    </row>
    <row r="2771" spans="2:7">
      <c r="B2771" s="848" t="str">
        <f>+'4K'!AR13</f>
        <v>WWS1006SWD</v>
      </c>
      <c r="D2771" s="2004"/>
      <c r="E2771" s="1658" t="s">
        <v>9033</v>
      </c>
      <c r="F2771" s="2004"/>
      <c r="G2771" s="2004">
        <f>IF('4K'!H13="","##BLANK",'4K'!H13)</f>
        <v>0</v>
      </c>
    </row>
    <row r="2772" spans="2:7">
      <c r="B2772" s="848" t="str">
        <f>+'4K'!AR14</f>
        <v>WWS1007SWD</v>
      </c>
      <c r="D2772" s="2004"/>
      <c r="E2772" s="1658" t="s">
        <v>9033</v>
      </c>
      <c r="F2772" s="2004"/>
      <c r="G2772" s="2004">
        <f>IF('4K'!H14="","##BLANK",'4K'!H14)</f>
        <v>26.202999999999999</v>
      </c>
    </row>
    <row r="2773" spans="2:7">
      <c r="B2773" s="848" t="str">
        <f>+'4K'!AR15</f>
        <v>WWS1008SWD</v>
      </c>
      <c r="D2773" s="2004"/>
      <c r="E2773" s="1658" t="s">
        <v>9033</v>
      </c>
      <c r="F2773" s="2004"/>
      <c r="G2773" s="2004">
        <f>IF('4K'!H15="","##BLANK",'4K'!H15)</f>
        <v>0.08</v>
      </c>
    </row>
    <row r="2774" spans="2:7">
      <c r="B2774" s="848" t="str">
        <f>+'4K'!AR16</f>
        <v>WWS1009SWD</v>
      </c>
      <c r="D2774" s="2004"/>
      <c r="E2774" s="1658" t="s">
        <v>9033</v>
      </c>
      <c r="F2774" s="2004"/>
      <c r="G2774" s="2004">
        <f>IF('4K'!H16="","##BLANK",'4K'!H16)</f>
        <v>28.977999999999998</v>
      </c>
    </row>
    <row r="2775" spans="2:7">
      <c r="B2775" s="848" t="str">
        <f>+'4K'!AR18</f>
        <v>WWS1010SWD</v>
      </c>
      <c r="D2775" s="2004"/>
      <c r="E2775" s="1658" t="s">
        <v>9033</v>
      </c>
      <c r="F2775" s="2004"/>
      <c r="G2775" s="2004">
        <f>IF('4K'!H18="","##BLANK",'4K'!H18)</f>
        <v>0</v>
      </c>
    </row>
    <row r="2776" spans="2:7">
      <c r="B2776" s="848" t="str">
        <f>+'4K'!AR19</f>
        <v>WWS1011SWD</v>
      </c>
      <c r="D2776" s="2004"/>
      <c r="E2776" s="1658" t="s">
        <v>9033</v>
      </c>
      <c r="F2776" s="2004"/>
      <c r="G2776" s="2004">
        <f>IF('4K'!H19="","##BLANK",'4K'!H19)</f>
        <v>28.977999999999998</v>
      </c>
    </row>
    <row r="2777" spans="2:7">
      <c r="B2777" s="848" t="str">
        <f>+'4K'!AR22</f>
        <v>WWS1012SWD</v>
      </c>
      <c r="D2777" s="2004"/>
      <c r="E2777" s="1658" t="s">
        <v>9033</v>
      </c>
      <c r="F2777" s="2004"/>
      <c r="G2777" s="2004">
        <f>IF('4K'!H22="","##BLANK",'4K'!H22)</f>
        <v>13.153</v>
      </c>
    </row>
    <row r="2778" spans="2:7">
      <c r="B2778" s="848" t="str">
        <f>+'4K'!AR23</f>
        <v>WWS1013SWD</v>
      </c>
      <c r="D2778" s="2004"/>
      <c r="E2778" s="1658" t="s">
        <v>9033</v>
      </c>
      <c r="F2778" s="2004"/>
      <c r="G2778" s="2004">
        <f>IF('4K'!H23="","##BLANK",'4K'!H23)</f>
        <v>9.07</v>
      </c>
    </row>
    <row r="2779" spans="2:7">
      <c r="B2779" s="848" t="str">
        <f>+'4K'!AR24</f>
        <v>WWS1014SWD</v>
      </c>
      <c r="D2779" s="2004"/>
      <c r="E2779" s="1658" t="s">
        <v>9033</v>
      </c>
      <c r="F2779" s="2004"/>
      <c r="G2779" s="2004">
        <f>IF('4K'!H24="","##BLANK",'4K'!H24)</f>
        <v>19.100999999999999</v>
      </c>
    </row>
    <row r="2780" spans="2:7">
      <c r="B2780" s="848" t="str">
        <f>+'4K'!AR25</f>
        <v>WWS1015SWD</v>
      </c>
      <c r="D2780" s="2004"/>
      <c r="E2780" s="1658" t="s">
        <v>9033</v>
      </c>
      <c r="F2780" s="2004"/>
      <c r="G2780" s="2004">
        <f>IF('4K'!H25="","##BLANK",'4K'!H25)</f>
        <v>12.071999999999999</v>
      </c>
    </row>
    <row r="2781" spans="2:7">
      <c r="B2781" s="848" t="str">
        <f>+'4K'!AR26</f>
        <v>WWS1016SWD</v>
      </c>
      <c r="D2781" s="2004"/>
      <c r="E2781" s="1658" t="s">
        <v>9033</v>
      </c>
      <c r="F2781" s="2004"/>
      <c r="G2781" s="2004">
        <f>IF('4K'!H26="","##BLANK",'4K'!H26)</f>
        <v>1.19</v>
      </c>
    </row>
    <row r="2782" spans="2:7">
      <c r="B2782" s="848" t="str">
        <f>+'4K'!AR27</f>
        <v>WWS1017SWD</v>
      </c>
      <c r="D2782" s="2004"/>
      <c r="E2782" s="1658" t="s">
        <v>9033</v>
      </c>
      <c r="F2782" s="2004"/>
      <c r="G2782" s="2004">
        <f>IF('4K'!H27="","##BLANK",'4K'!H27)</f>
        <v>54.585999999999999</v>
      </c>
    </row>
    <row r="2783" spans="2:7">
      <c r="B2783" s="848" t="str">
        <f>+'4K'!AR28</f>
        <v>WWS1018SWD</v>
      </c>
      <c r="D2783" s="2004"/>
      <c r="E2783" s="1658" t="s">
        <v>9033</v>
      </c>
      <c r="F2783" s="2004"/>
      <c r="G2783" s="2004">
        <f>IF('4K'!H28="","##BLANK",'4K'!H28)</f>
        <v>0</v>
      </c>
    </row>
    <row r="2784" spans="2:7">
      <c r="B2784" s="848" t="str">
        <f>+'4K'!AR29</f>
        <v>WWS1019SWD</v>
      </c>
      <c r="D2784" s="2004"/>
      <c r="E2784" s="1658" t="s">
        <v>9033</v>
      </c>
      <c r="F2784" s="2004"/>
      <c r="G2784" s="2004">
        <f>IF('4K'!H29="","##BLANK",'4K'!H29)</f>
        <v>54.585999999999999</v>
      </c>
    </row>
    <row r="2785" spans="2:7">
      <c r="B2785" s="848" t="str">
        <f>+'4K'!AR30</f>
        <v>WWS1020SWD</v>
      </c>
      <c r="D2785" s="2004"/>
      <c r="E2785" s="1658" t="s">
        <v>9033</v>
      </c>
      <c r="F2785" s="2004"/>
      <c r="G2785" s="2004">
        <f>IF('4K'!H30="","##BLANK",'4K'!H30)</f>
        <v>4.1509999999999998</v>
      </c>
    </row>
    <row r="2786" spans="2:7">
      <c r="B2786" s="848" t="str">
        <f>+'4K'!AR31</f>
        <v>WWS1021SWD</v>
      </c>
      <c r="D2786" s="2004"/>
      <c r="E2786" s="1658" t="s">
        <v>9033</v>
      </c>
      <c r="F2786" s="2004"/>
      <c r="G2786" s="2004">
        <f>IF('4K'!H31="","##BLANK",'4K'!H31)</f>
        <v>79.412999999999997</v>
      </c>
    </row>
    <row r="2787" spans="2:7">
      <c r="B2787" s="848" t="str">
        <f>+'4K'!AR34</f>
        <v>WWS1022SWD</v>
      </c>
      <c r="D2787" s="2004"/>
      <c r="E2787" s="1658" t="s">
        <v>9033</v>
      </c>
      <c r="F2787" s="2004"/>
      <c r="G2787" s="2004">
        <f>IF('4K'!H34="","##BLANK",'4K'!H34)</f>
        <v>0</v>
      </c>
    </row>
    <row r="2788" spans="2:7">
      <c r="B2788" s="848" t="str">
        <f>+'4K'!AR35</f>
        <v>WWS1023SWD</v>
      </c>
      <c r="D2788" s="2004"/>
      <c r="E2788" s="1658" t="s">
        <v>9033</v>
      </c>
      <c r="F2788" s="2004"/>
      <c r="G2788" s="2004">
        <f>IF('4K'!H35="","##BLANK",'4K'!H35)</f>
        <v>0</v>
      </c>
    </row>
    <row r="2789" spans="2:7">
      <c r="B2789" s="848" t="str">
        <f>+'4K'!AR36</f>
        <v>WWS1024SWD</v>
      </c>
      <c r="D2789" s="2004"/>
      <c r="E2789" s="1658" t="s">
        <v>9033</v>
      </c>
      <c r="F2789" s="2004"/>
      <c r="G2789" s="2004">
        <f>IF('4K'!H36="","##BLANK",'4K'!H36)</f>
        <v>79.412999999999997</v>
      </c>
    </row>
    <row r="2790" spans="2:7">
      <c r="B2790" s="848" t="str">
        <f>+'4K'!AR39</f>
        <v>BP3357001SWD</v>
      </c>
      <c r="D2790" s="2004"/>
      <c r="E2790" s="1658" t="s">
        <v>9033</v>
      </c>
      <c r="F2790" s="2004" t="str">
        <f>+'4K'!C$39</f>
        <v>Y1 Flooding - Capex</v>
      </c>
      <c r="G2790" s="2004">
        <f>IF('4K'!H39="","##BLANK",'4K'!H39)</f>
        <v>0.128</v>
      </c>
    </row>
    <row r="2791" spans="2:7">
      <c r="B2791" s="848" t="str">
        <f>+'4K'!AR40</f>
        <v>BP3357002SWD</v>
      </c>
      <c r="D2791" s="2004"/>
      <c r="E2791" s="1658" t="s">
        <v>9033</v>
      </c>
      <c r="F2791" s="2004" t="str">
        <f>+'4K'!C$40</f>
        <v>Y5 Flooding Nov - Capex</v>
      </c>
      <c r="G2791" s="2004">
        <f>IF('4K'!H40="","##BLANK",'4K'!H40)</f>
        <v>0.17799999999999999</v>
      </c>
    </row>
    <row r="2792" spans="2:7">
      <c r="B2792" s="848" t="str">
        <f>+'4K'!AR41</f>
        <v>BP3357003SWD</v>
      </c>
      <c r="D2792" s="2004"/>
      <c r="E2792" s="1658" t="s">
        <v>9033</v>
      </c>
      <c r="F2792" s="2004" t="str">
        <f>+'4K'!C$41</f>
        <v>2020-25 Transition Expenditure -Capex</v>
      </c>
      <c r="G2792" s="2004">
        <f>IF('4K'!H41="","##BLANK",'4K'!H41)</f>
        <v>0.113</v>
      </c>
    </row>
    <row r="2793" spans="2:7">
      <c r="B2793" s="848" t="str">
        <f>+'4K'!AR42</f>
        <v>BP3357004SWD</v>
      </c>
      <c r="D2793" s="2004"/>
      <c r="E2793" s="1658" t="s">
        <v>9033</v>
      </c>
      <c r="F2793" s="2004" t="str">
        <f>+'4K'!C$42</f>
        <v>Flooding December 2015</v>
      </c>
      <c r="G2793" s="2004">
        <f>IF('4K'!H42="","##BLANK",'4K'!H42)</f>
        <v>0</v>
      </c>
    </row>
    <row r="2794" spans="2:7">
      <c r="B2794" s="848" t="str">
        <f>+'4K'!AR43</f>
        <v>BP3357005SWD</v>
      </c>
      <c r="D2794" s="2004"/>
      <c r="E2794" s="1658" t="s">
        <v>9033</v>
      </c>
      <c r="F2794" s="2004" t="str">
        <f>+'4K'!C$43</f>
        <v>Flooding November 2019</v>
      </c>
      <c r="G2794" s="2004">
        <f>IF('4K'!H43="","##BLANK",'4K'!H43)</f>
        <v>0.71899999999999997</v>
      </c>
    </row>
    <row r="2795" spans="2:7">
      <c r="B2795" s="848" t="str">
        <f>+'4K'!AR44</f>
        <v>BP3357006SWD</v>
      </c>
      <c r="D2795" s="2004"/>
      <c r="E2795" s="1658" t="s">
        <v>9033</v>
      </c>
      <c r="F2795" s="2004" t="str">
        <f>+'4K'!C$44</f>
        <v>Flooding February 2020</v>
      </c>
      <c r="G2795" s="2004">
        <f>IF('4K'!H44="","##BLANK",'4K'!H44)</f>
        <v>0.23699999999999999</v>
      </c>
    </row>
    <row r="2796" spans="2:7">
      <c r="B2796" s="848" t="str">
        <f>+'4K'!AR45</f>
        <v>BP3357007SWD</v>
      </c>
      <c r="D2796" s="2004"/>
      <c r="E2796" s="1658" t="s">
        <v>9033</v>
      </c>
      <c r="F2796" s="2004" t="str">
        <f>+'4K'!C$45</f>
        <v>Regulation costs - Opex</v>
      </c>
      <c r="G2796" s="2004">
        <f>IF('4K'!H45="","##BLANK",'4K'!H45)</f>
        <v>5.1999999999999998E-2</v>
      </c>
    </row>
    <row r="2797" spans="2:7">
      <c r="B2797" s="848" t="str">
        <f>+'4K'!AR46</f>
        <v>BP3357008SWD</v>
      </c>
      <c r="D2797" s="2004"/>
      <c r="E2797" s="1658" t="s">
        <v>9033</v>
      </c>
      <c r="F2797" s="2004" t="str">
        <f>+'4K'!C$46</f>
        <v>Reorganisational costs - Opex</v>
      </c>
      <c r="G2797" s="2004">
        <f>IF('4K'!H46="","##BLANK",'4K'!H46)</f>
        <v>0.21299999999999999</v>
      </c>
    </row>
    <row r="2798" spans="2:7">
      <c r="B2798" s="848" t="str">
        <f>+'4K'!AR47</f>
        <v>BP3357009SWD</v>
      </c>
      <c r="D2798" s="2004"/>
      <c r="E2798" s="1658" t="s">
        <v>9033</v>
      </c>
      <c r="F2798" s="2004" t="str">
        <f>+'4K'!C$47</f>
        <v>Transition expenditure - Opex</v>
      </c>
      <c r="G2798" s="2004">
        <f>IF('4K'!H47="","##BLANK",'4K'!H47)</f>
        <v>0</v>
      </c>
    </row>
    <row r="2799" spans="2:7">
      <c r="B2799" s="848" t="str">
        <f>+'4K'!AR48</f>
        <v>BP3357010SWD</v>
      </c>
      <c r="D2799" s="2004"/>
      <c r="E2799" s="1658" t="s">
        <v>9033</v>
      </c>
      <c r="F2799" s="2004" t="str">
        <f>+'4K'!C$48</f>
        <v>Item 10</v>
      </c>
      <c r="G2799" s="2004" t="str">
        <f>IF('4K'!H48="","##BLANK",'4K'!H48)</f>
        <v>##BLANK</v>
      </c>
    </row>
    <row r="2800" spans="2:7">
      <c r="B2800" s="848" t="str">
        <f>+'4K'!AR49</f>
        <v>BP3357020SWD</v>
      </c>
      <c r="D2800" s="2004"/>
      <c r="E2800" s="1658" t="s">
        <v>9033</v>
      </c>
      <c r="F2800" s="2004"/>
      <c r="G2800" s="2004">
        <f>IF('4K'!H49="","##BLANK",'4K'!H49)</f>
        <v>1.6400000000000001</v>
      </c>
    </row>
    <row r="2801" spans="2:7">
      <c r="B2801" s="848" t="str">
        <f>+'4K'!AR52</f>
        <v>S3040TCASWD</v>
      </c>
      <c r="D2801" s="2004"/>
      <c r="E2801" s="1658" t="s">
        <v>9033</v>
      </c>
      <c r="F2801" s="2004"/>
      <c r="G2801" s="2004">
        <f>IF('4K'!H52="","##BLANK",'4K'!H52)</f>
        <v>81.052999999999997</v>
      </c>
    </row>
    <row r="2802" spans="2:7">
      <c r="B2802" s="848" t="str">
        <f>+'4K'!AS7</f>
        <v>WWS1001HD</v>
      </c>
      <c r="D2802" s="2004"/>
      <c r="E2802" s="1658" t="s">
        <v>9033</v>
      </c>
      <c r="F2802" s="2004"/>
      <c r="G2802" s="2004">
        <f>IF('4K'!I7="","##BLANK",'4K'!I7)</f>
        <v>0.82499999999999996</v>
      </c>
    </row>
    <row r="2803" spans="2:7">
      <c r="B2803" s="848" t="str">
        <f>+'4K'!AS8</f>
        <v>WWS1002HD</v>
      </c>
      <c r="D2803" s="2004"/>
      <c r="E2803" s="1658" t="s">
        <v>9033</v>
      </c>
      <c r="F2803" s="2004"/>
      <c r="G2803" s="2004">
        <f>IF('4K'!I8="","##BLANK",'4K'!I8)</f>
        <v>0</v>
      </c>
    </row>
    <row r="2804" spans="2:7">
      <c r="B2804" s="848" t="str">
        <f>+'4K'!AS9</f>
        <v>WWS1003HD</v>
      </c>
      <c r="D2804" s="2004"/>
      <c r="E2804" s="1658" t="s">
        <v>9033</v>
      </c>
      <c r="F2804" s="2004"/>
      <c r="G2804" s="2004">
        <f>IF('4K'!I9="","##BLANK",'4K'!I9)</f>
        <v>0.58299999999999996</v>
      </c>
    </row>
    <row r="2805" spans="2:7">
      <c r="B2805" s="848" t="str">
        <f>+'4K'!AS10</f>
        <v>WWS1004HD</v>
      </c>
      <c r="D2805" s="2004"/>
      <c r="E2805" s="1658" t="s">
        <v>9033</v>
      </c>
      <c r="F2805" s="2004"/>
      <c r="G2805" s="2004">
        <f>IF('4K'!I10="","##BLANK",'4K'!I10)</f>
        <v>0</v>
      </c>
    </row>
    <row r="2806" spans="2:7">
      <c r="B2806" s="848" t="str">
        <f>+'4K'!AS12</f>
        <v>WWS1005HD</v>
      </c>
      <c r="D2806" s="2004"/>
      <c r="E2806" s="1658" t="s">
        <v>9033</v>
      </c>
      <c r="F2806" s="2004"/>
      <c r="G2806" s="2004">
        <f>IF('4K'!I12="","##BLANK",'4K'!I12)</f>
        <v>0</v>
      </c>
    </row>
    <row r="2807" spans="2:7">
      <c r="B2807" s="848" t="str">
        <f>+'4K'!AS13</f>
        <v>WWS1006HD</v>
      </c>
      <c r="D2807" s="2004"/>
      <c r="E2807" s="1658" t="s">
        <v>9033</v>
      </c>
      <c r="F2807" s="2004"/>
      <c r="G2807" s="2004">
        <f>IF('4K'!I13="","##BLANK",'4K'!I13)</f>
        <v>0</v>
      </c>
    </row>
    <row r="2808" spans="2:7">
      <c r="B2808" s="848" t="str">
        <f>+'4K'!AS14</f>
        <v>WWS1007HD</v>
      </c>
      <c r="D2808" s="2004"/>
      <c r="E2808" s="1658" t="s">
        <v>9033</v>
      </c>
      <c r="F2808" s="2004"/>
      <c r="G2808" s="2004">
        <f>IF('4K'!I14="","##BLANK",'4K'!I14)</f>
        <v>16.73</v>
      </c>
    </row>
    <row r="2809" spans="2:7">
      <c r="B2809" s="848" t="str">
        <f>+'4K'!AS15</f>
        <v>WWS1008HD</v>
      </c>
      <c r="D2809" s="2004"/>
      <c r="E2809" s="1658" t="s">
        <v>9033</v>
      </c>
      <c r="F2809" s="2004"/>
      <c r="G2809" s="2004">
        <f>IF('4K'!I15="","##BLANK",'4K'!I15)</f>
        <v>6.0999999999999999E-2</v>
      </c>
    </row>
    <row r="2810" spans="2:7">
      <c r="B2810" s="848" t="str">
        <f>+'4K'!AS16</f>
        <v>WWS1009HD</v>
      </c>
      <c r="D2810" s="2004"/>
      <c r="E2810" s="1658" t="s">
        <v>9033</v>
      </c>
      <c r="F2810" s="2004"/>
      <c r="G2810" s="2004">
        <f>IF('4K'!I16="","##BLANK",'4K'!I16)</f>
        <v>18.199000000000002</v>
      </c>
    </row>
    <row r="2811" spans="2:7">
      <c r="B2811" s="848" t="str">
        <f>+'4K'!AS18</f>
        <v>WWS1010HD</v>
      </c>
      <c r="D2811" s="2004"/>
      <c r="E2811" s="1658" t="s">
        <v>9033</v>
      </c>
      <c r="F2811" s="2004"/>
      <c r="G2811" s="2004">
        <f>IF('4K'!I18="","##BLANK",'4K'!I18)</f>
        <v>0</v>
      </c>
    </row>
    <row r="2812" spans="2:7">
      <c r="B2812" s="848" t="str">
        <f>+'4K'!AS19</f>
        <v>WWS1011HD</v>
      </c>
      <c r="D2812" s="2004"/>
      <c r="E2812" s="1658" t="s">
        <v>9033</v>
      </c>
      <c r="F2812" s="2004"/>
      <c r="G2812" s="2004">
        <f>IF('4K'!I19="","##BLANK",'4K'!I19)</f>
        <v>18.199000000000002</v>
      </c>
    </row>
    <row r="2813" spans="2:7">
      <c r="B2813" s="848" t="str">
        <f>+'4K'!AS22</f>
        <v>WWS1012HD</v>
      </c>
      <c r="D2813" s="2004"/>
      <c r="E2813" s="1658" t="s">
        <v>9033</v>
      </c>
      <c r="F2813" s="2004"/>
      <c r="G2813" s="2004">
        <f>IF('4K'!I22="","##BLANK",'4K'!I22)</f>
        <v>5.5069999999999997</v>
      </c>
    </row>
    <row r="2814" spans="2:7">
      <c r="B2814" s="848" t="str">
        <f>+'4K'!AS23</f>
        <v>WWS1013HD</v>
      </c>
      <c r="D2814" s="2004"/>
      <c r="E2814" s="1658" t="s">
        <v>9033</v>
      </c>
      <c r="F2814" s="2004"/>
      <c r="G2814" s="2004">
        <f>IF('4K'!I23="","##BLANK",'4K'!I23)</f>
        <v>6.0830000000000002</v>
      </c>
    </row>
    <row r="2815" spans="2:7">
      <c r="B2815" s="848" t="str">
        <f>+'4K'!AS24</f>
        <v>WWS1014HD</v>
      </c>
      <c r="D2815" s="2004"/>
      <c r="E2815" s="1658" t="s">
        <v>9033</v>
      </c>
      <c r="F2815" s="2004"/>
      <c r="G2815" s="2004">
        <f>IF('4K'!I24="","##BLANK",'4K'!I24)</f>
        <v>7.9960000000000004</v>
      </c>
    </row>
    <row r="2816" spans="2:7">
      <c r="B2816" s="848" t="str">
        <f>+'4K'!AS25</f>
        <v>WWS1015HD</v>
      </c>
      <c r="D2816" s="2004"/>
      <c r="E2816" s="1658" t="s">
        <v>9033</v>
      </c>
      <c r="F2816" s="2004"/>
      <c r="G2816" s="2004">
        <f>IF('4K'!I25="","##BLANK",'4K'!I25)</f>
        <v>5.1669999999999998</v>
      </c>
    </row>
    <row r="2817" spans="2:7">
      <c r="B2817" s="848" t="str">
        <f>+'4K'!AS26</f>
        <v>WWS1016HD</v>
      </c>
      <c r="D2817" s="2004"/>
      <c r="E2817" s="1658" t="s">
        <v>9033</v>
      </c>
      <c r="F2817" s="2004"/>
      <c r="G2817" s="2004">
        <f>IF('4K'!I26="","##BLANK",'4K'!I26)</f>
        <v>0.498</v>
      </c>
    </row>
    <row r="2818" spans="2:7">
      <c r="B2818" s="848" t="str">
        <f>+'4K'!AS27</f>
        <v>WWS1017HD</v>
      </c>
      <c r="D2818" s="2004"/>
      <c r="E2818" s="1658" t="s">
        <v>9033</v>
      </c>
      <c r="F2818" s="2004"/>
      <c r="G2818" s="2004">
        <f>IF('4K'!I27="","##BLANK",'4K'!I27)</f>
        <v>25.251000000000001</v>
      </c>
    </row>
    <row r="2819" spans="2:7">
      <c r="B2819" s="848" t="str">
        <f>+'4K'!AS28</f>
        <v>WWS1018HD</v>
      </c>
      <c r="D2819" s="2004"/>
      <c r="E2819" s="1658" t="s">
        <v>9033</v>
      </c>
      <c r="F2819" s="2004"/>
      <c r="G2819" s="2004">
        <f>IF('4K'!I28="","##BLANK",'4K'!I28)</f>
        <v>0</v>
      </c>
    </row>
    <row r="2820" spans="2:7">
      <c r="B2820" s="848" t="str">
        <f>+'4K'!AS29</f>
        <v>WWS1019HD</v>
      </c>
      <c r="D2820" s="2004"/>
      <c r="E2820" s="1658" t="s">
        <v>9033</v>
      </c>
      <c r="F2820" s="2004"/>
      <c r="G2820" s="2004">
        <f>IF('4K'!I29="","##BLANK",'4K'!I29)</f>
        <v>25.251000000000001</v>
      </c>
    </row>
    <row r="2821" spans="2:7">
      <c r="B2821" s="848" t="str">
        <f>+'4K'!AS30</f>
        <v>WWS1020HD</v>
      </c>
      <c r="D2821" s="2004"/>
      <c r="E2821" s="1658" t="s">
        <v>9033</v>
      </c>
      <c r="F2821" s="2004"/>
      <c r="G2821" s="2004">
        <f>IF('4K'!I30="","##BLANK",'4K'!I30)</f>
        <v>1.738</v>
      </c>
    </row>
    <row r="2822" spans="2:7">
      <c r="B2822" s="848" t="str">
        <f>+'4K'!AS31</f>
        <v>WWS1021HD</v>
      </c>
      <c r="D2822" s="2004"/>
      <c r="E2822" s="1658" t="s">
        <v>9033</v>
      </c>
      <c r="F2822" s="2004"/>
      <c r="G2822" s="2004">
        <f>IF('4K'!I31="","##BLANK",'4K'!I31)</f>
        <v>41.712000000000003</v>
      </c>
    </row>
    <row r="2823" spans="2:7">
      <c r="B2823" s="848" t="str">
        <f>+'4K'!AS34</f>
        <v>WWS1022HD</v>
      </c>
      <c r="D2823" s="2004"/>
      <c r="E2823" s="1658" t="s">
        <v>9033</v>
      </c>
      <c r="F2823" s="2004"/>
      <c r="G2823" s="2004">
        <f>IF('4K'!I34="","##BLANK",'4K'!I34)</f>
        <v>0</v>
      </c>
    </row>
    <row r="2824" spans="2:7">
      <c r="B2824" s="848" t="str">
        <f>+'4K'!AS35</f>
        <v>WWS1023HD</v>
      </c>
      <c r="D2824" s="2004"/>
      <c r="E2824" s="1658" t="s">
        <v>9033</v>
      </c>
      <c r="F2824" s="2004"/>
      <c r="G2824" s="2004">
        <f>IF('4K'!I35="","##BLANK",'4K'!I35)</f>
        <v>0</v>
      </c>
    </row>
    <row r="2825" spans="2:7">
      <c r="B2825" s="848" t="str">
        <f>+'4K'!AS36</f>
        <v>WWS1024HD</v>
      </c>
      <c r="D2825" s="2004"/>
      <c r="E2825" s="1658" t="s">
        <v>9033</v>
      </c>
      <c r="F2825" s="2004"/>
      <c r="G2825" s="2004">
        <f>IF('4K'!I36="","##BLANK",'4K'!I36)</f>
        <v>41.712000000000003</v>
      </c>
    </row>
    <row r="2826" spans="2:7">
      <c r="B2826" s="848" t="str">
        <f>+'4K'!AS39</f>
        <v>BP3357001HD</v>
      </c>
      <c r="D2826" s="2004"/>
      <c r="E2826" s="1658" t="s">
        <v>9033</v>
      </c>
      <c r="F2826" s="2004" t="str">
        <f>+'4K'!C$39</f>
        <v>Y1 Flooding - Capex</v>
      </c>
      <c r="G2826" s="2004">
        <f>IF('4K'!I39="","##BLANK",'4K'!I39)</f>
        <v>5.3999999999999999E-2</v>
      </c>
    </row>
    <row r="2827" spans="2:7">
      <c r="B2827" s="848" t="str">
        <f>+'4K'!AS40</f>
        <v>BP3357002HD</v>
      </c>
      <c r="D2827" s="2004"/>
      <c r="E2827" s="1658" t="s">
        <v>9033</v>
      </c>
      <c r="F2827" s="2004" t="str">
        <f>+'4K'!C$40</f>
        <v>Y5 Flooding Nov - Capex</v>
      </c>
      <c r="G2827" s="2004">
        <f>IF('4K'!I40="","##BLANK",'4K'!I40)</f>
        <v>7.4999999999999997E-2</v>
      </c>
    </row>
    <row r="2828" spans="2:7">
      <c r="B2828" s="848" t="str">
        <f>+'4K'!AS41</f>
        <v>BP3357003HD</v>
      </c>
      <c r="D2828" s="2004"/>
      <c r="E2828" s="1658" t="s">
        <v>9033</v>
      </c>
      <c r="F2828" s="2004" t="str">
        <f>+'4K'!C$41</f>
        <v>2020-25 Transition Expenditure -Capex</v>
      </c>
      <c r="G2828" s="2004">
        <f>IF('4K'!I41="","##BLANK",'4K'!I41)</f>
        <v>9.0999999999999998E-2</v>
      </c>
    </row>
    <row r="2829" spans="2:7">
      <c r="B2829" s="848" t="str">
        <f>+'4K'!AS42</f>
        <v>BP3357004HD</v>
      </c>
      <c r="D2829" s="2004"/>
      <c r="E2829" s="1658" t="s">
        <v>9033</v>
      </c>
      <c r="F2829" s="2004" t="str">
        <f>+'4K'!C$42</f>
        <v>Flooding December 2015</v>
      </c>
      <c r="G2829" s="2004">
        <f>IF('4K'!I42="","##BLANK",'4K'!I42)</f>
        <v>0</v>
      </c>
    </row>
    <row r="2830" spans="2:7">
      <c r="B2830" s="848" t="str">
        <f>+'4K'!AS43</f>
        <v>BP3357005HD</v>
      </c>
      <c r="D2830" s="2004"/>
      <c r="E2830" s="1658" t="s">
        <v>9033</v>
      </c>
      <c r="F2830" s="2004" t="str">
        <f>+'4K'!C$43</f>
        <v>Flooding November 2019</v>
      </c>
      <c r="G2830" s="2004">
        <f>IF('4K'!I43="","##BLANK",'4K'!I43)</f>
        <v>0.30099999999999999</v>
      </c>
    </row>
    <row r="2831" spans="2:7">
      <c r="B2831" s="848" t="str">
        <f>+'4K'!AS44</f>
        <v>BP3357006HD</v>
      </c>
      <c r="D2831" s="2004"/>
      <c r="E2831" s="1658" t="s">
        <v>9033</v>
      </c>
      <c r="F2831" s="2004" t="str">
        <f>+'4K'!C$44</f>
        <v>Flooding February 2020</v>
      </c>
      <c r="G2831" s="2004">
        <f>IF('4K'!I44="","##BLANK",'4K'!I44)</f>
        <v>9.9000000000000005E-2</v>
      </c>
    </row>
    <row r="2832" spans="2:7">
      <c r="B2832" s="848" t="str">
        <f>+'4K'!AS45</f>
        <v>BP3357007HD</v>
      </c>
      <c r="D2832" s="2004"/>
      <c r="E2832" s="1658" t="s">
        <v>9033</v>
      </c>
      <c r="F2832" s="2004" t="str">
        <f>+'4K'!C$45</f>
        <v>Regulation costs - Opex</v>
      </c>
      <c r="G2832" s="2004">
        <f>IF('4K'!I45="","##BLANK",'4K'!I45)</f>
        <v>2.3E-2</v>
      </c>
    </row>
    <row r="2833" spans="2:7">
      <c r="B2833" s="848" t="str">
        <f>+'4K'!AS46</f>
        <v>BP3357008HD</v>
      </c>
      <c r="D2833" s="2004"/>
      <c r="E2833" s="1658" t="s">
        <v>9033</v>
      </c>
      <c r="F2833" s="2004" t="str">
        <f>+'4K'!C$46</f>
        <v>Reorganisational costs - Opex</v>
      </c>
      <c r="G2833" s="2004">
        <f>IF('4K'!I46="","##BLANK",'4K'!I46)</f>
        <v>0.14899999999999999</v>
      </c>
    </row>
    <row r="2834" spans="2:7">
      <c r="B2834" s="848" t="str">
        <f>+'4K'!AS47</f>
        <v>BP3357009HD</v>
      </c>
      <c r="D2834" s="2004"/>
      <c r="E2834" s="1658" t="s">
        <v>9033</v>
      </c>
      <c r="F2834" s="2004" t="str">
        <f>+'4K'!C$47</f>
        <v>Transition expenditure - Opex</v>
      </c>
      <c r="G2834" s="2004">
        <f>IF('4K'!I47="","##BLANK",'4K'!I47)</f>
        <v>0</v>
      </c>
    </row>
    <row r="2835" spans="2:7">
      <c r="B2835" s="848" t="str">
        <f>+'4K'!AS48</f>
        <v>BP3357010HD</v>
      </c>
      <c r="D2835" s="2004"/>
      <c r="E2835" s="1658" t="s">
        <v>9033</v>
      </c>
      <c r="F2835" s="2004" t="str">
        <f>+'4K'!C$48</f>
        <v>Item 10</v>
      </c>
      <c r="G2835" s="2004" t="str">
        <f>IF('4K'!I48="","##BLANK",'4K'!I48)</f>
        <v>##BLANK</v>
      </c>
    </row>
    <row r="2836" spans="2:7">
      <c r="B2836" s="848" t="str">
        <f>+'4K'!AS49</f>
        <v>BP3357020HD</v>
      </c>
      <c r="D2836" s="2004"/>
      <c r="E2836" s="1658" t="s">
        <v>9033</v>
      </c>
      <c r="F2836" s="2004"/>
      <c r="G2836" s="2004">
        <f>IF('4K'!I49="","##BLANK",'4K'!I49)</f>
        <v>0.79200000000000004</v>
      </c>
    </row>
    <row r="2837" spans="2:7">
      <c r="B2837" s="848" t="str">
        <f>+'4K'!AS52</f>
        <v>S3040TCAHD</v>
      </c>
      <c r="D2837" s="2004"/>
      <c r="E2837" s="1658" t="s">
        <v>9033</v>
      </c>
      <c r="F2837" s="2004"/>
      <c r="G2837" s="2004">
        <f>IF('4K'!I52="","##BLANK",'4K'!I52)</f>
        <v>42.504000000000005</v>
      </c>
    </row>
    <row r="2838" spans="2:7">
      <c r="B2838" s="848" t="str">
        <f>+'4K'!AT7</f>
        <v>WWS1001STD</v>
      </c>
      <c r="D2838" s="2004"/>
      <c r="E2838" s="1658" t="s">
        <v>9033</v>
      </c>
      <c r="F2838" s="2004"/>
      <c r="G2838" s="2004">
        <f>IF('4K'!J7="","##BLANK",'4K'!J7)</f>
        <v>28.495999999999999</v>
      </c>
    </row>
    <row r="2839" spans="2:7">
      <c r="B2839" s="848" t="str">
        <f>+'4K'!AT8</f>
        <v>WWS1002STD</v>
      </c>
      <c r="D2839" s="2004"/>
      <c r="E2839" s="1658" t="s">
        <v>9033</v>
      </c>
      <c r="F2839" s="2004"/>
      <c r="G2839" s="2004">
        <f>IF('4K'!J8="","##BLANK",'4K'!J8)</f>
        <v>0</v>
      </c>
    </row>
    <row r="2840" spans="2:7">
      <c r="B2840" s="848" t="str">
        <f>+'4K'!AT9</f>
        <v>WWS1003STD</v>
      </c>
      <c r="D2840" s="2004"/>
      <c r="E2840" s="1658" t="s">
        <v>9033</v>
      </c>
      <c r="F2840" s="2004"/>
      <c r="G2840" s="2004">
        <f>IF('4K'!J9="","##BLANK",'4K'!J9)</f>
        <v>4.2489999999999997</v>
      </c>
    </row>
    <row r="2841" spans="2:7">
      <c r="B2841" s="848" t="str">
        <f>+'4K'!AT10</f>
        <v>WWS1004STD</v>
      </c>
      <c r="D2841" s="2004"/>
      <c r="E2841" s="1658" t="s">
        <v>9033</v>
      </c>
      <c r="F2841" s="2004"/>
      <c r="G2841" s="2004">
        <f>IF('4K'!J10="","##BLANK",'4K'!J10)</f>
        <v>0</v>
      </c>
    </row>
    <row r="2842" spans="2:7">
      <c r="B2842" s="848" t="str">
        <f>+'4K'!AT12</f>
        <v>WWS1005STD</v>
      </c>
      <c r="D2842" s="2004"/>
      <c r="E2842" s="1658" t="s">
        <v>9033</v>
      </c>
      <c r="F2842" s="2004"/>
      <c r="G2842" s="2004">
        <f>IF('4K'!J12="","##BLANK",'4K'!J12)</f>
        <v>0</v>
      </c>
    </row>
    <row r="2843" spans="2:7">
      <c r="B2843" s="848" t="str">
        <f>+'4K'!AT13</f>
        <v>WWS1006STD</v>
      </c>
      <c r="D2843" s="2004"/>
      <c r="E2843" s="1658" t="s">
        <v>9033</v>
      </c>
      <c r="F2843" s="2004"/>
      <c r="G2843" s="2004">
        <f>IF('4K'!J13="","##BLANK",'4K'!J13)</f>
        <v>0</v>
      </c>
    </row>
    <row r="2844" spans="2:7">
      <c r="B2844" s="848" t="str">
        <f>+'4K'!AT14</f>
        <v>WWS1007STD</v>
      </c>
      <c r="D2844" s="2004"/>
      <c r="E2844" s="1658" t="s">
        <v>9033</v>
      </c>
      <c r="F2844" s="2004"/>
      <c r="G2844" s="2004">
        <f>IF('4K'!J14="","##BLANK",'4K'!J14)</f>
        <v>46.402999999999999</v>
      </c>
    </row>
    <row r="2845" spans="2:7">
      <c r="B2845" s="848" t="str">
        <f>+'4K'!AT15</f>
        <v>WWS1008STD</v>
      </c>
      <c r="D2845" s="2004"/>
      <c r="E2845" s="1658" t="s">
        <v>9033</v>
      </c>
      <c r="F2845" s="2004"/>
      <c r="G2845" s="2004">
        <f>IF('4K'!J15="","##BLANK",'4K'!J15)</f>
        <v>19.806000000000001</v>
      </c>
    </row>
    <row r="2846" spans="2:7">
      <c r="B2846" s="848" t="str">
        <f>+'4K'!AT16</f>
        <v>WWS1009STD</v>
      </c>
      <c r="D2846" s="2004"/>
      <c r="E2846" s="1658" t="s">
        <v>9033</v>
      </c>
      <c r="F2846" s="2004"/>
      <c r="G2846" s="2004">
        <f>IF('4K'!J16="","##BLANK",'4K'!J16)</f>
        <v>98.953999999999994</v>
      </c>
    </row>
    <row r="2847" spans="2:7">
      <c r="B2847" s="848" t="str">
        <f>+'4K'!AT18</f>
        <v>WWS1010STD</v>
      </c>
      <c r="D2847" s="2004"/>
      <c r="E2847" s="1658" t="s">
        <v>9033</v>
      </c>
      <c r="F2847" s="2004"/>
      <c r="G2847" s="2004">
        <f>IF('4K'!J18="","##BLANK",'4K'!J18)</f>
        <v>0</v>
      </c>
    </row>
    <row r="2848" spans="2:7">
      <c r="B2848" s="848" t="str">
        <f>+'4K'!AT19</f>
        <v>WWS1011STD</v>
      </c>
      <c r="D2848" s="2004"/>
      <c r="E2848" s="1658" t="s">
        <v>9033</v>
      </c>
      <c r="F2848" s="2004"/>
      <c r="G2848" s="2004">
        <f>IF('4K'!J19="","##BLANK",'4K'!J19)</f>
        <v>98.953999999999994</v>
      </c>
    </row>
    <row r="2849" spans="2:7">
      <c r="B2849" s="848" t="str">
        <f>+'4K'!AT22</f>
        <v>WWS1012STD</v>
      </c>
      <c r="D2849" s="2004"/>
      <c r="E2849" s="1658" t="s">
        <v>9033</v>
      </c>
      <c r="F2849" s="2004"/>
      <c r="G2849" s="2004">
        <f>IF('4K'!J22="","##BLANK",'4K'!J22)</f>
        <v>3.5659999999999998</v>
      </c>
    </row>
    <row r="2850" spans="2:7">
      <c r="B2850" s="848" t="str">
        <f>+'4K'!AT23</f>
        <v>WWS1013STD</v>
      </c>
      <c r="D2850" s="2004"/>
      <c r="E2850" s="1658" t="s">
        <v>9033</v>
      </c>
      <c r="F2850" s="2004"/>
      <c r="G2850" s="2004">
        <f>IF('4K'!J23="","##BLANK",'4K'!J23)</f>
        <v>56.837000000000003</v>
      </c>
    </row>
    <row r="2851" spans="2:7">
      <c r="B2851" s="848" t="str">
        <f>+'4K'!AT24</f>
        <v>WWS1014STD</v>
      </c>
      <c r="D2851" s="2004"/>
      <c r="E2851" s="1658" t="s">
        <v>9033</v>
      </c>
      <c r="F2851" s="2004"/>
      <c r="G2851" s="2004">
        <f>IF('4K'!J24="","##BLANK",'4K'!J24)</f>
        <v>0</v>
      </c>
    </row>
    <row r="2852" spans="2:7">
      <c r="B2852" s="848" t="str">
        <f>+'4K'!AT25</f>
        <v>WWS1015STD</v>
      </c>
      <c r="D2852" s="2004"/>
      <c r="E2852" s="1658" t="s">
        <v>9033</v>
      </c>
      <c r="F2852" s="2004"/>
      <c r="G2852" s="2004">
        <f>IF('4K'!J25="","##BLANK",'4K'!J25)</f>
        <v>31.611999999999998</v>
      </c>
    </row>
    <row r="2853" spans="2:7">
      <c r="B2853" s="848" t="str">
        <f>+'4K'!AT26</f>
        <v>WWS1016STD</v>
      </c>
      <c r="D2853" s="2004"/>
      <c r="E2853" s="1658" t="s">
        <v>9033</v>
      </c>
      <c r="F2853" s="2004"/>
      <c r="G2853" s="2004">
        <f>IF('4K'!J26="","##BLANK",'4K'!J26)</f>
        <v>0</v>
      </c>
    </row>
    <row r="2854" spans="2:7">
      <c r="B2854" s="848" t="str">
        <f>+'4K'!AT27</f>
        <v>WWS1017STD</v>
      </c>
      <c r="D2854" s="2004"/>
      <c r="E2854" s="1658" t="s">
        <v>9033</v>
      </c>
      <c r="F2854" s="2004"/>
      <c r="G2854" s="2004">
        <f>IF('4K'!J27="","##BLANK",'4K'!J27)</f>
        <v>92.015000000000001</v>
      </c>
    </row>
    <row r="2855" spans="2:7">
      <c r="B2855" s="848" t="str">
        <f>+'4K'!AT28</f>
        <v>WWS1018STD</v>
      </c>
      <c r="D2855" s="2004"/>
      <c r="E2855" s="1658" t="s">
        <v>9033</v>
      </c>
      <c r="F2855" s="2004"/>
      <c r="G2855" s="2004">
        <f>IF('4K'!J28="","##BLANK",'4K'!J28)</f>
        <v>0</v>
      </c>
    </row>
    <row r="2856" spans="2:7">
      <c r="B2856" s="848" t="str">
        <f>+'4K'!AT29</f>
        <v>WWS1019STD</v>
      </c>
      <c r="D2856" s="2004"/>
      <c r="E2856" s="1658" t="s">
        <v>9033</v>
      </c>
      <c r="F2856" s="2004"/>
      <c r="G2856" s="2004">
        <f>IF('4K'!J29="","##BLANK",'4K'!J29)</f>
        <v>92.015000000000001</v>
      </c>
    </row>
    <row r="2857" spans="2:7">
      <c r="B2857" s="848" t="str">
        <f>+'4K'!AT30</f>
        <v>WWS1020STD</v>
      </c>
      <c r="D2857" s="2004"/>
      <c r="E2857" s="1658" t="s">
        <v>9033</v>
      </c>
      <c r="F2857" s="2004"/>
      <c r="G2857" s="2004">
        <f>IF('4K'!J30="","##BLANK",'4K'!J30)</f>
        <v>0.93600000000000005</v>
      </c>
    </row>
    <row r="2858" spans="2:7">
      <c r="B2858" s="848" t="str">
        <f>+'4K'!AT31</f>
        <v>WWS1021STD</v>
      </c>
      <c r="D2858" s="2004"/>
      <c r="E2858" s="1658" t="s">
        <v>9033</v>
      </c>
      <c r="F2858" s="2004"/>
      <c r="G2858" s="2004">
        <f>IF('4K'!J31="","##BLANK",'4K'!J31)</f>
        <v>190.03299999999999</v>
      </c>
    </row>
    <row r="2859" spans="2:7">
      <c r="B2859" s="848" t="str">
        <f>+'4K'!AT34</f>
        <v>WWS1022STD</v>
      </c>
      <c r="D2859" s="2004"/>
      <c r="E2859" s="1658" t="s">
        <v>9033</v>
      </c>
      <c r="F2859" s="2004"/>
      <c r="G2859" s="2004">
        <f>IF('4K'!J34="","##BLANK",'4K'!J34)</f>
        <v>0</v>
      </c>
    </row>
    <row r="2860" spans="2:7">
      <c r="B2860" s="848" t="str">
        <f>+'4K'!AT35</f>
        <v>WWS1023STD</v>
      </c>
      <c r="D2860" s="2004"/>
      <c r="E2860" s="1658" t="s">
        <v>9033</v>
      </c>
      <c r="F2860" s="2004"/>
      <c r="G2860" s="2004">
        <f>IF('4K'!J35="","##BLANK",'4K'!J35)</f>
        <v>0</v>
      </c>
    </row>
    <row r="2861" spans="2:7">
      <c r="B2861" s="848" t="str">
        <f>+'4K'!AT36</f>
        <v>WWS1024STD</v>
      </c>
      <c r="D2861" s="2004"/>
      <c r="E2861" s="1658" t="s">
        <v>9033</v>
      </c>
      <c r="F2861" s="2004"/>
      <c r="G2861" s="2004">
        <f>IF('4K'!J36="","##BLANK",'4K'!J36)</f>
        <v>190.03299999999999</v>
      </c>
    </row>
    <row r="2862" spans="2:7">
      <c r="B2862" s="848" t="str">
        <f>+'4K'!AT39</f>
        <v>BP3357001STD</v>
      </c>
      <c r="D2862" s="2004"/>
      <c r="E2862" s="1658" t="s">
        <v>9033</v>
      </c>
      <c r="F2862" s="2004" t="str">
        <f>+'4K'!C$39</f>
        <v>Y1 Flooding - Capex</v>
      </c>
      <c r="G2862" s="2004">
        <f>IF('4K'!J39="","##BLANK",'4K'!J39)</f>
        <v>0.4</v>
      </c>
    </row>
    <row r="2863" spans="2:7">
      <c r="B2863" s="848" t="str">
        <f>+'4K'!AT40</f>
        <v>BP3357002STD</v>
      </c>
      <c r="D2863" s="2004"/>
      <c r="E2863" s="1658" t="s">
        <v>9033</v>
      </c>
      <c r="F2863" s="2004" t="str">
        <f>+'4K'!C$40</f>
        <v>Y5 Flooding Nov - Capex</v>
      </c>
      <c r="G2863" s="2004">
        <f>IF('4K'!J40="","##BLANK",'4K'!J40)</f>
        <v>0.622</v>
      </c>
    </row>
    <row r="2864" spans="2:7">
      <c r="B2864" s="848" t="str">
        <f>+'4K'!AT41</f>
        <v>BP3357003STD</v>
      </c>
      <c r="D2864" s="2004"/>
      <c r="E2864" s="1658" t="s">
        <v>9033</v>
      </c>
      <c r="F2864" s="2004" t="str">
        <f>+'4K'!C$41</f>
        <v>2020-25 Transition Expenditure -Capex</v>
      </c>
      <c r="G2864" s="2004">
        <f>IF('4K'!J41="","##BLANK",'4K'!J41)</f>
        <v>4.6310000000000002</v>
      </c>
    </row>
    <row r="2865" spans="2:7">
      <c r="B2865" s="848" t="str">
        <f>+'4K'!AT42</f>
        <v>BP3357004STD</v>
      </c>
      <c r="D2865" s="2004"/>
      <c r="E2865" s="1658" t="s">
        <v>9033</v>
      </c>
      <c r="F2865" s="2004" t="str">
        <f>+'4K'!C$42</f>
        <v>Flooding December 2015</v>
      </c>
      <c r="G2865" s="2004">
        <f>IF('4K'!J42="","##BLANK",'4K'!J42)</f>
        <v>0</v>
      </c>
    </row>
    <row r="2866" spans="2:7">
      <c r="B2866" s="848" t="str">
        <f>+'4K'!AT43</f>
        <v>BP3357005STD</v>
      </c>
      <c r="D2866" s="2004"/>
      <c r="E2866" s="1658" t="s">
        <v>9033</v>
      </c>
      <c r="F2866" s="2004" t="str">
        <f>+'4K'!C$43</f>
        <v>Flooding November 2019</v>
      </c>
      <c r="G2866" s="2004">
        <f>IF('4K'!J43="","##BLANK",'4K'!J43)</f>
        <v>0.89900000000000002</v>
      </c>
    </row>
    <row r="2867" spans="2:7">
      <c r="B2867" s="848" t="str">
        <f>+'4K'!AT44</f>
        <v>BP3357006STD</v>
      </c>
      <c r="D2867" s="2004"/>
      <c r="E2867" s="1658" t="s">
        <v>9033</v>
      </c>
      <c r="F2867" s="2004" t="str">
        <f>+'4K'!C$44</f>
        <v>Flooding February 2020</v>
      </c>
      <c r="G2867" s="2004">
        <f>IF('4K'!J44="","##BLANK",'4K'!J44)</f>
        <v>0.41199999999999998</v>
      </c>
    </row>
    <row r="2868" spans="2:7">
      <c r="B2868" s="848" t="str">
        <f>+'4K'!AT45</f>
        <v>BP3357007STD</v>
      </c>
      <c r="D2868" s="2004"/>
      <c r="E2868" s="1658" t="s">
        <v>9033</v>
      </c>
      <c r="F2868" s="2004" t="str">
        <f>+'4K'!C$45</f>
        <v>Regulation costs - Opex</v>
      </c>
      <c r="G2868" s="2004">
        <f>IF('4K'!J45="","##BLANK",'4K'!J45)</f>
        <v>0.121</v>
      </c>
    </row>
    <row r="2869" spans="2:7">
      <c r="B2869" s="848" t="str">
        <f>+'4K'!AT46</f>
        <v>BP3357008STD</v>
      </c>
      <c r="D2869" s="2004"/>
      <c r="E2869" s="1658" t="s">
        <v>9033</v>
      </c>
      <c r="F2869" s="2004" t="str">
        <f>+'4K'!C$46</f>
        <v>Reorganisational costs - Opex</v>
      </c>
      <c r="G2869" s="2004">
        <f>IF('4K'!J46="","##BLANK",'4K'!J46)</f>
        <v>0.38800000000000001</v>
      </c>
    </row>
    <row r="2870" spans="2:7">
      <c r="B2870" s="848" t="str">
        <f>+'4K'!AT47</f>
        <v>BP3357009STD</v>
      </c>
      <c r="D2870" s="2004"/>
      <c r="E2870" s="1658" t="s">
        <v>9033</v>
      </c>
      <c r="F2870" s="2004" t="str">
        <f>+'4K'!C$47</f>
        <v>Transition expenditure - Opex</v>
      </c>
      <c r="G2870" s="2004">
        <f>IF('4K'!J47="","##BLANK",'4K'!J47)</f>
        <v>8.4000000000000005E-2</v>
      </c>
    </row>
    <row r="2871" spans="2:7">
      <c r="B2871" s="848" t="str">
        <f>+'4K'!AT48</f>
        <v>BP3357010STD</v>
      </c>
      <c r="D2871" s="2004"/>
      <c r="E2871" s="1658" t="s">
        <v>9033</v>
      </c>
      <c r="F2871" s="2004" t="str">
        <f>+'4K'!C$48</f>
        <v>Item 10</v>
      </c>
      <c r="G2871" s="2004" t="str">
        <f>IF('4K'!J48="","##BLANK",'4K'!J48)</f>
        <v>##BLANK</v>
      </c>
    </row>
    <row r="2872" spans="2:7">
      <c r="B2872" s="848" t="str">
        <f>+'4K'!AT49</f>
        <v>BP3357020STD</v>
      </c>
      <c r="D2872" s="2004"/>
      <c r="E2872" s="1658" t="s">
        <v>9033</v>
      </c>
      <c r="F2872" s="2004"/>
      <c r="G2872" s="2004">
        <f>IF('4K'!J49="","##BLANK",'4K'!J49)</f>
        <v>7.5570000000000004</v>
      </c>
    </row>
    <row r="2873" spans="2:7">
      <c r="B2873" s="848" t="str">
        <f>+'4K'!AT52</f>
        <v>S3040TCASTD</v>
      </c>
      <c r="D2873" s="2004"/>
      <c r="E2873" s="1658" t="s">
        <v>9033</v>
      </c>
      <c r="F2873" s="2004"/>
      <c r="G2873" s="2004">
        <f>IF('4K'!J52="","##BLANK",'4K'!J52)</f>
        <v>197.58999999999997</v>
      </c>
    </row>
    <row r="2874" spans="2:7">
      <c r="B2874" s="848" t="str">
        <f>+'4K'!AU7</f>
        <v>WWS1001SLT</v>
      </c>
      <c r="D2874" s="2004"/>
      <c r="E2874" s="1658" t="s">
        <v>9033</v>
      </c>
      <c r="F2874" s="2004"/>
      <c r="G2874" s="2004">
        <f>IF('4K'!K7="","##BLANK",'4K'!K7)</f>
        <v>0.20899999999999999</v>
      </c>
    </row>
    <row r="2875" spans="2:7">
      <c r="B2875" s="848" t="str">
        <f>+'4K'!AU8</f>
        <v>WWS1002SLT</v>
      </c>
      <c r="D2875" s="2004"/>
      <c r="E2875" s="1658" t="s">
        <v>9033</v>
      </c>
      <c r="F2875" s="2004"/>
      <c r="G2875" s="2004">
        <f>IF('4K'!K8="","##BLANK",'4K'!K8)</f>
        <v>0</v>
      </c>
    </row>
    <row r="2876" spans="2:7">
      <c r="B2876" s="848" t="str">
        <f>+'4K'!AU9</f>
        <v>WWS1003SLT</v>
      </c>
      <c r="D2876" s="2004"/>
      <c r="E2876" s="1658" t="s">
        <v>9033</v>
      </c>
      <c r="F2876" s="2004"/>
      <c r="G2876" s="2004">
        <f>IF('4K'!K9="","##BLANK",'4K'!K9)</f>
        <v>0</v>
      </c>
    </row>
    <row r="2877" spans="2:7">
      <c r="B2877" s="848" t="str">
        <f>+'4K'!AU10</f>
        <v>WWS1004SLT</v>
      </c>
      <c r="D2877" s="2004"/>
      <c r="E2877" s="1658" t="s">
        <v>9033</v>
      </c>
      <c r="F2877" s="2004"/>
      <c r="G2877" s="2004">
        <f>IF('4K'!K10="","##BLANK",'4K'!K10)</f>
        <v>0</v>
      </c>
    </row>
    <row r="2878" spans="2:7">
      <c r="B2878" s="848" t="str">
        <f>+'4K'!AU12</f>
        <v>WWS1005SLT</v>
      </c>
      <c r="D2878" s="2004"/>
      <c r="E2878" s="1658" t="s">
        <v>9033</v>
      </c>
      <c r="F2878" s="2004"/>
      <c r="G2878" s="2004">
        <f>IF('4K'!K12="","##BLANK",'4K'!K12)</f>
        <v>0</v>
      </c>
    </row>
    <row r="2879" spans="2:7">
      <c r="B2879" s="848" t="str">
        <f>+'4K'!AU13</f>
        <v>WWS1006SLT</v>
      </c>
      <c r="D2879" s="2004"/>
      <c r="E2879" s="1658" t="s">
        <v>9033</v>
      </c>
      <c r="F2879" s="2004"/>
      <c r="G2879" s="2004">
        <f>IF('4K'!K13="","##BLANK",'4K'!K13)</f>
        <v>0</v>
      </c>
    </row>
    <row r="2880" spans="2:7">
      <c r="B2880" s="848" t="str">
        <f>+'4K'!AU14</f>
        <v>WWS1007SLT</v>
      </c>
      <c r="D2880" s="2004"/>
      <c r="E2880" s="1658" t="s">
        <v>9033</v>
      </c>
      <c r="F2880" s="2004"/>
      <c r="G2880" s="2004">
        <f>IF('4K'!K14="","##BLANK",'4K'!K14)</f>
        <v>0.60899999999999999</v>
      </c>
    </row>
    <row r="2881" spans="2:7">
      <c r="B2881" s="848" t="str">
        <f>+'4K'!AU15</f>
        <v>WWS1008SLT</v>
      </c>
      <c r="D2881" s="2004"/>
      <c r="E2881" s="1658" t="s">
        <v>9033</v>
      </c>
      <c r="F2881" s="2004"/>
      <c r="G2881" s="2004">
        <f>IF('4K'!K15="","##BLANK",'4K'!K15)</f>
        <v>3.0000000000000001E-3</v>
      </c>
    </row>
    <row r="2882" spans="2:7">
      <c r="B2882" s="848" t="str">
        <f>+'4K'!AU16</f>
        <v>WWS1009SLT</v>
      </c>
      <c r="D2882" s="2004"/>
      <c r="E2882" s="1658" t="s">
        <v>9033</v>
      </c>
      <c r="F2882" s="2004"/>
      <c r="G2882" s="2004">
        <f>IF('4K'!K16="","##BLANK",'4K'!K16)</f>
        <v>0.82099999999999995</v>
      </c>
    </row>
    <row r="2883" spans="2:7">
      <c r="B2883" s="848" t="str">
        <f>+'4K'!AU18</f>
        <v>WWS1010SLT</v>
      </c>
      <c r="D2883" s="2004"/>
      <c r="E2883" s="1658" t="s">
        <v>9033</v>
      </c>
      <c r="F2883" s="2004"/>
      <c r="G2883" s="2004">
        <f>IF('4K'!K18="","##BLANK",'4K'!K18)</f>
        <v>0</v>
      </c>
    </row>
    <row r="2884" spans="2:7">
      <c r="B2884" s="848" t="str">
        <f>+'4K'!AU19</f>
        <v>WWS1011SLT</v>
      </c>
      <c r="D2884" s="2004"/>
      <c r="E2884" s="1658" t="s">
        <v>9033</v>
      </c>
      <c r="F2884" s="2004"/>
      <c r="G2884" s="2004">
        <f>IF('4K'!K19="","##BLANK",'4K'!K19)</f>
        <v>0.82099999999999995</v>
      </c>
    </row>
    <row r="2885" spans="2:7">
      <c r="B2885" s="848" t="str">
        <f>+'4K'!AU22</f>
        <v>WWS1012SLT</v>
      </c>
      <c r="D2885" s="2004"/>
      <c r="E2885" s="1658" t="s">
        <v>9033</v>
      </c>
      <c r="F2885" s="2004"/>
      <c r="G2885" s="2004">
        <f>IF('4K'!K22="","##BLANK",'4K'!K22)</f>
        <v>0</v>
      </c>
    </row>
    <row r="2886" spans="2:7">
      <c r="B2886" s="848" t="str">
        <f>+'4K'!AU23</f>
        <v>WWS1013SLT</v>
      </c>
      <c r="D2886" s="2004"/>
      <c r="E2886" s="1658" t="s">
        <v>9033</v>
      </c>
      <c r="F2886" s="2004"/>
      <c r="G2886" s="2004">
        <f>IF('4K'!K23="","##BLANK",'4K'!K23)</f>
        <v>0.221</v>
      </c>
    </row>
    <row r="2887" spans="2:7">
      <c r="B2887" s="848" t="str">
        <f>+'4K'!AU24</f>
        <v>WWS1014SLT</v>
      </c>
      <c r="D2887" s="2004"/>
      <c r="E2887" s="1658" t="s">
        <v>9033</v>
      </c>
      <c r="F2887" s="2004"/>
      <c r="G2887" s="2004">
        <f>IF('4K'!K24="","##BLANK",'4K'!K24)</f>
        <v>0</v>
      </c>
    </row>
    <row r="2888" spans="2:7">
      <c r="B2888" s="848" t="str">
        <f>+'4K'!AU25</f>
        <v>WWS1015SLT</v>
      </c>
      <c r="D2888" s="2004"/>
      <c r="E2888" s="1658" t="s">
        <v>9033</v>
      </c>
      <c r="F2888" s="2004"/>
      <c r="G2888" s="2004">
        <f>IF('4K'!K25="","##BLANK",'4K'!K25)</f>
        <v>1.0999999999999999E-2</v>
      </c>
    </row>
    <row r="2889" spans="2:7">
      <c r="B2889" s="848" t="str">
        <f>+'4K'!AU26</f>
        <v>WWS1016SLT</v>
      </c>
      <c r="D2889" s="2004"/>
      <c r="E2889" s="1658" t="s">
        <v>9033</v>
      </c>
      <c r="F2889" s="2004"/>
      <c r="G2889" s="2004">
        <f>IF('4K'!K26="","##BLANK",'4K'!K26)</f>
        <v>0</v>
      </c>
    </row>
    <row r="2890" spans="2:7">
      <c r="B2890" s="848" t="str">
        <f>+'4K'!AU27</f>
        <v>WWS1017SLT</v>
      </c>
      <c r="D2890" s="2004"/>
      <c r="E2890" s="1658" t="s">
        <v>9033</v>
      </c>
      <c r="F2890" s="2004"/>
      <c r="G2890" s="2004">
        <f>IF('4K'!K27="","##BLANK",'4K'!K27)</f>
        <v>0.23200000000000001</v>
      </c>
    </row>
    <row r="2891" spans="2:7">
      <c r="B2891" s="848" t="str">
        <f>+'4K'!AU28</f>
        <v>WWS1018SLT</v>
      </c>
      <c r="D2891" s="2004"/>
      <c r="E2891" s="1658" t="s">
        <v>9033</v>
      </c>
      <c r="F2891" s="2004"/>
      <c r="G2891" s="2004">
        <f>IF('4K'!K28="","##BLANK",'4K'!K28)</f>
        <v>0</v>
      </c>
    </row>
    <row r="2892" spans="2:7">
      <c r="B2892" s="848" t="str">
        <f>+'4K'!AU29</f>
        <v>WWS1019SLT</v>
      </c>
      <c r="D2892" s="2004"/>
      <c r="E2892" s="1658" t="s">
        <v>9033</v>
      </c>
      <c r="F2892" s="2004"/>
      <c r="G2892" s="2004">
        <f>IF('4K'!K29="","##BLANK",'4K'!K29)</f>
        <v>0.23200000000000001</v>
      </c>
    </row>
    <row r="2893" spans="2:7">
      <c r="B2893" s="848" t="str">
        <f>+'4K'!AU30</f>
        <v>WWS1020SLT</v>
      </c>
      <c r="D2893" s="2004"/>
      <c r="E2893" s="1658" t="s">
        <v>9033</v>
      </c>
      <c r="F2893" s="2004"/>
      <c r="G2893" s="2004">
        <f>IF('4K'!K30="","##BLANK",'4K'!K30)</f>
        <v>0</v>
      </c>
    </row>
    <row r="2894" spans="2:7">
      <c r="B2894" s="848" t="str">
        <f>+'4K'!AU31</f>
        <v>WWS1021SLT</v>
      </c>
      <c r="D2894" s="2004"/>
      <c r="E2894" s="1658" t="s">
        <v>9033</v>
      </c>
      <c r="F2894" s="2004"/>
      <c r="G2894" s="2004">
        <f>IF('4K'!K31="","##BLANK",'4K'!K31)</f>
        <v>1.0529999999999999</v>
      </c>
    </row>
    <row r="2895" spans="2:7">
      <c r="B2895" s="848" t="str">
        <f>+'4K'!AU34</f>
        <v>WWS1022SLT</v>
      </c>
      <c r="D2895" s="2004"/>
      <c r="E2895" s="1658" t="s">
        <v>9033</v>
      </c>
      <c r="F2895" s="2004"/>
      <c r="G2895" s="2004">
        <f>IF('4K'!K34="","##BLANK",'4K'!K34)</f>
        <v>0</v>
      </c>
    </row>
    <row r="2896" spans="2:7">
      <c r="B2896" s="848" t="str">
        <f>+'4K'!AU35</f>
        <v>WWS1023SLT</v>
      </c>
      <c r="D2896" s="2004"/>
      <c r="E2896" s="1658" t="s">
        <v>9033</v>
      </c>
      <c r="F2896" s="2004"/>
      <c r="G2896" s="2004">
        <f>IF('4K'!K35="","##BLANK",'4K'!K35)</f>
        <v>0</v>
      </c>
    </row>
    <row r="2897" spans="2:7">
      <c r="B2897" s="848" t="str">
        <f>+'4K'!AU36</f>
        <v>WWS1024SLT</v>
      </c>
      <c r="D2897" s="2004"/>
      <c r="E2897" s="1658" t="s">
        <v>9033</v>
      </c>
      <c r="F2897" s="2004"/>
      <c r="G2897" s="2004">
        <f>IF('4K'!K36="","##BLANK",'4K'!K36)</f>
        <v>1.0529999999999999</v>
      </c>
    </row>
    <row r="2898" spans="2:7">
      <c r="B2898" s="848" t="str">
        <f>+'4K'!AU39</f>
        <v>BP3357001SLT</v>
      </c>
      <c r="D2898" s="2004"/>
      <c r="E2898" s="1658" t="s">
        <v>9033</v>
      </c>
      <c r="F2898" s="2004" t="str">
        <f>+'4K'!C$39</f>
        <v>Y1 Flooding - Capex</v>
      </c>
      <c r="G2898" s="2004">
        <f>IF('4K'!K39="","##BLANK",'4K'!K39)</f>
        <v>0</v>
      </c>
    </row>
    <row r="2899" spans="2:7">
      <c r="B2899" s="848" t="str">
        <f>+'4K'!AU40</f>
        <v>BP3357002SLT</v>
      </c>
      <c r="D2899" s="2004"/>
      <c r="E2899" s="1658" t="s">
        <v>9033</v>
      </c>
      <c r="F2899" s="2004" t="str">
        <f>+'4K'!C$40</f>
        <v>Y5 Flooding Nov - Capex</v>
      </c>
      <c r="G2899" s="2004">
        <f>IF('4K'!K40="","##BLANK",'4K'!K40)</f>
        <v>0</v>
      </c>
    </row>
    <row r="2900" spans="2:7">
      <c r="B2900" s="848" t="str">
        <f>+'4K'!AU41</f>
        <v>BP3357003SLT</v>
      </c>
      <c r="D2900" s="2004"/>
      <c r="E2900" s="1658" t="s">
        <v>9033</v>
      </c>
      <c r="F2900" s="2004" t="str">
        <f>+'4K'!C$41</f>
        <v>2020-25 Transition Expenditure -Capex</v>
      </c>
      <c r="G2900" s="2004">
        <f>IF('4K'!K41="","##BLANK",'4K'!K41)</f>
        <v>4.0000000000000001E-3</v>
      </c>
    </row>
    <row r="2901" spans="2:7">
      <c r="B2901" s="848" t="str">
        <f>+'4K'!AU42</f>
        <v>BP3357004SLT</v>
      </c>
      <c r="D2901" s="2004"/>
      <c r="E2901" s="1658" t="s">
        <v>9033</v>
      </c>
      <c r="F2901" s="2004" t="str">
        <f>+'4K'!C$42</f>
        <v>Flooding December 2015</v>
      </c>
      <c r="G2901" s="2004">
        <f>IF('4K'!K42="","##BLANK",'4K'!K42)</f>
        <v>0</v>
      </c>
    </row>
    <row r="2902" spans="2:7">
      <c r="B2902" s="848" t="str">
        <f>+'4K'!AU43</f>
        <v>BP3357005SLT</v>
      </c>
      <c r="D2902" s="2004"/>
      <c r="E2902" s="1658" t="s">
        <v>9033</v>
      </c>
      <c r="F2902" s="2004" t="str">
        <f>+'4K'!C$43</f>
        <v>Flooding November 2019</v>
      </c>
      <c r="G2902" s="2004">
        <f>IF('4K'!K43="","##BLANK",'4K'!K43)</f>
        <v>0</v>
      </c>
    </row>
    <row r="2903" spans="2:7">
      <c r="B2903" s="848" t="str">
        <f>+'4K'!AU44</f>
        <v>BP3357006SLT</v>
      </c>
      <c r="D2903" s="2004"/>
      <c r="E2903" s="1658" t="s">
        <v>9033</v>
      </c>
      <c r="F2903" s="2004" t="str">
        <f>+'4K'!C$44</f>
        <v>Flooding February 2020</v>
      </c>
      <c r="G2903" s="2004">
        <f>IF('4K'!K44="","##BLANK",'4K'!K44)</f>
        <v>0</v>
      </c>
    </row>
    <row r="2904" spans="2:7">
      <c r="B2904" s="848" t="str">
        <f>+'4K'!AU45</f>
        <v>BP3357007SLT</v>
      </c>
      <c r="D2904" s="2004"/>
      <c r="E2904" s="1658" t="s">
        <v>9033</v>
      </c>
      <c r="F2904" s="2004" t="str">
        <f>+'4K'!C$45</f>
        <v>Regulation costs - Opex</v>
      </c>
      <c r="G2904" s="2004">
        <f>IF('4K'!K45="","##BLANK",'4K'!K45)</f>
        <v>1E-3</v>
      </c>
    </row>
    <row r="2905" spans="2:7">
      <c r="B2905" s="848" t="str">
        <f>+'4K'!AU46</f>
        <v>BP3357008SLT</v>
      </c>
      <c r="D2905" s="2004"/>
      <c r="E2905" s="1658" t="s">
        <v>9033</v>
      </c>
      <c r="F2905" s="2004" t="str">
        <f>+'4K'!C$46</f>
        <v>Reorganisational costs - Opex</v>
      </c>
      <c r="G2905" s="2004">
        <f>IF('4K'!K46="","##BLANK",'4K'!K46)</f>
        <v>5.0000000000000001E-3</v>
      </c>
    </row>
    <row r="2906" spans="2:7">
      <c r="B2906" s="848" t="str">
        <f>+'4K'!AU47</f>
        <v>BP3357009SLT</v>
      </c>
      <c r="D2906" s="2004"/>
      <c r="E2906" s="1658" t="s">
        <v>9033</v>
      </c>
      <c r="F2906" s="2004" t="str">
        <f>+'4K'!C$47</f>
        <v>Transition expenditure - Opex</v>
      </c>
      <c r="G2906" s="2004">
        <f>IF('4K'!K47="","##BLANK",'4K'!K47)</f>
        <v>0</v>
      </c>
    </row>
    <row r="2907" spans="2:7">
      <c r="B2907" s="848" t="str">
        <f>+'4K'!AU48</f>
        <v>BP3357010SLT</v>
      </c>
      <c r="D2907" s="2004"/>
      <c r="E2907" s="1658" t="s">
        <v>9033</v>
      </c>
      <c r="F2907" s="2004" t="str">
        <f>+'4K'!C$48</f>
        <v>Item 10</v>
      </c>
      <c r="G2907" s="2004" t="str">
        <f>IF('4K'!K48="","##BLANK",'4K'!K48)</f>
        <v>##BLANK</v>
      </c>
    </row>
    <row r="2908" spans="2:7">
      <c r="B2908" s="848" t="str">
        <f>+'4K'!AU49</f>
        <v>BP3357020SLT</v>
      </c>
      <c r="D2908" s="2004"/>
      <c r="E2908" s="1658" t="s">
        <v>9033</v>
      </c>
      <c r="F2908" s="2004"/>
      <c r="G2908" s="2004">
        <f>IF('4K'!K49="","##BLANK",'4K'!K49)</f>
        <v>0.01</v>
      </c>
    </row>
    <row r="2909" spans="2:7">
      <c r="B2909" s="848" t="str">
        <f>+'4K'!AU52</f>
        <v>S3040TCASLT</v>
      </c>
      <c r="D2909" s="2004"/>
      <c r="E2909" s="1658" t="s">
        <v>9033</v>
      </c>
      <c r="F2909" s="2004"/>
      <c r="G2909" s="2004">
        <f>IF('4K'!K52="","##BLANK",'4K'!K52)</f>
        <v>1.0629999999999999</v>
      </c>
    </row>
    <row r="2910" spans="2:7">
      <c r="B2910" s="848" t="str">
        <f>+'4K'!AV7</f>
        <v>WWS1001STP</v>
      </c>
      <c r="D2910" s="2004"/>
      <c r="E2910" s="1658" t="s">
        <v>9033</v>
      </c>
      <c r="F2910" s="2004"/>
      <c r="G2910" s="2004">
        <f>IF('4K'!L7="","##BLANK",'4K'!L7)</f>
        <v>0</v>
      </c>
    </row>
    <row r="2911" spans="2:7">
      <c r="B2911" s="848" t="str">
        <f>+'4K'!AV8</f>
        <v>WWS1002STP</v>
      </c>
      <c r="D2911" s="2004"/>
      <c r="E2911" s="1658" t="s">
        <v>9033</v>
      </c>
      <c r="F2911" s="2004"/>
      <c r="G2911" s="2004">
        <f>IF('4K'!L8="","##BLANK",'4K'!L8)</f>
        <v>0</v>
      </c>
    </row>
    <row r="2912" spans="2:7">
      <c r="B2912" s="848" t="str">
        <f>+'4K'!AV9</f>
        <v>WWS1003STP</v>
      </c>
      <c r="D2912" s="2004"/>
      <c r="E2912" s="1658" t="s">
        <v>9033</v>
      </c>
      <c r="F2912" s="2004"/>
      <c r="G2912" s="2004">
        <f>IF('4K'!L9="","##BLANK",'4K'!L9)</f>
        <v>0</v>
      </c>
    </row>
    <row r="2913" spans="2:7">
      <c r="B2913" s="848" t="str">
        <f>+'4K'!AV10</f>
        <v>WWS1004STP</v>
      </c>
      <c r="D2913" s="2004"/>
      <c r="E2913" s="1658" t="s">
        <v>9033</v>
      </c>
      <c r="F2913" s="2004"/>
      <c r="G2913" s="2004">
        <f>IF('4K'!L10="","##BLANK",'4K'!L10)</f>
        <v>0</v>
      </c>
    </row>
    <row r="2914" spans="2:7">
      <c r="B2914" s="848" t="str">
        <f>+'4K'!AV12</f>
        <v>WWS1005STP</v>
      </c>
      <c r="D2914" s="2004"/>
      <c r="E2914" s="1658" t="s">
        <v>9033</v>
      </c>
      <c r="F2914" s="2004"/>
      <c r="G2914" s="2004">
        <f>IF('4K'!L12="","##BLANK",'4K'!L12)</f>
        <v>0</v>
      </c>
    </row>
    <row r="2915" spans="2:7">
      <c r="B2915" s="848" t="str">
        <f>+'4K'!AV13</f>
        <v>WWS1006STP</v>
      </c>
      <c r="D2915" s="2004"/>
      <c r="E2915" s="1658" t="s">
        <v>9033</v>
      </c>
      <c r="F2915" s="2004"/>
      <c r="G2915" s="2004">
        <f>IF('4K'!L13="","##BLANK",'4K'!L13)</f>
        <v>0</v>
      </c>
    </row>
    <row r="2916" spans="2:7">
      <c r="B2916" s="848" t="str">
        <f>+'4K'!AV14</f>
        <v>WWS1007STP</v>
      </c>
      <c r="D2916" s="2004"/>
      <c r="E2916" s="1658" t="s">
        <v>9033</v>
      </c>
      <c r="F2916" s="2004"/>
      <c r="G2916" s="2004">
        <f>IF('4K'!L14="","##BLANK",'4K'!L14)</f>
        <v>4.7910000000000004</v>
      </c>
    </row>
    <row r="2917" spans="2:7">
      <c r="B2917" s="848" t="str">
        <f>+'4K'!AV15</f>
        <v>WWS1008STP</v>
      </c>
      <c r="D2917" s="2004"/>
      <c r="E2917" s="1658" t="s">
        <v>9033</v>
      </c>
      <c r="F2917" s="2004"/>
      <c r="G2917" s="2004">
        <f>IF('4K'!L15="","##BLANK",'4K'!L15)</f>
        <v>1E-3</v>
      </c>
    </row>
    <row r="2918" spans="2:7">
      <c r="B2918" s="848" t="str">
        <f>+'4K'!AV16</f>
        <v>WWS1009STP</v>
      </c>
      <c r="D2918" s="2004"/>
      <c r="E2918" s="1658" t="s">
        <v>9033</v>
      </c>
      <c r="F2918" s="2004"/>
      <c r="G2918" s="2004">
        <f>IF('4K'!L16="","##BLANK",'4K'!L16)</f>
        <v>4.7920000000000007</v>
      </c>
    </row>
    <row r="2919" spans="2:7">
      <c r="B2919" s="848" t="str">
        <f>+'4K'!AV18</f>
        <v>WWS1010STP</v>
      </c>
      <c r="D2919" s="2004"/>
      <c r="E2919" s="1658" t="s">
        <v>9033</v>
      </c>
      <c r="F2919" s="2004"/>
      <c r="G2919" s="2004">
        <f>IF('4K'!L18="","##BLANK",'4K'!L18)</f>
        <v>0</v>
      </c>
    </row>
    <row r="2920" spans="2:7">
      <c r="B2920" s="848" t="str">
        <f>+'4K'!AV19</f>
        <v>WWS1011STP</v>
      </c>
      <c r="D2920" s="2004"/>
      <c r="E2920" s="1658" t="s">
        <v>9033</v>
      </c>
      <c r="F2920" s="2004"/>
      <c r="G2920" s="2004">
        <f>IF('4K'!L19="","##BLANK",'4K'!L19)</f>
        <v>4.7920000000000007</v>
      </c>
    </row>
    <row r="2921" spans="2:7">
      <c r="B2921" s="848" t="str">
        <f>+'4K'!AV22</f>
        <v>WWS1012STP</v>
      </c>
      <c r="D2921" s="2004"/>
      <c r="E2921" s="1658" t="s">
        <v>9033</v>
      </c>
      <c r="F2921" s="2004"/>
      <c r="G2921" s="2004">
        <f>IF('4K'!L22="","##BLANK",'4K'!L22)</f>
        <v>0</v>
      </c>
    </row>
    <row r="2922" spans="2:7">
      <c r="B2922" s="848" t="str">
        <f>+'4K'!AV23</f>
        <v>WWS1013STP</v>
      </c>
      <c r="D2922" s="2004"/>
      <c r="E2922" s="1658" t="s">
        <v>9033</v>
      </c>
      <c r="F2922" s="2004"/>
      <c r="G2922" s="2004">
        <f>IF('4K'!L23="","##BLANK",'4K'!L23)</f>
        <v>0.54700000000000004</v>
      </c>
    </row>
    <row r="2923" spans="2:7">
      <c r="B2923" s="848" t="str">
        <f>+'4K'!AV24</f>
        <v>WWS1014STP</v>
      </c>
      <c r="D2923" s="2004"/>
      <c r="E2923" s="1658" t="s">
        <v>9033</v>
      </c>
      <c r="F2923" s="2004"/>
      <c r="G2923" s="2004">
        <f>IF('4K'!L24="","##BLANK",'4K'!L24)</f>
        <v>0</v>
      </c>
    </row>
    <row r="2924" spans="2:7">
      <c r="B2924" s="848" t="str">
        <f>+'4K'!AV25</f>
        <v>WWS1015STP</v>
      </c>
      <c r="D2924" s="2004"/>
      <c r="E2924" s="1658" t="s">
        <v>9033</v>
      </c>
      <c r="F2924" s="2004"/>
      <c r="G2924" s="2004">
        <f>IF('4K'!L25="","##BLANK",'4K'!L25)</f>
        <v>2.7E-2</v>
      </c>
    </row>
    <row r="2925" spans="2:7">
      <c r="B2925" s="848" t="str">
        <f>+'4K'!AV26</f>
        <v>WWS1016STP</v>
      </c>
      <c r="D2925" s="2004"/>
      <c r="E2925" s="1658" t="s">
        <v>9033</v>
      </c>
      <c r="F2925" s="2004"/>
      <c r="G2925" s="2004">
        <f>IF('4K'!L26="","##BLANK",'4K'!L26)</f>
        <v>0</v>
      </c>
    </row>
    <row r="2926" spans="2:7">
      <c r="B2926" s="848" t="str">
        <f>+'4K'!AV27</f>
        <v>WWS1017STP</v>
      </c>
      <c r="D2926" s="2004"/>
      <c r="E2926" s="1658" t="s">
        <v>9033</v>
      </c>
      <c r="F2926" s="2004"/>
      <c r="G2926" s="2004">
        <f>IF('4K'!L27="","##BLANK",'4K'!L27)</f>
        <v>0.57400000000000007</v>
      </c>
    </row>
    <row r="2927" spans="2:7">
      <c r="B2927" s="848" t="str">
        <f>+'4K'!AV28</f>
        <v>WWS1018STP</v>
      </c>
      <c r="D2927" s="2004"/>
      <c r="E2927" s="1658" t="s">
        <v>9033</v>
      </c>
      <c r="F2927" s="2004"/>
      <c r="G2927" s="2004">
        <f>IF('4K'!L28="","##BLANK",'4K'!L28)</f>
        <v>0</v>
      </c>
    </row>
    <row r="2928" spans="2:7">
      <c r="B2928" s="848" t="str">
        <f>+'4K'!AV29</f>
        <v>WWS1019STP</v>
      </c>
      <c r="D2928" s="2004"/>
      <c r="E2928" s="1658" t="s">
        <v>9033</v>
      </c>
      <c r="F2928" s="2004"/>
      <c r="G2928" s="2004">
        <f>IF('4K'!L29="","##BLANK",'4K'!L29)</f>
        <v>0.57400000000000007</v>
      </c>
    </row>
    <row r="2929" spans="2:7">
      <c r="B2929" s="848" t="str">
        <f>+'4K'!AV30</f>
        <v>WWS1020STP</v>
      </c>
      <c r="D2929" s="2004"/>
      <c r="E2929" s="1658" t="s">
        <v>9033</v>
      </c>
      <c r="F2929" s="2004"/>
      <c r="G2929" s="2004">
        <f>IF('4K'!L30="","##BLANK",'4K'!L30)</f>
        <v>0</v>
      </c>
    </row>
    <row r="2930" spans="2:7">
      <c r="B2930" s="848" t="str">
        <f>+'4K'!AV31</f>
        <v>WWS1021STP</v>
      </c>
      <c r="D2930" s="2004"/>
      <c r="E2930" s="1658" t="s">
        <v>9033</v>
      </c>
      <c r="F2930" s="2004"/>
      <c r="G2930" s="2004">
        <f>IF('4K'!L31="","##BLANK",'4K'!L31)</f>
        <v>5.3660000000000005</v>
      </c>
    </row>
    <row r="2931" spans="2:7">
      <c r="B2931" s="848" t="str">
        <f>+'4K'!AV34</f>
        <v>WWS1022STP</v>
      </c>
      <c r="D2931" s="2004"/>
      <c r="E2931" s="1658" t="s">
        <v>9033</v>
      </c>
      <c r="F2931" s="2004"/>
      <c r="G2931" s="2004">
        <f>IF('4K'!L34="","##BLANK",'4K'!L34)</f>
        <v>0</v>
      </c>
    </row>
    <row r="2932" spans="2:7">
      <c r="B2932" s="848" t="str">
        <f>+'4K'!AV35</f>
        <v>WWS1023STP</v>
      </c>
      <c r="D2932" s="2004"/>
      <c r="E2932" s="1658" t="s">
        <v>9033</v>
      </c>
      <c r="F2932" s="2004"/>
      <c r="G2932" s="2004">
        <f>IF('4K'!L35="","##BLANK",'4K'!L35)</f>
        <v>0</v>
      </c>
    </row>
    <row r="2933" spans="2:7">
      <c r="B2933" s="848" t="str">
        <f>+'4K'!AV36</f>
        <v>WWS1024STP</v>
      </c>
      <c r="D2933" s="2004"/>
      <c r="E2933" s="1658" t="s">
        <v>9033</v>
      </c>
      <c r="F2933" s="2004"/>
      <c r="G2933" s="2004">
        <f>IF('4K'!L36="","##BLANK",'4K'!L36)</f>
        <v>5.3660000000000005</v>
      </c>
    </row>
    <row r="2934" spans="2:7">
      <c r="B2934" s="848" t="str">
        <f>+'4K'!AV39</f>
        <v>BP3357001STP</v>
      </c>
      <c r="D2934" s="2004"/>
      <c r="E2934" s="1658" t="s">
        <v>9033</v>
      </c>
      <c r="F2934" s="2004" t="str">
        <f>+'4K'!C$39</f>
        <v>Y1 Flooding - Capex</v>
      </c>
      <c r="G2934" s="2004">
        <f>IF('4K'!L39="","##BLANK",'4K'!L39)</f>
        <v>0</v>
      </c>
    </row>
    <row r="2935" spans="2:7">
      <c r="B2935" s="848" t="str">
        <f>+'4K'!AV40</f>
        <v>BP3357002STP</v>
      </c>
      <c r="D2935" s="2004"/>
      <c r="E2935" s="1658" t="s">
        <v>9033</v>
      </c>
      <c r="F2935" s="2004" t="str">
        <f>+'4K'!C$40</f>
        <v>Y5 Flooding Nov - Capex</v>
      </c>
      <c r="G2935" s="2004">
        <f>IF('4K'!L40="","##BLANK",'4K'!L40)</f>
        <v>0</v>
      </c>
    </row>
    <row r="2936" spans="2:7">
      <c r="B2936" s="848" t="str">
        <f>+'4K'!AV41</f>
        <v>BP3357003STP</v>
      </c>
      <c r="D2936" s="2004"/>
      <c r="E2936" s="1658" t="s">
        <v>9033</v>
      </c>
      <c r="F2936" s="2004" t="str">
        <f>+'4K'!C$41</f>
        <v>2020-25 Transition Expenditure -Capex</v>
      </c>
      <c r="G2936" s="2004">
        <f>IF('4K'!L41="","##BLANK",'4K'!L41)</f>
        <v>1.0999999999999999E-2</v>
      </c>
    </row>
    <row r="2937" spans="2:7">
      <c r="B2937" s="848" t="str">
        <f>+'4K'!AV42</f>
        <v>BP3357004STP</v>
      </c>
      <c r="D2937" s="2004"/>
      <c r="E2937" s="1658" t="s">
        <v>9033</v>
      </c>
      <c r="F2937" s="2004" t="str">
        <f>+'4K'!C$42</f>
        <v>Flooding December 2015</v>
      </c>
      <c r="G2937" s="2004">
        <f>IF('4K'!L42="","##BLANK",'4K'!L42)</f>
        <v>0</v>
      </c>
    </row>
    <row r="2938" spans="2:7">
      <c r="B2938" s="848" t="str">
        <f>+'4K'!AV43</f>
        <v>BP3357005STP</v>
      </c>
      <c r="D2938" s="2004"/>
      <c r="E2938" s="1658" t="s">
        <v>9033</v>
      </c>
      <c r="F2938" s="2004" t="str">
        <f>+'4K'!C$43</f>
        <v>Flooding November 2019</v>
      </c>
      <c r="G2938" s="2004">
        <f>IF('4K'!L43="","##BLANK",'4K'!L43)</f>
        <v>0</v>
      </c>
    </row>
    <row r="2939" spans="2:7">
      <c r="B2939" s="848" t="str">
        <f>+'4K'!AV44</f>
        <v>BP3357006STP</v>
      </c>
      <c r="D2939" s="2004"/>
      <c r="E2939" s="1658" t="s">
        <v>9033</v>
      </c>
      <c r="F2939" s="2004" t="str">
        <f>+'4K'!C$44</f>
        <v>Flooding February 2020</v>
      </c>
      <c r="G2939" s="2004">
        <f>IF('4K'!L44="","##BLANK",'4K'!L44)</f>
        <v>0</v>
      </c>
    </row>
    <row r="2940" spans="2:7">
      <c r="B2940" s="848" t="str">
        <f>+'4K'!AV45</f>
        <v>BP3357007STP</v>
      </c>
      <c r="D2940" s="2004"/>
      <c r="E2940" s="1658" t="s">
        <v>9033</v>
      </c>
      <c r="F2940" s="2004" t="str">
        <f>+'4K'!C$45</f>
        <v>Regulation costs - Opex</v>
      </c>
      <c r="G2940" s="2004">
        <f>IF('4K'!L45="","##BLANK",'4K'!L45)</f>
        <v>3.5000000000000003E-2</v>
      </c>
    </row>
    <row r="2941" spans="2:7">
      <c r="B2941" s="848" t="str">
        <f>+'4K'!AV46</f>
        <v>BP3357008STP</v>
      </c>
      <c r="D2941" s="2004"/>
      <c r="E2941" s="1658" t="s">
        <v>9033</v>
      </c>
      <c r="F2941" s="2004" t="str">
        <f>+'4K'!C$46</f>
        <v>Reorganisational costs - Opex</v>
      </c>
      <c r="G2941" s="2004">
        <f>IF('4K'!L46="","##BLANK",'4K'!L46)</f>
        <v>1.0999999999999999E-2</v>
      </c>
    </row>
    <row r="2942" spans="2:7">
      <c r="B2942" s="848" t="str">
        <f>+'4K'!AV47</f>
        <v>BP3357009STP</v>
      </c>
      <c r="D2942" s="2004"/>
      <c r="E2942" s="1658" t="s">
        <v>9033</v>
      </c>
      <c r="F2942" s="2004" t="str">
        <f>+'4K'!C$47</f>
        <v>Transition expenditure - Opex</v>
      </c>
      <c r="G2942" s="2004">
        <f>IF('4K'!L47="","##BLANK",'4K'!L47)</f>
        <v>0</v>
      </c>
    </row>
    <row r="2943" spans="2:7">
      <c r="B2943" s="848" t="str">
        <f>+'4K'!AV48</f>
        <v>BP3357010STP</v>
      </c>
      <c r="D2943" s="2004"/>
      <c r="E2943" s="1658" t="s">
        <v>9033</v>
      </c>
      <c r="F2943" s="2004" t="str">
        <f>+'4K'!C$48</f>
        <v>Item 10</v>
      </c>
      <c r="G2943" s="2004" t="str">
        <f>IF('4K'!L48="","##BLANK",'4K'!L48)</f>
        <v>##BLANK</v>
      </c>
    </row>
    <row r="2944" spans="2:7">
      <c r="B2944" s="848" t="str">
        <f>+'4K'!AV49</f>
        <v>BP3357020STP</v>
      </c>
      <c r="D2944" s="2004"/>
      <c r="E2944" s="1658" t="s">
        <v>9033</v>
      </c>
      <c r="F2944" s="2004"/>
      <c r="G2944" s="2004">
        <f>IF('4K'!L49="","##BLANK",'4K'!L49)</f>
        <v>5.6999999999999995E-2</v>
      </c>
    </row>
    <row r="2945" spans="2:7">
      <c r="B2945" s="848" t="str">
        <f>+'4K'!AV52</f>
        <v>S3040TCASTP</v>
      </c>
      <c r="D2945" s="2004"/>
      <c r="E2945" s="1658" t="s">
        <v>9033</v>
      </c>
      <c r="F2945" s="2004"/>
      <c r="G2945" s="2004">
        <f>IF('4K'!L52="","##BLANK",'4K'!L52)</f>
        <v>5.4230000000000009</v>
      </c>
    </row>
    <row r="2946" spans="2:7">
      <c r="B2946" s="848" t="str">
        <f>+'4K'!AW7</f>
        <v>WWS1001SDT</v>
      </c>
      <c r="D2946" s="2004"/>
      <c r="E2946" s="1658" t="s">
        <v>9033</v>
      </c>
      <c r="F2946" s="2004"/>
      <c r="G2946" s="2004">
        <f>IF('4K'!M7="","##BLANK",'4K'!M7)</f>
        <v>-3.0710000000000002</v>
      </c>
    </row>
    <row r="2947" spans="2:7">
      <c r="B2947" s="848" t="str">
        <f>+'4K'!AW8</f>
        <v>WWS1002SDT</v>
      </c>
      <c r="D2947" s="2004"/>
      <c r="E2947" s="1658" t="s">
        <v>9033</v>
      </c>
      <c r="F2947" s="2004"/>
      <c r="G2947" s="2004">
        <f>IF('4K'!M8="","##BLANK",'4K'!M8)</f>
        <v>-2.262</v>
      </c>
    </row>
    <row r="2948" spans="2:7">
      <c r="B2948" s="848" t="str">
        <f>+'4K'!AW9</f>
        <v>WWS1003SDT</v>
      </c>
      <c r="D2948" s="2004"/>
      <c r="E2948" s="1658" t="s">
        <v>9033</v>
      </c>
      <c r="F2948" s="2004"/>
      <c r="G2948" s="2004">
        <f>IF('4K'!M9="","##BLANK",'4K'!M9)</f>
        <v>0</v>
      </c>
    </row>
    <row r="2949" spans="2:7">
      <c r="B2949" s="848" t="str">
        <f>+'4K'!AW10</f>
        <v>WWS1004SDT</v>
      </c>
      <c r="D2949" s="2004"/>
      <c r="E2949" s="1658" t="s">
        <v>9033</v>
      </c>
      <c r="F2949" s="2004"/>
      <c r="G2949" s="2004">
        <f>IF('4K'!M10="","##BLANK",'4K'!M10)</f>
        <v>0</v>
      </c>
    </row>
    <row r="2950" spans="2:7">
      <c r="B2950" s="848" t="str">
        <f>+'4K'!AW12</f>
        <v>WWS1005SDT</v>
      </c>
      <c r="D2950" s="2004"/>
      <c r="E2950" s="1658" t="s">
        <v>9033</v>
      </c>
      <c r="F2950" s="2004"/>
      <c r="G2950" s="2004">
        <f>IF('4K'!M12="","##BLANK",'4K'!M12)</f>
        <v>0</v>
      </c>
    </row>
    <row r="2951" spans="2:7">
      <c r="B2951" s="848" t="str">
        <f>+'4K'!AW13</f>
        <v>WWS1006SDT</v>
      </c>
      <c r="D2951" s="2004"/>
      <c r="E2951" s="1658" t="s">
        <v>9033</v>
      </c>
      <c r="F2951" s="2004"/>
      <c r="G2951" s="2004">
        <f>IF('4K'!M13="","##BLANK",'4K'!M13)</f>
        <v>0</v>
      </c>
    </row>
    <row r="2952" spans="2:7">
      <c r="B2952" s="848" t="str">
        <f>+'4K'!AW14</f>
        <v>WWS1007SDT</v>
      </c>
      <c r="D2952" s="2004"/>
      <c r="E2952" s="1658" t="s">
        <v>9033</v>
      </c>
      <c r="F2952" s="2004"/>
      <c r="G2952" s="2004">
        <f>IF('4K'!M14="","##BLANK",'4K'!M14)</f>
        <v>17.861000000000001</v>
      </c>
    </row>
    <row r="2953" spans="2:7">
      <c r="B2953" s="848" t="str">
        <f>+'4K'!AW15</f>
        <v>WWS1008SDT</v>
      </c>
      <c r="D2953" s="2004"/>
      <c r="E2953" s="1658" t="s">
        <v>9033</v>
      </c>
      <c r="F2953" s="2004"/>
      <c r="G2953" s="2004">
        <f>IF('4K'!M15="","##BLANK",'4K'!M15)</f>
        <v>1.4119999999999999</v>
      </c>
    </row>
    <row r="2954" spans="2:7">
      <c r="B2954" s="848" t="str">
        <f>+'4K'!AW16</f>
        <v>WWS1009SDT</v>
      </c>
      <c r="D2954" s="2004"/>
      <c r="E2954" s="1658" t="s">
        <v>9033</v>
      </c>
      <c r="F2954" s="2004"/>
      <c r="G2954" s="2004">
        <f>IF('4K'!M16="","##BLANK",'4K'!M16)</f>
        <v>13.940000000000001</v>
      </c>
    </row>
    <row r="2955" spans="2:7">
      <c r="B2955" s="848" t="str">
        <f>+'4K'!AW18</f>
        <v>WWS1010SDT</v>
      </c>
      <c r="D2955" s="2004"/>
      <c r="E2955" s="1658" t="s">
        <v>9033</v>
      </c>
      <c r="F2955" s="2004"/>
      <c r="G2955" s="2004">
        <f>IF('4K'!M18="","##BLANK",'4K'!M18)</f>
        <v>0</v>
      </c>
    </row>
    <row r="2956" spans="2:7">
      <c r="B2956" s="848" t="str">
        <f>+'4K'!AW19</f>
        <v>WWS1011SDT</v>
      </c>
      <c r="D2956" s="2004"/>
      <c r="E2956" s="1658" t="s">
        <v>9033</v>
      </c>
      <c r="F2956" s="2004"/>
      <c r="G2956" s="2004">
        <f>IF('4K'!M19="","##BLANK",'4K'!M19)</f>
        <v>13.940000000000001</v>
      </c>
    </row>
    <row r="2957" spans="2:7">
      <c r="B2957" s="848" t="str">
        <f>+'4K'!AW22</f>
        <v>WWS1012SDT</v>
      </c>
      <c r="D2957" s="2004"/>
      <c r="E2957" s="1658" t="s">
        <v>9033</v>
      </c>
      <c r="F2957" s="2004"/>
      <c r="G2957" s="2004">
        <f>IF('4K'!M22="","##BLANK",'4K'!M22)</f>
        <v>0</v>
      </c>
    </row>
    <row r="2958" spans="2:7">
      <c r="B2958" s="848" t="str">
        <f>+'4K'!AW23</f>
        <v>WWS1013SDT</v>
      </c>
      <c r="D2958" s="2004"/>
      <c r="E2958" s="1658" t="s">
        <v>9033</v>
      </c>
      <c r="F2958" s="2004"/>
      <c r="G2958" s="2004">
        <f>IF('4K'!M23="","##BLANK",'4K'!M23)</f>
        <v>78.921999999999997</v>
      </c>
    </row>
    <row r="2959" spans="2:7">
      <c r="B2959" s="848" t="str">
        <f>+'4K'!AW24</f>
        <v>WWS1014SDT</v>
      </c>
      <c r="D2959" s="2004"/>
      <c r="E2959" s="1658" t="s">
        <v>9033</v>
      </c>
      <c r="F2959" s="2004"/>
      <c r="G2959" s="2004">
        <f>IF('4K'!M24="","##BLANK",'4K'!M24)</f>
        <v>0</v>
      </c>
    </row>
    <row r="2960" spans="2:7">
      <c r="B2960" s="848" t="str">
        <f>+'4K'!AW25</f>
        <v>WWS1015SDT</v>
      </c>
      <c r="D2960" s="2004"/>
      <c r="E2960" s="1658" t="s">
        <v>9033</v>
      </c>
      <c r="F2960" s="2004"/>
      <c r="G2960" s="2004">
        <f>IF('4K'!M25="","##BLANK",'4K'!M25)</f>
        <v>2.2930000000000001</v>
      </c>
    </row>
    <row r="2961" spans="2:7">
      <c r="B2961" s="848" t="str">
        <f>+'4K'!AW26</f>
        <v>WWS1016SDT</v>
      </c>
      <c r="D2961" s="2004"/>
      <c r="E2961" s="1658" t="s">
        <v>9033</v>
      </c>
      <c r="F2961" s="2004"/>
      <c r="G2961" s="2004">
        <f>IF('4K'!M26="","##BLANK",'4K'!M26)</f>
        <v>0</v>
      </c>
    </row>
    <row r="2962" spans="2:7">
      <c r="B2962" s="848" t="str">
        <f>+'4K'!AW27</f>
        <v>WWS1017SDT</v>
      </c>
      <c r="D2962" s="2004"/>
      <c r="E2962" s="1658" t="s">
        <v>9033</v>
      </c>
      <c r="F2962" s="2004"/>
      <c r="G2962" s="2004">
        <f>IF('4K'!M27="","##BLANK",'4K'!M27)</f>
        <v>81.215000000000003</v>
      </c>
    </row>
    <row r="2963" spans="2:7">
      <c r="B2963" s="848" t="str">
        <f>+'4K'!AW28</f>
        <v>WWS1018SDT</v>
      </c>
      <c r="D2963" s="2004"/>
      <c r="E2963" s="1658" t="s">
        <v>9033</v>
      </c>
      <c r="F2963" s="2004"/>
      <c r="G2963" s="2004">
        <f>IF('4K'!M28="","##BLANK",'4K'!M28)</f>
        <v>0</v>
      </c>
    </row>
    <row r="2964" spans="2:7">
      <c r="B2964" s="848" t="str">
        <f>+'4K'!AW29</f>
        <v>WWS1019SDT</v>
      </c>
      <c r="D2964" s="2004"/>
      <c r="E2964" s="1658" t="s">
        <v>9033</v>
      </c>
      <c r="F2964" s="2004"/>
      <c r="G2964" s="2004">
        <f>IF('4K'!M29="","##BLANK",'4K'!M29)</f>
        <v>81.215000000000003</v>
      </c>
    </row>
    <row r="2965" spans="2:7">
      <c r="B2965" s="848" t="str">
        <f>+'4K'!AW30</f>
        <v>WWS1020SDT</v>
      </c>
      <c r="D2965" s="2004"/>
      <c r="E2965" s="1658" t="s">
        <v>9033</v>
      </c>
      <c r="F2965" s="2004"/>
      <c r="G2965" s="2004">
        <f>IF('4K'!M30="","##BLANK",'4K'!M30)</f>
        <v>0</v>
      </c>
    </row>
    <row r="2966" spans="2:7">
      <c r="B2966" s="848" t="str">
        <f>+'4K'!AW31</f>
        <v>WWS1021SDT</v>
      </c>
      <c r="D2966" s="2004"/>
      <c r="E2966" s="1658" t="s">
        <v>9033</v>
      </c>
      <c r="F2966" s="2004"/>
      <c r="G2966" s="2004">
        <f>IF('4K'!M31="","##BLANK",'4K'!M31)</f>
        <v>95.155000000000001</v>
      </c>
    </row>
    <row r="2967" spans="2:7">
      <c r="B2967" s="848" t="str">
        <f>+'4K'!AW34</f>
        <v>WWS1022SDT</v>
      </c>
      <c r="D2967" s="2004"/>
      <c r="E2967" s="1658" t="s">
        <v>9033</v>
      </c>
      <c r="F2967" s="2004"/>
      <c r="G2967" s="2004">
        <f>IF('4K'!M34="","##BLANK",'4K'!M34)</f>
        <v>0</v>
      </c>
    </row>
    <row r="2968" spans="2:7">
      <c r="B2968" s="848" t="str">
        <f>+'4K'!AW35</f>
        <v>WWS1023SDT</v>
      </c>
      <c r="D2968" s="2004"/>
      <c r="E2968" s="1658" t="s">
        <v>9033</v>
      </c>
      <c r="F2968" s="2004"/>
      <c r="G2968" s="2004">
        <f>IF('4K'!M35="","##BLANK",'4K'!M35)</f>
        <v>0</v>
      </c>
    </row>
    <row r="2969" spans="2:7">
      <c r="B2969" s="848" t="str">
        <f>+'4K'!AW36</f>
        <v>WWS1024SDT</v>
      </c>
      <c r="D2969" s="2004"/>
      <c r="E2969" s="1658" t="s">
        <v>9033</v>
      </c>
      <c r="F2969" s="2004"/>
      <c r="G2969" s="2004">
        <f>IF('4K'!M36="","##BLANK",'4K'!M36)</f>
        <v>95.155000000000001</v>
      </c>
    </row>
    <row r="2970" spans="2:7">
      <c r="B2970" s="848" t="str">
        <f>+'4K'!AW39</f>
        <v>BP3357001SDT</v>
      </c>
      <c r="D2970" s="2004"/>
      <c r="E2970" s="1658" t="s">
        <v>9033</v>
      </c>
      <c r="F2970" s="2004" t="str">
        <f>+'4K'!C$39</f>
        <v>Y1 Flooding - Capex</v>
      </c>
      <c r="G2970" s="2004">
        <f>IF('4K'!M39="","##BLANK",'4K'!M39)</f>
        <v>-0.11799999999999999</v>
      </c>
    </row>
    <row r="2971" spans="2:7">
      <c r="B2971" s="848" t="str">
        <f>+'4K'!AW40</f>
        <v>BP3357002SDT</v>
      </c>
      <c r="D2971" s="2004"/>
      <c r="E2971" s="1658" t="s">
        <v>9033</v>
      </c>
      <c r="F2971" s="2004" t="str">
        <f>+'4K'!C$40</f>
        <v>Y5 Flooding Nov - Capex</v>
      </c>
      <c r="G2971" s="2004">
        <f>IF('4K'!M40="","##BLANK",'4K'!M40)</f>
        <v>0</v>
      </c>
    </row>
    <row r="2972" spans="2:7">
      <c r="B2972" s="848" t="str">
        <f>+'4K'!AW41</f>
        <v>BP3357003SDT</v>
      </c>
      <c r="D2972" s="2004"/>
      <c r="E2972" s="1658" t="s">
        <v>9033</v>
      </c>
      <c r="F2972" s="2004" t="str">
        <f>+'4K'!C$41</f>
        <v>2020-25 Transition Expenditure -Capex</v>
      </c>
      <c r="G2972" s="2004">
        <f>IF('4K'!M41="","##BLANK",'4K'!M41)</f>
        <v>7.0000000000000007E-2</v>
      </c>
    </row>
    <row r="2973" spans="2:7">
      <c r="B2973" s="848" t="str">
        <f>+'4K'!AW42</f>
        <v>BP3357004SDT</v>
      </c>
      <c r="D2973" s="2004"/>
      <c r="E2973" s="1658" t="s">
        <v>9033</v>
      </c>
      <c r="F2973" s="2004" t="str">
        <f>+'4K'!C$42</f>
        <v>Flooding December 2015</v>
      </c>
      <c r="G2973" s="2004">
        <f>IF('4K'!M42="","##BLANK",'4K'!M42)</f>
        <v>2.1150000000000002</v>
      </c>
    </row>
    <row r="2974" spans="2:7">
      <c r="B2974" s="848" t="str">
        <f>+'4K'!AW43</f>
        <v>BP3357005SDT</v>
      </c>
      <c r="D2974" s="2004"/>
      <c r="E2974" s="1658" t="s">
        <v>9033</v>
      </c>
      <c r="F2974" s="2004" t="str">
        <f>+'4K'!C$43</f>
        <v>Flooding November 2019</v>
      </c>
      <c r="G2974" s="2004">
        <f>IF('4K'!M43="","##BLANK",'4K'!M43)</f>
        <v>0.34599999999999997</v>
      </c>
    </row>
    <row r="2975" spans="2:7">
      <c r="B2975" s="848" t="str">
        <f>+'4K'!AW44</f>
        <v>BP3357006SDT</v>
      </c>
      <c r="D2975" s="2004"/>
      <c r="E2975" s="1658" t="s">
        <v>9033</v>
      </c>
      <c r="F2975" s="2004" t="str">
        <f>+'4K'!C$44</f>
        <v>Flooding February 2020</v>
      </c>
      <c r="G2975" s="2004">
        <f>IF('4K'!M44="","##BLANK",'4K'!M44)</f>
        <v>0.107</v>
      </c>
    </row>
    <row r="2976" spans="2:7">
      <c r="B2976" s="848" t="str">
        <f>+'4K'!AW45</f>
        <v>BP3357007SDT</v>
      </c>
      <c r="D2976" s="2004"/>
      <c r="E2976" s="1658" t="s">
        <v>9033</v>
      </c>
      <c r="F2976" s="2004" t="str">
        <f>+'4K'!C$45</f>
        <v>Regulation costs - Opex</v>
      </c>
      <c r="G2976" s="2004">
        <f>IF('4K'!M45="","##BLANK",'4K'!M45)</f>
        <v>8.6999999999999994E-2</v>
      </c>
    </row>
    <row r="2977" spans="2:7">
      <c r="B2977" s="848" t="str">
        <f>+'4K'!AW46</f>
        <v>BP3357008SDT</v>
      </c>
      <c r="D2977" s="2004"/>
      <c r="E2977" s="1658" t="s">
        <v>9033</v>
      </c>
      <c r="F2977" s="2004" t="str">
        <f>+'4K'!C$46</f>
        <v>Reorganisational costs - Opex</v>
      </c>
      <c r="G2977" s="2004">
        <f>IF('4K'!M46="","##BLANK",'4K'!M46)</f>
        <v>0.124</v>
      </c>
    </row>
    <row r="2978" spans="2:7">
      <c r="B2978" s="848" t="str">
        <f>+'4K'!AW47</f>
        <v>BP3357009SDT</v>
      </c>
      <c r="D2978" s="2004"/>
      <c r="E2978" s="1658" t="s">
        <v>9033</v>
      </c>
      <c r="F2978" s="2004" t="str">
        <f>+'4K'!C$47</f>
        <v>Transition expenditure - Opex</v>
      </c>
      <c r="G2978" s="2004">
        <f>IF('4K'!M47="","##BLANK",'4K'!M47)</f>
        <v>0</v>
      </c>
    </row>
    <row r="2979" spans="2:7">
      <c r="B2979" s="848" t="str">
        <f>+'4K'!AW48</f>
        <v>BP3357010SDT</v>
      </c>
      <c r="D2979" s="2004"/>
      <c r="E2979" s="1658" t="s">
        <v>9033</v>
      </c>
      <c r="F2979" s="2004" t="str">
        <f>+'4K'!C$48</f>
        <v>Item 10</v>
      </c>
      <c r="G2979" s="2004" t="str">
        <f>IF('4K'!M48="","##BLANK",'4K'!M48)</f>
        <v>##BLANK</v>
      </c>
    </row>
    <row r="2980" spans="2:7">
      <c r="B2980" s="848" t="str">
        <f>+'4K'!AW49</f>
        <v>BP3357020SDT</v>
      </c>
      <c r="D2980" s="2004"/>
      <c r="E2980" s="1658" t="s">
        <v>9033</v>
      </c>
      <c r="F2980" s="2004"/>
      <c r="G2980" s="2004">
        <f>IF('4K'!M49="","##BLANK",'4K'!M49)</f>
        <v>2.7310000000000008</v>
      </c>
    </row>
    <row r="2981" spans="2:7">
      <c r="B2981" s="848" t="str">
        <f>+'4K'!AW52</f>
        <v>S3040TCASDT</v>
      </c>
      <c r="D2981" s="2004"/>
      <c r="E2981" s="1658" t="s">
        <v>9033</v>
      </c>
      <c r="F2981" s="2004"/>
      <c r="G2981" s="2004">
        <f>IF('4K'!M52="","##BLANK",'4K'!M52)</f>
        <v>97.885999999999996</v>
      </c>
    </row>
    <row r="2982" spans="2:7">
      <c r="B2982" s="848" t="str">
        <f>+'4K'!AX7</f>
        <v>WWS1001SDD</v>
      </c>
      <c r="D2982" s="2004"/>
      <c r="E2982" s="1658" t="s">
        <v>9033</v>
      </c>
      <c r="F2982" s="2004"/>
      <c r="G2982" s="2004">
        <f>IF('4K'!N7="","##BLANK",'4K'!N7)</f>
        <v>0</v>
      </c>
    </row>
    <row r="2983" spans="2:7">
      <c r="B2983" s="848" t="str">
        <f>+'4K'!AX8</f>
        <v>WWS1002SDD</v>
      </c>
      <c r="D2983" s="2004"/>
      <c r="E2983" s="1658" t="s">
        <v>9033</v>
      </c>
      <c r="F2983" s="2004"/>
      <c r="G2983" s="2004">
        <f>IF('4K'!N8="","##BLANK",'4K'!N8)</f>
        <v>0</v>
      </c>
    </row>
    <row r="2984" spans="2:7">
      <c r="B2984" s="848" t="str">
        <f>+'4K'!AX9</f>
        <v>WWS1003SDD</v>
      </c>
      <c r="D2984" s="2004"/>
      <c r="E2984" s="1658" t="s">
        <v>9033</v>
      </c>
      <c r="F2984" s="2004"/>
      <c r="G2984" s="2004">
        <f>IF('4K'!N9="","##BLANK",'4K'!N9)</f>
        <v>0</v>
      </c>
    </row>
    <row r="2985" spans="2:7">
      <c r="B2985" s="848" t="str">
        <f>+'4K'!AX10</f>
        <v>WWS1004SDD</v>
      </c>
      <c r="D2985" s="2004"/>
      <c r="E2985" s="1658" t="s">
        <v>9033</v>
      </c>
      <c r="F2985" s="2004"/>
      <c r="G2985" s="2004">
        <f>IF('4K'!N10="","##BLANK",'4K'!N10)</f>
        <v>0</v>
      </c>
    </row>
    <row r="2986" spans="2:7">
      <c r="B2986" s="848" t="str">
        <f>+'4K'!AX12</f>
        <v>WWS1005SDD</v>
      </c>
      <c r="D2986" s="2004"/>
      <c r="E2986" s="1658" t="s">
        <v>9033</v>
      </c>
      <c r="F2986" s="2004"/>
      <c r="G2986" s="2004">
        <f>IF('4K'!N12="","##BLANK",'4K'!N12)</f>
        <v>0</v>
      </c>
    </row>
    <row r="2987" spans="2:7">
      <c r="B2987" s="848" t="str">
        <f>+'4K'!AX13</f>
        <v>WWS1006SDD</v>
      </c>
      <c r="D2987" s="2004"/>
      <c r="E2987" s="1658" t="s">
        <v>9033</v>
      </c>
      <c r="F2987" s="2004"/>
      <c r="G2987" s="2004">
        <f>IF('4K'!N13="","##BLANK",'4K'!N13)</f>
        <v>0</v>
      </c>
    </row>
    <row r="2988" spans="2:7">
      <c r="B2988" s="848" t="str">
        <f>+'4K'!AX14</f>
        <v>WWS1007SDD</v>
      </c>
      <c r="D2988" s="2004"/>
      <c r="E2988" s="1658" t="s">
        <v>9033</v>
      </c>
      <c r="F2988" s="2004"/>
      <c r="G2988" s="2004">
        <f>IF('4K'!N14="","##BLANK",'4K'!N14)</f>
        <v>9.0570000000000004</v>
      </c>
    </row>
    <row r="2989" spans="2:7">
      <c r="B2989" s="848" t="str">
        <f>+'4K'!AX15</f>
        <v>WWS1008SDD</v>
      </c>
      <c r="D2989" s="2004"/>
      <c r="E2989" s="1658" t="s">
        <v>9033</v>
      </c>
      <c r="F2989" s="2004"/>
      <c r="G2989" s="2004">
        <f>IF('4K'!N15="","##BLANK",'4K'!N15)</f>
        <v>0</v>
      </c>
    </row>
    <row r="2990" spans="2:7">
      <c r="B2990" s="848" t="str">
        <f>+'4K'!AX16</f>
        <v>WWS1009SDD</v>
      </c>
      <c r="D2990" s="2004"/>
      <c r="E2990" s="1658" t="s">
        <v>9033</v>
      </c>
      <c r="F2990" s="2004"/>
      <c r="G2990" s="2004">
        <f>IF('4K'!N16="","##BLANK",'4K'!N16)</f>
        <v>9.0570000000000004</v>
      </c>
    </row>
    <row r="2991" spans="2:7">
      <c r="B2991" s="848" t="str">
        <f>+'4K'!AX18</f>
        <v>WWS1010SDD</v>
      </c>
      <c r="D2991" s="2004"/>
      <c r="E2991" s="1658" t="s">
        <v>9033</v>
      </c>
      <c r="F2991" s="2004"/>
      <c r="G2991" s="2004">
        <f>IF('4K'!N18="","##BLANK",'4K'!N18)</f>
        <v>0</v>
      </c>
    </row>
    <row r="2992" spans="2:7">
      <c r="B2992" s="848" t="str">
        <f>+'4K'!AX19</f>
        <v>WWS1011SDD</v>
      </c>
      <c r="D2992" s="2004"/>
      <c r="E2992" s="1658" t="s">
        <v>9033</v>
      </c>
      <c r="F2992" s="2004"/>
      <c r="G2992" s="2004">
        <f>IF('4K'!N19="","##BLANK",'4K'!N19)</f>
        <v>9.0570000000000004</v>
      </c>
    </row>
    <row r="2993" spans="2:7">
      <c r="B2993" s="848" t="str">
        <f>+'4K'!AX22</f>
        <v>WWS1012SDD</v>
      </c>
      <c r="D2993" s="2004"/>
      <c r="E2993" s="1658" t="s">
        <v>9033</v>
      </c>
      <c r="F2993" s="2004"/>
      <c r="G2993" s="2004">
        <f>IF('4K'!N22="","##BLANK",'4K'!N22)</f>
        <v>0</v>
      </c>
    </row>
    <row r="2994" spans="2:7">
      <c r="B2994" s="848" t="str">
        <f>+'4K'!AX23</f>
        <v>WWS1013SDD</v>
      </c>
      <c r="D2994" s="2004"/>
      <c r="E2994" s="1658" t="s">
        <v>9033</v>
      </c>
      <c r="F2994" s="2004"/>
      <c r="G2994" s="2004">
        <f>IF('4K'!N23="","##BLANK",'4K'!N23)</f>
        <v>9.8000000000000004E-2</v>
      </c>
    </row>
    <row r="2995" spans="2:7">
      <c r="B2995" s="848" t="str">
        <f>+'4K'!AX24</f>
        <v>WWS1014SDD</v>
      </c>
      <c r="D2995" s="2004"/>
      <c r="E2995" s="1658" t="s">
        <v>9033</v>
      </c>
      <c r="F2995" s="2004"/>
      <c r="G2995" s="2004">
        <f>IF('4K'!N24="","##BLANK",'4K'!N24)</f>
        <v>0</v>
      </c>
    </row>
    <row r="2996" spans="2:7">
      <c r="B2996" s="848" t="str">
        <f>+'4K'!AX25</f>
        <v>WWS1015SDD</v>
      </c>
      <c r="D2996" s="2004"/>
      <c r="E2996" s="1658" t="s">
        <v>9033</v>
      </c>
      <c r="F2996" s="2004"/>
      <c r="G2996" s="2004">
        <f>IF('4K'!N25="","##BLANK",'4K'!N25)</f>
        <v>5.0000000000000001E-3</v>
      </c>
    </row>
    <row r="2997" spans="2:7">
      <c r="B2997" s="848" t="str">
        <f>+'4K'!AX26</f>
        <v>WWS1016SDD</v>
      </c>
      <c r="D2997" s="2004"/>
      <c r="E2997" s="1658" t="s">
        <v>9033</v>
      </c>
      <c r="F2997" s="2004"/>
      <c r="G2997" s="2004">
        <f>IF('4K'!N26="","##BLANK",'4K'!N26)</f>
        <v>0</v>
      </c>
    </row>
    <row r="2998" spans="2:7">
      <c r="B2998" s="848" t="str">
        <f>+'4K'!AX27</f>
        <v>WWS1017SDD</v>
      </c>
      <c r="D2998" s="2004"/>
      <c r="E2998" s="1658" t="s">
        <v>9033</v>
      </c>
      <c r="F2998" s="2004"/>
      <c r="G2998" s="2004">
        <f>IF('4K'!N27="","##BLANK",'4K'!N27)</f>
        <v>0.10300000000000001</v>
      </c>
    </row>
    <row r="2999" spans="2:7">
      <c r="B2999" s="848" t="str">
        <f>+'4K'!AX28</f>
        <v>WWS1018SDD</v>
      </c>
      <c r="D2999" s="2004"/>
      <c r="E2999" s="1658" t="s">
        <v>9033</v>
      </c>
      <c r="F2999" s="2004"/>
      <c r="G2999" s="2004">
        <f>IF('4K'!N28="","##BLANK",'4K'!N28)</f>
        <v>0</v>
      </c>
    </row>
    <row r="3000" spans="2:7">
      <c r="B3000" s="848" t="str">
        <f>+'4K'!AX29</f>
        <v>WWS1019SDD</v>
      </c>
      <c r="D3000" s="2004"/>
      <c r="E3000" s="1658" t="s">
        <v>9033</v>
      </c>
      <c r="F3000" s="2004"/>
      <c r="G3000" s="2004">
        <f>IF('4K'!N29="","##BLANK",'4K'!N29)</f>
        <v>0.10300000000000001</v>
      </c>
    </row>
    <row r="3001" spans="2:7">
      <c r="B3001" s="848" t="str">
        <f>+'4K'!AX30</f>
        <v>WWS1020SDD</v>
      </c>
      <c r="D3001" s="2004"/>
      <c r="E3001" s="1658" t="s">
        <v>9033</v>
      </c>
      <c r="F3001" s="2004"/>
      <c r="G3001" s="2004">
        <f>IF('4K'!N30="","##BLANK",'4K'!N30)</f>
        <v>0</v>
      </c>
    </row>
    <row r="3002" spans="2:7">
      <c r="B3002" s="848" t="str">
        <f>+'4K'!AX31</f>
        <v>WWS1021SDD</v>
      </c>
      <c r="D3002" s="2004"/>
      <c r="E3002" s="1658" t="s">
        <v>9033</v>
      </c>
      <c r="F3002" s="2004"/>
      <c r="G3002" s="2004">
        <f>IF('4K'!N31="","##BLANK",'4K'!N31)</f>
        <v>9.16</v>
      </c>
    </row>
    <row r="3003" spans="2:7">
      <c r="B3003" s="848" t="str">
        <f>+'4K'!AX34</f>
        <v>WWS1022SDD</v>
      </c>
      <c r="D3003" s="2004"/>
      <c r="E3003" s="1658" t="s">
        <v>9033</v>
      </c>
      <c r="F3003" s="2004"/>
      <c r="G3003" s="2004">
        <f>IF('4K'!N34="","##BLANK",'4K'!N34)</f>
        <v>0</v>
      </c>
    </row>
    <row r="3004" spans="2:7">
      <c r="B3004" s="848" t="str">
        <f>+'4K'!AX35</f>
        <v>WWS1023SDD</v>
      </c>
      <c r="D3004" s="2004"/>
      <c r="E3004" s="1658" t="s">
        <v>9033</v>
      </c>
      <c r="F3004" s="2004"/>
      <c r="G3004" s="2004">
        <f>IF('4K'!N35="","##BLANK",'4K'!N35)</f>
        <v>0</v>
      </c>
    </row>
    <row r="3005" spans="2:7">
      <c r="B3005" s="848" t="str">
        <f>+'4K'!AX36</f>
        <v>WWS1024SDD</v>
      </c>
      <c r="D3005" s="2004"/>
      <c r="E3005" s="1658" t="s">
        <v>9033</v>
      </c>
      <c r="F3005" s="2004"/>
      <c r="G3005" s="2004">
        <f>IF('4K'!N36="","##BLANK",'4K'!N36)</f>
        <v>9.16</v>
      </c>
    </row>
    <row r="3006" spans="2:7">
      <c r="B3006" s="848" t="str">
        <f>+'4K'!AX39</f>
        <v>BP3357001SDD</v>
      </c>
      <c r="D3006" s="2004"/>
      <c r="E3006" s="1658" t="s">
        <v>9033</v>
      </c>
      <c r="F3006" s="2004" t="str">
        <f>+'4K'!C$39</f>
        <v>Y1 Flooding - Capex</v>
      </c>
      <c r="G3006" s="2004">
        <f>IF('4K'!N39="","##BLANK",'4K'!N39)</f>
        <v>0</v>
      </c>
    </row>
    <row r="3007" spans="2:7">
      <c r="B3007" s="848" t="str">
        <f>+'4K'!AX40</f>
        <v>BP3357002SDD</v>
      </c>
      <c r="D3007" s="2004"/>
      <c r="E3007" s="1658" t="s">
        <v>9033</v>
      </c>
      <c r="F3007" s="2004" t="str">
        <f>+'4K'!C$40</f>
        <v>Y5 Flooding Nov - Capex</v>
      </c>
      <c r="G3007" s="2004">
        <f>IF('4K'!N40="","##BLANK",'4K'!N40)</f>
        <v>0</v>
      </c>
    </row>
    <row r="3008" spans="2:7">
      <c r="B3008" s="848" t="str">
        <f>+'4K'!AX41</f>
        <v>BP3357003SDD</v>
      </c>
      <c r="D3008" s="2004"/>
      <c r="E3008" s="1658" t="s">
        <v>9033</v>
      </c>
      <c r="F3008" s="2004" t="str">
        <f>+'4K'!C$41</f>
        <v>2020-25 Transition Expenditure -Capex</v>
      </c>
      <c r="G3008" s="2004">
        <f>IF('4K'!N41="","##BLANK",'4K'!N41)</f>
        <v>2E-3</v>
      </c>
    </row>
    <row r="3009" spans="2:7">
      <c r="B3009" s="848" t="str">
        <f>+'4K'!AX42</f>
        <v>BP3357004SDD</v>
      </c>
      <c r="D3009" s="2004"/>
      <c r="E3009" s="1658" t="s">
        <v>9033</v>
      </c>
      <c r="F3009" s="2004" t="str">
        <f>+'4K'!C$42</f>
        <v>Flooding December 2015</v>
      </c>
      <c r="G3009" s="2004">
        <f>IF('4K'!N42="","##BLANK",'4K'!N42)</f>
        <v>1.6140000000000001</v>
      </c>
    </row>
    <row r="3010" spans="2:7">
      <c r="B3010" s="848" t="str">
        <f>+'4K'!AX43</f>
        <v>BP3357005SDD</v>
      </c>
      <c r="D3010" s="2004"/>
      <c r="E3010" s="1658" t="s">
        <v>9033</v>
      </c>
      <c r="F3010" s="2004" t="str">
        <f>+'4K'!C$43</f>
        <v>Flooding November 2019</v>
      </c>
      <c r="G3010" s="2004">
        <f>IF('4K'!N43="","##BLANK",'4K'!N43)</f>
        <v>4.2000000000000003E-2</v>
      </c>
    </row>
    <row r="3011" spans="2:7">
      <c r="B3011" s="848" t="str">
        <f>+'4K'!AX44</f>
        <v>BP3357006SDD</v>
      </c>
      <c r="D3011" s="2004"/>
      <c r="E3011" s="1658" t="s">
        <v>9033</v>
      </c>
      <c r="F3011" s="2004" t="str">
        <f>+'4K'!C$44</f>
        <v>Flooding February 2020</v>
      </c>
      <c r="G3011" s="2004">
        <f>IF('4K'!N44="","##BLANK",'4K'!N44)</f>
        <v>4.7E-2</v>
      </c>
    </row>
    <row r="3012" spans="2:7">
      <c r="B3012" s="848" t="str">
        <f>+'4K'!AX45</f>
        <v>BP3357007SDD</v>
      </c>
      <c r="D3012" s="2004"/>
      <c r="E3012" s="1658" t="s">
        <v>9033</v>
      </c>
      <c r="F3012" s="2004" t="str">
        <f>+'4K'!C$45</f>
        <v>Regulation costs - Opex</v>
      </c>
      <c r="G3012" s="2004">
        <f>IF('4K'!N45="","##BLANK",'4K'!N45)</f>
        <v>0.122</v>
      </c>
    </row>
    <row r="3013" spans="2:7">
      <c r="B3013" s="848" t="str">
        <f>+'4K'!AX46</f>
        <v>BP3357008SDD</v>
      </c>
      <c r="D3013" s="2004"/>
      <c r="E3013" s="1658" t="s">
        <v>9033</v>
      </c>
      <c r="F3013" s="2004" t="str">
        <f>+'4K'!C$46</f>
        <v>Reorganisational costs - Opex</v>
      </c>
      <c r="G3013" s="2004">
        <f>IF('4K'!N46="","##BLANK",'4K'!N46)</f>
        <v>1.4999999999999999E-2</v>
      </c>
    </row>
    <row r="3014" spans="2:7">
      <c r="B3014" s="848" t="str">
        <f>+'4K'!AX47</f>
        <v>BP3357009SDD</v>
      </c>
      <c r="D3014" s="2004"/>
      <c r="E3014" s="1658" t="s">
        <v>9033</v>
      </c>
      <c r="F3014" s="2004" t="str">
        <f>+'4K'!C$47</f>
        <v>Transition expenditure - Opex</v>
      </c>
      <c r="G3014" s="2004">
        <f>IF('4K'!N47="","##BLANK",'4K'!N47)</f>
        <v>0</v>
      </c>
    </row>
    <row r="3015" spans="2:7">
      <c r="B3015" s="848" t="str">
        <f>+'4K'!AX48</f>
        <v>BP3357010SDD</v>
      </c>
      <c r="D3015" s="2004"/>
      <c r="E3015" s="1658" t="s">
        <v>9033</v>
      </c>
      <c r="F3015" s="2004" t="str">
        <f>+'4K'!C$48</f>
        <v>Item 10</v>
      </c>
      <c r="G3015" s="2004" t="str">
        <f>IF('4K'!N48="","##BLANK",'4K'!N48)</f>
        <v>##BLANK</v>
      </c>
    </row>
    <row r="3016" spans="2:7">
      <c r="B3016" s="848" t="str">
        <f>+'4K'!AX49</f>
        <v>BP3357020SDD</v>
      </c>
      <c r="D3016" s="2004"/>
      <c r="E3016" s="1658" t="s">
        <v>9033</v>
      </c>
      <c r="F3016" s="2004"/>
      <c r="G3016" s="2004">
        <f>IF('4K'!N49="","##BLANK",'4K'!N49)</f>
        <v>1.8419999999999999</v>
      </c>
    </row>
    <row r="3017" spans="2:7">
      <c r="B3017" s="848" t="str">
        <f>+'4K'!AX52</f>
        <v>S3040TCASDD</v>
      </c>
      <c r="D3017" s="2004"/>
      <c r="E3017" s="1658" t="s">
        <v>9033</v>
      </c>
      <c r="F3017" s="2004"/>
      <c r="G3017" s="2004">
        <f>IF('4K'!N52="","##BLANK",'4K'!N52)</f>
        <v>11.002000000000001</v>
      </c>
    </row>
    <row r="3018" spans="2:7">
      <c r="B3018" s="848" t="str">
        <f>+'4K'!AY7</f>
        <v>WWS1001CAS</v>
      </c>
      <c r="D3018" s="2004"/>
      <c r="E3018" s="1658" t="s">
        <v>9033</v>
      </c>
      <c r="F3018" s="2004"/>
      <c r="G3018" s="2004">
        <f>IF('4K'!O7="","##BLANK",'4K'!O7)</f>
        <v>30.171000000000003</v>
      </c>
    </row>
    <row r="3019" spans="2:7">
      <c r="B3019" s="848" t="str">
        <f>+'4K'!AY8</f>
        <v>WWS1002CAS</v>
      </c>
      <c r="D3019" s="2004"/>
      <c r="E3019" s="1658" t="s">
        <v>9033</v>
      </c>
      <c r="F3019" s="2004"/>
      <c r="G3019" s="2004">
        <f>IF('4K'!O8="","##BLANK",'4K'!O8)</f>
        <v>-2.262</v>
      </c>
    </row>
    <row r="3020" spans="2:7">
      <c r="B3020" s="848" t="str">
        <f>+'4K'!AY9</f>
        <v>WWS1003CAS</v>
      </c>
      <c r="D3020" s="2004"/>
      <c r="E3020" s="1658" t="s">
        <v>9033</v>
      </c>
      <c r="F3020" s="2004"/>
      <c r="G3020" s="2004">
        <f>IF('4K'!O9="","##BLANK",'4K'!O9)</f>
        <v>6.2639999999999993</v>
      </c>
    </row>
    <row r="3021" spans="2:7">
      <c r="B3021" s="848" t="str">
        <f>+'4K'!AY10</f>
        <v>WWS1004CAS</v>
      </c>
      <c r="D3021" s="2004"/>
      <c r="E3021" s="1658" t="s">
        <v>9033</v>
      </c>
      <c r="F3021" s="2004"/>
      <c r="G3021" s="2004">
        <f>IF('4K'!O10="","##BLANK",'4K'!O10)</f>
        <v>0</v>
      </c>
    </row>
    <row r="3022" spans="2:7">
      <c r="B3022" s="848" t="str">
        <f>+'4K'!AY12</f>
        <v>WWS1005CAS</v>
      </c>
      <c r="D3022" s="2004"/>
      <c r="E3022" s="1658" t="s">
        <v>9033</v>
      </c>
      <c r="F3022" s="2004"/>
      <c r="G3022" s="2004">
        <f>IF('4K'!O12="","##BLANK",'4K'!O12)</f>
        <v>0</v>
      </c>
    </row>
    <row r="3023" spans="2:7">
      <c r="B3023" s="848" t="str">
        <f>+'4K'!AY13</f>
        <v>WWS1006CAS</v>
      </c>
      <c r="D3023" s="2004"/>
      <c r="E3023" s="1658" t="s">
        <v>9033</v>
      </c>
      <c r="F3023" s="2004"/>
      <c r="G3023" s="2004">
        <f>IF('4K'!O13="","##BLANK",'4K'!O13)</f>
        <v>0</v>
      </c>
    </row>
    <row r="3024" spans="2:7">
      <c r="B3024" s="848" t="str">
        <f>+'4K'!AY14</f>
        <v>WWS1007CAS</v>
      </c>
      <c r="D3024" s="2004"/>
      <c r="E3024" s="1658" t="s">
        <v>9033</v>
      </c>
      <c r="F3024" s="2004"/>
      <c r="G3024" s="2004">
        <f>IF('4K'!O14="","##BLANK",'4K'!O14)</f>
        <v>148.33899999999997</v>
      </c>
    </row>
    <row r="3025" spans="2:7">
      <c r="B3025" s="848" t="str">
        <f>+'4K'!AY15</f>
        <v>WWS1008CAS</v>
      </c>
      <c r="D3025" s="2004"/>
      <c r="E3025" s="1658" t="s">
        <v>9033</v>
      </c>
      <c r="F3025" s="2004"/>
      <c r="G3025" s="2004">
        <f>IF('4K'!O15="","##BLANK",'4K'!O15)</f>
        <v>21.448</v>
      </c>
    </row>
    <row r="3026" spans="2:7">
      <c r="B3026" s="848" t="str">
        <f>+'4K'!AY16</f>
        <v>WWS1009CAS</v>
      </c>
      <c r="D3026" s="2004"/>
      <c r="E3026" s="1658" t="s">
        <v>9033</v>
      </c>
      <c r="F3026" s="2004"/>
      <c r="G3026" s="2004">
        <f>IF('4K'!O16="","##BLANK",'4K'!O16)</f>
        <v>203.95999999999998</v>
      </c>
    </row>
    <row r="3027" spans="2:7">
      <c r="B3027" s="848" t="str">
        <f>+'4K'!AY18</f>
        <v>WWS1010CAS</v>
      </c>
      <c r="D3027" s="2004"/>
      <c r="E3027" s="1658" t="s">
        <v>9033</v>
      </c>
      <c r="F3027" s="2004"/>
      <c r="G3027" s="2004">
        <f>IF('4K'!O18="","##BLANK",'4K'!O18)</f>
        <v>0</v>
      </c>
    </row>
    <row r="3028" spans="2:7">
      <c r="B3028" s="848" t="str">
        <f>+'4K'!AY19</f>
        <v>WWS1011CAS</v>
      </c>
      <c r="D3028" s="2004"/>
      <c r="E3028" s="1658" t="s">
        <v>9033</v>
      </c>
      <c r="F3028" s="2004"/>
      <c r="G3028" s="2004">
        <f>IF('4K'!O19="","##BLANK",'4K'!O19)</f>
        <v>203.95999999999998</v>
      </c>
    </row>
    <row r="3029" spans="2:7">
      <c r="B3029" s="848" t="str">
        <f>+'4K'!AY22</f>
        <v>WWS1012CAS</v>
      </c>
      <c r="D3029" s="2004"/>
      <c r="E3029" s="1658" t="s">
        <v>9033</v>
      </c>
      <c r="F3029" s="2004"/>
      <c r="G3029" s="2004">
        <f>IF('4K'!O22="","##BLANK",'4K'!O22)</f>
        <v>34.157000000000004</v>
      </c>
    </row>
    <row r="3030" spans="2:7">
      <c r="B3030" s="848" t="str">
        <f>+'4K'!AY23</f>
        <v>WWS1013CAS</v>
      </c>
      <c r="D3030" s="2004"/>
      <c r="E3030" s="1658" t="s">
        <v>9033</v>
      </c>
      <c r="F3030" s="2004"/>
      <c r="G3030" s="2004">
        <f>IF('4K'!O23="","##BLANK",'4K'!O23)</f>
        <v>160.99700000000001</v>
      </c>
    </row>
    <row r="3031" spans="2:7">
      <c r="B3031" s="848" t="str">
        <f>+'4K'!AY24</f>
        <v>WWS1014CAS</v>
      </c>
      <c r="D3031" s="2004"/>
      <c r="E3031" s="1658" t="s">
        <v>9033</v>
      </c>
      <c r="F3031" s="2004"/>
      <c r="G3031" s="2004">
        <f>IF('4K'!O24="","##BLANK",'4K'!O24)</f>
        <v>44.420999999999999</v>
      </c>
    </row>
    <row r="3032" spans="2:7">
      <c r="B3032" s="848" t="str">
        <f>+'4K'!AY25</f>
        <v>WWS1015CAS</v>
      </c>
      <c r="D3032" s="2004"/>
      <c r="E3032" s="1658" t="s">
        <v>9033</v>
      </c>
      <c r="F3032" s="2004"/>
      <c r="G3032" s="2004">
        <f>IF('4K'!O25="","##BLANK",'4K'!O25)</f>
        <v>62.186</v>
      </c>
    </row>
    <row r="3033" spans="2:7">
      <c r="B3033" s="848" t="str">
        <f>+'4K'!AY26</f>
        <v>WWS1016CAS</v>
      </c>
      <c r="D3033" s="2004"/>
      <c r="E3033" s="1658" t="s">
        <v>9033</v>
      </c>
      <c r="F3033" s="2004"/>
      <c r="G3033" s="2004">
        <f>IF('4K'!O26="","##BLANK",'4K'!O26)</f>
        <v>2.7670000000000003</v>
      </c>
    </row>
    <row r="3034" spans="2:7">
      <c r="B3034" s="848" t="str">
        <f>+'4K'!AY27</f>
        <v>WWS1017CAS</v>
      </c>
      <c r="D3034" s="2004"/>
      <c r="E3034" s="1658" t="s">
        <v>9033</v>
      </c>
      <c r="F3034" s="2004"/>
      <c r="G3034" s="2004">
        <f>IF('4K'!O27="","##BLANK",'4K'!O27)</f>
        <v>304.52800000000002</v>
      </c>
    </row>
    <row r="3035" spans="2:7">
      <c r="B3035" s="848" t="str">
        <f>+'4K'!AY28</f>
        <v>WWS1018CAS</v>
      </c>
      <c r="D3035" s="2004"/>
      <c r="E3035" s="1658" t="s">
        <v>9033</v>
      </c>
      <c r="F3035" s="2004"/>
      <c r="G3035" s="2004">
        <f>IF('4K'!O28="","##BLANK",'4K'!O28)</f>
        <v>0</v>
      </c>
    </row>
    <row r="3036" spans="2:7">
      <c r="B3036" s="848" t="str">
        <f>+'4K'!AY29</f>
        <v>WWS1019CAS</v>
      </c>
      <c r="D3036" s="2004"/>
      <c r="E3036" s="1658" t="s">
        <v>9033</v>
      </c>
      <c r="F3036" s="2004"/>
      <c r="G3036" s="2004">
        <f>IF('4K'!O29="","##BLANK",'4K'!O29)</f>
        <v>304.52800000000002</v>
      </c>
    </row>
    <row r="3037" spans="2:7">
      <c r="B3037" s="848" t="str">
        <f>+'4K'!AY30</f>
        <v>WWS1020CAS</v>
      </c>
      <c r="D3037" s="2004"/>
      <c r="E3037" s="1658" t="s">
        <v>9033</v>
      </c>
      <c r="F3037" s="2004"/>
      <c r="G3037" s="2004">
        <f>IF('4K'!O30="","##BLANK",'4K'!O30)</f>
        <v>10.59</v>
      </c>
    </row>
    <row r="3038" spans="2:7">
      <c r="B3038" s="848" t="str">
        <f>+'4K'!AY31</f>
        <v>WWS1021CAS</v>
      </c>
      <c r="D3038" s="2004"/>
      <c r="E3038" s="1658" t="s">
        <v>9033</v>
      </c>
      <c r="F3038" s="2004"/>
      <c r="G3038" s="2004">
        <f>IF('4K'!O31="","##BLANK",'4K'!O31)</f>
        <v>497.89799999999997</v>
      </c>
    </row>
    <row r="3039" spans="2:7">
      <c r="B3039" s="848" t="str">
        <f>+'4K'!AY34</f>
        <v>WWS1022CAS</v>
      </c>
      <c r="D3039" s="2004"/>
      <c r="E3039" s="1658" t="s">
        <v>9033</v>
      </c>
      <c r="F3039" s="2004"/>
      <c r="G3039" s="2004">
        <f>IF('4K'!O34="","##BLANK",'4K'!O34)</f>
        <v>0</v>
      </c>
    </row>
    <row r="3040" spans="2:7">
      <c r="B3040" s="848" t="str">
        <f>+'4K'!AY35</f>
        <v>WWS1023CAS</v>
      </c>
      <c r="D3040" s="2004"/>
      <c r="E3040" s="1658" t="s">
        <v>9033</v>
      </c>
      <c r="F3040" s="2004"/>
      <c r="G3040" s="2004">
        <f>IF('4K'!O35="","##BLANK",'4K'!O35)</f>
        <v>0</v>
      </c>
    </row>
    <row r="3041" spans="2:7">
      <c r="B3041" s="848" t="str">
        <f>+'4K'!AY36</f>
        <v>WWS1024CAS</v>
      </c>
      <c r="D3041" s="2004"/>
      <c r="E3041" s="1658" t="s">
        <v>9033</v>
      </c>
      <c r="F3041" s="2004"/>
      <c r="G3041" s="2004">
        <f>IF('4K'!O36="","##BLANK",'4K'!O36)</f>
        <v>497.89799999999997</v>
      </c>
    </row>
    <row r="3042" spans="2:7">
      <c r="B3042" s="848" t="str">
        <f>+'4K'!AY39</f>
        <v>BP3357001CAS</v>
      </c>
      <c r="D3042" s="2004"/>
      <c r="E3042" s="1658" t="s">
        <v>9033</v>
      </c>
      <c r="F3042" s="2004" t="str">
        <f>+'4K'!C$39</f>
        <v>Y1 Flooding - Capex</v>
      </c>
      <c r="G3042" s="2004">
        <f>IF('4K'!O39="","##BLANK",'4K'!O39)</f>
        <v>0.57999999999999996</v>
      </c>
    </row>
    <row r="3043" spans="2:7">
      <c r="B3043" s="848" t="str">
        <f>+'4K'!AY40</f>
        <v>BP3357002CAS</v>
      </c>
      <c r="D3043" s="2004"/>
      <c r="E3043" s="1658" t="s">
        <v>9033</v>
      </c>
      <c r="F3043" s="2004" t="str">
        <f>+'4K'!C$40</f>
        <v>Y5 Flooding Nov - Capex</v>
      </c>
      <c r="G3043" s="2004">
        <f>IF('4K'!O40="","##BLANK",'4K'!O40)</f>
        <v>1.0369999999999999</v>
      </c>
    </row>
    <row r="3044" spans="2:7">
      <c r="B3044" s="848" t="str">
        <f>+'4K'!AY41</f>
        <v>BP3357003CAS</v>
      </c>
      <c r="D3044" s="2004"/>
      <c r="E3044" s="1658" t="s">
        <v>9033</v>
      </c>
      <c r="F3044" s="2004" t="str">
        <f>+'4K'!C$41</f>
        <v>2020-25 Transition Expenditure -Capex</v>
      </c>
      <c r="G3044" s="2004">
        <f>IF('4K'!O41="","##BLANK",'4K'!O41)</f>
        <v>5.0439999999999996</v>
      </c>
    </row>
    <row r="3045" spans="2:7">
      <c r="B3045" s="848" t="str">
        <f>+'4K'!AY42</f>
        <v>BP3357004CAS</v>
      </c>
      <c r="D3045" s="2004"/>
      <c r="E3045" s="1658" t="s">
        <v>9033</v>
      </c>
      <c r="F3045" s="2004" t="str">
        <f>+'4K'!C$42</f>
        <v>Flooding December 2015</v>
      </c>
      <c r="G3045" s="2004">
        <f>IF('4K'!O42="","##BLANK",'4K'!O42)</f>
        <v>3.7290000000000001</v>
      </c>
    </row>
    <row r="3046" spans="2:7">
      <c r="B3046" s="848" t="str">
        <f>+'4K'!AY43</f>
        <v>BP3357005CAS</v>
      </c>
      <c r="D3046" s="2004"/>
      <c r="E3046" s="1658" t="s">
        <v>9033</v>
      </c>
      <c r="F3046" s="2004" t="str">
        <f>+'4K'!C$43</f>
        <v>Flooding November 2019</v>
      </c>
      <c r="G3046" s="2004">
        <f>IF('4K'!O43="","##BLANK",'4K'!O43)</f>
        <v>2.9589999999999996</v>
      </c>
    </row>
    <row r="3047" spans="2:7">
      <c r="B3047" s="848" t="str">
        <f>+'4K'!AY44</f>
        <v>BP3357006CAS</v>
      </c>
      <c r="D3047" s="2004"/>
      <c r="E3047" s="1658" t="s">
        <v>9033</v>
      </c>
      <c r="F3047" s="2004" t="str">
        <f>+'4K'!C$44</f>
        <v>Flooding February 2020</v>
      </c>
      <c r="G3047" s="2004">
        <f>IF('4K'!O44="","##BLANK",'4K'!O44)</f>
        <v>1.1169999999999998</v>
      </c>
    </row>
    <row r="3048" spans="2:7">
      <c r="B3048" s="848" t="str">
        <f>+'4K'!AY45</f>
        <v>BP3357007CAS</v>
      </c>
      <c r="D3048" s="2004"/>
      <c r="E3048" s="1658" t="s">
        <v>9033</v>
      </c>
      <c r="F3048" s="2004" t="str">
        <f>+'4K'!C$45</f>
        <v>Regulation costs - Opex</v>
      </c>
      <c r="G3048" s="2004">
        <f>IF('4K'!O45="","##BLANK",'4K'!O45)</f>
        <v>0.48799999999999999</v>
      </c>
    </row>
    <row r="3049" spans="2:7">
      <c r="B3049" s="848" t="str">
        <f>+'4K'!AY46</f>
        <v>BP3357008CAS</v>
      </c>
      <c r="D3049" s="2004"/>
      <c r="E3049" s="1658" t="s">
        <v>9033</v>
      </c>
      <c r="F3049" s="2004" t="str">
        <f>+'4K'!C$46</f>
        <v>Reorganisational costs - Opex</v>
      </c>
      <c r="G3049" s="2004">
        <f>IF('4K'!O46="","##BLANK",'4K'!O46)</f>
        <v>1.1199999999999999</v>
      </c>
    </row>
    <row r="3050" spans="2:7">
      <c r="B3050" s="848" t="str">
        <f>+'4K'!AY47</f>
        <v>BP3357009CAS</v>
      </c>
      <c r="D3050" s="2004"/>
      <c r="E3050" s="1658" t="s">
        <v>9033</v>
      </c>
      <c r="F3050" s="2004" t="str">
        <f>+'4K'!C$47</f>
        <v>Transition expenditure - Opex</v>
      </c>
      <c r="G3050" s="2004">
        <f>IF('4K'!O47="","##BLANK",'4K'!O47)</f>
        <v>8.4000000000000005E-2</v>
      </c>
    </row>
    <row r="3051" spans="2:7">
      <c r="B3051" s="848" t="str">
        <f>+'4K'!AY48</f>
        <v>BP3357010CAS</v>
      </c>
      <c r="D3051" s="2004"/>
      <c r="E3051" s="1658" t="s">
        <v>9033</v>
      </c>
      <c r="F3051" s="2004" t="str">
        <f>+'4K'!C$48</f>
        <v>Item 10</v>
      </c>
      <c r="G3051" s="2004">
        <f>IF('4K'!O48="","##BLANK",'4K'!O48)</f>
        <v>0</v>
      </c>
    </row>
    <row r="3052" spans="2:7">
      <c r="B3052" s="848" t="str">
        <f>+'4K'!AY49</f>
        <v>BP3357020CAS</v>
      </c>
      <c r="D3052" s="2004"/>
      <c r="E3052" s="1658" t="s">
        <v>9033</v>
      </c>
      <c r="F3052" s="2004"/>
      <c r="G3052" s="2004">
        <f>IF('4K'!O49="","##BLANK",'4K'!O49)</f>
        <v>16.158000000000001</v>
      </c>
    </row>
    <row r="3053" spans="2:7">
      <c r="B3053" s="848" t="str">
        <f>+'4K'!AY52</f>
        <v>S3040TCACAS</v>
      </c>
      <c r="D3053" s="2004"/>
      <c r="E3053" s="1658" t="s">
        <v>9033</v>
      </c>
      <c r="F3053" s="2004"/>
      <c r="G3053" s="2004">
        <f>IF('4K'!O52="","##BLANK",'4K'!O52)</f>
        <v>514.05599999999993</v>
      </c>
    </row>
    <row r="3054" spans="2:7">
      <c r="B3054" s="848" t="str">
        <f>+'4L'!BB8</f>
        <v>W3001AL</v>
      </c>
      <c r="D3054" s="2004"/>
      <c r="E3054" s="1658" t="s">
        <v>9033</v>
      </c>
      <c r="F3054" s="2004"/>
      <c r="G3054" s="2004">
        <f>IF('4L'!G8="","##BLANK",'4L'!G8)</f>
        <v>0</v>
      </c>
    </row>
    <row r="3055" spans="2:7">
      <c r="B3055" s="848" t="str">
        <f>+'4L'!BB9</f>
        <v>WS2002AL</v>
      </c>
      <c r="D3055" s="2004"/>
      <c r="E3055" s="1658" t="s">
        <v>9033</v>
      </c>
      <c r="F3055" s="2004"/>
      <c r="G3055" s="2004">
        <f>IF('4L'!G9="","##BLANK",'4L'!G9)</f>
        <v>0</v>
      </c>
    </row>
    <row r="3056" spans="2:7">
      <c r="B3056" s="848" t="str">
        <f>+'4L'!BB10</f>
        <v>WS2003AL</v>
      </c>
      <c r="D3056" s="2004"/>
      <c r="E3056" s="1658" t="s">
        <v>9033</v>
      </c>
      <c r="F3056" s="2004"/>
      <c r="G3056" s="2004">
        <f>IF('4L'!G10="","##BLANK",'4L'!G10)</f>
        <v>0</v>
      </c>
    </row>
    <row r="3057" spans="2:7">
      <c r="B3057" s="848" t="str">
        <f>+'4L'!BB11</f>
        <v>W3002AL</v>
      </c>
      <c r="D3057" s="2004"/>
      <c r="E3057" s="1658" t="s">
        <v>9033</v>
      </c>
      <c r="F3057" s="2004"/>
      <c r="G3057" s="2004">
        <f>IF('4L'!G11="","##BLANK",'4L'!G11)</f>
        <v>0</v>
      </c>
    </row>
    <row r="3058" spans="2:7">
      <c r="B3058" s="848" t="str">
        <f>+'4L'!BB12</f>
        <v>W3003AL</v>
      </c>
      <c r="D3058" s="2004"/>
      <c r="E3058" s="1658" t="s">
        <v>9033</v>
      </c>
      <c r="F3058" s="2004"/>
      <c r="G3058" s="2004">
        <f>IF('4L'!G12="","##BLANK",'4L'!G12)</f>
        <v>0</v>
      </c>
    </row>
    <row r="3059" spans="2:7">
      <c r="B3059" s="848" t="str">
        <f>+'4L'!BB13</f>
        <v>W3006AL</v>
      </c>
      <c r="D3059" s="2004"/>
      <c r="E3059" s="1658" t="s">
        <v>9033</v>
      </c>
      <c r="F3059" s="2004"/>
      <c r="G3059" s="2004">
        <f>IF('4L'!G13="","##BLANK",'4L'!G13)</f>
        <v>0</v>
      </c>
    </row>
    <row r="3060" spans="2:7">
      <c r="B3060" s="848" t="str">
        <f>+'4L'!BB14</f>
        <v>W3007SAL</v>
      </c>
      <c r="D3060" s="2004"/>
      <c r="E3060" s="1658" t="s">
        <v>9033</v>
      </c>
      <c r="F3060" s="2004"/>
      <c r="G3060" s="2004">
        <f>IF('4L'!G14="","##BLANK",'4L'!G14)</f>
        <v>0</v>
      </c>
    </row>
    <row r="3061" spans="2:7">
      <c r="B3061" s="848" t="str">
        <f>+'4L'!BB15</f>
        <v>W3008SAL</v>
      </c>
      <c r="D3061" s="2004"/>
      <c r="E3061" s="1658" t="s">
        <v>9033</v>
      </c>
      <c r="F3061" s="2004"/>
      <c r="G3061" s="2004">
        <f>IF('4L'!G15="","##BLANK",'4L'!G15)</f>
        <v>0</v>
      </c>
    </row>
    <row r="3062" spans="2:7">
      <c r="B3062" s="848" t="str">
        <f>+'4L'!BB16</f>
        <v>W3007DAL</v>
      </c>
      <c r="D3062" s="2004"/>
      <c r="E3062" s="1658" t="s">
        <v>9033</v>
      </c>
      <c r="F3062" s="2004"/>
      <c r="G3062" s="2004">
        <f>IF('4L'!G16="","##BLANK",'4L'!G16)</f>
        <v>0</v>
      </c>
    </row>
    <row r="3063" spans="2:7">
      <c r="B3063" s="848" t="str">
        <f>+'4L'!BB17</f>
        <v>W3008DAL</v>
      </c>
      <c r="D3063" s="2004"/>
      <c r="E3063" s="1658" t="s">
        <v>9033</v>
      </c>
      <c r="F3063" s="2004"/>
      <c r="G3063" s="2004">
        <f>IF('4L'!G17="","##BLANK",'4L'!G17)</f>
        <v>0</v>
      </c>
    </row>
    <row r="3064" spans="2:7">
      <c r="B3064" s="848" t="str">
        <f>+'4L'!BB18</f>
        <v>W3009AL</v>
      </c>
      <c r="D3064" s="2004"/>
      <c r="E3064" s="1658" t="s">
        <v>9033</v>
      </c>
      <c r="F3064" s="2004"/>
      <c r="G3064" s="2004">
        <f>IF('4L'!G18="","##BLANK",'4L'!G18)</f>
        <v>0</v>
      </c>
    </row>
    <row r="3065" spans="2:7">
      <c r="B3065" s="848" t="str">
        <f>+'4L'!BB19</f>
        <v>WS2004AL</v>
      </c>
      <c r="D3065" s="2004"/>
      <c r="E3065" s="1658" t="s">
        <v>9033</v>
      </c>
      <c r="F3065" s="2004"/>
      <c r="G3065" s="2004">
        <f>IF('4L'!G19="","##BLANK",'4L'!G19)</f>
        <v>0</v>
      </c>
    </row>
    <row r="3066" spans="2:7">
      <c r="B3066" s="848" t="str">
        <f>+'4L'!BB20</f>
        <v>W3010AL</v>
      </c>
      <c r="D3066" s="2004"/>
      <c r="E3066" s="1658" t="s">
        <v>9033</v>
      </c>
      <c r="F3066" s="2004"/>
      <c r="G3066" s="2004">
        <f>IF('4L'!G20="","##BLANK",'4L'!G20)</f>
        <v>0</v>
      </c>
    </row>
    <row r="3067" spans="2:7">
      <c r="B3067" s="848" t="str">
        <f>+'4L'!BB21</f>
        <v>W3011AL</v>
      </c>
      <c r="D3067" s="2004"/>
      <c r="E3067" s="1658" t="s">
        <v>9033</v>
      </c>
      <c r="F3067" s="2004"/>
      <c r="G3067" s="2004">
        <f>IF('4L'!G21="","##BLANK",'4L'!G21)</f>
        <v>0</v>
      </c>
    </row>
    <row r="3068" spans="2:7">
      <c r="B3068" s="848" t="str">
        <f>+'4L'!BB22</f>
        <v>W3012AL</v>
      </c>
      <c r="D3068" s="2004"/>
      <c r="E3068" s="1658" t="s">
        <v>9033</v>
      </c>
      <c r="F3068" s="2004"/>
      <c r="G3068" s="2004">
        <f>IF('4L'!G22="","##BLANK",'4L'!G22)</f>
        <v>0</v>
      </c>
    </row>
    <row r="3069" spans="2:7">
      <c r="B3069" s="848" t="str">
        <f>+'4L'!BB23</f>
        <v>WS2006AL</v>
      </c>
      <c r="D3069" s="2004"/>
      <c r="E3069" s="1658" t="s">
        <v>9033</v>
      </c>
      <c r="F3069" s="2004"/>
      <c r="G3069" s="2004">
        <f>IF('4L'!G23="","##BLANK",'4L'!G23)</f>
        <v>0</v>
      </c>
    </row>
    <row r="3070" spans="2:7">
      <c r="B3070" s="848" t="str">
        <f>+'4L'!BB24</f>
        <v>WS2007AL</v>
      </c>
      <c r="D3070" s="2004"/>
      <c r="E3070" s="1658" t="s">
        <v>9033</v>
      </c>
      <c r="F3070" s="2004"/>
      <c r="G3070" s="2004">
        <f>IF('4L'!G24="","##BLANK",'4L'!G24)</f>
        <v>0</v>
      </c>
    </row>
    <row r="3071" spans="2:7">
      <c r="B3071" s="848" t="str">
        <f>+'4L'!BB25</f>
        <v>WS2008AL</v>
      </c>
      <c r="D3071" s="2004"/>
      <c r="E3071" s="1658" t="s">
        <v>9033</v>
      </c>
      <c r="F3071" s="2004"/>
      <c r="G3071" s="2004">
        <f>IF('4L'!G25="","##BLANK",'4L'!G25)</f>
        <v>0</v>
      </c>
    </row>
    <row r="3072" spans="2:7">
      <c r="B3072" s="848" t="str">
        <f>+'4L'!BB26</f>
        <v>W3027AL</v>
      </c>
      <c r="D3072" s="2004"/>
      <c r="E3072" s="1658" t="s">
        <v>9033</v>
      </c>
      <c r="F3072" s="2004"/>
      <c r="G3072" s="2004">
        <f>IF('4L'!G26="","##BLANK",'4L'!G26)</f>
        <v>0</v>
      </c>
    </row>
    <row r="3073" spans="2:7">
      <c r="B3073" s="848" t="str">
        <f>+'4L'!BB27</f>
        <v>W3028OPTAL</v>
      </c>
      <c r="D3073" s="2004"/>
      <c r="E3073" s="1658" t="s">
        <v>9033</v>
      </c>
      <c r="F3073" s="2004"/>
      <c r="G3073" s="2004">
        <f>IF('4L'!G27="","##BLANK",'4L'!G27)</f>
        <v>0</v>
      </c>
    </row>
    <row r="3074" spans="2:7">
      <c r="B3074" s="848" t="str">
        <f>+'4L'!BB28</f>
        <v>W3028COMAL</v>
      </c>
      <c r="D3074" s="2004"/>
      <c r="E3074" s="1658" t="s">
        <v>9033</v>
      </c>
      <c r="F3074" s="2004"/>
      <c r="G3074" s="2004">
        <f>IF('4L'!G28="","##BLANK",'4L'!G28)</f>
        <v>0</v>
      </c>
    </row>
    <row r="3075" spans="2:7">
      <c r="B3075" s="848" t="str">
        <f>+'4L'!BB29</f>
        <v>W3028NHOAL</v>
      </c>
      <c r="D3075" s="2004"/>
      <c r="E3075" s="1658" t="s">
        <v>9033</v>
      </c>
      <c r="F3075" s="2004"/>
      <c r="G3075" s="2004">
        <f>IF('4L'!G29="","##BLANK",'4L'!G29)</f>
        <v>0</v>
      </c>
    </row>
    <row r="3076" spans="2:7">
      <c r="B3076" s="848" t="str">
        <f>+'4L'!BB30</f>
        <v>W3A00001AL</v>
      </c>
      <c r="D3076" s="2004"/>
      <c r="E3076" s="1658" t="s">
        <v>9033</v>
      </c>
      <c r="F3076" s="2004" t="str">
        <f>+'4L'!C$30</f>
        <v>Drought Management Plan</v>
      </c>
      <c r="G3076" s="2004">
        <f>IF('4L'!G30="","##BLANK",'4L'!G30)</f>
        <v>0</v>
      </c>
    </row>
    <row r="3077" spans="2:7">
      <c r="B3077" s="848" t="str">
        <f>+'4L'!BB31</f>
        <v>W3A00002AL</v>
      </c>
      <c r="D3077" s="2004"/>
      <c r="E3077" s="1658" t="s">
        <v>9033</v>
      </c>
      <c r="F3077" s="2004" t="str">
        <f>+'4L'!C$31</f>
        <v>Exclusions</v>
      </c>
      <c r="G3077" s="2004">
        <f>IF('4L'!G31="","##BLANK",'4L'!G31)</f>
        <v>0</v>
      </c>
    </row>
    <row r="3078" spans="2:7">
      <c r="B3078" s="848" t="str">
        <f>+'4L'!BB32</f>
        <v>W3A00003AL</v>
      </c>
      <c r="D3078" s="2004"/>
      <c r="E3078" s="1658" t="s">
        <v>9033</v>
      </c>
      <c r="F3078" s="2004" t="str">
        <f>+'4L'!C$32</f>
        <v>Leakage Reduction - UQ</v>
      </c>
      <c r="G3078" s="2004">
        <f>IF('4L'!G32="","##BLANK",'4L'!G32)</f>
        <v>0</v>
      </c>
    </row>
    <row r="3079" spans="2:7">
      <c r="B3079" s="848" t="str">
        <f>+'4L'!BB33</f>
        <v>W3A00004AL</v>
      </c>
      <c r="D3079" s="2004"/>
      <c r="E3079" s="1658" t="s">
        <v>9033</v>
      </c>
      <c r="F3079" s="2004" t="str">
        <f>+'4L'!C$33</f>
        <v>Reduction in Interruptions to Supply - UQ</v>
      </c>
      <c r="G3079" s="2004">
        <f>IF('4L'!G33="","##BLANK",'4L'!G33)</f>
        <v>0</v>
      </c>
    </row>
    <row r="3080" spans="2:7">
      <c r="B3080" s="848" t="str">
        <f>+'4L'!BB34</f>
        <v>W3A00005AL</v>
      </c>
      <c r="D3080" s="2004"/>
      <c r="E3080" s="1658" t="s">
        <v>9033</v>
      </c>
      <c r="F3080" s="2004" t="str">
        <f>+'4L'!C$34</f>
        <v>Improving Water Quality - UQ</v>
      </c>
      <c r="G3080" s="2004">
        <f>IF('4L'!G34="","##BLANK",'4L'!G34)</f>
        <v>0</v>
      </c>
    </row>
    <row r="3081" spans="2:7">
      <c r="B3081" s="848" t="str">
        <f>+'4L'!BB35</f>
        <v>W3A00006AL</v>
      </c>
      <c r="D3081" s="2004"/>
      <c r="E3081" s="1658" t="s">
        <v>9033</v>
      </c>
      <c r="F3081" s="2004" t="str">
        <f>+'4L'!C$35</f>
        <v>Infrastructure network reinforcement</v>
      </c>
      <c r="G3081" s="2004">
        <f>IF('4L'!G35="","##BLANK",'4L'!G35)</f>
        <v>0</v>
      </c>
    </row>
    <row r="3082" spans="2:7">
      <c r="B3082" s="848" t="str">
        <f>+'4L'!BB36</f>
        <v>W3A00007AL</v>
      </c>
      <c r="D3082" s="2004"/>
      <c r="E3082" s="1658" t="s">
        <v>9033</v>
      </c>
      <c r="F3082" s="2004" t="str">
        <f>+'4L'!C$36</f>
        <v>2020-25 Transition Expenditure - Capex</v>
      </c>
      <c r="G3082" s="2004">
        <f>IF('4L'!G36="","##BLANK",'4L'!G36)</f>
        <v>0</v>
      </c>
    </row>
    <row r="3083" spans="2:7">
      <c r="B3083" s="848" t="str">
        <f>+'4L'!BB37</f>
        <v>W3A00008AL</v>
      </c>
      <c r="D3083" s="2004"/>
      <c r="E3083" s="1658" t="s">
        <v>9033</v>
      </c>
      <c r="F3083" s="2004" t="str">
        <f>+'4L'!C$37</f>
        <v>Capital expenditure purpose - WATER additional line 8 [Other categories]</v>
      </c>
      <c r="G3083" s="2004">
        <f>IF('4L'!G37="","##BLANK",'4L'!G37)</f>
        <v>0</v>
      </c>
    </row>
    <row r="3084" spans="2:7">
      <c r="B3084" s="848" t="str">
        <f>+'4L'!BB38</f>
        <v>W3A00009AL</v>
      </c>
      <c r="D3084" s="2004"/>
      <c r="E3084" s="1658" t="s">
        <v>9033</v>
      </c>
      <c r="F3084" s="2004" t="str">
        <f>+'4L'!C$38</f>
        <v>Capital expenditure purpose - WATER additional line 9 [Other categories]</v>
      </c>
      <c r="G3084" s="2004">
        <f>IF('4L'!G38="","##BLANK",'4L'!G38)</f>
        <v>0</v>
      </c>
    </row>
    <row r="3085" spans="2:7">
      <c r="B3085" s="848" t="str">
        <f>+'4L'!BB39</f>
        <v>W3A00010AL</v>
      </c>
      <c r="D3085" s="2004"/>
      <c r="E3085" s="1658" t="s">
        <v>9033</v>
      </c>
      <c r="F3085" s="2004" t="str">
        <f>+'4L'!C$39</f>
        <v>Capital expenditure purpose - WATER additional line 10 [Other categories]</v>
      </c>
      <c r="G3085" s="2004">
        <f>IF('4L'!G39="","##BLANK",'4L'!G39)</f>
        <v>0</v>
      </c>
    </row>
    <row r="3086" spans="2:7">
      <c r="B3086" s="848" t="str">
        <f>+'4L'!BB40</f>
        <v>W3A00011AL</v>
      </c>
      <c r="D3086" s="2004"/>
      <c r="E3086" s="1658" t="s">
        <v>9033</v>
      </c>
      <c r="F3086" s="2004" t="str">
        <f>+'4L'!C$40</f>
        <v>Capital expenditure purpose - WATER additional line 11 [Other categories]</v>
      </c>
      <c r="G3086" s="2004">
        <f>IF('4L'!G40="","##BLANK",'4L'!G40)</f>
        <v>0</v>
      </c>
    </row>
    <row r="3087" spans="2:7">
      <c r="B3087" s="848" t="str">
        <f>+'4L'!BB41</f>
        <v>W3A00012AL</v>
      </c>
      <c r="D3087" s="2004"/>
      <c r="E3087" s="1658" t="s">
        <v>9033</v>
      </c>
      <c r="F3087" s="2004" t="str">
        <f>+'4L'!C$41</f>
        <v>Capital expenditure purpose - WATER additional line 12 [Other categories]</v>
      </c>
      <c r="G3087" s="2004">
        <f>IF('4L'!G41="","##BLANK",'4L'!G41)</f>
        <v>0</v>
      </c>
    </row>
    <row r="3088" spans="2:7">
      <c r="B3088" s="848" t="str">
        <f>+'4L'!BB42</f>
        <v>W3A00013AL</v>
      </c>
      <c r="D3088" s="2004"/>
      <c r="E3088" s="1658" t="s">
        <v>9033</v>
      </c>
      <c r="F3088" s="2004" t="str">
        <f>+'4L'!C$42</f>
        <v>Capital expenditure purpose - WATER additional line 13 [Other categories]</v>
      </c>
      <c r="G3088" s="2004">
        <f>IF('4L'!G42="","##BLANK",'4L'!G42)</f>
        <v>0</v>
      </c>
    </row>
    <row r="3089" spans="2:7">
      <c r="B3089" s="848" t="str">
        <f>+'4L'!BB43</f>
        <v>W3A00014AL</v>
      </c>
      <c r="D3089" s="2004"/>
      <c r="E3089" s="1658" t="s">
        <v>9033</v>
      </c>
      <c r="F3089" s="2004" t="str">
        <f>+'4L'!C$43</f>
        <v>Capital expenditure purpose - WATER additional line 14 [Other categories]</v>
      </c>
      <c r="G3089" s="2004">
        <f>IF('4L'!G43="","##BLANK",'4L'!G43)</f>
        <v>0</v>
      </c>
    </row>
    <row r="3090" spans="2:7">
      <c r="B3090" s="848" t="str">
        <f>+'4L'!BB44</f>
        <v>W3A00015AL</v>
      </c>
      <c r="D3090" s="2004"/>
      <c r="E3090" s="1658" t="s">
        <v>9033</v>
      </c>
      <c r="F3090" s="2004" t="str">
        <f>+'4L'!C$44</f>
        <v>Capital expenditure purpose - WATER additional line 15 [Other categories]</v>
      </c>
      <c r="G3090" s="2004">
        <f>IF('4L'!G44="","##BLANK",'4L'!G44)</f>
        <v>0</v>
      </c>
    </row>
    <row r="3091" spans="2:7">
      <c r="B3091" s="848" t="str">
        <f>+'4L'!BB45</f>
        <v>BA2070AL</v>
      </c>
      <c r="D3091" s="2004"/>
      <c r="E3091" s="1658" t="s">
        <v>9033</v>
      </c>
      <c r="F3091" s="2004"/>
      <c r="G3091" s="2004">
        <f>IF('4L'!G45="","##BLANK",'4L'!G45)</f>
        <v>0</v>
      </c>
    </row>
    <row r="3092" spans="2:7">
      <c r="B3092" s="848" t="str">
        <f>+'4L'!BC8</f>
        <v>W3001RWA</v>
      </c>
      <c r="D3092" s="2004"/>
      <c r="E3092" s="1658" t="s">
        <v>9033</v>
      </c>
      <c r="F3092" s="2004"/>
      <c r="G3092" s="2004">
        <f>IF('4L'!H8="","##BLANK",'4L'!H8)</f>
        <v>2.9260000000000002</v>
      </c>
    </row>
    <row r="3093" spans="2:7">
      <c r="B3093" s="848" t="str">
        <f>+'4L'!BC9</f>
        <v>WS2002RWA</v>
      </c>
      <c r="D3093" s="2004"/>
      <c r="E3093" s="1658" t="s">
        <v>9033</v>
      </c>
      <c r="F3093" s="2004"/>
      <c r="G3093" s="2004">
        <f>IF('4L'!H9="","##BLANK",'4L'!H9)</f>
        <v>0.69599999999999995</v>
      </c>
    </row>
    <row r="3094" spans="2:7">
      <c r="B3094" s="848" t="str">
        <f>+'4L'!BC10</f>
        <v>WS2003RWA</v>
      </c>
      <c r="D3094" s="2004"/>
      <c r="E3094" s="1658" t="s">
        <v>9033</v>
      </c>
      <c r="F3094" s="2004"/>
      <c r="G3094" s="2004">
        <f>IF('4L'!H10="","##BLANK",'4L'!H10)</f>
        <v>7.3999999999999996E-2</v>
      </c>
    </row>
    <row r="3095" spans="2:7">
      <c r="B3095" s="848" t="str">
        <f>+'4L'!BC11</f>
        <v>W3002RWA</v>
      </c>
      <c r="D3095" s="2004"/>
      <c r="E3095" s="1658" t="s">
        <v>9033</v>
      </c>
      <c r="F3095" s="2004"/>
      <c r="G3095" s="2004">
        <f>IF('4L'!H11="","##BLANK",'4L'!H11)</f>
        <v>0</v>
      </c>
    </row>
    <row r="3096" spans="2:7">
      <c r="B3096" s="848" t="str">
        <f>+'4L'!BC12</f>
        <v>W3003RWA</v>
      </c>
      <c r="D3096" s="2004"/>
      <c r="E3096" s="1658" t="s">
        <v>9033</v>
      </c>
      <c r="F3096" s="2004"/>
      <c r="G3096" s="2004">
        <f>IF('4L'!H12="","##BLANK",'4L'!H12)</f>
        <v>0</v>
      </c>
    </row>
    <row r="3097" spans="2:7">
      <c r="B3097" s="848" t="str">
        <f>+'4L'!BC13</f>
        <v>W3006RWA</v>
      </c>
      <c r="D3097" s="2004"/>
      <c r="E3097" s="1658" t="s">
        <v>9033</v>
      </c>
      <c r="F3097" s="2004"/>
      <c r="G3097" s="2004">
        <f>IF('4L'!H13="","##BLANK",'4L'!H13)</f>
        <v>0</v>
      </c>
    </row>
    <row r="3098" spans="2:7">
      <c r="B3098" s="848" t="str">
        <f>+'4L'!BC14</f>
        <v>W3007SRWA</v>
      </c>
      <c r="D3098" s="2004"/>
      <c r="E3098" s="1658" t="s">
        <v>9033</v>
      </c>
      <c r="F3098" s="2004"/>
      <c r="G3098" s="2004">
        <f>IF('4L'!H14="","##BLANK",'4L'!H14)</f>
        <v>0</v>
      </c>
    </row>
    <row r="3099" spans="2:7">
      <c r="B3099" s="848" t="str">
        <f>+'4L'!BC15</f>
        <v>W3008SRWA</v>
      </c>
      <c r="D3099" s="2004"/>
      <c r="E3099" s="1658" t="s">
        <v>9033</v>
      </c>
      <c r="F3099" s="2004"/>
      <c r="G3099" s="2004">
        <f>IF('4L'!H15="","##BLANK",'4L'!H15)</f>
        <v>0</v>
      </c>
    </row>
    <row r="3100" spans="2:7">
      <c r="B3100" s="848" t="str">
        <f>+'4L'!BC16</f>
        <v>W3007DRWA</v>
      </c>
      <c r="D3100" s="2004"/>
      <c r="E3100" s="1658" t="s">
        <v>9033</v>
      </c>
      <c r="F3100" s="2004"/>
      <c r="G3100" s="2004">
        <f>IF('4L'!H16="","##BLANK",'4L'!H16)</f>
        <v>0</v>
      </c>
    </row>
    <row r="3101" spans="2:7">
      <c r="B3101" s="848" t="str">
        <f>+'4L'!BC17</f>
        <v>W3008DRWA</v>
      </c>
      <c r="D3101" s="2004"/>
      <c r="E3101" s="1658" t="s">
        <v>9033</v>
      </c>
      <c r="F3101" s="2004"/>
      <c r="G3101" s="2004">
        <f>IF('4L'!H17="","##BLANK",'4L'!H17)</f>
        <v>0</v>
      </c>
    </row>
    <row r="3102" spans="2:7">
      <c r="B3102" s="848" t="str">
        <f>+'4L'!BC18</f>
        <v>W3009RWA</v>
      </c>
      <c r="D3102" s="2004"/>
      <c r="E3102" s="1658" t="s">
        <v>9033</v>
      </c>
      <c r="F3102" s="2004"/>
      <c r="G3102" s="2004">
        <f>IF('4L'!H18="","##BLANK",'4L'!H18)</f>
        <v>0</v>
      </c>
    </row>
    <row r="3103" spans="2:7">
      <c r="B3103" s="848" t="str">
        <f>+'4L'!BC19</f>
        <v>WS2004RWA</v>
      </c>
      <c r="D3103" s="2004"/>
      <c r="E3103" s="1658" t="s">
        <v>9033</v>
      </c>
      <c r="F3103" s="2004"/>
      <c r="G3103" s="2004">
        <f>IF('4L'!H19="","##BLANK",'4L'!H19)</f>
        <v>0</v>
      </c>
    </row>
    <row r="3104" spans="2:7">
      <c r="B3104" s="848" t="str">
        <f>+'4L'!BC20</f>
        <v>W3010RWA</v>
      </c>
      <c r="D3104" s="2004"/>
      <c r="E3104" s="1658" t="s">
        <v>9033</v>
      </c>
      <c r="F3104" s="2004"/>
      <c r="G3104" s="2004">
        <f>IF('4L'!H20="","##BLANK",'4L'!H20)</f>
        <v>0.01</v>
      </c>
    </row>
    <row r="3105" spans="2:7">
      <c r="B3105" s="848" t="str">
        <f>+'4L'!BC21</f>
        <v>W3011RWA</v>
      </c>
      <c r="D3105" s="2004"/>
      <c r="E3105" s="1658" t="s">
        <v>9033</v>
      </c>
      <c r="F3105" s="2004"/>
      <c r="G3105" s="2004">
        <f>IF('4L'!H21="","##BLANK",'4L'!H21)</f>
        <v>0</v>
      </c>
    </row>
    <row r="3106" spans="2:7">
      <c r="B3106" s="848" t="str">
        <f>+'4L'!BC22</f>
        <v>W3012RWA</v>
      </c>
      <c r="D3106" s="2004"/>
      <c r="E3106" s="1658" t="s">
        <v>9033</v>
      </c>
      <c r="F3106" s="2004"/>
      <c r="G3106" s="2004">
        <f>IF('4L'!H22="","##BLANK",'4L'!H22)</f>
        <v>4.9000000000000002E-2</v>
      </c>
    </row>
    <row r="3107" spans="2:7">
      <c r="B3107" s="848" t="str">
        <f>+'4L'!BC23</f>
        <v>WS2006RWA</v>
      </c>
      <c r="D3107" s="2004"/>
      <c r="E3107" s="1658" t="s">
        <v>9033</v>
      </c>
      <c r="F3107" s="2004"/>
      <c r="G3107" s="2004">
        <f>IF('4L'!H23="","##BLANK",'4L'!H23)</f>
        <v>0</v>
      </c>
    </row>
    <row r="3108" spans="2:7">
      <c r="B3108" s="848" t="str">
        <f>+'4L'!BC24</f>
        <v>WS2007RWA</v>
      </c>
      <c r="D3108" s="2004"/>
      <c r="E3108" s="1658" t="s">
        <v>9033</v>
      </c>
      <c r="F3108" s="2004"/>
      <c r="G3108" s="2004">
        <f>IF('4L'!H24="","##BLANK",'4L'!H24)</f>
        <v>0</v>
      </c>
    </row>
    <row r="3109" spans="2:7">
      <c r="B3109" s="848" t="str">
        <f>+'4L'!BC25</f>
        <v>WS2008RWA</v>
      </c>
      <c r="D3109" s="2004"/>
      <c r="E3109" s="1658" t="s">
        <v>9033</v>
      </c>
      <c r="F3109" s="2004"/>
      <c r="G3109" s="2004">
        <f>IF('4L'!H25="","##BLANK",'4L'!H25)</f>
        <v>0</v>
      </c>
    </row>
    <row r="3110" spans="2:7">
      <c r="B3110" s="848" t="str">
        <f>+'4L'!BC26</f>
        <v>W3027RWA</v>
      </c>
      <c r="D3110" s="2004"/>
      <c r="E3110" s="1658" t="s">
        <v>9033</v>
      </c>
      <c r="F3110" s="2004"/>
      <c r="G3110" s="2004">
        <f>IF('4L'!H26="","##BLANK",'4L'!H26)</f>
        <v>0</v>
      </c>
    </row>
    <row r="3111" spans="2:7">
      <c r="B3111" s="848" t="str">
        <f>+'4L'!BC27</f>
        <v>W3028OPTRWA</v>
      </c>
      <c r="D3111" s="2004"/>
      <c r="E3111" s="1658" t="s">
        <v>9033</v>
      </c>
      <c r="F3111" s="2004"/>
      <c r="G3111" s="2004">
        <f>IF('4L'!H27="","##BLANK",'4L'!H27)</f>
        <v>0</v>
      </c>
    </row>
    <row r="3112" spans="2:7">
      <c r="B3112" s="848" t="str">
        <f>+'4L'!BC28</f>
        <v>W3028COMRWA</v>
      </c>
      <c r="D3112" s="2004"/>
      <c r="E3112" s="1658" t="s">
        <v>9033</v>
      </c>
      <c r="F3112" s="2004"/>
      <c r="G3112" s="2004">
        <f>IF('4L'!H28="","##BLANK",'4L'!H28)</f>
        <v>0</v>
      </c>
    </row>
    <row r="3113" spans="2:7">
      <c r="B3113" s="848" t="str">
        <f>+'4L'!BC29</f>
        <v>W3028NHORWA</v>
      </c>
      <c r="D3113" s="2004"/>
      <c r="E3113" s="1658" t="s">
        <v>9033</v>
      </c>
      <c r="F3113" s="2004"/>
      <c r="G3113" s="2004">
        <f>IF('4L'!H29="","##BLANK",'4L'!H29)</f>
        <v>0</v>
      </c>
    </row>
    <row r="3114" spans="2:7">
      <c r="B3114" s="848" t="str">
        <f>+'4L'!BC30</f>
        <v>W3A00001RWA</v>
      </c>
      <c r="D3114" s="2004"/>
      <c r="E3114" s="1658" t="s">
        <v>9033</v>
      </c>
      <c r="F3114" s="2004" t="str">
        <f>+'4L'!C$30</f>
        <v>Drought Management Plan</v>
      </c>
      <c r="G3114" s="2004">
        <f>IF('4L'!H30="","##BLANK",'4L'!H30)</f>
        <v>0.16200000000000001</v>
      </c>
    </row>
    <row r="3115" spans="2:7">
      <c r="B3115" s="848" t="str">
        <f>+'4L'!BC31</f>
        <v>W3A00002RWA</v>
      </c>
      <c r="D3115" s="2004"/>
      <c r="E3115" s="1658" t="s">
        <v>9033</v>
      </c>
      <c r="F3115" s="2004" t="str">
        <f>+'4L'!C$31</f>
        <v>Exclusions</v>
      </c>
      <c r="G3115" s="2004">
        <f>IF('4L'!H31="","##BLANK",'4L'!H31)</f>
        <v>0</v>
      </c>
    </row>
    <row r="3116" spans="2:7">
      <c r="B3116" s="848" t="str">
        <f>+'4L'!BC32</f>
        <v>W3A00003RWA</v>
      </c>
      <c r="D3116" s="2004"/>
      <c r="E3116" s="1658" t="s">
        <v>9033</v>
      </c>
      <c r="F3116" s="2004" t="str">
        <f>+'4L'!C$32</f>
        <v>Leakage Reduction - UQ</v>
      </c>
      <c r="G3116" s="2004">
        <f>IF('4L'!H32="","##BLANK",'4L'!H32)</f>
        <v>0</v>
      </c>
    </row>
    <row r="3117" spans="2:7">
      <c r="B3117" s="848" t="str">
        <f>+'4L'!BC33</f>
        <v>W3A00004RWA</v>
      </c>
      <c r="D3117" s="2004"/>
      <c r="E3117" s="1658" t="s">
        <v>9033</v>
      </c>
      <c r="F3117" s="2004" t="str">
        <f>+'4L'!C$33</f>
        <v>Reduction in Interruptions to Supply - UQ</v>
      </c>
      <c r="G3117" s="2004">
        <f>IF('4L'!H33="","##BLANK",'4L'!H33)</f>
        <v>0</v>
      </c>
    </row>
    <row r="3118" spans="2:7">
      <c r="B3118" s="848" t="str">
        <f>+'4L'!BC34</f>
        <v>W3A00005RWA</v>
      </c>
      <c r="D3118" s="2004"/>
      <c r="E3118" s="1658" t="s">
        <v>9033</v>
      </c>
      <c r="F3118" s="2004" t="str">
        <f>+'4L'!C$34</f>
        <v>Improving Water Quality - UQ</v>
      </c>
      <c r="G3118" s="2004">
        <f>IF('4L'!H34="","##BLANK",'4L'!H34)</f>
        <v>0</v>
      </c>
    </row>
    <row r="3119" spans="2:7">
      <c r="B3119" s="848" t="str">
        <f>+'4L'!BC35</f>
        <v>W3A00006RWA</v>
      </c>
      <c r="D3119" s="2004"/>
      <c r="E3119" s="1658" t="s">
        <v>9033</v>
      </c>
      <c r="F3119" s="2004" t="str">
        <f>+'4L'!C$35</f>
        <v>Infrastructure network reinforcement</v>
      </c>
      <c r="G3119" s="2004">
        <f>IF('4L'!H35="","##BLANK",'4L'!H35)</f>
        <v>0</v>
      </c>
    </row>
    <row r="3120" spans="2:7">
      <c r="B3120" s="848" t="str">
        <f>+'4L'!BC36</f>
        <v>W3A00007RWA</v>
      </c>
      <c r="D3120" s="2004"/>
      <c r="E3120" s="1658" t="s">
        <v>9033</v>
      </c>
      <c r="F3120" s="2004" t="str">
        <f>+'4L'!C$36</f>
        <v>2020-25 Transition Expenditure - Capex</v>
      </c>
      <c r="G3120" s="2004">
        <f>IF('4L'!H36="","##BLANK",'4L'!H36)</f>
        <v>0.114</v>
      </c>
    </row>
    <row r="3121" spans="2:7">
      <c r="B3121" s="848" t="str">
        <f>+'4L'!BC37</f>
        <v>W3A00008RWA</v>
      </c>
      <c r="D3121" s="2004"/>
      <c r="E3121" s="1658" t="s">
        <v>9033</v>
      </c>
      <c r="F3121" s="2004" t="str">
        <f>+'4L'!C$37</f>
        <v>Capital expenditure purpose - WATER additional line 8 [Other categories]</v>
      </c>
      <c r="G3121" s="2004">
        <f>IF('4L'!H37="","##BLANK",'4L'!H37)</f>
        <v>0</v>
      </c>
    </row>
    <row r="3122" spans="2:7">
      <c r="B3122" s="848" t="str">
        <f>+'4L'!BC38</f>
        <v>W3A00009RWA</v>
      </c>
      <c r="D3122" s="2004"/>
      <c r="E3122" s="1658" t="s">
        <v>9033</v>
      </c>
      <c r="F3122" s="2004" t="str">
        <f>+'4L'!C$38</f>
        <v>Capital expenditure purpose - WATER additional line 9 [Other categories]</v>
      </c>
      <c r="G3122" s="2004">
        <f>IF('4L'!H38="","##BLANK",'4L'!H38)</f>
        <v>0</v>
      </c>
    </row>
    <row r="3123" spans="2:7">
      <c r="B3123" s="848" t="str">
        <f>+'4L'!BC39</f>
        <v>W3A00010RWA</v>
      </c>
      <c r="D3123" s="2004"/>
      <c r="E3123" s="1658" t="s">
        <v>9033</v>
      </c>
      <c r="F3123" s="2004" t="str">
        <f>+'4L'!C$39</f>
        <v>Capital expenditure purpose - WATER additional line 10 [Other categories]</v>
      </c>
      <c r="G3123" s="2004">
        <f>IF('4L'!H39="","##BLANK",'4L'!H39)</f>
        <v>0</v>
      </c>
    </row>
    <row r="3124" spans="2:7">
      <c r="B3124" s="848" t="str">
        <f>+'4L'!BC40</f>
        <v>W3A00011RWA</v>
      </c>
      <c r="D3124" s="2004"/>
      <c r="E3124" s="1658" t="s">
        <v>9033</v>
      </c>
      <c r="F3124" s="2004" t="str">
        <f>+'4L'!C$40</f>
        <v>Capital expenditure purpose - WATER additional line 11 [Other categories]</v>
      </c>
      <c r="G3124" s="2004">
        <f>IF('4L'!H40="","##BLANK",'4L'!H40)</f>
        <v>0</v>
      </c>
    </row>
    <row r="3125" spans="2:7">
      <c r="B3125" s="848" t="str">
        <f>+'4L'!BC41</f>
        <v>W3A00012RWA</v>
      </c>
      <c r="D3125" s="2004"/>
      <c r="E3125" s="1658" t="s">
        <v>9033</v>
      </c>
      <c r="F3125" s="2004" t="str">
        <f>+'4L'!C$41</f>
        <v>Capital expenditure purpose - WATER additional line 12 [Other categories]</v>
      </c>
      <c r="G3125" s="2004">
        <f>IF('4L'!H41="","##BLANK",'4L'!H41)</f>
        <v>0</v>
      </c>
    </row>
    <row r="3126" spans="2:7">
      <c r="B3126" s="848" t="str">
        <f>+'4L'!BC42</f>
        <v>W3A00013RWA</v>
      </c>
      <c r="D3126" s="2004"/>
      <c r="E3126" s="1658" t="s">
        <v>9033</v>
      </c>
      <c r="F3126" s="2004" t="str">
        <f>+'4L'!C$42</f>
        <v>Capital expenditure purpose - WATER additional line 13 [Other categories]</v>
      </c>
      <c r="G3126" s="2004">
        <f>IF('4L'!H42="","##BLANK",'4L'!H42)</f>
        <v>0</v>
      </c>
    </row>
    <row r="3127" spans="2:7">
      <c r="B3127" s="848" t="str">
        <f>+'4L'!BC43</f>
        <v>W3A00014RWA</v>
      </c>
      <c r="D3127" s="2004"/>
      <c r="E3127" s="1658" t="s">
        <v>9033</v>
      </c>
      <c r="F3127" s="2004" t="str">
        <f>+'4L'!C$43</f>
        <v>Capital expenditure purpose - WATER additional line 14 [Other categories]</v>
      </c>
      <c r="G3127" s="2004">
        <f>IF('4L'!H43="","##BLANK",'4L'!H43)</f>
        <v>0</v>
      </c>
    </row>
    <row r="3128" spans="2:7">
      <c r="B3128" s="848" t="str">
        <f>+'4L'!BC44</f>
        <v>W3A00015RWA</v>
      </c>
      <c r="D3128" s="2004"/>
      <c r="E3128" s="1658" t="s">
        <v>9033</v>
      </c>
      <c r="F3128" s="2004" t="str">
        <f>+'4L'!C$44</f>
        <v>Capital expenditure purpose - WATER additional line 15 [Other categories]</v>
      </c>
      <c r="G3128" s="2004">
        <f>IF('4L'!H44="","##BLANK",'4L'!H44)</f>
        <v>0</v>
      </c>
    </row>
    <row r="3129" spans="2:7">
      <c r="B3129" s="848" t="str">
        <f>+'4L'!BC45</f>
        <v>BA2070RWA</v>
      </c>
      <c r="D3129" s="2004"/>
      <c r="E3129" s="1658" t="s">
        <v>9033</v>
      </c>
      <c r="F3129" s="2004"/>
      <c r="G3129" s="2004">
        <f>IF('4L'!H45="","##BLANK",'4L'!H45)</f>
        <v>4.0309999999999997</v>
      </c>
    </row>
    <row r="3130" spans="2:7">
      <c r="B3130" s="848" t="str">
        <f>+'4L'!BD8</f>
        <v>W3001RWT</v>
      </c>
      <c r="D3130" s="2004"/>
      <c r="E3130" s="1658" t="s">
        <v>9033</v>
      </c>
      <c r="F3130" s="2004"/>
      <c r="G3130" s="2004">
        <f>IF('4L'!I8="","##BLANK",'4L'!I8)</f>
        <v>0</v>
      </c>
    </row>
    <row r="3131" spans="2:7">
      <c r="B3131" s="848" t="str">
        <f>+'4L'!BD9</f>
        <v>WS2002RWT</v>
      </c>
      <c r="D3131" s="2004"/>
      <c r="E3131" s="1658" t="s">
        <v>9033</v>
      </c>
      <c r="F3131" s="2004"/>
      <c r="G3131" s="2004">
        <f>IF('4L'!I9="","##BLANK",'4L'!I9)</f>
        <v>0</v>
      </c>
    </row>
    <row r="3132" spans="2:7">
      <c r="B3132" s="848" t="str">
        <f>+'4L'!BD10</f>
        <v>WS2003RWT</v>
      </c>
      <c r="D3132" s="2004"/>
      <c r="E3132" s="1658" t="s">
        <v>9033</v>
      </c>
      <c r="F3132" s="2004"/>
      <c r="G3132" s="2004">
        <f>IF('4L'!I10="","##BLANK",'4L'!I10)</f>
        <v>0</v>
      </c>
    </row>
    <row r="3133" spans="2:7">
      <c r="B3133" s="848" t="str">
        <f>+'4L'!BD11</f>
        <v>W3002RWT</v>
      </c>
      <c r="D3133" s="2004"/>
      <c r="E3133" s="1658" t="s">
        <v>9033</v>
      </c>
      <c r="F3133" s="2004"/>
      <c r="G3133" s="2004">
        <f>IF('4L'!I11="","##BLANK",'4L'!I11)</f>
        <v>0</v>
      </c>
    </row>
    <row r="3134" spans="2:7">
      <c r="B3134" s="848" t="str">
        <f>+'4L'!BD12</f>
        <v>W3003RWT</v>
      </c>
      <c r="D3134" s="2004"/>
      <c r="E3134" s="1658" t="s">
        <v>9033</v>
      </c>
      <c r="F3134" s="2004"/>
      <c r="G3134" s="2004">
        <f>IF('4L'!I12="","##BLANK",'4L'!I12)</f>
        <v>0</v>
      </c>
    </row>
    <row r="3135" spans="2:7">
      <c r="B3135" s="848" t="str">
        <f>+'4L'!BD13</f>
        <v>W3006RWT</v>
      </c>
      <c r="D3135" s="2004"/>
      <c r="E3135" s="1658" t="s">
        <v>9033</v>
      </c>
      <c r="F3135" s="2004"/>
      <c r="G3135" s="2004">
        <f>IF('4L'!I13="","##BLANK",'4L'!I13)</f>
        <v>0</v>
      </c>
    </row>
    <row r="3136" spans="2:7">
      <c r="B3136" s="848" t="str">
        <f>+'4L'!BD14</f>
        <v>W3007SRWT</v>
      </c>
      <c r="D3136" s="2004"/>
      <c r="E3136" s="1658" t="s">
        <v>9033</v>
      </c>
      <c r="F3136" s="2004"/>
      <c r="G3136" s="2004">
        <f>IF('4L'!I14="","##BLANK",'4L'!I14)</f>
        <v>0</v>
      </c>
    </row>
    <row r="3137" spans="2:7">
      <c r="B3137" s="848" t="str">
        <f>+'4L'!BD15</f>
        <v>W3008SRWT</v>
      </c>
      <c r="D3137" s="2004"/>
      <c r="E3137" s="1658" t="s">
        <v>9033</v>
      </c>
      <c r="F3137" s="2004"/>
      <c r="G3137" s="2004">
        <f>IF('4L'!I15="","##BLANK",'4L'!I15)</f>
        <v>0</v>
      </c>
    </row>
    <row r="3138" spans="2:7">
      <c r="B3138" s="848" t="str">
        <f>+'4L'!BD16</f>
        <v>W3007DRWT</v>
      </c>
      <c r="D3138" s="2004"/>
      <c r="E3138" s="1658" t="s">
        <v>9033</v>
      </c>
      <c r="F3138" s="2004"/>
      <c r="G3138" s="2004">
        <f>IF('4L'!I16="","##BLANK",'4L'!I16)</f>
        <v>0</v>
      </c>
    </row>
    <row r="3139" spans="2:7">
      <c r="B3139" s="848" t="str">
        <f>+'4L'!BD17</f>
        <v>W3008DRWT</v>
      </c>
      <c r="D3139" s="2004"/>
      <c r="E3139" s="1658" t="s">
        <v>9033</v>
      </c>
      <c r="F3139" s="2004"/>
      <c r="G3139" s="2004">
        <f>IF('4L'!I17="","##BLANK",'4L'!I17)</f>
        <v>0</v>
      </c>
    </row>
    <row r="3140" spans="2:7">
      <c r="B3140" s="848" t="str">
        <f>+'4L'!BD18</f>
        <v>W3009RWT</v>
      </c>
      <c r="D3140" s="2004"/>
      <c r="E3140" s="1658" t="s">
        <v>9033</v>
      </c>
      <c r="F3140" s="2004"/>
      <c r="G3140" s="2004">
        <f>IF('4L'!I18="","##BLANK",'4L'!I18)</f>
        <v>0</v>
      </c>
    </row>
    <row r="3141" spans="2:7">
      <c r="B3141" s="848" t="str">
        <f>+'4L'!BD19</f>
        <v>WS2004RWT</v>
      </c>
      <c r="D3141" s="2004"/>
      <c r="E3141" s="1658" t="s">
        <v>9033</v>
      </c>
      <c r="F3141" s="2004"/>
      <c r="G3141" s="2004">
        <f>IF('4L'!I19="","##BLANK",'4L'!I19)</f>
        <v>0</v>
      </c>
    </row>
    <row r="3142" spans="2:7">
      <c r="B3142" s="848" t="str">
        <f>+'4L'!BD20</f>
        <v>W3010RWT</v>
      </c>
      <c r="D3142" s="2004"/>
      <c r="E3142" s="1658" t="s">
        <v>9033</v>
      </c>
      <c r="F3142" s="2004"/>
      <c r="G3142" s="2004">
        <f>IF('4L'!I20="","##BLANK",'4L'!I20)</f>
        <v>0</v>
      </c>
    </row>
    <row r="3143" spans="2:7">
      <c r="B3143" s="848" t="str">
        <f>+'4L'!BD21</f>
        <v>W3011RWT</v>
      </c>
      <c r="D3143" s="2004"/>
      <c r="E3143" s="1658" t="s">
        <v>9033</v>
      </c>
      <c r="F3143" s="2004"/>
      <c r="G3143" s="2004">
        <f>IF('4L'!I21="","##BLANK",'4L'!I21)</f>
        <v>0</v>
      </c>
    </row>
    <row r="3144" spans="2:7">
      <c r="B3144" s="848" t="str">
        <f>+'4L'!BD22</f>
        <v>W3012RWT</v>
      </c>
      <c r="D3144" s="2004"/>
      <c r="E3144" s="1658" t="s">
        <v>9033</v>
      </c>
      <c r="F3144" s="2004"/>
      <c r="G3144" s="2004">
        <f>IF('4L'!I22="","##BLANK",'4L'!I22)</f>
        <v>7.0000000000000001E-3</v>
      </c>
    </row>
    <row r="3145" spans="2:7">
      <c r="B3145" s="848" t="str">
        <f>+'4L'!BD23</f>
        <v>WS2006RWT</v>
      </c>
      <c r="D3145" s="2004"/>
      <c r="E3145" s="1658" t="s">
        <v>9033</v>
      </c>
      <c r="F3145" s="2004"/>
      <c r="G3145" s="2004">
        <f>IF('4L'!I23="","##BLANK",'4L'!I23)</f>
        <v>0</v>
      </c>
    </row>
    <row r="3146" spans="2:7">
      <c r="B3146" s="848" t="str">
        <f>+'4L'!BD24</f>
        <v>WS2007RWT</v>
      </c>
      <c r="D3146" s="2004"/>
      <c r="E3146" s="1658" t="s">
        <v>9033</v>
      </c>
      <c r="F3146" s="2004"/>
      <c r="G3146" s="2004">
        <f>IF('4L'!I24="","##BLANK",'4L'!I24)</f>
        <v>0</v>
      </c>
    </row>
    <row r="3147" spans="2:7">
      <c r="B3147" s="848" t="str">
        <f>+'4L'!BD25</f>
        <v>WS2008RWT</v>
      </c>
      <c r="D3147" s="2004"/>
      <c r="E3147" s="1658" t="s">
        <v>9033</v>
      </c>
      <c r="F3147" s="2004"/>
      <c r="G3147" s="2004">
        <f>IF('4L'!I25="","##BLANK",'4L'!I25)</f>
        <v>0</v>
      </c>
    </row>
    <row r="3148" spans="2:7">
      <c r="B3148" s="848" t="str">
        <f>+'4L'!BD26</f>
        <v>W3027RWT</v>
      </c>
      <c r="D3148" s="2004"/>
      <c r="E3148" s="1658" t="s">
        <v>9033</v>
      </c>
      <c r="F3148" s="2004"/>
      <c r="G3148" s="2004">
        <f>IF('4L'!I26="","##BLANK",'4L'!I26)</f>
        <v>0</v>
      </c>
    </row>
    <row r="3149" spans="2:7">
      <c r="B3149" s="848" t="str">
        <f>+'4L'!BD27</f>
        <v>W3028OPTRWT</v>
      </c>
      <c r="D3149" s="2004"/>
      <c r="E3149" s="1658" t="s">
        <v>9033</v>
      </c>
      <c r="F3149" s="2004"/>
      <c r="G3149" s="2004">
        <f>IF('4L'!I27="","##BLANK",'4L'!I27)</f>
        <v>0</v>
      </c>
    </row>
    <row r="3150" spans="2:7">
      <c r="B3150" s="848" t="str">
        <f>+'4L'!BD28</f>
        <v>W3028COMRWT</v>
      </c>
      <c r="D3150" s="2004"/>
      <c r="E3150" s="1658" t="s">
        <v>9033</v>
      </c>
      <c r="F3150" s="2004"/>
      <c r="G3150" s="2004">
        <f>IF('4L'!I28="","##BLANK",'4L'!I28)</f>
        <v>0</v>
      </c>
    </row>
    <row r="3151" spans="2:7">
      <c r="B3151" s="848" t="str">
        <f>+'4L'!BD29</f>
        <v>W3028NHORWT</v>
      </c>
      <c r="D3151" s="2004"/>
      <c r="E3151" s="1658" t="s">
        <v>9033</v>
      </c>
      <c r="F3151" s="2004"/>
      <c r="G3151" s="2004">
        <f>IF('4L'!I29="","##BLANK",'4L'!I29)</f>
        <v>0</v>
      </c>
    </row>
    <row r="3152" spans="2:7">
      <c r="B3152" s="848" t="str">
        <f>+'4L'!BD30</f>
        <v>W3A00001RWT</v>
      </c>
      <c r="D3152" s="2004"/>
      <c r="E3152" s="1658" t="s">
        <v>9033</v>
      </c>
      <c r="F3152" s="2004" t="str">
        <f>+'4L'!C$30</f>
        <v>Drought Management Plan</v>
      </c>
      <c r="G3152" s="2004">
        <f>IF('4L'!I30="","##BLANK",'4L'!I30)</f>
        <v>0</v>
      </c>
    </row>
    <row r="3153" spans="2:7">
      <c r="B3153" s="848" t="str">
        <f>+'4L'!BD31</f>
        <v>W3A00002RWT</v>
      </c>
      <c r="D3153" s="2004"/>
      <c r="E3153" s="1658" t="s">
        <v>9033</v>
      </c>
      <c r="F3153" s="2004" t="str">
        <f>+'4L'!C$31</f>
        <v>Exclusions</v>
      </c>
      <c r="G3153" s="2004">
        <f>IF('4L'!I31="","##BLANK",'4L'!I31)</f>
        <v>0</v>
      </c>
    </row>
    <row r="3154" spans="2:7">
      <c r="B3154" s="848" t="str">
        <f>+'4L'!BD32</f>
        <v>W3A00003RWT</v>
      </c>
      <c r="D3154" s="2004"/>
      <c r="E3154" s="1658" t="s">
        <v>9033</v>
      </c>
      <c r="F3154" s="2004" t="str">
        <f>+'4L'!C$32</f>
        <v>Leakage Reduction - UQ</v>
      </c>
      <c r="G3154" s="2004">
        <f>IF('4L'!I32="","##BLANK",'4L'!I32)</f>
        <v>0</v>
      </c>
    </row>
    <row r="3155" spans="2:7">
      <c r="B3155" s="848" t="str">
        <f>+'4L'!BD33</f>
        <v>W3A00004RWT</v>
      </c>
      <c r="D3155" s="2004"/>
      <c r="E3155" s="1658" t="s">
        <v>9033</v>
      </c>
      <c r="F3155" s="2004" t="str">
        <f>+'4L'!C$33</f>
        <v>Reduction in Interruptions to Supply - UQ</v>
      </c>
      <c r="G3155" s="2004">
        <f>IF('4L'!I33="","##BLANK",'4L'!I33)</f>
        <v>0</v>
      </c>
    </row>
    <row r="3156" spans="2:7">
      <c r="B3156" s="848" t="str">
        <f>+'4L'!BD34</f>
        <v>W3A00005RWT</v>
      </c>
      <c r="D3156" s="2004"/>
      <c r="E3156" s="1658" t="s">
        <v>9033</v>
      </c>
      <c r="F3156" s="2004" t="str">
        <f>+'4L'!C$34</f>
        <v>Improving Water Quality - UQ</v>
      </c>
      <c r="G3156" s="2004">
        <f>IF('4L'!I34="","##BLANK",'4L'!I34)</f>
        <v>0</v>
      </c>
    </row>
    <row r="3157" spans="2:7">
      <c r="B3157" s="848" t="str">
        <f>+'4L'!BD35</f>
        <v>W3A00006RWT</v>
      </c>
      <c r="D3157" s="2004"/>
      <c r="E3157" s="1658" t="s">
        <v>9033</v>
      </c>
      <c r="F3157" s="2004" t="str">
        <f>+'4L'!C$35</f>
        <v>Infrastructure network reinforcement</v>
      </c>
      <c r="G3157" s="2004">
        <f>IF('4L'!I35="","##BLANK",'4L'!I35)</f>
        <v>0</v>
      </c>
    </row>
    <row r="3158" spans="2:7">
      <c r="B3158" s="848" t="str">
        <f>+'4L'!BD36</f>
        <v>W3A00007RWT</v>
      </c>
      <c r="D3158" s="2004"/>
      <c r="E3158" s="1658" t="s">
        <v>9033</v>
      </c>
      <c r="F3158" s="2004" t="str">
        <f>+'4L'!C$36</f>
        <v>2020-25 Transition Expenditure - Capex</v>
      </c>
      <c r="G3158" s="2004">
        <f>IF('4L'!I36="","##BLANK",'4L'!I36)</f>
        <v>0</v>
      </c>
    </row>
    <row r="3159" spans="2:7">
      <c r="B3159" s="848" t="str">
        <f>+'4L'!BD37</f>
        <v>W3A00008RWT</v>
      </c>
      <c r="D3159" s="2004"/>
      <c r="E3159" s="1658" t="s">
        <v>9033</v>
      </c>
      <c r="F3159" s="2004" t="str">
        <f>+'4L'!C$37</f>
        <v>Capital expenditure purpose - WATER additional line 8 [Other categories]</v>
      </c>
      <c r="G3159" s="2004">
        <f>IF('4L'!I37="","##BLANK",'4L'!I37)</f>
        <v>0</v>
      </c>
    </row>
    <row r="3160" spans="2:7">
      <c r="B3160" s="848" t="str">
        <f>+'4L'!BD38</f>
        <v>W3A00009RWT</v>
      </c>
      <c r="D3160" s="2004"/>
      <c r="E3160" s="1658" t="s">
        <v>9033</v>
      </c>
      <c r="F3160" s="2004" t="str">
        <f>+'4L'!C$38</f>
        <v>Capital expenditure purpose - WATER additional line 9 [Other categories]</v>
      </c>
      <c r="G3160" s="2004">
        <f>IF('4L'!I38="","##BLANK",'4L'!I38)</f>
        <v>0</v>
      </c>
    </row>
    <row r="3161" spans="2:7">
      <c r="B3161" s="848" t="str">
        <f>+'4L'!BD39</f>
        <v>W3A00010RWT</v>
      </c>
      <c r="D3161" s="2004"/>
      <c r="E3161" s="1658" t="s">
        <v>9033</v>
      </c>
      <c r="F3161" s="2004" t="str">
        <f>+'4L'!C$39</f>
        <v>Capital expenditure purpose - WATER additional line 10 [Other categories]</v>
      </c>
      <c r="G3161" s="2004">
        <f>IF('4L'!I39="","##BLANK",'4L'!I39)</f>
        <v>0</v>
      </c>
    </row>
    <row r="3162" spans="2:7">
      <c r="B3162" s="848" t="str">
        <f>+'4L'!BD40</f>
        <v>W3A00011RWT</v>
      </c>
      <c r="D3162" s="2004"/>
      <c r="E3162" s="1658" t="s">
        <v>9033</v>
      </c>
      <c r="F3162" s="2004" t="str">
        <f>+'4L'!C$40</f>
        <v>Capital expenditure purpose - WATER additional line 11 [Other categories]</v>
      </c>
      <c r="G3162" s="2004">
        <f>IF('4L'!I40="","##BLANK",'4L'!I40)</f>
        <v>0</v>
      </c>
    </row>
    <row r="3163" spans="2:7">
      <c r="B3163" s="848" t="str">
        <f>+'4L'!BD41</f>
        <v>W3A00012RWT</v>
      </c>
      <c r="D3163" s="2004"/>
      <c r="E3163" s="1658" t="s">
        <v>9033</v>
      </c>
      <c r="F3163" s="2004" t="str">
        <f>+'4L'!C$41</f>
        <v>Capital expenditure purpose - WATER additional line 12 [Other categories]</v>
      </c>
      <c r="G3163" s="2004">
        <f>IF('4L'!I41="","##BLANK",'4L'!I41)</f>
        <v>0</v>
      </c>
    </row>
    <row r="3164" spans="2:7">
      <c r="B3164" s="848" t="str">
        <f>+'4L'!BD42</f>
        <v>W3A00013RWT</v>
      </c>
      <c r="D3164" s="2004"/>
      <c r="E3164" s="1658" t="s">
        <v>9033</v>
      </c>
      <c r="F3164" s="2004" t="str">
        <f>+'4L'!C$42</f>
        <v>Capital expenditure purpose - WATER additional line 13 [Other categories]</v>
      </c>
      <c r="G3164" s="2004">
        <f>IF('4L'!I42="","##BLANK",'4L'!I42)</f>
        <v>0</v>
      </c>
    </row>
    <row r="3165" spans="2:7">
      <c r="B3165" s="848" t="str">
        <f>+'4L'!BD43</f>
        <v>W3A00014RWT</v>
      </c>
      <c r="D3165" s="2004"/>
      <c r="E3165" s="1658" t="s">
        <v>9033</v>
      </c>
      <c r="F3165" s="2004" t="str">
        <f>+'4L'!C$43</f>
        <v>Capital expenditure purpose - WATER additional line 14 [Other categories]</v>
      </c>
      <c r="G3165" s="2004">
        <f>IF('4L'!I43="","##BLANK",'4L'!I43)</f>
        <v>0</v>
      </c>
    </row>
    <row r="3166" spans="2:7">
      <c r="B3166" s="848" t="str">
        <f>+'4L'!BD44</f>
        <v>W3A00015RWT</v>
      </c>
      <c r="D3166" s="2004"/>
      <c r="E3166" s="1658" t="s">
        <v>9033</v>
      </c>
      <c r="F3166" s="2004" t="str">
        <f>+'4L'!C$44</f>
        <v>Capital expenditure purpose - WATER additional line 15 [Other categories]</v>
      </c>
      <c r="G3166" s="2004">
        <f>IF('4L'!I44="","##BLANK",'4L'!I44)</f>
        <v>0</v>
      </c>
    </row>
    <row r="3167" spans="2:7">
      <c r="B3167" s="848" t="str">
        <f>+'4L'!BD45</f>
        <v>BA2070RWT</v>
      </c>
      <c r="D3167" s="2004"/>
      <c r="E3167" s="1658" t="s">
        <v>9033</v>
      </c>
      <c r="F3167" s="2004"/>
      <c r="G3167" s="2004">
        <f>IF('4L'!I45="","##BLANK",'4L'!I45)</f>
        <v>7.0000000000000001E-3</v>
      </c>
    </row>
    <row r="3168" spans="2:7">
      <c r="B3168" s="848" t="str">
        <f>+'4L'!BE8</f>
        <v>W3001RWS</v>
      </c>
      <c r="D3168" s="2004"/>
      <c r="E3168" s="1658" t="s">
        <v>9033</v>
      </c>
      <c r="F3168" s="2004"/>
      <c r="G3168" s="2004">
        <f>IF('4L'!J8="","##BLANK",'4L'!J8)</f>
        <v>0</v>
      </c>
    </row>
    <row r="3169" spans="2:7">
      <c r="B3169" s="848" t="str">
        <f>+'4L'!BE9</f>
        <v>WS2002RWS</v>
      </c>
      <c r="D3169" s="2004"/>
      <c r="E3169" s="1658" t="s">
        <v>9033</v>
      </c>
      <c r="F3169" s="2004"/>
      <c r="G3169" s="2004">
        <f>IF('4L'!J9="","##BLANK",'4L'!J9)</f>
        <v>0</v>
      </c>
    </row>
    <row r="3170" spans="2:7">
      <c r="B3170" s="848" t="str">
        <f>+'4L'!BE10</f>
        <v>WS2003RWS</v>
      </c>
      <c r="D3170" s="2004"/>
      <c r="E3170" s="1658" t="s">
        <v>9033</v>
      </c>
      <c r="F3170" s="2004"/>
      <c r="G3170" s="2004">
        <f>IF('4L'!J10="","##BLANK",'4L'!J10)</f>
        <v>0</v>
      </c>
    </row>
    <row r="3171" spans="2:7">
      <c r="B3171" s="848" t="str">
        <f>+'4L'!BE11</f>
        <v>W3002RWS</v>
      </c>
      <c r="D3171" s="2004"/>
      <c r="E3171" s="1658" t="s">
        <v>9033</v>
      </c>
      <c r="F3171" s="2004"/>
      <c r="G3171" s="2004">
        <f>IF('4L'!J11="","##BLANK",'4L'!J11)</f>
        <v>0</v>
      </c>
    </row>
    <row r="3172" spans="2:7">
      <c r="B3172" s="848" t="str">
        <f>+'4L'!BE12</f>
        <v>W3003RWS</v>
      </c>
      <c r="D3172" s="2004"/>
      <c r="E3172" s="1658" t="s">
        <v>9033</v>
      </c>
      <c r="F3172" s="2004"/>
      <c r="G3172" s="2004">
        <f>IF('4L'!J12="","##BLANK",'4L'!J12)</f>
        <v>0</v>
      </c>
    </row>
    <row r="3173" spans="2:7">
      <c r="B3173" s="848" t="str">
        <f>+'4L'!BE13</f>
        <v>W3006RWS</v>
      </c>
      <c r="D3173" s="2004"/>
      <c r="E3173" s="1658" t="s">
        <v>9033</v>
      </c>
      <c r="F3173" s="2004"/>
      <c r="G3173" s="2004">
        <f>IF('4L'!J13="","##BLANK",'4L'!J13)</f>
        <v>0</v>
      </c>
    </row>
    <row r="3174" spans="2:7">
      <c r="B3174" s="848" t="str">
        <f>+'4L'!BE14</f>
        <v>W3007SRWS</v>
      </c>
      <c r="D3174" s="2004"/>
      <c r="E3174" s="1658" t="s">
        <v>9033</v>
      </c>
      <c r="F3174" s="2004"/>
      <c r="G3174" s="2004">
        <f>IF('4L'!J14="","##BLANK",'4L'!J14)</f>
        <v>0</v>
      </c>
    </row>
    <row r="3175" spans="2:7">
      <c r="B3175" s="848" t="str">
        <f>+'4L'!BE15</f>
        <v>W3008SRWS</v>
      </c>
      <c r="D3175" s="2004"/>
      <c r="E3175" s="1658" t="s">
        <v>9033</v>
      </c>
      <c r="F3175" s="2004"/>
      <c r="G3175" s="2004">
        <f>IF('4L'!J15="","##BLANK",'4L'!J15)</f>
        <v>0</v>
      </c>
    </row>
    <row r="3176" spans="2:7">
      <c r="B3176" s="848" t="str">
        <f>+'4L'!BE16</f>
        <v>W3007DRWS</v>
      </c>
      <c r="D3176" s="2004"/>
      <c r="E3176" s="1658" t="s">
        <v>9033</v>
      </c>
      <c r="F3176" s="2004"/>
      <c r="G3176" s="2004">
        <f>IF('4L'!J16="","##BLANK",'4L'!J16)</f>
        <v>0</v>
      </c>
    </row>
    <row r="3177" spans="2:7">
      <c r="B3177" s="848" t="str">
        <f>+'4L'!BE17</f>
        <v>W3008DRWS</v>
      </c>
      <c r="D3177" s="2004"/>
      <c r="E3177" s="1658" t="s">
        <v>9033</v>
      </c>
      <c r="F3177" s="2004"/>
      <c r="G3177" s="2004">
        <f>IF('4L'!J17="","##BLANK",'4L'!J17)</f>
        <v>0</v>
      </c>
    </row>
    <row r="3178" spans="2:7">
      <c r="B3178" s="848" t="str">
        <f>+'4L'!BE18</f>
        <v>W3009RWS</v>
      </c>
      <c r="D3178" s="2004"/>
      <c r="E3178" s="1658" t="s">
        <v>9033</v>
      </c>
      <c r="F3178" s="2004"/>
      <c r="G3178" s="2004">
        <f>IF('4L'!J18="","##BLANK",'4L'!J18)</f>
        <v>0</v>
      </c>
    </row>
    <row r="3179" spans="2:7">
      <c r="B3179" s="848" t="str">
        <f>+'4L'!BE19</f>
        <v>WS2004RWS</v>
      </c>
      <c r="D3179" s="2004"/>
      <c r="E3179" s="1658" t="s">
        <v>9033</v>
      </c>
      <c r="F3179" s="2004"/>
      <c r="G3179" s="2004">
        <f>IF('4L'!J19="","##BLANK",'4L'!J19)</f>
        <v>0</v>
      </c>
    </row>
    <row r="3180" spans="2:7">
      <c r="B3180" s="848" t="str">
        <f>+'4L'!BE20</f>
        <v>W3010RWS</v>
      </c>
      <c r="D3180" s="2004"/>
      <c r="E3180" s="1658" t="s">
        <v>9033</v>
      </c>
      <c r="F3180" s="2004"/>
      <c r="G3180" s="2004">
        <f>IF('4L'!J20="","##BLANK",'4L'!J20)</f>
        <v>0</v>
      </c>
    </row>
    <row r="3181" spans="2:7">
      <c r="B3181" s="848" t="str">
        <f>+'4L'!BE21</f>
        <v>W3011RWS</v>
      </c>
      <c r="D3181" s="2004"/>
      <c r="E3181" s="1658" t="s">
        <v>9033</v>
      </c>
      <c r="F3181" s="2004"/>
      <c r="G3181" s="2004">
        <f>IF('4L'!J21="","##BLANK",'4L'!J21)</f>
        <v>0</v>
      </c>
    </row>
    <row r="3182" spans="2:7">
      <c r="B3182" s="848" t="str">
        <f>+'4L'!BE22</f>
        <v>W3012RWS</v>
      </c>
      <c r="D3182" s="2004"/>
      <c r="E3182" s="1658" t="s">
        <v>9033</v>
      </c>
      <c r="F3182" s="2004"/>
      <c r="G3182" s="2004">
        <f>IF('4L'!J22="","##BLANK",'4L'!J22)</f>
        <v>1.7999999999999999E-2</v>
      </c>
    </row>
    <row r="3183" spans="2:7">
      <c r="B3183" s="848" t="str">
        <f>+'4L'!BE23</f>
        <v>WS2006RWS</v>
      </c>
      <c r="D3183" s="2004"/>
      <c r="E3183" s="1658" t="s">
        <v>9033</v>
      </c>
      <c r="F3183" s="2004"/>
      <c r="G3183" s="2004">
        <f>IF('4L'!J23="","##BLANK",'4L'!J23)</f>
        <v>0</v>
      </c>
    </row>
    <row r="3184" spans="2:7">
      <c r="B3184" s="848" t="str">
        <f>+'4L'!BE24</f>
        <v>WS2007RWS</v>
      </c>
      <c r="D3184" s="2004"/>
      <c r="E3184" s="1658" t="s">
        <v>9033</v>
      </c>
      <c r="F3184" s="2004"/>
      <c r="G3184" s="2004">
        <f>IF('4L'!J24="","##BLANK",'4L'!J24)</f>
        <v>0</v>
      </c>
    </row>
    <row r="3185" spans="2:7">
      <c r="B3185" s="848" t="str">
        <f>+'4L'!BE25</f>
        <v>WS2008RWS</v>
      </c>
      <c r="D3185" s="2004"/>
      <c r="E3185" s="1658" t="s">
        <v>9033</v>
      </c>
      <c r="F3185" s="2004"/>
      <c r="G3185" s="2004">
        <f>IF('4L'!J25="","##BLANK",'4L'!J25)</f>
        <v>0</v>
      </c>
    </row>
    <row r="3186" spans="2:7">
      <c r="B3186" s="848" t="str">
        <f>+'4L'!BE26</f>
        <v>W3027RWS</v>
      </c>
      <c r="D3186" s="2004"/>
      <c r="E3186" s="1658" t="s">
        <v>9033</v>
      </c>
      <c r="F3186" s="2004"/>
      <c r="G3186" s="2004">
        <f>IF('4L'!J26="","##BLANK",'4L'!J26)</f>
        <v>0</v>
      </c>
    </row>
    <row r="3187" spans="2:7">
      <c r="B3187" s="848" t="str">
        <f>+'4L'!BE27</f>
        <v>W3028OPTRWS</v>
      </c>
      <c r="D3187" s="2004"/>
      <c r="E3187" s="1658" t="s">
        <v>9033</v>
      </c>
      <c r="F3187" s="2004"/>
      <c r="G3187" s="2004">
        <f>IF('4L'!J27="","##BLANK",'4L'!J27)</f>
        <v>0</v>
      </c>
    </row>
    <row r="3188" spans="2:7">
      <c r="B3188" s="848" t="str">
        <f>+'4L'!BE28</f>
        <v>W3028COMRWS</v>
      </c>
      <c r="D3188" s="2004"/>
      <c r="E3188" s="1658" t="s">
        <v>9033</v>
      </c>
      <c r="F3188" s="2004"/>
      <c r="G3188" s="2004">
        <f>IF('4L'!J28="","##BLANK",'4L'!J28)</f>
        <v>0</v>
      </c>
    </row>
    <row r="3189" spans="2:7">
      <c r="B3189" s="848" t="str">
        <f>+'4L'!BE29</f>
        <v>W3028NHORWS</v>
      </c>
      <c r="D3189" s="2004"/>
      <c r="E3189" s="1658" t="s">
        <v>9033</v>
      </c>
      <c r="F3189" s="2004"/>
      <c r="G3189" s="2004">
        <f>IF('4L'!J29="","##BLANK",'4L'!J29)</f>
        <v>0</v>
      </c>
    </row>
    <row r="3190" spans="2:7">
      <c r="B3190" s="848" t="str">
        <f>+'4L'!BE30</f>
        <v>W3A00001RWS</v>
      </c>
      <c r="D3190" s="2004"/>
      <c r="E3190" s="1658" t="s">
        <v>9033</v>
      </c>
      <c r="F3190" s="2004" t="str">
        <f>+'4L'!C$30</f>
        <v>Drought Management Plan</v>
      </c>
      <c r="G3190" s="2004">
        <f>IF('4L'!J30="","##BLANK",'4L'!J30)</f>
        <v>0</v>
      </c>
    </row>
    <row r="3191" spans="2:7">
      <c r="B3191" s="848" t="str">
        <f>+'4L'!BE31</f>
        <v>W3A00002RWS</v>
      </c>
      <c r="D3191" s="2004"/>
      <c r="E3191" s="1658" t="s">
        <v>9033</v>
      </c>
      <c r="F3191" s="2004" t="str">
        <f>+'4L'!C$31</f>
        <v>Exclusions</v>
      </c>
      <c r="G3191" s="2004">
        <f>IF('4L'!J31="","##BLANK",'4L'!J31)</f>
        <v>0</v>
      </c>
    </row>
    <row r="3192" spans="2:7">
      <c r="B3192" s="848" t="str">
        <f>+'4L'!BE32</f>
        <v>W3A00003RWS</v>
      </c>
      <c r="D3192" s="2004"/>
      <c r="E3192" s="1658" t="s">
        <v>9033</v>
      </c>
      <c r="F3192" s="2004" t="str">
        <f>+'4L'!C$32</f>
        <v>Leakage Reduction - UQ</v>
      </c>
      <c r="G3192" s="2004">
        <f>IF('4L'!J32="","##BLANK",'4L'!J32)</f>
        <v>0</v>
      </c>
    </row>
    <row r="3193" spans="2:7">
      <c r="B3193" s="848" t="str">
        <f>+'4L'!BE33</f>
        <v>W3A00004RWS</v>
      </c>
      <c r="D3193" s="2004"/>
      <c r="E3193" s="1658" t="s">
        <v>9033</v>
      </c>
      <c r="F3193" s="2004" t="str">
        <f>+'4L'!C$33</f>
        <v>Reduction in Interruptions to Supply - UQ</v>
      </c>
      <c r="G3193" s="2004">
        <f>IF('4L'!J33="","##BLANK",'4L'!J33)</f>
        <v>0</v>
      </c>
    </row>
    <row r="3194" spans="2:7">
      <c r="B3194" s="848" t="str">
        <f>+'4L'!BE34</f>
        <v>W3A00005RWS</v>
      </c>
      <c r="D3194" s="2004"/>
      <c r="E3194" s="1658" t="s">
        <v>9033</v>
      </c>
      <c r="F3194" s="2004" t="str">
        <f>+'4L'!C$34</f>
        <v>Improving Water Quality - UQ</v>
      </c>
      <c r="G3194" s="2004">
        <f>IF('4L'!J34="","##BLANK",'4L'!J34)</f>
        <v>0</v>
      </c>
    </row>
    <row r="3195" spans="2:7">
      <c r="B3195" s="848" t="str">
        <f>+'4L'!BE35</f>
        <v>W3A00006RWS</v>
      </c>
      <c r="D3195" s="2004"/>
      <c r="E3195" s="1658" t="s">
        <v>9033</v>
      </c>
      <c r="F3195" s="2004" t="str">
        <f>+'4L'!C$35</f>
        <v>Infrastructure network reinforcement</v>
      </c>
      <c r="G3195" s="2004">
        <f>IF('4L'!J35="","##BLANK",'4L'!J35)</f>
        <v>0</v>
      </c>
    </row>
    <row r="3196" spans="2:7">
      <c r="B3196" s="848" t="str">
        <f>+'4L'!BE36</f>
        <v>W3A00007RWS</v>
      </c>
      <c r="D3196" s="2004"/>
      <c r="E3196" s="1658" t="s">
        <v>9033</v>
      </c>
      <c r="F3196" s="2004" t="str">
        <f>+'4L'!C$36</f>
        <v>2020-25 Transition Expenditure - Capex</v>
      </c>
      <c r="G3196" s="2004">
        <f>IF('4L'!J36="","##BLANK",'4L'!J36)</f>
        <v>0</v>
      </c>
    </row>
    <row r="3197" spans="2:7">
      <c r="B3197" s="848" t="str">
        <f>+'4L'!BE37</f>
        <v>W3A00008RWS</v>
      </c>
      <c r="D3197" s="2004"/>
      <c r="E3197" s="1658" t="s">
        <v>9033</v>
      </c>
      <c r="F3197" s="2004" t="str">
        <f>+'4L'!C$37</f>
        <v>Capital expenditure purpose - WATER additional line 8 [Other categories]</v>
      </c>
      <c r="G3197" s="2004">
        <f>IF('4L'!J37="","##BLANK",'4L'!J37)</f>
        <v>0</v>
      </c>
    </row>
    <row r="3198" spans="2:7">
      <c r="B3198" s="848" t="str">
        <f>+'4L'!BE38</f>
        <v>W3A00009RWS</v>
      </c>
      <c r="D3198" s="2004"/>
      <c r="E3198" s="1658" t="s">
        <v>9033</v>
      </c>
      <c r="F3198" s="2004" t="str">
        <f>+'4L'!C$38</f>
        <v>Capital expenditure purpose - WATER additional line 9 [Other categories]</v>
      </c>
      <c r="G3198" s="2004">
        <f>IF('4L'!J38="","##BLANK",'4L'!J38)</f>
        <v>0</v>
      </c>
    </row>
    <row r="3199" spans="2:7">
      <c r="B3199" s="848" t="str">
        <f>+'4L'!BE39</f>
        <v>W3A00010RWS</v>
      </c>
      <c r="D3199" s="2004"/>
      <c r="E3199" s="1658" t="s">
        <v>9033</v>
      </c>
      <c r="F3199" s="2004" t="str">
        <f>+'4L'!C$39</f>
        <v>Capital expenditure purpose - WATER additional line 10 [Other categories]</v>
      </c>
      <c r="G3199" s="2004">
        <f>IF('4L'!J39="","##BLANK",'4L'!J39)</f>
        <v>0</v>
      </c>
    </row>
    <row r="3200" spans="2:7">
      <c r="B3200" s="848" t="str">
        <f>+'4L'!BE40</f>
        <v>W3A00011RWS</v>
      </c>
      <c r="D3200" s="2004"/>
      <c r="E3200" s="1658" t="s">
        <v>9033</v>
      </c>
      <c r="F3200" s="2004" t="str">
        <f>+'4L'!C$40</f>
        <v>Capital expenditure purpose - WATER additional line 11 [Other categories]</v>
      </c>
      <c r="G3200" s="2004">
        <f>IF('4L'!J40="","##BLANK",'4L'!J40)</f>
        <v>0</v>
      </c>
    </row>
    <row r="3201" spans="2:7">
      <c r="B3201" s="848" t="str">
        <f>+'4L'!BE41</f>
        <v>W3A00012RWS</v>
      </c>
      <c r="D3201" s="2004"/>
      <c r="E3201" s="1658" t="s">
        <v>9033</v>
      </c>
      <c r="F3201" s="2004" t="str">
        <f>+'4L'!C$41</f>
        <v>Capital expenditure purpose - WATER additional line 12 [Other categories]</v>
      </c>
      <c r="G3201" s="2004">
        <f>IF('4L'!J41="","##BLANK",'4L'!J41)</f>
        <v>0</v>
      </c>
    </row>
    <row r="3202" spans="2:7">
      <c r="B3202" s="848" t="str">
        <f>+'4L'!BE42</f>
        <v>W3A00013RWS</v>
      </c>
      <c r="D3202" s="2004"/>
      <c r="E3202" s="1658" t="s">
        <v>9033</v>
      </c>
      <c r="F3202" s="2004" t="str">
        <f>+'4L'!C$42</f>
        <v>Capital expenditure purpose - WATER additional line 13 [Other categories]</v>
      </c>
      <c r="G3202" s="2004">
        <f>IF('4L'!J42="","##BLANK",'4L'!J42)</f>
        <v>0</v>
      </c>
    </row>
    <row r="3203" spans="2:7">
      <c r="B3203" s="848" t="str">
        <f>+'4L'!BE43</f>
        <v>W3A00014RWS</v>
      </c>
      <c r="D3203" s="2004"/>
      <c r="E3203" s="1658" t="s">
        <v>9033</v>
      </c>
      <c r="F3203" s="2004" t="str">
        <f>+'4L'!C$43</f>
        <v>Capital expenditure purpose - WATER additional line 14 [Other categories]</v>
      </c>
      <c r="G3203" s="2004">
        <f>IF('4L'!J43="","##BLANK",'4L'!J43)</f>
        <v>0</v>
      </c>
    </row>
    <row r="3204" spans="2:7">
      <c r="B3204" s="848" t="str">
        <f>+'4L'!BE44</f>
        <v>W3A00015RWS</v>
      </c>
      <c r="D3204" s="2004"/>
      <c r="E3204" s="1658" t="s">
        <v>9033</v>
      </c>
      <c r="F3204" s="2004" t="str">
        <f>+'4L'!C$44</f>
        <v>Capital expenditure purpose - WATER additional line 15 [Other categories]</v>
      </c>
      <c r="G3204" s="2004">
        <f>IF('4L'!J44="","##BLANK",'4L'!J44)</f>
        <v>0</v>
      </c>
    </row>
    <row r="3205" spans="2:7">
      <c r="B3205" s="848" t="str">
        <f>+'4L'!BE45</f>
        <v>BA2070RWS</v>
      </c>
      <c r="D3205" s="2004"/>
      <c r="E3205" s="1658" t="s">
        <v>9033</v>
      </c>
      <c r="F3205" s="2004"/>
      <c r="G3205" s="2004">
        <f>IF('4L'!J45="","##BLANK",'4L'!J45)</f>
        <v>1.7999999999999999E-2</v>
      </c>
    </row>
    <row r="3206" spans="2:7">
      <c r="B3206" s="848" t="str">
        <f>+'4L'!BF8</f>
        <v>W3001WT</v>
      </c>
      <c r="D3206" s="2004"/>
      <c r="E3206" s="1658" t="s">
        <v>9033</v>
      </c>
      <c r="F3206" s="2004"/>
      <c r="G3206" s="2004">
        <f>IF('4L'!K8="","##BLANK",'4L'!K8)</f>
        <v>0</v>
      </c>
    </row>
    <row r="3207" spans="2:7">
      <c r="B3207" s="848" t="str">
        <f>+'4L'!BF9</f>
        <v>WS2002WT</v>
      </c>
      <c r="D3207" s="2004"/>
      <c r="E3207" s="1658" t="s">
        <v>9033</v>
      </c>
      <c r="F3207" s="2004"/>
      <c r="G3207" s="2004">
        <f>IF('4L'!K9="","##BLANK",'4L'!K9)</f>
        <v>0</v>
      </c>
    </row>
    <row r="3208" spans="2:7">
      <c r="B3208" s="848" t="str">
        <f>+'4L'!BF10</f>
        <v>WS2003WT</v>
      </c>
      <c r="D3208" s="2004"/>
      <c r="E3208" s="1658" t="s">
        <v>9033</v>
      </c>
      <c r="F3208" s="2004"/>
      <c r="G3208" s="2004">
        <f>IF('4L'!K10="","##BLANK",'4L'!K10)</f>
        <v>0</v>
      </c>
    </row>
    <row r="3209" spans="2:7">
      <c r="B3209" s="848" t="str">
        <f>+'4L'!BF11</f>
        <v>W3002WT</v>
      </c>
      <c r="D3209" s="2004"/>
      <c r="E3209" s="1658" t="s">
        <v>9033</v>
      </c>
      <c r="F3209" s="2004"/>
      <c r="G3209" s="2004">
        <f>IF('4L'!K11="","##BLANK",'4L'!K11)</f>
        <v>0</v>
      </c>
    </row>
    <row r="3210" spans="2:7">
      <c r="B3210" s="848" t="str">
        <f>+'4L'!BF12</f>
        <v>W3003WT</v>
      </c>
      <c r="D3210" s="2004"/>
      <c r="E3210" s="1658" t="s">
        <v>9033</v>
      </c>
      <c r="F3210" s="2004"/>
      <c r="G3210" s="2004">
        <f>IF('4L'!K12="","##BLANK",'4L'!K12)</f>
        <v>0</v>
      </c>
    </row>
    <row r="3211" spans="2:7">
      <c r="B3211" s="848" t="str">
        <f>+'4L'!BF13</f>
        <v>W3006WT</v>
      </c>
      <c r="D3211" s="2004"/>
      <c r="E3211" s="1658" t="s">
        <v>9033</v>
      </c>
      <c r="F3211" s="2004"/>
      <c r="G3211" s="2004">
        <f>IF('4L'!K13="","##BLANK",'4L'!K13)</f>
        <v>0</v>
      </c>
    </row>
    <row r="3212" spans="2:7">
      <c r="B3212" s="848" t="str">
        <f>+'4L'!BF14</f>
        <v>W3007SWT</v>
      </c>
      <c r="D3212" s="2004"/>
      <c r="E3212" s="1658" t="s">
        <v>9033</v>
      </c>
      <c r="F3212" s="2004"/>
      <c r="G3212" s="2004">
        <f>IF('4L'!K14="","##BLANK",'4L'!K14)</f>
        <v>0</v>
      </c>
    </row>
    <row r="3213" spans="2:7">
      <c r="B3213" s="848" t="str">
        <f>+'4L'!BF15</f>
        <v>W3008SWT</v>
      </c>
      <c r="D3213" s="2004"/>
      <c r="E3213" s="1658" t="s">
        <v>9033</v>
      </c>
      <c r="F3213" s="2004"/>
      <c r="G3213" s="2004">
        <f>IF('4L'!K15="","##BLANK",'4L'!K15)</f>
        <v>0</v>
      </c>
    </row>
    <row r="3214" spans="2:7">
      <c r="B3214" s="848" t="str">
        <f>+'4L'!BF16</f>
        <v>W3007DWT</v>
      </c>
      <c r="D3214" s="2004"/>
      <c r="E3214" s="1658" t="s">
        <v>9033</v>
      </c>
      <c r="F3214" s="2004"/>
      <c r="G3214" s="2004">
        <f>IF('4L'!K16="","##BLANK",'4L'!K16)</f>
        <v>0</v>
      </c>
    </row>
    <row r="3215" spans="2:7">
      <c r="B3215" s="848" t="str">
        <f>+'4L'!BF17</f>
        <v>W3008DWT</v>
      </c>
      <c r="D3215" s="2004"/>
      <c r="E3215" s="1658" t="s">
        <v>9033</v>
      </c>
      <c r="F3215" s="2004"/>
      <c r="G3215" s="2004">
        <f>IF('4L'!K17="","##BLANK",'4L'!K17)</f>
        <v>0</v>
      </c>
    </row>
    <row r="3216" spans="2:7">
      <c r="B3216" s="848" t="str">
        <f>+'4L'!BF18</f>
        <v>W3009WT</v>
      </c>
      <c r="D3216" s="2004"/>
      <c r="E3216" s="1658" t="s">
        <v>9033</v>
      </c>
      <c r="F3216" s="2004"/>
      <c r="G3216" s="2004">
        <f>IF('4L'!K18="","##BLANK",'4L'!K18)</f>
        <v>0</v>
      </c>
    </row>
    <row r="3217" spans="2:7">
      <c r="B3217" s="848" t="str">
        <f>+'4L'!BF19</f>
        <v>WS2004WT</v>
      </c>
      <c r="D3217" s="2004"/>
      <c r="E3217" s="1658" t="s">
        <v>9033</v>
      </c>
      <c r="F3217" s="2004"/>
      <c r="G3217" s="2004">
        <f>IF('4L'!K19="","##BLANK",'4L'!K19)</f>
        <v>0</v>
      </c>
    </row>
    <row r="3218" spans="2:7">
      <c r="B3218" s="848" t="str">
        <f>+'4L'!BF20</f>
        <v>W3010WT</v>
      </c>
      <c r="D3218" s="2004"/>
      <c r="E3218" s="1658" t="s">
        <v>9033</v>
      </c>
      <c r="F3218" s="2004"/>
      <c r="G3218" s="2004">
        <f>IF('4L'!K20="","##BLANK",'4L'!K20)</f>
        <v>6.25</v>
      </c>
    </row>
    <row r="3219" spans="2:7">
      <c r="B3219" s="848" t="str">
        <f>+'4L'!BF21</f>
        <v>W3011WT</v>
      </c>
      <c r="D3219" s="2004"/>
      <c r="E3219" s="1658" t="s">
        <v>9033</v>
      </c>
      <c r="F3219" s="2004"/>
      <c r="G3219" s="2004">
        <f>IF('4L'!K21="","##BLANK",'4L'!K21)</f>
        <v>0</v>
      </c>
    </row>
    <row r="3220" spans="2:7">
      <c r="B3220" s="848" t="str">
        <f>+'4L'!BF22</f>
        <v>W3012WT</v>
      </c>
      <c r="D3220" s="2004"/>
      <c r="E3220" s="1658" t="s">
        <v>9033</v>
      </c>
      <c r="F3220" s="2004"/>
      <c r="G3220" s="2004">
        <f>IF('4L'!K22="","##BLANK",'4L'!K22)</f>
        <v>0.26300000000000001</v>
      </c>
    </row>
    <row r="3221" spans="2:7">
      <c r="B3221" s="848" t="str">
        <f>+'4L'!BF23</f>
        <v>WS2006WT</v>
      </c>
      <c r="D3221" s="2004"/>
      <c r="E3221" s="1658" t="s">
        <v>9033</v>
      </c>
      <c r="F3221" s="2004"/>
      <c r="G3221" s="2004">
        <f>IF('4L'!K23="","##BLANK",'4L'!K23)</f>
        <v>0</v>
      </c>
    </row>
    <row r="3222" spans="2:7">
      <c r="B3222" s="848" t="str">
        <f>+'4L'!BF24</f>
        <v>WS2007WT</v>
      </c>
      <c r="D3222" s="2004"/>
      <c r="E3222" s="1658" t="s">
        <v>9033</v>
      </c>
      <c r="F3222" s="2004"/>
      <c r="G3222" s="2004">
        <f>IF('4L'!K24="","##BLANK",'4L'!K24)</f>
        <v>0</v>
      </c>
    </row>
    <row r="3223" spans="2:7">
      <c r="B3223" s="848" t="str">
        <f>+'4L'!BF25</f>
        <v>WS2008WT</v>
      </c>
      <c r="D3223" s="2004"/>
      <c r="E3223" s="1658" t="s">
        <v>9033</v>
      </c>
      <c r="F3223" s="2004"/>
      <c r="G3223" s="2004">
        <f>IF('4L'!K25="","##BLANK",'4L'!K25)</f>
        <v>0</v>
      </c>
    </row>
    <row r="3224" spans="2:7">
      <c r="B3224" s="848" t="str">
        <f>+'4L'!BF26</f>
        <v>W3027WT</v>
      </c>
      <c r="D3224" s="2004"/>
      <c r="E3224" s="1658" t="s">
        <v>9033</v>
      </c>
      <c r="F3224" s="2004"/>
      <c r="G3224" s="2004">
        <f>IF('4L'!K26="","##BLANK",'4L'!K26)</f>
        <v>0.27300000000000002</v>
      </c>
    </row>
    <row r="3225" spans="2:7">
      <c r="B3225" s="848" t="str">
        <f>+'4L'!BF27</f>
        <v>W3028OPTWT</v>
      </c>
      <c r="D3225" s="2004"/>
      <c r="E3225" s="1658" t="s">
        <v>9033</v>
      </c>
      <c r="F3225" s="2004"/>
      <c r="G3225" s="2004">
        <f>IF('4L'!K27="","##BLANK",'4L'!K27)</f>
        <v>0</v>
      </c>
    </row>
    <row r="3226" spans="2:7">
      <c r="B3226" s="848" t="str">
        <f>+'4L'!BF28</f>
        <v>W3028COMWT</v>
      </c>
      <c r="D3226" s="2004"/>
      <c r="E3226" s="1658" t="s">
        <v>9033</v>
      </c>
      <c r="F3226" s="2004"/>
      <c r="G3226" s="2004">
        <f>IF('4L'!K28="","##BLANK",'4L'!K28)</f>
        <v>0</v>
      </c>
    </row>
    <row r="3227" spans="2:7">
      <c r="B3227" s="848" t="str">
        <f>+'4L'!BF29</f>
        <v>W3028NHOWT</v>
      </c>
      <c r="D3227" s="2004"/>
      <c r="E3227" s="1658" t="s">
        <v>9033</v>
      </c>
      <c r="F3227" s="2004"/>
      <c r="G3227" s="2004">
        <f>IF('4L'!K29="","##BLANK",'4L'!K29)</f>
        <v>0</v>
      </c>
    </row>
    <row r="3228" spans="2:7">
      <c r="B3228" s="848" t="str">
        <f>+'4L'!BF30</f>
        <v>W3A00001WT</v>
      </c>
      <c r="D3228" s="2004"/>
      <c r="E3228" s="1658" t="s">
        <v>9033</v>
      </c>
      <c r="F3228" s="2004" t="str">
        <f>+'4L'!C$30</f>
        <v>Drought Management Plan</v>
      </c>
      <c r="G3228" s="2004">
        <f>IF('4L'!K30="","##BLANK",'4L'!K30)</f>
        <v>0</v>
      </c>
    </row>
    <row r="3229" spans="2:7">
      <c r="B3229" s="848" t="str">
        <f>+'4L'!BF31</f>
        <v>W3A00002WT</v>
      </c>
      <c r="D3229" s="2004"/>
      <c r="E3229" s="1658" t="s">
        <v>9033</v>
      </c>
      <c r="F3229" s="2004" t="str">
        <f>+'4L'!C$31</f>
        <v>Exclusions</v>
      </c>
      <c r="G3229" s="2004">
        <f>IF('4L'!K31="","##BLANK",'4L'!K31)</f>
        <v>0</v>
      </c>
    </row>
    <row r="3230" spans="2:7">
      <c r="B3230" s="848" t="str">
        <f>+'4L'!BF32</f>
        <v>W3A00003WT</v>
      </c>
      <c r="D3230" s="2004"/>
      <c r="E3230" s="1658" t="s">
        <v>9033</v>
      </c>
      <c r="F3230" s="2004" t="str">
        <f>+'4L'!C$32</f>
        <v>Leakage Reduction - UQ</v>
      </c>
      <c r="G3230" s="2004">
        <f>IF('4L'!K32="","##BLANK",'4L'!K32)</f>
        <v>0</v>
      </c>
    </row>
    <row r="3231" spans="2:7">
      <c r="B3231" s="848" t="str">
        <f>+'4L'!BF33</f>
        <v>W3A00004WT</v>
      </c>
      <c r="D3231" s="2004"/>
      <c r="E3231" s="1658" t="s">
        <v>9033</v>
      </c>
      <c r="F3231" s="2004" t="str">
        <f>+'4L'!C$33</f>
        <v>Reduction in Interruptions to Supply - UQ</v>
      </c>
      <c r="G3231" s="2004">
        <f>IF('4L'!K33="","##BLANK",'4L'!K33)</f>
        <v>0</v>
      </c>
    </row>
    <row r="3232" spans="2:7">
      <c r="B3232" s="848" t="str">
        <f>+'4L'!BF34</f>
        <v>W3A00005WT</v>
      </c>
      <c r="D3232" s="2004"/>
      <c r="E3232" s="1658" t="s">
        <v>9033</v>
      </c>
      <c r="F3232" s="2004" t="str">
        <f>+'4L'!C$34</f>
        <v>Improving Water Quality - UQ</v>
      </c>
      <c r="G3232" s="2004">
        <f>IF('4L'!K34="","##BLANK",'4L'!K34)</f>
        <v>1.012</v>
      </c>
    </row>
    <row r="3233" spans="2:7">
      <c r="B3233" s="848" t="str">
        <f>+'4L'!BF35</f>
        <v>W3A00006WT</v>
      </c>
      <c r="D3233" s="2004"/>
      <c r="E3233" s="1658" t="s">
        <v>9033</v>
      </c>
      <c r="F3233" s="2004" t="str">
        <f>+'4L'!C$35</f>
        <v>Infrastructure network reinforcement</v>
      </c>
      <c r="G3233" s="2004">
        <f>IF('4L'!K35="","##BLANK",'4L'!K35)</f>
        <v>0</v>
      </c>
    </row>
    <row r="3234" spans="2:7">
      <c r="B3234" s="848" t="str">
        <f>+'4L'!BF36</f>
        <v>W3A00007WT</v>
      </c>
      <c r="D3234" s="2004"/>
      <c r="E3234" s="1658" t="s">
        <v>9033</v>
      </c>
      <c r="F3234" s="2004" t="str">
        <f>+'4L'!C$36</f>
        <v>2020-25 Transition Expenditure - Capex</v>
      </c>
      <c r="G3234" s="2004">
        <f>IF('4L'!K36="","##BLANK",'4L'!K36)</f>
        <v>0.753</v>
      </c>
    </row>
    <row r="3235" spans="2:7">
      <c r="B3235" s="848" t="str">
        <f>+'4L'!BF37</f>
        <v>W3A00008WT</v>
      </c>
      <c r="D3235" s="2004"/>
      <c r="E3235" s="1658" t="s">
        <v>9033</v>
      </c>
      <c r="F3235" s="2004" t="str">
        <f>+'4L'!C$37</f>
        <v>Capital expenditure purpose - WATER additional line 8 [Other categories]</v>
      </c>
      <c r="G3235" s="2004">
        <f>IF('4L'!K37="","##BLANK",'4L'!K37)</f>
        <v>0</v>
      </c>
    </row>
    <row r="3236" spans="2:7">
      <c r="B3236" s="848" t="str">
        <f>+'4L'!BF38</f>
        <v>W3A00009WT</v>
      </c>
      <c r="D3236" s="2004"/>
      <c r="E3236" s="1658" t="s">
        <v>9033</v>
      </c>
      <c r="F3236" s="2004" t="str">
        <f>+'4L'!C$38</f>
        <v>Capital expenditure purpose - WATER additional line 9 [Other categories]</v>
      </c>
      <c r="G3236" s="2004">
        <f>IF('4L'!K38="","##BLANK",'4L'!K38)</f>
        <v>0</v>
      </c>
    </row>
    <row r="3237" spans="2:7">
      <c r="B3237" s="848" t="str">
        <f>+'4L'!BF39</f>
        <v>W3A00010WT</v>
      </c>
      <c r="D3237" s="2004"/>
      <c r="E3237" s="1658" t="s">
        <v>9033</v>
      </c>
      <c r="F3237" s="2004" t="str">
        <f>+'4L'!C$39</f>
        <v>Capital expenditure purpose - WATER additional line 10 [Other categories]</v>
      </c>
      <c r="G3237" s="2004">
        <f>IF('4L'!K39="","##BLANK",'4L'!K39)</f>
        <v>0</v>
      </c>
    </row>
    <row r="3238" spans="2:7">
      <c r="B3238" s="848" t="str">
        <f>+'4L'!BF40</f>
        <v>W3A00011WT</v>
      </c>
      <c r="D3238" s="2004"/>
      <c r="E3238" s="1658" t="s">
        <v>9033</v>
      </c>
      <c r="F3238" s="2004" t="str">
        <f>+'4L'!C$40</f>
        <v>Capital expenditure purpose - WATER additional line 11 [Other categories]</v>
      </c>
      <c r="G3238" s="2004">
        <f>IF('4L'!K40="","##BLANK",'4L'!K40)</f>
        <v>0</v>
      </c>
    </row>
    <row r="3239" spans="2:7">
      <c r="B3239" s="848" t="str">
        <f>+'4L'!BF41</f>
        <v>W3A00012WT</v>
      </c>
      <c r="D3239" s="2004"/>
      <c r="E3239" s="1658" t="s">
        <v>9033</v>
      </c>
      <c r="F3239" s="2004" t="str">
        <f>+'4L'!C$41</f>
        <v>Capital expenditure purpose - WATER additional line 12 [Other categories]</v>
      </c>
      <c r="G3239" s="2004">
        <f>IF('4L'!K41="","##BLANK",'4L'!K41)</f>
        <v>0</v>
      </c>
    </row>
    <row r="3240" spans="2:7">
      <c r="B3240" s="848" t="str">
        <f>+'4L'!BF42</f>
        <v>W3A00013WT</v>
      </c>
      <c r="D3240" s="2004"/>
      <c r="E3240" s="1658" t="s">
        <v>9033</v>
      </c>
      <c r="F3240" s="2004" t="str">
        <f>+'4L'!C$42</f>
        <v>Capital expenditure purpose - WATER additional line 13 [Other categories]</v>
      </c>
      <c r="G3240" s="2004">
        <f>IF('4L'!K42="","##BLANK",'4L'!K42)</f>
        <v>0</v>
      </c>
    </row>
    <row r="3241" spans="2:7">
      <c r="B3241" s="848" t="str">
        <f>+'4L'!BF43</f>
        <v>W3A00014WT</v>
      </c>
      <c r="D3241" s="2004"/>
      <c r="E3241" s="1658" t="s">
        <v>9033</v>
      </c>
      <c r="F3241" s="2004" t="str">
        <f>+'4L'!C$43</f>
        <v>Capital expenditure purpose - WATER additional line 14 [Other categories]</v>
      </c>
      <c r="G3241" s="2004">
        <f>IF('4L'!K43="","##BLANK",'4L'!K43)</f>
        <v>0</v>
      </c>
    </row>
    <row r="3242" spans="2:7">
      <c r="B3242" s="848" t="str">
        <f>+'4L'!BF44</f>
        <v>W3A00015WT</v>
      </c>
      <c r="D3242" s="2004"/>
      <c r="E3242" s="1658" t="s">
        <v>9033</v>
      </c>
      <c r="F3242" s="2004" t="str">
        <f>+'4L'!C$44</f>
        <v>Capital expenditure purpose - WATER additional line 15 [Other categories]</v>
      </c>
      <c r="G3242" s="2004">
        <f>IF('4L'!K44="","##BLANK",'4L'!K44)</f>
        <v>0</v>
      </c>
    </row>
    <row r="3243" spans="2:7">
      <c r="B3243" s="848" t="str">
        <f>+'4L'!BF45</f>
        <v>BA2070WT</v>
      </c>
      <c r="D3243" s="2004"/>
      <c r="E3243" s="1658" t="s">
        <v>9033</v>
      </c>
      <c r="F3243" s="2004"/>
      <c r="G3243" s="2004">
        <f>IF('4L'!K45="","##BLANK",'4L'!K45)</f>
        <v>8.5510000000000002</v>
      </c>
    </row>
    <row r="3244" spans="2:7">
      <c r="B3244" s="848" t="str">
        <f>+'4L'!BG8</f>
        <v>W3001TWD</v>
      </c>
      <c r="D3244" s="2004"/>
      <c r="E3244" s="1658" t="s">
        <v>9033</v>
      </c>
      <c r="F3244" s="2004"/>
      <c r="G3244" s="2004">
        <f>IF('4L'!L8="","##BLANK",'4L'!L8)</f>
        <v>0</v>
      </c>
    </row>
    <row r="3245" spans="2:7">
      <c r="B3245" s="848" t="str">
        <f>+'4L'!BG9</f>
        <v>WS2002TWD</v>
      </c>
      <c r="D3245" s="2004"/>
      <c r="E3245" s="1658" t="s">
        <v>9033</v>
      </c>
      <c r="F3245" s="2004"/>
      <c r="G3245" s="2004">
        <f>IF('4L'!L9="","##BLANK",'4L'!L9)</f>
        <v>0</v>
      </c>
    </row>
    <row r="3246" spans="2:7">
      <c r="B3246" s="848" t="str">
        <f>+'4L'!BG10</f>
        <v>WS2003TWD</v>
      </c>
      <c r="D3246" s="2004"/>
      <c r="E3246" s="1658" t="s">
        <v>9033</v>
      </c>
      <c r="F3246" s="2004"/>
      <c r="G3246" s="2004">
        <f>IF('4L'!L10="","##BLANK",'4L'!L10)</f>
        <v>0</v>
      </c>
    </row>
    <row r="3247" spans="2:7">
      <c r="B3247" s="848" t="str">
        <f>+'4L'!BG11</f>
        <v>W3002TWD</v>
      </c>
      <c r="D3247" s="2004"/>
      <c r="E3247" s="1658" t="s">
        <v>9033</v>
      </c>
      <c r="F3247" s="2004"/>
      <c r="G3247" s="2004">
        <f>IF('4L'!L11="","##BLANK",'4L'!L11)</f>
        <v>1E-3</v>
      </c>
    </row>
    <row r="3248" spans="2:7">
      <c r="B3248" s="848" t="str">
        <f>+'4L'!BG12</f>
        <v>W3003TWD</v>
      </c>
      <c r="D3248" s="2004"/>
      <c r="E3248" s="1658" t="s">
        <v>9033</v>
      </c>
      <c r="F3248" s="2004"/>
      <c r="G3248" s="2004">
        <f>IF('4L'!L12="","##BLANK",'4L'!L12)</f>
        <v>0</v>
      </c>
    </row>
    <row r="3249" spans="2:7">
      <c r="B3249" s="848" t="str">
        <f>+'4L'!BG13</f>
        <v>W3006TWD</v>
      </c>
      <c r="D3249" s="2004"/>
      <c r="E3249" s="1658" t="s">
        <v>9033</v>
      </c>
      <c r="F3249" s="2004"/>
      <c r="G3249" s="2004">
        <f>IF('4L'!L13="","##BLANK",'4L'!L13)</f>
        <v>0.27700000000000002</v>
      </c>
    </row>
    <row r="3250" spans="2:7">
      <c r="B3250" s="848" t="str">
        <f>+'4L'!BG14</f>
        <v>W3007STWD</v>
      </c>
      <c r="D3250" s="2004"/>
      <c r="E3250" s="1658" t="s">
        <v>9033</v>
      </c>
      <c r="F3250" s="2004"/>
      <c r="G3250" s="2004">
        <f>IF('4L'!L14="","##BLANK",'4L'!L14)</f>
        <v>0</v>
      </c>
    </row>
    <row r="3251" spans="2:7">
      <c r="B3251" s="848" t="str">
        <f>+'4L'!BG15</f>
        <v>W3008STWD</v>
      </c>
      <c r="D3251" s="2004"/>
      <c r="E3251" s="1658" t="s">
        <v>9033</v>
      </c>
      <c r="F3251" s="2004"/>
      <c r="G3251" s="2004">
        <f>IF('4L'!L15="","##BLANK",'4L'!L15)</f>
        <v>0</v>
      </c>
    </row>
    <row r="3252" spans="2:7">
      <c r="B3252" s="848" t="str">
        <f>+'4L'!BG16</f>
        <v>W3007DTWD</v>
      </c>
      <c r="D3252" s="2004"/>
      <c r="E3252" s="1658" t="s">
        <v>9033</v>
      </c>
      <c r="F3252" s="2004"/>
      <c r="G3252" s="2004">
        <f>IF('4L'!L16="","##BLANK",'4L'!L16)</f>
        <v>0</v>
      </c>
    </row>
    <row r="3253" spans="2:7">
      <c r="B3253" s="848" t="str">
        <f>+'4L'!BG17</f>
        <v>W3008DTWD</v>
      </c>
      <c r="D3253" s="2004"/>
      <c r="E3253" s="1658" t="s">
        <v>9033</v>
      </c>
      <c r="F3253" s="2004"/>
      <c r="G3253" s="2004">
        <f>IF('4L'!L17="","##BLANK",'4L'!L17)</f>
        <v>0</v>
      </c>
    </row>
    <row r="3254" spans="2:7">
      <c r="B3254" s="848" t="str">
        <f>+'4L'!BG18</f>
        <v>W3009TWD</v>
      </c>
      <c r="D3254" s="2004"/>
      <c r="E3254" s="1658" t="s">
        <v>9033</v>
      </c>
      <c r="F3254" s="2004"/>
      <c r="G3254" s="2004">
        <f>IF('4L'!L18="","##BLANK",'4L'!L18)</f>
        <v>8.0990000000000002</v>
      </c>
    </row>
    <row r="3255" spans="2:7">
      <c r="B3255" s="848" t="str">
        <f>+'4L'!BG19</f>
        <v>WS2004TWD</v>
      </c>
      <c r="D3255" s="2004"/>
      <c r="E3255" s="1658" t="s">
        <v>9033</v>
      </c>
      <c r="F3255" s="2004"/>
      <c r="G3255" s="2004">
        <f>IF('4L'!L19="","##BLANK",'4L'!L19)</f>
        <v>7.2670000000000003</v>
      </c>
    </row>
    <row r="3256" spans="2:7">
      <c r="B3256" s="848" t="str">
        <f>+'4L'!BG20</f>
        <v>W3010TWD</v>
      </c>
      <c r="D3256" s="2004"/>
      <c r="E3256" s="1658" t="s">
        <v>9033</v>
      </c>
      <c r="F3256" s="2004"/>
      <c r="G3256" s="2004">
        <f>IF('4L'!L20="","##BLANK",'4L'!L20)</f>
        <v>-1.4999999999999999E-2</v>
      </c>
    </row>
    <row r="3257" spans="2:7">
      <c r="B3257" s="848" t="str">
        <f>+'4L'!BG21</f>
        <v>W3011TWD</v>
      </c>
      <c r="D3257" s="2004"/>
      <c r="E3257" s="1658" t="s">
        <v>9033</v>
      </c>
      <c r="F3257" s="2004"/>
      <c r="G3257" s="2004">
        <f>IF('4L'!L21="","##BLANK",'4L'!L21)</f>
        <v>0</v>
      </c>
    </row>
    <row r="3258" spans="2:7">
      <c r="B3258" s="848" t="str">
        <f>+'4L'!BG22</f>
        <v>W3012TWD</v>
      </c>
      <c r="D3258" s="2004"/>
      <c r="E3258" s="1658" t="s">
        <v>9033</v>
      </c>
      <c r="F3258" s="2004"/>
      <c r="G3258" s="2004">
        <f>IF('4L'!L22="","##BLANK",'4L'!L22)</f>
        <v>0.753</v>
      </c>
    </row>
    <row r="3259" spans="2:7">
      <c r="B3259" s="848" t="str">
        <f>+'4L'!BG23</f>
        <v>WS2006TWD</v>
      </c>
      <c r="D3259" s="2004"/>
      <c r="E3259" s="1658" t="s">
        <v>9033</v>
      </c>
      <c r="F3259" s="2004"/>
      <c r="G3259" s="2004">
        <f>IF('4L'!L23="","##BLANK",'4L'!L23)</f>
        <v>0</v>
      </c>
    </row>
    <row r="3260" spans="2:7">
      <c r="B3260" s="848" t="str">
        <f>+'4L'!BG24</f>
        <v>WS2007TWD</v>
      </c>
      <c r="D3260" s="2004"/>
      <c r="E3260" s="1658" t="s">
        <v>9033</v>
      </c>
      <c r="F3260" s="2004"/>
      <c r="G3260" s="2004">
        <f>IF('4L'!L24="","##BLANK",'4L'!L24)</f>
        <v>0</v>
      </c>
    </row>
    <row r="3261" spans="2:7">
      <c r="B3261" s="848" t="str">
        <f>+'4L'!BG25</f>
        <v>WS2008TWD</v>
      </c>
      <c r="D3261" s="2004"/>
      <c r="E3261" s="1658" t="s">
        <v>9033</v>
      </c>
      <c r="F3261" s="2004"/>
      <c r="G3261" s="2004">
        <f>IF('4L'!L25="","##BLANK",'4L'!L25)</f>
        <v>0</v>
      </c>
    </row>
    <row r="3262" spans="2:7">
      <c r="B3262" s="848" t="str">
        <f>+'4L'!BG26</f>
        <v>W3027TWD</v>
      </c>
      <c r="D3262" s="2004"/>
      <c r="E3262" s="1658" t="s">
        <v>9033</v>
      </c>
      <c r="F3262" s="2004"/>
      <c r="G3262" s="2004">
        <f>IF('4L'!L26="","##BLANK",'4L'!L26)</f>
        <v>0</v>
      </c>
    </row>
    <row r="3263" spans="2:7">
      <c r="B3263" s="848" t="str">
        <f>+'4L'!BG27</f>
        <v>W3028OPTTWD</v>
      </c>
      <c r="D3263" s="2004"/>
      <c r="E3263" s="1658" t="s">
        <v>9033</v>
      </c>
      <c r="F3263" s="2004"/>
      <c r="G3263" s="2004">
        <f>IF('4L'!L27="","##BLANK",'4L'!L27)</f>
        <v>8.39</v>
      </c>
    </row>
    <row r="3264" spans="2:7">
      <c r="B3264" s="848" t="str">
        <f>+'4L'!BG28</f>
        <v>W3028COMTWD</v>
      </c>
      <c r="D3264" s="2004"/>
      <c r="E3264" s="1658" t="s">
        <v>9033</v>
      </c>
      <c r="F3264" s="2004"/>
      <c r="G3264" s="2004">
        <f>IF('4L'!L28="","##BLANK",'4L'!L28)</f>
        <v>0</v>
      </c>
    </row>
    <row r="3265" spans="2:7">
      <c r="B3265" s="848" t="str">
        <f>+'4L'!BG29</f>
        <v>W3028NHOTWD</v>
      </c>
      <c r="D3265" s="2004"/>
      <c r="E3265" s="1658" t="s">
        <v>9033</v>
      </c>
      <c r="F3265" s="2004"/>
      <c r="G3265" s="2004">
        <f>IF('4L'!L29="","##BLANK",'4L'!L29)</f>
        <v>0</v>
      </c>
    </row>
    <row r="3266" spans="2:7">
      <c r="B3266" s="848" t="str">
        <f>+'4L'!BG30</f>
        <v>W3A00001TWD</v>
      </c>
      <c r="D3266" s="2004"/>
      <c r="E3266" s="1658" t="s">
        <v>9033</v>
      </c>
      <c r="F3266" s="2004" t="str">
        <f>+'4L'!C$30</f>
        <v>Drought Management Plan</v>
      </c>
      <c r="G3266" s="2004">
        <f>IF('4L'!L30="","##BLANK",'4L'!L30)</f>
        <v>0</v>
      </c>
    </row>
    <row r="3267" spans="2:7">
      <c r="B3267" s="848" t="str">
        <f>+'4L'!BG31</f>
        <v>W3A00002TWD</v>
      </c>
      <c r="D3267" s="2004"/>
      <c r="E3267" s="1658" t="s">
        <v>9033</v>
      </c>
      <c r="F3267" s="2004" t="str">
        <f>+'4L'!C$31</f>
        <v>Exclusions</v>
      </c>
      <c r="G3267" s="2004">
        <f>IF('4L'!L31="","##BLANK",'4L'!L31)</f>
        <v>0</v>
      </c>
    </row>
    <row r="3268" spans="2:7">
      <c r="B3268" s="848" t="str">
        <f>+'4L'!BG32</f>
        <v>W3A00003TWD</v>
      </c>
      <c r="D3268" s="2004"/>
      <c r="E3268" s="1658" t="s">
        <v>9033</v>
      </c>
      <c r="F3268" s="2004" t="str">
        <f>+'4L'!C$32</f>
        <v>Leakage Reduction - UQ</v>
      </c>
      <c r="G3268" s="2004">
        <f>IF('4L'!L32="","##BLANK",'4L'!L32)</f>
        <v>46.616999999999997</v>
      </c>
    </row>
    <row r="3269" spans="2:7">
      <c r="B3269" s="848" t="str">
        <f>+'4L'!BG33</f>
        <v>W3A00004TWD</v>
      </c>
      <c r="D3269" s="2004"/>
      <c r="E3269" s="1658" t="s">
        <v>9033</v>
      </c>
      <c r="F3269" s="2004" t="str">
        <f>+'4L'!C$33</f>
        <v>Reduction in Interruptions to Supply - UQ</v>
      </c>
      <c r="G3269" s="2004">
        <f>IF('4L'!L33="","##BLANK",'4L'!L33)</f>
        <v>3.7549999999999999</v>
      </c>
    </row>
    <row r="3270" spans="2:7">
      <c r="B3270" s="848" t="str">
        <f>+'4L'!BG34</f>
        <v>W3A00005TWD</v>
      </c>
      <c r="D3270" s="2004"/>
      <c r="E3270" s="1658" t="s">
        <v>9033</v>
      </c>
      <c r="F3270" s="2004" t="str">
        <f>+'4L'!C$34</f>
        <v>Improving Water Quality - UQ</v>
      </c>
      <c r="G3270" s="2004">
        <f>IF('4L'!L34="","##BLANK",'4L'!L34)</f>
        <v>0</v>
      </c>
    </row>
    <row r="3271" spans="2:7">
      <c r="B3271" s="848" t="str">
        <f>+'4L'!BG35</f>
        <v>W3A00006TWD</v>
      </c>
      <c r="D3271" s="2004"/>
      <c r="E3271" s="1658" t="s">
        <v>9033</v>
      </c>
      <c r="F3271" s="2004" t="str">
        <f>+'4L'!C$35</f>
        <v>Infrastructure network reinforcement</v>
      </c>
      <c r="G3271" s="2004">
        <f>IF('4L'!L35="","##BLANK",'4L'!L35)</f>
        <v>4.4180000000000001</v>
      </c>
    </row>
    <row r="3272" spans="2:7">
      <c r="B3272" s="848" t="str">
        <f>+'4L'!BG36</f>
        <v>W3A00007TWD</v>
      </c>
      <c r="D3272" s="2004"/>
      <c r="E3272" s="1658" t="s">
        <v>9033</v>
      </c>
      <c r="F3272" s="2004" t="str">
        <f>+'4L'!C$36</f>
        <v>2020-25 Transition Expenditure - Capex</v>
      </c>
      <c r="G3272" s="2004">
        <f>IF('4L'!L36="","##BLANK",'4L'!L36)</f>
        <v>0</v>
      </c>
    </row>
    <row r="3273" spans="2:7">
      <c r="B3273" s="848" t="str">
        <f>+'4L'!BG37</f>
        <v>W3A00008TWD</v>
      </c>
      <c r="D3273" s="2004"/>
      <c r="E3273" s="1658" t="s">
        <v>9033</v>
      </c>
      <c r="F3273" s="2004" t="str">
        <f>+'4L'!C$37</f>
        <v>Capital expenditure purpose - WATER additional line 8 [Other categories]</v>
      </c>
      <c r="G3273" s="2004">
        <f>IF('4L'!L37="","##BLANK",'4L'!L37)</f>
        <v>0</v>
      </c>
    </row>
    <row r="3274" spans="2:7">
      <c r="B3274" s="848" t="str">
        <f>+'4L'!BG38</f>
        <v>W3A00009TWD</v>
      </c>
      <c r="D3274" s="2004"/>
      <c r="E3274" s="1658" t="s">
        <v>9033</v>
      </c>
      <c r="F3274" s="2004" t="str">
        <f>+'4L'!C$38</f>
        <v>Capital expenditure purpose - WATER additional line 9 [Other categories]</v>
      </c>
      <c r="G3274" s="2004">
        <f>IF('4L'!L38="","##BLANK",'4L'!L38)</f>
        <v>0</v>
      </c>
    </row>
    <row r="3275" spans="2:7">
      <c r="B3275" s="848" t="str">
        <f>+'4L'!BG39</f>
        <v>W3A00010TWD</v>
      </c>
      <c r="D3275" s="2004"/>
      <c r="E3275" s="1658" t="s">
        <v>9033</v>
      </c>
      <c r="F3275" s="2004" t="str">
        <f>+'4L'!C$39</f>
        <v>Capital expenditure purpose - WATER additional line 10 [Other categories]</v>
      </c>
      <c r="G3275" s="2004">
        <f>IF('4L'!L39="","##BLANK",'4L'!L39)</f>
        <v>0</v>
      </c>
    </row>
    <row r="3276" spans="2:7">
      <c r="B3276" s="848" t="str">
        <f>+'4L'!BG40</f>
        <v>W3A00011TWD</v>
      </c>
      <c r="D3276" s="2004"/>
      <c r="E3276" s="1658" t="s">
        <v>9033</v>
      </c>
      <c r="F3276" s="2004" t="str">
        <f>+'4L'!C$40</f>
        <v>Capital expenditure purpose - WATER additional line 11 [Other categories]</v>
      </c>
      <c r="G3276" s="2004">
        <f>IF('4L'!L40="","##BLANK",'4L'!L40)</f>
        <v>0</v>
      </c>
    </row>
    <row r="3277" spans="2:7">
      <c r="B3277" s="848" t="str">
        <f>+'4L'!BG41</f>
        <v>W3A00012TWD</v>
      </c>
      <c r="D3277" s="2004"/>
      <c r="E3277" s="1658" t="s">
        <v>9033</v>
      </c>
      <c r="F3277" s="2004" t="str">
        <f>+'4L'!C$41</f>
        <v>Capital expenditure purpose - WATER additional line 12 [Other categories]</v>
      </c>
      <c r="G3277" s="2004">
        <f>IF('4L'!L41="","##BLANK",'4L'!L41)</f>
        <v>0</v>
      </c>
    </row>
    <row r="3278" spans="2:7">
      <c r="B3278" s="848" t="str">
        <f>+'4L'!BG42</f>
        <v>W3A00013TWD</v>
      </c>
      <c r="D3278" s="2004"/>
      <c r="E3278" s="1658" t="s">
        <v>9033</v>
      </c>
      <c r="F3278" s="2004" t="str">
        <f>+'4L'!C$42</f>
        <v>Capital expenditure purpose - WATER additional line 13 [Other categories]</v>
      </c>
      <c r="G3278" s="2004">
        <f>IF('4L'!L42="","##BLANK",'4L'!L42)</f>
        <v>0</v>
      </c>
    </row>
    <row r="3279" spans="2:7">
      <c r="B3279" s="848" t="str">
        <f>+'4L'!BG43</f>
        <v>W3A00014TWD</v>
      </c>
      <c r="D3279" s="2004"/>
      <c r="E3279" s="1658" t="s">
        <v>9033</v>
      </c>
      <c r="F3279" s="2004" t="str">
        <f>+'4L'!C$43</f>
        <v>Capital expenditure purpose - WATER additional line 14 [Other categories]</v>
      </c>
      <c r="G3279" s="2004">
        <f>IF('4L'!L43="","##BLANK",'4L'!L43)</f>
        <v>0</v>
      </c>
    </row>
    <row r="3280" spans="2:7">
      <c r="B3280" s="848" t="str">
        <f>+'4L'!BG44</f>
        <v>W3A00015TWD</v>
      </c>
      <c r="D3280" s="2004"/>
      <c r="E3280" s="1658" t="s">
        <v>9033</v>
      </c>
      <c r="F3280" s="2004" t="str">
        <f>+'4L'!C$44</f>
        <v>Capital expenditure purpose - WATER additional line 15 [Other categories]</v>
      </c>
      <c r="G3280" s="2004">
        <f>IF('4L'!L44="","##BLANK",'4L'!L44)</f>
        <v>0</v>
      </c>
    </row>
    <row r="3281" spans="2:7">
      <c r="B3281" s="848" t="str">
        <f>+'4L'!BG45</f>
        <v>BA2070TWD</v>
      </c>
      <c r="D3281" s="2004"/>
      <c r="E3281" s="1658" t="s">
        <v>9033</v>
      </c>
      <c r="F3281" s="2004"/>
      <c r="G3281" s="2004">
        <f>IF('4L'!L45="","##BLANK",'4L'!L45)</f>
        <v>79.561999999999998</v>
      </c>
    </row>
    <row r="3282" spans="2:7">
      <c r="B3282" s="848" t="str">
        <f>+'4L'!BH8</f>
        <v>W3001CAW</v>
      </c>
      <c r="D3282" s="2004"/>
      <c r="E3282" s="1658" t="s">
        <v>9033</v>
      </c>
      <c r="F3282" s="2004"/>
      <c r="G3282" s="2004">
        <f>IF('4L'!M8="","##BLANK",'4L'!M8)</f>
        <v>2.9260000000000002</v>
      </c>
    </row>
    <row r="3283" spans="2:7">
      <c r="B3283" s="848" t="str">
        <f>+'4L'!BH9</f>
        <v>WS2002CAW</v>
      </c>
      <c r="D3283" s="2004"/>
      <c r="E3283" s="1658" t="s">
        <v>9033</v>
      </c>
      <c r="F3283" s="2004"/>
      <c r="G3283" s="2004">
        <f>IF('4L'!M9="","##BLANK",'4L'!M9)</f>
        <v>0.69599999999999995</v>
      </c>
    </row>
    <row r="3284" spans="2:7">
      <c r="B3284" s="848" t="str">
        <f>+'4L'!BH10</f>
        <v>WS2003CAW</v>
      </c>
      <c r="D3284" s="2004"/>
      <c r="E3284" s="1658" t="s">
        <v>9033</v>
      </c>
      <c r="F3284" s="2004"/>
      <c r="G3284" s="2004">
        <f>IF('4L'!M10="","##BLANK",'4L'!M10)</f>
        <v>7.3999999999999996E-2</v>
      </c>
    </row>
    <row r="3285" spans="2:7">
      <c r="B3285" s="848" t="str">
        <f>+'4L'!BH11</f>
        <v>W3002CAW</v>
      </c>
      <c r="D3285" s="2004"/>
      <c r="E3285" s="1658" t="s">
        <v>9033</v>
      </c>
      <c r="F3285" s="2004"/>
      <c r="G3285" s="2004">
        <f>IF('4L'!M11="","##BLANK",'4L'!M11)</f>
        <v>1E-3</v>
      </c>
    </row>
    <row r="3286" spans="2:7">
      <c r="B3286" s="848" t="str">
        <f>+'4L'!BH12</f>
        <v>W3003CAW</v>
      </c>
      <c r="D3286" s="2004"/>
      <c r="E3286" s="1658" t="s">
        <v>9033</v>
      </c>
      <c r="F3286" s="2004"/>
      <c r="G3286" s="2004">
        <f>IF('4L'!M12="","##BLANK",'4L'!M12)</f>
        <v>0</v>
      </c>
    </row>
    <row r="3287" spans="2:7">
      <c r="B3287" s="848" t="str">
        <f>+'4L'!BH13</f>
        <v>W3006CAW</v>
      </c>
      <c r="D3287" s="2004"/>
      <c r="E3287" s="1658" t="s">
        <v>9033</v>
      </c>
      <c r="F3287" s="2004"/>
      <c r="G3287" s="2004">
        <f>IF('4L'!M13="","##BLANK",'4L'!M13)</f>
        <v>0.27700000000000002</v>
      </c>
    </row>
    <row r="3288" spans="2:7">
      <c r="B3288" s="848" t="str">
        <f>+'4L'!BH14</f>
        <v>W3007SCAW</v>
      </c>
      <c r="D3288" s="2004"/>
      <c r="E3288" s="1658" t="s">
        <v>9033</v>
      </c>
      <c r="F3288" s="2004"/>
      <c r="G3288" s="2004">
        <f>IF('4L'!M14="","##BLANK",'4L'!M14)</f>
        <v>0</v>
      </c>
    </row>
    <row r="3289" spans="2:7">
      <c r="B3289" s="848" t="str">
        <f>+'4L'!BH15</f>
        <v>W3008SCAW</v>
      </c>
      <c r="D3289" s="2004"/>
      <c r="E3289" s="1658" t="s">
        <v>9033</v>
      </c>
      <c r="F3289" s="2004"/>
      <c r="G3289" s="2004">
        <f>IF('4L'!M15="","##BLANK",'4L'!M15)</f>
        <v>0</v>
      </c>
    </row>
    <row r="3290" spans="2:7">
      <c r="B3290" s="848" t="str">
        <f>+'4L'!BH16</f>
        <v>W3007DCAW</v>
      </c>
      <c r="D3290" s="2004"/>
      <c r="E3290" s="1658" t="s">
        <v>9033</v>
      </c>
      <c r="F3290" s="2004"/>
      <c r="G3290" s="2004">
        <f>IF('4L'!M16="","##BLANK",'4L'!M16)</f>
        <v>0</v>
      </c>
    </row>
    <row r="3291" spans="2:7">
      <c r="B3291" s="848" t="str">
        <f>+'4L'!BH17</f>
        <v>W3008DCAW</v>
      </c>
      <c r="D3291" s="2004"/>
      <c r="E3291" s="1658" t="s">
        <v>9033</v>
      </c>
      <c r="F3291" s="2004"/>
      <c r="G3291" s="2004">
        <f>IF('4L'!M17="","##BLANK",'4L'!M17)</f>
        <v>0</v>
      </c>
    </row>
    <row r="3292" spans="2:7">
      <c r="B3292" s="848" t="str">
        <f>+'4L'!BH18</f>
        <v>W3009CAW</v>
      </c>
      <c r="D3292" s="2004"/>
      <c r="E3292" s="1658" t="s">
        <v>9033</v>
      </c>
      <c r="F3292" s="2004"/>
      <c r="G3292" s="2004">
        <f>IF('4L'!M18="","##BLANK",'4L'!M18)</f>
        <v>8.0990000000000002</v>
      </c>
    </row>
    <row r="3293" spans="2:7">
      <c r="B3293" s="848" t="str">
        <f>+'4L'!BH19</f>
        <v>WS2004CAW</v>
      </c>
      <c r="D3293" s="2004"/>
      <c r="E3293" s="1658" t="s">
        <v>9033</v>
      </c>
      <c r="F3293" s="2004"/>
      <c r="G3293" s="2004">
        <f>IF('4L'!M19="","##BLANK",'4L'!M19)</f>
        <v>7.2670000000000003</v>
      </c>
    </row>
    <row r="3294" spans="2:7">
      <c r="B3294" s="848" t="str">
        <f>+'4L'!BH20</f>
        <v>W3010CAW</v>
      </c>
      <c r="D3294" s="2004"/>
      <c r="E3294" s="1658" t="s">
        <v>9033</v>
      </c>
      <c r="F3294" s="2004"/>
      <c r="G3294" s="2004">
        <f>IF('4L'!M20="","##BLANK",'4L'!M20)</f>
        <v>6.2450000000000001</v>
      </c>
    </row>
    <row r="3295" spans="2:7">
      <c r="B3295" s="848" t="str">
        <f>+'4L'!BH21</f>
        <v>W3011CAW</v>
      </c>
      <c r="D3295" s="2004"/>
      <c r="E3295" s="1658" t="s">
        <v>9033</v>
      </c>
      <c r="F3295" s="2004"/>
      <c r="G3295" s="2004">
        <f>IF('4L'!M21="","##BLANK",'4L'!M21)</f>
        <v>0</v>
      </c>
    </row>
    <row r="3296" spans="2:7">
      <c r="B3296" s="848" t="str">
        <f>+'4L'!BH22</f>
        <v>W3012CAW</v>
      </c>
      <c r="D3296" s="2004"/>
      <c r="E3296" s="1658" t="s">
        <v>9033</v>
      </c>
      <c r="F3296" s="2004"/>
      <c r="G3296" s="2004">
        <f>IF('4L'!M22="","##BLANK",'4L'!M22)</f>
        <v>1.0900000000000001</v>
      </c>
    </row>
    <row r="3297" spans="2:7">
      <c r="B3297" s="848" t="str">
        <f>+'4L'!BH23</f>
        <v>WS2006CAW</v>
      </c>
      <c r="D3297" s="2004"/>
      <c r="E3297" s="1658" t="s">
        <v>9033</v>
      </c>
      <c r="F3297" s="2004"/>
      <c r="G3297" s="2004">
        <f>IF('4L'!M23="","##BLANK",'4L'!M23)</f>
        <v>0</v>
      </c>
    </row>
    <row r="3298" spans="2:7">
      <c r="B3298" s="848" t="str">
        <f>+'4L'!BH24</f>
        <v>WS2007CAW</v>
      </c>
      <c r="D3298" s="2004"/>
      <c r="E3298" s="1658" t="s">
        <v>9033</v>
      </c>
      <c r="F3298" s="2004"/>
      <c r="G3298" s="2004">
        <f>IF('4L'!M24="","##BLANK",'4L'!M24)</f>
        <v>0</v>
      </c>
    </row>
    <row r="3299" spans="2:7">
      <c r="B3299" s="848" t="str">
        <f>+'4L'!BH25</f>
        <v>WS2008CAW</v>
      </c>
      <c r="D3299" s="2004"/>
      <c r="E3299" s="1658" t="s">
        <v>9033</v>
      </c>
      <c r="F3299" s="2004"/>
      <c r="G3299" s="2004">
        <f>IF('4L'!M25="","##BLANK",'4L'!M25)</f>
        <v>0</v>
      </c>
    </row>
    <row r="3300" spans="2:7">
      <c r="B3300" s="848" t="str">
        <f>+'4L'!BH26</f>
        <v>W3027CAW</v>
      </c>
      <c r="D3300" s="2004"/>
      <c r="E3300" s="1658" t="s">
        <v>9033</v>
      </c>
      <c r="F3300" s="2004"/>
      <c r="G3300" s="2004">
        <f>IF('4L'!M26="","##BLANK",'4L'!M26)</f>
        <v>0.27300000000000002</v>
      </c>
    </row>
    <row r="3301" spans="2:7">
      <c r="B3301" s="848" t="str">
        <f>+'4L'!BH27</f>
        <v>W3028OPTCAW</v>
      </c>
      <c r="D3301" s="2004"/>
      <c r="E3301" s="1658" t="s">
        <v>9033</v>
      </c>
      <c r="F3301" s="2004"/>
      <c r="G3301" s="2004">
        <f>IF('4L'!M27="","##BLANK",'4L'!M27)</f>
        <v>8.39</v>
      </c>
    </row>
    <row r="3302" spans="2:7">
      <c r="B3302" s="848" t="str">
        <f>+'4L'!BH28</f>
        <v>W3028COMCAW</v>
      </c>
      <c r="D3302" s="2004"/>
      <c r="E3302" s="1658" t="s">
        <v>9033</v>
      </c>
      <c r="F3302" s="2004"/>
      <c r="G3302" s="2004">
        <f>IF('4L'!M28="","##BLANK",'4L'!M28)</f>
        <v>0</v>
      </c>
    </row>
    <row r="3303" spans="2:7">
      <c r="B3303" s="848" t="str">
        <f>+'4L'!BH29</f>
        <v>W3028NHOCAW</v>
      </c>
      <c r="D3303" s="2004"/>
      <c r="E3303" s="1658" t="s">
        <v>9033</v>
      </c>
      <c r="F3303" s="2004"/>
      <c r="G3303" s="2004">
        <f>IF('4L'!M29="","##BLANK",'4L'!M29)</f>
        <v>0</v>
      </c>
    </row>
    <row r="3304" spans="2:7">
      <c r="B3304" s="848" t="str">
        <f>+'4L'!BH30</f>
        <v>W3A00001CAW</v>
      </c>
      <c r="D3304" s="2004"/>
      <c r="E3304" s="1658" t="s">
        <v>9033</v>
      </c>
      <c r="F3304" s="2004" t="str">
        <f>+'4L'!C$30</f>
        <v>Drought Management Plan</v>
      </c>
      <c r="G3304" s="2004">
        <f>IF('4L'!M30="","##BLANK",'4L'!M30)</f>
        <v>0.16200000000000001</v>
      </c>
    </row>
    <row r="3305" spans="2:7">
      <c r="B3305" s="848" t="str">
        <f>+'4L'!BH31</f>
        <v>W3A00002CAW</v>
      </c>
      <c r="D3305" s="2004"/>
      <c r="E3305" s="1658" t="s">
        <v>9033</v>
      </c>
      <c r="F3305" s="2004" t="str">
        <f>+'4L'!C$31</f>
        <v>Exclusions</v>
      </c>
      <c r="G3305" s="2004">
        <f>IF('4L'!M31="","##BLANK",'4L'!M31)</f>
        <v>0</v>
      </c>
    </row>
    <row r="3306" spans="2:7">
      <c r="B3306" s="848" t="str">
        <f>+'4L'!BH32</f>
        <v>W3A00003CAW</v>
      </c>
      <c r="D3306" s="2004"/>
      <c r="E3306" s="1658" t="s">
        <v>9033</v>
      </c>
      <c r="F3306" s="2004" t="str">
        <f>+'4L'!C$32</f>
        <v>Leakage Reduction - UQ</v>
      </c>
      <c r="G3306" s="2004">
        <f>IF('4L'!M32="","##BLANK",'4L'!M32)</f>
        <v>46.616999999999997</v>
      </c>
    </row>
    <row r="3307" spans="2:7">
      <c r="B3307" s="848" t="str">
        <f>+'4L'!BH33</f>
        <v>W3A00004CAW</v>
      </c>
      <c r="D3307" s="2004"/>
      <c r="E3307" s="1658" t="s">
        <v>9033</v>
      </c>
      <c r="F3307" s="2004" t="str">
        <f>+'4L'!C$33</f>
        <v>Reduction in Interruptions to Supply - UQ</v>
      </c>
      <c r="G3307" s="2004">
        <f>IF('4L'!M33="","##BLANK",'4L'!M33)</f>
        <v>3.7549999999999999</v>
      </c>
    </row>
    <row r="3308" spans="2:7">
      <c r="B3308" s="848" t="str">
        <f>+'4L'!BH34</f>
        <v>W3A00005CAW</v>
      </c>
      <c r="D3308" s="2004"/>
      <c r="E3308" s="1658" t="s">
        <v>9033</v>
      </c>
      <c r="F3308" s="2004" t="str">
        <f>+'4L'!C$34</f>
        <v>Improving Water Quality - UQ</v>
      </c>
      <c r="G3308" s="2004">
        <f>IF('4L'!M34="","##BLANK",'4L'!M34)</f>
        <v>1.012</v>
      </c>
    </row>
    <row r="3309" spans="2:7">
      <c r="B3309" s="848" t="str">
        <f>+'4L'!BH35</f>
        <v>W3A00006CAW</v>
      </c>
      <c r="D3309" s="2004"/>
      <c r="E3309" s="1658" t="s">
        <v>9033</v>
      </c>
      <c r="F3309" s="2004" t="str">
        <f>+'4L'!C$35</f>
        <v>Infrastructure network reinforcement</v>
      </c>
      <c r="G3309" s="2004">
        <f>IF('4L'!M35="","##BLANK",'4L'!M35)</f>
        <v>4.4180000000000001</v>
      </c>
    </row>
    <row r="3310" spans="2:7">
      <c r="B3310" s="848" t="str">
        <f>+'4L'!BH36</f>
        <v>W3A00007CAW</v>
      </c>
      <c r="D3310" s="2004"/>
      <c r="E3310" s="1658" t="s">
        <v>9033</v>
      </c>
      <c r="F3310" s="2004" t="str">
        <f>+'4L'!C$36</f>
        <v>2020-25 Transition Expenditure - Capex</v>
      </c>
      <c r="G3310" s="2004">
        <f>IF('4L'!M36="","##BLANK",'4L'!M36)</f>
        <v>0.86699999999999999</v>
      </c>
    </row>
    <row r="3311" spans="2:7">
      <c r="B3311" s="848" t="str">
        <f>+'4L'!BH37</f>
        <v>W3A00008CAW</v>
      </c>
      <c r="D3311" s="2004"/>
      <c r="E3311" s="1658" t="s">
        <v>9033</v>
      </c>
      <c r="F3311" s="2004" t="str">
        <f>+'4L'!C$37</f>
        <v>Capital expenditure purpose - WATER additional line 8 [Other categories]</v>
      </c>
      <c r="G3311" s="2004">
        <f>IF('4L'!M37="","##BLANK",'4L'!M37)</f>
        <v>0</v>
      </c>
    </row>
    <row r="3312" spans="2:7">
      <c r="B3312" s="848" t="str">
        <f>+'4L'!BH38</f>
        <v>W3A00009CAW</v>
      </c>
      <c r="D3312" s="2004"/>
      <c r="E3312" s="1658" t="s">
        <v>9033</v>
      </c>
      <c r="F3312" s="2004" t="str">
        <f>+'4L'!C$38</f>
        <v>Capital expenditure purpose - WATER additional line 9 [Other categories]</v>
      </c>
      <c r="G3312" s="2004">
        <f>IF('4L'!M38="","##BLANK",'4L'!M38)</f>
        <v>0</v>
      </c>
    </row>
    <row r="3313" spans="2:7">
      <c r="B3313" s="848" t="str">
        <f>+'4L'!BH39</f>
        <v>W3A00010CAW</v>
      </c>
      <c r="D3313" s="2004"/>
      <c r="E3313" s="1658" t="s">
        <v>9033</v>
      </c>
      <c r="F3313" s="2004" t="str">
        <f>+'4L'!C$39</f>
        <v>Capital expenditure purpose - WATER additional line 10 [Other categories]</v>
      </c>
      <c r="G3313" s="2004">
        <f>IF('4L'!M39="","##BLANK",'4L'!M39)</f>
        <v>0</v>
      </c>
    </row>
    <row r="3314" spans="2:7">
      <c r="B3314" s="848" t="str">
        <f>+'4L'!BH40</f>
        <v>W3A00011CAW</v>
      </c>
      <c r="D3314" s="2004"/>
      <c r="E3314" s="1658" t="s">
        <v>9033</v>
      </c>
      <c r="F3314" s="2004" t="str">
        <f>+'4L'!C$40</f>
        <v>Capital expenditure purpose - WATER additional line 11 [Other categories]</v>
      </c>
      <c r="G3314" s="2004">
        <f>IF('4L'!M40="","##BLANK",'4L'!M40)</f>
        <v>0</v>
      </c>
    </row>
    <row r="3315" spans="2:7">
      <c r="B3315" s="848" t="str">
        <f>+'4L'!BH41</f>
        <v>W3A00012CAW</v>
      </c>
      <c r="D3315" s="2004"/>
      <c r="E3315" s="1658" t="s">
        <v>9033</v>
      </c>
      <c r="F3315" s="2004" t="str">
        <f>+'4L'!C$41</f>
        <v>Capital expenditure purpose - WATER additional line 12 [Other categories]</v>
      </c>
      <c r="G3315" s="2004">
        <f>IF('4L'!M41="","##BLANK",'4L'!M41)</f>
        <v>0</v>
      </c>
    </row>
    <row r="3316" spans="2:7">
      <c r="B3316" s="848" t="str">
        <f>+'4L'!BH42</f>
        <v>W3A00013CAW</v>
      </c>
      <c r="D3316" s="2004"/>
      <c r="E3316" s="1658" t="s">
        <v>9033</v>
      </c>
      <c r="F3316" s="2004" t="str">
        <f>+'4L'!C$42</f>
        <v>Capital expenditure purpose - WATER additional line 13 [Other categories]</v>
      </c>
      <c r="G3316" s="2004">
        <f>IF('4L'!M42="","##BLANK",'4L'!M42)</f>
        <v>0</v>
      </c>
    </row>
    <row r="3317" spans="2:7">
      <c r="B3317" s="848" t="str">
        <f>+'4L'!BH43</f>
        <v>W3A00014CAW</v>
      </c>
      <c r="D3317" s="2004"/>
      <c r="E3317" s="1658" t="s">
        <v>9033</v>
      </c>
      <c r="F3317" s="2004" t="str">
        <f>+'4L'!C$43</f>
        <v>Capital expenditure purpose - WATER additional line 14 [Other categories]</v>
      </c>
      <c r="G3317" s="2004">
        <f>IF('4L'!M43="","##BLANK",'4L'!M43)</f>
        <v>0</v>
      </c>
    </row>
    <row r="3318" spans="2:7">
      <c r="B3318" s="848" t="str">
        <f>+'4L'!BH44</f>
        <v>W3A00015CAW</v>
      </c>
      <c r="D3318" s="2004"/>
      <c r="E3318" s="1658" t="s">
        <v>9033</v>
      </c>
      <c r="F3318" s="2004" t="str">
        <f>+'4L'!C$44</f>
        <v>Capital expenditure purpose - WATER additional line 15 [Other categories]</v>
      </c>
      <c r="G3318" s="2004">
        <f>IF('4L'!M44="","##BLANK",'4L'!M44)</f>
        <v>0</v>
      </c>
    </row>
    <row r="3319" spans="2:7">
      <c r="B3319" s="848" t="str">
        <f>+'4L'!BH45</f>
        <v>BA2070CAW</v>
      </c>
      <c r="D3319" s="2004"/>
      <c r="E3319" s="1658" t="s">
        <v>9033</v>
      </c>
      <c r="F3319" s="2004"/>
      <c r="G3319" s="2004">
        <f>IF('4L'!M45="","##BLANK",'4L'!M45)</f>
        <v>92.168999999999997</v>
      </c>
    </row>
    <row r="3320" spans="2:7">
      <c r="B3320" s="848" t="str">
        <f>+'4L'!BI8</f>
        <v>W3001ALCUM</v>
      </c>
      <c r="D3320" s="2004"/>
      <c r="E3320" s="1658" t="s">
        <v>9033</v>
      </c>
      <c r="F3320" s="2004"/>
      <c r="G3320" s="2004">
        <f>IF('4L'!N8="","##BLANK",'4L'!N8)</f>
        <v>0</v>
      </c>
    </row>
    <row r="3321" spans="2:7">
      <c r="B3321" s="848" t="str">
        <f>+'4L'!BI9</f>
        <v>WS2002ALCUM</v>
      </c>
      <c r="D3321" s="2004"/>
      <c r="E3321" s="1658" t="s">
        <v>9033</v>
      </c>
      <c r="F3321" s="2004"/>
      <c r="G3321" s="2004">
        <f>IF('4L'!N9="","##BLANK",'4L'!N9)</f>
        <v>0</v>
      </c>
    </row>
    <row r="3322" spans="2:7">
      <c r="B3322" s="848" t="str">
        <f>+'4L'!BI10</f>
        <v>WS2003ALCUM</v>
      </c>
      <c r="D3322" s="2004"/>
      <c r="E3322" s="1658" t="s">
        <v>9033</v>
      </c>
      <c r="F3322" s="2004"/>
      <c r="G3322" s="2004">
        <f>IF('4L'!N10="","##BLANK",'4L'!N10)</f>
        <v>0</v>
      </c>
    </row>
    <row r="3323" spans="2:7">
      <c r="B3323" s="848" t="str">
        <f>+'4L'!BI11</f>
        <v>W3002ALCUM</v>
      </c>
      <c r="D3323" s="2004"/>
      <c r="E3323" s="1658" t="s">
        <v>9033</v>
      </c>
      <c r="F3323" s="2004"/>
      <c r="G3323" s="2004">
        <f>IF('4L'!N11="","##BLANK",'4L'!N11)</f>
        <v>0</v>
      </c>
    </row>
    <row r="3324" spans="2:7">
      <c r="B3324" s="848" t="str">
        <f>+'4L'!BI12</f>
        <v>W3003ALCUM</v>
      </c>
      <c r="D3324" s="2004"/>
      <c r="E3324" s="1658" t="s">
        <v>9033</v>
      </c>
      <c r="F3324" s="2004"/>
      <c r="G3324" s="2004">
        <f>IF('4L'!N12="","##BLANK",'4L'!N12)</f>
        <v>0</v>
      </c>
    </row>
    <row r="3325" spans="2:7">
      <c r="B3325" s="848" t="str">
        <f>+'4L'!BI13</f>
        <v>W3006ALCUM</v>
      </c>
      <c r="D3325" s="2004"/>
      <c r="E3325" s="1658" t="s">
        <v>9033</v>
      </c>
      <c r="F3325" s="2004"/>
      <c r="G3325" s="2004">
        <f>IF('4L'!N13="","##BLANK",'4L'!N13)</f>
        <v>0</v>
      </c>
    </row>
    <row r="3326" spans="2:7">
      <c r="B3326" s="848" t="str">
        <f>+'4L'!BI14</f>
        <v>W3007SALCUM</v>
      </c>
      <c r="D3326" s="2004"/>
      <c r="E3326" s="1658" t="s">
        <v>9033</v>
      </c>
      <c r="F3326" s="2004"/>
      <c r="G3326" s="2004">
        <f>IF('4L'!N14="","##BLANK",'4L'!N14)</f>
        <v>0</v>
      </c>
    </row>
    <row r="3327" spans="2:7">
      <c r="B3327" s="848" t="str">
        <f>+'4L'!BI15</f>
        <v>W3008SALCUM</v>
      </c>
      <c r="D3327" s="2004"/>
      <c r="E3327" s="1658" t="s">
        <v>9033</v>
      </c>
      <c r="F3327" s="2004"/>
      <c r="G3327" s="2004">
        <f>IF('4L'!N15="","##BLANK",'4L'!N15)</f>
        <v>0</v>
      </c>
    </row>
    <row r="3328" spans="2:7">
      <c r="B3328" s="848" t="str">
        <f>+'4L'!BI16</f>
        <v>W3007DALCUM</v>
      </c>
      <c r="D3328" s="2004"/>
      <c r="E3328" s="1658" t="s">
        <v>9033</v>
      </c>
      <c r="F3328" s="2004"/>
      <c r="G3328" s="2004">
        <f>IF('4L'!N16="","##BLANK",'4L'!N16)</f>
        <v>0</v>
      </c>
    </row>
    <row r="3329" spans="2:7">
      <c r="B3329" s="848" t="str">
        <f>+'4L'!BI17</f>
        <v>W3008DALCUM</v>
      </c>
      <c r="D3329" s="2004"/>
      <c r="E3329" s="1658" t="s">
        <v>9033</v>
      </c>
      <c r="F3329" s="2004"/>
      <c r="G3329" s="2004">
        <f>IF('4L'!N17="","##BLANK",'4L'!N17)</f>
        <v>0</v>
      </c>
    </row>
    <row r="3330" spans="2:7">
      <c r="B3330" s="848" t="str">
        <f>+'4L'!BI18</f>
        <v>W3009ALCUM</v>
      </c>
      <c r="D3330" s="2004"/>
      <c r="E3330" s="1658" t="s">
        <v>9033</v>
      </c>
      <c r="F3330" s="2004"/>
      <c r="G3330" s="2004">
        <f>IF('4L'!N18="","##BLANK",'4L'!N18)</f>
        <v>0</v>
      </c>
    </row>
    <row r="3331" spans="2:7">
      <c r="B3331" s="848" t="str">
        <f>+'4L'!BI19</f>
        <v>WS2004ALCUM</v>
      </c>
      <c r="D3331" s="2004"/>
      <c r="E3331" s="1658" t="s">
        <v>9033</v>
      </c>
      <c r="F3331" s="2004"/>
      <c r="G3331" s="2004">
        <f>IF('4L'!N19="","##BLANK",'4L'!N19)</f>
        <v>0</v>
      </c>
    </row>
    <row r="3332" spans="2:7">
      <c r="B3332" s="848" t="str">
        <f>+'4L'!BI20</f>
        <v>W3010ALCUM</v>
      </c>
      <c r="D3332" s="2004"/>
      <c r="E3332" s="1658" t="s">
        <v>9033</v>
      </c>
      <c r="F3332" s="2004"/>
      <c r="G3332" s="2004">
        <f>IF('4L'!N20="","##BLANK",'4L'!N20)</f>
        <v>0</v>
      </c>
    </row>
    <row r="3333" spans="2:7">
      <c r="B3333" s="848" t="str">
        <f>+'4L'!BI21</f>
        <v>W3011ALCUM</v>
      </c>
      <c r="D3333" s="2004"/>
      <c r="E3333" s="1658" t="s">
        <v>9033</v>
      </c>
      <c r="F3333" s="2004"/>
      <c r="G3333" s="2004">
        <f>IF('4L'!N21="","##BLANK",'4L'!N21)</f>
        <v>0</v>
      </c>
    </row>
    <row r="3334" spans="2:7">
      <c r="B3334" s="848" t="str">
        <f>+'4L'!BI22</f>
        <v>W3012ALCUM</v>
      </c>
      <c r="D3334" s="2004"/>
      <c r="E3334" s="1658" t="s">
        <v>9033</v>
      </c>
      <c r="F3334" s="2004"/>
      <c r="G3334" s="2004">
        <f>IF('4L'!N22="","##BLANK",'4L'!N22)</f>
        <v>0</v>
      </c>
    </row>
    <row r="3335" spans="2:7">
      <c r="B3335" s="848" t="str">
        <f>+'4L'!BI23</f>
        <v>WS2006ALCUM</v>
      </c>
      <c r="D3335" s="2004"/>
      <c r="E3335" s="1658" t="s">
        <v>9033</v>
      </c>
      <c r="F3335" s="2004"/>
      <c r="G3335" s="2004">
        <f>IF('4L'!N23="","##BLANK",'4L'!N23)</f>
        <v>0</v>
      </c>
    </row>
    <row r="3336" spans="2:7">
      <c r="B3336" s="848" t="str">
        <f>+'4L'!BI24</f>
        <v>WS2007ALCUM</v>
      </c>
      <c r="D3336" s="2004"/>
      <c r="E3336" s="1658" t="s">
        <v>9033</v>
      </c>
      <c r="F3336" s="2004"/>
      <c r="G3336" s="2004">
        <f>IF('4L'!N24="","##BLANK",'4L'!N24)</f>
        <v>0</v>
      </c>
    </row>
    <row r="3337" spans="2:7">
      <c r="B3337" s="848" t="str">
        <f>+'4L'!BI25</f>
        <v>WS2008ALCUM</v>
      </c>
      <c r="D3337" s="2004"/>
      <c r="E3337" s="1658" t="s">
        <v>9033</v>
      </c>
      <c r="F3337" s="2004"/>
      <c r="G3337" s="2004">
        <f>IF('4L'!N25="","##BLANK",'4L'!N25)</f>
        <v>0</v>
      </c>
    </row>
    <row r="3338" spans="2:7">
      <c r="B3338" s="848" t="str">
        <f>+'4L'!BI26</f>
        <v>W3027ALCUM</v>
      </c>
      <c r="D3338" s="2004"/>
      <c r="E3338" s="1658" t="s">
        <v>9033</v>
      </c>
      <c r="F3338" s="2004"/>
      <c r="G3338" s="2004">
        <f>IF('4L'!N26="","##BLANK",'4L'!N26)</f>
        <v>0</v>
      </c>
    </row>
    <row r="3339" spans="2:7">
      <c r="B3339" s="848" t="str">
        <f>+'4L'!BI27</f>
        <v>W3028OPTALCUM</v>
      </c>
      <c r="D3339" s="2004"/>
      <c r="E3339" s="1658" t="s">
        <v>9033</v>
      </c>
      <c r="F3339" s="2004"/>
      <c r="G3339" s="2004">
        <f>IF('4L'!N27="","##BLANK",'4L'!N27)</f>
        <v>0</v>
      </c>
    </row>
    <row r="3340" spans="2:7">
      <c r="B3340" s="848" t="str">
        <f>+'4L'!BI28</f>
        <v>W3028COMALCUM</v>
      </c>
      <c r="D3340" s="2004"/>
      <c r="E3340" s="1658" t="s">
        <v>9033</v>
      </c>
      <c r="F3340" s="2004"/>
      <c r="G3340" s="2004">
        <f>IF('4L'!N28="","##BLANK",'4L'!N28)</f>
        <v>0</v>
      </c>
    </row>
    <row r="3341" spans="2:7">
      <c r="B3341" s="848" t="str">
        <f>+'4L'!BI29</f>
        <v>W3028NHOALCUM</v>
      </c>
      <c r="D3341" s="2004"/>
      <c r="E3341" s="1658" t="s">
        <v>9033</v>
      </c>
      <c r="F3341" s="2004"/>
      <c r="G3341" s="2004">
        <f>IF('4L'!N29="","##BLANK",'4L'!N29)</f>
        <v>0</v>
      </c>
    </row>
    <row r="3342" spans="2:7">
      <c r="B3342" s="848" t="str">
        <f>+'4L'!BI30</f>
        <v>W3A00001ALCUM</v>
      </c>
      <c r="D3342" s="2004"/>
      <c r="E3342" s="1658" t="s">
        <v>9033</v>
      </c>
      <c r="F3342" s="2004" t="str">
        <f>+'4L'!C$30</f>
        <v>Drought Management Plan</v>
      </c>
      <c r="G3342" s="2004">
        <f>IF('4L'!N30="","##BLANK",'4L'!N30)</f>
        <v>0</v>
      </c>
    </row>
    <row r="3343" spans="2:7">
      <c r="B3343" s="848" t="str">
        <f>+'4L'!BI31</f>
        <v>W3A00002ALCUM</v>
      </c>
      <c r="D3343" s="2004"/>
      <c r="E3343" s="1658" t="s">
        <v>9033</v>
      </c>
      <c r="F3343" s="2004" t="str">
        <f>+'4L'!C$31</f>
        <v>Exclusions</v>
      </c>
      <c r="G3343" s="2004">
        <f>IF('4L'!N31="","##BLANK",'4L'!N31)</f>
        <v>0</v>
      </c>
    </row>
    <row r="3344" spans="2:7">
      <c r="B3344" s="848" t="str">
        <f>+'4L'!BI32</f>
        <v>W3A00003ALCUM</v>
      </c>
      <c r="D3344" s="2004"/>
      <c r="E3344" s="1658" t="s">
        <v>9033</v>
      </c>
      <c r="F3344" s="2004" t="str">
        <f>+'4L'!C$32</f>
        <v>Leakage Reduction - UQ</v>
      </c>
      <c r="G3344" s="2004">
        <f>IF('4L'!N32="","##BLANK",'4L'!N32)</f>
        <v>0</v>
      </c>
    </row>
    <row r="3345" spans="2:7">
      <c r="B3345" s="848" t="str">
        <f>+'4L'!BI33</f>
        <v>W3A00004ALCUM</v>
      </c>
      <c r="D3345" s="2004"/>
      <c r="E3345" s="1658" t="s">
        <v>9033</v>
      </c>
      <c r="F3345" s="2004" t="str">
        <f>+'4L'!C$33</f>
        <v>Reduction in Interruptions to Supply - UQ</v>
      </c>
      <c r="G3345" s="2004">
        <f>IF('4L'!N33="","##BLANK",'4L'!N33)</f>
        <v>0</v>
      </c>
    </row>
    <row r="3346" spans="2:7">
      <c r="B3346" s="848" t="str">
        <f>+'4L'!BI34</f>
        <v>W3A00005ALCUM</v>
      </c>
      <c r="D3346" s="2004"/>
      <c r="E3346" s="1658" t="s">
        <v>9033</v>
      </c>
      <c r="F3346" s="2004" t="str">
        <f>+'4L'!C$34</f>
        <v>Improving Water Quality - UQ</v>
      </c>
      <c r="G3346" s="2004">
        <f>IF('4L'!N34="","##BLANK",'4L'!N34)</f>
        <v>0</v>
      </c>
    </row>
    <row r="3347" spans="2:7">
      <c r="B3347" s="848" t="str">
        <f>+'4L'!BI35</f>
        <v>W3A00006ALCUM</v>
      </c>
      <c r="D3347" s="2004"/>
      <c r="E3347" s="1658" t="s">
        <v>9033</v>
      </c>
      <c r="F3347" s="2004" t="str">
        <f>+'4L'!C$35</f>
        <v>Infrastructure network reinforcement</v>
      </c>
      <c r="G3347" s="2004">
        <f>IF('4L'!N35="","##BLANK",'4L'!N35)</f>
        <v>0</v>
      </c>
    </row>
    <row r="3348" spans="2:7">
      <c r="B3348" s="848" t="str">
        <f>+'4L'!BI36</f>
        <v>W3A00007ALCUM</v>
      </c>
      <c r="D3348" s="2004"/>
      <c r="E3348" s="1658" t="s">
        <v>9033</v>
      </c>
      <c r="F3348" s="2004" t="str">
        <f>+'4L'!C$36</f>
        <v>2020-25 Transition Expenditure - Capex</v>
      </c>
      <c r="G3348" s="2004">
        <f>IF('4L'!N36="","##BLANK",'4L'!N36)</f>
        <v>0</v>
      </c>
    </row>
    <row r="3349" spans="2:7">
      <c r="B3349" s="848" t="str">
        <f>+'4L'!BI37</f>
        <v>W3A00008ALCUM</v>
      </c>
      <c r="D3349" s="2004"/>
      <c r="E3349" s="1658" t="s">
        <v>9033</v>
      </c>
      <c r="F3349" s="2004" t="str">
        <f>+'4L'!C$37</f>
        <v>Capital expenditure purpose - WATER additional line 8 [Other categories]</v>
      </c>
      <c r="G3349" s="2004">
        <f>IF('4L'!N37="","##BLANK",'4L'!N37)</f>
        <v>0</v>
      </c>
    </row>
    <row r="3350" spans="2:7">
      <c r="B3350" s="848" t="str">
        <f>+'4L'!BI38</f>
        <v>W3A00009ALCUM</v>
      </c>
      <c r="D3350" s="2004"/>
      <c r="E3350" s="1658" t="s">
        <v>9033</v>
      </c>
      <c r="F3350" s="2004" t="str">
        <f>+'4L'!C$38</f>
        <v>Capital expenditure purpose - WATER additional line 9 [Other categories]</v>
      </c>
      <c r="G3350" s="2004">
        <f>IF('4L'!N38="","##BLANK",'4L'!N38)</f>
        <v>0</v>
      </c>
    </row>
    <row r="3351" spans="2:7">
      <c r="B3351" s="848" t="str">
        <f>+'4L'!BI39</f>
        <v>W3A00010ALCUM</v>
      </c>
      <c r="D3351" s="2004"/>
      <c r="E3351" s="1658" t="s">
        <v>9033</v>
      </c>
      <c r="F3351" s="2004" t="str">
        <f>+'4L'!C$39</f>
        <v>Capital expenditure purpose - WATER additional line 10 [Other categories]</v>
      </c>
      <c r="G3351" s="2004">
        <f>IF('4L'!N39="","##BLANK",'4L'!N39)</f>
        <v>0</v>
      </c>
    </row>
    <row r="3352" spans="2:7">
      <c r="B3352" s="848" t="str">
        <f>+'4L'!BI40</f>
        <v>W3A00011ALCUM</v>
      </c>
      <c r="D3352" s="2004"/>
      <c r="E3352" s="1658" t="s">
        <v>9033</v>
      </c>
      <c r="F3352" s="2004" t="str">
        <f>+'4L'!C$40</f>
        <v>Capital expenditure purpose - WATER additional line 11 [Other categories]</v>
      </c>
      <c r="G3352" s="2004">
        <f>IF('4L'!N40="","##BLANK",'4L'!N40)</f>
        <v>0</v>
      </c>
    </row>
    <row r="3353" spans="2:7">
      <c r="B3353" s="848" t="str">
        <f>+'4L'!BI41</f>
        <v>W3A00012ALCUM</v>
      </c>
      <c r="D3353" s="2004"/>
      <c r="E3353" s="1658" t="s">
        <v>9033</v>
      </c>
      <c r="F3353" s="2004" t="str">
        <f>+'4L'!C$41</f>
        <v>Capital expenditure purpose - WATER additional line 12 [Other categories]</v>
      </c>
      <c r="G3353" s="2004">
        <f>IF('4L'!N41="","##BLANK",'4L'!N41)</f>
        <v>0</v>
      </c>
    </row>
    <row r="3354" spans="2:7">
      <c r="B3354" s="848" t="str">
        <f>+'4L'!BI42</f>
        <v>W3A00013ALCUM</v>
      </c>
      <c r="D3354" s="2004"/>
      <c r="E3354" s="1658" t="s">
        <v>9033</v>
      </c>
      <c r="F3354" s="2004" t="str">
        <f>+'4L'!C$42</f>
        <v>Capital expenditure purpose - WATER additional line 13 [Other categories]</v>
      </c>
      <c r="G3354" s="2004">
        <f>IF('4L'!N42="","##BLANK",'4L'!N42)</f>
        <v>0</v>
      </c>
    </row>
    <row r="3355" spans="2:7">
      <c r="B3355" s="848" t="str">
        <f>+'4L'!BI43</f>
        <v>W3A00014ALCUM</v>
      </c>
      <c r="D3355" s="2004"/>
      <c r="E3355" s="1658" t="s">
        <v>9033</v>
      </c>
      <c r="F3355" s="2004" t="str">
        <f>+'4L'!C$43</f>
        <v>Capital expenditure purpose - WATER additional line 14 [Other categories]</v>
      </c>
      <c r="G3355" s="2004">
        <f>IF('4L'!N43="","##BLANK",'4L'!N43)</f>
        <v>0</v>
      </c>
    </row>
    <row r="3356" spans="2:7">
      <c r="B3356" s="848" t="str">
        <f>+'4L'!BI44</f>
        <v>W3A00015ALCUM</v>
      </c>
      <c r="D3356" s="2004"/>
      <c r="E3356" s="1658" t="s">
        <v>9033</v>
      </c>
      <c r="F3356" s="2004" t="str">
        <f>+'4L'!C$44</f>
        <v>Capital expenditure purpose - WATER additional line 15 [Other categories]</v>
      </c>
      <c r="G3356" s="2004">
        <f>IF('4L'!N44="","##BLANK",'4L'!N44)</f>
        <v>0</v>
      </c>
    </row>
    <row r="3357" spans="2:7">
      <c r="B3357" s="848" t="str">
        <f>+'4L'!BI45</f>
        <v>BA2070ALCUM</v>
      </c>
      <c r="D3357" s="2004"/>
      <c r="E3357" s="1658" t="s">
        <v>9033</v>
      </c>
      <c r="F3357" s="2004"/>
      <c r="G3357" s="2004">
        <f>IF('4L'!N45="","##BLANK",'4L'!N45)</f>
        <v>0</v>
      </c>
    </row>
    <row r="3358" spans="2:7">
      <c r="B3358" s="848" t="str">
        <f>+'4L'!BJ8</f>
        <v>W3001RWACUM</v>
      </c>
      <c r="D3358" s="2004"/>
      <c r="E3358" s="1658" t="s">
        <v>9033</v>
      </c>
      <c r="F3358" s="2004"/>
      <c r="G3358" s="2004">
        <f>IF('4L'!O8="","##BLANK",'4L'!O8)</f>
        <v>8.1649999999999991</v>
      </c>
    </row>
    <row r="3359" spans="2:7">
      <c r="B3359" s="848" t="str">
        <f>+'4L'!BJ9</f>
        <v>WS2002RWACUM</v>
      </c>
      <c r="D3359" s="2004"/>
      <c r="E3359" s="1658" t="s">
        <v>9033</v>
      </c>
      <c r="F3359" s="2004"/>
      <c r="G3359" s="2004">
        <f>IF('4L'!O9="","##BLANK",'4L'!O9)</f>
        <v>2.1970000000000001</v>
      </c>
    </row>
    <row r="3360" spans="2:7">
      <c r="B3360" s="848" t="str">
        <f>+'4L'!BJ10</f>
        <v>WS2003RWACUM</v>
      </c>
      <c r="D3360" s="2004"/>
      <c r="E3360" s="1658" t="s">
        <v>9033</v>
      </c>
      <c r="F3360" s="2004"/>
      <c r="G3360" s="2004">
        <f>IF('4L'!O10="","##BLANK",'4L'!O10)</f>
        <v>0.35</v>
      </c>
    </row>
    <row r="3361" spans="2:7">
      <c r="B3361" s="848" t="str">
        <f>+'4L'!BJ11</f>
        <v>W3002RWACUM</v>
      </c>
      <c r="D3361" s="2004"/>
      <c r="E3361" s="1658" t="s">
        <v>9033</v>
      </c>
      <c r="F3361" s="2004"/>
      <c r="G3361" s="2004">
        <f>IF('4L'!O11="","##BLANK",'4L'!O11)</f>
        <v>0</v>
      </c>
    </row>
    <row r="3362" spans="2:7">
      <c r="B3362" s="848" t="str">
        <f>+'4L'!BJ12</f>
        <v>W3003RWACUM</v>
      </c>
      <c r="D3362" s="2004"/>
      <c r="E3362" s="1658" t="s">
        <v>9033</v>
      </c>
      <c r="F3362" s="2004"/>
      <c r="G3362" s="2004">
        <f>IF('4L'!O12="","##BLANK",'4L'!O12)</f>
        <v>0</v>
      </c>
    </row>
    <row r="3363" spans="2:7">
      <c r="B3363" s="848" t="str">
        <f>+'4L'!BJ13</f>
        <v>W3006RWACUM</v>
      </c>
      <c r="D3363" s="2004"/>
      <c r="E3363" s="1658" t="s">
        <v>9033</v>
      </c>
      <c r="F3363" s="2004"/>
      <c r="G3363" s="2004">
        <f>IF('4L'!O13="","##BLANK",'4L'!O13)</f>
        <v>0</v>
      </c>
    </row>
    <row r="3364" spans="2:7">
      <c r="B3364" s="848" t="str">
        <f>+'4L'!BJ14</f>
        <v>W3007SRWACUM</v>
      </c>
      <c r="D3364" s="2004"/>
      <c r="E3364" s="1658" t="s">
        <v>9033</v>
      </c>
      <c r="F3364" s="2004"/>
      <c r="G3364" s="2004">
        <f>IF('4L'!O14="","##BLANK",'4L'!O14)</f>
        <v>0</v>
      </c>
    </row>
    <row r="3365" spans="2:7">
      <c r="B3365" s="848" t="str">
        <f>+'4L'!BJ15</f>
        <v>W3008SRWACUM</v>
      </c>
      <c r="D3365" s="2004"/>
      <c r="E3365" s="1658" t="s">
        <v>9033</v>
      </c>
      <c r="F3365" s="2004"/>
      <c r="G3365" s="2004">
        <f>IF('4L'!O15="","##BLANK",'4L'!O15)</f>
        <v>0</v>
      </c>
    </row>
    <row r="3366" spans="2:7">
      <c r="B3366" s="848" t="str">
        <f>+'4L'!BJ16</f>
        <v>W3007DRWACUM</v>
      </c>
      <c r="D3366" s="2004"/>
      <c r="E3366" s="1658" t="s">
        <v>9033</v>
      </c>
      <c r="F3366" s="2004"/>
      <c r="G3366" s="2004">
        <f>IF('4L'!O16="","##BLANK",'4L'!O16)</f>
        <v>0</v>
      </c>
    </row>
    <row r="3367" spans="2:7">
      <c r="B3367" s="848" t="str">
        <f>+'4L'!BJ17</f>
        <v>W3008DRWACUM</v>
      </c>
      <c r="D3367" s="2004"/>
      <c r="E3367" s="1658" t="s">
        <v>9033</v>
      </c>
      <c r="F3367" s="2004"/>
      <c r="G3367" s="2004">
        <f>IF('4L'!O17="","##BLANK",'4L'!O17)</f>
        <v>0</v>
      </c>
    </row>
    <row r="3368" spans="2:7">
      <c r="B3368" s="848" t="str">
        <f>+'4L'!BJ18</f>
        <v>W3009RWACUM</v>
      </c>
      <c r="D3368" s="2004"/>
      <c r="E3368" s="1658" t="s">
        <v>9033</v>
      </c>
      <c r="F3368" s="2004"/>
      <c r="G3368" s="2004">
        <f>IF('4L'!O18="","##BLANK",'4L'!O18)</f>
        <v>0</v>
      </c>
    </row>
    <row r="3369" spans="2:7">
      <c r="B3369" s="848" t="str">
        <f>+'4L'!BJ19</f>
        <v>WS2004RWACUM</v>
      </c>
      <c r="D3369" s="2004"/>
      <c r="E3369" s="1658" t="s">
        <v>9033</v>
      </c>
      <c r="F3369" s="2004"/>
      <c r="G3369" s="2004">
        <f>IF('4L'!O19="","##BLANK",'4L'!O19)</f>
        <v>0</v>
      </c>
    </row>
    <row r="3370" spans="2:7">
      <c r="B3370" s="848" t="str">
        <f>+'4L'!BJ20</f>
        <v>W3010RWACUM</v>
      </c>
      <c r="D3370" s="2004"/>
      <c r="E3370" s="1658" t="s">
        <v>9033</v>
      </c>
      <c r="F3370" s="2004"/>
      <c r="G3370" s="2004">
        <f>IF('4L'!O20="","##BLANK",'4L'!O20)</f>
        <v>2.0819999999999999</v>
      </c>
    </row>
    <row r="3371" spans="2:7">
      <c r="B3371" s="848" t="str">
        <f>+'4L'!BJ21</f>
        <v>W3011RWACUM</v>
      </c>
      <c r="D3371" s="2004"/>
      <c r="E3371" s="1658" t="s">
        <v>9033</v>
      </c>
      <c r="F3371" s="2004"/>
      <c r="G3371" s="2004">
        <f>IF('4L'!O21="","##BLANK",'4L'!O21)</f>
        <v>0</v>
      </c>
    </row>
    <row r="3372" spans="2:7">
      <c r="B3372" s="848" t="str">
        <f>+'4L'!BJ22</f>
        <v>W3012RWACUM</v>
      </c>
      <c r="D3372" s="2004"/>
      <c r="E3372" s="1658" t="s">
        <v>9033</v>
      </c>
      <c r="F3372" s="2004"/>
      <c r="G3372" s="2004">
        <f>IF('4L'!O22="","##BLANK",'4L'!O22)</f>
        <v>9.7000000000000003E-2</v>
      </c>
    </row>
    <row r="3373" spans="2:7">
      <c r="B3373" s="848" t="str">
        <f>+'4L'!BJ23</f>
        <v>WS2006RWACUM</v>
      </c>
      <c r="D3373" s="2004"/>
      <c r="E3373" s="1658" t="s">
        <v>9033</v>
      </c>
      <c r="F3373" s="2004"/>
      <c r="G3373" s="2004">
        <f>IF('4L'!O23="","##BLANK",'4L'!O23)</f>
        <v>0</v>
      </c>
    </row>
    <row r="3374" spans="2:7">
      <c r="B3374" s="848" t="str">
        <f>+'4L'!BJ24</f>
        <v>WS2007RWACUM</v>
      </c>
      <c r="D3374" s="2004"/>
      <c r="E3374" s="1658" t="s">
        <v>9033</v>
      </c>
      <c r="F3374" s="2004"/>
      <c r="G3374" s="2004">
        <f>IF('4L'!O24="","##BLANK",'4L'!O24)</f>
        <v>0</v>
      </c>
    </row>
    <row r="3375" spans="2:7">
      <c r="B3375" s="848" t="str">
        <f>+'4L'!BJ25</f>
        <v>WS2008RWACUM</v>
      </c>
      <c r="D3375" s="2004"/>
      <c r="E3375" s="1658" t="s">
        <v>9033</v>
      </c>
      <c r="F3375" s="2004"/>
      <c r="G3375" s="2004">
        <f>IF('4L'!O25="","##BLANK",'4L'!O25)</f>
        <v>0</v>
      </c>
    </row>
    <row r="3376" spans="2:7">
      <c r="B3376" s="848" t="str">
        <f>+'4L'!BJ26</f>
        <v>W3027RWACUM</v>
      </c>
      <c r="D3376" s="2004"/>
      <c r="E3376" s="1658" t="s">
        <v>9033</v>
      </c>
      <c r="F3376" s="2004"/>
      <c r="G3376" s="2004">
        <f>IF('4L'!O26="","##BLANK",'4L'!O26)</f>
        <v>0</v>
      </c>
    </row>
    <row r="3377" spans="2:7">
      <c r="B3377" s="848" t="str">
        <f>+'4L'!BJ27</f>
        <v>W3028OPTRWACUM</v>
      </c>
      <c r="D3377" s="2004"/>
      <c r="E3377" s="1658" t="s">
        <v>9033</v>
      </c>
      <c r="F3377" s="2004"/>
      <c r="G3377" s="2004">
        <f>IF('4L'!O27="","##BLANK",'4L'!O27)</f>
        <v>0</v>
      </c>
    </row>
    <row r="3378" spans="2:7">
      <c r="B3378" s="848" t="str">
        <f>+'4L'!BJ28</f>
        <v>W3028COMRWACUM</v>
      </c>
      <c r="D3378" s="2004"/>
      <c r="E3378" s="1658" t="s">
        <v>9033</v>
      </c>
      <c r="F3378" s="2004"/>
      <c r="G3378" s="2004">
        <f>IF('4L'!O28="","##BLANK",'4L'!O28)</f>
        <v>0</v>
      </c>
    </row>
    <row r="3379" spans="2:7">
      <c r="B3379" s="848" t="str">
        <f>+'4L'!BJ29</f>
        <v>W3028NHORWACUM</v>
      </c>
      <c r="D3379" s="2004"/>
      <c r="E3379" s="1658" t="s">
        <v>9033</v>
      </c>
      <c r="F3379" s="2004"/>
      <c r="G3379" s="2004">
        <f>IF('4L'!O29="","##BLANK",'4L'!O29)</f>
        <v>0</v>
      </c>
    </row>
    <row r="3380" spans="2:7">
      <c r="B3380" s="848" t="str">
        <f>+'4L'!BJ30</f>
        <v>W3A00001RWACUM</v>
      </c>
      <c r="D3380" s="2004"/>
      <c r="E3380" s="1658" t="s">
        <v>9033</v>
      </c>
      <c r="F3380" s="2004" t="str">
        <f>+'4L'!C$30</f>
        <v>Drought Management Plan</v>
      </c>
      <c r="G3380" s="2004">
        <f>IF('4L'!O30="","##BLANK",'4L'!O30)</f>
        <v>1.242</v>
      </c>
    </row>
    <row r="3381" spans="2:7">
      <c r="B3381" s="848" t="str">
        <f>+'4L'!BJ31</f>
        <v>W3A00002RWACUM</v>
      </c>
      <c r="D3381" s="2004"/>
      <c r="E3381" s="1658" t="s">
        <v>9033</v>
      </c>
      <c r="F3381" s="2004" t="str">
        <f>+'4L'!C$31</f>
        <v>Exclusions</v>
      </c>
      <c r="G3381" s="2004">
        <f>IF('4L'!O31="","##BLANK",'4L'!O31)</f>
        <v>0</v>
      </c>
    </row>
    <row r="3382" spans="2:7">
      <c r="B3382" s="848" t="str">
        <f>+'4L'!BJ32</f>
        <v>W3A00003RWACUM</v>
      </c>
      <c r="D3382" s="2004"/>
      <c r="E3382" s="1658" t="s">
        <v>9033</v>
      </c>
      <c r="F3382" s="2004" t="str">
        <f>+'4L'!C$32</f>
        <v>Leakage Reduction - UQ</v>
      </c>
      <c r="G3382" s="2004">
        <f>IF('4L'!O32="","##BLANK",'4L'!O32)</f>
        <v>0</v>
      </c>
    </row>
    <row r="3383" spans="2:7">
      <c r="B3383" s="848" t="str">
        <f>+'4L'!BJ33</f>
        <v>W3A00004RWACUM</v>
      </c>
      <c r="D3383" s="2004"/>
      <c r="E3383" s="1658" t="s">
        <v>9033</v>
      </c>
      <c r="F3383" s="2004" t="str">
        <f>+'4L'!C$33</f>
        <v>Reduction in Interruptions to Supply - UQ</v>
      </c>
      <c r="G3383" s="2004">
        <f>IF('4L'!O33="","##BLANK",'4L'!O33)</f>
        <v>0</v>
      </c>
    </row>
    <row r="3384" spans="2:7">
      <c r="B3384" s="848" t="str">
        <f>+'4L'!BJ34</f>
        <v>W3A00005RWACUM</v>
      </c>
      <c r="D3384" s="2004"/>
      <c r="E3384" s="1658" t="s">
        <v>9033</v>
      </c>
      <c r="F3384" s="2004" t="str">
        <f>+'4L'!C$34</f>
        <v>Improving Water Quality - UQ</v>
      </c>
      <c r="G3384" s="2004">
        <f>IF('4L'!O34="","##BLANK",'4L'!O34)</f>
        <v>0</v>
      </c>
    </row>
    <row r="3385" spans="2:7">
      <c r="B3385" s="848" t="str">
        <f>+'4L'!BJ35</f>
        <v>W3A00006RWACUM</v>
      </c>
      <c r="D3385" s="2004"/>
      <c r="E3385" s="1658" t="s">
        <v>9033</v>
      </c>
      <c r="F3385" s="2004" t="str">
        <f>+'4L'!C$35</f>
        <v>Infrastructure network reinforcement</v>
      </c>
      <c r="G3385" s="2004">
        <f>IF('4L'!O35="","##BLANK",'4L'!O35)</f>
        <v>0</v>
      </c>
    </row>
    <row r="3386" spans="2:7">
      <c r="B3386" s="848" t="str">
        <f>+'4L'!BJ36</f>
        <v>W3A00007RWACUM</v>
      </c>
      <c r="D3386" s="2004"/>
      <c r="E3386" s="1658" t="s">
        <v>9033</v>
      </c>
      <c r="F3386" s="2004" t="str">
        <f>+'4L'!C$36</f>
        <v>2020-25 Transition Expenditure - Capex</v>
      </c>
      <c r="G3386" s="2004">
        <f>IF('4L'!O36="","##BLANK",'4L'!O36)</f>
        <v>0</v>
      </c>
    </row>
    <row r="3387" spans="2:7">
      <c r="B3387" s="848" t="str">
        <f>+'4L'!BJ37</f>
        <v>W3A00008RWACUM</v>
      </c>
      <c r="D3387" s="2004"/>
      <c r="E3387" s="1658" t="s">
        <v>9033</v>
      </c>
      <c r="F3387" s="2004" t="str">
        <f>+'4L'!C$37</f>
        <v>Capital expenditure purpose - WATER additional line 8 [Other categories]</v>
      </c>
      <c r="G3387" s="2004">
        <f>IF('4L'!O37="","##BLANK",'4L'!O37)</f>
        <v>0</v>
      </c>
    </row>
    <row r="3388" spans="2:7">
      <c r="B3388" s="848" t="str">
        <f>+'4L'!BJ38</f>
        <v>W3A00009RWACUM</v>
      </c>
      <c r="D3388" s="2004"/>
      <c r="E3388" s="1658" t="s">
        <v>9033</v>
      </c>
      <c r="F3388" s="2004" t="str">
        <f>+'4L'!C$38</f>
        <v>Capital expenditure purpose - WATER additional line 9 [Other categories]</v>
      </c>
      <c r="G3388" s="2004">
        <f>IF('4L'!O38="","##BLANK",'4L'!O38)</f>
        <v>0</v>
      </c>
    </row>
    <row r="3389" spans="2:7">
      <c r="B3389" s="848" t="str">
        <f>+'4L'!BJ39</f>
        <v>W3A00010RWACUM</v>
      </c>
      <c r="D3389" s="2004"/>
      <c r="E3389" s="1658" t="s">
        <v>9033</v>
      </c>
      <c r="F3389" s="2004" t="str">
        <f>+'4L'!C$39</f>
        <v>Capital expenditure purpose - WATER additional line 10 [Other categories]</v>
      </c>
      <c r="G3389" s="2004">
        <f>IF('4L'!O39="","##BLANK",'4L'!O39)</f>
        <v>0</v>
      </c>
    </row>
    <row r="3390" spans="2:7">
      <c r="B3390" s="848" t="str">
        <f>+'4L'!BJ40</f>
        <v>W3A00011RWACUM</v>
      </c>
      <c r="D3390" s="2004"/>
      <c r="E3390" s="1658" t="s">
        <v>9033</v>
      </c>
      <c r="F3390" s="2004" t="str">
        <f>+'4L'!C$40</f>
        <v>Capital expenditure purpose - WATER additional line 11 [Other categories]</v>
      </c>
      <c r="G3390" s="2004">
        <f>IF('4L'!O40="","##BLANK",'4L'!O40)</f>
        <v>0</v>
      </c>
    </row>
    <row r="3391" spans="2:7">
      <c r="B3391" s="848" t="str">
        <f>+'4L'!BJ41</f>
        <v>W3A00012RWACUM</v>
      </c>
      <c r="D3391" s="2004"/>
      <c r="E3391" s="1658" t="s">
        <v>9033</v>
      </c>
      <c r="F3391" s="2004" t="str">
        <f>+'4L'!C$41</f>
        <v>Capital expenditure purpose - WATER additional line 12 [Other categories]</v>
      </c>
      <c r="G3391" s="2004">
        <f>IF('4L'!O41="","##BLANK",'4L'!O41)</f>
        <v>0</v>
      </c>
    </row>
    <row r="3392" spans="2:7">
      <c r="B3392" s="848" t="str">
        <f>+'4L'!BJ42</f>
        <v>W3A00013RWACUM</v>
      </c>
      <c r="D3392" s="2004"/>
      <c r="E3392" s="1658" t="s">
        <v>9033</v>
      </c>
      <c r="F3392" s="2004" t="str">
        <f>+'4L'!C$42</f>
        <v>Capital expenditure purpose - WATER additional line 13 [Other categories]</v>
      </c>
      <c r="G3392" s="2004">
        <f>IF('4L'!O42="","##BLANK",'4L'!O42)</f>
        <v>0</v>
      </c>
    </row>
    <row r="3393" spans="2:7">
      <c r="B3393" s="848" t="str">
        <f>+'4L'!BJ43</f>
        <v>W3A00014RWACUM</v>
      </c>
      <c r="D3393" s="2004"/>
      <c r="E3393" s="1658" t="s">
        <v>9033</v>
      </c>
      <c r="F3393" s="2004" t="str">
        <f>+'4L'!C$43</f>
        <v>Capital expenditure purpose - WATER additional line 14 [Other categories]</v>
      </c>
      <c r="G3393" s="2004">
        <f>IF('4L'!O43="","##BLANK",'4L'!O43)</f>
        <v>0</v>
      </c>
    </row>
    <row r="3394" spans="2:7">
      <c r="B3394" s="848" t="str">
        <f>+'4L'!BJ44</f>
        <v>W3A00015RWACUM</v>
      </c>
      <c r="D3394" s="2004"/>
      <c r="E3394" s="1658" t="s">
        <v>9033</v>
      </c>
      <c r="F3394" s="2004" t="str">
        <f>+'4L'!C$44</f>
        <v>Capital expenditure purpose - WATER additional line 15 [Other categories]</v>
      </c>
      <c r="G3394" s="2004">
        <f>IF('4L'!O44="","##BLANK",'4L'!O44)</f>
        <v>0</v>
      </c>
    </row>
    <row r="3395" spans="2:7">
      <c r="B3395" s="848" t="str">
        <f>+'4L'!BJ45</f>
        <v>BA2070RWACUM</v>
      </c>
      <c r="D3395" s="2004"/>
      <c r="E3395" s="1658" t="s">
        <v>9033</v>
      </c>
      <c r="F3395" s="2004"/>
      <c r="G3395" s="2004">
        <f>IF('4L'!O45="","##BLANK",'4L'!O45)</f>
        <v>14.132999999999996</v>
      </c>
    </row>
    <row r="3396" spans="2:7">
      <c r="B3396" s="848" t="str">
        <f>+'4L'!BK8</f>
        <v>W3001RWTCUM</v>
      </c>
      <c r="D3396" s="2004"/>
      <c r="E3396" s="1658" t="s">
        <v>9033</v>
      </c>
      <c r="F3396" s="2004"/>
      <c r="G3396" s="2004">
        <f>IF('4L'!P8="","##BLANK",'4L'!P8)</f>
        <v>0</v>
      </c>
    </row>
    <row r="3397" spans="2:7">
      <c r="B3397" s="848" t="str">
        <f>+'4L'!BK9</f>
        <v>WS2002RWTCUM</v>
      </c>
      <c r="D3397" s="2004"/>
      <c r="E3397" s="1658" t="s">
        <v>9033</v>
      </c>
      <c r="F3397" s="2004"/>
      <c r="G3397" s="2004">
        <f>IF('4L'!P9="","##BLANK",'4L'!P9)</f>
        <v>0</v>
      </c>
    </row>
    <row r="3398" spans="2:7">
      <c r="B3398" s="848" t="str">
        <f>+'4L'!BK10</f>
        <v>WS2003RWTCUM</v>
      </c>
      <c r="D3398" s="2004"/>
      <c r="E3398" s="1658" t="s">
        <v>9033</v>
      </c>
      <c r="F3398" s="2004"/>
      <c r="G3398" s="2004">
        <f>IF('4L'!P10="","##BLANK",'4L'!P10)</f>
        <v>0</v>
      </c>
    </row>
    <row r="3399" spans="2:7">
      <c r="B3399" s="848" t="str">
        <f>+'4L'!BK11</f>
        <v>W3002RWTCUM</v>
      </c>
      <c r="D3399" s="2004"/>
      <c r="E3399" s="1658" t="s">
        <v>9033</v>
      </c>
      <c r="F3399" s="2004"/>
      <c r="G3399" s="2004">
        <f>IF('4L'!P11="","##BLANK",'4L'!P11)</f>
        <v>0</v>
      </c>
    </row>
    <row r="3400" spans="2:7">
      <c r="B3400" s="848" t="str">
        <f>+'4L'!BK12</f>
        <v>W3003RWTCUM</v>
      </c>
      <c r="D3400" s="2004"/>
      <c r="E3400" s="1658" t="s">
        <v>9033</v>
      </c>
      <c r="F3400" s="2004"/>
      <c r="G3400" s="2004">
        <f>IF('4L'!P12="","##BLANK",'4L'!P12)</f>
        <v>0</v>
      </c>
    </row>
    <row r="3401" spans="2:7">
      <c r="B3401" s="848" t="str">
        <f>+'4L'!BK13</f>
        <v>W3006RWTCUM</v>
      </c>
      <c r="D3401" s="2004"/>
      <c r="E3401" s="1658" t="s">
        <v>9033</v>
      </c>
      <c r="F3401" s="2004"/>
      <c r="G3401" s="2004">
        <f>IF('4L'!P13="","##BLANK",'4L'!P13)</f>
        <v>0</v>
      </c>
    </row>
    <row r="3402" spans="2:7">
      <c r="B3402" s="848" t="str">
        <f>+'4L'!BK14</f>
        <v>W3007SRWTCUM</v>
      </c>
      <c r="D3402" s="2004"/>
      <c r="E3402" s="1658" t="s">
        <v>9033</v>
      </c>
      <c r="F3402" s="2004"/>
      <c r="G3402" s="2004">
        <f>IF('4L'!P14="","##BLANK",'4L'!P14)</f>
        <v>0</v>
      </c>
    </row>
    <row r="3403" spans="2:7">
      <c r="B3403" s="848" t="str">
        <f>+'4L'!BK15</f>
        <v>W3008SRWTCUM</v>
      </c>
      <c r="D3403" s="2004"/>
      <c r="E3403" s="1658" t="s">
        <v>9033</v>
      </c>
      <c r="F3403" s="2004"/>
      <c r="G3403" s="2004">
        <f>IF('4L'!P15="","##BLANK",'4L'!P15)</f>
        <v>0</v>
      </c>
    </row>
    <row r="3404" spans="2:7">
      <c r="B3404" s="848" t="str">
        <f>+'4L'!BK16</f>
        <v>W3007DRWTCUM</v>
      </c>
      <c r="D3404" s="2004"/>
      <c r="E3404" s="1658" t="s">
        <v>9033</v>
      </c>
      <c r="F3404" s="2004"/>
      <c r="G3404" s="2004">
        <f>IF('4L'!P16="","##BLANK",'4L'!P16)</f>
        <v>0</v>
      </c>
    </row>
    <row r="3405" spans="2:7">
      <c r="B3405" s="848" t="str">
        <f>+'4L'!BK17</f>
        <v>W3008DRWTCUM</v>
      </c>
      <c r="D3405" s="2004"/>
      <c r="E3405" s="1658" t="s">
        <v>9033</v>
      </c>
      <c r="F3405" s="2004"/>
      <c r="G3405" s="2004">
        <f>IF('4L'!P17="","##BLANK",'4L'!P17)</f>
        <v>0</v>
      </c>
    </row>
    <row r="3406" spans="2:7">
      <c r="B3406" s="848" t="str">
        <f>+'4L'!BK18</f>
        <v>W3009RWTCUM</v>
      </c>
      <c r="D3406" s="2004"/>
      <c r="E3406" s="1658" t="s">
        <v>9033</v>
      </c>
      <c r="F3406" s="2004"/>
      <c r="G3406" s="2004">
        <f>IF('4L'!P18="","##BLANK",'4L'!P18)</f>
        <v>0</v>
      </c>
    </row>
    <row r="3407" spans="2:7">
      <c r="B3407" s="848" t="str">
        <f>+'4L'!BK19</f>
        <v>WS2004RWTCUM</v>
      </c>
      <c r="D3407" s="2004"/>
      <c r="E3407" s="1658" t="s">
        <v>9033</v>
      </c>
      <c r="F3407" s="2004"/>
      <c r="G3407" s="2004">
        <f>IF('4L'!P19="","##BLANK",'4L'!P19)</f>
        <v>0</v>
      </c>
    </row>
    <row r="3408" spans="2:7">
      <c r="B3408" s="848" t="str">
        <f>+'4L'!BK20</f>
        <v>W3010RWTCUM</v>
      </c>
      <c r="D3408" s="2004"/>
      <c r="E3408" s="1658" t="s">
        <v>9033</v>
      </c>
      <c r="F3408" s="2004"/>
      <c r="G3408" s="2004">
        <f>IF('4L'!P20="","##BLANK",'4L'!P20)</f>
        <v>0</v>
      </c>
    </row>
    <row r="3409" spans="2:7">
      <c r="B3409" s="848" t="str">
        <f>+'4L'!BK21</f>
        <v>W3011RWTCUM</v>
      </c>
      <c r="D3409" s="2004"/>
      <c r="E3409" s="1658" t="s">
        <v>9033</v>
      </c>
      <c r="F3409" s="2004"/>
      <c r="G3409" s="2004">
        <f>IF('4L'!P21="","##BLANK",'4L'!P21)</f>
        <v>0</v>
      </c>
    </row>
    <row r="3410" spans="2:7">
      <c r="B3410" s="848" t="str">
        <f>+'4L'!BK22</f>
        <v>W3012RWTCUM</v>
      </c>
      <c r="D3410" s="2004"/>
      <c r="E3410" s="1658" t="s">
        <v>9033</v>
      </c>
      <c r="F3410" s="2004"/>
      <c r="G3410" s="2004">
        <f>IF('4L'!P22="","##BLANK",'4L'!P22)</f>
        <v>1.4E-2</v>
      </c>
    </row>
    <row r="3411" spans="2:7">
      <c r="B3411" s="848" t="str">
        <f>+'4L'!BK23</f>
        <v>WS2006RWTCUM</v>
      </c>
      <c r="D3411" s="2004"/>
      <c r="E3411" s="1658" t="s">
        <v>9033</v>
      </c>
      <c r="F3411" s="2004"/>
      <c r="G3411" s="2004">
        <f>IF('4L'!P23="","##BLANK",'4L'!P23)</f>
        <v>0</v>
      </c>
    </row>
    <row r="3412" spans="2:7">
      <c r="B3412" s="848" t="str">
        <f>+'4L'!BK24</f>
        <v>WS2007RWTCUM</v>
      </c>
      <c r="D3412" s="2004"/>
      <c r="E3412" s="1658" t="s">
        <v>9033</v>
      </c>
      <c r="F3412" s="2004"/>
      <c r="G3412" s="2004">
        <f>IF('4L'!P24="","##BLANK",'4L'!P24)</f>
        <v>0</v>
      </c>
    </row>
    <row r="3413" spans="2:7">
      <c r="B3413" s="848" t="str">
        <f>+'4L'!BK25</f>
        <v>WS2008RWTCUM</v>
      </c>
      <c r="D3413" s="2004"/>
      <c r="E3413" s="1658" t="s">
        <v>9033</v>
      </c>
      <c r="F3413" s="2004"/>
      <c r="G3413" s="2004">
        <f>IF('4L'!P25="","##BLANK",'4L'!P25)</f>
        <v>0</v>
      </c>
    </row>
    <row r="3414" spans="2:7">
      <c r="B3414" s="848" t="str">
        <f>+'4L'!BK26</f>
        <v>W3027RWTCUM</v>
      </c>
      <c r="D3414" s="2004"/>
      <c r="E3414" s="1658" t="s">
        <v>9033</v>
      </c>
      <c r="F3414" s="2004"/>
      <c r="G3414" s="2004">
        <f>IF('4L'!P26="","##BLANK",'4L'!P26)</f>
        <v>0</v>
      </c>
    </row>
    <row r="3415" spans="2:7">
      <c r="B3415" s="848" t="str">
        <f>+'4L'!BK27</f>
        <v>W3028OPTRWTCUM</v>
      </c>
      <c r="D3415" s="2004"/>
      <c r="E3415" s="1658" t="s">
        <v>9033</v>
      </c>
      <c r="F3415" s="2004"/>
      <c r="G3415" s="2004">
        <f>IF('4L'!P27="","##BLANK",'4L'!P27)</f>
        <v>0</v>
      </c>
    </row>
    <row r="3416" spans="2:7">
      <c r="B3416" s="848" t="str">
        <f>+'4L'!BK28</f>
        <v>W3028COMRWTCUM</v>
      </c>
      <c r="D3416" s="2004"/>
      <c r="E3416" s="1658" t="s">
        <v>9033</v>
      </c>
      <c r="F3416" s="2004"/>
      <c r="G3416" s="2004">
        <f>IF('4L'!P28="","##BLANK",'4L'!P28)</f>
        <v>0</v>
      </c>
    </row>
    <row r="3417" spans="2:7">
      <c r="B3417" s="848" t="str">
        <f>+'4L'!BK29</f>
        <v>W3028NHORWTCUM</v>
      </c>
      <c r="D3417" s="2004"/>
      <c r="E3417" s="1658" t="s">
        <v>9033</v>
      </c>
      <c r="F3417" s="2004"/>
      <c r="G3417" s="2004">
        <f>IF('4L'!P29="","##BLANK",'4L'!P29)</f>
        <v>0</v>
      </c>
    </row>
    <row r="3418" spans="2:7">
      <c r="B3418" s="848" t="str">
        <f>+'4L'!BK30</f>
        <v>W3A00001RWTCUM</v>
      </c>
      <c r="D3418" s="2004"/>
      <c r="E3418" s="1658" t="s">
        <v>9033</v>
      </c>
      <c r="F3418" s="2004" t="str">
        <f>+'4L'!C$30</f>
        <v>Drought Management Plan</v>
      </c>
      <c r="G3418" s="2004">
        <f>IF('4L'!P30="","##BLANK",'4L'!P30)</f>
        <v>0</v>
      </c>
    </row>
    <row r="3419" spans="2:7">
      <c r="B3419" s="848" t="str">
        <f>+'4L'!BK31</f>
        <v>W3A00002RWTCUM</v>
      </c>
      <c r="D3419" s="2004"/>
      <c r="E3419" s="1658" t="s">
        <v>9033</v>
      </c>
      <c r="F3419" s="2004" t="str">
        <f>+'4L'!C$31</f>
        <v>Exclusions</v>
      </c>
      <c r="G3419" s="2004">
        <f>IF('4L'!P31="","##BLANK",'4L'!P31)</f>
        <v>0</v>
      </c>
    </row>
    <row r="3420" spans="2:7">
      <c r="B3420" s="848" t="str">
        <f>+'4L'!BK32</f>
        <v>W3A00003RWTCUM</v>
      </c>
      <c r="D3420" s="2004"/>
      <c r="E3420" s="1658" t="s">
        <v>9033</v>
      </c>
      <c r="F3420" s="2004" t="str">
        <f>+'4L'!C$32</f>
        <v>Leakage Reduction - UQ</v>
      </c>
      <c r="G3420" s="2004">
        <f>IF('4L'!P32="","##BLANK",'4L'!P32)</f>
        <v>0</v>
      </c>
    </row>
    <row r="3421" spans="2:7">
      <c r="B3421" s="848" t="str">
        <f>+'4L'!BK33</f>
        <v>W3A00004RWTCUM</v>
      </c>
      <c r="D3421" s="2004"/>
      <c r="E3421" s="1658" t="s">
        <v>9033</v>
      </c>
      <c r="F3421" s="2004" t="str">
        <f>+'4L'!C$33</f>
        <v>Reduction in Interruptions to Supply - UQ</v>
      </c>
      <c r="G3421" s="2004">
        <f>IF('4L'!P33="","##BLANK",'4L'!P33)</f>
        <v>0</v>
      </c>
    </row>
    <row r="3422" spans="2:7">
      <c r="B3422" s="848" t="str">
        <f>+'4L'!BK34</f>
        <v>W3A00005RWTCUM</v>
      </c>
      <c r="D3422" s="2004"/>
      <c r="E3422" s="1658" t="s">
        <v>9033</v>
      </c>
      <c r="F3422" s="2004" t="str">
        <f>+'4L'!C$34</f>
        <v>Improving Water Quality - UQ</v>
      </c>
      <c r="G3422" s="2004">
        <f>IF('4L'!P34="","##BLANK",'4L'!P34)</f>
        <v>0</v>
      </c>
    </row>
    <row r="3423" spans="2:7">
      <c r="B3423" s="848" t="str">
        <f>+'4L'!BK35</f>
        <v>W3A00006RWTCUM</v>
      </c>
      <c r="D3423" s="2004"/>
      <c r="E3423" s="1658" t="s">
        <v>9033</v>
      </c>
      <c r="F3423" s="2004" t="str">
        <f>+'4L'!C$35</f>
        <v>Infrastructure network reinforcement</v>
      </c>
      <c r="G3423" s="2004">
        <f>IF('4L'!P35="","##BLANK",'4L'!P35)</f>
        <v>0</v>
      </c>
    </row>
    <row r="3424" spans="2:7">
      <c r="B3424" s="848" t="str">
        <f>+'4L'!BK36</f>
        <v>W3A00007RWTCUM</v>
      </c>
      <c r="D3424" s="2004"/>
      <c r="E3424" s="1658" t="s">
        <v>9033</v>
      </c>
      <c r="F3424" s="2004" t="str">
        <f>+'4L'!C$36</f>
        <v>2020-25 Transition Expenditure - Capex</v>
      </c>
      <c r="G3424" s="2004">
        <f>IF('4L'!P36="","##BLANK",'4L'!P36)</f>
        <v>0</v>
      </c>
    </row>
    <row r="3425" spans="2:7">
      <c r="B3425" s="848" t="str">
        <f>+'4L'!BK37</f>
        <v>W3A00008RWTCUM</v>
      </c>
      <c r="D3425" s="2004"/>
      <c r="E3425" s="1658" t="s">
        <v>9033</v>
      </c>
      <c r="F3425" s="2004" t="str">
        <f>+'4L'!C$37</f>
        <v>Capital expenditure purpose - WATER additional line 8 [Other categories]</v>
      </c>
      <c r="G3425" s="2004">
        <f>IF('4L'!P37="","##BLANK",'4L'!P37)</f>
        <v>0</v>
      </c>
    </row>
    <row r="3426" spans="2:7">
      <c r="B3426" s="848" t="str">
        <f>+'4L'!BK38</f>
        <v>W3A00009RWTCUM</v>
      </c>
      <c r="D3426" s="2004"/>
      <c r="E3426" s="1658" t="s">
        <v>9033</v>
      </c>
      <c r="F3426" s="2004" t="str">
        <f>+'4L'!C$38</f>
        <v>Capital expenditure purpose - WATER additional line 9 [Other categories]</v>
      </c>
      <c r="G3426" s="2004">
        <f>IF('4L'!P38="","##BLANK",'4L'!P38)</f>
        <v>0</v>
      </c>
    </row>
    <row r="3427" spans="2:7">
      <c r="B3427" s="848" t="str">
        <f>+'4L'!BK39</f>
        <v>W3A00010RWTCUM</v>
      </c>
      <c r="D3427" s="2004"/>
      <c r="E3427" s="1658" t="s">
        <v>9033</v>
      </c>
      <c r="F3427" s="2004" t="str">
        <f>+'4L'!C$39</f>
        <v>Capital expenditure purpose - WATER additional line 10 [Other categories]</v>
      </c>
      <c r="G3427" s="2004">
        <f>IF('4L'!P39="","##BLANK",'4L'!P39)</f>
        <v>0</v>
      </c>
    </row>
    <row r="3428" spans="2:7">
      <c r="B3428" s="848" t="str">
        <f>+'4L'!BK40</f>
        <v>W3A00011RWTCUM</v>
      </c>
      <c r="D3428" s="2004"/>
      <c r="E3428" s="1658" t="s">
        <v>9033</v>
      </c>
      <c r="F3428" s="2004" t="str">
        <f>+'4L'!C$40</f>
        <v>Capital expenditure purpose - WATER additional line 11 [Other categories]</v>
      </c>
      <c r="G3428" s="2004">
        <f>IF('4L'!P40="","##BLANK",'4L'!P40)</f>
        <v>0</v>
      </c>
    </row>
    <row r="3429" spans="2:7">
      <c r="B3429" s="848" t="str">
        <f>+'4L'!BK41</f>
        <v>W3A00012RWTCUM</v>
      </c>
      <c r="D3429" s="2004"/>
      <c r="E3429" s="1658" t="s">
        <v>9033</v>
      </c>
      <c r="F3429" s="2004" t="str">
        <f>+'4L'!C$41</f>
        <v>Capital expenditure purpose - WATER additional line 12 [Other categories]</v>
      </c>
      <c r="G3429" s="2004">
        <f>IF('4L'!P41="","##BLANK",'4L'!P41)</f>
        <v>0</v>
      </c>
    </row>
    <row r="3430" spans="2:7">
      <c r="B3430" s="848" t="str">
        <f>+'4L'!BK42</f>
        <v>W3A00013RWTCUM</v>
      </c>
      <c r="D3430" s="2004"/>
      <c r="E3430" s="1658" t="s">
        <v>9033</v>
      </c>
      <c r="F3430" s="2004" t="str">
        <f>+'4L'!C$42</f>
        <v>Capital expenditure purpose - WATER additional line 13 [Other categories]</v>
      </c>
      <c r="G3430" s="2004">
        <f>IF('4L'!P42="","##BLANK",'4L'!P42)</f>
        <v>0</v>
      </c>
    </row>
    <row r="3431" spans="2:7">
      <c r="B3431" s="848" t="str">
        <f>+'4L'!BK43</f>
        <v>W3A00014RWTCUM</v>
      </c>
      <c r="D3431" s="2004"/>
      <c r="E3431" s="1658" t="s">
        <v>9033</v>
      </c>
      <c r="F3431" s="2004" t="str">
        <f>+'4L'!C$43</f>
        <v>Capital expenditure purpose - WATER additional line 14 [Other categories]</v>
      </c>
      <c r="G3431" s="2004">
        <f>IF('4L'!P43="","##BLANK",'4L'!P43)</f>
        <v>0</v>
      </c>
    </row>
    <row r="3432" spans="2:7">
      <c r="B3432" s="848" t="str">
        <f>+'4L'!BK44</f>
        <v>W3A00015RWTCUM</v>
      </c>
      <c r="D3432" s="2004"/>
      <c r="E3432" s="1658" t="s">
        <v>9033</v>
      </c>
      <c r="F3432" s="2004" t="str">
        <f>+'4L'!C$44</f>
        <v>Capital expenditure purpose - WATER additional line 15 [Other categories]</v>
      </c>
      <c r="G3432" s="2004">
        <f>IF('4L'!P44="","##BLANK",'4L'!P44)</f>
        <v>0</v>
      </c>
    </row>
    <row r="3433" spans="2:7">
      <c r="B3433" s="848" t="str">
        <f>+'4L'!BK45</f>
        <v>BA2070RWTCUM</v>
      </c>
      <c r="D3433" s="2004"/>
      <c r="E3433" s="1658" t="s">
        <v>9033</v>
      </c>
      <c r="F3433" s="2004"/>
      <c r="G3433" s="2004">
        <f>IF('4L'!P45="","##BLANK",'4L'!P45)</f>
        <v>1.4E-2</v>
      </c>
    </row>
    <row r="3434" spans="2:7">
      <c r="B3434" s="848" t="str">
        <f>+'4L'!BL8</f>
        <v>W3001RWSCUM</v>
      </c>
      <c r="D3434" s="2004"/>
      <c r="E3434" s="1658" t="s">
        <v>9033</v>
      </c>
      <c r="F3434" s="2004"/>
      <c r="G3434" s="2004">
        <f>IF('4L'!Q8="","##BLANK",'4L'!Q8)</f>
        <v>0</v>
      </c>
    </row>
    <row r="3435" spans="2:7">
      <c r="B3435" s="848" t="str">
        <f>+'4L'!BL9</f>
        <v>WS2002RWSCUM</v>
      </c>
      <c r="D3435" s="2004"/>
      <c r="E3435" s="1658" t="s">
        <v>9033</v>
      </c>
      <c r="F3435" s="2004"/>
      <c r="G3435" s="2004">
        <f>IF('4L'!Q9="","##BLANK",'4L'!Q9)</f>
        <v>0</v>
      </c>
    </row>
    <row r="3436" spans="2:7">
      <c r="B3436" s="848" t="str">
        <f>+'4L'!BL10</f>
        <v>WS2003RWSCUM</v>
      </c>
      <c r="D3436" s="2004"/>
      <c r="E3436" s="1658" t="s">
        <v>9033</v>
      </c>
      <c r="F3436" s="2004"/>
      <c r="G3436" s="2004">
        <f>IF('4L'!Q10="","##BLANK",'4L'!Q10)</f>
        <v>0</v>
      </c>
    </row>
    <row r="3437" spans="2:7">
      <c r="B3437" s="848" t="str">
        <f>+'4L'!BL11</f>
        <v>W3002RWSCUM</v>
      </c>
      <c r="D3437" s="2004"/>
      <c r="E3437" s="1658" t="s">
        <v>9033</v>
      </c>
      <c r="F3437" s="2004"/>
      <c r="G3437" s="2004">
        <f>IF('4L'!Q11="","##BLANK",'4L'!Q11)</f>
        <v>0</v>
      </c>
    </row>
    <row r="3438" spans="2:7">
      <c r="B3438" s="848" t="str">
        <f>+'4L'!BL12</f>
        <v>W3003RWSCUM</v>
      </c>
      <c r="D3438" s="2004"/>
      <c r="E3438" s="1658" t="s">
        <v>9033</v>
      </c>
      <c r="F3438" s="2004"/>
      <c r="G3438" s="2004">
        <f>IF('4L'!Q12="","##BLANK",'4L'!Q12)</f>
        <v>0</v>
      </c>
    </row>
    <row r="3439" spans="2:7">
      <c r="B3439" s="848" t="str">
        <f>+'4L'!BL13</f>
        <v>W3006RWSCUM</v>
      </c>
      <c r="D3439" s="2004"/>
      <c r="E3439" s="1658" t="s">
        <v>9033</v>
      </c>
      <c r="F3439" s="2004"/>
      <c r="G3439" s="2004">
        <f>IF('4L'!Q13="","##BLANK",'4L'!Q13)</f>
        <v>0</v>
      </c>
    </row>
    <row r="3440" spans="2:7">
      <c r="B3440" s="848" t="str">
        <f>+'4L'!BL14</f>
        <v>W3007SRWSCUM</v>
      </c>
      <c r="D3440" s="2004"/>
      <c r="E3440" s="1658" t="s">
        <v>9033</v>
      </c>
      <c r="F3440" s="2004"/>
      <c r="G3440" s="2004">
        <f>IF('4L'!Q14="","##BLANK",'4L'!Q14)</f>
        <v>0</v>
      </c>
    </row>
    <row r="3441" spans="2:7">
      <c r="B3441" s="848" t="str">
        <f>+'4L'!BL15</f>
        <v>W3008SRWSCUM</v>
      </c>
      <c r="D3441" s="2004"/>
      <c r="E3441" s="1658" t="s">
        <v>9033</v>
      </c>
      <c r="F3441" s="2004"/>
      <c r="G3441" s="2004">
        <f>IF('4L'!Q15="","##BLANK",'4L'!Q15)</f>
        <v>0</v>
      </c>
    </row>
    <row r="3442" spans="2:7">
      <c r="B3442" s="848" t="str">
        <f>+'4L'!BL16</f>
        <v>W3007DRWSCUM</v>
      </c>
      <c r="D3442" s="2004"/>
      <c r="E3442" s="1658" t="s">
        <v>9033</v>
      </c>
      <c r="F3442" s="2004"/>
      <c r="G3442" s="2004">
        <f>IF('4L'!Q16="","##BLANK",'4L'!Q16)</f>
        <v>0</v>
      </c>
    </row>
    <row r="3443" spans="2:7">
      <c r="B3443" s="848" t="str">
        <f>+'4L'!BL17</f>
        <v>W3008DRWSCUM</v>
      </c>
      <c r="D3443" s="2004"/>
      <c r="E3443" s="1658" t="s">
        <v>9033</v>
      </c>
      <c r="F3443" s="2004"/>
      <c r="G3443" s="2004">
        <f>IF('4L'!Q17="","##BLANK",'4L'!Q17)</f>
        <v>0</v>
      </c>
    </row>
    <row r="3444" spans="2:7">
      <c r="B3444" s="848" t="str">
        <f>+'4L'!BL18</f>
        <v>W3009RWSCUM</v>
      </c>
      <c r="D3444" s="2004"/>
      <c r="E3444" s="1658" t="s">
        <v>9033</v>
      </c>
      <c r="F3444" s="2004"/>
      <c r="G3444" s="2004">
        <f>IF('4L'!Q18="","##BLANK",'4L'!Q18)</f>
        <v>0</v>
      </c>
    </row>
    <row r="3445" spans="2:7">
      <c r="B3445" s="848" t="str">
        <f>+'4L'!BL19</f>
        <v>WS2004RWSCUM</v>
      </c>
      <c r="D3445" s="2004"/>
      <c r="E3445" s="1658" t="s">
        <v>9033</v>
      </c>
      <c r="F3445" s="2004"/>
      <c r="G3445" s="2004">
        <f>IF('4L'!Q19="","##BLANK",'4L'!Q19)</f>
        <v>0</v>
      </c>
    </row>
    <row r="3446" spans="2:7">
      <c r="B3446" s="848" t="str">
        <f>+'4L'!BL20</f>
        <v>W3010RWSCUM</v>
      </c>
      <c r="D3446" s="2004"/>
      <c r="E3446" s="1658" t="s">
        <v>9033</v>
      </c>
      <c r="F3446" s="2004"/>
      <c r="G3446" s="2004">
        <f>IF('4L'!Q20="","##BLANK",'4L'!Q20)</f>
        <v>0</v>
      </c>
    </row>
    <row r="3447" spans="2:7">
      <c r="B3447" s="848" t="str">
        <f>+'4L'!BL21</f>
        <v>W3011RWSCUM</v>
      </c>
      <c r="D3447" s="2004"/>
      <c r="E3447" s="1658" t="s">
        <v>9033</v>
      </c>
      <c r="F3447" s="2004"/>
      <c r="G3447" s="2004">
        <f>IF('4L'!Q21="","##BLANK",'4L'!Q21)</f>
        <v>0</v>
      </c>
    </row>
    <row r="3448" spans="2:7">
      <c r="B3448" s="848" t="str">
        <f>+'4L'!BL22</f>
        <v>W3012RWSCUM</v>
      </c>
      <c r="D3448" s="2004"/>
      <c r="E3448" s="1658" t="s">
        <v>9033</v>
      </c>
      <c r="F3448" s="2004"/>
      <c r="G3448" s="2004">
        <f>IF('4L'!Q22="","##BLANK",'4L'!Q22)</f>
        <v>3.5999999999999997E-2</v>
      </c>
    </row>
    <row r="3449" spans="2:7">
      <c r="B3449" s="848" t="str">
        <f>+'4L'!BL23</f>
        <v>WS2006RWSCUM</v>
      </c>
      <c r="D3449" s="2004"/>
      <c r="E3449" s="1658" t="s">
        <v>9033</v>
      </c>
      <c r="F3449" s="2004"/>
      <c r="G3449" s="2004">
        <f>IF('4L'!Q23="","##BLANK",'4L'!Q23)</f>
        <v>0</v>
      </c>
    </row>
    <row r="3450" spans="2:7">
      <c r="B3450" s="848" t="str">
        <f>+'4L'!BL24</f>
        <v>WS2007RWSCUM</v>
      </c>
      <c r="D3450" s="2004"/>
      <c r="E3450" s="1658" t="s">
        <v>9033</v>
      </c>
      <c r="F3450" s="2004"/>
      <c r="G3450" s="2004">
        <f>IF('4L'!Q24="","##BLANK",'4L'!Q24)</f>
        <v>0</v>
      </c>
    </row>
    <row r="3451" spans="2:7">
      <c r="B3451" s="848" t="str">
        <f>+'4L'!BL25</f>
        <v>WS2008RWSCUM</v>
      </c>
      <c r="D3451" s="2004"/>
      <c r="E3451" s="1658" t="s">
        <v>9033</v>
      </c>
      <c r="F3451" s="2004"/>
      <c r="G3451" s="2004">
        <f>IF('4L'!Q25="","##BLANK",'4L'!Q25)</f>
        <v>0</v>
      </c>
    </row>
    <row r="3452" spans="2:7">
      <c r="B3452" s="848" t="str">
        <f>+'4L'!BL26</f>
        <v>W3027RWSCUM</v>
      </c>
      <c r="D3452" s="2004"/>
      <c r="E3452" s="1658" t="s">
        <v>9033</v>
      </c>
      <c r="F3452" s="2004"/>
      <c r="G3452" s="2004">
        <f>IF('4L'!Q26="","##BLANK",'4L'!Q26)</f>
        <v>0</v>
      </c>
    </row>
    <row r="3453" spans="2:7">
      <c r="B3453" s="848" t="str">
        <f>+'4L'!BL27</f>
        <v>W3028OPTRWSCUM</v>
      </c>
      <c r="D3453" s="2004"/>
      <c r="E3453" s="1658" t="s">
        <v>9033</v>
      </c>
      <c r="F3453" s="2004"/>
      <c r="G3453" s="2004">
        <f>IF('4L'!Q27="","##BLANK",'4L'!Q27)</f>
        <v>0</v>
      </c>
    </row>
    <row r="3454" spans="2:7">
      <c r="B3454" s="848" t="str">
        <f>+'4L'!BL28</f>
        <v>W3028COMRWSCUM</v>
      </c>
      <c r="D3454" s="2004"/>
      <c r="E3454" s="1658" t="s">
        <v>9033</v>
      </c>
      <c r="F3454" s="2004"/>
      <c r="G3454" s="2004">
        <f>IF('4L'!Q28="","##BLANK",'4L'!Q28)</f>
        <v>0</v>
      </c>
    </row>
    <row r="3455" spans="2:7">
      <c r="B3455" s="848" t="str">
        <f>+'4L'!BL29</f>
        <v>W3028NHORWSCUM</v>
      </c>
      <c r="D3455" s="2004"/>
      <c r="E3455" s="1658" t="s">
        <v>9033</v>
      </c>
      <c r="F3455" s="2004"/>
      <c r="G3455" s="2004">
        <f>IF('4L'!Q29="","##BLANK",'4L'!Q29)</f>
        <v>0</v>
      </c>
    </row>
    <row r="3456" spans="2:7">
      <c r="B3456" s="848" t="str">
        <f>+'4L'!BL30</f>
        <v>W3A00001RWSCUM</v>
      </c>
      <c r="D3456" s="2004"/>
      <c r="E3456" s="1658" t="s">
        <v>9033</v>
      </c>
      <c r="F3456" s="2004" t="str">
        <f>+'4L'!C$30</f>
        <v>Drought Management Plan</v>
      </c>
      <c r="G3456" s="2004">
        <f>IF('4L'!Q30="","##BLANK",'4L'!Q30)</f>
        <v>0</v>
      </c>
    </row>
    <row r="3457" spans="2:7">
      <c r="B3457" s="848" t="str">
        <f>+'4L'!BL31</f>
        <v>W3A00002RWSCUM</v>
      </c>
      <c r="D3457" s="2004"/>
      <c r="E3457" s="1658" t="s">
        <v>9033</v>
      </c>
      <c r="F3457" s="2004" t="str">
        <f>+'4L'!C$31</f>
        <v>Exclusions</v>
      </c>
      <c r="G3457" s="2004">
        <f>IF('4L'!Q31="","##BLANK",'4L'!Q31)</f>
        <v>0</v>
      </c>
    </row>
    <row r="3458" spans="2:7">
      <c r="B3458" s="848" t="str">
        <f>+'4L'!BL32</f>
        <v>W3A00003RWSCUM</v>
      </c>
      <c r="D3458" s="2004"/>
      <c r="E3458" s="1658" t="s">
        <v>9033</v>
      </c>
      <c r="F3458" s="2004" t="str">
        <f>+'4L'!C$32</f>
        <v>Leakage Reduction - UQ</v>
      </c>
      <c r="G3458" s="2004">
        <f>IF('4L'!Q32="","##BLANK",'4L'!Q32)</f>
        <v>0</v>
      </c>
    </row>
    <row r="3459" spans="2:7">
      <c r="B3459" s="848" t="str">
        <f>+'4L'!BL33</f>
        <v>W3A00004RWSCUM</v>
      </c>
      <c r="D3459" s="2004"/>
      <c r="E3459" s="1658" t="s">
        <v>9033</v>
      </c>
      <c r="F3459" s="2004" t="str">
        <f>+'4L'!C$33</f>
        <v>Reduction in Interruptions to Supply - UQ</v>
      </c>
      <c r="G3459" s="2004">
        <f>IF('4L'!Q33="","##BLANK",'4L'!Q33)</f>
        <v>0</v>
      </c>
    </row>
    <row r="3460" spans="2:7">
      <c r="B3460" s="848" t="str">
        <f>+'4L'!BL34</f>
        <v>W3A00005RWSCUM</v>
      </c>
      <c r="D3460" s="2004"/>
      <c r="E3460" s="1658" t="s">
        <v>9033</v>
      </c>
      <c r="F3460" s="2004" t="str">
        <f>+'4L'!C$34</f>
        <v>Improving Water Quality - UQ</v>
      </c>
      <c r="G3460" s="2004">
        <f>IF('4L'!Q34="","##BLANK",'4L'!Q34)</f>
        <v>0</v>
      </c>
    </row>
    <row r="3461" spans="2:7">
      <c r="B3461" s="848" t="str">
        <f>+'4L'!BL35</f>
        <v>W3A00006RWSCUM</v>
      </c>
      <c r="D3461" s="2004"/>
      <c r="E3461" s="1658" t="s">
        <v>9033</v>
      </c>
      <c r="F3461" s="2004" t="str">
        <f>+'4L'!C$35</f>
        <v>Infrastructure network reinforcement</v>
      </c>
      <c r="G3461" s="2004">
        <f>IF('4L'!Q35="","##BLANK",'4L'!Q35)</f>
        <v>0</v>
      </c>
    </row>
    <row r="3462" spans="2:7">
      <c r="B3462" s="848" t="str">
        <f>+'4L'!BL36</f>
        <v>W3A00007RWSCUM</v>
      </c>
      <c r="D3462" s="2004"/>
      <c r="E3462" s="1658" t="s">
        <v>9033</v>
      </c>
      <c r="F3462" s="2004" t="str">
        <f>+'4L'!C$36</f>
        <v>2020-25 Transition Expenditure - Capex</v>
      </c>
      <c r="G3462" s="2004">
        <f>IF('4L'!Q36="","##BLANK",'4L'!Q36)</f>
        <v>0</v>
      </c>
    </row>
    <row r="3463" spans="2:7">
      <c r="B3463" s="848" t="str">
        <f>+'4L'!BL37</f>
        <v>W3A00008RWSCUM</v>
      </c>
      <c r="D3463" s="2004"/>
      <c r="E3463" s="1658" t="s">
        <v>9033</v>
      </c>
      <c r="F3463" s="2004" t="str">
        <f>+'4L'!C$37</f>
        <v>Capital expenditure purpose - WATER additional line 8 [Other categories]</v>
      </c>
      <c r="G3463" s="2004">
        <f>IF('4L'!Q37="","##BLANK",'4L'!Q37)</f>
        <v>0</v>
      </c>
    </row>
    <row r="3464" spans="2:7">
      <c r="B3464" s="848" t="str">
        <f>+'4L'!BL38</f>
        <v>W3A00009RWSCUM</v>
      </c>
      <c r="D3464" s="2004"/>
      <c r="E3464" s="1658" t="s">
        <v>9033</v>
      </c>
      <c r="F3464" s="2004" t="str">
        <f>+'4L'!C$38</f>
        <v>Capital expenditure purpose - WATER additional line 9 [Other categories]</v>
      </c>
      <c r="G3464" s="2004">
        <f>IF('4L'!Q38="","##BLANK",'4L'!Q38)</f>
        <v>0</v>
      </c>
    </row>
    <row r="3465" spans="2:7">
      <c r="B3465" s="848" t="str">
        <f>+'4L'!BL39</f>
        <v>W3A00010RWSCUM</v>
      </c>
      <c r="D3465" s="2004"/>
      <c r="E3465" s="1658" t="s">
        <v>9033</v>
      </c>
      <c r="F3465" s="2004" t="str">
        <f>+'4L'!C$39</f>
        <v>Capital expenditure purpose - WATER additional line 10 [Other categories]</v>
      </c>
      <c r="G3465" s="2004">
        <f>IF('4L'!Q39="","##BLANK",'4L'!Q39)</f>
        <v>0</v>
      </c>
    </row>
    <row r="3466" spans="2:7">
      <c r="B3466" s="848" t="str">
        <f>+'4L'!BL40</f>
        <v>W3A00011RWSCUM</v>
      </c>
      <c r="D3466" s="2004"/>
      <c r="E3466" s="1658" t="s">
        <v>9033</v>
      </c>
      <c r="F3466" s="2004" t="str">
        <f>+'4L'!C$40</f>
        <v>Capital expenditure purpose - WATER additional line 11 [Other categories]</v>
      </c>
      <c r="G3466" s="2004">
        <f>IF('4L'!Q40="","##BLANK",'4L'!Q40)</f>
        <v>0</v>
      </c>
    </row>
    <row r="3467" spans="2:7">
      <c r="B3467" s="848" t="str">
        <f>+'4L'!BL41</f>
        <v>W3A00012RWSCUM</v>
      </c>
      <c r="D3467" s="2004"/>
      <c r="E3467" s="1658" t="s">
        <v>9033</v>
      </c>
      <c r="F3467" s="2004" t="str">
        <f>+'4L'!C$41</f>
        <v>Capital expenditure purpose - WATER additional line 12 [Other categories]</v>
      </c>
      <c r="G3467" s="2004">
        <f>IF('4L'!Q41="","##BLANK",'4L'!Q41)</f>
        <v>0</v>
      </c>
    </row>
    <row r="3468" spans="2:7">
      <c r="B3468" s="848" t="str">
        <f>+'4L'!BL42</f>
        <v>W3A00013RWSCUM</v>
      </c>
      <c r="D3468" s="2004"/>
      <c r="E3468" s="1658" t="s">
        <v>9033</v>
      </c>
      <c r="F3468" s="2004" t="str">
        <f>+'4L'!C$42</f>
        <v>Capital expenditure purpose - WATER additional line 13 [Other categories]</v>
      </c>
      <c r="G3468" s="2004">
        <f>IF('4L'!Q42="","##BLANK",'4L'!Q42)</f>
        <v>0</v>
      </c>
    </row>
    <row r="3469" spans="2:7">
      <c r="B3469" s="848" t="str">
        <f>+'4L'!BL43</f>
        <v>W3A00014RWSCUM</v>
      </c>
      <c r="D3469" s="2004"/>
      <c r="E3469" s="1658" t="s">
        <v>9033</v>
      </c>
      <c r="F3469" s="2004" t="str">
        <f>+'4L'!C$43</f>
        <v>Capital expenditure purpose - WATER additional line 14 [Other categories]</v>
      </c>
      <c r="G3469" s="2004">
        <f>IF('4L'!Q43="","##BLANK",'4L'!Q43)</f>
        <v>0</v>
      </c>
    </row>
    <row r="3470" spans="2:7">
      <c r="B3470" s="848" t="str">
        <f>+'4L'!BL44</f>
        <v>W3A00015RWSCUM</v>
      </c>
      <c r="D3470" s="2004"/>
      <c r="E3470" s="1658" t="s">
        <v>9033</v>
      </c>
      <c r="F3470" s="2004" t="str">
        <f>+'4L'!C$44</f>
        <v>Capital expenditure purpose - WATER additional line 15 [Other categories]</v>
      </c>
      <c r="G3470" s="2004">
        <f>IF('4L'!Q44="","##BLANK",'4L'!Q44)</f>
        <v>0</v>
      </c>
    </row>
    <row r="3471" spans="2:7">
      <c r="B3471" s="848" t="str">
        <f>+'4L'!BL45</f>
        <v>BA2070RWSCUM</v>
      </c>
      <c r="D3471" s="2004"/>
      <c r="E3471" s="1658" t="s">
        <v>9033</v>
      </c>
      <c r="F3471" s="2004"/>
      <c r="G3471" s="2004">
        <f>IF('4L'!Q45="","##BLANK",'4L'!Q45)</f>
        <v>3.5999999999999997E-2</v>
      </c>
    </row>
    <row r="3472" spans="2:7">
      <c r="B3472" s="848" t="str">
        <f>+'4L'!BM8</f>
        <v>W3001WTCUM</v>
      </c>
      <c r="D3472" s="2004"/>
      <c r="E3472" s="1658" t="s">
        <v>9033</v>
      </c>
      <c r="F3472" s="2004"/>
      <c r="G3472" s="2004">
        <f>IF('4L'!R8="","##BLANK",'4L'!R8)</f>
        <v>0</v>
      </c>
    </row>
    <row r="3473" spans="2:7">
      <c r="B3473" s="848" t="str">
        <f>+'4L'!BM9</f>
        <v>WS2002WTCUM</v>
      </c>
      <c r="D3473" s="2004"/>
      <c r="E3473" s="1658" t="s">
        <v>9033</v>
      </c>
      <c r="F3473" s="2004"/>
      <c r="G3473" s="2004">
        <f>IF('4L'!R9="","##BLANK",'4L'!R9)</f>
        <v>0</v>
      </c>
    </row>
    <row r="3474" spans="2:7">
      <c r="B3474" s="848" t="str">
        <f>+'4L'!BM10</f>
        <v>WS2003WTCUM</v>
      </c>
      <c r="D3474" s="2004"/>
      <c r="E3474" s="1658" t="s">
        <v>9033</v>
      </c>
      <c r="F3474" s="2004"/>
      <c r="G3474" s="2004">
        <f>IF('4L'!R10="","##BLANK",'4L'!R10)</f>
        <v>0</v>
      </c>
    </row>
    <row r="3475" spans="2:7">
      <c r="B3475" s="848" t="str">
        <f>+'4L'!BM11</f>
        <v>W3002WTCUM</v>
      </c>
      <c r="D3475" s="2004"/>
      <c r="E3475" s="1658" t="s">
        <v>9033</v>
      </c>
      <c r="F3475" s="2004"/>
      <c r="G3475" s="2004">
        <f>IF('4L'!R11="","##BLANK",'4L'!R11)</f>
        <v>0</v>
      </c>
    </row>
    <row r="3476" spans="2:7">
      <c r="B3476" s="848" t="str">
        <f>+'4L'!BM12</f>
        <v>W3003WTCUM</v>
      </c>
      <c r="D3476" s="2004"/>
      <c r="E3476" s="1658" t="s">
        <v>9033</v>
      </c>
      <c r="F3476" s="2004"/>
      <c r="G3476" s="2004">
        <f>IF('4L'!R12="","##BLANK",'4L'!R12)</f>
        <v>0</v>
      </c>
    </row>
    <row r="3477" spans="2:7">
      <c r="B3477" s="848" t="str">
        <f>+'4L'!BM13</f>
        <v>W3006WTCUM</v>
      </c>
      <c r="D3477" s="2004"/>
      <c r="E3477" s="1658" t="s">
        <v>9033</v>
      </c>
      <c r="F3477" s="2004"/>
      <c r="G3477" s="2004">
        <f>IF('4L'!R13="","##BLANK",'4L'!R13)</f>
        <v>0</v>
      </c>
    </row>
    <row r="3478" spans="2:7">
      <c r="B3478" s="848" t="str">
        <f>+'4L'!BM14</f>
        <v>W3007SWTCUM</v>
      </c>
      <c r="D3478" s="2004"/>
      <c r="E3478" s="1658" t="s">
        <v>9033</v>
      </c>
      <c r="F3478" s="2004"/>
      <c r="G3478" s="2004">
        <f>IF('4L'!R14="","##BLANK",'4L'!R14)</f>
        <v>0</v>
      </c>
    </row>
    <row r="3479" spans="2:7">
      <c r="B3479" s="848" t="str">
        <f>+'4L'!BM15</f>
        <v>W3008SWTCUM</v>
      </c>
      <c r="D3479" s="2004"/>
      <c r="E3479" s="1658" t="s">
        <v>9033</v>
      </c>
      <c r="F3479" s="2004"/>
      <c r="G3479" s="2004">
        <f>IF('4L'!R15="","##BLANK",'4L'!R15)</f>
        <v>0</v>
      </c>
    </row>
    <row r="3480" spans="2:7">
      <c r="B3480" s="848" t="str">
        <f>+'4L'!BM16</f>
        <v>W3007DWTCUM</v>
      </c>
      <c r="D3480" s="2004"/>
      <c r="E3480" s="1658" t="s">
        <v>9033</v>
      </c>
      <c r="F3480" s="2004"/>
      <c r="G3480" s="2004">
        <f>IF('4L'!R16="","##BLANK",'4L'!R16)</f>
        <v>0</v>
      </c>
    </row>
    <row r="3481" spans="2:7">
      <c r="B3481" s="848" t="str">
        <f>+'4L'!BM17</f>
        <v>W3008DWTCUM</v>
      </c>
      <c r="D3481" s="2004"/>
      <c r="E3481" s="1658" t="s">
        <v>9033</v>
      </c>
      <c r="F3481" s="2004"/>
      <c r="G3481" s="2004">
        <f>IF('4L'!R17="","##BLANK",'4L'!R17)</f>
        <v>0</v>
      </c>
    </row>
    <row r="3482" spans="2:7">
      <c r="B3482" s="848" t="str">
        <f>+'4L'!BM18</f>
        <v>W3009WTCUM</v>
      </c>
      <c r="D3482" s="2004"/>
      <c r="E3482" s="1658" t="s">
        <v>9033</v>
      </c>
      <c r="F3482" s="2004"/>
      <c r="G3482" s="2004">
        <f>IF('4L'!R18="","##BLANK",'4L'!R18)</f>
        <v>0</v>
      </c>
    </row>
    <row r="3483" spans="2:7">
      <c r="B3483" s="848" t="str">
        <f>+'4L'!BM19</f>
        <v>WS2004WTCUM</v>
      </c>
      <c r="D3483" s="2004"/>
      <c r="E3483" s="1658" t="s">
        <v>9033</v>
      </c>
      <c r="F3483" s="2004"/>
      <c r="G3483" s="2004">
        <f>IF('4L'!R19="","##BLANK",'4L'!R19)</f>
        <v>0</v>
      </c>
    </row>
    <row r="3484" spans="2:7">
      <c r="B3484" s="848" t="str">
        <f>+'4L'!BM20</f>
        <v>W3010WTCUM</v>
      </c>
      <c r="D3484" s="2004"/>
      <c r="E3484" s="1658" t="s">
        <v>9033</v>
      </c>
      <c r="F3484" s="2004"/>
      <c r="G3484" s="2004">
        <f>IF('4L'!R20="","##BLANK",'4L'!R20)</f>
        <v>26.550999999999998</v>
      </c>
    </row>
    <row r="3485" spans="2:7">
      <c r="B3485" s="848" t="str">
        <f>+'4L'!BM21</f>
        <v>W3011WTCUM</v>
      </c>
      <c r="D3485" s="2004"/>
      <c r="E3485" s="1658" t="s">
        <v>9033</v>
      </c>
      <c r="F3485" s="2004"/>
      <c r="G3485" s="2004">
        <f>IF('4L'!R21="","##BLANK",'4L'!R21)</f>
        <v>0</v>
      </c>
    </row>
    <row r="3486" spans="2:7">
      <c r="B3486" s="848" t="str">
        <f>+'4L'!BM22</f>
        <v>W3012WTCUM</v>
      </c>
      <c r="D3486" s="2004"/>
      <c r="E3486" s="1658" t="s">
        <v>9033</v>
      </c>
      <c r="F3486" s="2004"/>
      <c r="G3486" s="2004">
        <f>IF('4L'!R22="","##BLANK",'4L'!R22)</f>
        <v>0.52100000000000002</v>
      </c>
    </row>
    <row r="3487" spans="2:7">
      <c r="B3487" s="848" t="str">
        <f>+'4L'!BM23</f>
        <v>WS2006WTCUM</v>
      </c>
      <c r="D3487" s="2004"/>
      <c r="E3487" s="1658" t="s">
        <v>9033</v>
      </c>
      <c r="F3487" s="2004"/>
      <c r="G3487" s="2004">
        <f>IF('4L'!R23="","##BLANK",'4L'!R23)</f>
        <v>0</v>
      </c>
    </row>
    <row r="3488" spans="2:7">
      <c r="B3488" s="848" t="str">
        <f>+'4L'!BM24</f>
        <v>WS2007WTCUM</v>
      </c>
      <c r="D3488" s="2004"/>
      <c r="E3488" s="1658" t="s">
        <v>9033</v>
      </c>
      <c r="F3488" s="2004"/>
      <c r="G3488" s="2004">
        <f>IF('4L'!R24="","##BLANK",'4L'!R24)</f>
        <v>0</v>
      </c>
    </row>
    <row r="3489" spans="2:7">
      <c r="B3489" s="848" t="str">
        <f>+'4L'!BM25</f>
        <v>WS2008WTCUM</v>
      </c>
      <c r="D3489" s="2004"/>
      <c r="E3489" s="1658" t="s">
        <v>9033</v>
      </c>
      <c r="F3489" s="2004"/>
      <c r="G3489" s="2004">
        <f>IF('4L'!R25="","##BLANK",'4L'!R25)</f>
        <v>0</v>
      </c>
    </row>
    <row r="3490" spans="2:7">
      <c r="B3490" s="848" t="str">
        <f>+'4L'!BM26</f>
        <v>W3027WTCUM</v>
      </c>
      <c r="D3490" s="2004"/>
      <c r="E3490" s="1658" t="s">
        <v>9033</v>
      </c>
      <c r="F3490" s="2004"/>
      <c r="G3490" s="2004">
        <f>IF('4L'!R26="","##BLANK",'4L'!R26)</f>
        <v>0.27500000000000002</v>
      </c>
    </row>
    <row r="3491" spans="2:7">
      <c r="B3491" s="848" t="str">
        <f>+'4L'!BM27</f>
        <v>W3028OPTWTCUM</v>
      </c>
      <c r="D3491" s="2004"/>
      <c r="E3491" s="1658" t="s">
        <v>9033</v>
      </c>
      <c r="F3491" s="2004"/>
      <c r="G3491" s="2004">
        <f>IF('4L'!R27="","##BLANK",'4L'!R27)</f>
        <v>0</v>
      </c>
    </row>
    <row r="3492" spans="2:7">
      <c r="B3492" s="848" t="str">
        <f>+'4L'!BM28</f>
        <v>W3028COMWTCUM</v>
      </c>
      <c r="D3492" s="2004"/>
      <c r="E3492" s="1658" t="s">
        <v>9033</v>
      </c>
      <c r="F3492" s="2004"/>
      <c r="G3492" s="2004">
        <f>IF('4L'!R28="","##BLANK",'4L'!R28)</f>
        <v>0</v>
      </c>
    </row>
    <row r="3493" spans="2:7">
      <c r="B3493" s="848" t="str">
        <f>+'4L'!BM29</f>
        <v>W3028NHOWTCUM</v>
      </c>
      <c r="D3493" s="2004"/>
      <c r="E3493" s="1658" t="s">
        <v>9033</v>
      </c>
      <c r="F3493" s="2004"/>
      <c r="G3493" s="2004">
        <f>IF('4L'!R29="","##BLANK",'4L'!R29)</f>
        <v>0</v>
      </c>
    </row>
    <row r="3494" spans="2:7">
      <c r="B3494" s="848" t="str">
        <f>+'4L'!BM30</f>
        <v>W3A00001WTCUM</v>
      </c>
      <c r="D3494" s="2004"/>
      <c r="E3494" s="1658" t="s">
        <v>9033</v>
      </c>
      <c r="F3494" s="2004" t="str">
        <f>+'4L'!C$30</f>
        <v>Drought Management Plan</v>
      </c>
      <c r="G3494" s="2004">
        <f>IF('4L'!R30="","##BLANK",'4L'!R30)</f>
        <v>0</v>
      </c>
    </row>
    <row r="3495" spans="2:7">
      <c r="B3495" s="848" t="str">
        <f>+'4L'!BM31</f>
        <v>W3A00002WTCUM</v>
      </c>
      <c r="D3495" s="2004"/>
      <c r="E3495" s="1658" t="s">
        <v>9033</v>
      </c>
      <c r="F3495" s="2004" t="str">
        <f>+'4L'!C$31</f>
        <v>Exclusions</v>
      </c>
      <c r="G3495" s="2004">
        <f>IF('4L'!R31="","##BLANK",'4L'!R31)</f>
        <v>0</v>
      </c>
    </row>
    <row r="3496" spans="2:7">
      <c r="B3496" s="848" t="str">
        <f>+'4L'!BM32</f>
        <v>W3A00003WTCUM</v>
      </c>
      <c r="D3496" s="2004"/>
      <c r="E3496" s="1658" t="s">
        <v>9033</v>
      </c>
      <c r="F3496" s="2004" t="str">
        <f>+'4L'!C$32</f>
        <v>Leakage Reduction - UQ</v>
      </c>
      <c r="G3496" s="2004">
        <f>IF('4L'!R32="","##BLANK",'4L'!R32)</f>
        <v>0</v>
      </c>
    </row>
    <row r="3497" spans="2:7">
      <c r="B3497" s="848" t="str">
        <f>+'4L'!BM33</f>
        <v>W3A00004WTCUM</v>
      </c>
      <c r="D3497" s="2004"/>
      <c r="E3497" s="1658" t="s">
        <v>9033</v>
      </c>
      <c r="F3497" s="2004" t="str">
        <f>+'4L'!C$33</f>
        <v>Reduction in Interruptions to Supply - UQ</v>
      </c>
      <c r="G3497" s="2004">
        <f>IF('4L'!R33="","##BLANK",'4L'!R33)</f>
        <v>0</v>
      </c>
    </row>
    <row r="3498" spans="2:7">
      <c r="B3498" s="848" t="str">
        <f>+'4L'!BM34</f>
        <v>W3A00005WTCUM</v>
      </c>
      <c r="D3498" s="2004"/>
      <c r="E3498" s="1658" t="s">
        <v>9033</v>
      </c>
      <c r="F3498" s="2004" t="str">
        <f>+'4L'!C$34</f>
        <v>Improving Water Quality - UQ</v>
      </c>
      <c r="G3498" s="2004">
        <f>IF('4L'!R34="","##BLANK",'4L'!R34)</f>
        <v>1.012</v>
      </c>
    </row>
    <row r="3499" spans="2:7">
      <c r="B3499" s="848" t="str">
        <f>+'4L'!BM35</f>
        <v>W3A00006WTCUM</v>
      </c>
      <c r="D3499" s="2004"/>
      <c r="E3499" s="1658" t="s">
        <v>9033</v>
      </c>
      <c r="F3499" s="2004" t="str">
        <f>+'4L'!C$35</f>
        <v>Infrastructure network reinforcement</v>
      </c>
      <c r="G3499" s="2004">
        <f>IF('4L'!R35="","##BLANK",'4L'!R35)</f>
        <v>0</v>
      </c>
    </row>
    <row r="3500" spans="2:7">
      <c r="B3500" s="848" t="str">
        <f>+'4L'!BM36</f>
        <v>W3A00007WTCUM</v>
      </c>
      <c r="D3500" s="2004"/>
      <c r="E3500" s="1658" t="s">
        <v>9033</v>
      </c>
      <c r="F3500" s="2004" t="str">
        <f>+'4L'!C$36</f>
        <v>2020-25 Transition Expenditure - Capex</v>
      </c>
      <c r="G3500" s="2004">
        <f>IF('4L'!R36="","##BLANK",'4L'!R36)</f>
        <v>0</v>
      </c>
    </row>
    <row r="3501" spans="2:7">
      <c r="B3501" s="848" t="str">
        <f>+'4L'!BM37</f>
        <v>W3A00008WTCUM</v>
      </c>
      <c r="D3501" s="2004"/>
      <c r="E3501" s="1658" t="s">
        <v>9033</v>
      </c>
      <c r="F3501" s="2004" t="str">
        <f>+'4L'!C$37</f>
        <v>Capital expenditure purpose - WATER additional line 8 [Other categories]</v>
      </c>
      <c r="G3501" s="2004">
        <f>IF('4L'!R37="","##BLANK",'4L'!R37)</f>
        <v>0</v>
      </c>
    </row>
    <row r="3502" spans="2:7">
      <c r="B3502" s="848" t="str">
        <f>+'4L'!BM38</f>
        <v>W3A00009WTCUM</v>
      </c>
      <c r="D3502" s="2004"/>
      <c r="E3502" s="1658" t="s">
        <v>9033</v>
      </c>
      <c r="F3502" s="2004" t="str">
        <f>+'4L'!C$38</f>
        <v>Capital expenditure purpose - WATER additional line 9 [Other categories]</v>
      </c>
      <c r="G3502" s="2004">
        <f>IF('4L'!R38="","##BLANK",'4L'!R38)</f>
        <v>0</v>
      </c>
    </row>
    <row r="3503" spans="2:7">
      <c r="B3503" s="848" t="str">
        <f>+'4L'!BM39</f>
        <v>W3A00010WTCUM</v>
      </c>
      <c r="D3503" s="2004"/>
      <c r="E3503" s="1658" t="s">
        <v>9033</v>
      </c>
      <c r="F3503" s="2004" t="str">
        <f>+'4L'!C$39</f>
        <v>Capital expenditure purpose - WATER additional line 10 [Other categories]</v>
      </c>
      <c r="G3503" s="2004">
        <f>IF('4L'!R39="","##BLANK",'4L'!R39)</f>
        <v>0</v>
      </c>
    </row>
    <row r="3504" spans="2:7">
      <c r="B3504" s="848" t="str">
        <f>+'4L'!BM40</f>
        <v>W3A00011WTCUM</v>
      </c>
      <c r="D3504" s="2004"/>
      <c r="E3504" s="1658" t="s">
        <v>9033</v>
      </c>
      <c r="F3504" s="2004" t="str">
        <f>+'4L'!C$40</f>
        <v>Capital expenditure purpose - WATER additional line 11 [Other categories]</v>
      </c>
      <c r="G3504" s="2004">
        <f>IF('4L'!R40="","##BLANK",'4L'!R40)</f>
        <v>0</v>
      </c>
    </row>
    <row r="3505" spans="2:7">
      <c r="B3505" s="848" t="str">
        <f>+'4L'!BM41</f>
        <v>W3A00012WTCUM</v>
      </c>
      <c r="D3505" s="2004"/>
      <c r="E3505" s="1658" t="s">
        <v>9033</v>
      </c>
      <c r="F3505" s="2004" t="str">
        <f>+'4L'!C$41</f>
        <v>Capital expenditure purpose - WATER additional line 12 [Other categories]</v>
      </c>
      <c r="G3505" s="2004">
        <f>IF('4L'!R41="","##BLANK",'4L'!R41)</f>
        <v>0</v>
      </c>
    </row>
    <row r="3506" spans="2:7">
      <c r="B3506" s="848" t="str">
        <f>+'4L'!BM42</f>
        <v>W3A00013WTCUM</v>
      </c>
      <c r="D3506" s="2004"/>
      <c r="E3506" s="1658" t="s">
        <v>9033</v>
      </c>
      <c r="F3506" s="2004" t="str">
        <f>+'4L'!C$42</f>
        <v>Capital expenditure purpose - WATER additional line 13 [Other categories]</v>
      </c>
      <c r="G3506" s="2004">
        <f>IF('4L'!R42="","##BLANK",'4L'!R42)</f>
        <v>0</v>
      </c>
    </row>
    <row r="3507" spans="2:7">
      <c r="B3507" s="848" t="str">
        <f>+'4L'!BM43</f>
        <v>W3A00014WTCUM</v>
      </c>
      <c r="D3507" s="2004"/>
      <c r="E3507" s="1658" t="s">
        <v>9033</v>
      </c>
      <c r="F3507" s="2004" t="str">
        <f>+'4L'!C$43</f>
        <v>Capital expenditure purpose - WATER additional line 14 [Other categories]</v>
      </c>
      <c r="G3507" s="2004">
        <f>IF('4L'!R43="","##BLANK",'4L'!R43)</f>
        <v>0</v>
      </c>
    </row>
    <row r="3508" spans="2:7">
      <c r="B3508" s="848" t="str">
        <f>+'4L'!BM44</f>
        <v>W3A00015WTCUM</v>
      </c>
      <c r="D3508" s="2004"/>
      <c r="E3508" s="1658" t="s">
        <v>9033</v>
      </c>
      <c r="F3508" s="2004" t="str">
        <f>+'4L'!C$44</f>
        <v>Capital expenditure purpose - WATER additional line 15 [Other categories]</v>
      </c>
      <c r="G3508" s="2004">
        <f>IF('4L'!R44="","##BLANK",'4L'!R44)</f>
        <v>0</v>
      </c>
    </row>
    <row r="3509" spans="2:7">
      <c r="B3509" s="848" t="str">
        <f>+'4L'!BM45</f>
        <v>BA2070WTCUM</v>
      </c>
      <c r="D3509" s="2004"/>
      <c r="E3509" s="1658" t="s">
        <v>9033</v>
      </c>
      <c r="F3509" s="2004"/>
      <c r="G3509" s="2004">
        <f>IF('4L'!R45="","##BLANK",'4L'!R45)</f>
        <v>28.358999999999998</v>
      </c>
    </row>
    <row r="3510" spans="2:7">
      <c r="B3510" s="848" t="str">
        <f>+'4L'!BN8</f>
        <v>W3001TWDCUM</v>
      </c>
      <c r="D3510" s="2004"/>
      <c r="E3510" s="1658" t="s">
        <v>9033</v>
      </c>
      <c r="F3510" s="2004"/>
      <c r="G3510" s="2004">
        <f>IF('4L'!S8="","##BLANK",'4L'!S8)</f>
        <v>0</v>
      </c>
    </row>
    <row r="3511" spans="2:7">
      <c r="B3511" s="848" t="str">
        <f>+'4L'!BN9</f>
        <v>WS2002TWDCUM</v>
      </c>
      <c r="D3511" s="2004"/>
      <c r="E3511" s="1658" t="s">
        <v>9033</v>
      </c>
      <c r="F3511" s="2004"/>
      <c r="G3511" s="2004">
        <f>IF('4L'!S9="","##BLANK",'4L'!S9)</f>
        <v>0</v>
      </c>
    </row>
    <row r="3512" spans="2:7">
      <c r="B3512" s="848" t="str">
        <f>+'4L'!BN10</f>
        <v>WS2003TWDCUM</v>
      </c>
      <c r="D3512" s="2004"/>
      <c r="E3512" s="1658" t="s">
        <v>9033</v>
      </c>
      <c r="F3512" s="2004"/>
      <c r="G3512" s="2004">
        <f>IF('4L'!S10="","##BLANK",'4L'!S10)</f>
        <v>0</v>
      </c>
    </row>
    <row r="3513" spans="2:7">
      <c r="B3513" s="848" t="str">
        <f>+'4L'!BN11</f>
        <v>W3002TWDCUM</v>
      </c>
      <c r="D3513" s="2004"/>
      <c r="E3513" s="1658" t="s">
        <v>9033</v>
      </c>
      <c r="F3513" s="2004"/>
      <c r="G3513" s="2004">
        <f>IF('4L'!S11="","##BLANK",'4L'!S11)</f>
        <v>1E-3</v>
      </c>
    </row>
    <row r="3514" spans="2:7">
      <c r="B3514" s="848" t="str">
        <f>+'4L'!BN12</f>
        <v>W3003TWDCUM</v>
      </c>
      <c r="D3514" s="2004"/>
      <c r="E3514" s="1658" t="s">
        <v>9033</v>
      </c>
      <c r="F3514" s="2004"/>
      <c r="G3514" s="2004">
        <f>IF('4L'!S12="","##BLANK",'4L'!S12)</f>
        <v>0</v>
      </c>
    </row>
    <row r="3515" spans="2:7">
      <c r="B3515" s="848" t="str">
        <f>+'4L'!BN13</f>
        <v>W3006TWDCUM</v>
      </c>
      <c r="D3515" s="2004"/>
      <c r="E3515" s="1658" t="s">
        <v>9033</v>
      </c>
      <c r="F3515" s="2004"/>
      <c r="G3515" s="2004">
        <f>IF('4L'!S13="","##BLANK",'4L'!S13)</f>
        <v>0</v>
      </c>
    </row>
    <row r="3516" spans="2:7">
      <c r="B3516" s="848" t="str">
        <f>+'4L'!BN14</f>
        <v>W3007STWDCUM</v>
      </c>
      <c r="D3516" s="2004"/>
      <c r="E3516" s="1658" t="s">
        <v>9033</v>
      </c>
      <c r="F3516" s="2004"/>
      <c r="G3516" s="2004">
        <f>IF('4L'!S14="","##BLANK",'4L'!S14)</f>
        <v>0</v>
      </c>
    </row>
    <row r="3517" spans="2:7">
      <c r="B3517" s="848" t="str">
        <f>+'4L'!BN15</f>
        <v>W3008STWDCUM</v>
      </c>
      <c r="D3517" s="2004"/>
      <c r="E3517" s="1658" t="s">
        <v>9033</v>
      </c>
      <c r="F3517" s="2004"/>
      <c r="G3517" s="2004">
        <f>IF('4L'!S15="","##BLANK",'4L'!S15)</f>
        <v>0</v>
      </c>
    </row>
    <row r="3518" spans="2:7">
      <c r="B3518" s="848" t="str">
        <f>+'4L'!BN16</f>
        <v>W3007DTWDCUM</v>
      </c>
      <c r="D3518" s="2004"/>
      <c r="E3518" s="1658" t="s">
        <v>9033</v>
      </c>
      <c r="F3518" s="2004"/>
      <c r="G3518" s="2004">
        <f>IF('4L'!S16="","##BLANK",'4L'!S16)</f>
        <v>0</v>
      </c>
    </row>
    <row r="3519" spans="2:7">
      <c r="B3519" s="848" t="str">
        <f>+'4L'!BN17</f>
        <v>W3008DTWDCUM</v>
      </c>
      <c r="D3519" s="2004"/>
      <c r="E3519" s="1658" t="s">
        <v>9033</v>
      </c>
      <c r="F3519" s="2004"/>
      <c r="G3519" s="2004">
        <f>IF('4L'!S17="","##BLANK",'4L'!S17)</f>
        <v>0</v>
      </c>
    </row>
    <row r="3520" spans="2:7">
      <c r="B3520" s="848" t="str">
        <f>+'4L'!BN18</f>
        <v>W3009TWDCUM</v>
      </c>
      <c r="D3520" s="2004"/>
      <c r="E3520" s="1658" t="s">
        <v>9033</v>
      </c>
      <c r="F3520" s="2004"/>
      <c r="G3520" s="2004">
        <f>IF('4L'!S18="","##BLANK",'4L'!S18)</f>
        <v>7.883</v>
      </c>
    </row>
    <row r="3521" spans="2:7">
      <c r="B3521" s="848" t="str">
        <f>+'4L'!BN19</f>
        <v>WS2004TWDCUM</v>
      </c>
      <c r="D3521" s="2004"/>
      <c r="E3521" s="1658" t="s">
        <v>9033</v>
      </c>
      <c r="F3521" s="2004"/>
      <c r="G3521" s="2004">
        <f>IF('4L'!S19="","##BLANK",'4L'!S19)</f>
        <v>8.7080000000000002</v>
      </c>
    </row>
    <row r="3522" spans="2:7">
      <c r="B3522" s="848" t="str">
        <f>+'4L'!BN20</f>
        <v>W3010TWDCUM</v>
      </c>
      <c r="D3522" s="2004"/>
      <c r="E3522" s="1658" t="s">
        <v>9033</v>
      </c>
      <c r="F3522" s="2004"/>
      <c r="G3522" s="2004">
        <f>IF('4L'!S20="","##BLANK",'4L'!S20)</f>
        <v>0</v>
      </c>
    </row>
    <row r="3523" spans="2:7">
      <c r="B3523" s="848" t="str">
        <f>+'4L'!BN21</f>
        <v>W3011TWDCUM</v>
      </c>
      <c r="D3523" s="2004"/>
      <c r="E3523" s="1658" t="s">
        <v>9033</v>
      </c>
      <c r="F3523" s="2004"/>
      <c r="G3523" s="2004">
        <f>IF('4L'!S21="","##BLANK",'4L'!S21)</f>
        <v>0</v>
      </c>
    </row>
    <row r="3524" spans="2:7">
      <c r="B3524" s="848" t="str">
        <f>+'4L'!BN22</f>
        <v>W3012TWDCUM</v>
      </c>
      <c r="D3524" s="2004"/>
      <c r="E3524" s="1658" t="s">
        <v>9033</v>
      </c>
      <c r="F3524" s="2004"/>
      <c r="G3524" s="2004">
        <f>IF('4L'!S22="","##BLANK",'4L'!S22)</f>
        <v>1.492</v>
      </c>
    </row>
    <row r="3525" spans="2:7">
      <c r="B3525" s="848" t="str">
        <f>+'4L'!BN23</f>
        <v>WS2006TWDCUM</v>
      </c>
      <c r="D3525" s="2004"/>
      <c r="E3525" s="1658" t="s">
        <v>9033</v>
      </c>
      <c r="F3525" s="2004"/>
      <c r="G3525" s="2004">
        <f>IF('4L'!S23="","##BLANK",'4L'!S23)</f>
        <v>0</v>
      </c>
    </row>
    <row r="3526" spans="2:7">
      <c r="B3526" s="848" t="str">
        <f>+'4L'!BN24</f>
        <v>WS2007TWDCUM</v>
      </c>
      <c r="D3526" s="2004"/>
      <c r="E3526" s="1658" t="s">
        <v>9033</v>
      </c>
      <c r="F3526" s="2004"/>
      <c r="G3526" s="2004">
        <f>IF('4L'!S24="","##BLANK",'4L'!S24)</f>
        <v>0</v>
      </c>
    </row>
    <row r="3527" spans="2:7">
      <c r="B3527" s="848" t="str">
        <f>+'4L'!BN25</f>
        <v>WS2008TWDCUM</v>
      </c>
      <c r="D3527" s="2004"/>
      <c r="E3527" s="1658" t="s">
        <v>9033</v>
      </c>
      <c r="F3527" s="2004"/>
      <c r="G3527" s="2004">
        <f>IF('4L'!S25="","##BLANK",'4L'!S25)</f>
        <v>0</v>
      </c>
    </row>
    <row r="3528" spans="2:7">
      <c r="B3528" s="848" t="str">
        <f>+'4L'!BN26</f>
        <v>W3027TWDCUM</v>
      </c>
      <c r="D3528" s="2004"/>
      <c r="E3528" s="1658" t="s">
        <v>9033</v>
      </c>
      <c r="F3528" s="2004"/>
      <c r="G3528" s="2004">
        <f>IF('4L'!S26="","##BLANK",'4L'!S26)</f>
        <v>0</v>
      </c>
    </row>
    <row r="3529" spans="2:7">
      <c r="B3529" s="848" t="str">
        <f>+'4L'!BN27</f>
        <v>W3028OPTTWDCUM</v>
      </c>
      <c r="D3529" s="2004"/>
      <c r="E3529" s="1658" t="s">
        <v>9033</v>
      </c>
      <c r="F3529" s="2004"/>
      <c r="G3529" s="2004">
        <f>IF('4L'!S27="","##BLANK",'4L'!S27)</f>
        <v>8.39</v>
      </c>
    </row>
    <row r="3530" spans="2:7">
      <c r="B3530" s="848" t="str">
        <f>+'4L'!BN28</f>
        <v>W3028COMTWDCUM</v>
      </c>
      <c r="D3530" s="2004"/>
      <c r="E3530" s="1658" t="s">
        <v>9033</v>
      </c>
      <c r="F3530" s="2004"/>
      <c r="G3530" s="2004">
        <f>IF('4L'!S28="","##BLANK",'4L'!S28)</f>
        <v>0</v>
      </c>
    </row>
    <row r="3531" spans="2:7">
      <c r="B3531" s="848" t="str">
        <f>+'4L'!BN29</f>
        <v>W3028NHOTWDCUM</v>
      </c>
      <c r="D3531" s="2004"/>
      <c r="E3531" s="1658" t="s">
        <v>9033</v>
      </c>
      <c r="F3531" s="2004"/>
      <c r="G3531" s="2004">
        <f>IF('4L'!S29="","##BLANK",'4L'!S29)</f>
        <v>0</v>
      </c>
    </row>
    <row r="3532" spans="2:7">
      <c r="B3532" s="848" t="str">
        <f>+'4L'!BN30</f>
        <v>W3A00001TWDCUM</v>
      </c>
      <c r="D3532" s="2004"/>
      <c r="E3532" s="1658" t="s">
        <v>9033</v>
      </c>
      <c r="F3532" s="2004" t="str">
        <f>+'4L'!C$30</f>
        <v>Drought Management Plan</v>
      </c>
      <c r="G3532" s="2004">
        <f>IF('4L'!S30="","##BLANK",'4L'!S30)</f>
        <v>0</v>
      </c>
    </row>
    <row r="3533" spans="2:7">
      <c r="B3533" s="848" t="str">
        <f>+'4L'!BN31</f>
        <v>W3A00002TWDCUM</v>
      </c>
      <c r="D3533" s="2004"/>
      <c r="E3533" s="1658" t="s">
        <v>9033</v>
      </c>
      <c r="F3533" s="2004" t="str">
        <f>+'4L'!C$31</f>
        <v>Exclusions</v>
      </c>
      <c r="G3533" s="2004">
        <f>IF('4L'!S31="","##BLANK",'4L'!S31)</f>
        <v>0</v>
      </c>
    </row>
    <row r="3534" spans="2:7">
      <c r="B3534" s="848" t="str">
        <f>+'4L'!BN32</f>
        <v>W3A00003TWDCUM</v>
      </c>
      <c r="D3534" s="2004"/>
      <c r="E3534" s="1658" t="s">
        <v>9033</v>
      </c>
      <c r="F3534" s="2004" t="str">
        <f>+'4L'!C$32</f>
        <v>Leakage Reduction - UQ</v>
      </c>
      <c r="G3534" s="2004">
        <f>IF('4L'!S32="","##BLANK",'4L'!S32)</f>
        <v>54.828000000000003</v>
      </c>
    </row>
    <row r="3535" spans="2:7">
      <c r="B3535" s="848" t="str">
        <f>+'4L'!BN33</f>
        <v>W3A00004TWDCUM</v>
      </c>
      <c r="D3535" s="2004"/>
      <c r="E3535" s="1658" t="s">
        <v>9033</v>
      </c>
      <c r="F3535" s="2004" t="str">
        <f>+'4L'!C$33</f>
        <v>Reduction in Interruptions to Supply - UQ</v>
      </c>
      <c r="G3535" s="2004">
        <f>IF('4L'!S33="","##BLANK",'4L'!S33)</f>
        <v>3.7650000000000001</v>
      </c>
    </row>
    <row r="3536" spans="2:7">
      <c r="B3536" s="848" t="str">
        <f>+'4L'!BN34</f>
        <v>W3A00005TWDCUM</v>
      </c>
      <c r="D3536" s="2004"/>
      <c r="E3536" s="1658" t="s">
        <v>9033</v>
      </c>
      <c r="F3536" s="2004" t="str">
        <f>+'4L'!C$34</f>
        <v>Improving Water Quality - UQ</v>
      </c>
      <c r="G3536" s="2004">
        <f>IF('4L'!S34="","##BLANK",'4L'!S34)</f>
        <v>6.2E-2</v>
      </c>
    </row>
    <row r="3537" spans="2:7">
      <c r="B3537" s="848" t="str">
        <f>+'4L'!BN35</f>
        <v>W3A00006TWDCUM</v>
      </c>
      <c r="D3537" s="2004"/>
      <c r="E3537" s="1658" t="s">
        <v>9033</v>
      </c>
      <c r="F3537" s="2004" t="str">
        <f>+'4L'!C$35</f>
        <v>Infrastructure network reinforcement</v>
      </c>
      <c r="G3537" s="2004">
        <f>IF('4L'!S35="","##BLANK",'4L'!S35)</f>
        <v>0</v>
      </c>
    </row>
    <row r="3538" spans="2:7">
      <c r="B3538" s="848" t="str">
        <f>+'4L'!BN36</f>
        <v>W3A00007TWDCUM</v>
      </c>
      <c r="D3538" s="2004"/>
      <c r="E3538" s="1658" t="s">
        <v>9033</v>
      </c>
      <c r="F3538" s="2004" t="str">
        <f>+'4L'!C$36</f>
        <v>2020-25 Transition Expenditure - Capex</v>
      </c>
      <c r="G3538" s="2004">
        <f>IF('4L'!S36="","##BLANK",'4L'!S36)</f>
        <v>0</v>
      </c>
    </row>
    <row r="3539" spans="2:7">
      <c r="B3539" s="848" t="str">
        <f>+'4L'!BN37</f>
        <v>W3A00008TWDCUM</v>
      </c>
      <c r="D3539" s="2004"/>
      <c r="E3539" s="1658" t="s">
        <v>9033</v>
      </c>
      <c r="F3539" s="2004" t="str">
        <f>+'4L'!C$37</f>
        <v>Capital expenditure purpose - WATER additional line 8 [Other categories]</v>
      </c>
      <c r="G3539" s="2004">
        <f>IF('4L'!S37="","##BLANK",'4L'!S37)</f>
        <v>0</v>
      </c>
    </row>
    <row r="3540" spans="2:7">
      <c r="B3540" s="848" t="str">
        <f>+'4L'!BN38</f>
        <v>W3A00009TWDCUM</v>
      </c>
      <c r="D3540" s="2004"/>
      <c r="E3540" s="1658" t="s">
        <v>9033</v>
      </c>
      <c r="F3540" s="2004" t="str">
        <f>+'4L'!C$38</f>
        <v>Capital expenditure purpose - WATER additional line 9 [Other categories]</v>
      </c>
      <c r="G3540" s="2004">
        <f>IF('4L'!S38="","##BLANK",'4L'!S38)</f>
        <v>0</v>
      </c>
    </row>
    <row r="3541" spans="2:7">
      <c r="B3541" s="848" t="str">
        <f>+'4L'!BN39</f>
        <v>W3A00010TWDCUM</v>
      </c>
      <c r="D3541" s="2004"/>
      <c r="E3541" s="1658" t="s">
        <v>9033</v>
      </c>
      <c r="F3541" s="2004" t="str">
        <f>+'4L'!C$39</f>
        <v>Capital expenditure purpose - WATER additional line 10 [Other categories]</v>
      </c>
      <c r="G3541" s="2004">
        <f>IF('4L'!S39="","##BLANK",'4L'!S39)</f>
        <v>0</v>
      </c>
    </row>
    <row r="3542" spans="2:7">
      <c r="B3542" s="848" t="str">
        <f>+'4L'!BN40</f>
        <v>W3A00011TWDCUM</v>
      </c>
      <c r="D3542" s="2004"/>
      <c r="E3542" s="1658" t="s">
        <v>9033</v>
      </c>
      <c r="F3542" s="2004" t="str">
        <f>+'4L'!C$40</f>
        <v>Capital expenditure purpose - WATER additional line 11 [Other categories]</v>
      </c>
      <c r="G3542" s="2004">
        <f>IF('4L'!S40="","##BLANK",'4L'!S40)</f>
        <v>0</v>
      </c>
    </row>
    <row r="3543" spans="2:7">
      <c r="B3543" s="848" t="str">
        <f>+'4L'!BN41</f>
        <v>W3A00012TWDCUM</v>
      </c>
      <c r="D3543" s="2004"/>
      <c r="E3543" s="1658" t="s">
        <v>9033</v>
      </c>
      <c r="F3543" s="2004" t="str">
        <f>+'4L'!C$41</f>
        <v>Capital expenditure purpose - WATER additional line 12 [Other categories]</v>
      </c>
      <c r="G3543" s="2004">
        <f>IF('4L'!S41="","##BLANK",'4L'!S41)</f>
        <v>0</v>
      </c>
    </row>
    <row r="3544" spans="2:7">
      <c r="B3544" s="848" t="str">
        <f>+'4L'!BN42</f>
        <v>W3A00013TWDCUM</v>
      </c>
      <c r="D3544" s="2004"/>
      <c r="E3544" s="1658" t="s">
        <v>9033</v>
      </c>
      <c r="F3544" s="2004" t="str">
        <f>+'4L'!C$42</f>
        <v>Capital expenditure purpose - WATER additional line 13 [Other categories]</v>
      </c>
      <c r="G3544" s="2004">
        <f>IF('4L'!S42="","##BLANK",'4L'!S42)</f>
        <v>0</v>
      </c>
    </row>
    <row r="3545" spans="2:7">
      <c r="B3545" s="848" t="str">
        <f>+'4L'!BN43</f>
        <v>W3A00014TWDCUM</v>
      </c>
      <c r="D3545" s="2004"/>
      <c r="E3545" s="1658" t="s">
        <v>9033</v>
      </c>
      <c r="F3545" s="2004" t="str">
        <f>+'4L'!C$43</f>
        <v>Capital expenditure purpose - WATER additional line 14 [Other categories]</v>
      </c>
      <c r="G3545" s="2004">
        <f>IF('4L'!S43="","##BLANK",'4L'!S43)</f>
        <v>0</v>
      </c>
    </row>
    <row r="3546" spans="2:7">
      <c r="B3546" s="848" t="str">
        <f>+'4L'!BN44</f>
        <v>W3A00015TWDCUM</v>
      </c>
      <c r="D3546" s="2004"/>
      <c r="E3546" s="1658" t="s">
        <v>9033</v>
      </c>
      <c r="F3546" s="2004" t="str">
        <f>+'4L'!C$44</f>
        <v>Capital expenditure purpose - WATER additional line 15 [Other categories]</v>
      </c>
      <c r="G3546" s="2004">
        <f>IF('4L'!S44="","##BLANK",'4L'!S44)</f>
        <v>0</v>
      </c>
    </row>
    <row r="3547" spans="2:7">
      <c r="B3547" s="848" t="str">
        <f>+'4L'!BN45</f>
        <v>BA2070TWDCUM</v>
      </c>
      <c r="D3547" s="2004"/>
      <c r="E3547" s="1658" t="s">
        <v>9033</v>
      </c>
      <c r="F3547" s="2004"/>
      <c r="G3547" s="2004">
        <f>IF('4L'!S45="","##BLANK",'4L'!S45)</f>
        <v>85.129000000000005</v>
      </c>
    </row>
    <row r="3548" spans="2:7">
      <c r="B3548" s="848" t="str">
        <f>+'4L'!BO8</f>
        <v>W3001CAWCUM</v>
      </c>
      <c r="D3548" s="2004"/>
      <c r="E3548" s="1658" t="s">
        <v>9033</v>
      </c>
      <c r="F3548" s="2004"/>
      <c r="G3548" s="2004">
        <f>IF('4L'!T8="","##BLANK",'4L'!T8)</f>
        <v>8.1649999999999991</v>
      </c>
    </row>
    <row r="3549" spans="2:7">
      <c r="B3549" s="848" t="str">
        <f>+'4L'!BO9</f>
        <v>WS2002CAWCUM</v>
      </c>
      <c r="D3549" s="2004"/>
      <c r="E3549" s="1658" t="s">
        <v>9033</v>
      </c>
      <c r="F3549" s="2004"/>
      <c r="G3549" s="2004">
        <f>IF('4L'!T9="","##BLANK",'4L'!T9)</f>
        <v>2.1970000000000001</v>
      </c>
    </row>
    <row r="3550" spans="2:7">
      <c r="B3550" s="848" t="str">
        <f>+'4L'!BO10</f>
        <v>WS2003CAWCUM</v>
      </c>
      <c r="D3550" s="2004"/>
      <c r="E3550" s="1658" t="s">
        <v>9033</v>
      </c>
      <c r="F3550" s="2004"/>
      <c r="G3550" s="2004">
        <f>IF('4L'!T10="","##BLANK",'4L'!T10)</f>
        <v>0.35</v>
      </c>
    </row>
    <row r="3551" spans="2:7">
      <c r="B3551" s="848" t="str">
        <f>+'4L'!BO11</f>
        <v>W3002CAWCUM</v>
      </c>
      <c r="D3551" s="2004"/>
      <c r="E3551" s="1658" t="s">
        <v>9033</v>
      </c>
      <c r="F3551" s="2004"/>
      <c r="G3551" s="2004">
        <f>IF('4L'!T11="","##BLANK",'4L'!T11)</f>
        <v>1E-3</v>
      </c>
    </row>
    <row r="3552" spans="2:7">
      <c r="B3552" s="848" t="str">
        <f>+'4L'!BO12</f>
        <v>W3003CAWCUM</v>
      </c>
      <c r="D3552" s="2004"/>
      <c r="E3552" s="1658" t="s">
        <v>9033</v>
      </c>
      <c r="F3552" s="2004"/>
      <c r="G3552" s="2004">
        <f>IF('4L'!T12="","##BLANK",'4L'!T12)</f>
        <v>0</v>
      </c>
    </row>
    <row r="3553" spans="2:7">
      <c r="B3553" s="848" t="str">
        <f>+'4L'!BO13</f>
        <v>W3006CAWCUM</v>
      </c>
      <c r="D3553" s="2004"/>
      <c r="E3553" s="1658" t="s">
        <v>9033</v>
      </c>
      <c r="F3553" s="2004"/>
      <c r="G3553" s="2004">
        <f>IF('4L'!T13="","##BLANK",'4L'!T13)</f>
        <v>0</v>
      </c>
    </row>
    <row r="3554" spans="2:7">
      <c r="B3554" s="848" t="str">
        <f>+'4L'!BO14</f>
        <v>W3007SCAWCUM</v>
      </c>
      <c r="D3554" s="2004"/>
      <c r="E3554" s="1658" t="s">
        <v>9033</v>
      </c>
      <c r="F3554" s="2004"/>
      <c r="G3554" s="2004">
        <f>IF('4L'!T14="","##BLANK",'4L'!T14)</f>
        <v>0</v>
      </c>
    </row>
    <row r="3555" spans="2:7">
      <c r="B3555" s="848" t="str">
        <f>+'4L'!BO15</f>
        <v>W3008SCAWCUM</v>
      </c>
      <c r="D3555" s="2004"/>
      <c r="E3555" s="1658" t="s">
        <v>9033</v>
      </c>
      <c r="F3555" s="2004"/>
      <c r="G3555" s="2004">
        <f>IF('4L'!T15="","##BLANK",'4L'!T15)</f>
        <v>0</v>
      </c>
    </row>
    <row r="3556" spans="2:7">
      <c r="B3556" s="848" t="str">
        <f>+'4L'!BO16</f>
        <v>W3007DCAWCUM</v>
      </c>
      <c r="D3556" s="2004"/>
      <c r="E3556" s="1658" t="s">
        <v>9033</v>
      </c>
      <c r="F3556" s="2004"/>
      <c r="G3556" s="2004">
        <f>IF('4L'!T16="","##BLANK",'4L'!T16)</f>
        <v>0</v>
      </c>
    </row>
    <row r="3557" spans="2:7">
      <c r="B3557" s="848" t="str">
        <f>+'4L'!BO17</f>
        <v>W3008DCAWCUM</v>
      </c>
      <c r="D3557" s="2004"/>
      <c r="E3557" s="1658" t="s">
        <v>9033</v>
      </c>
      <c r="F3557" s="2004"/>
      <c r="G3557" s="2004">
        <f>IF('4L'!T17="","##BLANK",'4L'!T17)</f>
        <v>0</v>
      </c>
    </row>
    <row r="3558" spans="2:7">
      <c r="B3558" s="848" t="str">
        <f>+'4L'!BO18</f>
        <v>W3009CAWCUM</v>
      </c>
      <c r="D3558" s="2004"/>
      <c r="E3558" s="1658" t="s">
        <v>9033</v>
      </c>
      <c r="F3558" s="2004"/>
      <c r="G3558" s="2004">
        <f>IF('4L'!T18="","##BLANK",'4L'!T18)</f>
        <v>7.883</v>
      </c>
    </row>
    <row r="3559" spans="2:7">
      <c r="B3559" s="848" t="str">
        <f>+'4L'!BO19</f>
        <v>WS2004CAWCUM</v>
      </c>
      <c r="D3559" s="2004"/>
      <c r="E3559" s="1658" t="s">
        <v>9033</v>
      </c>
      <c r="F3559" s="2004"/>
      <c r="G3559" s="2004">
        <f>IF('4L'!T19="","##BLANK",'4L'!T19)</f>
        <v>8.7080000000000002</v>
      </c>
    </row>
    <row r="3560" spans="2:7">
      <c r="B3560" s="848" t="str">
        <f>+'4L'!BO20</f>
        <v>W3010CAWCUM</v>
      </c>
      <c r="D3560" s="2004"/>
      <c r="E3560" s="1658" t="s">
        <v>9033</v>
      </c>
      <c r="F3560" s="2004"/>
      <c r="G3560" s="2004">
        <f>IF('4L'!T20="","##BLANK",'4L'!T20)</f>
        <v>28.632999999999999</v>
      </c>
    </row>
    <row r="3561" spans="2:7">
      <c r="B3561" s="848" t="str">
        <f>+'4L'!BO21</f>
        <v>W3011CAWCUM</v>
      </c>
      <c r="D3561" s="2004"/>
      <c r="E3561" s="1658" t="s">
        <v>9033</v>
      </c>
      <c r="F3561" s="2004"/>
      <c r="G3561" s="2004">
        <f>IF('4L'!T21="","##BLANK",'4L'!T21)</f>
        <v>0</v>
      </c>
    </row>
    <row r="3562" spans="2:7">
      <c r="B3562" s="848" t="str">
        <f>+'4L'!BO22</f>
        <v>W3012CAWCUM</v>
      </c>
      <c r="D3562" s="2004"/>
      <c r="E3562" s="1658" t="s">
        <v>9033</v>
      </c>
      <c r="F3562" s="2004"/>
      <c r="G3562" s="2004">
        <f>IF('4L'!T22="","##BLANK",'4L'!T22)</f>
        <v>2.16</v>
      </c>
    </row>
    <row r="3563" spans="2:7">
      <c r="B3563" s="848" t="str">
        <f>+'4L'!BO23</f>
        <v>WS2006CAWCUM</v>
      </c>
      <c r="D3563" s="2004"/>
      <c r="E3563" s="1658" t="s">
        <v>9033</v>
      </c>
      <c r="F3563" s="2004"/>
      <c r="G3563" s="2004">
        <f>IF('4L'!T23="","##BLANK",'4L'!T23)</f>
        <v>0</v>
      </c>
    </row>
    <row r="3564" spans="2:7">
      <c r="B3564" s="848" t="str">
        <f>+'4L'!BO24</f>
        <v>WS2007CAWCUM</v>
      </c>
      <c r="D3564" s="2004"/>
      <c r="E3564" s="1658" t="s">
        <v>9033</v>
      </c>
      <c r="F3564" s="2004"/>
      <c r="G3564" s="2004">
        <f>IF('4L'!T24="","##BLANK",'4L'!T24)</f>
        <v>0</v>
      </c>
    </row>
    <row r="3565" spans="2:7">
      <c r="B3565" s="848" t="str">
        <f>+'4L'!BO25</f>
        <v>WS2008CAWCUM</v>
      </c>
      <c r="D3565" s="2004"/>
      <c r="E3565" s="1658" t="s">
        <v>9033</v>
      </c>
      <c r="F3565" s="2004"/>
      <c r="G3565" s="2004">
        <f>IF('4L'!T25="","##BLANK",'4L'!T25)</f>
        <v>0</v>
      </c>
    </row>
    <row r="3566" spans="2:7">
      <c r="B3566" s="848" t="str">
        <f>+'4L'!BO26</f>
        <v>W3027CAWCUM</v>
      </c>
      <c r="D3566" s="2004"/>
      <c r="E3566" s="1658" t="s">
        <v>9033</v>
      </c>
      <c r="F3566" s="2004"/>
      <c r="G3566" s="2004">
        <f>IF('4L'!T26="","##BLANK",'4L'!T26)</f>
        <v>0.27500000000000002</v>
      </c>
    </row>
    <row r="3567" spans="2:7">
      <c r="B3567" s="848" t="str">
        <f>+'4L'!BO27</f>
        <v>W3028OPTCAWCUM</v>
      </c>
      <c r="D3567" s="2004"/>
      <c r="E3567" s="1658" t="s">
        <v>9033</v>
      </c>
      <c r="F3567" s="2004"/>
      <c r="G3567" s="2004">
        <f>IF('4L'!T27="","##BLANK",'4L'!T27)</f>
        <v>8.39</v>
      </c>
    </row>
    <row r="3568" spans="2:7">
      <c r="B3568" s="848" t="str">
        <f>+'4L'!BO28</f>
        <v>W3028COMCAWCUM</v>
      </c>
      <c r="D3568" s="2004"/>
      <c r="E3568" s="1658" t="s">
        <v>9033</v>
      </c>
      <c r="F3568" s="2004"/>
      <c r="G3568" s="2004">
        <f>IF('4L'!T28="","##BLANK",'4L'!T28)</f>
        <v>0</v>
      </c>
    </row>
    <row r="3569" spans="2:7">
      <c r="B3569" s="848" t="str">
        <f>+'4L'!BO29</f>
        <v>W3028NHOCAWCUM</v>
      </c>
      <c r="D3569" s="2004"/>
      <c r="E3569" s="1658" t="s">
        <v>9033</v>
      </c>
      <c r="F3569" s="2004"/>
      <c r="G3569" s="2004">
        <f>IF('4L'!T29="","##BLANK",'4L'!T29)</f>
        <v>0</v>
      </c>
    </row>
    <row r="3570" spans="2:7">
      <c r="B3570" s="848" t="str">
        <f>+'4L'!BO30</f>
        <v>W3A00001CAWCUM</v>
      </c>
      <c r="D3570" s="2004"/>
      <c r="E3570" s="1658" t="s">
        <v>9033</v>
      </c>
      <c r="F3570" s="2004" t="str">
        <f>+'4L'!C$30</f>
        <v>Drought Management Plan</v>
      </c>
      <c r="G3570" s="2004">
        <f>IF('4L'!T30="","##BLANK",'4L'!T30)</f>
        <v>1.242</v>
      </c>
    </row>
    <row r="3571" spans="2:7">
      <c r="B3571" s="848" t="str">
        <f>+'4L'!BO31</f>
        <v>W3A00002CAWCUM</v>
      </c>
      <c r="D3571" s="2004"/>
      <c r="E3571" s="1658" t="s">
        <v>9033</v>
      </c>
      <c r="F3571" s="2004" t="str">
        <f>+'4L'!C$31</f>
        <v>Exclusions</v>
      </c>
      <c r="G3571" s="2004">
        <f>IF('4L'!T31="","##BLANK",'4L'!T31)</f>
        <v>0</v>
      </c>
    </row>
    <row r="3572" spans="2:7">
      <c r="B3572" s="848" t="str">
        <f>+'4L'!BO32</f>
        <v>W3A00003CAWCUM</v>
      </c>
      <c r="D3572" s="2004"/>
      <c r="E3572" s="1658" t="s">
        <v>9033</v>
      </c>
      <c r="F3572" s="2004" t="str">
        <f>+'4L'!C$32</f>
        <v>Leakage Reduction - UQ</v>
      </c>
      <c r="G3572" s="2004">
        <f>IF('4L'!T32="","##BLANK",'4L'!T32)</f>
        <v>54.828000000000003</v>
      </c>
    </row>
    <row r="3573" spans="2:7">
      <c r="B3573" s="848" t="str">
        <f>+'4L'!BO33</f>
        <v>W3A00004CAWCUM</v>
      </c>
      <c r="D3573" s="2004"/>
      <c r="E3573" s="1658" t="s">
        <v>9033</v>
      </c>
      <c r="F3573" s="2004" t="str">
        <f>+'4L'!C$33</f>
        <v>Reduction in Interruptions to Supply - UQ</v>
      </c>
      <c r="G3573" s="2004">
        <f>IF('4L'!T33="","##BLANK",'4L'!T33)</f>
        <v>3.7650000000000001</v>
      </c>
    </row>
    <row r="3574" spans="2:7">
      <c r="B3574" s="848" t="str">
        <f>+'4L'!BO34</f>
        <v>W3A00005CAWCUM</v>
      </c>
      <c r="D3574" s="2004"/>
      <c r="E3574" s="1658" t="s">
        <v>9033</v>
      </c>
      <c r="F3574" s="2004" t="str">
        <f>+'4L'!C$34</f>
        <v>Improving Water Quality - UQ</v>
      </c>
      <c r="G3574" s="2004">
        <f>IF('4L'!T34="","##BLANK",'4L'!T34)</f>
        <v>1.0740000000000001</v>
      </c>
    </row>
    <row r="3575" spans="2:7">
      <c r="B3575" s="848" t="str">
        <f>+'4L'!BO35</f>
        <v>W3A00006CAWCUM</v>
      </c>
      <c r="D3575" s="2004"/>
      <c r="E3575" s="1658" t="s">
        <v>9033</v>
      </c>
      <c r="F3575" s="2004" t="str">
        <f>+'4L'!C$35</f>
        <v>Infrastructure network reinforcement</v>
      </c>
      <c r="G3575" s="2004">
        <f>IF('4L'!T35="","##BLANK",'4L'!T35)</f>
        <v>0</v>
      </c>
    </row>
    <row r="3576" spans="2:7">
      <c r="B3576" s="848" t="str">
        <f>+'4L'!BO36</f>
        <v>W3A00007CAWCUM</v>
      </c>
      <c r="D3576" s="2004"/>
      <c r="E3576" s="1658" t="s">
        <v>9033</v>
      </c>
      <c r="F3576" s="2004" t="str">
        <f>+'4L'!C$36</f>
        <v>2020-25 Transition Expenditure - Capex</v>
      </c>
      <c r="G3576" s="2004">
        <f>IF('4L'!T36="","##BLANK",'4L'!T36)</f>
        <v>0</v>
      </c>
    </row>
    <row r="3577" spans="2:7">
      <c r="B3577" s="848" t="str">
        <f>+'4L'!BO37</f>
        <v>W3A00008CAWCUM</v>
      </c>
      <c r="D3577" s="2004"/>
      <c r="E3577" s="1658" t="s">
        <v>9033</v>
      </c>
      <c r="F3577" s="2004" t="str">
        <f>+'4L'!C$37</f>
        <v>Capital expenditure purpose - WATER additional line 8 [Other categories]</v>
      </c>
      <c r="G3577" s="2004">
        <f>IF('4L'!T37="","##BLANK",'4L'!T37)</f>
        <v>0</v>
      </c>
    </row>
    <row r="3578" spans="2:7">
      <c r="B3578" s="848" t="str">
        <f>+'4L'!BO38</f>
        <v>W3A00009CAWCUM</v>
      </c>
      <c r="D3578" s="2004"/>
      <c r="E3578" s="1658" t="s">
        <v>9033</v>
      </c>
      <c r="F3578" s="2004" t="str">
        <f>+'4L'!C$38</f>
        <v>Capital expenditure purpose - WATER additional line 9 [Other categories]</v>
      </c>
      <c r="G3578" s="2004">
        <f>IF('4L'!T38="","##BLANK",'4L'!T38)</f>
        <v>0</v>
      </c>
    </row>
    <row r="3579" spans="2:7">
      <c r="B3579" s="848" t="str">
        <f>+'4L'!BO39</f>
        <v>W3A00010CAWCUM</v>
      </c>
      <c r="D3579" s="2004"/>
      <c r="E3579" s="1658" t="s">
        <v>9033</v>
      </c>
      <c r="F3579" s="2004" t="str">
        <f>+'4L'!C$39</f>
        <v>Capital expenditure purpose - WATER additional line 10 [Other categories]</v>
      </c>
      <c r="G3579" s="2004">
        <f>IF('4L'!T39="","##BLANK",'4L'!T39)</f>
        <v>0</v>
      </c>
    </row>
    <row r="3580" spans="2:7">
      <c r="B3580" s="848" t="str">
        <f>+'4L'!BO40</f>
        <v>W3A00011CAWCUM</v>
      </c>
      <c r="D3580" s="2004"/>
      <c r="E3580" s="1658" t="s">
        <v>9033</v>
      </c>
      <c r="F3580" s="2004" t="str">
        <f>+'4L'!C$40</f>
        <v>Capital expenditure purpose - WATER additional line 11 [Other categories]</v>
      </c>
      <c r="G3580" s="2004">
        <f>IF('4L'!T40="","##BLANK",'4L'!T40)</f>
        <v>0</v>
      </c>
    </row>
    <row r="3581" spans="2:7">
      <c r="B3581" s="848" t="str">
        <f>+'4L'!BO41</f>
        <v>W3A00012CAWCUM</v>
      </c>
      <c r="D3581" s="2004"/>
      <c r="E3581" s="1658" t="s">
        <v>9033</v>
      </c>
      <c r="F3581" s="2004" t="str">
        <f>+'4L'!C$41</f>
        <v>Capital expenditure purpose - WATER additional line 12 [Other categories]</v>
      </c>
      <c r="G3581" s="2004">
        <f>IF('4L'!T41="","##BLANK",'4L'!T41)</f>
        <v>0</v>
      </c>
    </row>
    <row r="3582" spans="2:7">
      <c r="B3582" s="848" t="str">
        <f>+'4L'!BO42</f>
        <v>W3A00013CAWCUM</v>
      </c>
      <c r="D3582" s="2004"/>
      <c r="E3582" s="1658" t="s">
        <v>9033</v>
      </c>
      <c r="F3582" s="2004" t="str">
        <f>+'4L'!C$42</f>
        <v>Capital expenditure purpose - WATER additional line 13 [Other categories]</v>
      </c>
      <c r="G3582" s="2004">
        <f>IF('4L'!T42="","##BLANK",'4L'!T42)</f>
        <v>0</v>
      </c>
    </row>
    <row r="3583" spans="2:7">
      <c r="B3583" s="848" t="str">
        <f>+'4L'!BO43</f>
        <v>W3A00014CAWCUM</v>
      </c>
      <c r="D3583" s="2004"/>
      <c r="E3583" s="1658" t="s">
        <v>9033</v>
      </c>
      <c r="F3583" s="2004" t="str">
        <f>+'4L'!C$43</f>
        <v>Capital expenditure purpose - WATER additional line 14 [Other categories]</v>
      </c>
      <c r="G3583" s="2004">
        <f>IF('4L'!T43="","##BLANK",'4L'!T43)</f>
        <v>0</v>
      </c>
    </row>
    <row r="3584" spans="2:7">
      <c r="B3584" s="848" t="str">
        <f>+'4L'!BO44</f>
        <v>W3A00015CAWCUM</v>
      </c>
      <c r="D3584" s="2004"/>
      <c r="E3584" s="1658" t="s">
        <v>9033</v>
      </c>
      <c r="F3584" s="2004" t="str">
        <f>+'4L'!C$44</f>
        <v>Capital expenditure purpose - WATER additional line 15 [Other categories]</v>
      </c>
      <c r="G3584" s="2004">
        <f>IF('4L'!T44="","##BLANK",'4L'!T44)</f>
        <v>0</v>
      </c>
    </row>
    <row r="3585" spans="2:7">
      <c r="B3585" s="848" t="str">
        <f>+'4L'!BO45</f>
        <v>BA2070CAWCUM</v>
      </c>
      <c r="D3585" s="2004"/>
      <c r="E3585" s="1658" t="s">
        <v>9033</v>
      </c>
      <c r="F3585" s="2004"/>
      <c r="G3585" s="2004">
        <f>IF('4L'!T45="","##BLANK",'4L'!T45)</f>
        <v>127.67099999999999</v>
      </c>
    </row>
    <row r="3586" spans="2:7">
      <c r="B3586" s="848" t="str">
        <f>+'4M'!BI8</f>
        <v>BC31379FL</v>
      </c>
      <c r="D3586" s="2004"/>
      <c r="E3586" s="1658" t="s">
        <v>9033</v>
      </c>
      <c r="F3586" s="2004"/>
      <c r="G3586" s="2004">
        <f>IF('4M'!G8="","##BLANK",'4M'!G8)</f>
        <v>0.01</v>
      </c>
    </row>
    <row r="3587" spans="2:7">
      <c r="B3587" s="848" t="str">
        <f>+'4M'!BI9</f>
        <v>S3035QFL</v>
      </c>
      <c r="D3587" s="2004"/>
      <c r="E3587" s="1658" t="s">
        <v>9033</v>
      </c>
      <c r="F3587" s="2004"/>
      <c r="G3587" s="2004">
        <f>IF('4M'!G9="","##BLANK",'4M'!G9)</f>
        <v>0</v>
      </c>
    </row>
    <row r="3588" spans="2:7">
      <c r="B3588" s="848" t="str">
        <f>+'4M'!BI10</f>
        <v>S3036GFL</v>
      </c>
      <c r="D3588" s="2004"/>
      <c r="E3588" s="1658" t="s">
        <v>9033</v>
      </c>
      <c r="F3588" s="2004"/>
      <c r="G3588" s="2004">
        <f>IF('4M'!G10="","##BLANK",'4M'!G10)</f>
        <v>0</v>
      </c>
    </row>
    <row r="3589" spans="2:7">
      <c r="B3589" s="848" t="str">
        <f>+'4M'!BI11</f>
        <v>S3004FL</v>
      </c>
      <c r="D3589" s="2004"/>
      <c r="E3589" s="1658" t="s">
        <v>9033</v>
      </c>
      <c r="F3589" s="2004"/>
      <c r="G3589" s="2004">
        <f>IF('4M'!G11="","##BLANK",'4M'!G11)</f>
        <v>0</v>
      </c>
    </row>
    <row r="3590" spans="2:7">
      <c r="B3590" s="848" t="str">
        <f>+'4M'!BI12</f>
        <v>WWS2001FL</v>
      </c>
      <c r="D3590" s="2004"/>
      <c r="E3590" s="1658" t="s">
        <v>9033</v>
      </c>
      <c r="F3590" s="2004"/>
      <c r="G3590" s="2004">
        <f>IF('4M'!G12="","##BLANK",'4M'!G12)</f>
        <v>0</v>
      </c>
    </row>
    <row r="3591" spans="2:7">
      <c r="B3591" s="848" t="str">
        <f>+'4M'!BI13</f>
        <v>S3005FL</v>
      </c>
      <c r="D3591" s="2004"/>
      <c r="E3591" s="1658" t="s">
        <v>9033</v>
      </c>
      <c r="F3591" s="2004"/>
      <c r="G3591" s="2004">
        <f>IF('4M'!G13="","##BLANK",'4M'!G13)</f>
        <v>0</v>
      </c>
    </row>
    <row r="3592" spans="2:7">
      <c r="B3592" s="848" t="str">
        <f>+'4M'!BI14</f>
        <v>S3006FL</v>
      </c>
      <c r="D3592" s="2004"/>
      <c r="E3592" s="1658" t="s">
        <v>9033</v>
      </c>
      <c r="F3592" s="2004"/>
      <c r="G3592" s="2004">
        <f>IF('4M'!G14="","##BLANK",'4M'!G14)</f>
        <v>0</v>
      </c>
    </row>
    <row r="3593" spans="2:7">
      <c r="B3593" s="848" t="str">
        <f>+'4M'!BI15</f>
        <v>S3007FL</v>
      </c>
      <c r="D3593" s="2004"/>
      <c r="E3593" s="1658" t="s">
        <v>9033</v>
      </c>
      <c r="F3593" s="2004"/>
      <c r="G3593" s="2004">
        <f>IF('4M'!G15="","##BLANK",'4M'!G15)</f>
        <v>0</v>
      </c>
    </row>
    <row r="3594" spans="2:7">
      <c r="B3594" s="848" t="str">
        <f>+'4M'!BI16</f>
        <v>WWS2002FL</v>
      </c>
      <c r="D3594" s="2004"/>
      <c r="E3594" s="1658" t="s">
        <v>9033</v>
      </c>
      <c r="F3594" s="2004"/>
      <c r="G3594" s="2004">
        <f>IF('4M'!G16="","##BLANK",'4M'!G16)</f>
        <v>0</v>
      </c>
    </row>
    <row r="3595" spans="2:7">
      <c r="B3595" s="848" t="str">
        <f>+'4M'!BI17</f>
        <v>WWS2003FL</v>
      </c>
      <c r="D3595" s="2004"/>
      <c r="E3595" s="1658" t="s">
        <v>9033</v>
      </c>
      <c r="F3595" s="2004"/>
      <c r="G3595" s="2004">
        <f>IF('4M'!G17="","##BLANK",'4M'!G17)</f>
        <v>0</v>
      </c>
    </row>
    <row r="3596" spans="2:7">
      <c r="B3596" s="848" t="str">
        <f>+'4M'!BI18</f>
        <v>S3008FL</v>
      </c>
      <c r="D3596" s="2004"/>
      <c r="E3596" s="1658" t="s">
        <v>9033</v>
      </c>
      <c r="F3596" s="2004"/>
      <c r="G3596" s="2004">
        <f>IF('4M'!G18="","##BLANK",'4M'!G18)</f>
        <v>1.246</v>
      </c>
    </row>
    <row r="3597" spans="2:7">
      <c r="B3597" s="848" t="str">
        <f>+'4M'!BI19</f>
        <v>S3009FL</v>
      </c>
      <c r="D3597" s="2004"/>
      <c r="E3597" s="1658" t="s">
        <v>9033</v>
      </c>
      <c r="F3597" s="2004"/>
      <c r="G3597" s="2004">
        <f>IF('4M'!G19="","##BLANK",'4M'!G19)</f>
        <v>0</v>
      </c>
    </row>
    <row r="3598" spans="2:7">
      <c r="B3598" s="848" t="str">
        <f>+'4M'!BI20</f>
        <v>WWS2007FL</v>
      </c>
      <c r="D3598" s="2004"/>
      <c r="E3598" s="1658" t="s">
        <v>9033</v>
      </c>
      <c r="F3598" s="2004"/>
      <c r="G3598" s="2004">
        <f>IF('4M'!G20="","##BLANK",'4M'!G20)</f>
        <v>0</v>
      </c>
    </row>
    <row r="3599" spans="2:7">
      <c r="B3599" s="848" t="str">
        <f>+'4M'!BI21</f>
        <v>S3010FL</v>
      </c>
      <c r="D3599" s="2004"/>
      <c r="E3599" s="1658" t="s">
        <v>9033</v>
      </c>
      <c r="F3599" s="2004"/>
      <c r="G3599" s="2004">
        <f>IF('4M'!G21="","##BLANK",'4M'!G21)</f>
        <v>0</v>
      </c>
    </row>
    <row r="3600" spans="2:7">
      <c r="B3600" s="848" t="str">
        <f>+'4M'!BI22</f>
        <v>S3011FL</v>
      </c>
      <c r="D3600" s="2004"/>
      <c r="E3600" s="1658" t="s">
        <v>9033</v>
      </c>
      <c r="F3600" s="2004"/>
      <c r="G3600" s="2004">
        <f>IF('4M'!G22="","##BLANK",'4M'!G22)</f>
        <v>3.0000000000000001E-3</v>
      </c>
    </row>
    <row r="3601" spans="2:7">
      <c r="B3601" s="848" t="str">
        <f>+'4M'!BI23</f>
        <v>S3012FL</v>
      </c>
      <c r="D3601" s="2004"/>
      <c r="E3601" s="1658" t="s">
        <v>9033</v>
      </c>
      <c r="F3601" s="2004"/>
      <c r="G3601" s="2004">
        <f>IF('4M'!G23="","##BLANK",'4M'!G23)</f>
        <v>0</v>
      </c>
    </row>
    <row r="3602" spans="2:7">
      <c r="B3602" s="848" t="str">
        <f>+'4M'!BI24</f>
        <v>S3013FL</v>
      </c>
      <c r="D3602" s="2004"/>
      <c r="E3602" s="1658" t="s">
        <v>9033</v>
      </c>
      <c r="F3602" s="2004"/>
      <c r="G3602" s="2004">
        <f>IF('4M'!G24="","##BLANK",'4M'!G24)</f>
        <v>0</v>
      </c>
    </row>
    <row r="3603" spans="2:7">
      <c r="B3603" s="848" t="str">
        <f>+'4M'!BI25</f>
        <v>S3014FL</v>
      </c>
      <c r="D3603" s="2004"/>
      <c r="E3603" s="1658" t="s">
        <v>9033</v>
      </c>
      <c r="F3603" s="2004"/>
      <c r="G3603" s="2004">
        <f>IF('4M'!G25="","##BLANK",'4M'!G25)</f>
        <v>0</v>
      </c>
    </row>
    <row r="3604" spans="2:7">
      <c r="B3604" s="848" t="str">
        <f>+'4M'!BI26</f>
        <v>S3015FL</v>
      </c>
      <c r="D3604" s="2004"/>
      <c r="E3604" s="1658" t="s">
        <v>9033</v>
      </c>
      <c r="F3604" s="2004"/>
      <c r="G3604" s="2004">
        <f>IF('4M'!G26="","##BLANK",'4M'!G26)</f>
        <v>7.0000000000000001E-3</v>
      </c>
    </row>
    <row r="3605" spans="2:7">
      <c r="B3605" s="848" t="str">
        <f>+'4M'!BI27</f>
        <v>S3016FL</v>
      </c>
      <c r="D3605" s="2004"/>
      <c r="E3605" s="1658" t="s">
        <v>9033</v>
      </c>
      <c r="F3605" s="2004"/>
      <c r="G3605" s="2004">
        <f>IF('4M'!G27="","##BLANK",'4M'!G27)</f>
        <v>0</v>
      </c>
    </row>
    <row r="3606" spans="2:7">
      <c r="B3606" s="848" t="str">
        <f>+'4M'!BI28</f>
        <v>S3017FL</v>
      </c>
      <c r="D3606" s="2004"/>
      <c r="E3606" s="1658" t="s">
        <v>9033</v>
      </c>
      <c r="F3606" s="2004"/>
      <c r="G3606" s="2004">
        <f>IF('4M'!G28="","##BLANK",'4M'!G28)</f>
        <v>0</v>
      </c>
    </row>
    <row r="3607" spans="2:7">
      <c r="B3607" s="848" t="str">
        <f>+'4M'!BI29</f>
        <v>S3018FL</v>
      </c>
      <c r="D3607" s="2004"/>
      <c r="E3607" s="1658" t="s">
        <v>9033</v>
      </c>
      <c r="F3607" s="2004"/>
      <c r="G3607" s="2004">
        <f>IF('4M'!G29="","##BLANK",'4M'!G29)</f>
        <v>0</v>
      </c>
    </row>
    <row r="3608" spans="2:7">
      <c r="B3608" s="848" t="str">
        <f>+'4M'!BI30</f>
        <v>S3019FL</v>
      </c>
      <c r="D3608" s="2004"/>
      <c r="E3608" s="1658" t="s">
        <v>9033</v>
      </c>
      <c r="F3608" s="2004"/>
      <c r="G3608" s="2004">
        <f>IF('4M'!G30="","##BLANK",'4M'!G30)</f>
        <v>0</v>
      </c>
    </row>
    <row r="3609" spans="2:7">
      <c r="B3609" s="848" t="str">
        <f>+'4M'!BI31</f>
        <v>S3020FL</v>
      </c>
      <c r="D3609" s="2004"/>
      <c r="E3609" s="1658" t="s">
        <v>9033</v>
      </c>
      <c r="F3609" s="2004"/>
      <c r="G3609" s="2004">
        <f>IF('4M'!G31="","##BLANK",'4M'!G31)</f>
        <v>1.2809999999999999</v>
      </c>
    </row>
    <row r="3610" spans="2:7">
      <c r="B3610" s="848" t="str">
        <f>+'4M'!BI32</f>
        <v>S3021FL</v>
      </c>
      <c r="D3610" s="2004"/>
      <c r="E3610" s="1658" t="s">
        <v>9033</v>
      </c>
      <c r="F3610" s="2004"/>
      <c r="G3610" s="2004">
        <f>IF('4M'!G32="","##BLANK",'4M'!G32)</f>
        <v>0</v>
      </c>
    </row>
    <row r="3611" spans="2:7">
      <c r="B3611" s="848" t="str">
        <f>+'4M'!BI33</f>
        <v>S3022FL</v>
      </c>
      <c r="D3611" s="2004"/>
      <c r="E3611" s="1658" t="s">
        <v>9033</v>
      </c>
      <c r="F3611" s="2004"/>
      <c r="G3611" s="2004">
        <f>IF('4M'!G33="","##BLANK",'4M'!G33)</f>
        <v>0</v>
      </c>
    </row>
    <row r="3612" spans="2:7">
      <c r="B3612" s="848" t="str">
        <f>+'4M'!BI34</f>
        <v>BC31785FL</v>
      </c>
      <c r="D3612" s="2004"/>
      <c r="E3612" s="1658" t="s">
        <v>9033</v>
      </c>
      <c r="F3612" s="2004"/>
      <c r="G3612" s="2004">
        <f>IF('4M'!G34="","##BLANK",'4M'!G34)</f>
        <v>0.314</v>
      </c>
    </row>
    <row r="3613" spans="2:7">
      <c r="B3613" s="848" t="str">
        <f>+'4M'!BI35</f>
        <v>S3023FL</v>
      </c>
      <c r="D3613" s="2004"/>
      <c r="E3613" s="1658" t="s">
        <v>9033</v>
      </c>
      <c r="F3613" s="2004"/>
      <c r="G3613" s="2004">
        <f>IF('4M'!G35="","##BLANK",'4M'!G35)</f>
        <v>2.1349999999999998</v>
      </c>
    </row>
    <row r="3614" spans="2:7">
      <c r="B3614" s="848" t="str">
        <f>+'4M'!BI36</f>
        <v>S3024FL</v>
      </c>
      <c r="D3614" s="2004"/>
      <c r="E3614" s="1658" t="s">
        <v>9033</v>
      </c>
      <c r="F3614" s="2004"/>
      <c r="G3614" s="2004">
        <f>IF('4M'!G36="","##BLANK",'4M'!G36)</f>
        <v>2.9620000000000002</v>
      </c>
    </row>
    <row r="3615" spans="2:7">
      <c r="B3615" s="848" t="str">
        <f>+'4M'!BI37</f>
        <v>S3A00001FL</v>
      </c>
      <c r="D3615" s="2004"/>
      <c r="E3615" s="1658" t="s">
        <v>9033</v>
      </c>
      <c r="F3615" s="2004" t="str">
        <f>+'4M'!C$37</f>
        <v>Bathing water ELoS</v>
      </c>
      <c r="G3615" s="2004">
        <f>IF('4M'!G37="","##BLANK",'4M'!G37)</f>
        <v>0</v>
      </c>
    </row>
    <row r="3616" spans="2:7">
      <c r="B3616" s="848" t="str">
        <f>+'4M'!BI38</f>
        <v>S3A00002FL</v>
      </c>
      <c r="D3616" s="2004"/>
      <c r="E3616" s="1658" t="s">
        <v>9033</v>
      </c>
      <c r="F3616" s="2004" t="str">
        <f>+'4M'!C$38</f>
        <v>Pollution ELoS</v>
      </c>
      <c r="G3616" s="2004">
        <f>IF('4M'!G38="","##BLANK",'4M'!G38)</f>
        <v>0</v>
      </c>
    </row>
    <row r="3617" spans="2:7">
      <c r="B3617" s="848" t="str">
        <f>+'4M'!BI39</f>
        <v>S3A00003FL</v>
      </c>
      <c r="D3617" s="2004"/>
      <c r="E3617" s="1658" t="s">
        <v>9033</v>
      </c>
      <c r="F3617" s="2004" t="str">
        <f>+'4M'!C$39</f>
        <v>Connections (if applicable)</v>
      </c>
      <c r="G3617" s="2004">
        <f>IF('4M'!G39="","##BLANK",'4M'!G39)</f>
        <v>0</v>
      </c>
    </row>
    <row r="3618" spans="2:7">
      <c r="B3618" s="848" t="str">
        <f>+'4M'!BI40</f>
        <v>S3A00004FL</v>
      </c>
      <c r="D3618" s="2004"/>
      <c r="E3618" s="1658" t="s">
        <v>9033</v>
      </c>
      <c r="F3618" s="2004" t="str">
        <f>+'4M'!C$40</f>
        <v>Emergency Overflow Appeals</v>
      </c>
      <c r="G3618" s="2004">
        <f>IF('4M'!G40="","##BLANK",'4M'!G40)</f>
        <v>1.6E-2</v>
      </c>
    </row>
    <row r="3619" spans="2:7">
      <c r="B3619" s="848" t="str">
        <f>+'4M'!BI41</f>
        <v>S3A00005FL</v>
      </c>
      <c r="D3619" s="2004"/>
      <c r="E3619" s="1658" t="s">
        <v>9033</v>
      </c>
      <c r="F3619" s="2004" t="str">
        <f>+'4M'!C$41</f>
        <v>Exclusions</v>
      </c>
      <c r="G3619" s="2004">
        <f>IF('4M'!G41="","##BLANK",'4M'!G41)</f>
        <v>0</v>
      </c>
    </row>
    <row r="3620" spans="2:7">
      <c r="B3620" s="848" t="str">
        <f>+'4M'!BI42</f>
        <v>S3A00006FL</v>
      </c>
      <c r="D3620" s="2004"/>
      <c r="E3620" s="1658" t="s">
        <v>9033</v>
      </c>
      <c r="F3620" s="2004" t="str">
        <f>+'4M'!C$42</f>
        <v>Pollution - UQ</v>
      </c>
      <c r="G3620" s="2004">
        <f>IF('4M'!G42="","##BLANK",'4M'!G42)</f>
        <v>10.385999999999999</v>
      </c>
    </row>
    <row r="3621" spans="2:7">
      <c r="B3621" s="848" t="str">
        <f>+'4M'!BI43</f>
        <v>S3A00007FL</v>
      </c>
      <c r="D3621" s="2004"/>
      <c r="E3621" s="1658" t="s">
        <v>9033</v>
      </c>
      <c r="F3621" s="2004" t="str">
        <f>+'4M'!C$43</f>
        <v>Internal Flooding - UQ</v>
      </c>
      <c r="G3621" s="2004">
        <f>IF('4M'!G43="","##BLANK",'4M'!G43)</f>
        <v>9.9629999999999992</v>
      </c>
    </row>
    <row r="3622" spans="2:7">
      <c r="B3622" s="848" t="str">
        <f>+'4M'!BI44</f>
        <v>S3A00008FL</v>
      </c>
      <c r="D3622" s="2004"/>
      <c r="E3622" s="1658" t="s">
        <v>9033</v>
      </c>
      <c r="F3622" s="2004" t="str">
        <f>+'4M'!C$44</f>
        <v>Infrastructure network reinforcement</v>
      </c>
      <c r="G3622" s="2004">
        <f>IF('4M'!G44="","##BLANK",'4M'!G44)</f>
        <v>1.079</v>
      </c>
    </row>
    <row r="3623" spans="2:7">
      <c r="B3623" s="848" t="str">
        <f>+'4M'!BI45</f>
        <v>S3A00009FL</v>
      </c>
      <c r="D3623" s="2004"/>
      <c r="E3623" s="1658" t="s">
        <v>9033</v>
      </c>
      <c r="F3623" s="2004" t="str">
        <f>+'4M'!C$45</f>
        <v>2020-25 Transition Expenditure - Capex</v>
      </c>
      <c r="G3623" s="2004">
        <f>IF('4M'!G45="","##BLANK",'4M'!G45)</f>
        <v>0</v>
      </c>
    </row>
    <row r="3624" spans="2:7">
      <c r="B3624" s="848" t="str">
        <f>+'4M'!BI46</f>
        <v>S3A00010FL</v>
      </c>
      <c r="D3624" s="2004"/>
      <c r="E3624" s="1658" t="s">
        <v>9033</v>
      </c>
      <c r="F3624" s="2004" t="str">
        <f>+'4M'!C$46</f>
        <v>Capital expenditure purpose - WASTEWATER additional line 10 [Other categories]</v>
      </c>
      <c r="G3624" s="2004">
        <f>IF('4M'!G46="","##BLANK",'4M'!G46)</f>
        <v>0</v>
      </c>
    </row>
    <row r="3625" spans="2:7">
      <c r="B3625" s="848" t="str">
        <f>+'4M'!BI47</f>
        <v>S3A00011FL</v>
      </c>
      <c r="D3625" s="2004"/>
      <c r="E3625" s="1658" t="s">
        <v>9033</v>
      </c>
      <c r="F3625" s="2004" t="str">
        <f>+'4M'!C$47</f>
        <v>Capital expenditure purpose - WASTEWATER additional line 11 [Other categories]</v>
      </c>
      <c r="G3625" s="2004">
        <f>IF('4M'!G47="","##BLANK",'4M'!G47)</f>
        <v>0</v>
      </c>
    </row>
    <row r="3626" spans="2:7">
      <c r="B3626" s="848" t="str">
        <f>+'4M'!BI48</f>
        <v>S3A00012FL</v>
      </c>
      <c r="D3626" s="2004"/>
      <c r="E3626" s="1658" t="s">
        <v>9033</v>
      </c>
      <c r="F3626" s="2004" t="str">
        <f>+'4M'!C$48</f>
        <v>Capital expenditure purpose - WASTEWATER additional line 12 [Other categories]</v>
      </c>
      <c r="G3626" s="2004">
        <f>IF('4M'!G48="","##BLANK",'4M'!G48)</f>
        <v>0</v>
      </c>
    </row>
    <row r="3627" spans="2:7">
      <c r="B3627" s="848" t="str">
        <f>+'4M'!BI49</f>
        <v>S3A00013FL</v>
      </c>
      <c r="D3627" s="2004"/>
      <c r="E3627" s="1658" t="s">
        <v>9033</v>
      </c>
      <c r="F3627" s="2004" t="str">
        <f>+'4M'!C$49</f>
        <v>Capital expenditure purpose - WASTEWATER additional line 13 [Other categories]</v>
      </c>
      <c r="G3627" s="2004">
        <f>IF('4M'!G49="","##BLANK",'4M'!G49)</f>
        <v>0</v>
      </c>
    </row>
    <row r="3628" spans="2:7">
      <c r="B3628" s="848" t="str">
        <f>+'4M'!BI50</f>
        <v>S3A00014FL</v>
      </c>
      <c r="D3628" s="2004"/>
      <c r="E3628" s="1658" t="s">
        <v>9033</v>
      </c>
      <c r="F3628" s="2004" t="str">
        <f>+'4M'!C$50</f>
        <v>Capital expenditure purpose - WASTEWATER additional line 14 [Other categories]</v>
      </c>
      <c r="G3628" s="2004">
        <f>IF('4M'!G50="","##BLANK",'4M'!G50)</f>
        <v>0</v>
      </c>
    </row>
    <row r="3629" spans="2:7">
      <c r="B3629" s="848" t="str">
        <f>+'4M'!BI51</f>
        <v>S3A00015FL</v>
      </c>
      <c r="D3629" s="2004"/>
      <c r="E3629" s="1658" t="s">
        <v>9033</v>
      </c>
      <c r="F3629" s="2004" t="str">
        <f>+'4M'!C$51</f>
        <v>Capital expenditure purpose - WASTEWATER additional line 15 [Other categories]</v>
      </c>
      <c r="G3629" s="2004">
        <f>IF('4M'!G51="","##BLANK",'4M'!G51)</f>
        <v>0</v>
      </c>
    </row>
    <row r="3630" spans="2:7">
      <c r="B3630" s="848" t="str">
        <f>+'4M'!BI52</f>
        <v>S3025ENHFL</v>
      </c>
      <c r="D3630" s="2004"/>
      <c r="E3630" s="1658" t="s">
        <v>9033</v>
      </c>
      <c r="F3630" s="2004"/>
      <c r="G3630" s="2004">
        <f>IF('4M'!G52="","##BLANK",'4M'!G52)</f>
        <v>29.402000000000001</v>
      </c>
    </row>
    <row r="3631" spans="2:7">
      <c r="B3631" s="848" t="str">
        <f>+'4M'!BJ8</f>
        <v>BC31379SWD</v>
      </c>
      <c r="D3631" s="2004"/>
      <c r="E3631" s="1658" t="s">
        <v>9033</v>
      </c>
      <c r="F3631" s="2004"/>
      <c r="G3631" s="2004">
        <f>IF('4M'!H8="","##BLANK",'4M'!H8)</f>
        <v>1.0999999999999999E-2</v>
      </c>
    </row>
    <row r="3632" spans="2:7">
      <c r="B3632" s="848" t="str">
        <f>+'4M'!BJ9</f>
        <v>S3035QSWD</v>
      </c>
      <c r="D3632" s="2004"/>
      <c r="E3632" s="1658" t="s">
        <v>9033</v>
      </c>
      <c r="F3632" s="2004"/>
      <c r="G3632" s="2004">
        <f>IF('4M'!H9="","##BLANK",'4M'!H9)</f>
        <v>0</v>
      </c>
    </row>
    <row r="3633" spans="2:7">
      <c r="B3633" s="848" t="str">
        <f>+'4M'!BJ10</f>
        <v>S3036GSWD</v>
      </c>
      <c r="D3633" s="2004"/>
      <c r="E3633" s="1658" t="s">
        <v>9033</v>
      </c>
      <c r="F3633" s="2004"/>
      <c r="G3633" s="2004">
        <f>IF('4M'!H10="","##BLANK",'4M'!H10)</f>
        <v>0</v>
      </c>
    </row>
    <row r="3634" spans="2:7">
      <c r="B3634" s="848" t="str">
        <f>+'4M'!BJ11</f>
        <v>S3004SWD</v>
      </c>
      <c r="D3634" s="2004"/>
      <c r="E3634" s="1658" t="s">
        <v>9033</v>
      </c>
      <c r="F3634" s="2004"/>
      <c r="G3634" s="2004">
        <f>IF('4M'!H11="","##BLANK",'4M'!H11)</f>
        <v>0</v>
      </c>
    </row>
    <row r="3635" spans="2:7">
      <c r="B3635" s="848" t="str">
        <f>+'4M'!BJ12</f>
        <v>WWS2001SWD</v>
      </c>
      <c r="D3635" s="2004"/>
      <c r="E3635" s="1658" t="s">
        <v>9033</v>
      </c>
      <c r="F3635" s="2004"/>
      <c r="G3635" s="2004">
        <f>IF('4M'!H12="","##BLANK",'4M'!H12)</f>
        <v>0</v>
      </c>
    </row>
    <row r="3636" spans="2:7">
      <c r="B3636" s="848" t="str">
        <f>+'4M'!BJ13</f>
        <v>S3005SWD</v>
      </c>
      <c r="D3636" s="2004"/>
      <c r="E3636" s="1658" t="s">
        <v>9033</v>
      </c>
      <c r="F3636" s="2004"/>
      <c r="G3636" s="2004">
        <f>IF('4M'!H13="","##BLANK",'4M'!H13)</f>
        <v>0</v>
      </c>
    </row>
    <row r="3637" spans="2:7">
      <c r="B3637" s="848" t="str">
        <f>+'4M'!BJ14</f>
        <v>S3006SWD</v>
      </c>
      <c r="D3637" s="2004"/>
      <c r="E3637" s="1658" t="s">
        <v>9033</v>
      </c>
      <c r="F3637" s="2004"/>
      <c r="G3637" s="2004">
        <f>IF('4M'!H14="","##BLANK",'4M'!H14)</f>
        <v>0</v>
      </c>
    </row>
    <row r="3638" spans="2:7">
      <c r="B3638" s="848" t="str">
        <f>+'4M'!BJ15</f>
        <v>S3007SWD</v>
      </c>
      <c r="D3638" s="2004"/>
      <c r="E3638" s="1658" t="s">
        <v>9033</v>
      </c>
      <c r="F3638" s="2004"/>
      <c r="G3638" s="2004">
        <f>IF('4M'!H15="","##BLANK",'4M'!H15)</f>
        <v>0</v>
      </c>
    </row>
    <row r="3639" spans="2:7">
      <c r="B3639" s="848" t="str">
        <f>+'4M'!BJ16</f>
        <v>WWS2002SWD</v>
      </c>
      <c r="D3639" s="2004"/>
      <c r="E3639" s="1658" t="s">
        <v>9033</v>
      </c>
      <c r="F3639" s="2004"/>
      <c r="G3639" s="2004">
        <f>IF('4M'!H16="","##BLANK",'4M'!H16)</f>
        <v>0</v>
      </c>
    </row>
    <row r="3640" spans="2:7">
      <c r="B3640" s="848" t="str">
        <f>+'4M'!BJ17</f>
        <v>WWS2003SWD</v>
      </c>
      <c r="D3640" s="2004"/>
      <c r="E3640" s="1658" t="s">
        <v>9033</v>
      </c>
      <c r="F3640" s="2004"/>
      <c r="G3640" s="2004">
        <f>IF('4M'!H17="","##BLANK",'4M'!H17)</f>
        <v>0</v>
      </c>
    </row>
    <row r="3641" spans="2:7">
      <c r="B3641" s="848" t="str">
        <f>+'4M'!BJ18</f>
        <v>S3008SWD</v>
      </c>
      <c r="D3641" s="2004"/>
      <c r="E3641" s="1658" t="s">
        <v>9033</v>
      </c>
      <c r="F3641" s="2004"/>
      <c r="G3641" s="2004">
        <f>IF('4M'!H18="","##BLANK",'4M'!H18)</f>
        <v>1.3740000000000001</v>
      </c>
    </row>
    <row r="3642" spans="2:7">
      <c r="B3642" s="848" t="str">
        <f>+'4M'!BJ19</f>
        <v>S3009SWD</v>
      </c>
      <c r="D3642" s="2004"/>
      <c r="E3642" s="1658" t="s">
        <v>9033</v>
      </c>
      <c r="F3642" s="2004"/>
      <c r="G3642" s="2004">
        <f>IF('4M'!H19="","##BLANK",'4M'!H19)</f>
        <v>0</v>
      </c>
    </row>
    <row r="3643" spans="2:7">
      <c r="B3643" s="848" t="str">
        <f>+'4M'!BJ20</f>
        <v>WWS2007SWD</v>
      </c>
      <c r="D3643" s="2004"/>
      <c r="E3643" s="1658" t="s">
        <v>9033</v>
      </c>
      <c r="F3643" s="2004"/>
      <c r="G3643" s="2004">
        <f>IF('4M'!H20="","##BLANK",'4M'!H20)</f>
        <v>0</v>
      </c>
    </row>
    <row r="3644" spans="2:7">
      <c r="B3644" s="848" t="str">
        <f>+'4M'!BJ21</f>
        <v>S3010SWD</v>
      </c>
      <c r="D3644" s="2004"/>
      <c r="E3644" s="1658" t="s">
        <v>9033</v>
      </c>
      <c r="F3644" s="2004"/>
      <c r="G3644" s="2004">
        <f>IF('4M'!H21="","##BLANK",'4M'!H21)</f>
        <v>0</v>
      </c>
    </row>
    <row r="3645" spans="2:7">
      <c r="B3645" s="848" t="str">
        <f>+'4M'!BJ22</f>
        <v>S3011SWD</v>
      </c>
      <c r="D3645" s="2004"/>
      <c r="E3645" s="1658" t="s">
        <v>9033</v>
      </c>
      <c r="F3645" s="2004"/>
      <c r="G3645" s="2004">
        <f>IF('4M'!H22="","##BLANK",'4M'!H22)</f>
        <v>4.0000000000000001E-3</v>
      </c>
    </row>
    <row r="3646" spans="2:7">
      <c r="B3646" s="848" t="str">
        <f>+'4M'!BJ23</f>
        <v>S3012SWD</v>
      </c>
      <c r="D3646" s="2004"/>
      <c r="E3646" s="1658" t="s">
        <v>9033</v>
      </c>
      <c r="F3646" s="2004"/>
      <c r="G3646" s="2004">
        <f>IF('4M'!H23="","##BLANK",'4M'!H23)</f>
        <v>0</v>
      </c>
    </row>
    <row r="3647" spans="2:7">
      <c r="B3647" s="848" t="str">
        <f>+'4M'!BJ24</f>
        <v>S3013SWD</v>
      </c>
      <c r="D3647" s="2004"/>
      <c r="E3647" s="1658" t="s">
        <v>9033</v>
      </c>
      <c r="F3647" s="2004"/>
      <c r="G3647" s="2004">
        <f>IF('4M'!H24="","##BLANK",'4M'!H24)</f>
        <v>0</v>
      </c>
    </row>
    <row r="3648" spans="2:7">
      <c r="B3648" s="848" t="str">
        <f>+'4M'!BJ25</f>
        <v>S3014SWD</v>
      </c>
      <c r="D3648" s="2004"/>
      <c r="E3648" s="1658" t="s">
        <v>9033</v>
      </c>
      <c r="F3648" s="2004"/>
      <c r="G3648" s="2004">
        <f>IF('4M'!H25="","##BLANK",'4M'!H25)</f>
        <v>0</v>
      </c>
    </row>
    <row r="3649" spans="2:7">
      <c r="B3649" s="848" t="str">
        <f>+'4M'!BJ26</f>
        <v>S3015SWD</v>
      </c>
      <c r="D3649" s="2004"/>
      <c r="E3649" s="1658" t="s">
        <v>9033</v>
      </c>
      <c r="F3649" s="2004"/>
      <c r="G3649" s="2004">
        <f>IF('4M'!H26="","##BLANK",'4M'!H26)</f>
        <v>8.0000000000000002E-3</v>
      </c>
    </row>
    <row r="3650" spans="2:7">
      <c r="B3650" s="848" t="str">
        <f>+'4M'!BJ27</f>
        <v>S3016SWD</v>
      </c>
      <c r="D3650" s="2004"/>
      <c r="E3650" s="1658" t="s">
        <v>9033</v>
      </c>
      <c r="F3650" s="2004"/>
      <c r="G3650" s="2004">
        <f>IF('4M'!H27="","##BLANK",'4M'!H27)</f>
        <v>0</v>
      </c>
    </row>
    <row r="3651" spans="2:7">
      <c r="B3651" s="848" t="str">
        <f>+'4M'!BJ28</f>
        <v>S3017SWD</v>
      </c>
      <c r="D3651" s="2004"/>
      <c r="E3651" s="1658" t="s">
        <v>9033</v>
      </c>
      <c r="F3651" s="2004"/>
      <c r="G3651" s="2004">
        <f>IF('4M'!H28="","##BLANK",'4M'!H28)</f>
        <v>0</v>
      </c>
    </row>
    <row r="3652" spans="2:7">
      <c r="B3652" s="848" t="str">
        <f>+'4M'!BJ29</f>
        <v>S3018SWD</v>
      </c>
      <c r="D3652" s="2004"/>
      <c r="E3652" s="1658" t="s">
        <v>9033</v>
      </c>
      <c r="F3652" s="2004"/>
      <c r="G3652" s="2004">
        <f>IF('4M'!H29="","##BLANK",'4M'!H29)</f>
        <v>0</v>
      </c>
    </row>
    <row r="3653" spans="2:7">
      <c r="B3653" s="848" t="str">
        <f>+'4M'!BJ30</f>
        <v>S3019SWD</v>
      </c>
      <c r="D3653" s="2004"/>
      <c r="E3653" s="1658" t="s">
        <v>9033</v>
      </c>
      <c r="F3653" s="2004"/>
      <c r="G3653" s="2004">
        <f>IF('4M'!H30="","##BLANK",'4M'!H30)</f>
        <v>0</v>
      </c>
    </row>
    <row r="3654" spans="2:7">
      <c r="B3654" s="848" t="str">
        <f>+'4M'!BJ31</f>
        <v>S3020SWD</v>
      </c>
      <c r="D3654" s="2004"/>
      <c r="E3654" s="1658" t="s">
        <v>9033</v>
      </c>
      <c r="F3654" s="2004"/>
      <c r="G3654" s="2004">
        <f>IF('4M'!H31="","##BLANK",'4M'!H31)</f>
        <v>1.4119999999999999</v>
      </c>
    </row>
    <row r="3655" spans="2:7">
      <c r="B3655" s="848" t="str">
        <f>+'4M'!BJ32</f>
        <v>S3021SWD</v>
      </c>
      <c r="D3655" s="2004"/>
      <c r="E3655" s="1658" t="s">
        <v>9033</v>
      </c>
      <c r="F3655" s="2004"/>
      <c r="G3655" s="2004">
        <f>IF('4M'!H32="","##BLANK",'4M'!H32)</f>
        <v>0</v>
      </c>
    </row>
    <row r="3656" spans="2:7">
      <c r="B3656" s="848" t="str">
        <f>+'4M'!BJ33</f>
        <v>S3022SWD</v>
      </c>
      <c r="D3656" s="2004"/>
      <c r="E3656" s="1658" t="s">
        <v>9033</v>
      </c>
      <c r="F3656" s="2004"/>
      <c r="G3656" s="2004">
        <f>IF('4M'!H33="","##BLANK",'4M'!H33)</f>
        <v>0</v>
      </c>
    </row>
    <row r="3657" spans="2:7">
      <c r="B3657" s="848" t="str">
        <f>+'4M'!BJ34</f>
        <v>BC31785SWD</v>
      </c>
      <c r="D3657" s="2004"/>
      <c r="E3657" s="1658" t="s">
        <v>9033</v>
      </c>
      <c r="F3657" s="2004"/>
      <c r="G3657" s="2004">
        <f>IF('4M'!H34="","##BLANK",'4M'!H34)</f>
        <v>0.29199999999999998</v>
      </c>
    </row>
    <row r="3658" spans="2:7">
      <c r="B3658" s="848" t="str">
        <f>+'4M'!BJ35</f>
        <v>S3023SWD</v>
      </c>
      <c r="D3658" s="2004"/>
      <c r="E3658" s="1658" t="s">
        <v>9033</v>
      </c>
      <c r="F3658" s="2004"/>
      <c r="G3658" s="2004">
        <f>IF('4M'!H35="","##BLANK",'4M'!H35)</f>
        <v>2.3530000000000002</v>
      </c>
    </row>
    <row r="3659" spans="2:7">
      <c r="B3659" s="848" t="str">
        <f>+'4M'!BJ36</f>
        <v>S3024SWD</v>
      </c>
      <c r="D3659" s="2004"/>
      <c r="E3659" s="1658" t="s">
        <v>9033</v>
      </c>
      <c r="F3659" s="2004"/>
      <c r="G3659" s="2004">
        <f>IF('4M'!H36="","##BLANK",'4M'!H36)</f>
        <v>3.266</v>
      </c>
    </row>
    <row r="3660" spans="2:7">
      <c r="B3660" s="848" t="str">
        <f>+'4M'!BJ37</f>
        <v>S3A00001SWD</v>
      </c>
      <c r="D3660" s="2004"/>
      <c r="E3660" s="1658" t="s">
        <v>9033</v>
      </c>
      <c r="F3660" s="2004" t="str">
        <f>+'4M'!C$37</f>
        <v>Bathing water ELoS</v>
      </c>
      <c r="G3660" s="2004">
        <f>IF('4M'!H37="","##BLANK",'4M'!H37)</f>
        <v>0</v>
      </c>
    </row>
    <row r="3661" spans="2:7">
      <c r="B3661" s="848" t="str">
        <f>+'4M'!BJ38</f>
        <v>S3A00002SWD</v>
      </c>
      <c r="D3661" s="2004"/>
      <c r="E3661" s="1658" t="s">
        <v>9033</v>
      </c>
      <c r="F3661" s="2004" t="str">
        <f>+'4M'!C$38</f>
        <v>Pollution ELoS</v>
      </c>
      <c r="G3661" s="2004">
        <f>IF('4M'!H38="","##BLANK",'4M'!H38)</f>
        <v>0</v>
      </c>
    </row>
    <row r="3662" spans="2:7">
      <c r="B3662" s="848" t="str">
        <f>+'4M'!BJ39</f>
        <v>S3A00003SWD</v>
      </c>
      <c r="D3662" s="2004"/>
      <c r="E3662" s="1658" t="s">
        <v>9033</v>
      </c>
      <c r="F3662" s="2004" t="str">
        <f>+'4M'!C$39</f>
        <v>Connections (if applicable)</v>
      </c>
      <c r="G3662" s="2004">
        <f>IF('4M'!H39="","##BLANK",'4M'!H39)</f>
        <v>0</v>
      </c>
    </row>
    <row r="3663" spans="2:7">
      <c r="B3663" s="848" t="str">
        <f>+'4M'!BJ40</f>
        <v>S3A00004SWD</v>
      </c>
      <c r="D3663" s="2004"/>
      <c r="E3663" s="1658" t="s">
        <v>9033</v>
      </c>
      <c r="F3663" s="2004" t="str">
        <f>+'4M'!C$40</f>
        <v>Emergency Overflow Appeals</v>
      </c>
      <c r="G3663" s="2004">
        <f>IF('4M'!H40="","##BLANK",'4M'!H40)</f>
        <v>1.7000000000000001E-2</v>
      </c>
    </row>
    <row r="3664" spans="2:7">
      <c r="B3664" s="848" t="str">
        <f>+'4M'!BJ41</f>
        <v>S3A00005SWD</v>
      </c>
      <c r="D3664" s="2004"/>
      <c r="E3664" s="1658" t="s">
        <v>9033</v>
      </c>
      <c r="F3664" s="2004" t="str">
        <f>+'4M'!C$41</f>
        <v>Exclusions</v>
      </c>
      <c r="G3664" s="2004">
        <f>IF('4M'!H41="","##BLANK",'4M'!H41)</f>
        <v>0</v>
      </c>
    </row>
    <row r="3665" spans="2:7">
      <c r="B3665" s="848" t="str">
        <f>+'4M'!BJ42</f>
        <v>S3A00006SWD</v>
      </c>
      <c r="D3665" s="2004"/>
      <c r="E3665" s="1658" t="s">
        <v>9033</v>
      </c>
      <c r="F3665" s="2004" t="str">
        <f>+'4M'!C$42</f>
        <v>Pollution - UQ</v>
      </c>
      <c r="G3665" s="2004">
        <f>IF('4M'!H42="","##BLANK",'4M'!H42)</f>
        <v>11.452</v>
      </c>
    </row>
    <row r="3666" spans="2:7">
      <c r="B3666" s="848" t="str">
        <f>+'4M'!BJ43</f>
        <v>S3A00007SWD</v>
      </c>
      <c r="D3666" s="2004"/>
      <c r="E3666" s="1658" t="s">
        <v>9033</v>
      </c>
      <c r="F3666" s="2004" t="str">
        <f>+'4M'!C$43</f>
        <v>Internal Flooding - UQ</v>
      </c>
      <c r="G3666" s="2004">
        <f>IF('4M'!H43="","##BLANK",'4M'!H43)</f>
        <v>10.984</v>
      </c>
    </row>
    <row r="3667" spans="2:7">
      <c r="B3667" s="848" t="str">
        <f>+'4M'!BJ44</f>
        <v>S3A00008SWD</v>
      </c>
      <c r="D3667" s="2004"/>
      <c r="E3667" s="1658" t="s">
        <v>9033</v>
      </c>
      <c r="F3667" s="2004" t="str">
        <f>+'4M'!C$44</f>
        <v>Infrastructure network reinforcement</v>
      </c>
      <c r="G3667" s="2004">
        <f>IF('4M'!H44="","##BLANK",'4M'!H44)</f>
        <v>1.19</v>
      </c>
    </row>
    <row r="3668" spans="2:7">
      <c r="B3668" s="848" t="str">
        <f>+'4M'!BJ45</f>
        <v>S3A00009SWD</v>
      </c>
      <c r="D3668" s="2004"/>
      <c r="E3668" s="1658" t="s">
        <v>9033</v>
      </c>
      <c r="F3668" s="2004" t="str">
        <f>+'4M'!C$45</f>
        <v>2020-25 Transition Expenditure - Capex</v>
      </c>
      <c r="G3668" s="2004">
        <f>IF('4M'!H45="","##BLANK",'4M'!H45)</f>
        <v>0</v>
      </c>
    </row>
    <row r="3669" spans="2:7">
      <c r="B3669" s="848" t="str">
        <f>+'4M'!BJ46</f>
        <v>S3A00010SWD</v>
      </c>
      <c r="D3669" s="2004"/>
      <c r="E3669" s="1658" t="s">
        <v>9033</v>
      </c>
      <c r="F3669" s="2004" t="str">
        <f>+'4M'!C$46</f>
        <v>Capital expenditure purpose - WASTEWATER additional line 10 [Other categories]</v>
      </c>
      <c r="G3669" s="2004">
        <f>IF('4M'!H46="","##BLANK",'4M'!H46)</f>
        <v>0</v>
      </c>
    </row>
    <row r="3670" spans="2:7">
      <c r="B3670" s="848" t="str">
        <f>+'4M'!BJ47</f>
        <v>S3A00011SWD</v>
      </c>
      <c r="D3670" s="2004"/>
      <c r="E3670" s="1658" t="s">
        <v>9033</v>
      </c>
      <c r="F3670" s="2004" t="str">
        <f>+'4M'!C$47</f>
        <v>Capital expenditure purpose - WASTEWATER additional line 11 [Other categories]</v>
      </c>
      <c r="G3670" s="2004">
        <f>IF('4M'!H47="","##BLANK",'4M'!H47)</f>
        <v>0</v>
      </c>
    </row>
    <row r="3671" spans="2:7">
      <c r="B3671" s="848" t="str">
        <f>+'4M'!BJ48</f>
        <v>S3A00012SWD</v>
      </c>
      <c r="D3671" s="2004"/>
      <c r="E3671" s="1658" t="s">
        <v>9033</v>
      </c>
      <c r="F3671" s="2004" t="str">
        <f>+'4M'!C$48</f>
        <v>Capital expenditure purpose - WASTEWATER additional line 12 [Other categories]</v>
      </c>
      <c r="G3671" s="2004">
        <f>IF('4M'!H48="","##BLANK",'4M'!H48)</f>
        <v>0</v>
      </c>
    </row>
    <row r="3672" spans="2:7">
      <c r="B3672" s="848" t="str">
        <f>+'4M'!BJ49</f>
        <v>S3A00013SWD</v>
      </c>
      <c r="D3672" s="2004"/>
      <c r="E3672" s="1658" t="s">
        <v>9033</v>
      </c>
      <c r="F3672" s="2004" t="str">
        <f>+'4M'!C$49</f>
        <v>Capital expenditure purpose - WASTEWATER additional line 13 [Other categories]</v>
      </c>
      <c r="G3672" s="2004">
        <f>IF('4M'!H49="","##BLANK",'4M'!H49)</f>
        <v>0</v>
      </c>
    </row>
    <row r="3673" spans="2:7">
      <c r="B3673" s="848" t="str">
        <f>+'4M'!BJ50</f>
        <v>S3A00014SWD</v>
      </c>
      <c r="D3673" s="2004"/>
      <c r="E3673" s="1658" t="s">
        <v>9033</v>
      </c>
      <c r="F3673" s="2004" t="str">
        <f>+'4M'!C$50</f>
        <v>Capital expenditure purpose - WASTEWATER additional line 14 [Other categories]</v>
      </c>
      <c r="G3673" s="2004">
        <f>IF('4M'!H50="","##BLANK",'4M'!H50)</f>
        <v>0</v>
      </c>
    </row>
    <row r="3674" spans="2:7">
      <c r="B3674" s="848" t="str">
        <f>+'4M'!BJ51</f>
        <v>S3A00015SWD</v>
      </c>
      <c r="D3674" s="2004"/>
      <c r="E3674" s="1658" t="s">
        <v>9033</v>
      </c>
      <c r="F3674" s="2004" t="str">
        <f>+'4M'!C$51</f>
        <v>Capital expenditure purpose - WASTEWATER additional line 15 [Other categories]</v>
      </c>
      <c r="G3674" s="2004">
        <f>IF('4M'!H51="","##BLANK",'4M'!H51)</f>
        <v>0</v>
      </c>
    </row>
    <row r="3675" spans="2:7">
      <c r="B3675" s="848" t="str">
        <f>+'4M'!BJ52</f>
        <v>S3025ENHSWD</v>
      </c>
      <c r="D3675" s="2004"/>
      <c r="E3675" s="1658" t="s">
        <v>9033</v>
      </c>
      <c r="F3675" s="2004"/>
      <c r="G3675" s="2004">
        <f>IF('4M'!H52="","##BLANK",'4M'!H52)</f>
        <v>32.363</v>
      </c>
    </row>
    <row r="3676" spans="2:7">
      <c r="B3676" s="848" t="str">
        <f>+'4M'!BK8</f>
        <v>BC31379HD</v>
      </c>
      <c r="D3676" s="2004"/>
      <c r="E3676" s="1658" t="s">
        <v>9033</v>
      </c>
      <c r="F3676" s="2004"/>
      <c r="G3676" s="2004">
        <f>IF('4M'!I8="","##BLANK",'4M'!I8)</f>
        <v>5.0000000000000001E-3</v>
      </c>
    </row>
    <row r="3677" spans="2:7">
      <c r="B3677" s="848" t="str">
        <f>+'4M'!BK9</f>
        <v>S3035QHD</v>
      </c>
      <c r="D3677" s="2004"/>
      <c r="E3677" s="1658" t="s">
        <v>9033</v>
      </c>
      <c r="F3677" s="2004"/>
      <c r="G3677" s="2004">
        <f>IF('4M'!I9="","##BLANK",'4M'!I9)</f>
        <v>0</v>
      </c>
    </row>
    <row r="3678" spans="2:7">
      <c r="B3678" s="848" t="str">
        <f>+'4M'!BK10</f>
        <v>S3036GHD</v>
      </c>
      <c r="D3678" s="2004"/>
      <c r="E3678" s="1658" t="s">
        <v>9033</v>
      </c>
      <c r="F3678" s="2004"/>
      <c r="G3678" s="2004">
        <f>IF('4M'!I10="","##BLANK",'4M'!I10)</f>
        <v>0</v>
      </c>
    </row>
    <row r="3679" spans="2:7">
      <c r="B3679" s="848" t="str">
        <f>+'4M'!BK11</f>
        <v>S3004HD</v>
      </c>
      <c r="D3679" s="2004"/>
      <c r="E3679" s="1658" t="s">
        <v>9033</v>
      </c>
      <c r="F3679" s="2004"/>
      <c r="G3679" s="2004">
        <f>IF('4M'!I11="","##BLANK",'4M'!I11)</f>
        <v>0</v>
      </c>
    </row>
    <row r="3680" spans="2:7">
      <c r="B3680" s="848" t="str">
        <f>+'4M'!BK12</f>
        <v>WWS2001HD</v>
      </c>
      <c r="D3680" s="2004"/>
      <c r="E3680" s="1658" t="s">
        <v>9033</v>
      </c>
      <c r="F3680" s="2004"/>
      <c r="G3680" s="2004">
        <f>IF('4M'!I12="","##BLANK",'4M'!I12)</f>
        <v>0</v>
      </c>
    </row>
    <row r="3681" spans="2:7">
      <c r="B3681" s="848" t="str">
        <f>+'4M'!BK13</f>
        <v>S3005HD</v>
      </c>
      <c r="D3681" s="2004"/>
      <c r="E3681" s="1658" t="s">
        <v>9033</v>
      </c>
      <c r="F3681" s="2004"/>
      <c r="G3681" s="2004">
        <f>IF('4M'!I13="","##BLANK",'4M'!I13)</f>
        <v>0</v>
      </c>
    </row>
    <row r="3682" spans="2:7">
      <c r="B3682" s="848" t="str">
        <f>+'4M'!BK14</f>
        <v>S3006HD</v>
      </c>
      <c r="D3682" s="2004"/>
      <c r="E3682" s="1658" t="s">
        <v>9033</v>
      </c>
      <c r="F3682" s="2004"/>
      <c r="G3682" s="2004">
        <f>IF('4M'!I14="","##BLANK",'4M'!I14)</f>
        <v>0</v>
      </c>
    </row>
    <row r="3683" spans="2:7">
      <c r="B3683" s="848" t="str">
        <f>+'4M'!BK15</f>
        <v>S3007HD</v>
      </c>
      <c r="D3683" s="2004"/>
      <c r="E3683" s="1658" t="s">
        <v>9033</v>
      </c>
      <c r="F3683" s="2004"/>
      <c r="G3683" s="2004">
        <f>IF('4M'!I15="","##BLANK",'4M'!I15)</f>
        <v>0</v>
      </c>
    </row>
    <row r="3684" spans="2:7">
      <c r="B3684" s="848" t="str">
        <f>+'4M'!BK16</f>
        <v>WWS2002HD</v>
      </c>
      <c r="D3684" s="2004"/>
      <c r="E3684" s="1658" t="s">
        <v>9033</v>
      </c>
      <c r="F3684" s="2004"/>
      <c r="G3684" s="2004">
        <f>IF('4M'!I16="","##BLANK",'4M'!I16)</f>
        <v>0</v>
      </c>
    </row>
    <row r="3685" spans="2:7">
      <c r="B3685" s="848" t="str">
        <f>+'4M'!BK17</f>
        <v>WWS2003HD</v>
      </c>
      <c r="D3685" s="2004"/>
      <c r="E3685" s="1658" t="s">
        <v>9033</v>
      </c>
      <c r="F3685" s="2004"/>
      <c r="G3685" s="2004">
        <f>IF('4M'!I17="","##BLANK",'4M'!I17)</f>
        <v>0</v>
      </c>
    </row>
    <row r="3686" spans="2:7">
      <c r="B3686" s="848" t="str">
        <f>+'4M'!BK18</f>
        <v>S3008HD</v>
      </c>
      <c r="D3686" s="2004"/>
      <c r="E3686" s="1658" t="s">
        <v>9033</v>
      </c>
      <c r="F3686" s="2004"/>
      <c r="G3686" s="2004">
        <f>IF('4M'!I18="","##BLANK",'4M'!I18)</f>
        <v>0.57499999999999996</v>
      </c>
    </row>
    <row r="3687" spans="2:7">
      <c r="B3687" s="848" t="str">
        <f>+'4M'!BK19</f>
        <v>S3009HD</v>
      </c>
      <c r="D3687" s="2004"/>
      <c r="E3687" s="1658" t="s">
        <v>9033</v>
      </c>
      <c r="F3687" s="2004"/>
      <c r="G3687" s="2004">
        <f>IF('4M'!I19="","##BLANK",'4M'!I19)</f>
        <v>0</v>
      </c>
    </row>
    <row r="3688" spans="2:7">
      <c r="B3688" s="848" t="str">
        <f>+'4M'!BK20</f>
        <v>WWS2007HD</v>
      </c>
      <c r="D3688" s="2004"/>
      <c r="E3688" s="1658" t="s">
        <v>9033</v>
      </c>
      <c r="F3688" s="2004"/>
      <c r="G3688" s="2004">
        <f>IF('4M'!I20="","##BLANK",'4M'!I20)</f>
        <v>0</v>
      </c>
    </row>
    <row r="3689" spans="2:7">
      <c r="B3689" s="848" t="str">
        <f>+'4M'!BK21</f>
        <v>S3010HD</v>
      </c>
      <c r="D3689" s="2004"/>
      <c r="E3689" s="1658" t="s">
        <v>9033</v>
      </c>
      <c r="F3689" s="2004"/>
      <c r="G3689" s="2004">
        <f>IF('4M'!I21="","##BLANK",'4M'!I21)</f>
        <v>0</v>
      </c>
    </row>
    <row r="3690" spans="2:7">
      <c r="B3690" s="848" t="str">
        <f>+'4M'!BK22</f>
        <v>S3011HD</v>
      </c>
      <c r="D3690" s="2004"/>
      <c r="E3690" s="1658" t="s">
        <v>9033</v>
      </c>
      <c r="F3690" s="2004"/>
      <c r="G3690" s="2004">
        <f>IF('4M'!I22="","##BLANK",'4M'!I22)</f>
        <v>1E-3</v>
      </c>
    </row>
    <row r="3691" spans="2:7">
      <c r="B3691" s="848" t="str">
        <f>+'4M'!BK23</f>
        <v>S3012HD</v>
      </c>
      <c r="D3691" s="2004"/>
      <c r="E3691" s="1658" t="s">
        <v>9033</v>
      </c>
      <c r="F3691" s="2004"/>
      <c r="G3691" s="2004">
        <f>IF('4M'!I23="","##BLANK",'4M'!I23)</f>
        <v>0</v>
      </c>
    </row>
    <row r="3692" spans="2:7">
      <c r="B3692" s="848" t="str">
        <f>+'4M'!BK24</f>
        <v>S3013HD</v>
      </c>
      <c r="D3692" s="2004"/>
      <c r="E3692" s="1658" t="s">
        <v>9033</v>
      </c>
      <c r="F3692" s="2004"/>
      <c r="G3692" s="2004">
        <f>IF('4M'!I24="","##BLANK",'4M'!I24)</f>
        <v>0</v>
      </c>
    </row>
    <row r="3693" spans="2:7">
      <c r="B3693" s="848" t="str">
        <f>+'4M'!BK25</f>
        <v>S3014HD</v>
      </c>
      <c r="D3693" s="2004"/>
      <c r="E3693" s="1658" t="s">
        <v>9033</v>
      </c>
      <c r="F3693" s="2004"/>
      <c r="G3693" s="2004">
        <f>IF('4M'!I25="","##BLANK",'4M'!I25)</f>
        <v>0</v>
      </c>
    </row>
    <row r="3694" spans="2:7">
      <c r="B3694" s="848" t="str">
        <f>+'4M'!BK26</f>
        <v>S3015HD</v>
      </c>
      <c r="D3694" s="2004"/>
      <c r="E3694" s="1658" t="s">
        <v>9033</v>
      </c>
      <c r="F3694" s="2004"/>
      <c r="G3694" s="2004">
        <f>IF('4M'!I26="","##BLANK",'4M'!I26)</f>
        <v>3.0000000000000001E-3</v>
      </c>
    </row>
    <row r="3695" spans="2:7">
      <c r="B3695" s="848" t="str">
        <f>+'4M'!BK27</f>
        <v>S3016HD</v>
      </c>
      <c r="D3695" s="2004"/>
      <c r="E3695" s="1658" t="s">
        <v>9033</v>
      </c>
      <c r="F3695" s="2004"/>
      <c r="G3695" s="2004">
        <f>IF('4M'!I27="","##BLANK",'4M'!I27)</f>
        <v>0</v>
      </c>
    </row>
    <row r="3696" spans="2:7">
      <c r="B3696" s="848" t="str">
        <f>+'4M'!BK28</f>
        <v>S3017HD</v>
      </c>
      <c r="D3696" s="2004"/>
      <c r="E3696" s="1658" t="s">
        <v>9033</v>
      </c>
      <c r="F3696" s="2004"/>
      <c r="G3696" s="2004">
        <f>IF('4M'!I28="","##BLANK",'4M'!I28)</f>
        <v>0</v>
      </c>
    </row>
    <row r="3697" spans="2:7">
      <c r="B3697" s="848" t="str">
        <f>+'4M'!BK29</f>
        <v>S3018HD</v>
      </c>
      <c r="D3697" s="2004"/>
      <c r="E3697" s="1658" t="s">
        <v>9033</v>
      </c>
      <c r="F3697" s="2004"/>
      <c r="G3697" s="2004">
        <f>IF('4M'!I29="","##BLANK",'4M'!I29)</f>
        <v>0</v>
      </c>
    </row>
    <row r="3698" spans="2:7">
      <c r="B3698" s="848" t="str">
        <f>+'4M'!BK30</f>
        <v>S3019HD</v>
      </c>
      <c r="D3698" s="2004"/>
      <c r="E3698" s="1658" t="s">
        <v>9033</v>
      </c>
      <c r="F3698" s="2004"/>
      <c r="G3698" s="2004">
        <f>IF('4M'!I30="","##BLANK",'4M'!I30)</f>
        <v>0</v>
      </c>
    </row>
    <row r="3699" spans="2:7">
      <c r="B3699" s="848" t="str">
        <f>+'4M'!BK31</f>
        <v>S3020HD</v>
      </c>
      <c r="D3699" s="2004"/>
      <c r="E3699" s="1658" t="s">
        <v>9033</v>
      </c>
      <c r="F3699" s="2004"/>
      <c r="G3699" s="2004">
        <f>IF('4M'!I31="","##BLANK",'4M'!I31)</f>
        <v>0.59099999999999997</v>
      </c>
    </row>
    <row r="3700" spans="2:7">
      <c r="B3700" s="848" t="str">
        <f>+'4M'!BK32</f>
        <v>S3021HD</v>
      </c>
      <c r="D3700" s="2004"/>
      <c r="E3700" s="1658" t="s">
        <v>9033</v>
      </c>
      <c r="F3700" s="2004"/>
      <c r="G3700" s="2004">
        <f>IF('4M'!I32="","##BLANK",'4M'!I32)</f>
        <v>0</v>
      </c>
    </row>
    <row r="3701" spans="2:7">
      <c r="B3701" s="848" t="str">
        <f>+'4M'!BK33</f>
        <v>S3022HD</v>
      </c>
      <c r="D3701" s="2004"/>
      <c r="E3701" s="1658" t="s">
        <v>9033</v>
      </c>
      <c r="F3701" s="2004"/>
      <c r="G3701" s="2004">
        <f>IF('4M'!I33="","##BLANK",'4M'!I33)</f>
        <v>0</v>
      </c>
    </row>
    <row r="3702" spans="2:7">
      <c r="B3702" s="848" t="str">
        <f>+'4M'!BK34</f>
        <v>BC31785HD</v>
      </c>
      <c r="D3702" s="2004"/>
      <c r="E3702" s="1658" t="s">
        <v>9033</v>
      </c>
      <c r="F3702" s="2004"/>
      <c r="G3702" s="2004">
        <f>IF('4M'!I34="","##BLANK",'4M'!I34)</f>
        <v>0.23599999999999999</v>
      </c>
    </row>
    <row r="3703" spans="2:7">
      <c r="B3703" s="848" t="str">
        <f>+'4M'!BK35</f>
        <v>S3023HD</v>
      </c>
      <c r="D3703" s="2004"/>
      <c r="E3703" s="1658" t="s">
        <v>9033</v>
      </c>
      <c r="F3703" s="2004"/>
      <c r="G3703" s="2004">
        <f>IF('4M'!I35="","##BLANK",'4M'!I35)</f>
        <v>0.98499999999999999</v>
      </c>
    </row>
    <row r="3704" spans="2:7">
      <c r="B3704" s="848" t="str">
        <f>+'4M'!BK36</f>
        <v>S3024HD</v>
      </c>
      <c r="D3704" s="2004"/>
      <c r="E3704" s="1658" t="s">
        <v>9033</v>
      </c>
      <c r="F3704" s="2004"/>
      <c r="G3704" s="2004">
        <f>IF('4M'!I36="","##BLANK",'4M'!I36)</f>
        <v>1.367</v>
      </c>
    </row>
    <row r="3705" spans="2:7">
      <c r="B3705" s="848" t="str">
        <f>+'4M'!BK37</f>
        <v>S3A00001HD</v>
      </c>
      <c r="D3705" s="2004"/>
      <c r="E3705" s="1658" t="s">
        <v>9033</v>
      </c>
      <c r="F3705" s="2004" t="str">
        <f>+'4M'!C$37</f>
        <v>Bathing water ELoS</v>
      </c>
      <c r="G3705" s="2004">
        <f>IF('4M'!I37="","##BLANK",'4M'!I37)</f>
        <v>0</v>
      </c>
    </row>
    <row r="3706" spans="2:7">
      <c r="B3706" s="848" t="str">
        <f>+'4M'!BK38</f>
        <v>S3A00002HD</v>
      </c>
      <c r="D3706" s="2004"/>
      <c r="E3706" s="1658" t="s">
        <v>9033</v>
      </c>
      <c r="F3706" s="2004" t="str">
        <f>+'4M'!C$38</f>
        <v>Pollution ELoS</v>
      </c>
      <c r="G3706" s="2004">
        <f>IF('4M'!I38="","##BLANK",'4M'!I38)</f>
        <v>0</v>
      </c>
    </row>
    <row r="3707" spans="2:7">
      <c r="B3707" s="848" t="str">
        <f>+'4M'!BK39</f>
        <v>S3A00003HD</v>
      </c>
      <c r="D3707" s="2004"/>
      <c r="E3707" s="1658" t="s">
        <v>9033</v>
      </c>
      <c r="F3707" s="2004" t="str">
        <f>+'4M'!C$39</f>
        <v>Connections (if applicable)</v>
      </c>
      <c r="G3707" s="2004">
        <f>IF('4M'!I39="","##BLANK",'4M'!I39)</f>
        <v>0</v>
      </c>
    </row>
    <row r="3708" spans="2:7">
      <c r="B3708" s="848" t="str">
        <f>+'4M'!BK40</f>
        <v>S3A00004HD</v>
      </c>
      <c r="D3708" s="2004"/>
      <c r="E3708" s="1658" t="s">
        <v>9033</v>
      </c>
      <c r="F3708" s="2004" t="str">
        <f>+'4M'!C$40</f>
        <v>Emergency Overflow Appeals</v>
      </c>
      <c r="G3708" s="2004">
        <f>IF('4M'!I40="","##BLANK",'4M'!I40)</f>
        <v>7.0000000000000001E-3</v>
      </c>
    </row>
    <row r="3709" spans="2:7">
      <c r="B3709" s="848" t="str">
        <f>+'4M'!BK41</f>
        <v>S3A00005HD</v>
      </c>
      <c r="D3709" s="2004"/>
      <c r="E3709" s="1658" t="s">
        <v>9033</v>
      </c>
      <c r="F3709" s="2004" t="str">
        <f>+'4M'!C$41</f>
        <v>Exclusions</v>
      </c>
      <c r="G3709" s="2004">
        <f>IF('4M'!I41="","##BLANK",'4M'!I41)</f>
        <v>0</v>
      </c>
    </row>
    <row r="3710" spans="2:7">
      <c r="B3710" s="848" t="str">
        <f>+'4M'!BK42</f>
        <v>S3A00006HD</v>
      </c>
      <c r="D3710" s="2004"/>
      <c r="E3710" s="1658" t="s">
        <v>9033</v>
      </c>
      <c r="F3710" s="2004" t="str">
        <f>+'4M'!C$42</f>
        <v>Pollution - UQ</v>
      </c>
      <c r="G3710" s="2004">
        <f>IF('4M'!I42="","##BLANK",'4M'!I42)</f>
        <v>4.7939999999999996</v>
      </c>
    </row>
    <row r="3711" spans="2:7">
      <c r="B3711" s="848" t="str">
        <f>+'4M'!BK43</f>
        <v>S3A00007HD</v>
      </c>
      <c r="D3711" s="2004"/>
      <c r="E3711" s="1658" t="s">
        <v>9033</v>
      </c>
      <c r="F3711" s="2004" t="str">
        <f>+'4M'!C$43</f>
        <v>Internal Flooding - UQ</v>
      </c>
      <c r="G3711" s="2004">
        <f>IF('4M'!I43="","##BLANK",'4M'!I43)</f>
        <v>4.5979999999999999</v>
      </c>
    </row>
    <row r="3712" spans="2:7">
      <c r="B3712" s="848" t="str">
        <f>+'4M'!BK44</f>
        <v>S3A00008HD</v>
      </c>
      <c r="D3712" s="2004"/>
      <c r="E3712" s="1658" t="s">
        <v>9033</v>
      </c>
      <c r="F3712" s="2004" t="str">
        <f>+'4M'!C$44</f>
        <v>Infrastructure network reinforcement</v>
      </c>
      <c r="G3712" s="2004">
        <f>IF('4M'!I44="","##BLANK",'4M'!I44)</f>
        <v>0.498</v>
      </c>
    </row>
    <row r="3713" spans="2:7">
      <c r="B3713" s="848" t="str">
        <f>+'4M'!BK45</f>
        <v>S3A00009HD</v>
      </c>
      <c r="D3713" s="2004"/>
      <c r="E3713" s="1658" t="s">
        <v>9033</v>
      </c>
      <c r="F3713" s="2004" t="str">
        <f>+'4M'!C$45</f>
        <v>2020-25 Transition Expenditure - Capex</v>
      </c>
      <c r="G3713" s="2004">
        <f>IF('4M'!I45="","##BLANK",'4M'!I45)</f>
        <v>0</v>
      </c>
    </row>
    <row r="3714" spans="2:7">
      <c r="B3714" s="848" t="str">
        <f>+'4M'!BK46</f>
        <v>S3A00010HD</v>
      </c>
      <c r="D3714" s="2004"/>
      <c r="E3714" s="1658" t="s">
        <v>9033</v>
      </c>
      <c r="F3714" s="2004" t="str">
        <f>+'4M'!C$46</f>
        <v>Capital expenditure purpose - WASTEWATER additional line 10 [Other categories]</v>
      </c>
      <c r="G3714" s="2004">
        <f>IF('4M'!I46="","##BLANK",'4M'!I46)</f>
        <v>0</v>
      </c>
    </row>
    <row r="3715" spans="2:7">
      <c r="B3715" s="848" t="str">
        <f>+'4M'!BK47</f>
        <v>S3A00011HD</v>
      </c>
      <c r="D3715" s="2004"/>
      <c r="E3715" s="1658" t="s">
        <v>9033</v>
      </c>
      <c r="F3715" s="2004" t="str">
        <f>+'4M'!C$47</f>
        <v>Capital expenditure purpose - WASTEWATER additional line 11 [Other categories]</v>
      </c>
      <c r="G3715" s="2004">
        <f>IF('4M'!I47="","##BLANK",'4M'!I47)</f>
        <v>0</v>
      </c>
    </row>
    <row r="3716" spans="2:7">
      <c r="B3716" s="848" t="str">
        <f>+'4M'!BK48</f>
        <v>S3A00012HD</v>
      </c>
      <c r="D3716" s="2004"/>
      <c r="E3716" s="1658" t="s">
        <v>9033</v>
      </c>
      <c r="F3716" s="2004" t="str">
        <f>+'4M'!C$48</f>
        <v>Capital expenditure purpose - WASTEWATER additional line 12 [Other categories]</v>
      </c>
      <c r="G3716" s="2004">
        <f>IF('4M'!I48="","##BLANK",'4M'!I48)</f>
        <v>0</v>
      </c>
    </row>
    <row r="3717" spans="2:7">
      <c r="B3717" s="848" t="str">
        <f>+'4M'!BK49</f>
        <v>S3A00013HD</v>
      </c>
      <c r="D3717" s="2004"/>
      <c r="E3717" s="1658" t="s">
        <v>9033</v>
      </c>
      <c r="F3717" s="2004" t="str">
        <f>+'4M'!C$49</f>
        <v>Capital expenditure purpose - WASTEWATER additional line 13 [Other categories]</v>
      </c>
      <c r="G3717" s="2004">
        <f>IF('4M'!I49="","##BLANK",'4M'!I49)</f>
        <v>0</v>
      </c>
    </row>
    <row r="3718" spans="2:7">
      <c r="B3718" s="848" t="str">
        <f>+'4M'!BK50</f>
        <v>S3A00014HD</v>
      </c>
      <c r="D3718" s="2004"/>
      <c r="E3718" s="1658" t="s">
        <v>9033</v>
      </c>
      <c r="F3718" s="2004" t="str">
        <f>+'4M'!C$50</f>
        <v>Capital expenditure purpose - WASTEWATER additional line 14 [Other categories]</v>
      </c>
      <c r="G3718" s="2004">
        <f>IF('4M'!I50="","##BLANK",'4M'!I50)</f>
        <v>0</v>
      </c>
    </row>
    <row r="3719" spans="2:7">
      <c r="B3719" s="848" t="str">
        <f>+'4M'!BK51</f>
        <v>S3A00015HD</v>
      </c>
      <c r="D3719" s="2004"/>
      <c r="E3719" s="1658" t="s">
        <v>9033</v>
      </c>
      <c r="F3719" s="2004" t="str">
        <f>+'4M'!C$51</f>
        <v>Capital expenditure purpose - WASTEWATER additional line 15 [Other categories]</v>
      </c>
      <c r="G3719" s="2004">
        <f>IF('4M'!I51="","##BLANK",'4M'!I51)</f>
        <v>0</v>
      </c>
    </row>
    <row r="3720" spans="2:7">
      <c r="B3720" s="848" t="str">
        <f>+'4M'!BK52</f>
        <v>S3025ENHHD</v>
      </c>
      <c r="D3720" s="2004"/>
      <c r="E3720" s="1658" t="s">
        <v>9033</v>
      </c>
      <c r="F3720" s="2004"/>
      <c r="G3720" s="2004">
        <f>IF('4M'!I52="","##BLANK",'4M'!I52)</f>
        <v>13.659999999999998</v>
      </c>
    </row>
    <row r="3721" spans="2:7">
      <c r="B3721" s="848" t="str">
        <f>+'4M'!BL8</f>
        <v>BC31379STD</v>
      </c>
      <c r="D3721" s="2004"/>
      <c r="E3721" s="1658" t="s">
        <v>9033</v>
      </c>
      <c r="F3721" s="2004"/>
      <c r="G3721" s="2004">
        <f>IF('4M'!J8="","##BLANK",'4M'!J8)</f>
        <v>0</v>
      </c>
    </row>
    <row r="3722" spans="2:7">
      <c r="B3722" s="848" t="str">
        <f>+'4M'!BL9</f>
        <v>S3035QSTD</v>
      </c>
      <c r="D3722" s="2004"/>
      <c r="E3722" s="1658" t="s">
        <v>9033</v>
      </c>
      <c r="F3722" s="2004"/>
      <c r="G3722" s="2004">
        <f>IF('4M'!J9="","##BLANK",'4M'!J9)</f>
        <v>0.01</v>
      </c>
    </row>
    <row r="3723" spans="2:7">
      <c r="B3723" s="848" t="str">
        <f>+'4M'!BL10</f>
        <v>S3036GSTD</v>
      </c>
      <c r="D3723" s="2004"/>
      <c r="E3723" s="1658" t="s">
        <v>9033</v>
      </c>
      <c r="F3723" s="2004"/>
      <c r="G3723" s="2004">
        <f>IF('4M'!J10="","##BLANK",'4M'!J10)</f>
        <v>0</v>
      </c>
    </row>
    <row r="3724" spans="2:7">
      <c r="B3724" s="848" t="str">
        <f>+'4M'!BL11</f>
        <v>S3004STD</v>
      </c>
      <c r="D3724" s="2004"/>
      <c r="E3724" s="1658" t="s">
        <v>9033</v>
      </c>
      <c r="F3724" s="2004"/>
      <c r="G3724" s="2004">
        <f>IF('4M'!J11="","##BLANK",'4M'!J11)</f>
        <v>0</v>
      </c>
    </row>
    <row r="3725" spans="2:7">
      <c r="B3725" s="848" t="str">
        <f>+'4M'!BL12</f>
        <v>WWS2001STD</v>
      </c>
      <c r="D3725" s="2004"/>
      <c r="E3725" s="1658" t="s">
        <v>9033</v>
      </c>
      <c r="F3725" s="2004"/>
      <c r="G3725" s="2004">
        <f>IF('4M'!J12="","##BLANK",'4M'!J12)</f>
        <v>0</v>
      </c>
    </row>
    <row r="3726" spans="2:7">
      <c r="B3726" s="848" t="str">
        <f>+'4M'!BL13</f>
        <v>S3005STD</v>
      </c>
      <c r="D3726" s="2004"/>
      <c r="E3726" s="1658" t="s">
        <v>9033</v>
      </c>
      <c r="F3726" s="2004"/>
      <c r="G3726" s="2004">
        <f>IF('4M'!J13="","##BLANK",'4M'!J13)</f>
        <v>1.5529999999999999</v>
      </c>
    </row>
    <row r="3727" spans="2:7">
      <c r="B3727" s="848" t="str">
        <f>+'4M'!BL14</f>
        <v>S3006STD</v>
      </c>
      <c r="D3727" s="2004"/>
      <c r="E3727" s="1658" t="s">
        <v>9033</v>
      </c>
      <c r="F3727" s="2004"/>
      <c r="G3727" s="2004">
        <f>IF('4M'!J14="","##BLANK",'4M'!J14)</f>
        <v>0.30499999999999999</v>
      </c>
    </row>
    <row r="3728" spans="2:7">
      <c r="B3728" s="848" t="str">
        <f>+'4M'!BL15</f>
        <v>S3007STD</v>
      </c>
      <c r="D3728" s="2004"/>
      <c r="E3728" s="1658" t="s">
        <v>9033</v>
      </c>
      <c r="F3728" s="2004"/>
      <c r="G3728" s="2004">
        <f>IF('4M'!J15="","##BLANK",'4M'!J15)</f>
        <v>0</v>
      </c>
    </row>
    <row r="3729" spans="2:7">
      <c r="B3729" s="848" t="str">
        <f>+'4M'!BL16</f>
        <v>WWS2002STD</v>
      </c>
      <c r="D3729" s="2004"/>
      <c r="E3729" s="1658" t="s">
        <v>9033</v>
      </c>
      <c r="F3729" s="2004"/>
      <c r="G3729" s="2004">
        <f>IF('4M'!J16="","##BLANK",'4M'!J16)</f>
        <v>0</v>
      </c>
    </row>
    <row r="3730" spans="2:7">
      <c r="B3730" s="848" t="str">
        <f>+'4M'!BL17</f>
        <v>WWS2003STD</v>
      </c>
      <c r="D3730" s="2004"/>
      <c r="E3730" s="1658" t="s">
        <v>9033</v>
      </c>
      <c r="F3730" s="2004"/>
      <c r="G3730" s="2004">
        <f>IF('4M'!J17="","##BLANK",'4M'!J17)</f>
        <v>0</v>
      </c>
    </row>
    <row r="3731" spans="2:7">
      <c r="B3731" s="848" t="str">
        <f>+'4M'!BL18</f>
        <v>S3008STD</v>
      </c>
      <c r="D3731" s="2004"/>
      <c r="E3731" s="1658" t="s">
        <v>9033</v>
      </c>
      <c r="F3731" s="2004"/>
      <c r="G3731" s="2004">
        <f>IF('4M'!J18="","##BLANK",'4M'!J18)</f>
        <v>1.6E-2</v>
      </c>
    </row>
    <row r="3732" spans="2:7">
      <c r="B3732" s="848" t="str">
        <f>+'4M'!BL19</f>
        <v>S3009STD</v>
      </c>
      <c r="D3732" s="2004"/>
      <c r="E3732" s="1658" t="s">
        <v>9033</v>
      </c>
      <c r="F3732" s="2004"/>
      <c r="G3732" s="2004">
        <f>IF('4M'!J19="","##BLANK",'4M'!J19)</f>
        <v>0.36299999999999999</v>
      </c>
    </row>
    <row r="3733" spans="2:7">
      <c r="B3733" s="848" t="str">
        <f>+'4M'!BL20</f>
        <v>WWS2007STD</v>
      </c>
      <c r="D3733" s="2004"/>
      <c r="E3733" s="1658" t="s">
        <v>9033</v>
      </c>
      <c r="F3733" s="2004"/>
      <c r="G3733" s="2004">
        <f>IF('4M'!J20="","##BLANK",'4M'!J20)</f>
        <v>0</v>
      </c>
    </row>
    <row r="3734" spans="2:7">
      <c r="B3734" s="848" t="str">
        <f>+'4M'!BL21</f>
        <v>S3010STD</v>
      </c>
      <c r="D3734" s="2004"/>
      <c r="E3734" s="1658" t="s">
        <v>9033</v>
      </c>
      <c r="F3734" s="2004"/>
      <c r="G3734" s="2004">
        <f>IF('4M'!J21="","##BLANK",'4M'!J21)</f>
        <v>0</v>
      </c>
    </row>
    <row r="3735" spans="2:7">
      <c r="B3735" s="848" t="str">
        <f>+'4M'!BL22</f>
        <v>S3011STD</v>
      </c>
      <c r="D3735" s="2004"/>
      <c r="E3735" s="1658" t="s">
        <v>9033</v>
      </c>
      <c r="F3735" s="2004"/>
      <c r="G3735" s="2004">
        <f>IF('4M'!J22="","##BLANK",'4M'!J22)</f>
        <v>0.249</v>
      </c>
    </row>
    <row r="3736" spans="2:7">
      <c r="B3736" s="848" t="str">
        <f>+'4M'!BL23</f>
        <v>S3012STD</v>
      </c>
      <c r="D3736" s="2004"/>
      <c r="E3736" s="1658" t="s">
        <v>9033</v>
      </c>
      <c r="F3736" s="2004"/>
      <c r="G3736" s="2004">
        <f>IF('4M'!J23="","##BLANK",'4M'!J23)</f>
        <v>0</v>
      </c>
    </row>
    <row r="3737" spans="2:7">
      <c r="B3737" s="848" t="str">
        <f>+'4M'!BL24</f>
        <v>S3013STD</v>
      </c>
      <c r="D3737" s="2004"/>
      <c r="E3737" s="1658" t="s">
        <v>9033</v>
      </c>
      <c r="F3737" s="2004"/>
      <c r="G3737" s="2004">
        <f>IF('4M'!J24="","##BLANK",'4M'!J24)</f>
        <v>2.7010000000000001</v>
      </c>
    </row>
    <row r="3738" spans="2:7">
      <c r="B3738" s="848" t="str">
        <f>+'4M'!BL25</f>
        <v>S3014STD</v>
      </c>
      <c r="D3738" s="2004"/>
      <c r="E3738" s="1658" t="s">
        <v>9033</v>
      </c>
      <c r="F3738" s="2004"/>
      <c r="G3738" s="2004">
        <f>IF('4M'!J25="","##BLANK",'4M'!J25)</f>
        <v>15.391999999999999</v>
      </c>
    </row>
    <row r="3739" spans="2:7">
      <c r="B3739" s="848" t="str">
        <f>+'4M'!BL26</f>
        <v>S3015STD</v>
      </c>
      <c r="D3739" s="2004"/>
      <c r="E3739" s="1658" t="s">
        <v>9033</v>
      </c>
      <c r="F3739" s="2004"/>
      <c r="G3739" s="2004">
        <f>IF('4M'!J26="","##BLANK",'4M'!J26)</f>
        <v>9.5500000000000007</v>
      </c>
    </row>
    <row r="3740" spans="2:7">
      <c r="B3740" s="848" t="str">
        <f>+'4M'!BL27</f>
        <v>S3016STD</v>
      </c>
      <c r="D3740" s="2004"/>
      <c r="E3740" s="1658" t="s">
        <v>9033</v>
      </c>
      <c r="F3740" s="2004"/>
      <c r="G3740" s="2004">
        <f>IF('4M'!J27="","##BLANK",'4M'!J27)</f>
        <v>0</v>
      </c>
    </row>
    <row r="3741" spans="2:7">
      <c r="B3741" s="848" t="str">
        <f>+'4M'!BL28</f>
        <v>S3017STD</v>
      </c>
      <c r="D3741" s="2004"/>
      <c r="E3741" s="1658" t="s">
        <v>9033</v>
      </c>
      <c r="F3741" s="2004"/>
      <c r="G3741" s="2004">
        <f>IF('4M'!J28="","##BLANK",'4M'!J28)</f>
        <v>0</v>
      </c>
    </row>
    <row r="3742" spans="2:7">
      <c r="B3742" s="848" t="str">
        <f>+'4M'!BL29</f>
        <v>S3018STD</v>
      </c>
      <c r="D3742" s="2004"/>
      <c r="E3742" s="1658" t="s">
        <v>9033</v>
      </c>
      <c r="F3742" s="2004"/>
      <c r="G3742" s="2004">
        <f>IF('4M'!J29="","##BLANK",'4M'!J29)</f>
        <v>0</v>
      </c>
    </row>
    <row r="3743" spans="2:7">
      <c r="B3743" s="848" t="str">
        <f>+'4M'!BL30</f>
        <v>S3019STD</v>
      </c>
      <c r="D3743" s="2004"/>
      <c r="E3743" s="1658" t="s">
        <v>9033</v>
      </c>
      <c r="F3743" s="2004"/>
      <c r="G3743" s="2004">
        <f>IF('4M'!J30="","##BLANK",'4M'!J30)</f>
        <v>0</v>
      </c>
    </row>
    <row r="3744" spans="2:7">
      <c r="B3744" s="848" t="str">
        <f>+'4M'!BL31</f>
        <v>S3020STD</v>
      </c>
      <c r="D3744" s="2004"/>
      <c r="E3744" s="1658" t="s">
        <v>9033</v>
      </c>
      <c r="F3744" s="2004"/>
      <c r="G3744" s="2004">
        <f>IF('4M'!J31="","##BLANK",'4M'!J31)</f>
        <v>0</v>
      </c>
    </row>
    <row r="3745" spans="2:7">
      <c r="B3745" s="848" t="str">
        <f>+'4M'!BL32</f>
        <v>S3021STD</v>
      </c>
      <c r="D3745" s="2004"/>
      <c r="E3745" s="1658" t="s">
        <v>9033</v>
      </c>
      <c r="F3745" s="2004"/>
      <c r="G3745" s="2004">
        <f>IF('4M'!J32="","##BLANK",'4M'!J32)</f>
        <v>0.89700000000000002</v>
      </c>
    </row>
    <row r="3746" spans="2:7">
      <c r="B3746" s="848" t="str">
        <f>+'4M'!BL33</f>
        <v>S3022STD</v>
      </c>
      <c r="D3746" s="2004"/>
      <c r="E3746" s="1658" t="s">
        <v>9033</v>
      </c>
      <c r="F3746" s="2004"/>
      <c r="G3746" s="2004">
        <f>IF('4M'!J33="","##BLANK",'4M'!J33)</f>
        <v>0</v>
      </c>
    </row>
    <row r="3747" spans="2:7">
      <c r="B3747" s="848" t="str">
        <f>+'4M'!BL34</f>
        <v>BC31785STD</v>
      </c>
      <c r="D3747" s="2004"/>
      <c r="E3747" s="1658" t="s">
        <v>9033</v>
      </c>
      <c r="F3747" s="2004"/>
      <c r="G3747" s="2004">
        <f>IF('4M'!J34="","##BLANK",'4M'!J34)</f>
        <v>0.60499999999999998</v>
      </c>
    </row>
    <row r="3748" spans="2:7">
      <c r="B3748" s="848" t="str">
        <f>+'4M'!BL35</f>
        <v>S3023STD</v>
      </c>
      <c r="D3748" s="2004"/>
      <c r="E3748" s="1658" t="s">
        <v>9033</v>
      </c>
      <c r="F3748" s="2004"/>
      <c r="G3748" s="2004">
        <f>IF('4M'!J35="","##BLANK",'4M'!J35)</f>
        <v>0</v>
      </c>
    </row>
    <row r="3749" spans="2:7">
      <c r="B3749" s="848" t="str">
        <f>+'4M'!BL36</f>
        <v>S3024STD</v>
      </c>
      <c r="D3749" s="2004"/>
      <c r="E3749" s="1658" t="s">
        <v>9033</v>
      </c>
      <c r="F3749" s="2004"/>
      <c r="G3749" s="2004">
        <f>IF('4M'!J36="","##BLANK",'4M'!J36)</f>
        <v>0</v>
      </c>
    </row>
    <row r="3750" spans="2:7">
      <c r="B3750" s="848" t="str">
        <f>+'4M'!BL37</f>
        <v>S3A00001STD</v>
      </c>
      <c r="D3750" s="2004"/>
      <c r="E3750" s="1658" t="s">
        <v>9033</v>
      </c>
      <c r="F3750" s="2004" t="str">
        <f>+'4M'!C$37</f>
        <v>Bathing water ELoS</v>
      </c>
      <c r="G3750" s="2004">
        <f>IF('4M'!J37="","##BLANK",'4M'!J37)</f>
        <v>0</v>
      </c>
    </row>
    <row r="3751" spans="2:7">
      <c r="B3751" s="848" t="str">
        <f>+'4M'!BL38</f>
        <v>S3A00002STD</v>
      </c>
      <c r="D3751" s="2004"/>
      <c r="E3751" s="1658" t="s">
        <v>9033</v>
      </c>
      <c r="F3751" s="2004" t="str">
        <f>+'4M'!C$38</f>
        <v>Pollution ELoS</v>
      </c>
      <c r="G3751" s="2004">
        <f>IF('4M'!J38="","##BLANK",'4M'!J38)</f>
        <v>0</v>
      </c>
    </row>
    <row r="3752" spans="2:7">
      <c r="B3752" s="848" t="str">
        <f>+'4M'!BL39</f>
        <v>S3A00003STD</v>
      </c>
      <c r="D3752" s="2004"/>
      <c r="E3752" s="1658" t="s">
        <v>9033</v>
      </c>
      <c r="F3752" s="2004" t="str">
        <f>+'4M'!C$39</f>
        <v>Connections (if applicable)</v>
      </c>
      <c r="G3752" s="2004">
        <f>IF('4M'!J39="","##BLANK",'4M'!J39)</f>
        <v>0</v>
      </c>
    </row>
    <row r="3753" spans="2:7">
      <c r="B3753" s="848" t="str">
        <f>+'4M'!BL40</f>
        <v>S3A00004STD</v>
      </c>
      <c r="D3753" s="2004"/>
      <c r="E3753" s="1658" t="s">
        <v>9033</v>
      </c>
      <c r="F3753" s="2004" t="str">
        <f>+'4M'!C$40</f>
        <v>Emergency Overflow Appeals</v>
      </c>
      <c r="G3753" s="2004">
        <f>IF('4M'!J40="","##BLANK",'4M'!J40)</f>
        <v>-2.8000000000000001E-2</v>
      </c>
    </row>
    <row r="3754" spans="2:7">
      <c r="B3754" s="848" t="str">
        <f>+'4M'!BL41</f>
        <v>S3A00005STD</v>
      </c>
      <c r="D3754" s="2004"/>
      <c r="E3754" s="1658" t="s">
        <v>9033</v>
      </c>
      <c r="F3754" s="2004" t="str">
        <f>+'4M'!C$41</f>
        <v>Exclusions</v>
      </c>
      <c r="G3754" s="2004">
        <f>IF('4M'!J41="","##BLANK",'4M'!J41)</f>
        <v>0</v>
      </c>
    </row>
    <row r="3755" spans="2:7">
      <c r="B3755" s="848" t="str">
        <f>+'4M'!BL42</f>
        <v>S3A00006STD</v>
      </c>
      <c r="D3755" s="2004"/>
      <c r="E3755" s="1658" t="s">
        <v>9033</v>
      </c>
      <c r="F3755" s="2004" t="str">
        <f>+'4M'!C$42</f>
        <v>Pollution - UQ</v>
      </c>
      <c r="G3755" s="2004">
        <f>IF('4M'!J42="","##BLANK",'4M'!J42)</f>
        <v>0</v>
      </c>
    </row>
    <row r="3756" spans="2:7">
      <c r="B3756" s="848" t="str">
        <f>+'4M'!BL43</f>
        <v>S3A00007STD</v>
      </c>
      <c r="D3756" s="2004"/>
      <c r="E3756" s="1658" t="s">
        <v>9033</v>
      </c>
      <c r="F3756" s="2004" t="str">
        <f>+'4M'!C$43</f>
        <v>Internal Flooding - UQ</v>
      </c>
      <c r="G3756" s="2004">
        <f>IF('4M'!J43="","##BLANK",'4M'!J43)</f>
        <v>0</v>
      </c>
    </row>
    <row r="3757" spans="2:7">
      <c r="B3757" s="848" t="str">
        <f>+'4M'!BL44</f>
        <v>S3A00008STD</v>
      </c>
      <c r="D3757" s="2004"/>
      <c r="E3757" s="1658" t="s">
        <v>9033</v>
      </c>
      <c r="F3757" s="2004" t="str">
        <f>+'4M'!C$44</f>
        <v>Infrastructure network reinforcement</v>
      </c>
      <c r="G3757" s="2004">
        <f>IF('4M'!J44="","##BLANK",'4M'!J44)</f>
        <v>0</v>
      </c>
    </row>
    <row r="3758" spans="2:7">
      <c r="B3758" s="848" t="str">
        <f>+'4M'!BL45</f>
        <v>S3A00009STD</v>
      </c>
      <c r="D3758" s="2004"/>
      <c r="E3758" s="1658" t="s">
        <v>9033</v>
      </c>
      <c r="F3758" s="2004" t="str">
        <f>+'4M'!C$45</f>
        <v>2020-25 Transition Expenditure - Capex</v>
      </c>
      <c r="G3758" s="2004">
        <f>IF('4M'!J45="","##BLANK",'4M'!J45)</f>
        <v>4.0419999999999998</v>
      </c>
    </row>
    <row r="3759" spans="2:7">
      <c r="B3759" s="848" t="str">
        <f>+'4M'!BL46</f>
        <v>S3A00010STD</v>
      </c>
      <c r="D3759" s="2004"/>
      <c r="E3759" s="1658" t="s">
        <v>9033</v>
      </c>
      <c r="F3759" s="2004" t="str">
        <f>+'4M'!C$46</f>
        <v>Capital expenditure purpose - WASTEWATER additional line 10 [Other categories]</v>
      </c>
      <c r="G3759" s="2004">
        <f>IF('4M'!J46="","##BLANK",'4M'!J46)</f>
        <v>0</v>
      </c>
    </row>
    <row r="3760" spans="2:7">
      <c r="B3760" s="848" t="str">
        <f>+'4M'!BL47</f>
        <v>S3A00011STD</v>
      </c>
      <c r="D3760" s="2004"/>
      <c r="E3760" s="1658" t="s">
        <v>9033</v>
      </c>
      <c r="F3760" s="2004" t="str">
        <f>+'4M'!C$47</f>
        <v>Capital expenditure purpose - WASTEWATER additional line 11 [Other categories]</v>
      </c>
      <c r="G3760" s="2004">
        <f>IF('4M'!J47="","##BLANK",'4M'!J47)</f>
        <v>0</v>
      </c>
    </row>
    <row r="3761" spans="2:7">
      <c r="B3761" s="848" t="str">
        <f>+'4M'!BL48</f>
        <v>S3A00012STD</v>
      </c>
      <c r="D3761" s="2004"/>
      <c r="E3761" s="1658" t="s">
        <v>9033</v>
      </c>
      <c r="F3761" s="2004" t="str">
        <f>+'4M'!C$48</f>
        <v>Capital expenditure purpose - WASTEWATER additional line 12 [Other categories]</v>
      </c>
      <c r="G3761" s="2004">
        <f>IF('4M'!J48="","##BLANK",'4M'!J48)</f>
        <v>0</v>
      </c>
    </row>
    <row r="3762" spans="2:7">
      <c r="B3762" s="848" t="str">
        <f>+'4M'!BL49</f>
        <v>S3A00013STD</v>
      </c>
      <c r="D3762" s="2004"/>
      <c r="E3762" s="1658" t="s">
        <v>9033</v>
      </c>
      <c r="F3762" s="2004" t="str">
        <f>+'4M'!C$49</f>
        <v>Capital expenditure purpose - WASTEWATER additional line 13 [Other categories]</v>
      </c>
      <c r="G3762" s="2004">
        <f>IF('4M'!J49="","##BLANK",'4M'!J49)</f>
        <v>0</v>
      </c>
    </row>
    <row r="3763" spans="2:7">
      <c r="B3763" s="848" t="str">
        <f>+'4M'!BL50</f>
        <v>S3A00014STD</v>
      </c>
      <c r="D3763" s="2004"/>
      <c r="E3763" s="1658" t="s">
        <v>9033</v>
      </c>
      <c r="F3763" s="2004" t="str">
        <f>+'4M'!C$50</f>
        <v>Capital expenditure purpose - WASTEWATER additional line 14 [Other categories]</v>
      </c>
      <c r="G3763" s="2004">
        <f>IF('4M'!J50="","##BLANK",'4M'!J50)</f>
        <v>0</v>
      </c>
    </row>
    <row r="3764" spans="2:7">
      <c r="B3764" s="848" t="str">
        <f>+'4M'!BL51</f>
        <v>S3A00015STD</v>
      </c>
      <c r="D3764" s="2004"/>
      <c r="E3764" s="1658" t="s">
        <v>9033</v>
      </c>
      <c r="F3764" s="2004" t="str">
        <f>+'4M'!C$51</f>
        <v>Capital expenditure purpose - WASTEWATER additional line 15 [Other categories]</v>
      </c>
      <c r="G3764" s="2004">
        <f>IF('4M'!J51="","##BLANK",'4M'!J51)</f>
        <v>0</v>
      </c>
    </row>
    <row r="3765" spans="2:7">
      <c r="B3765" s="848" t="str">
        <f>+'4M'!BL52</f>
        <v>S3025ENHSTD</v>
      </c>
      <c r="D3765" s="2004"/>
      <c r="E3765" s="1658" t="s">
        <v>9033</v>
      </c>
      <c r="F3765" s="2004"/>
      <c r="G3765" s="2004">
        <f>IF('4M'!J52="","##BLANK",'4M'!J52)</f>
        <v>35.655000000000001</v>
      </c>
    </row>
    <row r="3766" spans="2:7">
      <c r="B3766" s="848" t="str">
        <f>+'4M'!BM8</f>
        <v>BC31379SLT</v>
      </c>
      <c r="D3766" s="2004"/>
      <c r="E3766" s="1658" t="s">
        <v>9033</v>
      </c>
      <c r="F3766" s="2004"/>
      <c r="G3766" s="2004">
        <f>IF('4M'!K8="","##BLANK",'4M'!K8)</f>
        <v>0</v>
      </c>
    </row>
    <row r="3767" spans="2:7">
      <c r="B3767" s="848" t="str">
        <f>+'4M'!BM9</f>
        <v>S3035QSLT</v>
      </c>
      <c r="D3767" s="2004"/>
      <c r="E3767" s="1658" t="s">
        <v>9033</v>
      </c>
      <c r="F3767" s="2004"/>
      <c r="G3767" s="2004">
        <f>IF('4M'!K9="","##BLANK",'4M'!K9)</f>
        <v>0</v>
      </c>
    </row>
    <row r="3768" spans="2:7">
      <c r="B3768" s="848" t="str">
        <f>+'4M'!BM10</f>
        <v>S3036GSLT</v>
      </c>
      <c r="D3768" s="2004"/>
      <c r="E3768" s="1658" t="s">
        <v>9033</v>
      </c>
      <c r="F3768" s="2004"/>
      <c r="G3768" s="2004">
        <f>IF('4M'!K10="","##BLANK",'4M'!K10)</f>
        <v>0</v>
      </c>
    </row>
    <row r="3769" spans="2:7">
      <c r="B3769" s="848" t="str">
        <f>+'4M'!BM11</f>
        <v>S3004SLT</v>
      </c>
      <c r="D3769" s="2004"/>
      <c r="E3769" s="1658" t="s">
        <v>9033</v>
      </c>
      <c r="F3769" s="2004"/>
      <c r="G3769" s="2004">
        <f>IF('4M'!K11="","##BLANK",'4M'!K11)</f>
        <v>0</v>
      </c>
    </row>
    <row r="3770" spans="2:7">
      <c r="B3770" s="848" t="str">
        <f>+'4M'!BM12</f>
        <v>WWS2001SLT</v>
      </c>
      <c r="D3770" s="2004"/>
      <c r="E3770" s="1658" t="s">
        <v>9033</v>
      </c>
      <c r="F3770" s="2004"/>
      <c r="G3770" s="2004">
        <f>IF('4M'!K12="","##BLANK",'4M'!K12)</f>
        <v>0</v>
      </c>
    </row>
    <row r="3771" spans="2:7">
      <c r="B3771" s="848" t="str">
        <f>+'4M'!BM13</f>
        <v>S3005SLT</v>
      </c>
      <c r="D3771" s="2004"/>
      <c r="E3771" s="1658" t="s">
        <v>9033</v>
      </c>
      <c r="F3771" s="2004"/>
      <c r="G3771" s="2004">
        <f>IF('4M'!K13="","##BLANK",'4M'!K13)</f>
        <v>0</v>
      </c>
    </row>
    <row r="3772" spans="2:7">
      <c r="B3772" s="848" t="str">
        <f>+'4M'!BM14</f>
        <v>S3006SLT</v>
      </c>
      <c r="D3772" s="2004"/>
      <c r="E3772" s="1658" t="s">
        <v>9033</v>
      </c>
      <c r="F3772" s="2004"/>
      <c r="G3772" s="2004">
        <f>IF('4M'!K14="","##BLANK",'4M'!K14)</f>
        <v>0</v>
      </c>
    </row>
    <row r="3773" spans="2:7">
      <c r="B3773" s="848" t="str">
        <f>+'4M'!BM15</f>
        <v>S3007SLT</v>
      </c>
      <c r="D3773" s="2004"/>
      <c r="E3773" s="1658" t="s">
        <v>9033</v>
      </c>
      <c r="F3773" s="2004"/>
      <c r="G3773" s="2004">
        <f>IF('4M'!K15="","##BLANK",'4M'!K15)</f>
        <v>0</v>
      </c>
    </row>
    <row r="3774" spans="2:7">
      <c r="B3774" s="848" t="str">
        <f>+'4M'!BM16</f>
        <v>WWS2002SLT</v>
      </c>
      <c r="D3774" s="2004"/>
      <c r="E3774" s="1658" t="s">
        <v>9033</v>
      </c>
      <c r="F3774" s="2004"/>
      <c r="G3774" s="2004">
        <f>IF('4M'!K16="","##BLANK",'4M'!K16)</f>
        <v>0</v>
      </c>
    </row>
    <row r="3775" spans="2:7">
      <c r="B3775" s="848" t="str">
        <f>+'4M'!BM17</f>
        <v>WWS2003SLT</v>
      </c>
      <c r="D3775" s="2004"/>
      <c r="E3775" s="1658" t="s">
        <v>9033</v>
      </c>
      <c r="F3775" s="2004"/>
      <c r="G3775" s="2004">
        <f>IF('4M'!K17="","##BLANK",'4M'!K17)</f>
        <v>0</v>
      </c>
    </row>
    <row r="3776" spans="2:7">
      <c r="B3776" s="848" t="str">
        <f>+'4M'!BM18</f>
        <v>S3008SLT</v>
      </c>
      <c r="D3776" s="2004"/>
      <c r="E3776" s="1658" t="s">
        <v>9033</v>
      </c>
      <c r="F3776" s="2004"/>
      <c r="G3776" s="2004">
        <f>IF('4M'!K18="","##BLANK",'4M'!K18)</f>
        <v>0</v>
      </c>
    </row>
    <row r="3777" spans="2:7">
      <c r="B3777" s="848" t="str">
        <f>+'4M'!BM19</f>
        <v>S3009SLT</v>
      </c>
      <c r="D3777" s="2004"/>
      <c r="E3777" s="1658" t="s">
        <v>9033</v>
      </c>
      <c r="F3777" s="2004"/>
      <c r="G3777" s="2004">
        <f>IF('4M'!K19="","##BLANK",'4M'!K19)</f>
        <v>0</v>
      </c>
    </row>
    <row r="3778" spans="2:7">
      <c r="B3778" s="848" t="str">
        <f>+'4M'!BM20</f>
        <v>WWS2007SLT</v>
      </c>
      <c r="D3778" s="2004"/>
      <c r="E3778" s="1658" t="s">
        <v>9033</v>
      </c>
      <c r="F3778" s="2004"/>
      <c r="G3778" s="2004">
        <f>IF('4M'!K20="","##BLANK",'4M'!K20)</f>
        <v>0</v>
      </c>
    </row>
    <row r="3779" spans="2:7">
      <c r="B3779" s="848" t="str">
        <f>+'4M'!BM21</f>
        <v>S3010SLT</v>
      </c>
      <c r="D3779" s="2004"/>
      <c r="E3779" s="1658" t="s">
        <v>9033</v>
      </c>
      <c r="F3779" s="2004"/>
      <c r="G3779" s="2004">
        <f>IF('4M'!K21="","##BLANK",'4M'!K21)</f>
        <v>0</v>
      </c>
    </row>
    <row r="3780" spans="2:7">
      <c r="B3780" s="848" t="str">
        <f>+'4M'!BM22</f>
        <v>S3011SLT</v>
      </c>
      <c r="D3780" s="2004"/>
      <c r="E3780" s="1658" t="s">
        <v>9033</v>
      </c>
      <c r="F3780" s="2004"/>
      <c r="G3780" s="2004">
        <f>IF('4M'!K22="","##BLANK",'4M'!K22)</f>
        <v>0</v>
      </c>
    </row>
    <row r="3781" spans="2:7">
      <c r="B3781" s="848" t="str">
        <f>+'4M'!BM23</f>
        <v>S3012SLT</v>
      </c>
      <c r="D3781" s="2004"/>
      <c r="E3781" s="1658" t="s">
        <v>9033</v>
      </c>
      <c r="F3781" s="2004"/>
      <c r="G3781" s="2004">
        <f>IF('4M'!K23="","##BLANK",'4M'!K23)</f>
        <v>0</v>
      </c>
    </row>
    <row r="3782" spans="2:7">
      <c r="B3782" s="848" t="str">
        <f>+'4M'!BM24</f>
        <v>S3013SLT</v>
      </c>
      <c r="D3782" s="2004"/>
      <c r="E3782" s="1658" t="s">
        <v>9033</v>
      </c>
      <c r="F3782" s="2004"/>
      <c r="G3782" s="2004">
        <f>IF('4M'!K24="","##BLANK",'4M'!K24)</f>
        <v>0</v>
      </c>
    </row>
    <row r="3783" spans="2:7">
      <c r="B3783" s="848" t="str">
        <f>+'4M'!BM25</f>
        <v>S3014SLT</v>
      </c>
      <c r="D3783" s="2004"/>
      <c r="E3783" s="1658" t="s">
        <v>9033</v>
      </c>
      <c r="F3783" s="2004"/>
      <c r="G3783" s="2004">
        <f>IF('4M'!K25="","##BLANK",'4M'!K25)</f>
        <v>0</v>
      </c>
    </row>
    <row r="3784" spans="2:7">
      <c r="B3784" s="848" t="str">
        <f>+'4M'!BM26</f>
        <v>S3015SLT</v>
      </c>
      <c r="D3784" s="2004"/>
      <c r="E3784" s="1658" t="s">
        <v>9033</v>
      </c>
      <c r="F3784" s="2004"/>
      <c r="G3784" s="2004">
        <f>IF('4M'!K26="","##BLANK",'4M'!K26)</f>
        <v>0</v>
      </c>
    </row>
    <row r="3785" spans="2:7">
      <c r="B3785" s="848" t="str">
        <f>+'4M'!BM27</f>
        <v>S3016SLT</v>
      </c>
      <c r="D3785" s="2004"/>
      <c r="E3785" s="1658" t="s">
        <v>9033</v>
      </c>
      <c r="F3785" s="2004"/>
      <c r="G3785" s="2004">
        <f>IF('4M'!K27="","##BLANK",'4M'!K27)</f>
        <v>0</v>
      </c>
    </row>
    <row r="3786" spans="2:7">
      <c r="B3786" s="848" t="str">
        <f>+'4M'!BM28</f>
        <v>S3017SLT</v>
      </c>
      <c r="D3786" s="2004"/>
      <c r="E3786" s="1658" t="s">
        <v>9033</v>
      </c>
      <c r="F3786" s="2004"/>
      <c r="G3786" s="2004">
        <f>IF('4M'!K28="","##BLANK",'4M'!K28)</f>
        <v>0</v>
      </c>
    </row>
    <row r="3787" spans="2:7">
      <c r="B3787" s="848" t="str">
        <f>+'4M'!BM29</f>
        <v>S3018SLT</v>
      </c>
      <c r="D3787" s="2004"/>
      <c r="E3787" s="1658" t="s">
        <v>9033</v>
      </c>
      <c r="F3787" s="2004"/>
      <c r="G3787" s="2004">
        <f>IF('4M'!K29="","##BLANK",'4M'!K29)</f>
        <v>0</v>
      </c>
    </row>
    <row r="3788" spans="2:7">
      <c r="B3788" s="848" t="str">
        <f>+'4M'!BM30</f>
        <v>S3019SLT</v>
      </c>
      <c r="D3788" s="2004"/>
      <c r="E3788" s="1658" t="s">
        <v>9033</v>
      </c>
      <c r="F3788" s="2004"/>
      <c r="G3788" s="2004">
        <f>IF('4M'!K30="","##BLANK",'4M'!K30)</f>
        <v>0</v>
      </c>
    </row>
    <row r="3789" spans="2:7">
      <c r="B3789" s="848" t="str">
        <f>+'4M'!BM31</f>
        <v>S3020SLT</v>
      </c>
      <c r="D3789" s="2004"/>
      <c r="E3789" s="1658" t="s">
        <v>9033</v>
      </c>
      <c r="F3789" s="2004"/>
      <c r="G3789" s="2004">
        <f>IF('4M'!K31="","##BLANK",'4M'!K31)</f>
        <v>0</v>
      </c>
    </row>
    <row r="3790" spans="2:7">
      <c r="B3790" s="848" t="str">
        <f>+'4M'!BM32</f>
        <v>S3021SLT</v>
      </c>
      <c r="D3790" s="2004"/>
      <c r="E3790" s="1658" t="s">
        <v>9033</v>
      </c>
      <c r="F3790" s="2004"/>
      <c r="G3790" s="2004">
        <f>IF('4M'!K32="","##BLANK",'4M'!K32)</f>
        <v>0</v>
      </c>
    </row>
    <row r="3791" spans="2:7">
      <c r="B3791" s="848" t="str">
        <f>+'4M'!BM33</f>
        <v>S3022SLT</v>
      </c>
      <c r="D3791" s="2004"/>
      <c r="E3791" s="1658" t="s">
        <v>9033</v>
      </c>
      <c r="F3791" s="2004"/>
      <c r="G3791" s="2004">
        <f>IF('4M'!K33="","##BLANK",'4M'!K33)</f>
        <v>0</v>
      </c>
    </row>
    <row r="3792" spans="2:7">
      <c r="B3792" s="848" t="str">
        <f>+'4M'!BM34</f>
        <v>BC31785SLT</v>
      </c>
      <c r="D3792" s="2004"/>
      <c r="E3792" s="1658" t="s">
        <v>9033</v>
      </c>
      <c r="F3792" s="2004"/>
      <c r="G3792" s="2004">
        <f>IF('4M'!K34="","##BLANK",'4M'!K34)</f>
        <v>1.0999999999999999E-2</v>
      </c>
    </row>
    <row r="3793" spans="2:7">
      <c r="B3793" s="848" t="str">
        <f>+'4M'!BM35</f>
        <v>S3023SLT</v>
      </c>
      <c r="D3793" s="2004"/>
      <c r="E3793" s="1658" t="s">
        <v>9033</v>
      </c>
      <c r="F3793" s="2004"/>
      <c r="G3793" s="2004">
        <f>IF('4M'!K35="","##BLANK",'4M'!K35)</f>
        <v>0</v>
      </c>
    </row>
    <row r="3794" spans="2:7">
      <c r="B3794" s="848" t="str">
        <f>+'4M'!BM36</f>
        <v>S3024SLT</v>
      </c>
      <c r="D3794" s="2004"/>
      <c r="E3794" s="1658" t="s">
        <v>9033</v>
      </c>
      <c r="F3794" s="2004"/>
      <c r="G3794" s="2004">
        <f>IF('4M'!K36="","##BLANK",'4M'!K36)</f>
        <v>0</v>
      </c>
    </row>
    <row r="3795" spans="2:7">
      <c r="B3795" s="848" t="str">
        <f>+'4M'!BM37</f>
        <v>S3A00001SLT</v>
      </c>
      <c r="D3795" s="2004"/>
      <c r="E3795" s="1658" t="s">
        <v>9033</v>
      </c>
      <c r="F3795" s="2004" t="str">
        <f>+'4M'!C$37</f>
        <v>Bathing water ELoS</v>
      </c>
      <c r="G3795" s="2004">
        <f>IF('4M'!K37="","##BLANK",'4M'!K37)</f>
        <v>0</v>
      </c>
    </row>
    <row r="3796" spans="2:7">
      <c r="B3796" s="848" t="str">
        <f>+'4M'!BM38</f>
        <v>S3A00002SLT</v>
      </c>
      <c r="D3796" s="2004"/>
      <c r="E3796" s="1658" t="s">
        <v>9033</v>
      </c>
      <c r="F3796" s="2004" t="str">
        <f>+'4M'!C$38</f>
        <v>Pollution ELoS</v>
      </c>
      <c r="G3796" s="2004">
        <f>IF('4M'!K38="","##BLANK",'4M'!K38)</f>
        <v>0</v>
      </c>
    </row>
    <row r="3797" spans="2:7">
      <c r="B3797" s="848" t="str">
        <f>+'4M'!BM39</f>
        <v>S3A00003SLT</v>
      </c>
      <c r="D3797" s="2004"/>
      <c r="E3797" s="1658" t="s">
        <v>9033</v>
      </c>
      <c r="F3797" s="2004" t="str">
        <f>+'4M'!C$39</f>
        <v>Connections (if applicable)</v>
      </c>
      <c r="G3797" s="2004">
        <f>IF('4M'!K39="","##BLANK",'4M'!K39)</f>
        <v>0</v>
      </c>
    </row>
    <row r="3798" spans="2:7">
      <c r="B3798" s="848" t="str">
        <f>+'4M'!BM40</f>
        <v>S3A00004SLT</v>
      </c>
      <c r="D3798" s="2004"/>
      <c r="E3798" s="1658" t="s">
        <v>9033</v>
      </c>
      <c r="F3798" s="2004" t="str">
        <f>+'4M'!C$40</f>
        <v>Emergency Overflow Appeals</v>
      </c>
      <c r="G3798" s="2004">
        <f>IF('4M'!K40="","##BLANK",'4M'!K40)</f>
        <v>0</v>
      </c>
    </row>
    <row r="3799" spans="2:7">
      <c r="B3799" s="848" t="str">
        <f>+'4M'!BM41</f>
        <v>S3A00005SLT</v>
      </c>
      <c r="D3799" s="2004"/>
      <c r="E3799" s="1658" t="s">
        <v>9033</v>
      </c>
      <c r="F3799" s="2004" t="str">
        <f>+'4M'!C$41</f>
        <v>Exclusions</v>
      </c>
      <c r="G3799" s="2004">
        <f>IF('4M'!K41="","##BLANK",'4M'!K41)</f>
        <v>0</v>
      </c>
    </row>
    <row r="3800" spans="2:7">
      <c r="B3800" s="848" t="str">
        <f>+'4M'!BM42</f>
        <v>S3A00006SLT</v>
      </c>
      <c r="D3800" s="2004"/>
      <c r="E3800" s="1658" t="s">
        <v>9033</v>
      </c>
      <c r="F3800" s="2004" t="str">
        <f>+'4M'!C$42</f>
        <v>Pollution - UQ</v>
      </c>
      <c r="G3800" s="2004">
        <f>IF('4M'!K42="","##BLANK",'4M'!K42)</f>
        <v>0</v>
      </c>
    </row>
    <row r="3801" spans="2:7">
      <c r="B3801" s="848" t="str">
        <f>+'4M'!BM43</f>
        <v>S3A00007SLT</v>
      </c>
      <c r="D3801" s="2004"/>
      <c r="E3801" s="1658" t="s">
        <v>9033</v>
      </c>
      <c r="F3801" s="2004" t="str">
        <f>+'4M'!C$43</f>
        <v>Internal Flooding - UQ</v>
      </c>
      <c r="G3801" s="2004">
        <f>IF('4M'!K43="","##BLANK",'4M'!K43)</f>
        <v>0</v>
      </c>
    </row>
    <row r="3802" spans="2:7">
      <c r="B3802" s="848" t="str">
        <f>+'4M'!BM44</f>
        <v>S3A00008SLT</v>
      </c>
      <c r="D3802" s="2004"/>
      <c r="E3802" s="1658" t="s">
        <v>9033</v>
      </c>
      <c r="F3802" s="2004" t="str">
        <f>+'4M'!C$44</f>
        <v>Infrastructure network reinforcement</v>
      </c>
      <c r="G3802" s="2004">
        <f>IF('4M'!K44="","##BLANK",'4M'!K44)</f>
        <v>0</v>
      </c>
    </row>
    <row r="3803" spans="2:7">
      <c r="B3803" s="848" t="str">
        <f>+'4M'!BM45</f>
        <v>S3A00009SLT</v>
      </c>
      <c r="D3803" s="2004"/>
      <c r="E3803" s="1658" t="s">
        <v>9033</v>
      </c>
      <c r="F3803" s="2004" t="str">
        <f>+'4M'!C$45</f>
        <v>2020-25 Transition Expenditure - Capex</v>
      </c>
      <c r="G3803" s="2004">
        <f>IF('4M'!K45="","##BLANK",'4M'!K45)</f>
        <v>0</v>
      </c>
    </row>
    <row r="3804" spans="2:7">
      <c r="B3804" s="848" t="str">
        <f>+'4M'!BM46</f>
        <v>S3A00010SLT</v>
      </c>
      <c r="D3804" s="2004"/>
      <c r="E3804" s="1658" t="s">
        <v>9033</v>
      </c>
      <c r="F3804" s="2004" t="str">
        <f>+'4M'!C$46</f>
        <v>Capital expenditure purpose - WASTEWATER additional line 10 [Other categories]</v>
      </c>
      <c r="G3804" s="2004">
        <f>IF('4M'!K46="","##BLANK",'4M'!K46)</f>
        <v>0</v>
      </c>
    </row>
    <row r="3805" spans="2:7">
      <c r="B3805" s="848" t="str">
        <f>+'4M'!BM47</f>
        <v>S3A00011SLT</v>
      </c>
      <c r="D3805" s="2004"/>
      <c r="E3805" s="1658" t="s">
        <v>9033</v>
      </c>
      <c r="F3805" s="2004" t="str">
        <f>+'4M'!C$47</f>
        <v>Capital expenditure purpose - WASTEWATER additional line 11 [Other categories]</v>
      </c>
      <c r="G3805" s="2004">
        <f>IF('4M'!K47="","##BLANK",'4M'!K47)</f>
        <v>0</v>
      </c>
    </row>
    <row r="3806" spans="2:7">
      <c r="B3806" s="848" t="str">
        <f>+'4M'!BM48</f>
        <v>S3A00012SLT</v>
      </c>
      <c r="D3806" s="2004"/>
      <c r="E3806" s="1658" t="s">
        <v>9033</v>
      </c>
      <c r="F3806" s="2004" t="str">
        <f>+'4M'!C$48</f>
        <v>Capital expenditure purpose - WASTEWATER additional line 12 [Other categories]</v>
      </c>
      <c r="G3806" s="2004">
        <f>IF('4M'!K48="","##BLANK",'4M'!K48)</f>
        <v>0</v>
      </c>
    </row>
    <row r="3807" spans="2:7">
      <c r="B3807" s="848" t="str">
        <f>+'4M'!BM49</f>
        <v>S3A00013SLT</v>
      </c>
      <c r="D3807" s="2004"/>
      <c r="E3807" s="1658" t="s">
        <v>9033</v>
      </c>
      <c r="F3807" s="2004" t="str">
        <f>+'4M'!C$49</f>
        <v>Capital expenditure purpose - WASTEWATER additional line 13 [Other categories]</v>
      </c>
      <c r="G3807" s="2004">
        <f>IF('4M'!K49="","##BLANK",'4M'!K49)</f>
        <v>0</v>
      </c>
    </row>
    <row r="3808" spans="2:7">
      <c r="B3808" s="848" t="str">
        <f>+'4M'!BM50</f>
        <v>S3A00014SLT</v>
      </c>
      <c r="D3808" s="2004"/>
      <c r="E3808" s="1658" t="s">
        <v>9033</v>
      </c>
      <c r="F3808" s="2004" t="str">
        <f>+'4M'!C$50</f>
        <v>Capital expenditure purpose - WASTEWATER additional line 14 [Other categories]</v>
      </c>
      <c r="G3808" s="2004">
        <f>IF('4M'!K50="","##BLANK",'4M'!K50)</f>
        <v>0</v>
      </c>
    </row>
    <row r="3809" spans="2:7">
      <c r="B3809" s="848" t="str">
        <f>+'4M'!BM51</f>
        <v>S3A00015SLT</v>
      </c>
      <c r="D3809" s="2004"/>
      <c r="E3809" s="1658" t="s">
        <v>9033</v>
      </c>
      <c r="F3809" s="2004" t="str">
        <f>+'4M'!C$51</f>
        <v>Capital expenditure purpose - WASTEWATER additional line 15 [Other categories]</v>
      </c>
      <c r="G3809" s="2004">
        <f>IF('4M'!K51="","##BLANK",'4M'!K51)</f>
        <v>0</v>
      </c>
    </row>
    <row r="3810" spans="2:7">
      <c r="B3810" s="848" t="str">
        <f>+'4M'!BM52</f>
        <v>S3025ENHSLT</v>
      </c>
      <c r="D3810" s="2004"/>
      <c r="E3810" s="1658" t="s">
        <v>9033</v>
      </c>
      <c r="F3810" s="2004"/>
      <c r="G3810" s="2004">
        <f>IF('4M'!K52="","##BLANK",'4M'!K52)</f>
        <v>1.0999999999999999E-2</v>
      </c>
    </row>
    <row r="3811" spans="2:7">
      <c r="B3811" s="848" t="str">
        <f>+'4M'!BN8</f>
        <v>BC31379STP</v>
      </c>
      <c r="D3811" s="2004"/>
      <c r="E3811" s="1658" t="s">
        <v>9033</v>
      </c>
      <c r="F3811" s="2004"/>
      <c r="G3811" s="2004">
        <f>IF('4M'!L8="","##BLANK",'4M'!L8)</f>
        <v>0</v>
      </c>
    </row>
    <row r="3812" spans="2:7">
      <c r="B3812" s="848" t="str">
        <f>+'4M'!BN9</f>
        <v>S3035QSTP</v>
      </c>
      <c r="D3812" s="2004"/>
      <c r="E3812" s="1658" t="s">
        <v>9033</v>
      </c>
      <c r="F3812" s="2004"/>
      <c r="G3812" s="2004">
        <f>IF('4M'!L9="","##BLANK",'4M'!L9)</f>
        <v>0</v>
      </c>
    </row>
    <row r="3813" spans="2:7">
      <c r="B3813" s="848" t="str">
        <f>+'4M'!BN10</f>
        <v>S3036GSTP</v>
      </c>
      <c r="D3813" s="2004"/>
      <c r="E3813" s="1658" t="s">
        <v>9033</v>
      </c>
      <c r="F3813" s="2004"/>
      <c r="G3813" s="2004">
        <f>IF('4M'!L10="","##BLANK",'4M'!L10)</f>
        <v>0</v>
      </c>
    </row>
    <row r="3814" spans="2:7">
      <c r="B3814" s="848" t="str">
        <f>+'4M'!BN11</f>
        <v>S3004STP</v>
      </c>
      <c r="D3814" s="2004"/>
      <c r="E3814" s="1658" t="s">
        <v>9033</v>
      </c>
      <c r="F3814" s="2004"/>
      <c r="G3814" s="2004">
        <f>IF('4M'!L11="","##BLANK",'4M'!L11)</f>
        <v>0</v>
      </c>
    </row>
    <row r="3815" spans="2:7">
      <c r="B3815" s="848" t="str">
        <f>+'4M'!BN12</f>
        <v>WWS2001STP</v>
      </c>
      <c r="D3815" s="2004"/>
      <c r="E3815" s="1658" t="s">
        <v>9033</v>
      </c>
      <c r="F3815" s="2004"/>
      <c r="G3815" s="2004">
        <f>IF('4M'!L12="","##BLANK",'4M'!L12)</f>
        <v>0</v>
      </c>
    </row>
    <row r="3816" spans="2:7">
      <c r="B3816" s="848" t="str">
        <f>+'4M'!BN13</f>
        <v>S3005STP</v>
      </c>
      <c r="D3816" s="2004"/>
      <c r="E3816" s="1658" t="s">
        <v>9033</v>
      </c>
      <c r="F3816" s="2004"/>
      <c r="G3816" s="2004">
        <f>IF('4M'!L13="","##BLANK",'4M'!L13)</f>
        <v>0</v>
      </c>
    </row>
    <row r="3817" spans="2:7">
      <c r="B3817" s="848" t="str">
        <f>+'4M'!BN14</f>
        <v>S3006STP</v>
      </c>
      <c r="D3817" s="2004"/>
      <c r="E3817" s="1658" t="s">
        <v>9033</v>
      </c>
      <c r="F3817" s="2004"/>
      <c r="G3817" s="2004">
        <f>IF('4M'!L14="","##BLANK",'4M'!L14)</f>
        <v>0</v>
      </c>
    </row>
    <row r="3818" spans="2:7">
      <c r="B3818" s="848" t="str">
        <f>+'4M'!BN15</f>
        <v>S3007STP</v>
      </c>
      <c r="D3818" s="2004"/>
      <c r="E3818" s="1658" t="s">
        <v>9033</v>
      </c>
      <c r="F3818" s="2004"/>
      <c r="G3818" s="2004">
        <f>IF('4M'!L15="","##BLANK",'4M'!L15)</f>
        <v>0</v>
      </c>
    </row>
    <row r="3819" spans="2:7">
      <c r="B3819" s="848" t="str">
        <f>+'4M'!BN16</f>
        <v>WWS2002STP</v>
      </c>
      <c r="D3819" s="2004"/>
      <c r="E3819" s="1658" t="s">
        <v>9033</v>
      </c>
      <c r="F3819" s="2004"/>
      <c r="G3819" s="2004">
        <f>IF('4M'!L16="","##BLANK",'4M'!L16)</f>
        <v>0</v>
      </c>
    </row>
    <row r="3820" spans="2:7">
      <c r="B3820" s="848" t="str">
        <f>+'4M'!BN17</f>
        <v>WWS2003STP</v>
      </c>
      <c r="D3820" s="2004"/>
      <c r="E3820" s="1658" t="s">
        <v>9033</v>
      </c>
      <c r="F3820" s="2004"/>
      <c r="G3820" s="2004">
        <f>IF('4M'!L17="","##BLANK",'4M'!L17)</f>
        <v>0</v>
      </c>
    </row>
    <row r="3821" spans="2:7">
      <c r="B3821" s="848" t="str">
        <f>+'4M'!BN18</f>
        <v>S3008STP</v>
      </c>
      <c r="D3821" s="2004"/>
      <c r="E3821" s="1658" t="s">
        <v>9033</v>
      </c>
      <c r="F3821" s="2004"/>
      <c r="G3821" s="2004">
        <f>IF('4M'!L18="","##BLANK",'4M'!L18)</f>
        <v>0</v>
      </c>
    </row>
    <row r="3822" spans="2:7">
      <c r="B3822" s="848" t="str">
        <f>+'4M'!BN19</f>
        <v>S3009STP</v>
      </c>
      <c r="D3822" s="2004"/>
      <c r="E3822" s="1658" t="s">
        <v>9033</v>
      </c>
      <c r="F3822" s="2004"/>
      <c r="G3822" s="2004">
        <f>IF('4M'!L19="","##BLANK",'4M'!L19)</f>
        <v>0</v>
      </c>
    </row>
    <row r="3823" spans="2:7">
      <c r="B3823" s="848" t="str">
        <f>+'4M'!BN20</f>
        <v>WWS2007STP</v>
      </c>
      <c r="D3823" s="2004"/>
      <c r="E3823" s="1658" t="s">
        <v>9033</v>
      </c>
      <c r="F3823" s="2004"/>
      <c r="G3823" s="2004">
        <f>IF('4M'!L20="","##BLANK",'4M'!L20)</f>
        <v>0</v>
      </c>
    </row>
    <row r="3824" spans="2:7">
      <c r="B3824" s="848" t="str">
        <f>+'4M'!BN21</f>
        <v>S3010STP</v>
      </c>
      <c r="D3824" s="2004"/>
      <c r="E3824" s="1658" t="s">
        <v>9033</v>
      </c>
      <c r="F3824" s="2004"/>
      <c r="G3824" s="2004">
        <f>IF('4M'!L21="","##BLANK",'4M'!L21)</f>
        <v>0</v>
      </c>
    </row>
    <row r="3825" spans="2:7">
      <c r="B3825" s="848" t="str">
        <f>+'4M'!BN22</f>
        <v>S3011STP</v>
      </c>
      <c r="D3825" s="2004"/>
      <c r="E3825" s="1658" t="s">
        <v>9033</v>
      </c>
      <c r="F3825" s="2004"/>
      <c r="G3825" s="2004">
        <f>IF('4M'!L22="","##BLANK",'4M'!L22)</f>
        <v>0</v>
      </c>
    </row>
    <row r="3826" spans="2:7">
      <c r="B3826" s="848" t="str">
        <f>+'4M'!BN23</f>
        <v>S3012STP</v>
      </c>
      <c r="D3826" s="2004"/>
      <c r="E3826" s="1658" t="s">
        <v>9033</v>
      </c>
      <c r="F3826" s="2004"/>
      <c r="G3826" s="2004">
        <f>IF('4M'!L23="","##BLANK",'4M'!L23)</f>
        <v>0</v>
      </c>
    </row>
    <row r="3827" spans="2:7">
      <c r="B3827" s="848" t="str">
        <f>+'4M'!BN24</f>
        <v>S3013STP</v>
      </c>
      <c r="D3827" s="2004"/>
      <c r="E3827" s="1658" t="s">
        <v>9033</v>
      </c>
      <c r="F3827" s="2004"/>
      <c r="G3827" s="2004">
        <f>IF('4M'!L24="","##BLANK",'4M'!L24)</f>
        <v>0</v>
      </c>
    </row>
    <row r="3828" spans="2:7">
      <c r="B3828" s="848" t="str">
        <f>+'4M'!BN25</f>
        <v>S3014STP</v>
      </c>
      <c r="D3828" s="2004"/>
      <c r="E3828" s="1658" t="s">
        <v>9033</v>
      </c>
      <c r="F3828" s="2004"/>
      <c r="G3828" s="2004">
        <f>IF('4M'!L25="","##BLANK",'4M'!L25)</f>
        <v>0</v>
      </c>
    </row>
    <row r="3829" spans="2:7">
      <c r="B3829" s="848" t="str">
        <f>+'4M'!BN26</f>
        <v>S3015STP</v>
      </c>
      <c r="D3829" s="2004"/>
      <c r="E3829" s="1658" t="s">
        <v>9033</v>
      </c>
      <c r="F3829" s="2004"/>
      <c r="G3829" s="2004">
        <f>IF('4M'!L26="","##BLANK",'4M'!L26)</f>
        <v>0</v>
      </c>
    </row>
    <row r="3830" spans="2:7">
      <c r="B3830" s="848" t="str">
        <f>+'4M'!BN27</f>
        <v>S3016STP</v>
      </c>
      <c r="D3830" s="2004"/>
      <c r="E3830" s="1658" t="s">
        <v>9033</v>
      </c>
      <c r="F3830" s="2004"/>
      <c r="G3830" s="2004">
        <f>IF('4M'!L27="","##BLANK",'4M'!L27)</f>
        <v>0</v>
      </c>
    </row>
    <row r="3831" spans="2:7">
      <c r="B3831" s="848" t="str">
        <f>+'4M'!BN28</f>
        <v>S3017STP</v>
      </c>
      <c r="D3831" s="2004"/>
      <c r="E3831" s="1658" t="s">
        <v>9033</v>
      </c>
      <c r="F3831" s="2004"/>
      <c r="G3831" s="2004">
        <f>IF('4M'!L28="","##BLANK",'4M'!L28)</f>
        <v>0</v>
      </c>
    </row>
    <row r="3832" spans="2:7">
      <c r="B3832" s="848" t="str">
        <f>+'4M'!BN29</f>
        <v>S3018STP</v>
      </c>
      <c r="D3832" s="2004"/>
      <c r="E3832" s="1658" t="s">
        <v>9033</v>
      </c>
      <c r="F3832" s="2004"/>
      <c r="G3832" s="2004">
        <f>IF('4M'!L29="","##BLANK",'4M'!L29)</f>
        <v>0</v>
      </c>
    </row>
    <row r="3833" spans="2:7">
      <c r="B3833" s="848" t="str">
        <f>+'4M'!BN30</f>
        <v>S3019STP</v>
      </c>
      <c r="D3833" s="2004"/>
      <c r="E3833" s="1658" t="s">
        <v>9033</v>
      </c>
      <c r="F3833" s="2004"/>
      <c r="G3833" s="2004">
        <f>IF('4M'!L30="","##BLANK",'4M'!L30)</f>
        <v>0</v>
      </c>
    </row>
    <row r="3834" spans="2:7">
      <c r="B3834" s="848" t="str">
        <f>+'4M'!BN31</f>
        <v>S3020STP</v>
      </c>
      <c r="D3834" s="2004"/>
      <c r="E3834" s="1658" t="s">
        <v>9033</v>
      </c>
      <c r="F3834" s="2004"/>
      <c r="G3834" s="2004">
        <f>IF('4M'!L31="","##BLANK",'4M'!L31)</f>
        <v>0</v>
      </c>
    </row>
    <row r="3835" spans="2:7">
      <c r="B3835" s="848" t="str">
        <f>+'4M'!BN32</f>
        <v>S3021STP</v>
      </c>
      <c r="D3835" s="2004"/>
      <c r="E3835" s="1658" t="s">
        <v>9033</v>
      </c>
      <c r="F3835" s="2004"/>
      <c r="G3835" s="2004">
        <f>IF('4M'!L32="","##BLANK",'4M'!L32)</f>
        <v>0</v>
      </c>
    </row>
    <row r="3836" spans="2:7">
      <c r="B3836" s="848" t="str">
        <f>+'4M'!BN33</f>
        <v>S3022STP</v>
      </c>
      <c r="D3836" s="2004"/>
      <c r="E3836" s="1658" t="s">
        <v>9033</v>
      </c>
      <c r="F3836" s="2004"/>
      <c r="G3836" s="2004">
        <f>IF('4M'!L33="","##BLANK",'4M'!L33)</f>
        <v>0</v>
      </c>
    </row>
    <row r="3837" spans="2:7">
      <c r="B3837" s="848" t="str">
        <f>+'4M'!BN34</f>
        <v>BC31785STP</v>
      </c>
      <c r="D3837" s="2004"/>
      <c r="E3837" s="1658" t="s">
        <v>9033</v>
      </c>
      <c r="F3837" s="2004"/>
      <c r="G3837" s="2004">
        <f>IF('4M'!L34="","##BLANK",'4M'!L34)</f>
        <v>2.7E-2</v>
      </c>
    </row>
    <row r="3838" spans="2:7">
      <c r="B3838" s="848" t="str">
        <f>+'4M'!BN35</f>
        <v>S3023STP</v>
      </c>
      <c r="D3838" s="2004"/>
      <c r="E3838" s="1658" t="s">
        <v>9033</v>
      </c>
      <c r="F3838" s="2004"/>
      <c r="G3838" s="2004">
        <f>IF('4M'!L35="","##BLANK",'4M'!L35)</f>
        <v>0</v>
      </c>
    </row>
    <row r="3839" spans="2:7">
      <c r="B3839" s="848" t="str">
        <f>+'4M'!BN36</f>
        <v>S3024STP</v>
      </c>
      <c r="D3839" s="2004"/>
      <c r="E3839" s="1658" t="s">
        <v>9033</v>
      </c>
      <c r="F3839" s="2004"/>
      <c r="G3839" s="2004">
        <f>IF('4M'!L36="","##BLANK",'4M'!L36)</f>
        <v>0</v>
      </c>
    </row>
    <row r="3840" spans="2:7">
      <c r="B3840" s="848" t="str">
        <f>+'4M'!BN37</f>
        <v>S3A00001STP</v>
      </c>
      <c r="D3840" s="2004"/>
      <c r="E3840" s="1658" t="s">
        <v>9033</v>
      </c>
      <c r="F3840" s="2004" t="str">
        <f>+'4M'!C$37</f>
        <v>Bathing water ELoS</v>
      </c>
      <c r="G3840" s="2004">
        <f>IF('4M'!L37="","##BLANK",'4M'!L37)</f>
        <v>0</v>
      </c>
    </row>
    <row r="3841" spans="2:7">
      <c r="B3841" s="848" t="str">
        <f>+'4M'!BN38</f>
        <v>S3A00002STP</v>
      </c>
      <c r="D3841" s="2004"/>
      <c r="E3841" s="1658" t="s">
        <v>9033</v>
      </c>
      <c r="F3841" s="2004" t="str">
        <f>+'4M'!C$38</f>
        <v>Pollution ELoS</v>
      </c>
      <c r="G3841" s="2004">
        <f>IF('4M'!L38="","##BLANK",'4M'!L38)</f>
        <v>0</v>
      </c>
    </row>
    <row r="3842" spans="2:7">
      <c r="B3842" s="848" t="str">
        <f>+'4M'!BN39</f>
        <v>S3A00003STP</v>
      </c>
      <c r="D3842" s="2004"/>
      <c r="E3842" s="1658" t="s">
        <v>9033</v>
      </c>
      <c r="F3842" s="2004" t="str">
        <f>+'4M'!C$39</f>
        <v>Connections (if applicable)</v>
      </c>
      <c r="G3842" s="2004">
        <f>IF('4M'!L39="","##BLANK",'4M'!L39)</f>
        <v>0</v>
      </c>
    </row>
    <row r="3843" spans="2:7">
      <c r="B3843" s="848" t="str">
        <f>+'4M'!BN40</f>
        <v>S3A00004STP</v>
      </c>
      <c r="D3843" s="2004"/>
      <c r="E3843" s="1658" t="s">
        <v>9033</v>
      </c>
      <c r="F3843" s="2004" t="str">
        <f>+'4M'!C$40</f>
        <v>Emergency Overflow Appeals</v>
      </c>
      <c r="G3843" s="2004">
        <f>IF('4M'!L40="","##BLANK",'4M'!L40)</f>
        <v>0</v>
      </c>
    </row>
    <row r="3844" spans="2:7">
      <c r="B3844" s="848" t="str">
        <f>+'4M'!BN41</f>
        <v>S3A00005STP</v>
      </c>
      <c r="D3844" s="2004"/>
      <c r="E3844" s="1658" t="s">
        <v>9033</v>
      </c>
      <c r="F3844" s="2004" t="str">
        <f>+'4M'!C$41</f>
        <v>Exclusions</v>
      </c>
      <c r="G3844" s="2004">
        <f>IF('4M'!L41="","##BLANK",'4M'!L41)</f>
        <v>0</v>
      </c>
    </row>
    <row r="3845" spans="2:7">
      <c r="B3845" s="848" t="str">
        <f>+'4M'!BN42</f>
        <v>S3A00006STP</v>
      </c>
      <c r="D3845" s="2004"/>
      <c r="E3845" s="1658" t="s">
        <v>9033</v>
      </c>
      <c r="F3845" s="2004" t="str">
        <f>+'4M'!C$42</f>
        <v>Pollution - UQ</v>
      </c>
      <c r="G3845" s="2004">
        <f>IF('4M'!L42="","##BLANK",'4M'!L42)</f>
        <v>0</v>
      </c>
    </row>
    <row r="3846" spans="2:7">
      <c r="B3846" s="848" t="str">
        <f>+'4M'!BN43</f>
        <v>S3A00007STP</v>
      </c>
      <c r="D3846" s="2004"/>
      <c r="E3846" s="1658" t="s">
        <v>9033</v>
      </c>
      <c r="F3846" s="2004" t="str">
        <f>+'4M'!C$43</f>
        <v>Internal Flooding - UQ</v>
      </c>
      <c r="G3846" s="2004">
        <f>IF('4M'!L43="","##BLANK",'4M'!L43)</f>
        <v>0</v>
      </c>
    </row>
    <row r="3847" spans="2:7">
      <c r="B3847" s="848" t="str">
        <f>+'4M'!BN44</f>
        <v>S3A00008STP</v>
      </c>
      <c r="D3847" s="2004"/>
      <c r="E3847" s="1658" t="s">
        <v>9033</v>
      </c>
      <c r="F3847" s="2004" t="str">
        <f>+'4M'!C$44</f>
        <v>Infrastructure network reinforcement</v>
      </c>
      <c r="G3847" s="2004">
        <f>IF('4M'!L44="","##BLANK",'4M'!L44)</f>
        <v>0</v>
      </c>
    </row>
    <row r="3848" spans="2:7">
      <c r="B3848" s="848" t="str">
        <f>+'4M'!BN45</f>
        <v>S3A00009STP</v>
      </c>
      <c r="D3848" s="2004"/>
      <c r="E3848" s="1658" t="s">
        <v>9033</v>
      </c>
      <c r="F3848" s="2004" t="str">
        <f>+'4M'!C$45</f>
        <v>2020-25 Transition Expenditure - Capex</v>
      </c>
      <c r="G3848" s="2004">
        <f>IF('4M'!L45="","##BLANK",'4M'!L45)</f>
        <v>0</v>
      </c>
    </row>
    <row r="3849" spans="2:7">
      <c r="B3849" s="848" t="str">
        <f>+'4M'!BN46</f>
        <v>S3A00010STP</v>
      </c>
      <c r="D3849" s="2004"/>
      <c r="E3849" s="1658" t="s">
        <v>9033</v>
      </c>
      <c r="F3849" s="2004" t="str">
        <f>+'4M'!C$46</f>
        <v>Capital expenditure purpose - WASTEWATER additional line 10 [Other categories]</v>
      </c>
      <c r="G3849" s="2004">
        <f>IF('4M'!L46="","##BLANK",'4M'!L46)</f>
        <v>0</v>
      </c>
    </row>
    <row r="3850" spans="2:7">
      <c r="B3850" s="848" t="str">
        <f>+'4M'!BN47</f>
        <v>S3A00011STP</v>
      </c>
      <c r="D3850" s="2004"/>
      <c r="E3850" s="1658" t="s">
        <v>9033</v>
      </c>
      <c r="F3850" s="2004" t="str">
        <f>+'4M'!C$47</f>
        <v>Capital expenditure purpose - WASTEWATER additional line 11 [Other categories]</v>
      </c>
      <c r="G3850" s="2004">
        <f>IF('4M'!L47="","##BLANK",'4M'!L47)</f>
        <v>0</v>
      </c>
    </row>
    <row r="3851" spans="2:7">
      <c r="B3851" s="848" t="str">
        <f>+'4M'!BN48</f>
        <v>S3A00012STP</v>
      </c>
      <c r="D3851" s="2004"/>
      <c r="E3851" s="1658" t="s">
        <v>9033</v>
      </c>
      <c r="F3851" s="2004" t="str">
        <f>+'4M'!C$48</f>
        <v>Capital expenditure purpose - WASTEWATER additional line 12 [Other categories]</v>
      </c>
      <c r="G3851" s="2004">
        <f>IF('4M'!L48="","##BLANK",'4M'!L48)</f>
        <v>0</v>
      </c>
    </row>
    <row r="3852" spans="2:7">
      <c r="B3852" s="848" t="str">
        <f>+'4M'!BN49</f>
        <v>S3A00013STP</v>
      </c>
      <c r="D3852" s="2004"/>
      <c r="E3852" s="1658" t="s">
        <v>9033</v>
      </c>
      <c r="F3852" s="2004" t="str">
        <f>+'4M'!C$49</f>
        <v>Capital expenditure purpose - WASTEWATER additional line 13 [Other categories]</v>
      </c>
      <c r="G3852" s="2004">
        <f>IF('4M'!L49="","##BLANK",'4M'!L49)</f>
        <v>0</v>
      </c>
    </row>
    <row r="3853" spans="2:7">
      <c r="B3853" s="848" t="str">
        <f>+'4M'!BN50</f>
        <v>S3A00014STP</v>
      </c>
      <c r="D3853" s="2004"/>
      <c r="E3853" s="1658" t="s">
        <v>9033</v>
      </c>
      <c r="F3853" s="2004" t="str">
        <f>+'4M'!C$50</f>
        <v>Capital expenditure purpose - WASTEWATER additional line 14 [Other categories]</v>
      </c>
      <c r="G3853" s="2004">
        <f>IF('4M'!L50="","##BLANK",'4M'!L50)</f>
        <v>0</v>
      </c>
    </row>
    <row r="3854" spans="2:7">
      <c r="B3854" s="848" t="str">
        <f>+'4M'!BN51</f>
        <v>S3A00015STP</v>
      </c>
      <c r="D3854" s="2004"/>
      <c r="E3854" s="1658" t="s">
        <v>9033</v>
      </c>
      <c r="F3854" s="2004" t="str">
        <f>+'4M'!C$51</f>
        <v>Capital expenditure purpose - WASTEWATER additional line 15 [Other categories]</v>
      </c>
      <c r="G3854" s="2004">
        <f>IF('4M'!L51="","##BLANK",'4M'!L51)</f>
        <v>0</v>
      </c>
    </row>
    <row r="3855" spans="2:7">
      <c r="B3855" s="848" t="str">
        <f>+'4M'!BN52</f>
        <v>S3025ENHSTP</v>
      </c>
      <c r="D3855" s="2004"/>
      <c r="E3855" s="1658" t="s">
        <v>9033</v>
      </c>
      <c r="F3855" s="2004"/>
      <c r="G3855" s="2004">
        <f>IF('4M'!L52="","##BLANK",'4M'!L52)</f>
        <v>2.7E-2</v>
      </c>
    </row>
    <row r="3856" spans="2:7">
      <c r="B3856" s="848" t="str">
        <f>+'4M'!BO8</f>
        <v>BC31379SDT</v>
      </c>
      <c r="D3856" s="2004"/>
      <c r="E3856" s="1658" t="s">
        <v>9033</v>
      </c>
      <c r="F3856" s="2004"/>
      <c r="G3856" s="2004">
        <f>IF('4M'!M8="","##BLANK",'4M'!M8)</f>
        <v>0</v>
      </c>
    </row>
    <row r="3857" spans="2:7">
      <c r="B3857" s="848" t="str">
        <f>+'4M'!BO9</f>
        <v>S3035QSDT</v>
      </c>
      <c r="D3857" s="2004"/>
      <c r="E3857" s="1658" t="s">
        <v>9033</v>
      </c>
      <c r="F3857" s="2004"/>
      <c r="G3857" s="2004">
        <f>IF('4M'!M9="","##BLANK",'4M'!M9)</f>
        <v>0</v>
      </c>
    </row>
    <row r="3858" spans="2:7">
      <c r="B3858" s="848" t="str">
        <f>+'4M'!BO10</f>
        <v>S3036GSDT</v>
      </c>
      <c r="D3858" s="2004"/>
      <c r="E3858" s="1658" t="s">
        <v>9033</v>
      </c>
      <c r="F3858" s="2004"/>
      <c r="G3858" s="2004">
        <f>IF('4M'!M10="","##BLANK",'4M'!M10)</f>
        <v>0</v>
      </c>
    </row>
    <row r="3859" spans="2:7">
      <c r="B3859" s="848" t="str">
        <f>+'4M'!BO11</f>
        <v>S3004SDT</v>
      </c>
      <c r="D3859" s="2004"/>
      <c r="E3859" s="1658" t="s">
        <v>9033</v>
      </c>
      <c r="F3859" s="2004"/>
      <c r="G3859" s="2004">
        <f>IF('4M'!M11="","##BLANK",'4M'!M11)</f>
        <v>0</v>
      </c>
    </row>
    <row r="3860" spans="2:7">
      <c r="B3860" s="848" t="str">
        <f>+'4M'!BO12</f>
        <v>WWS2001SDT</v>
      </c>
      <c r="D3860" s="2004"/>
      <c r="E3860" s="1658" t="s">
        <v>9033</v>
      </c>
      <c r="F3860" s="2004"/>
      <c r="G3860" s="2004">
        <f>IF('4M'!M12="","##BLANK",'4M'!M12)</f>
        <v>0</v>
      </c>
    </row>
    <row r="3861" spans="2:7">
      <c r="B3861" s="848" t="str">
        <f>+'4M'!BO13</f>
        <v>S3005SDT</v>
      </c>
      <c r="D3861" s="2004"/>
      <c r="E3861" s="1658" t="s">
        <v>9033</v>
      </c>
      <c r="F3861" s="2004"/>
      <c r="G3861" s="2004">
        <f>IF('4M'!M13="","##BLANK",'4M'!M13)</f>
        <v>0</v>
      </c>
    </row>
    <row r="3862" spans="2:7">
      <c r="B3862" s="848" t="str">
        <f>+'4M'!BO14</f>
        <v>S3006SDT</v>
      </c>
      <c r="D3862" s="2004"/>
      <c r="E3862" s="1658" t="s">
        <v>9033</v>
      </c>
      <c r="F3862" s="2004"/>
      <c r="G3862" s="2004">
        <f>IF('4M'!M14="","##BLANK",'4M'!M14)</f>
        <v>0</v>
      </c>
    </row>
    <row r="3863" spans="2:7">
      <c r="B3863" s="848" t="str">
        <f>+'4M'!BO15</f>
        <v>S3007SDT</v>
      </c>
      <c r="D3863" s="2004"/>
      <c r="E3863" s="1658" t="s">
        <v>9033</v>
      </c>
      <c r="F3863" s="2004"/>
      <c r="G3863" s="2004">
        <f>IF('4M'!M15="","##BLANK",'4M'!M15)</f>
        <v>0</v>
      </c>
    </row>
    <row r="3864" spans="2:7">
      <c r="B3864" s="848" t="str">
        <f>+'4M'!BO16</f>
        <v>WWS2002SDT</v>
      </c>
      <c r="D3864" s="2004"/>
      <c r="E3864" s="1658" t="s">
        <v>9033</v>
      </c>
      <c r="F3864" s="2004"/>
      <c r="G3864" s="2004">
        <f>IF('4M'!M16="","##BLANK",'4M'!M16)</f>
        <v>0</v>
      </c>
    </row>
    <row r="3865" spans="2:7">
      <c r="B3865" s="848" t="str">
        <f>+'4M'!BO17</f>
        <v>WWS2003SDT</v>
      </c>
      <c r="D3865" s="2004"/>
      <c r="E3865" s="1658" t="s">
        <v>9033</v>
      </c>
      <c r="F3865" s="2004"/>
      <c r="G3865" s="2004">
        <f>IF('4M'!M17="","##BLANK",'4M'!M17)</f>
        <v>0</v>
      </c>
    </row>
    <row r="3866" spans="2:7">
      <c r="B3866" s="848" t="str">
        <f>+'4M'!BO18</f>
        <v>S3008SDT</v>
      </c>
      <c r="D3866" s="2004"/>
      <c r="E3866" s="1658" t="s">
        <v>9033</v>
      </c>
      <c r="F3866" s="2004"/>
      <c r="G3866" s="2004">
        <f>IF('4M'!M18="","##BLANK",'4M'!M18)</f>
        <v>0</v>
      </c>
    </row>
    <row r="3867" spans="2:7">
      <c r="B3867" s="848" t="str">
        <f>+'4M'!BO19</f>
        <v>S3009SDT</v>
      </c>
      <c r="D3867" s="2004"/>
      <c r="E3867" s="1658" t="s">
        <v>9033</v>
      </c>
      <c r="F3867" s="2004"/>
      <c r="G3867" s="2004">
        <f>IF('4M'!M19="","##BLANK",'4M'!M19)</f>
        <v>0</v>
      </c>
    </row>
    <row r="3868" spans="2:7">
      <c r="B3868" s="848" t="str">
        <f>+'4M'!BO20</f>
        <v>WWS2007SDT</v>
      </c>
      <c r="D3868" s="2004"/>
      <c r="E3868" s="1658" t="s">
        <v>9033</v>
      </c>
      <c r="F3868" s="2004"/>
      <c r="G3868" s="2004">
        <f>IF('4M'!M20="","##BLANK",'4M'!M20)</f>
        <v>0</v>
      </c>
    </row>
    <row r="3869" spans="2:7">
      <c r="B3869" s="848" t="str">
        <f>+'4M'!BO21</f>
        <v>S3010SDT</v>
      </c>
      <c r="D3869" s="2004"/>
      <c r="E3869" s="1658" t="s">
        <v>9033</v>
      </c>
      <c r="F3869" s="2004"/>
      <c r="G3869" s="2004">
        <f>IF('4M'!M21="","##BLANK",'4M'!M21)</f>
        <v>0</v>
      </c>
    </row>
    <row r="3870" spans="2:7">
      <c r="B3870" s="848" t="str">
        <f>+'4M'!BO22</f>
        <v>S3011SDT</v>
      </c>
      <c r="D3870" s="2004"/>
      <c r="E3870" s="1658" t="s">
        <v>9033</v>
      </c>
      <c r="F3870" s="2004"/>
      <c r="G3870" s="2004">
        <f>IF('4M'!M22="","##BLANK",'4M'!M22)</f>
        <v>0</v>
      </c>
    </row>
    <row r="3871" spans="2:7">
      <c r="B3871" s="848" t="str">
        <f>+'4M'!BO23</f>
        <v>S3012SDT</v>
      </c>
      <c r="D3871" s="2004"/>
      <c r="E3871" s="1658" t="s">
        <v>9033</v>
      </c>
      <c r="F3871" s="2004"/>
      <c r="G3871" s="2004">
        <f>IF('4M'!M23="","##BLANK",'4M'!M23)</f>
        <v>0</v>
      </c>
    </row>
    <row r="3872" spans="2:7">
      <c r="B3872" s="848" t="str">
        <f>+'4M'!BO24</f>
        <v>S3013SDT</v>
      </c>
      <c r="D3872" s="2004"/>
      <c r="E3872" s="1658" t="s">
        <v>9033</v>
      </c>
      <c r="F3872" s="2004"/>
      <c r="G3872" s="2004">
        <f>IF('4M'!M24="","##BLANK",'4M'!M24)</f>
        <v>0</v>
      </c>
    </row>
    <row r="3873" spans="2:7">
      <c r="B3873" s="848" t="str">
        <f>+'4M'!BO25</f>
        <v>S3014SDT</v>
      </c>
      <c r="D3873" s="2004"/>
      <c r="E3873" s="1658" t="s">
        <v>9033</v>
      </c>
      <c r="F3873" s="2004"/>
      <c r="G3873" s="2004">
        <f>IF('4M'!M25="","##BLANK",'4M'!M25)</f>
        <v>0</v>
      </c>
    </row>
    <row r="3874" spans="2:7">
      <c r="B3874" s="848" t="str">
        <f>+'4M'!BO26</f>
        <v>S3015SDT</v>
      </c>
      <c r="D3874" s="2004"/>
      <c r="E3874" s="1658" t="s">
        <v>9033</v>
      </c>
      <c r="F3874" s="2004"/>
      <c r="G3874" s="2004">
        <f>IF('4M'!M26="","##BLANK",'4M'!M26)</f>
        <v>2.1139999999999999</v>
      </c>
    </row>
    <row r="3875" spans="2:7">
      <c r="B3875" s="848" t="str">
        <f>+'4M'!BO27</f>
        <v>S3016SDT</v>
      </c>
      <c r="D3875" s="2004"/>
      <c r="E3875" s="1658" t="s">
        <v>9033</v>
      </c>
      <c r="F3875" s="2004"/>
      <c r="G3875" s="2004">
        <f>IF('4M'!M27="","##BLANK",'4M'!M27)</f>
        <v>0</v>
      </c>
    </row>
    <row r="3876" spans="2:7">
      <c r="B3876" s="848" t="str">
        <f>+'4M'!BO28</f>
        <v>S3017SDT</v>
      </c>
      <c r="D3876" s="2004"/>
      <c r="E3876" s="1658" t="s">
        <v>9033</v>
      </c>
      <c r="F3876" s="2004"/>
      <c r="G3876" s="2004">
        <f>IF('4M'!M28="","##BLANK",'4M'!M28)</f>
        <v>0</v>
      </c>
    </row>
    <row r="3877" spans="2:7">
      <c r="B3877" s="848" t="str">
        <f>+'4M'!BO29</f>
        <v>S3018SDT</v>
      </c>
      <c r="D3877" s="2004"/>
      <c r="E3877" s="1658" t="s">
        <v>9033</v>
      </c>
      <c r="F3877" s="2004"/>
      <c r="G3877" s="2004">
        <f>IF('4M'!M29="","##BLANK",'4M'!M29)</f>
        <v>0</v>
      </c>
    </row>
    <row r="3878" spans="2:7">
      <c r="B3878" s="848" t="str">
        <f>+'4M'!BO30</f>
        <v>S3019SDT</v>
      </c>
      <c r="D3878" s="2004"/>
      <c r="E3878" s="1658" t="s">
        <v>9033</v>
      </c>
      <c r="F3878" s="2004"/>
      <c r="G3878" s="2004">
        <f>IF('4M'!M30="","##BLANK",'4M'!M30)</f>
        <v>0</v>
      </c>
    </row>
    <row r="3879" spans="2:7">
      <c r="B3879" s="848" t="str">
        <f>+'4M'!BO31</f>
        <v>S3020SDT</v>
      </c>
      <c r="D3879" s="2004"/>
      <c r="E3879" s="1658" t="s">
        <v>9033</v>
      </c>
      <c r="F3879" s="2004"/>
      <c r="G3879" s="2004">
        <f>IF('4M'!M31="","##BLANK",'4M'!M31)</f>
        <v>0</v>
      </c>
    </row>
    <row r="3880" spans="2:7">
      <c r="B3880" s="848" t="str">
        <f>+'4M'!BO32</f>
        <v>S3021SDT</v>
      </c>
      <c r="D3880" s="2004"/>
      <c r="E3880" s="1658" t="s">
        <v>9033</v>
      </c>
      <c r="F3880" s="2004"/>
      <c r="G3880" s="2004">
        <f>IF('4M'!M32="","##BLANK",'4M'!M32)</f>
        <v>0</v>
      </c>
    </row>
    <row r="3881" spans="2:7">
      <c r="B3881" s="848" t="str">
        <f>+'4M'!BO33</f>
        <v>S3022SDT</v>
      </c>
      <c r="D3881" s="2004"/>
      <c r="E3881" s="1658" t="s">
        <v>9033</v>
      </c>
      <c r="F3881" s="2004"/>
      <c r="G3881" s="2004">
        <f>IF('4M'!M33="","##BLANK",'4M'!M33)</f>
        <v>0</v>
      </c>
    </row>
    <row r="3882" spans="2:7">
      <c r="B3882" s="848" t="str">
        <f>+'4M'!BO34</f>
        <v>BC31785SDT</v>
      </c>
      <c r="D3882" s="2004"/>
      <c r="E3882" s="1658" t="s">
        <v>9033</v>
      </c>
      <c r="F3882" s="2004"/>
      <c r="G3882" s="2004">
        <f>IF('4M'!M34="","##BLANK",'4M'!M34)</f>
        <v>0.17899999999999999</v>
      </c>
    </row>
    <row r="3883" spans="2:7">
      <c r="B3883" s="848" t="str">
        <f>+'4M'!BO35</f>
        <v>S3023SDT</v>
      </c>
      <c r="D3883" s="2004"/>
      <c r="E3883" s="1658" t="s">
        <v>9033</v>
      </c>
      <c r="F3883" s="2004"/>
      <c r="G3883" s="2004">
        <f>IF('4M'!M35="","##BLANK",'4M'!M35)</f>
        <v>0</v>
      </c>
    </row>
    <row r="3884" spans="2:7">
      <c r="B3884" s="848" t="str">
        <f>+'4M'!BO36</f>
        <v>S3024SDT</v>
      </c>
      <c r="D3884" s="2004"/>
      <c r="E3884" s="1658" t="s">
        <v>9033</v>
      </c>
      <c r="F3884" s="2004"/>
      <c r="G3884" s="2004">
        <f>IF('4M'!M36="","##BLANK",'4M'!M36)</f>
        <v>0</v>
      </c>
    </row>
    <row r="3885" spans="2:7">
      <c r="B3885" s="848" t="str">
        <f>+'4M'!BO37</f>
        <v>S3A00001SDT</v>
      </c>
      <c r="D3885" s="2004"/>
      <c r="E3885" s="1658" t="s">
        <v>9033</v>
      </c>
      <c r="F3885" s="2004" t="str">
        <f>+'4M'!C$37</f>
        <v>Bathing water ELoS</v>
      </c>
      <c r="G3885" s="2004">
        <f>IF('4M'!M37="","##BLANK",'4M'!M37)</f>
        <v>0</v>
      </c>
    </row>
    <row r="3886" spans="2:7">
      <c r="B3886" s="848" t="str">
        <f>+'4M'!BO38</f>
        <v>S3A00002SDT</v>
      </c>
      <c r="D3886" s="2004"/>
      <c r="E3886" s="1658" t="s">
        <v>9033</v>
      </c>
      <c r="F3886" s="2004" t="str">
        <f>+'4M'!C$38</f>
        <v>Pollution ELoS</v>
      </c>
      <c r="G3886" s="2004">
        <f>IF('4M'!M38="","##BLANK",'4M'!M38)</f>
        <v>0</v>
      </c>
    </row>
    <row r="3887" spans="2:7">
      <c r="B3887" s="848" t="str">
        <f>+'4M'!BO39</f>
        <v>S3A00003SDT</v>
      </c>
      <c r="D3887" s="2004"/>
      <c r="E3887" s="1658" t="s">
        <v>9033</v>
      </c>
      <c r="F3887" s="2004" t="str">
        <f>+'4M'!C$39</f>
        <v>Connections (if applicable)</v>
      </c>
      <c r="G3887" s="2004">
        <f>IF('4M'!M39="","##BLANK",'4M'!M39)</f>
        <v>0</v>
      </c>
    </row>
    <row r="3888" spans="2:7">
      <c r="B3888" s="848" t="str">
        <f>+'4M'!BO40</f>
        <v>S3A00004SDT</v>
      </c>
      <c r="D3888" s="2004"/>
      <c r="E3888" s="1658" t="s">
        <v>9033</v>
      </c>
      <c r="F3888" s="2004" t="str">
        <f>+'4M'!C$40</f>
        <v>Emergency Overflow Appeals</v>
      </c>
      <c r="G3888" s="2004">
        <f>IF('4M'!M40="","##BLANK",'4M'!M40)</f>
        <v>0</v>
      </c>
    </row>
    <row r="3889" spans="2:7">
      <c r="B3889" s="848" t="str">
        <f>+'4M'!BO41</f>
        <v>S3A00005SDT</v>
      </c>
      <c r="D3889" s="2004"/>
      <c r="E3889" s="1658" t="s">
        <v>9033</v>
      </c>
      <c r="F3889" s="2004" t="str">
        <f>+'4M'!C$41</f>
        <v>Exclusions</v>
      </c>
      <c r="G3889" s="2004">
        <f>IF('4M'!M41="","##BLANK",'4M'!M41)</f>
        <v>0</v>
      </c>
    </row>
    <row r="3890" spans="2:7">
      <c r="B3890" s="848" t="str">
        <f>+'4M'!BO42</f>
        <v>S3A00006SDT</v>
      </c>
      <c r="D3890" s="2004"/>
      <c r="E3890" s="1658" t="s">
        <v>9033</v>
      </c>
      <c r="F3890" s="2004" t="str">
        <f>+'4M'!C$42</f>
        <v>Pollution - UQ</v>
      </c>
      <c r="G3890" s="2004">
        <f>IF('4M'!M42="","##BLANK",'4M'!M42)</f>
        <v>0</v>
      </c>
    </row>
    <row r="3891" spans="2:7">
      <c r="B3891" s="848" t="str">
        <f>+'4M'!BO43</f>
        <v>S3A00007SDT</v>
      </c>
      <c r="D3891" s="2004"/>
      <c r="E3891" s="1658" t="s">
        <v>9033</v>
      </c>
      <c r="F3891" s="2004" t="str">
        <f>+'4M'!C$43</f>
        <v>Internal Flooding - UQ</v>
      </c>
      <c r="G3891" s="2004">
        <f>IF('4M'!M43="","##BLANK",'4M'!M43)</f>
        <v>0</v>
      </c>
    </row>
    <row r="3892" spans="2:7">
      <c r="B3892" s="848" t="str">
        <f>+'4M'!BO44</f>
        <v>S3A00008SDT</v>
      </c>
      <c r="D3892" s="2004"/>
      <c r="E3892" s="1658" t="s">
        <v>9033</v>
      </c>
      <c r="F3892" s="2004" t="str">
        <f>+'4M'!C$44</f>
        <v>Infrastructure network reinforcement</v>
      </c>
      <c r="G3892" s="2004">
        <f>IF('4M'!M44="","##BLANK",'4M'!M44)</f>
        <v>0</v>
      </c>
    </row>
    <row r="3893" spans="2:7">
      <c r="B3893" s="848" t="str">
        <f>+'4M'!BO45</f>
        <v>S3A00009SDT</v>
      </c>
      <c r="D3893" s="2004"/>
      <c r="E3893" s="1658" t="s">
        <v>9033</v>
      </c>
      <c r="F3893" s="2004" t="str">
        <f>+'4M'!C$45</f>
        <v>2020-25 Transition Expenditure - Capex</v>
      </c>
      <c r="G3893" s="2004">
        <f>IF('4M'!M45="","##BLANK",'4M'!M45)</f>
        <v>1E-3</v>
      </c>
    </row>
    <row r="3894" spans="2:7">
      <c r="B3894" s="848" t="str">
        <f>+'4M'!BO46</f>
        <v>S3A00010SDT</v>
      </c>
      <c r="D3894" s="2004"/>
      <c r="E3894" s="1658" t="s">
        <v>9033</v>
      </c>
      <c r="F3894" s="2004" t="str">
        <f>+'4M'!C$46</f>
        <v>Capital expenditure purpose - WASTEWATER additional line 10 [Other categories]</v>
      </c>
      <c r="G3894" s="2004">
        <f>IF('4M'!M46="","##BLANK",'4M'!M46)</f>
        <v>0</v>
      </c>
    </row>
    <row r="3895" spans="2:7">
      <c r="B3895" s="848" t="str">
        <f>+'4M'!BO47</f>
        <v>S3A00011SDT</v>
      </c>
      <c r="D3895" s="2004"/>
      <c r="E3895" s="1658" t="s">
        <v>9033</v>
      </c>
      <c r="F3895" s="2004" t="str">
        <f>+'4M'!C$47</f>
        <v>Capital expenditure purpose - WASTEWATER additional line 11 [Other categories]</v>
      </c>
      <c r="G3895" s="2004">
        <f>IF('4M'!M47="","##BLANK",'4M'!M47)</f>
        <v>0</v>
      </c>
    </row>
    <row r="3896" spans="2:7">
      <c r="B3896" s="848" t="str">
        <f>+'4M'!BO48</f>
        <v>S3A00012SDT</v>
      </c>
      <c r="D3896" s="2004"/>
      <c r="E3896" s="1658" t="s">
        <v>9033</v>
      </c>
      <c r="F3896" s="2004" t="str">
        <f>+'4M'!C$48</f>
        <v>Capital expenditure purpose - WASTEWATER additional line 12 [Other categories]</v>
      </c>
      <c r="G3896" s="2004">
        <f>IF('4M'!M48="","##BLANK",'4M'!M48)</f>
        <v>0</v>
      </c>
    </row>
    <row r="3897" spans="2:7">
      <c r="B3897" s="848" t="str">
        <f>+'4M'!BO49</f>
        <v>S3A00013SDT</v>
      </c>
      <c r="D3897" s="2004"/>
      <c r="E3897" s="1658" t="s">
        <v>9033</v>
      </c>
      <c r="F3897" s="2004" t="str">
        <f>+'4M'!C$49</f>
        <v>Capital expenditure purpose - WASTEWATER additional line 13 [Other categories]</v>
      </c>
      <c r="G3897" s="2004">
        <f>IF('4M'!M49="","##BLANK",'4M'!M49)</f>
        <v>0</v>
      </c>
    </row>
    <row r="3898" spans="2:7">
      <c r="B3898" s="848" t="str">
        <f>+'4M'!BO50</f>
        <v>S3A00014SDT</v>
      </c>
      <c r="D3898" s="2004"/>
      <c r="E3898" s="1658" t="s">
        <v>9033</v>
      </c>
      <c r="F3898" s="2004" t="str">
        <f>+'4M'!C$50</f>
        <v>Capital expenditure purpose - WASTEWATER additional line 14 [Other categories]</v>
      </c>
      <c r="G3898" s="2004">
        <f>IF('4M'!M50="","##BLANK",'4M'!M50)</f>
        <v>0</v>
      </c>
    </row>
    <row r="3899" spans="2:7">
      <c r="B3899" s="848" t="str">
        <f>+'4M'!BO51</f>
        <v>S3A00015SDT</v>
      </c>
      <c r="D3899" s="2004"/>
      <c r="E3899" s="1658" t="s">
        <v>9033</v>
      </c>
      <c r="F3899" s="2004" t="str">
        <f>+'4M'!C$51</f>
        <v>Capital expenditure purpose - WASTEWATER additional line 15 [Other categories]</v>
      </c>
      <c r="G3899" s="2004">
        <f>IF('4M'!M51="","##BLANK",'4M'!M51)</f>
        <v>0</v>
      </c>
    </row>
    <row r="3900" spans="2:7">
      <c r="B3900" s="848" t="str">
        <f>+'4M'!BO52</f>
        <v>S3025ENHSDT</v>
      </c>
      <c r="D3900" s="2004"/>
      <c r="E3900" s="1658" t="s">
        <v>9033</v>
      </c>
      <c r="F3900" s="2004"/>
      <c r="G3900" s="2004">
        <f>IF('4M'!M52="","##BLANK",'4M'!M52)</f>
        <v>2.2939999999999996</v>
      </c>
    </row>
    <row r="3901" spans="2:7">
      <c r="B3901" s="848" t="str">
        <f>+'4M'!BP8</f>
        <v>BC31379SDD</v>
      </c>
      <c r="D3901" s="2004"/>
      <c r="E3901" s="1658" t="s">
        <v>9033</v>
      </c>
      <c r="F3901" s="2004"/>
      <c r="G3901" s="2004">
        <f>IF('4M'!N8="","##BLANK",'4M'!N8)</f>
        <v>0</v>
      </c>
    </row>
    <row r="3902" spans="2:7">
      <c r="B3902" s="848" t="str">
        <f>+'4M'!BP9</f>
        <v>S3035QSDD</v>
      </c>
      <c r="D3902" s="2004"/>
      <c r="E3902" s="1658" t="s">
        <v>9033</v>
      </c>
      <c r="F3902" s="2004"/>
      <c r="G3902" s="2004">
        <f>IF('4M'!N9="","##BLANK",'4M'!N9)</f>
        <v>0</v>
      </c>
    </row>
    <row r="3903" spans="2:7">
      <c r="B3903" s="848" t="str">
        <f>+'4M'!BP10</f>
        <v>S3036GSDD</v>
      </c>
      <c r="D3903" s="2004"/>
      <c r="E3903" s="1658" t="s">
        <v>9033</v>
      </c>
      <c r="F3903" s="2004"/>
      <c r="G3903" s="2004">
        <f>IF('4M'!N10="","##BLANK",'4M'!N10)</f>
        <v>0</v>
      </c>
    </row>
    <row r="3904" spans="2:7">
      <c r="B3904" s="848" t="str">
        <f>+'4M'!BP11</f>
        <v>S3004SDD</v>
      </c>
      <c r="D3904" s="2004"/>
      <c r="E3904" s="1658" t="s">
        <v>9033</v>
      </c>
      <c r="F3904" s="2004"/>
      <c r="G3904" s="2004">
        <f>IF('4M'!N11="","##BLANK",'4M'!N11)</f>
        <v>0</v>
      </c>
    </row>
    <row r="3905" spans="2:7">
      <c r="B3905" s="848" t="str">
        <f>+'4M'!BP12</f>
        <v>WWS2001SDD</v>
      </c>
      <c r="D3905" s="2004"/>
      <c r="E3905" s="1658" t="s">
        <v>9033</v>
      </c>
      <c r="F3905" s="2004"/>
      <c r="G3905" s="2004">
        <f>IF('4M'!N12="","##BLANK",'4M'!N12)</f>
        <v>0</v>
      </c>
    </row>
    <row r="3906" spans="2:7">
      <c r="B3906" s="848" t="str">
        <f>+'4M'!BP13</f>
        <v>S3005SDD</v>
      </c>
      <c r="D3906" s="2004"/>
      <c r="E3906" s="1658" t="s">
        <v>9033</v>
      </c>
      <c r="F3906" s="2004"/>
      <c r="G3906" s="2004">
        <f>IF('4M'!N13="","##BLANK",'4M'!N13)</f>
        <v>0</v>
      </c>
    </row>
    <row r="3907" spans="2:7">
      <c r="B3907" s="848" t="str">
        <f>+'4M'!BP14</f>
        <v>S3006SDD</v>
      </c>
      <c r="D3907" s="2004"/>
      <c r="E3907" s="1658" t="s">
        <v>9033</v>
      </c>
      <c r="F3907" s="2004"/>
      <c r="G3907" s="2004">
        <f>IF('4M'!N14="","##BLANK",'4M'!N14)</f>
        <v>0</v>
      </c>
    </row>
    <row r="3908" spans="2:7">
      <c r="B3908" s="848" t="str">
        <f>+'4M'!BP15</f>
        <v>S3007SDD</v>
      </c>
      <c r="D3908" s="2004"/>
      <c r="E3908" s="1658" t="s">
        <v>9033</v>
      </c>
      <c r="F3908" s="2004"/>
      <c r="G3908" s="2004">
        <f>IF('4M'!N15="","##BLANK",'4M'!N15)</f>
        <v>0</v>
      </c>
    </row>
    <row r="3909" spans="2:7">
      <c r="B3909" s="848" t="str">
        <f>+'4M'!BP16</f>
        <v>WWS2002SDD</v>
      </c>
      <c r="D3909" s="2004"/>
      <c r="E3909" s="1658" t="s">
        <v>9033</v>
      </c>
      <c r="F3909" s="2004"/>
      <c r="G3909" s="2004">
        <f>IF('4M'!N16="","##BLANK",'4M'!N16)</f>
        <v>0</v>
      </c>
    </row>
    <row r="3910" spans="2:7">
      <c r="B3910" s="848" t="str">
        <f>+'4M'!BP17</f>
        <v>WWS2003SDD</v>
      </c>
      <c r="D3910" s="2004"/>
      <c r="E3910" s="1658" t="s">
        <v>9033</v>
      </c>
      <c r="F3910" s="2004"/>
      <c r="G3910" s="2004">
        <f>IF('4M'!N17="","##BLANK",'4M'!N17)</f>
        <v>0</v>
      </c>
    </row>
    <row r="3911" spans="2:7">
      <c r="B3911" s="848" t="str">
        <f>+'4M'!BP18</f>
        <v>S3008SDD</v>
      </c>
      <c r="D3911" s="2004"/>
      <c r="E3911" s="1658" t="s">
        <v>9033</v>
      </c>
      <c r="F3911" s="2004"/>
      <c r="G3911" s="2004">
        <f>IF('4M'!N18="","##BLANK",'4M'!N18)</f>
        <v>0</v>
      </c>
    </row>
    <row r="3912" spans="2:7">
      <c r="B3912" s="848" t="str">
        <f>+'4M'!BP19</f>
        <v>S3009SDD</v>
      </c>
      <c r="D3912" s="2004"/>
      <c r="E3912" s="1658" t="s">
        <v>9033</v>
      </c>
      <c r="F3912" s="2004"/>
      <c r="G3912" s="2004">
        <f>IF('4M'!N19="","##BLANK",'4M'!N19)</f>
        <v>0</v>
      </c>
    </row>
    <row r="3913" spans="2:7">
      <c r="B3913" s="848" t="str">
        <f>+'4M'!BP20</f>
        <v>WWS2007SDD</v>
      </c>
      <c r="D3913" s="2004"/>
      <c r="E3913" s="1658" t="s">
        <v>9033</v>
      </c>
      <c r="F3913" s="2004"/>
      <c r="G3913" s="2004">
        <f>IF('4M'!N20="","##BLANK",'4M'!N20)</f>
        <v>0</v>
      </c>
    </row>
    <row r="3914" spans="2:7">
      <c r="B3914" s="848" t="str">
        <f>+'4M'!BP21</f>
        <v>S3010SDD</v>
      </c>
      <c r="D3914" s="2004"/>
      <c r="E3914" s="1658" t="s">
        <v>9033</v>
      </c>
      <c r="F3914" s="2004"/>
      <c r="G3914" s="2004">
        <f>IF('4M'!N21="","##BLANK",'4M'!N21)</f>
        <v>0</v>
      </c>
    </row>
    <row r="3915" spans="2:7">
      <c r="B3915" s="848" t="str">
        <f>+'4M'!BP22</f>
        <v>S3011SDD</v>
      </c>
      <c r="D3915" s="2004"/>
      <c r="E3915" s="1658" t="s">
        <v>9033</v>
      </c>
      <c r="F3915" s="2004"/>
      <c r="G3915" s="2004">
        <f>IF('4M'!N22="","##BLANK",'4M'!N22)</f>
        <v>0</v>
      </c>
    </row>
    <row r="3916" spans="2:7">
      <c r="B3916" s="848" t="str">
        <f>+'4M'!BP23</f>
        <v>S3012SDD</v>
      </c>
      <c r="D3916" s="2004"/>
      <c r="E3916" s="1658" t="s">
        <v>9033</v>
      </c>
      <c r="F3916" s="2004"/>
      <c r="G3916" s="2004">
        <f>IF('4M'!N23="","##BLANK",'4M'!N23)</f>
        <v>0</v>
      </c>
    </row>
    <row r="3917" spans="2:7">
      <c r="B3917" s="848" t="str">
        <f>+'4M'!BP24</f>
        <v>S3013SDD</v>
      </c>
      <c r="D3917" s="2004"/>
      <c r="E3917" s="1658" t="s">
        <v>9033</v>
      </c>
      <c r="F3917" s="2004"/>
      <c r="G3917" s="2004">
        <f>IF('4M'!N24="","##BLANK",'4M'!N24)</f>
        <v>0</v>
      </c>
    </row>
    <row r="3918" spans="2:7">
      <c r="B3918" s="848" t="str">
        <f>+'4M'!BP25</f>
        <v>S3014SDD</v>
      </c>
      <c r="D3918" s="2004"/>
      <c r="E3918" s="1658" t="s">
        <v>9033</v>
      </c>
      <c r="F3918" s="2004"/>
      <c r="G3918" s="2004">
        <f>IF('4M'!N25="","##BLANK",'4M'!N25)</f>
        <v>0</v>
      </c>
    </row>
    <row r="3919" spans="2:7">
      <c r="B3919" s="848" t="str">
        <f>+'4M'!BP26</f>
        <v>S3015SDD</v>
      </c>
      <c r="D3919" s="2004"/>
      <c r="E3919" s="1658" t="s">
        <v>9033</v>
      </c>
      <c r="F3919" s="2004"/>
      <c r="G3919" s="2004">
        <f>IF('4M'!N26="","##BLANK",'4M'!N26)</f>
        <v>0</v>
      </c>
    </row>
    <row r="3920" spans="2:7">
      <c r="B3920" s="848" t="str">
        <f>+'4M'!BP27</f>
        <v>S3016SDD</v>
      </c>
      <c r="D3920" s="2004"/>
      <c r="E3920" s="1658" t="s">
        <v>9033</v>
      </c>
      <c r="F3920" s="2004"/>
      <c r="G3920" s="2004">
        <f>IF('4M'!N27="","##BLANK",'4M'!N27)</f>
        <v>0</v>
      </c>
    </row>
    <row r="3921" spans="2:7">
      <c r="B3921" s="848" t="str">
        <f>+'4M'!BP28</f>
        <v>S3017SDD</v>
      </c>
      <c r="D3921" s="2004"/>
      <c r="E3921" s="1658" t="s">
        <v>9033</v>
      </c>
      <c r="F3921" s="2004"/>
      <c r="G3921" s="2004">
        <f>IF('4M'!N28="","##BLANK",'4M'!N28)</f>
        <v>0</v>
      </c>
    </row>
    <row r="3922" spans="2:7">
      <c r="B3922" s="848" t="str">
        <f>+'4M'!BP29</f>
        <v>S3018SDD</v>
      </c>
      <c r="D3922" s="2004"/>
      <c r="E3922" s="1658" t="s">
        <v>9033</v>
      </c>
      <c r="F3922" s="2004"/>
      <c r="G3922" s="2004">
        <f>IF('4M'!N29="","##BLANK",'4M'!N29)</f>
        <v>0</v>
      </c>
    </row>
    <row r="3923" spans="2:7">
      <c r="B3923" s="848" t="str">
        <f>+'4M'!BP30</f>
        <v>S3019SDD</v>
      </c>
      <c r="D3923" s="2004"/>
      <c r="E3923" s="1658" t="s">
        <v>9033</v>
      </c>
      <c r="F3923" s="2004"/>
      <c r="G3923" s="2004">
        <f>IF('4M'!N30="","##BLANK",'4M'!N30)</f>
        <v>0</v>
      </c>
    </row>
    <row r="3924" spans="2:7">
      <c r="B3924" s="848" t="str">
        <f>+'4M'!BP31</f>
        <v>S3020SDD</v>
      </c>
      <c r="D3924" s="2004"/>
      <c r="E3924" s="1658" t="s">
        <v>9033</v>
      </c>
      <c r="F3924" s="2004"/>
      <c r="G3924" s="2004">
        <f>IF('4M'!N31="","##BLANK",'4M'!N31)</f>
        <v>0</v>
      </c>
    </row>
    <row r="3925" spans="2:7">
      <c r="B3925" s="848" t="str">
        <f>+'4M'!BP32</f>
        <v>S3021SDD</v>
      </c>
      <c r="D3925" s="2004"/>
      <c r="E3925" s="1658" t="s">
        <v>9033</v>
      </c>
      <c r="F3925" s="2004"/>
      <c r="G3925" s="2004">
        <f>IF('4M'!N32="","##BLANK",'4M'!N32)</f>
        <v>0</v>
      </c>
    </row>
    <row r="3926" spans="2:7">
      <c r="B3926" s="848" t="str">
        <f>+'4M'!BP33</f>
        <v>S3022SDD</v>
      </c>
      <c r="D3926" s="2004"/>
      <c r="E3926" s="1658" t="s">
        <v>9033</v>
      </c>
      <c r="F3926" s="2004"/>
      <c r="G3926" s="2004">
        <f>IF('4M'!N33="","##BLANK",'4M'!N33)</f>
        <v>0</v>
      </c>
    </row>
    <row r="3927" spans="2:7">
      <c r="B3927" s="848" t="str">
        <f>+'4M'!BP34</f>
        <v>BC31785SDD</v>
      </c>
      <c r="D3927" s="2004"/>
      <c r="E3927" s="1658" t="s">
        <v>9033</v>
      </c>
      <c r="F3927" s="2004"/>
      <c r="G3927" s="2004">
        <f>IF('4M'!N34="","##BLANK",'4M'!N34)</f>
        <v>5.0000000000000001E-3</v>
      </c>
    </row>
    <row r="3928" spans="2:7">
      <c r="B3928" s="848" t="str">
        <f>+'4M'!BP35</f>
        <v>S3023SDD</v>
      </c>
      <c r="D3928" s="2004"/>
      <c r="E3928" s="1658" t="s">
        <v>9033</v>
      </c>
      <c r="F3928" s="2004"/>
      <c r="G3928" s="2004">
        <f>IF('4M'!N35="","##BLANK",'4M'!N35)</f>
        <v>0</v>
      </c>
    </row>
    <row r="3929" spans="2:7">
      <c r="B3929" s="848" t="str">
        <f>+'4M'!BP36</f>
        <v>S3024SDD</v>
      </c>
      <c r="D3929" s="2004"/>
      <c r="E3929" s="1658" t="s">
        <v>9033</v>
      </c>
      <c r="F3929" s="2004"/>
      <c r="G3929" s="2004">
        <f>IF('4M'!N36="","##BLANK",'4M'!N36)</f>
        <v>0</v>
      </c>
    </row>
    <row r="3930" spans="2:7">
      <c r="B3930" s="848" t="str">
        <f>+'4M'!BP37</f>
        <v>S3A00001SDD</v>
      </c>
      <c r="D3930" s="2004"/>
      <c r="E3930" s="1658" t="s">
        <v>9033</v>
      </c>
      <c r="F3930" s="2004" t="str">
        <f>+'4M'!C$37</f>
        <v>Bathing water ELoS</v>
      </c>
      <c r="G3930" s="2004">
        <f>IF('4M'!N37="","##BLANK",'4M'!N37)</f>
        <v>0</v>
      </c>
    </row>
    <row r="3931" spans="2:7">
      <c r="B3931" s="848" t="str">
        <f>+'4M'!BP38</f>
        <v>S3A00002SDD</v>
      </c>
      <c r="D3931" s="2004"/>
      <c r="E3931" s="1658" t="s">
        <v>9033</v>
      </c>
      <c r="F3931" s="2004" t="str">
        <f>+'4M'!C$38</f>
        <v>Pollution ELoS</v>
      </c>
      <c r="G3931" s="2004">
        <f>IF('4M'!N38="","##BLANK",'4M'!N38)</f>
        <v>0</v>
      </c>
    </row>
    <row r="3932" spans="2:7">
      <c r="B3932" s="848" t="str">
        <f>+'4M'!BP39</f>
        <v>S3A00003SDD</v>
      </c>
      <c r="D3932" s="2004"/>
      <c r="E3932" s="1658" t="s">
        <v>9033</v>
      </c>
      <c r="F3932" s="2004" t="str">
        <f>+'4M'!C$39</f>
        <v>Connections (if applicable)</v>
      </c>
      <c r="G3932" s="2004">
        <f>IF('4M'!N39="","##BLANK",'4M'!N39)</f>
        <v>0</v>
      </c>
    </row>
    <row r="3933" spans="2:7">
      <c r="B3933" s="848" t="str">
        <f>+'4M'!BP40</f>
        <v>S3A00004SDD</v>
      </c>
      <c r="D3933" s="2004"/>
      <c r="E3933" s="1658" t="s">
        <v>9033</v>
      </c>
      <c r="F3933" s="2004" t="str">
        <f>+'4M'!C$40</f>
        <v>Emergency Overflow Appeals</v>
      </c>
      <c r="G3933" s="2004">
        <f>IF('4M'!N40="","##BLANK",'4M'!N40)</f>
        <v>0</v>
      </c>
    </row>
    <row r="3934" spans="2:7">
      <c r="B3934" s="848" t="str">
        <f>+'4M'!BP41</f>
        <v>S3A00005SDD</v>
      </c>
      <c r="D3934" s="2004"/>
      <c r="E3934" s="1658" t="s">
        <v>9033</v>
      </c>
      <c r="F3934" s="2004" t="str">
        <f>+'4M'!C$41</f>
        <v>Exclusions</v>
      </c>
      <c r="G3934" s="2004">
        <f>IF('4M'!N41="","##BLANK",'4M'!N41)</f>
        <v>0</v>
      </c>
    </row>
    <row r="3935" spans="2:7">
      <c r="B3935" s="848" t="str">
        <f>+'4M'!BP42</f>
        <v>S3A00006SDD</v>
      </c>
      <c r="D3935" s="2004"/>
      <c r="E3935" s="1658" t="s">
        <v>9033</v>
      </c>
      <c r="F3935" s="2004" t="str">
        <f>+'4M'!C$42</f>
        <v>Pollution - UQ</v>
      </c>
      <c r="G3935" s="2004">
        <f>IF('4M'!N42="","##BLANK",'4M'!N42)</f>
        <v>0</v>
      </c>
    </row>
    <row r="3936" spans="2:7">
      <c r="B3936" s="848" t="str">
        <f>+'4M'!BP43</f>
        <v>S3A00007SDD</v>
      </c>
      <c r="D3936" s="2004"/>
      <c r="E3936" s="1658" t="s">
        <v>9033</v>
      </c>
      <c r="F3936" s="2004" t="str">
        <f>+'4M'!C$43</f>
        <v>Internal Flooding - UQ</v>
      </c>
      <c r="G3936" s="2004">
        <f>IF('4M'!N43="","##BLANK",'4M'!N43)</f>
        <v>0</v>
      </c>
    </row>
    <row r="3937" spans="2:7">
      <c r="B3937" s="848" t="str">
        <f>+'4M'!BP44</f>
        <v>S3A00008SDD</v>
      </c>
      <c r="D3937" s="2004"/>
      <c r="E3937" s="1658" t="s">
        <v>9033</v>
      </c>
      <c r="F3937" s="2004" t="str">
        <f>+'4M'!C$44</f>
        <v>Infrastructure network reinforcement</v>
      </c>
      <c r="G3937" s="2004">
        <f>IF('4M'!N44="","##BLANK",'4M'!N44)</f>
        <v>0</v>
      </c>
    </row>
    <row r="3938" spans="2:7">
      <c r="B3938" s="848" t="str">
        <f>+'4M'!BP45</f>
        <v>S3A00009SDD</v>
      </c>
      <c r="D3938" s="2004"/>
      <c r="E3938" s="1658" t="s">
        <v>9033</v>
      </c>
      <c r="F3938" s="2004" t="str">
        <f>+'4M'!C$45</f>
        <v>2020-25 Transition Expenditure - Capex</v>
      </c>
      <c r="G3938" s="2004">
        <f>IF('4M'!N45="","##BLANK",'4M'!N45)</f>
        <v>0</v>
      </c>
    </row>
    <row r="3939" spans="2:7">
      <c r="B3939" s="848" t="str">
        <f>+'4M'!BP46</f>
        <v>S3A00010SDD</v>
      </c>
      <c r="D3939" s="2004"/>
      <c r="E3939" s="1658" t="s">
        <v>9033</v>
      </c>
      <c r="F3939" s="2004" t="str">
        <f>+'4M'!C$46</f>
        <v>Capital expenditure purpose - WASTEWATER additional line 10 [Other categories]</v>
      </c>
      <c r="G3939" s="2004">
        <f>IF('4M'!N46="","##BLANK",'4M'!N46)</f>
        <v>0</v>
      </c>
    </row>
    <row r="3940" spans="2:7">
      <c r="B3940" s="848" t="str">
        <f>+'4M'!BP47</f>
        <v>S3A00011SDD</v>
      </c>
      <c r="D3940" s="2004"/>
      <c r="E3940" s="1658" t="s">
        <v>9033</v>
      </c>
      <c r="F3940" s="2004" t="str">
        <f>+'4M'!C$47</f>
        <v>Capital expenditure purpose - WASTEWATER additional line 11 [Other categories]</v>
      </c>
      <c r="G3940" s="2004">
        <f>IF('4M'!N47="","##BLANK",'4M'!N47)</f>
        <v>0</v>
      </c>
    </row>
    <row r="3941" spans="2:7">
      <c r="B3941" s="848" t="str">
        <f>+'4M'!BP48</f>
        <v>S3A00012SDD</v>
      </c>
      <c r="D3941" s="2004"/>
      <c r="E3941" s="1658" t="s">
        <v>9033</v>
      </c>
      <c r="F3941" s="2004" t="str">
        <f>+'4M'!C$48</f>
        <v>Capital expenditure purpose - WASTEWATER additional line 12 [Other categories]</v>
      </c>
      <c r="G3941" s="2004">
        <f>IF('4M'!N48="","##BLANK",'4M'!N48)</f>
        <v>0</v>
      </c>
    </row>
    <row r="3942" spans="2:7">
      <c r="B3942" s="848" t="str">
        <f>+'4M'!BP49</f>
        <v>S3A00013SDD</v>
      </c>
      <c r="D3942" s="2004"/>
      <c r="E3942" s="1658" t="s">
        <v>9033</v>
      </c>
      <c r="F3942" s="2004" t="str">
        <f>+'4M'!C$49</f>
        <v>Capital expenditure purpose - WASTEWATER additional line 13 [Other categories]</v>
      </c>
      <c r="G3942" s="2004">
        <f>IF('4M'!N49="","##BLANK",'4M'!N49)</f>
        <v>0</v>
      </c>
    </row>
    <row r="3943" spans="2:7">
      <c r="B3943" s="848" t="str">
        <f>+'4M'!BP50</f>
        <v>S3A00014SDD</v>
      </c>
      <c r="D3943" s="2004"/>
      <c r="E3943" s="1658" t="s">
        <v>9033</v>
      </c>
      <c r="F3943" s="2004" t="str">
        <f>+'4M'!C$50</f>
        <v>Capital expenditure purpose - WASTEWATER additional line 14 [Other categories]</v>
      </c>
      <c r="G3943" s="2004">
        <f>IF('4M'!N50="","##BLANK",'4M'!N50)</f>
        <v>0</v>
      </c>
    </row>
    <row r="3944" spans="2:7">
      <c r="B3944" s="848" t="str">
        <f>+'4M'!BP51</f>
        <v>S3A00015SDD</v>
      </c>
      <c r="D3944" s="2004"/>
      <c r="E3944" s="1658" t="s">
        <v>9033</v>
      </c>
      <c r="F3944" s="2004" t="str">
        <f>+'4M'!C$51</f>
        <v>Capital expenditure purpose - WASTEWATER additional line 15 [Other categories]</v>
      </c>
      <c r="G3944" s="2004">
        <f>IF('4M'!N51="","##BLANK",'4M'!N51)</f>
        <v>0</v>
      </c>
    </row>
    <row r="3945" spans="2:7">
      <c r="B3945" s="848" t="str">
        <f>+'4M'!BP52</f>
        <v>S3025ENHSDD</v>
      </c>
      <c r="D3945" s="2004"/>
      <c r="E3945" s="1658" t="s">
        <v>9033</v>
      </c>
      <c r="F3945" s="2004"/>
      <c r="G3945" s="2004">
        <f>IF('4M'!N52="","##BLANK",'4M'!N52)</f>
        <v>5.0000000000000001E-3</v>
      </c>
    </row>
    <row r="3946" spans="2:7">
      <c r="B3946" s="848" t="str">
        <f>+'4M'!BQ8</f>
        <v>BC31379CAS</v>
      </c>
      <c r="D3946" s="2004"/>
      <c r="E3946" s="1658" t="s">
        <v>9033</v>
      </c>
      <c r="F3946" s="2004"/>
      <c r="G3946" s="2004">
        <f>IF('4M'!O8="","##BLANK",'4M'!O8)</f>
        <v>2.5999999999999999E-2</v>
      </c>
    </row>
    <row r="3947" spans="2:7">
      <c r="B3947" s="848" t="str">
        <f>+'4M'!BQ9</f>
        <v>S3035QCAS</v>
      </c>
      <c r="D3947" s="2004"/>
      <c r="E3947" s="1658" t="s">
        <v>9033</v>
      </c>
      <c r="F3947" s="2004"/>
      <c r="G3947" s="2004">
        <f>IF('4M'!O9="","##BLANK",'4M'!O9)</f>
        <v>0.01</v>
      </c>
    </row>
    <row r="3948" spans="2:7">
      <c r="B3948" s="848" t="str">
        <f>+'4M'!BQ10</f>
        <v>S3036GCAS</v>
      </c>
      <c r="D3948" s="2004"/>
      <c r="E3948" s="1658" t="s">
        <v>9033</v>
      </c>
      <c r="F3948" s="2004"/>
      <c r="G3948" s="2004">
        <f>IF('4M'!O10="","##BLANK",'4M'!O10)</f>
        <v>0</v>
      </c>
    </row>
    <row r="3949" spans="2:7">
      <c r="B3949" s="848" t="str">
        <f>+'4M'!BQ11</f>
        <v>S3004CAS</v>
      </c>
      <c r="D3949" s="2004"/>
      <c r="E3949" s="1658" t="s">
        <v>9033</v>
      </c>
      <c r="F3949" s="2004"/>
      <c r="G3949" s="2004">
        <f>IF('4M'!O11="","##BLANK",'4M'!O11)</f>
        <v>0</v>
      </c>
    </row>
    <row r="3950" spans="2:7">
      <c r="B3950" s="848" t="str">
        <f>+'4M'!BQ12</f>
        <v>WWS2001CAS</v>
      </c>
      <c r="D3950" s="2004"/>
      <c r="E3950" s="1658" t="s">
        <v>9033</v>
      </c>
      <c r="F3950" s="2004"/>
      <c r="G3950" s="2004">
        <f>IF('4M'!O12="","##BLANK",'4M'!O12)</f>
        <v>0</v>
      </c>
    </row>
    <row r="3951" spans="2:7">
      <c r="B3951" s="848" t="str">
        <f>+'4M'!BQ13</f>
        <v>S3005CAS</v>
      </c>
      <c r="D3951" s="2004"/>
      <c r="E3951" s="1658" t="s">
        <v>9033</v>
      </c>
      <c r="F3951" s="2004"/>
      <c r="G3951" s="2004">
        <f>IF('4M'!O13="","##BLANK",'4M'!O13)</f>
        <v>1.5529999999999999</v>
      </c>
    </row>
    <row r="3952" spans="2:7">
      <c r="B3952" s="848" t="str">
        <f>+'4M'!BQ14</f>
        <v>S3006CAS</v>
      </c>
      <c r="D3952" s="2004"/>
      <c r="E3952" s="1658" t="s">
        <v>9033</v>
      </c>
      <c r="F3952" s="2004"/>
      <c r="G3952" s="2004">
        <f>IF('4M'!O14="","##BLANK",'4M'!O14)</f>
        <v>0.30499999999999999</v>
      </c>
    </row>
    <row r="3953" spans="2:7">
      <c r="B3953" s="848" t="str">
        <f>+'4M'!BQ15</f>
        <v>S3007CAS</v>
      </c>
      <c r="D3953" s="2004"/>
      <c r="E3953" s="1658" t="s">
        <v>9033</v>
      </c>
      <c r="F3953" s="2004"/>
      <c r="G3953" s="2004">
        <f>IF('4M'!O15="","##BLANK",'4M'!O15)</f>
        <v>0</v>
      </c>
    </row>
    <row r="3954" spans="2:7">
      <c r="B3954" s="848" t="str">
        <f>+'4M'!BQ16</f>
        <v>WWS2002CAS</v>
      </c>
      <c r="D3954" s="2004"/>
      <c r="E3954" s="1658" t="s">
        <v>9033</v>
      </c>
      <c r="F3954" s="2004"/>
      <c r="G3954" s="2004">
        <f>IF('4M'!O16="","##BLANK",'4M'!O16)</f>
        <v>0</v>
      </c>
    </row>
    <row r="3955" spans="2:7">
      <c r="B3955" s="848" t="str">
        <f>+'4M'!BQ17</f>
        <v>WWS2003CAS</v>
      </c>
      <c r="D3955" s="2004"/>
      <c r="E3955" s="1658" t="s">
        <v>9033</v>
      </c>
      <c r="F3955" s="2004"/>
      <c r="G3955" s="2004">
        <f>IF('4M'!O17="","##BLANK",'4M'!O17)</f>
        <v>0</v>
      </c>
    </row>
    <row r="3956" spans="2:7">
      <c r="B3956" s="848" t="str">
        <f>+'4M'!BQ18</f>
        <v>S3008CAS</v>
      </c>
      <c r="D3956" s="2004"/>
      <c r="E3956" s="1658" t="s">
        <v>9033</v>
      </c>
      <c r="F3956" s="2004"/>
      <c r="G3956" s="2004">
        <f>IF('4M'!O18="","##BLANK",'4M'!O18)</f>
        <v>3.2110000000000003</v>
      </c>
    </row>
    <row r="3957" spans="2:7">
      <c r="B3957" s="848" t="str">
        <f>+'4M'!BQ19</f>
        <v>S3009CAS</v>
      </c>
      <c r="D3957" s="2004"/>
      <c r="E3957" s="1658" t="s">
        <v>9033</v>
      </c>
      <c r="F3957" s="2004"/>
      <c r="G3957" s="2004">
        <f>IF('4M'!O19="","##BLANK",'4M'!O19)</f>
        <v>0.36299999999999999</v>
      </c>
    </row>
    <row r="3958" spans="2:7">
      <c r="B3958" s="848" t="str">
        <f>+'4M'!BQ20</f>
        <v>WWS2007CAS</v>
      </c>
      <c r="D3958" s="2004"/>
      <c r="E3958" s="1658" t="s">
        <v>9033</v>
      </c>
      <c r="F3958" s="2004"/>
      <c r="G3958" s="2004">
        <f>IF('4M'!O20="","##BLANK",'4M'!O20)</f>
        <v>0</v>
      </c>
    </row>
    <row r="3959" spans="2:7">
      <c r="B3959" s="848" t="str">
        <f>+'4M'!BQ21</f>
        <v>S3010CAS</v>
      </c>
      <c r="D3959" s="2004"/>
      <c r="E3959" s="1658" t="s">
        <v>9033</v>
      </c>
      <c r="F3959" s="2004"/>
      <c r="G3959" s="2004">
        <f>IF('4M'!O21="","##BLANK",'4M'!O21)</f>
        <v>0</v>
      </c>
    </row>
    <row r="3960" spans="2:7">
      <c r="B3960" s="848" t="str">
        <f>+'4M'!BQ22</f>
        <v>S3011CAS</v>
      </c>
      <c r="D3960" s="2004"/>
      <c r="E3960" s="1658" t="s">
        <v>9033</v>
      </c>
      <c r="F3960" s="2004"/>
      <c r="G3960" s="2004">
        <f>IF('4M'!O22="","##BLANK",'4M'!O22)</f>
        <v>0.25700000000000001</v>
      </c>
    </row>
    <row r="3961" spans="2:7">
      <c r="B3961" s="848" t="str">
        <f>+'4M'!BQ23</f>
        <v>S3012CAS</v>
      </c>
      <c r="D3961" s="2004"/>
      <c r="E3961" s="1658" t="s">
        <v>9033</v>
      </c>
      <c r="F3961" s="2004"/>
      <c r="G3961" s="2004">
        <f>IF('4M'!O23="","##BLANK",'4M'!O23)</f>
        <v>0</v>
      </c>
    </row>
    <row r="3962" spans="2:7">
      <c r="B3962" s="848" t="str">
        <f>+'4M'!BQ24</f>
        <v>S3013CAS</v>
      </c>
      <c r="D3962" s="2004"/>
      <c r="E3962" s="1658" t="s">
        <v>9033</v>
      </c>
      <c r="F3962" s="2004"/>
      <c r="G3962" s="2004">
        <f>IF('4M'!O24="","##BLANK",'4M'!O24)</f>
        <v>2.7010000000000001</v>
      </c>
    </row>
    <row r="3963" spans="2:7">
      <c r="B3963" s="848" t="str">
        <f>+'4M'!BQ25</f>
        <v>S3014CAS</v>
      </c>
      <c r="D3963" s="2004"/>
      <c r="E3963" s="1658" t="s">
        <v>9033</v>
      </c>
      <c r="F3963" s="2004"/>
      <c r="G3963" s="2004">
        <f>IF('4M'!O25="","##BLANK",'4M'!O25)</f>
        <v>15.391999999999999</v>
      </c>
    </row>
    <row r="3964" spans="2:7">
      <c r="B3964" s="848" t="str">
        <f>+'4M'!BQ26</f>
        <v>S3015CAS</v>
      </c>
      <c r="D3964" s="2004"/>
      <c r="E3964" s="1658" t="s">
        <v>9033</v>
      </c>
      <c r="F3964" s="2004"/>
      <c r="G3964" s="2004">
        <f>IF('4M'!O26="","##BLANK",'4M'!O26)</f>
        <v>11.682000000000002</v>
      </c>
    </row>
    <row r="3965" spans="2:7">
      <c r="B3965" s="848" t="str">
        <f>+'4M'!BQ27</f>
        <v>S3016CAS</v>
      </c>
      <c r="D3965" s="2004"/>
      <c r="E3965" s="1658" t="s">
        <v>9033</v>
      </c>
      <c r="F3965" s="2004"/>
      <c r="G3965" s="2004">
        <f>IF('4M'!O27="","##BLANK",'4M'!O27)</f>
        <v>0</v>
      </c>
    </row>
    <row r="3966" spans="2:7">
      <c r="B3966" s="848" t="str">
        <f>+'4M'!BQ28</f>
        <v>S3017CAS</v>
      </c>
      <c r="D3966" s="2004"/>
      <c r="E3966" s="1658" t="s">
        <v>9033</v>
      </c>
      <c r="F3966" s="2004"/>
      <c r="G3966" s="2004">
        <f>IF('4M'!O28="","##BLANK",'4M'!O28)</f>
        <v>0</v>
      </c>
    </row>
    <row r="3967" spans="2:7">
      <c r="B3967" s="848" t="str">
        <f>+'4M'!BQ29</f>
        <v>S3018CAS</v>
      </c>
      <c r="D3967" s="2004"/>
      <c r="E3967" s="1658" t="s">
        <v>9033</v>
      </c>
      <c r="F3967" s="2004"/>
      <c r="G3967" s="2004">
        <f>IF('4M'!O29="","##BLANK",'4M'!O29)</f>
        <v>0</v>
      </c>
    </row>
    <row r="3968" spans="2:7">
      <c r="B3968" s="848" t="str">
        <f>+'4M'!BQ30</f>
        <v>S3019CAS</v>
      </c>
      <c r="D3968" s="2004"/>
      <c r="E3968" s="1658" t="s">
        <v>9033</v>
      </c>
      <c r="F3968" s="2004"/>
      <c r="G3968" s="2004">
        <f>IF('4M'!O30="","##BLANK",'4M'!O30)</f>
        <v>0</v>
      </c>
    </row>
    <row r="3969" spans="2:7">
      <c r="B3969" s="848" t="str">
        <f>+'4M'!BQ31</f>
        <v>S3020CAS</v>
      </c>
      <c r="D3969" s="2004"/>
      <c r="E3969" s="1658" t="s">
        <v>9033</v>
      </c>
      <c r="F3969" s="2004"/>
      <c r="G3969" s="2004">
        <f>IF('4M'!O31="","##BLANK",'4M'!O31)</f>
        <v>3.2839999999999998</v>
      </c>
    </row>
    <row r="3970" spans="2:7">
      <c r="B3970" s="848" t="str">
        <f>+'4M'!BQ32</f>
        <v>S3021CAS</v>
      </c>
      <c r="D3970" s="2004"/>
      <c r="E3970" s="1658" t="s">
        <v>9033</v>
      </c>
      <c r="F3970" s="2004"/>
      <c r="G3970" s="2004">
        <f>IF('4M'!O32="","##BLANK",'4M'!O32)</f>
        <v>0.89700000000000002</v>
      </c>
    </row>
    <row r="3971" spans="2:7">
      <c r="B3971" s="848" t="str">
        <f>+'4M'!BQ33</f>
        <v>S3022CAS</v>
      </c>
      <c r="D3971" s="2004"/>
      <c r="E3971" s="1658" t="s">
        <v>9033</v>
      </c>
      <c r="F3971" s="2004"/>
      <c r="G3971" s="2004">
        <f>IF('4M'!O33="","##BLANK",'4M'!O33)</f>
        <v>0</v>
      </c>
    </row>
    <row r="3972" spans="2:7">
      <c r="B3972" s="848" t="str">
        <f>+'4M'!BQ34</f>
        <v>BC31785CAS</v>
      </c>
      <c r="D3972" s="2004"/>
      <c r="E3972" s="1658" t="s">
        <v>9033</v>
      </c>
      <c r="F3972" s="2004"/>
      <c r="G3972" s="2004">
        <f>IF('4M'!O34="","##BLANK",'4M'!O34)</f>
        <v>1.6689999999999998</v>
      </c>
    </row>
    <row r="3973" spans="2:7">
      <c r="B3973" s="848" t="str">
        <f>+'4M'!BQ35</f>
        <v>S3023CAS</v>
      </c>
      <c r="D3973" s="2004"/>
      <c r="E3973" s="1658" t="s">
        <v>9033</v>
      </c>
      <c r="F3973" s="2004"/>
      <c r="G3973" s="2004">
        <f>IF('4M'!O35="","##BLANK",'4M'!O35)</f>
        <v>5.4729999999999999</v>
      </c>
    </row>
    <row r="3974" spans="2:7">
      <c r="B3974" s="848" t="str">
        <f>+'4M'!BQ36</f>
        <v>S3024CAS</v>
      </c>
      <c r="D3974" s="2004"/>
      <c r="E3974" s="1658" t="s">
        <v>9033</v>
      </c>
      <c r="F3974" s="2004"/>
      <c r="G3974" s="2004">
        <f>IF('4M'!O36="","##BLANK",'4M'!O36)</f>
        <v>7.5949999999999998</v>
      </c>
    </row>
    <row r="3975" spans="2:7">
      <c r="B3975" s="848" t="str">
        <f>+'4M'!BQ37</f>
        <v>S3A00001CAS</v>
      </c>
      <c r="D3975" s="2004"/>
      <c r="E3975" s="1658" t="s">
        <v>9033</v>
      </c>
      <c r="F3975" s="2004" t="str">
        <f>+'4M'!C$37</f>
        <v>Bathing water ELoS</v>
      </c>
      <c r="G3975" s="2004">
        <f>IF('4M'!O37="","##BLANK",'4M'!O37)</f>
        <v>0</v>
      </c>
    </row>
    <row r="3976" spans="2:7">
      <c r="B3976" s="848" t="str">
        <f>+'4M'!BQ38</f>
        <v>S3A00002CAS</v>
      </c>
      <c r="D3976" s="2004"/>
      <c r="E3976" s="1658" t="s">
        <v>9033</v>
      </c>
      <c r="F3976" s="2004" t="str">
        <f>+'4M'!C$38</f>
        <v>Pollution ELoS</v>
      </c>
      <c r="G3976" s="2004">
        <f>IF('4M'!O38="","##BLANK",'4M'!O38)</f>
        <v>0</v>
      </c>
    </row>
    <row r="3977" spans="2:7">
      <c r="B3977" s="848" t="str">
        <f>+'4M'!BQ39</f>
        <v>S3A00003CAS</v>
      </c>
      <c r="D3977" s="2004"/>
      <c r="E3977" s="1658" t="s">
        <v>9033</v>
      </c>
      <c r="F3977" s="2004" t="str">
        <f>+'4M'!C$39</f>
        <v>Connections (if applicable)</v>
      </c>
      <c r="G3977" s="2004">
        <f>IF('4M'!O39="","##BLANK",'4M'!O39)</f>
        <v>0</v>
      </c>
    </row>
    <row r="3978" spans="2:7">
      <c r="B3978" s="848" t="str">
        <f>+'4M'!BQ40</f>
        <v>S3A00004CAS</v>
      </c>
      <c r="D3978" s="2004"/>
      <c r="E3978" s="1658" t="s">
        <v>9033</v>
      </c>
      <c r="F3978" s="2004" t="str">
        <f>+'4M'!C$40</f>
        <v>Emergency Overflow Appeals</v>
      </c>
      <c r="G3978" s="2004">
        <f>IF('4M'!O40="","##BLANK",'4M'!O40)</f>
        <v>1.2E-2</v>
      </c>
    </row>
    <row r="3979" spans="2:7">
      <c r="B3979" s="848" t="str">
        <f>+'4M'!BQ41</f>
        <v>S3A00005CAS</v>
      </c>
      <c r="D3979" s="2004"/>
      <c r="E3979" s="1658" t="s">
        <v>9033</v>
      </c>
      <c r="F3979" s="2004" t="str">
        <f>+'4M'!C$41</f>
        <v>Exclusions</v>
      </c>
      <c r="G3979" s="2004">
        <f>IF('4M'!O41="","##BLANK",'4M'!O41)</f>
        <v>0</v>
      </c>
    </row>
    <row r="3980" spans="2:7">
      <c r="B3980" s="848" t="str">
        <f>+'4M'!BQ42</f>
        <v>S3A00006CAS</v>
      </c>
      <c r="D3980" s="2004"/>
      <c r="E3980" s="1658" t="s">
        <v>9033</v>
      </c>
      <c r="F3980" s="2004" t="str">
        <f>+'4M'!C$42</f>
        <v>Pollution - UQ</v>
      </c>
      <c r="G3980" s="2004">
        <f>IF('4M'!O42="","##BLANK",'4M'!O42)</f>
        <v>26.632000000000001</v>
      </c>
    </row>
    <row r="3981" spans="2:7">
      <c r="B3981" s="848" t="str">
        <f>+'4M'!BQ43</f>
        <v>S3A00007CAS</v>
      </c>
      <c r="D3981" s="2004"/>
      <c r="E3981" s="1658" t="s">
        <v>9033</v>
      </c>
      <c r="F3981" s="2004" t="str">
        <f>+'4M'!C$43</f>
        <v>Internal Flooding - UQ</v>
      </c>
      <c r="G3981" s="2004">
        <f>IF('4M'!O43="","##BLANK",'4M'!O43)</f>
        <v>25.544999999999998</v>
      </c>
    </row>
    <row r="3982" spans="2:7">
      <c r="B3982" s="848" t="str">
        <f>+'4M'!BQ44</f>
        <v>S3A00008CAS</v>
      </c>
      <c r="D3982" s="2004"/>
      <c r="E3982" s="1658" t="s">
        <v>9033</v>
      </c>
      <c r="F3982" s="2004" t="str">
        <f>+'4M'!C$44</f>
        <v>Infrastructure network reinforcement</v>
      </c>
      <c r="G3982" s="2004">
        <f>IF('4M'!O44="","##BLANK",'4M'!O44)</f>
        <v>2.7670000000000003</v>
      </c>
    </row>
    <row r="3983" spans="2:7">
      <c r="B3983" s="848" t="str">
        <f>+'4M'!BQ45</f>
        <v>S3A00009CAS</v>
      </c>
      <c r="D3983" s="2004"/>
      <c r="E3983" s="1658" t="s">
        <v>9033</v>
      </c>
      <c r="F3983" s="2004" t="str">
        <f>+'4M'!C$45</f>
        <v>2020-25 Transition Expenditure - Capex</v>
      </c>
      <c r="G3983" s="2004">
        <f>IF('4M'!O45="","##BLANK",'4M'!O45)</f>
        <v>4.0430000000000001</v>
      </c>
    </row>
    <row r="3984" spans="2:7">
      <c r="B3984" s="848" t="str">
        <f>+'4M'!BQ46</f>
        <v>S3A00010CAS</v>
      </c>
      <c r="D3984" s="2004"/>
      <c r="E3984" s="1658" t="s">
        <v>9033</v>
      </c>
      <c r="F3984" s="2004" t="str">
        <f>+'4M'!C$46</f>
        <v>Capital expenditure purpose - WASTEWATER additional line 10 [Other categories]</v>
      </c>
      <c r="G3984" s="2004">
        <f>IF('4M'!O46="","##BLANK",'4M'!O46)</f>
        <v>0</v>
      </c>
    </row>
    <row r="3985" spans="2:7">
      <c r="B3985" s="848" t="str">
        <f>+'4M'!BQ47</f>
        <v>S3A00011CAS</v>
      </c>
      <c r="D3985" s="2004"/>
      <c r="E3985" s="1658" t="s">
        <v>9033</v>
      </c>
      <c r="F3985" s="2004" t="str">
        <f>+'4M'!C$47</f>
        <v>Capital expenditure purpose - WASTEWATER additional line 11 [Other categories]</v>
      </c>
      <c r="G3985" s="2004">
        <f>IF('4M'!O47="","##BLANK",'4M'!O47)</f>
        <v>0</v>
      </c>
    </row>
    <row r="3986" spans="2:7">
      <c r="B3986" s="848" t="str">
        <f>+'4M'!BQ48</f>
        <v>S3A00012CAS</v>
      </c>
      <c r="D3986" s="2004"/>
      <c r="E3986" s="1658" t="s">
        <v>9033</v>
      </c>
      <c r="F3986" s="2004" t="str">
        <f>+'4M'!C$48</f>
        <v>Capital expenditure purpose - WASTEWATER additional line 12 [Other categories]</v>
      </c>
      <c r="G3986" s="2004">
        <f>IF('4M'!O48="","##BLANK",'4M'!O48)</f>
        <v>0</v>
      </c>
    </row>
    <row r="3987" spans="2:7">
      <c r="B3987" s="848" t="str">
        <f>+'4M'!BQ49</f>
        <v>S3A00013CAS</v>
      </c>
      <c r="D3987" s="2004"/>
      <c r="E3987" s="1658" t="s">
        <v>9033</v>
      </c>
      <c r="F3987" s="2004" t="str">
        <f>+'4M'!C$49</f>
        <v>Capital expenditure purpose - WASTEWATER additional line 13 [Other categories]</v>
      </c>
      <c r="G3987" s="2004">
        <f>IF('4M'!O49="","##BLANK",'4M'!O49)</f>
        <v>0</v>
      </c>
    </row>
    <row r="3988" spans="2:7">
      <c r="B3988" s="848" t="str">
        <f>+'4M'!BQ50</f>
        <v>S3A00014CAS</v>
      </c>
      <c r="D3988" s="2004"/>
      <c r="E3988" s="1658" t="s">
        <v>9033</v>
      </c>
      <c r="F3988" s="2004" t="str">
        <f>+'4M'!C$50</f>
        <v>Capital expenditure purpose - WASTEWATER additional line 14 [Other categories]</v>
      </c>
      <c r="G3988" s="2004">
        <f>IF('4M'!O50="","##BLANK",'4M'!O50)</f>
        <v>0</v>
      </c>
    </row>
    <row r="3989" spans="2:7">
      <c r="B3989" s="848" t="str">
        <f>+'4M'!BQ51</f>
        <v>S3A00015CAS</v>
      </c>
      <c r="D3989" s="2004"/>
      <c r="E3989" s="1658" t="s">
        <v>9033</v>
      </c>
      <c r="F3989" s="2004" t="str">
        <f>+'4M'!C$51</f>
        <v>Capital expenditure purpose - WASTEWATER additional line 15 [Other categories]</v>
      </c>
      <c r="G3989" s="2004">
        <f>IF('4M'!O51="","##BLANK",'4M'!O51)</f>
        <v>0</v>
      </c>
    </row>
    <row r="3990" spans="2:7">
      <c r="B3990" s="848" t="str">
        <f>+'4M'!BQ52</f>
        <v>S3025ENHCAS</v>
      </c>
      <c r="D3990" s="2004"/>
      <c r="E3990" s="1658" t="s">
        <v>9033</v>
      </c>
      <c r="F3990" s="2004"/>
      <c r="G3990" s="2004">
        <f>IF('4M'!O52="","##BLANK",'4M'!O52)</f>
        <v>113.41699999999999</v>
      </c>
    </row>
    <row r="3991" spans="2:7">
      <c r="B3991" s="848" t="str">
        <f>+'4M'!BR8</f>
        <v>BC31379FLCUM</v>
      </c>
      <c r="D3991" s="2004"/>
      <c r="E3991" s="1658" t="s">
        <v>9033</v>
      </c>
      <c r="F3991" s="2004"/>
      <c r="G3991" s="2004">
        <f>IF('4M'!P8="","##BLANK",'4M'!P8)</f>
        <v>0</v>
      </c>
    </row>
    <row r="3992" spans="2:7">
      <c r="B3992" s="848" t="str">
        <f>+'4M'!BR9</f>
        <v>S3035QFLCUM</v>
      </c>
      <c r="D3992" s="2004"/>
      <c r="E3992" s="1658" t="s">
        <v>9033</v>
      </c>
      <c r="F3992" s="2004"/>
      <c r="G3992" s="2004">
        <f>IF('4M'!P9="","##BLANK",'4M'!P9)</f>
        <v>0</v>
      </c>
    </row>
    <row r="3993" spans="2:7">
      <c r="B3993" s="848" t="str">
        <f>+'4M'!BR10</f>
        <v>S3036GFLCUM</v>
      </c>
      <c r="D3993" s="2004"/>
      <c r="E3993" s="1658" t="s">
        <v>9033</v>
      </c>
      <c r="F3993" s="2004"/>
      <c r="G3993" s="2004">
        <f>IF('4M'!P10="","##BLANK",'4M'!P10)</f>
        <v>0</v>
      </c>
    </row>
    <row r="3994" spans="2:7">
      <c r="B3994" s="848" t="str">
        <f>+'4M'!BR11</f>
        <v>S3004FLCUM</v>
      </c>
      <c r="D3994" s="2004"/>
      <c r="E3994" s="1658" t="s">
        <v>9033</v>
      </c>
      <c r="F3994" s="2004"/>
      <c r="G3994" s="2004">
        <f>IF('4M'!P11="","##BLANK",'4M'!P11)</f>
        <v>0</v>
      </c>
    </row>
    <row r="3995" spans="2:7">
      <c r="B3995" s="848" t="str">
        <f>+'4M'!BR12</f>
        <v>WWS2001FLCUM</v>
      </c>
      <c r="D3995" s="2004"/>
      <c r="E3995" s="1658" t="s">
        <v>9033</v>
      </c>
      <c r="F3995" s="2004"/>
      <c r="G3995" s="2004">
        <f>IF('4M'!P12="","##BLANK",'4M'!P12)</f>
        <v>0</v>
      </c>
    </row>
    <row r="3996" spans="2:7">
      <c r="B3996" s="848" t="str">
        <f>+'4M'!BR13</f>
        <v>S3005FLCUM</v>
      </c>
      <c r="D3996" s="2004"/>
      <c r="E3996" s="1658" t="s">
        <v>9033</v>
      </c>
      <c r="F3996" s="2004"/>
      <c r="G3996" s="2004">
        <f>IF('4M'!P13="","##BLANK",'4M'!P13)</f>
        <v>0</v>
      </c>
    </row>
    <row r="3997" spans="2:7">
      <c r="B3997" s="848" t="str">
        <f>+'4M'!BR14</f>
        <v>S3006FLCUM</v>
      </c>
      <c r="D3997" s="2004"/>
      <c r="E3997" s="1658" t="s">
        <v>9033</v>
      </c>
      <c r="F3997" s="2004"/>
      <c r="G3997" s="2004">
        <f>IF('4M'!P14="","##BLANK",'4M'!P14)</f>
        <v>0</v>
      </c>
    </row>
    <row r="3998" spans="2:7">
      <c r="B3998" s="848" t="str">
        <f>+'4M'!BR15</f>
        <v>S3007FLCUM</v>
      </c>
      <c r="D3998" s="2004"/>
      <c r="E3998" s="1658" t="s">
        <v>9033</v>
      </c>
      <c r="F3998" s="2004"/>
      <c r="G3998" s="2004">
        <f>IF('4M'!P15="","##BLANK",'4M'!P15)</f>
        <v>0</v>
      </c>
    </row>
    <row r="3999" spans="2:7">
      <c r="B3999" s="848" t="str">
        <f>+'4M'!BR16</f>
        <v>WWS2002FLCUM</v>
      </c>
      <c r="D3999" s="2004"/>
      <c r="E3999" s="1658" t="s">
        <v>9033</v>
      </c>
      <c r="F3999" s="2004"/>
      <c r="G3999" s="2004">
        <f>IF('4M'!P16="","##BLANK",'4M'!P16)</f>
        <v>0</v>
      </c>
    </row>
    <row r="4000" spans="2:7">
      <c r="B4000" s="848" t="str">
        <f>+'4M'!BR17</f>
        <v>WWS2003FLCUM</v>
      </c>
      <c r="D4000" s="2004"/>
      <c r="E4000" s="1658" t="s">
        <v>9033</v>
      </c>
      <c r="F4000" s="2004"/>
      <c r="G4000" s="2004">
        <f>IF('4M'!P17="","##BLANK",'4M'!P17)</f>
        <v>0</v>
      </c>
    </row>
    <row r="4001" spans="2:7">
      <c r="B4001" s="848" t="str">
        <f>+'4M'!BR18</f>
        <v>S3008FLCUM</v>
      </c>
      <c r="D4001" s="2004"/>
      <c r="E4001" s="1658" t="s">
        <v>9033</v>
      </c>
      <c r="F4001" s="2004"/>
      <c r="G4001" s="2004">
        <f>IF('4M'!P18="","##BLANK",'4M'!P18)</f>
        <v>1.6060000000000001</v>
      </c>
    </row>
    <row r="4002" spans="2:7">
      <c r="B4002" s="848" t="str">
        <f>+'4M'!BR19</f>
        <v>S3009FLCUM</v>
      </c>
      <c r="D4002" s="2004"/>
      <c r="E4002" s="1658" t="s">
        <v>9033</v>
      </c>
      <c r="F4002" s="2004"/>
      <c r="G4002" s="2004">
        <f>IF('4M'!P19="","##BLANK",'4M'!P19)</f>
        <v>0</v>
      </c>
    </row>
    <row r="4003" spans="2:7">
      <c r="B4003" s="848" t="str">
        <f>+'4M'!BR20</f>
        <v>WWS2007FLCUM</v>
      </c>
      <c r="D4003" s="2004"/>
      <c r="E4003" s="1658" t="s">
        <v>9033</v>
      </c>
      <c r="F4003" s="2004"/>
      <c r="G4003" s="2004">
        <f>IF('4M'!P20="","##BLANK",'4M'!P20)</f>
        <v>0</v>
      </c>
    </row>
    <row r="4004" spans="2:7">
      <c r="B4004" s="848" t="str">
        <f>+'4M'!BR21</f>
        <v>S3010FLCUM</v>
      </c>
      <c r="D4004" s="2004"/>
      <c r="E4004" s="1658" t="s">
        <v>9033</v>
      </c>
      <c r="F4004" s="2004"/>
      <c r="G4004" s="2004">
        <f>IF('4M'!P21="","##BLANK",'4M'!P21)</f>
        <v>0</v>
      </c>
    </row>
    <row r="4005" spans="2:7">
      <c r="B4005" s="848" t="str">
        <f>+'4M'!BR22</f>
        <v>S3011FLCUM</v>
      </c>
      <c r="D4005" s="2004"/>
      <c r="E4005" s="1658" t="s">
        <v>9033</v>
      </c>
      <c r="F4005" s="2004"/>
      <c r="G4005" s="2004">
        <f>IF('4M'!P22="","##BLANK",'4M'!P22)</f>
        <v>0</v>
      </c>
    </row>
    <row r="4006" spans="2:7">
      <c r="B4006" s="848" t="str">
        <f>+'4M'!BR23</f>
        <v>S3012FLCUM</v>
      </c>
      <c r="D4006" s="2004"/>
      <c r="E4006" s="1658" t="s">
        <v>9033</v>
      </c>
      <c r="F4006" s="2004"/>
      <c r="G4006" s="2004">
        <f>IF('4M'!P23="","##BLANK",'4M'!P23)</f>
        <v>0</v>
      </c>
    </row>
    <row r="4007" spans="2:7">
      <c r="B4007" s="848" t="str">
        <f>+'4M'!BR24</f>
        <v>S3013FLCUM</v>
      </c>
      <c r="D4007" s="2004"/>
      <c r="E4007" s="1658" t="s">
        <v>9033</v>
      </c>
      <c r="F4007" s="2004"/>
      <c r="G4007" s="2004">
        <f>IF('4M'!P24="","##BLANK",'4M'!P24)</f>
        <v>0</v>
      </c>
    </row>
    <row r="4008" spans="2:7">
      <c r="B4008" s="848" t="str">
        <f>+'4M'!BR25</f>
        <v>S3014FLCUM</v>
      </c>
      <c r="D4008" s="2004"/>
      <c r="E4008" s="1658" t="s">
        <v>9033</v>
      </c>
      <c r="F4008" s="2004"/>
      <c r="G4008" s="2004">
        <f>IF('4M'!P25="","##BLANK",'4M'!P25)</f>
        <v>0</v>
      </c>
    </row>
    <row r="4009" spans="2:7">
      <c r="B4009" s="848" t="str">
        <f>+'4M'!BR26</f>
        <v>S3015FLCUM</v>
      </c>
      <c r="D4009" s="2004"/>
      <c r="E4009" s="1658" t="s">
        <v>9033</v>
      </c>
      <c r="F4009" s="2004"/>
      <c r="G4009" s="2004">
        <f>IF('4M'!P26="","##BLANK",'4M'!P26)</f>
        <v>0.16400000000000001</v>
      </c>
    </row>
    <row r="4010" spans="2:7">
      <c r="B4010" s="848" t="str">
        <f>+'4M'!BR27</f>
        <v>S3016FLCUM</v>
      </c>
      <c r="D4010" s="2004"/>
      <c r="E4010" s="1658" t="s">
        <v>9033</v>
      </c>
      <c r="F4010" s="2004"/>
      <c r="G4010" s="2004">
        <f>IF('4M'!P27="","##BLANK",'4M'!P27)</f>
        <v>0</v>
      </c>
    </row>
    <row r="4011" spans="2:7">
      <c r="B4011" s="848" t="str">
        <f>+'4M'!BR28</f>
        <v>S3017FLCUM</v>
      </c>
      <c r="D4011" s="2004"/>
      <c r="E4011" s="1658" t="s">
        <v>9033</v>
      </c>
      <c r="F4011" s="2004"/>
      <c r="G4011" s="2004">
        <f>IF('4M'!P28="","##BLANK",'4M'!P28)</f>
        <v>0</v>
      </c>
    </row>
    <row r="4012" spans="2:7">
      <c r="B4012" s="848" t="str">
        <f>+'4M'!BR29</f>
        <v>S3018FLCUM</v>
      </c>
      <c r="D4012" s="2004"/>
      <c r="E4012" s="1658" t="s">
        <v>9033</v>
      </c>
      <c r="F4012" s="2004"/>
      <c r="G4012" s="2004">
        <f>IF('4M'!P29="","##BLANK",'4M'!P29)</f>
        <v>0</v>
      </c>
    </row>
    <row r="4013" spans="2:7">
      <c r="B4013" s="848" t="str">
        <f>+'4M'!BR30</f>
        <v>S3019FLCUM</v>
      </c>
      <c r="D4013" s="2004"/>
      <c r="E4013" s="1658" t="s">
        <v>9033</v>
      </c>
      <c r="F4013" s="2004"/>
      <c r="G4013" s="2004">
        <f>IF('4M'!P30="","##BLANK",'4M'!P30)</f>
        <v>0</v>
      </c>
    </row>
    <row r="4014" spans="2:7">
      <c r="B4014" s="848" t="str">
        <f>+'4M'!BR31</f>
        <v>S3020FLCUM</v>
      </c>
      <c r="D4014" s="2004"/>
      <c r="E4014" s="1658" t="s">
        <v>9033</v>
      </c>
      <c r="F4014" s="2004"/>
      <c r="G4014" s="2004">
        <f>IF('4M'!P31="","##BLANK",'4M'!P31)</f>
        <v>0.48299999999999998</v>
      </c>
    </row>
    <row r="4015" spans="2:7">
      <c r="B4015" s="848" t="str">
        <f>+'4M'!BR32</f>
        <v>S3021FLCUM</v>
      </c>
      <c r="D4015" s="2004"/>
      <c r="E4015" s="1658" t="s">
        <v>9033</v>
      </c>
      <c r="F4015" s="2004"/>
      <c r="G4015" s="2004">
        <f>IF('4M'!P32="","##BLANK",'4M'!P32)</f>
        <v>0</v>
      </c>
    </row>
    <row r="4016" spans="2:7">
      <c r="B4016" s="848" t="str">
        <f>+'4M'!BR33</f>
        <v>S3022FLCUM</v>
      </c>
      <c r="D4016" s="2004"/>
      <c r="E4016" s="1658" t="s">
        <v>9033</v>
      </c>
      <c r="F4016" s="2004"/>
      <c r="G4016" s="2004">
        <f>IF('4M'!P33="","##BLANK",'4M'!P33)</f>
        <v>0</v>
      </c>
    </row>
    <row r="4017" spans="2:7">
      <c r="B4017" s="848" t="str">
        <f>+'4M'!BR34</f>
        <v>BC31785FLCUM</v>
      </c>
      <c r="D4017" s="2004"/>
      <c r="E4017" s="1658" t="s">
        <v>9033</v>
      </c>
      <c r="F4017" s="2004"/>
      <c r="G4017" s="2004">
        <f>IF('4M'!P34="","##BLANK",'4M'!P34)</f>
        <v>0.93200000000000005</v>
      </c>
    </row>
    <row r="4018" spans="2:7">
      <c r="B4018" s="848" t="str">
        <f>+'4M'!BR35</f>
        <v>S3023FLCUM</v>
      </c>
      <c r="D4018" s="2004"/>
      <c r="E4018" s="1658" t="s">
        <v>9033</v>
      </c>
      <c r="F4018" s="2004"/>
      <c r="G4018" s="2004">
        <f>IF('4M'!P35="","##BLANK",'4M'!P35)</f>
        <v>2.83</v>
      </c>
    </row>
    <row r="4019" spans="2:7">
      <c r="B4019" s="848" t="str">
        <f>+'4M'!BR36</f>
        <v>S3024FLCUM</v>
      </c>
      <c r="D4019" s="2004"/>
      <c r="E4019" s="1658" t="s">
        <v>9033</v>
      </c>
      <c r="F4019" s="2004"/>
      <c r="G4019" s="2004">
        <f>IF('4M'!P36="","##BLANK",'4M'!P36)</f>
        <v>5.6319999999999997</v>
      </c>
    </row>
    <row r="4020" spans="2:7">
      <c r="B4020" s="848" t="str">
        <f>+'4M'!BR37</f>
        <v>S3A00001FLCUM</v>
      </c>
      <c r="D4020" s="2004"/>
      <c r="E4020" s="1658" t="s">
        <v>9033</v>
      </c>
      <c r="F4020" s="2004" t="str">
        <f>+'4M'!C$37</f>
        <v>Bathing water ELoS</v>
      </c>
      <c r="G4020" s="2004">
        <f>IF('4M'!P37="","##BLANK",'4M'!P37)</f>
        <v>0</v>
      </c>
    </row>
    <row r="4021" spans="2:7">
      <c r="B4021" s="848" t="str">
        <f>+'4M'!BR38</f>
        <v>S3A00002FLCUM</v>
      </c>
      <c r="D4021" s="2004"/>
      <c r="E4021" s="1658" t="s">
        <v>9033</v>
      </c>
      <c r="F4021" s="2004" t="str">
        <f>+'4M'!C$38</f>
        <v>Pollution ELoS</v>
      </c>
      <c r="G4021" s="2004">
        <f>IF('4M'!P38="","##BLANK",'4M'!P38)</f>
        <v>0</v>
      </c>
    </row>
    <row r="4022" spans="2:7">
      <c r="B4022" s="848" t="str">
        <f>+'4M'!BR39</f>
        <v>S3A00003FLCUM</v>
      </c>
      <c r="D4022" s="2004"/>
      <c r="E4022" s="1658" t="s">
        <v>9033</v>
      </c>
      <c r="F4022" s="2004" t="str">
        <f>+'4M'!C$39</f>
        <v>Connections (if applicable)</v>
      </c>
      <c r="G4022" s="2004">
        <f>IF('4M'!P39="","##BLANK",'4M'!P39)</f>
        <v>0</v>
      </c>
    </row>
    <row r="4023" spans="2:7">
      <c r="B4023" s="848" t="str">
        <f>+'4M'!BR40</f>
        <v>S3A00004FLCUM</v>
      </c>
      <c r="D4023" s="2004"/>
      <c r="E4023" s="1658" t="s">
        <v>9033</v>
      </c>
      <c r="F4023" s="2004" t="str">
        <f>+'4M'!C$40</f>
        <v>Emergency Overflow Appeals</v>
      </c>
      <c r="G4023" s="2004">
        <f>IF('4M'!P40="","##BLANK",'4M'!P40)</f>
        <v>0</v>
      </c>
    </row>
    <row r="4024" spans="2:7">
      <c r="B4024" s="848" t="str">
        <f>+'4M'!BR41</f>
        <v>S3A00005FLCUM</v>
      </c>
      <c r="D4024" s="2004"/>
      <c r="E4024" s="1658" t="s">
        <v>9033</v>
      </c>
      <c r="F4024" s="2004" t="str">
        <f>+'4M'!C$41</f>
        <v>Exclusions</v>
      </c>
      <c r="G4024" s="2004">
        <f>IF('4M'!P41="","##BLANK",'4M'!P41)</f>
        <v>0</v>
      </c>
    </row>
    <row r="4025" spans="2:7">
      <c r="B4025" s="848" t="str">
        <f>+'4M'!BR42</f>
        <v>S3A00006FLCUM</v>
      </c>
      <c r="D4025" s="2004"/>
      <c r="E4025" s="1658" t="s">
        <v>9033</v>
      </c>
      <c r="F4025" s="2004" t="str">
        <f>+'4M'!C$42</f>
        <v>Pollution - UQ</v>
      </c>
      <c r="G4025" s="2004">
        <f>IF('4M'!P42="","##BLANK",'4M'!P42)</f>
        <v>11.731999999999999</v>
      </c>
    </row>
    <row r="4026" spans="2:7">
      <c r="B4026" s="848" t="str">
        <f>+'4M'!BR43</f>
        <v>S3A00007FLCUM</v>
      </c>
      <c r="D4026" s="2004"/>
      <c r="E4026" s="1658" t="s">
        <v>9033</v>
      </c>
      <c r="F4026" s="2004" t="str">
        <f>+'4M'!C$43</f>
        <v>Internal Flooding - UQ</v>
      </c>
      <c r="G4026" s="2004">
        <f>IF('4M'!P43="","##BLANK",'4M'!P43)</f>
        <v>16.277000000000001</v>
      </c>
    </row>
    <row r="4027" spans="2:7">
      <c r="B4027" s="848" t="str">
        <f>+'4M'!BR44</f>
        <v>S3A00008FLCUM</v>
      </c>
      <c r="D4027" s="2004"/>
      <c r="E4027" s="1658" t="s">
        <v>9033</v>
      </c>
      <c r="F4027" s="2004" t="str">
        <f>+'4M'!C$44</f>
        <v>Infrastructure network reinforcement</v>
      </c>
      <c r="G4027" s="2004">
        <f>IF('4M'!P44="","##BLANK",'4M'!P44)</f>
        <v>0</v>
      </c>
    </row>
    <row r="4028" spans="2:7">
      <c r="B4028" s="848" t="str">
        <f>+'4M'!BR45</f>
        <v>S3A00009FLCUM</v>
      </c>
      <c r="D4028" s="2004"/>
      <c r="E4028" s="1658" t="s">
        <v>9033</v>
      </c>
      <c r="F4028" s="2004" t="str">
        <f>+'4M'!C$45</f>
        <v>2020-25 Transition Expenditure - Capex</v>
      </c>
      <c r="G4028" s="2004">
        <f>IF('4M'!P45="","##BLANK",'4M'!P45)</f>
        <v>0</v>
      </c>
    </row>
    <row r="4029" spans="2:7">
      <c r="B4029" s="848" t="str">
        <f>+'4M'!BR46</f>
        <v>S3A00010FLCUM</v>
      </c>
      <c r="D4029" s="2004"/>
      <c r="E4029" s="1658" t="s">
        <v>9033</v>
      </c>
      <c r="F4029" s="2004" t="str">
        <f>+'4M'!C$46</f>
        <v>Capital expenditure purpose - WASTEWATER additional line 10 [Other categories]</v>
      </c>
      <c r="G4029" s="2004">
        <f>IF('4M'!P46="","##BLANK",'4M'!P46)</f>
        <v>0</v>
      </c>
    </row>
    <row r="4030" spans="2:7">
      <c r="B4030" s="848" t="str">
        <f>+'4M'!BR47</f>
        <v>S3A00011FLCUM</v>
      </c>
      <c r="D4030" s="2004"/>
      <c r="E4030" s="1658" t="s">
        <v>9033</v>
      </c>
      <c r="F4030" s="2004" t="str">
        <f>+'4M'!C$47</f>
        <v>Capital expenditure purpose - WASTEWATER additional line 11 [Other categories]</v>
      </c>
      <c r="G4030" s="2004" t="str">
        <f>IF('4M'!P47="","##BLANK",'4M'!P47)</f>
        <v>##BLANK</v>
      </c>
    </row>
    <row r="4031" spans="2:7">
      <c r="B4031" s="848" t="str">
        <f>+'4M'!BR48</f>
        <v>S3A00012FLCUM</v>
      </c>
      <c r="D4031" s="2004"/>
      <c r="E4031" s="1658" t="s">
        <v>9033</v>
      </c>
      <c r="F4031" s="2004" t="str">
        <f>+'4M'!C$48</f>
        <v>Capital expenditure purpose - WASTEWATER additional line 12 [Other categories]</v>
      </c>
      <c r="G4031" s="2004" t="str">
        <f>IF('4M'!P48="","##BLANK",'4M'!P48)</f>
        <v>##BLANK</v>
      </c>
    </row>
    <row r="4032" spans="2:7">
      <c r="B4032" s="848" t="str">
        <f>+'4M'!BR49</f>
        <v>S3A00013FLCUM</v>
      </c>
      <c r="D4032" s="2004"/>
      <c r="E4032" s="1658" t="s">
        <v>9033</v>
      </c>
      <c r="F4032" s="2004" t="str">
        <f>+'4M'!C$49</f>
        <v>Capital expenditure purpose - WASTEWATER additional line 13 [Other categories]</v>
      </c>
      <c r="G4032" s="2004" t="str">
        <f>IF('4M'!P49="","##BLANK",'4M'!P49)</f>
        <v>##BLANK</v>
      </c>
    </row>
    <row r="4033" spans="2:7">
      <c r="B4033" s="848" t="str">
        <f>+'4M'!BR50</f>
        <v>S3A00014FLCUM</v>
      </c>
      <c r="D4033" s="2004"/>
      <c r="E4033" s="1658" t="s">
        <v>9033</v>
      </c>
      <c r="F4033" s="2004" t="str">
        <f>+'4M'!C$50</f>
        <v>Capital expenditure purpose - WASTEWATER additional line 14 [Other categories]</v>
      </c>
      <c r="G4033" s="2004" t="str">
        <f>IF('4M'!P50="","##BLANK",'4M'!P50)</f>
        <v>##BLANK</v>
      </c>
    </row>
    <row r="4034" spans="2:7">
      <c r="B4034" s="848" t="str">
        <f>+'4M'!BR51</f>
        <v>S3A00015FLCUM</v>
      </c>
      <c r="D4034" s="2004"/>
      <c r="E4034" s="1658" t="s">
        <v>9033</v>
      </c>
      <c r="F4034" s="2004" t="str">
        <f>+'4M'!C$51</f>
        <v>Capital expenditure purpose - WASTEWATER additional line 15 [Other categories]</v>
      </c>
      <c r="G4034" s="2004" t="str">
        <f>IF('4M'!P51="","##BLANK",'4M'!P51)</f>
        <v>##BLANK</v>
      </c>
    </row>
    <row r="4035" spans="2:7">
      <c r="B4035" s="848" t="str">
        <f>+'4M'!BR52</f>
        <v>S3025ENHFLCUM</v>
      </c>
      <c r="D4035" s="2004"/>
      <c r="E4035" s="1658" t="s">
        <v>9033</v>
      </c>
      <c r="F4035" s="2004"/>
      <c r="G4035" s="2004">
        <f>IF('4M'!P52="","##BLANK",'4M'!P52)</f>
        <v>39.655999999999999</v>
      </c>
    </row>
    <row r="4036" spans="2:7">
      <c r="B4036" s="848" t="str">
        <f>+'4M'!BS8</f>
        <v>BC31379SWDCUM</v>
      </c>
      <c r="D4036" s="2004"/>
      <c r="E4036" s="1658" t="s">
        <v>9033</v>
      </c>
      <c r="F4036" s="2004"/>
      <c r="G4036" s="2004">
        <f>IF('4M'!Q8="","##BLANK",'4M'!Q8)</f>
        <v>0</v>
      </c>
    </row>
    <row r="4037" spans="2:7">
      <c r="B4037" s="848" t="str">
        <f>+'4M'!BS9</f>
        <v>S3035QSWDCUM</v>
      </c>
      <c r="D4037" s="2004"/>
      <c r="E4037" s="1658" t="s">
        <v>9033</v>
      </c>
      <c r="F4037" s="2004"/>
      <c r="G4037" s="2004">
        <f>IF('4M'!Q9="","##BLANK",'4M'!Q9)</f>
        <v>0</v>
      </c>
    </row>
    <row r="4038" spans="2:7">
      <c r="B4038" s="848" t="str">
        <f>+'4M'!BS10</f>
        <v>S3036GSWDCUM</v>
      </c>
      <c r="D4038" s="2004"/>
      <c r="E4038" s="1658" t="s">
        <v>9033</v>
      </c>
      <c r="F4038" s="2004"/>
      <c r="G4038" s="2004">
        <f>IF('4M'!Q10="","##BLANK",'4M'!Q10)</f>
        <v>0</v>
      </c>
    </row>
    <row r="4039" spans="2:7">
      <c r="B4039" s="848" t="str">
        <f>+'4M'!BS11</f>
        <v>S3004SWDCUM</v>
      </c>
      <c r="D4039" s="2004"/>
      <c r="E4039" s="1658" t="s">
        <v>9033</v>
      </c>
      <c r="F4039" s="2004"/>
      <c r="G4039" s="2004">
        <f>IF('4M'!Q11="","##BLANK",'4M'!Q11)</f>
        <v>0</v>
      </c>
    </row>
    <row r="4040" spans="2:7">
      <c r="B4040" s="848" t="str">
        <f>+'4M'!BS12</f>
        <v>WWS2001SWDCUM</v>
      </c>
      <c r="D4040" s="2004"/>
      <c r="E4040" s="1658" t="s">
        <v>9033</v>
      </c>
      <c r="F4040" s="2004"/>
      <c r="G4040" s="2004">
        <f>IF('4M'!Q12="","##BLANK",'4M'!Q12)</f>
        <v>0</v>
      </c>
    </row>
    <row r="4041" spans="2:7">
      <c r="B4041" s="848" t="str">
        <f>+'4M'!BS13</f>
        <v>S3005SWDCUM</v>
      </c>
      <c r="D4041" s="2004"/>
      <c r="E4041" s="1658" t="s">
        <v>9033</v>
      </c>
      <c r="F4041" s="2004"/>
      <c r="G4041" s="2004">
        <f>IF('4M'!Q13="","##BLANK",'4M'!Q13)</f>
        <v>0</v>
      </c>
    </row>
    <row r="4042" spans="2:7">
      <c r="B4042" s="848" t="str">
        <f>+'4M'!BS14</f>
        <v>S3006SWDCUM</v>
      </c>
      <c r="D4042" s="2004"/>
      <c r="E4042" s="1658" t="s">
        <v>9033</v>
      </c>
      <c r="F4042" s="2004"/>
      <c r="G4042" s="2004">
        <f>IF('4M'!Q14="","##BLANK",'4M'!Q14)</f>
        <v>0</v>
      </c>
    </row>
    <row r="4043" spans="2:7">
      <c r="B4043" s="848" t="str">
        <f>+'4M'!BS15</f>
        <v>S3007SWDCUM</v>
      </c>
      <c r="D4043" s="2004"/>
      <c r="E4043" s="1658" t="s">
        <v>9033</v>
      </c>
      <c r="F4043" s="2004"/>
      <c r="G4043" s="2004">
        <f>IF('4M'!Q15="","##BLANK",'4M'!Q15)</f>
        <v>0</v>
      </c>
    </row>
    <row r="4044" spans="2:7">
      <c r="B4044" s="848" t="str">
        <f>+'4M'!BS16</f>
        <v>WWS2002SWDCUM</v>
      </c>
      <c r="D4044" s="2004"/>
      <c r="E4044" s="1658" t="s">
        <v>9033</v>
      </c>
      <c r="F4044" s="2004"/>
      <c r="G4044" s="2004">
        <f>IF('4M'!Q16="","##BLANK",'4M'!Q16)</f>
        <v>0</v>
      </c>
    </row>
    <row r="4045" spans="2:7">
      <c r="B4045" s="848" t="str">
        <f>+'4M'!BS17</f>
        <v>WWS2003SWDCUM</v>
      </c>
      <c r="D4045" s="2004"/>
      <c r="E4045" s="1658" t="s">
        <v>9033</v>
      </c>
      <c r="F4045" s="2004"/>
      <c r="G4045" s="2004">
        <f>IF('4M'!Q17="","##BLANK",'4M'!Q17)</f>
        <v>0</v>
      </c>
    </row>
    <row r="4046" spans="2:7">
      <c r="B4046" s="848" t="str">
        <f>+'4M'!BS18</f>
        <v>S3008SWDCUM</v>
      </c>
      <c r="D4046" s="2004"/>
      <c r="E4046" s="1658" t="s">
        <v>9033</v>
      </c>
      <c r="F4046" s="2004"/>
      <c r="G4046" s="2004">
        <f>IF('4M'!Q18="","##BLANK",'4M'!Q18)</f>
        <v>1.77</v>
      </c>
    </row>
    <row r="4047" spans="2:7">
      <c r="B4047" s="848" t="str">
        <f>+'4M'!BS19</f>
        <v>S3009SWDCUM</v>
      </c>
      <c r="D4047" s="2004"/>
      <c r="E4047" s="1658" t="s">
        <v>9033</v>
      </c>
      <c r="F4047" s="2004"/>
      <c r="G4047" s="2004">
        <f>IF('4M'!Q19="","##BLANK",'4M'!Q19)</f>
        <v>0</v>
      </c>
    </row>
    <row r="4048" spans="2:7">
      <c r="B4048" s="848" t="str">
        <f>+'4M'!BS20</f>
        <v>WWS2007SWDCUM</v>
      </c>
      <c r="D4048" s="2004"/>
      <c r="E4048" s="1658" t="s">
        <v>9033</v>
      </c>
      <c r="F4048" s="2004"/>
      <c r="G4048" s="2004">
        <f>IF('4M'!Q20="","##BLANK",'4M'!Q20)</f>
        <v>0</v>
      </c>
    </row>
    <row r="4049" spans="2:7">
      <c r="B4049" s="848" t="str">
        <f>+'4M'!BS21</f>
        <v>S3010SWDCUM</v>
      </c>
      <c r="D4049" s="2004"/>
      <c r="E4049" s="1658" t="s">
        <v>9033</v>
      </c>
      <c r="F4049" s="2004"/>
      <c r="G4049" s="2004">
        <f>IF('4M'!Q21="","##BLANK",'4M'!Q21)</f>
        <v>0</v>
      </c>
    </row>
    <row r="4050" spans="2:7">
      <c r="B4050" s="848" t="str">
        <f>+'4M'!BS22</f>
        <v>S3011SWDCUM</v>
      </c>
      <c r="D4050" s="2004"/>
      <c r="E4050" s="1658" t="s">
        <v>9033</v>
      </c>
      <c r="F4050" s="2004"/>
      <c r="G4050" s="2004">
        <f>IF('4M'!Q22="","##BLANK",'4M'!Q22)</f>
        <v>0</v>
      </c>
    </row>
    <row r="4051" spans="2:7">
      <c r="B4051" s="848" t="str">
        <f>+'4M'!BS23</f>
        <v>S3012SWDCUM</v>
      </c>
      <c r="D4051" s="2004"/>
      <c r="E4051" s="1658" t="s">
        <v>9033</v>
      </c>
      <c r="F4051" s="2004"/>
      <c r="G4051" s="2004">
        <f>IF('4M'!Q23="","##BLANK",'4M'!Q23)</f>
        <v>0</v>
      </c>
    </row>
    <row r="4052" spans="2:7">
      <c r="B4052" s="848" t="str">
        <f>+'4M'!BS24</f>
        <v>S3013SWDCUM</v>
      </c>
      <c r="D4052" s="2004"/>
      <c r="E4052" s="1658" t="s">
        <v>9033</v>
      </c>
      <c r="F4052" s="2004"/>
      <c r="G4052" s="2004">
        <f>IF('4M'!Q24="","##BLANK",'4M'!Q24)</f>
        <v>0</v>
      </c>
    </row>
    <row r="4053" spans="2:7">
      <c r="B4053" s="848" t="str">
        <f>+'4M'!BS25</f>
        <v>S3014SWDCUM</v>
      </c>
      <c r="D4053" s="2004"/>
      <c r="E4053" s="1658" t="s">
        <v>9033</v>
      </c>
      <c r="F4053" s="2004"/>
      <c r="G4053" s="2004">
        <f>IF('4M'!Q25="","##BLANK",'4M'!Q25)</f>
        <v>0</v>
      </c>
    </row>
    <row r="4054" spans="2:7">
      <c r="B4054" s="848" t="str">
        <f>+'4M'!BS26</f>
        <v>S3015SWDCUM</v>
      </c>
      <c r="D4054" s="2004"/>
      <c r="E4054" s="1658" t="s">
        <v>9033</v>
      </c>
      <c r="F4054" s="2004"/>
      <c r="G4054" s="2004">
        <f>IF('4M'!Q26="","##BLANK",'4M'!Q26)</f>
        <v>0.18099999999999999</v>
      </c>
    </row>
    <row r="4055" spans="2:7">
      <c r="B4055" s="848" t="str">
        <f>+'4M'!BS27</f>
        <v>S3016SWDCUM</v>
      </c>
      <c r="D4055" s="2004"/>
      <c r="E4055" s="1658" t="s">
        <v>9033</v>
      </c>
      <c r="F4055" s="2004"/>
      <c r="G4055" s="2004">
        <f>IF('4M'!Q27="","##BLANK",'4M'!Q27)</f>
        <v>0</v>
      </c>
    </row>
    <row r="4056" spans="2:7">
      <c r="B4056" s="848" t="str">
        <f>+'4M'!BS28</f>
        <v>S3017SWDCUM</v>
      </c>
      <c r="D4056" s="2004"/>
      <c r="E4056" s="1658" t="s">
        <v>9033</v>
      </c>
      <c r="F4056" s="2004"/>
      <c r="G4056" s="2004">
        <f>IF('4M'!Q28="","##BLANK",'4M'!Q28)</f>
        <v>0</v>
      </c>
    </row>
    <row r="4057" spans="2:7">
      <c r="B4057" s="848" t="str">
        <f>+'4M'!BS29</f>
        <v>S3018SWDCUM</v>
      </c>
      <c r="D4057" s="2004"/>
      <c r="E4057" s="1658" t="s">
        <v>9033</v>
      </c>
      <c r="F4057" s="2004"/>
      <c r="G4057" s="2004">
        <f>IF('4M'!Q29="","##BLANK",'4M'!Q29)</f>
        <v>0</v>
      </c>
    </row>
    <row r="4058" spans="2:7">
      <c r="B4058" s="848" t="str">
        <f>+'4M'!BS30</f>
        <v>S3019SWDCUM</v>
      </c>
      <c r="D4058" s="2004"/>
      <c r="E4058" s="1658" t="s">
        <v>9033</v>
      </c>
      <c r="F4058" s="2004"/>
      <c r="G4058" s="2004">
        <f>IF('4M'!Q30="","##BLANK",'4M'!Q30)</f>
        <v>0</v>
      </c>
    </row>
    <row r="4059" spans="2:7">
      <c r="B4059" s="848" t="str">
        <f>+'4M'!BS31</f>
        <v>S3020SWDCUM</v>
      </c>
      <c r="D4059" s="2004"/>
      <c r="E4059" s="1658" t="s">
        <v>9033</v>
      </c>
      <c r="F4059" s="2004"/>
      <c r="G4059" s="2004">
        <f>IF('4M'!Q31="","##BLANK",'4M'!Q31)</f>
        <v>0.53300000000000003</v>
      </c>
    </row>
    <row r="4060" spans="2:7">
      <c r="B4060" s="848" t="str">
        <f>+'4M'!BS32</f>
        <v>S3021SWDCUM</v>
      </c>
      <c r="D4060" s="2004"/>
      <c r="E4060" s="1658" t="s">
        <v>9033</v>
      </c>
      <c r="F4060" s="2004"/>
      <c r="G4060" s="2004">
        <f>IF('4M'!Q32="","##BLANK",'4M'!Q32)</f>
        <v>0</v>
      </c>
    </row>
    <row r="4061" spans="2:7">
      <c r="B4061" s="848" t="str">
        <f>+'4M'!BS33</f>
        <v>S3022SWDCUM</v>
      </c>
      <c r="D4061" s="2004"/>
      <c r="E4061" s="1658" t="s">
        <v>9033</v>
      </c>
      <c r="F4061" s="2004"/>
      <c r="G4061" s="2004">
        <f>IF('4M'!Q33="","##BLANK",'4M'!Q33)</f>
        <v>0</v>
      </c>
    </row>
    <row r="4062" spans="2:7">
      <c r="B4062" s="848" t="str">
        <f>+'4M'!BS34</f>
        <v>BC31785SWDCUM</v>
      </c>
      <c r="D4062" s="2004"/>
      <c r="E4062" s="1658" t="s">
        <v>9033</v>
      </c>
      <c r="F4062" s="2004"/>
      <c r="G4062" s="2004">
        <f>IF('4M'!Q34="","##BLANK",'4M'!Q34)</f>
        <v>0.86599999999999999</v>
      </c>
    </row>
    <row r="4063" spans="2:7">
      <c r="B4063" s="848" t="str">
        <f>+'4M'!BS35</f>
        <v>S3023SWDCUM</v>
      </c>
      <c r="D4063" s="2004"/>
      <c r="E4063" s="1658" t="s">
        <v>9033</v>
      </c>
      <c r="F4063" s="2004"/>
      <c r="G4063" s="2004">
        <f>IF('4M'!Q35="","##BLANK",'4M'!Q35)</f>
        <v>3.12</v>
      </c>
    </row>
    <row r="4064" spans="2:7">
      <c r="B4064" s="848" t="str">
        <f>+'4M'!BS36</f>
        <v>S3024SWDCUM</v>
      </c>
      <c r="D4064" s="2004"/>
      <c r="E4064" s="1658" t="s">
        <v>9033</v>
      </c>
      <c r="F4064" s="2004"/>
      <c r="G4064" s="2004">
        <f>IF('4M'!Q36="","##BLANK",'4M'!Q36)</f>
        <v>6.2089999999999996</v>
      </c>
    </row>
    <row r="4065" spans="2:7">
      <c r="B4065" s="848" t="str">
        <f>+'4M'!BS37</f>
        <v>S3A00001SWDCUM</v>
      </c>
      <c r="D4065" s="2004"/>
      <c r="E4065" s="1658" t="s">
        <v>9033</v>
      </c>
      <c r="F4065" s="2004" t="str">
        <f>+'4M'!C$37</f>
        <v>Bathing water ELoS</v>
      </c>
      <c r="G4065" s="2004">
        <f>IF('4M'!Q37="","##BLANK",'4M'!Q37)</f>
        <v>0</v>
      </c>
    </row>
    <row r="4066" spans="2:7">
      <c r="B4066" s="848" t="str">
        <f>+'4M'!BS38</f>
        <v>S3A00002SWDCUM</v>
      </c>
      <c r="D4066" s="2004"/>
      <c r="E4066" s="1658" t="s">
        <v>9033</v>
      </c>
      <c r="F4066" s="2004" t="str">
        <f>+'4M'!C$38</f>
        <v>Pollution ELoS</v>
      </c>
      <c r="G4066" s="2004">
        <f>IF('4M'!Q38="","##BLANK",'4M'!Q38)</f>
        <v>0</v>
      </c>
    </row>
    <row r="4067" spans="2:7">
      <c r="B4067" s="848" t="str">
        <f>+'4M'!BS39</f>
        <v>S3A00003SWDCUM</v>
      </c>
      <c r="D4067" s="2004"/>
      <c r="E4067" s="1658" t="s">
        <v>9033</v>
      </c>
      <c r="F4067" s="2004" t="str">
        <f>+'4M'!C$39</f>
        <v>Connections (if applicable)</v>
      </c>
      <c r="G4067" s="2004">
        <f>IF('4M'!Q39="","##BLANK",'4M'!Q39)</f>
        <v>0</v>
      </c>
    </row>
    <row r="4068" spans="2:7">
      <c r="B4068" s="848" t="str">
        <f>+'4M'!BS40</f>
        <v>S3A00004SWDCUM</v>
      </c>
      <c r="D4068" s="2004"/>
      <c r="E4068" s="1658" t="s">
        <v>9033</v>
      </c>
      <c r="F4068" s="2004" t="str">
        <f>+'4M'!C$40</f>
        <v>Emergency Overflow Appeals</v>
      </c>
      <c r="G4068" s="2004">
        <f>IF('4M'!Q40="","##BLANK",'4M'!Q40)</f>
        <v>0</v>
      </c>
    </row>
    <row r="4069" spans="2:7">
      <c r="B4069" s="848" t="str">
        <f>+'4M'!BS41</f>
        <v>S3A00005SWDCUM</v>
      </c>
      <c r="D4069" s="2004"/>
      <c r="E4069" s="1658" t="s">
        <v>9033</v>
      </c>
      <c r="F4069" s="2004" t="str">
        <f>+'4M'!C$41</f>
        <v>Exclusions</v>
      </c>
      <c r="G4069" s="2004">
        <f>IF('4M'!Q41="","##BLANK",'4M'!Q41)</f>
        <v>0</v>
      </c>
    </row>
    <row r="4070" spans="2:7">
      <c r="B4070" s="848" t="str">
        <f>+'4M'!BS42</f>
        <v>S3A00006SWDCUM</v>
      </c>
      <c r="D4070" s="2004"/>
      <c r="E4070" s="1658" t="s">
        <v>9033</v>
      </c>
      <c r="F4070" s="2004" t="str">
        <f>+'4M'!C$42</f>
        <v>Pollution - UQ</v>
      </c>
      <c r="G4070" s="2004">
        <f>IF('4M'!Q42="","##BLANK",'4M'!Q42)</f>
        <v>12.935</v>
      </c>
    </row>
    <row r="4071" spans="2:7">
      <c r="B4071" s="848" t="str">
        <f>+'4M'!BS43</f>
        <v>S3A00007SWDCUM</v>
      </c>
      <c r="D4071" s="2004"/>
      <c r="E4071" s="1658" t="s">
        <v>9033</v>
      </c>
      <c r="F4071" s="2004" t="str">
        <f>+'4M'!C$43</f>
        <v>Internal Flooding - UQ</v>
      </c>
      <c r="G4071" s="2004">
        <f>IF('4M'!Q43="","##BLANK",'4M'!Q43)</f>
        <v>17.946000000000002</v>
      </c>
    </row>
    <row r="4072" spans="2:7">
      <c r="B4072" s="848" t="str">
        <f>+'4M'!BS44</f>
        <v>S3A00008SWDCUM</v>
      </c>
      <c r="D4072" s="2004"/>
      <c r="E4072" s="1658" t="s">
        <v>9033</v>
      </c>
      <c r="F4072" s="2004" t="str">
        <f>+'4M'!C$44</f>
        <v>Infrastructure network reinforcement</v>
      </c>
      <c r="G4072" s="2004">
        <f>IF('4M'!Q44="","##BLANK",'4M'!Q44)</f>
        <v>0</v>
      </c>
    </row>
    <row r="4073" spans="2:7">
      <c r="B4073" s="848" t="str">
        <f>+'4M'!BS45</f>
        <v>S3A00009SWDCUM</v>
      </c>
      <c r="D4073" s="2004"/>
      <c r="E4073" s="1658" t="s">
        <v>9033</v>
      </c>
      <c r="F4073" s="2004" t="str">
        <f>+'4M'!C$45</f>
        <v>2020-25 Transition Expenditure - Capex</v>
      </c>
      <c r="G4073" s="2004">
        <f>IF('4M'!Q45="","##BLANK",'4M'!Q45)</f>
        <v>0</v>
      </c>
    </row>
    <row r="4074" spans="2:7">
      <c r="B4074" s="848" t="str">
        <f>+'4M'!BS46</f>
        <v>S3A00010SWDCUM</v>
      </c>
      <c r="D4074" s="2004"/>
      <c r="E4074" s="1658" t="s">
        <v>9033</v>
      </c>
      <c r="F4074" s="2004" t="str">
        <f>+'4M'!C$46</f>
        <v>Capital expenditure purpose - WASTEWATER additional line 10 [Other categories]</v>
      </c>
      <c r="G4074" s="2004">
        <f>IF('4M'!Q46="","##BLANK",'4M'!Q46)</f>
        <v>0</v>
      </c>
    </row>
    <row r="4075" spans="2:7">
      <c r="B4075" s="848" t="str">
        <f>+'4M'!BS47</f>
        <v>S3A00011SWDCUM</v>
      </c>
      <c r="D4075" s="2004"/>
      <c r="E4075" s="1658" t="s">
        <v>9033</v>
      </c>
      <c r="F4075" s="2004" t="str">
        <f>+'4M'!C$47</f>
        <v>Capital expenditure purpose - WASTEWATER additional line 11 [Other categories]</v>
      </c>
      <c r="G4075" s="2004" t="str">
        <f>IF('4M'!Q47="","##BLANK",'4M'!Q47)</f>
        <v>##BLANK</v>
      </c>
    </row>
    <row r="4076" spans="2:7">
      <c r="B4076" s="848" t="str">
        <f>+'4M'!BS48</f>
        <v>S3A00012SWDCUM</v>
      </c>
      <c r="D4076" s="2004"/>
      <c r="E4076" s="1658" t="s">
        <v>9033</v>
      </c>
      <c r="F4076" s="2004" t="str">
        <f>+'4M'!C$48</f>
        <v>Capital expenditure purpose - WASTEWATER additional line 12 [Other categories]</v>
      </c>
      <c r="G4076" s="2004" t="str">
        <f>IF('4M'!Q48="","##BLANK",'4M'!Q48)</f>
        <v>##BLANK</v>
      </c>
    </row>
    <row r="4077" spans="2:7">
      <c r="B4077" s="848" t="str">
        <f>+'4M'!BS49</f>
        <v>S3A00013SWDCUM</v>
      </c>
      <c r="D4077" s="2004"/>
      <c r="E4077" s="1658" t="s">
        <v>9033</v>
      </c>
      <c r="F4077" s="2004" t="str">
        <f>+'4M'!C$49</f>
        <v>Capital expenditure purpose - WASTEWATER additional line 13 [Other categories]</v>
      </c>
      <c r="G4077" s="2004" t="str">
        <f>IF('4M'!Q49="","##BLANK",'4M'!Q49)</f>
        <v>##BLANK</v>
      </c>
    </row>
    <row r="4078" spans="2:7">
      <c r="B4078" s="848" t="str">
        <f>+'4M'!BS50</f>
        <v>S3A00014SWDCUM</v>
      </c>
      <c r="D4078" s="2004"/>
      <c r="E4078" s="1658" t="s">
        <v>9033</v>
      </c>
      <c r="F4078" s="2004" t="str">
        <f>+'4M'!C$50</f>
        <v>Capital expenditure purpose - WASTEWATER additional line 14 [Other categories]</v>
      </c>
      <c r="G4078" s="2004" t="str">
        <f>IF('4M'!Q50="","##BLANK",'4M'!Q50)</f>
        <v>##BLANK</v>
      </c>
    </row>
    <row r="4079" spans="2:7">
      <c r="B4079" s="848" t="str">
        <f>+'4M'!BS51</f>
        <v>S3A00015SWDCUM</v>
      </c>
      <c r="D4079" s="2004"/>
      <c r="E4079" s="1658" t="s">
        <v>9033</v>
      </c>
      <c r="F4079" s="2004" t="str">
        <f>+'4M'!C$51</f>
        <v>Capital expenditure purpose - WASTEWATER additional line 15 [Other categories]</v>
      </c>
      <c r="G4079" s="2004" t="str">
        <f>IF('4M'!Q51="","##BLANK",'4M'!Q51)</f>
        <v>##BLANK</v>
      </c>
    </row>
    <row r="4080" spans="2:7">
      <c r="B4080" s="848" t="str">
        <f>+'4M'!BS52</f>
        <v>S3025ENHSWDCUM</v>
      </c>
      <c r="D4080" s="2004"/>
      <c r="E4080" s="1658" t="s">
        <v>9033</v>
      </c>
      <c r="F4080" s="2004"/>
      <c r="G4080" s="2004">
        <f>IF('4M'!Q52="","##BLANK",'4M'!Q52)</f>
        <v>43.56</v>
      </c>
    </row>
    <row r="4081" spans="2:7">
      <c r="B4081" s="848" t="str">
        <f>+'4M'!BT8</f>
        <v>BC31379HDCUM</v>
      </c>
      <c r="D4081" s="2004"/>
      <c r="E4081" s="1658" t="s">
        <v>9033</v>
      </c>
      <c r="F4081" s="2004"/>
      <c r="G4081" s="2004">
        <f>IF('4M'!R8="","##BLANK",'4M'!R8)</f>
        <v>0</v>
      </c>
    </row>
    <row r="4082" spans="2:7">
      <c r="B4082" s="848" t="str">
        <f>+'4M'!BT9</f>
        <v>S3035QHDCUM</v>
      </c>
      <c r="D4082" s="2004"/>
      <c r="E4082" s="1658" t="s">
        <v>9033</v>
      </c>
      <c r="F4082" s="2004"/>
      <c r="G4082" s="2004">
        <f>IF('4M'!R9="","##BLANK",'4M'!R9)</f>
        <v>0</v>
      </c>
    </row>
    <row r="4083" spans="2:7">
      <c r="B4083" s="848" t="str">
        <f>+'4M'!BT10</f>
        <v>S3036GHDCUM</v>
      </c>
      <c r="D4083" s="2004"/>
      <c r="E4083" s="1658" t="s">
        <v>9033</v>
      </c>
      <c r="F4083" s="2004"/>
      <c r="G4083" s="2004">
        <f>IF('4M'!R10="","##BLANK",'4M'!R10)</f>
        <v>0</v>
      </c>
    </row>
    <row r="4084" spans="2:7">
      <c r="B4084" s="848" t="str">
        <f>+'4M'!BT11</f>
        <v>S3004HDCUM</v>
      </c>
      <c r="D4084" s="2004"/>
      <c r="E4084" s="1658" t="s">
        <v>9033</v>
      </c>
      <c r="F4084" s="2004"/>
      <c r="G4084" s="2004">
        <f>IF('4M'!R11="","##BLANK",'4M'!R11)</f>
        <v>0</v>
      </c>
    </row>
    <row r="4085" spans="2:7">
      <c r="B4085" s="848" t="str">
        <f>+'4M'!BT12</f>
        <v>WWS2001HDCUM</v>
      </c>
      <c r="D4085" s="2004"/>
      <c r="E4085" s="1658" t="s">
        <v>9033</v>
      </c>
      <c r="F4085" s="2004"/>
      <c r="G4085" s="2004">
        <f>IF('4M'!R12="","##BLANK",'4M'!R12)</f>
        <v>0</v>
      </c>
    </row>
    <row r="4086" spans="2:7">
      <c r="B4086" s="848" t="str">
        <f>+'4M'!BT13</f>
        <v>S3005HDCUM</v>
      </c>
      <c r="D4086" s="2004"/>
      <c r="E4086" s="1658" t="s">
        <v>9033</v>
      </c>
      <c r="F4086" s="2004"/>
      <c r="G4086" s="2004">
        <f>IF('4M'!R13="","##BLANK",'4M'!R13)</f>
        <v>0</v>
      </c>
    </row>
    <row r="4087" spans="2:7">
      <c r="B4087" s="848" t="str">
        <f>+'4M'!BT14</f>
        <v>S3006HDCUM</v>
      </c>
      <c r="D4087" s="2004"/>
      <c r="E4087" s="1658" t="s">
        <v>9033</v>
      </c>
      <c r="F4087" s="2004"/>
      <c r="G4087" s="2004">
        <f>IF('4M'!R14="","##BLANK",'4M'!R14)</f>
        <v>0</v>
      </c>
    </row>
    <row r="4088" spans="2:7">
      <c r="B4088" s="848" t="str">
        <f>+'4M'!BT15</f>
        <v>S3007HDCUM</v>
      </c>
      <c r="D4088" s="2004"/>
      <c r="E4088" s="1658" t="s">
        <v>9033</v>
      </c>
      <c r="F4088" s="2004"/>
      <c r="G4088" s="2004">
        <f>IF('4M'!R15="","##BLANK",'4M'!R15)</f>
        <v>0</v>
      </c>
    </row>
    <row r="4089" spans="2:7">
      <c r="B4089" s="848" t="str">
        <f>+'4M'!BT16</f>
        <v>WWS2002HDCUM</v>
      </c>
      <c r="D4089" s="2004"/>
      <c r="E4089" s="1658" t="s">
        <v>9033</v>
      </c>
      <c r="F4089" s="2004"/>
      <c r="G4089" s="2004">
        <f>IF('4M'!R16="","##BLANK",'4M'!R16)</f>
        <v>0</v>
      </c>
    </row>
    <row r="4090" spans="2:7">
      <c r="B4090" s="848" t="str">
        <f>+'4M'!BT17</f>
        <v>WWS2003HDCUM</v>
      </c>
      <c r="D4090" s="2004"/>
      <c r="E4090" s="1658" t="s">
        <v>9033</v>
      </c>
      <c r="F4090" s="2004"/>
      <c r="G4090" s="2004">
        <f>IF('4M'!R17="","##BLANK",'4M'!R17)</f>
        <v>0</v>
      </c>
    </row>
    <row r="4091" spans="2:7">
      <c r="B4091" s="848" t="str">
        <f>+'4M'!BT18</f>
        <v>S3008HDCUM</v>
      </c>
      <c r="D4091" s="2004"/>
      <c r="E4091" s="1658" t="s">
        <v>9033</v>
      </c>
      <c r="F4091" s="2004"/>
      <c r="G4091" s="2004">
        <f>IF('4M'!R18="","##BLANK",'4M'!R18)</f>
        <v>0.74099999999999999</v>
      </c>
    </row>
    <row r="4092" spans="2:7">
      <c r="B4092" s="848" t="str">
        <f>+'4M'!BT19</f>
        <v>S3009HDCUM</v>
      </c>
      <c r="D4092" s="2004"/>
      <c r="E4092" s="1658" t="s">
        <v>9033</v>
      </c>
      <c r="F4092" s="2004"/>
      <c r="G4092" s="2004">
        <f>IF('4M'!R19="","##BLANK",'4M'!R19)</f>
        <v>0</v>
      </c>
    </row>
    <row r="4093" spans="2:7">
      <c r="B4093" s="848" t="str">
        <f>+'4M'!BT20</f>
        <v>WWS2007HDCUM</v>
      </c>
      <c r="D4093" s="2004"/>
      <c r="E4093" s="1658" t="s">
        <v>9033</v>
      </c>
      <c r="F4093" s="2004"/>
      <c r="G4093" s="2004">
        <f>IF('4M'!R20="","##BLANK",'4M'!R20)</f>
        <v>0</v>
      </c>
    </row>
    <row r="4094" spans="2:7">
      <c r="B4094" s="848" t="str">
        <f>+'4M'!BT21</f>
        <v>S3010HDCUM</v>
      </c>
      <c r="D4094" s="2004"/>
      <c r="E4094" s="1658" t="s">
        <v>9033</v>
      </c>
      <c r="F4094" s="2004"/>
      <c r="G4094" s="2004">
        <f>IF('4M'!R21="","##BLANK",'4M'!R21)</f>
        <v>0</v>
      </c>
    </row>
    <row r="4095" spans="2:7">
      <c r="B4095" s="848" t="str">
        <f>+'4M'!BT22</f>
        <v>S3011HDCUM</v>
      </c>
      <c r="D4095" s="2004"/>
      <c r="E4095" s="1658" t="s">
        <v>9033</v>
      </c>
      <c r="F4095" s="2004"/>
      <c r="G4095" s="2004">
        <f>IF('4M'!R22="","##BLANK",'4M'!R22)</f>
        <v>0</v>
      </c>
    </row>
    <row r="4096" spans="2:7">
      <c r="B4096" s="848" t="str">
        <f>+'4M'!BT23</f>
        <v>S3012HDCUM</v>
      </c>
      <c r="D4096" s="2004"/>
      <c r="E4096" s="1658" t="s">
        <v>9033</v>
      </c>
      <c r="F4096" s="2004"/>
      <c r="G4096" s="2004">
        <f>IF('4M'!R23="","##BLANK",'4M'!R23)</f>
        <v>0</v>
      </c>
    </row>
    <row r="4097" spans="2:7">
      <c r="B4097" s="848" t="str">
        <f>+'4M'!BT24</f>
        <v>S3013HDCUM</v>
      </c>
      <c r="D4097" s="2004"/>
      <c r="E4097" s="1658" t="s">
        <v>9033</v>
      </c>
      <c r="F4097" s="2004"/>
      <c r="G4097" s="2004">
        <f>IF('4M'!R24="","##BLANK",'4M'!R24)</f>
        <v>0</v>
      </c>
    </row>
    <row r="4098" spans="2:7">
      <c r="B4098" s="848" t="str">
        <f>+'4M'!BT25</f>
        <v>S3014HDCUM</v>
      </c>
      <c r="D4098" s="2004"/>
      <c r="E4098" s="1658" t="s">
        <v>9033</v>
      </c>
      <c r="F4098" s="2004"/>
      <c r="G4098" s="2004">
        <f>IF('4M'!R25="","##BLANK",'4M'!R25)</f>
        <v>0</v>
      </c>
    </row>
    <row r="4099" spans="2:7">
      <c r="B4099" s="848" t="str">
        <f>+'4M'!BT26</f>
        <v>S3015HDCUM</v>
      </c>
      <c r="D4099" s="2004"/>
      <c r="E4099" s="1658" t="s">
        <v>9033</v>
      </c>
      <c r="F4099" s="2004"/>
      <c r="G4099" s="2004">
        <f>IF('4M'!R26="","##BLANK",'4M'!R26)</f>
        <v>7.5999999999999998E-2</v>
      </c>
    </row>
    <row r="4100" spans="2:7">
      <c r="B4100" s="848" t="str">
        <f>+'4M'!BT27</f>
        <v>S3016HDCUM</v>
      </c>
      <c r="D4100" s="2004"/>
      <c r="E4100" s="1658" t="s">
        <v>9033</v>
      </c>
      <c r="F4100" s="2004"/>
      <c r="G4100" s="2004">
        <f>IF('4M'!R27="","##BLANK",'4M'!R27)</f>
        <v>0</v>
      </c>
    </row>
    <row r="4101" spans="2:7">
      <c r="B4101" s="848" t="str">
        <f>+'4M'!BT28</f>
        <v>S3017HDCUM</v>
      </c>
      <c r="D4101" s="2004"/>
      <c r="E4101" s="1658" t="s">
        <v>9033</v>
      </c>
      <c r="F4101" s="2004"/>
      <c r="G4101" s="2004">
        <f>IF('4M'!R28="","##BLANK",'4M'!R28)</f>
        <v>0</v>
      </c>
    </row>
    <row r="4102" spans="2:7">
      <c r="B4102" s="848" t="str">
        <f>+'4M'!BT29</f>
        <v>S3018HDCUM</v>
      </c>
      <c r="D4102" s="2004"/>
      <c r="E4102" s="1658" t="s">
        <v>9033</v>
      </c>
      <c r="F4102" s="2004"/>
      <c r="G4102" s="2004">
        <f>IF('4M'!R29="","##BLANK",'4M'!R29)</f>
        <v>0</v>
      </c>
    </row>
    <row r="4103" spans="2:7">
      <c r="B4103" s="848" t="str">
        <f>+'4M'!BT30</f>
        <v>S3019HDCUM</v>
      </c>
      <c r="D4103" s="2004"/>
      <c r="E4103" s="1658" t="s">
        <v>9033</v>
      </c>
      <c r="F4103" s="2004"/>
      <c r="G4103" s="2004">
        <f>IF('4M'!R30="","##BLANK",'4M'!R30)</f>
        <v>0</v>
      </c>
    </row>
    <row r="4104" spans="2:7">
      <c r="B4104" s="848" t="str">
        <f>+'4M'!BT31</f>
        <v>S3020HDCUM</v>
      </c>
      <c r="D4104" s="2004"/>
      <c r="E4104" s="1658" t="s">
        <v>9033</v>
      </c>
      <c r="F4104" s="2004"/>
      <c r="G4104" s="2004">
        <f>IF('4M'!R31="","##BLANK",'4M'!R31)</f>
        <v>0.223</v>
      </c>
    </row>
    <row r="4105" spans="2:7">
      <c r="B4105" s="848" t="str">
        <f>+'4M'!BT32</f>
        <v>S3021HDCUM</v>
      </c>
      <c r="D4105" s="2004"/>
      <c r="E4105" s="1658" t="s">
        <v>9033</v>
      </c>
      <c r="F4105" s="2004"/>
      <c r="G4105" s="2004">
        <f>IF('4M'!R32="","##BLANK",'4M'!R32)</f>
        <v>0</v>
      </c>
    </row>
    <row r="4106" spans="2:7">
      <c r="B4106" s="848" t="str">
        <f>+'4M'!BT33</f>
        <v>S3022HDCUM</v>
      </c>
      <c r="D4106" s="2004"/>
      <c r="E4106" s="1658" t="s">
        <v>9033</v>
      </c>
      <c r="F4106" s="2004"/>
      <c r="G4106" s="2004">
        <f>IF('4M'!R33="","##BLANK",'4M'!R33)</f>
        <v>0</v>
      </c>
    </row>
    <row r="4107" spans="2:7">
      <c r="B4107" s="848" t="str">
        <f>+'4M'!BT34</f>
        <v>BC31785HDCUM</v>
      </c>
      <c r="D4107" s="2004"/>
      <c r="E4107" s="1658" t="s">
        <v>9033</v>
      </c>
      <c r="F4107" s="2004"/>
      <c r="G4107" s="2004">
        <f>IF('4M'!R34="","##BLANK",'4M'!R34)</f>
        <v>0.7</v>
      </c>
    </row>
    <row r="4108" spans="2:7">
      <c r="B4108" s="848" t="str">
        <f>+'4M'!BT35</f>
        <v>S3023HDCUM</v>
      </c>
      <c r="D4108" s="2004"/>
      <c r="E4108" s="1658" t="s">
        <v>9033</v>
      </c>
      <c r="F4108" s="2004"/>
      <c r="G4108" s="2004">
        <f>IF('4M'!R35="","##BLANK",'4M'!R35)</f>
        <v>1.306</v>
      </c>
    </row>
    <row r="4109" spans="2:7">
      <c r="B4109" s="848" t="str">
        <f>+'4M'!BT36</f>
        <v>S3024HDCUM</v>
      </c>
      <c r="D4109" s="2004"/>
      <c r="E4109" s="1658" t="s">
        <v>9033</v>
      </c>
      <c r="F4109" s="2004"/>
      <c r="G4109" s="2004">
        <f>IF('4M'!R36="","##BLANK",'4M'!R36)</f>
        <v>2.5990000000000002</v>
      </c>
    </row>
    <row r="4110" spans="2:7">
      <c r="B4110" s="848" t="str">
        <f>+'4M'!BT37</f>
        <v>S3A00001HDCUM</v>
      </c>
      <c r="D4110" s="2004"/>
      <c r="E4110" s="1658" t="s">
        <v>9033</v>
      </c>
      <c r="F4110" s="2004" t="str">
        <f>+'4M'!C$37</f>
        <v>Bathing water ELoS</v>
      </c>
      <c r="G4110" s="2004">
        <f>IF('4M'!R37="","##BLANK",'4M'!R37)</f>
        <v>0</v>
      </c>
    </row>
    <row r="4111" spans="2:7">
      <c r="B4111" s="848" t="str">
        <f>+'4M'!BT38</f>
        <v>S3A00002HDCUM</v>
      </c>
      <c r="D4111" s="2004"/>
      <c r="E4111" s="1658" t="s">
        <v>9033</v>
      </c>
      <c r="F4111" s="2004" t="str">
        <f>+'4M'!C$38</f>
        <v>Pollution ELoS</v>
      </c>
      <c r="G4111" s="2004">
        <f>IF('4M'!R38="","##BLANK",'4M'!R38)</f>
        <v>0</v>
      </c>
    </row>
    <row r="4112" spans="2:7">
      <c r="B4112" s="848" t="str">
        <f>+'4M'!BT39</f>
        <v>S3A00003HDCUM</v>
      </c>
      <c r="D4112" s="2004"/>
      <c r="E4112" s="1658" t="s">
        <v>9033</v>
      </c>
      <c r="F4112" s="2004" t="str">
        <f>+'4M'!C$39</f>
        <v>Connections (if applicable)</v>
      </c>
      <c r="G4112" s="2004">
        <f>IF('4M'!R39="","##BLANK",'4M'!R39)</f>
        <v>0</v>
      </c>
    </row>
    <row r="4113" spans="2:7">
      <c r="B4113" s="848" t="str">
        <f>+'4M'!BT40</f>
        <v>S3A00004HDCUM</v>
      </c>
      <c r="D4113" s="2004"/>
      <c r="E4113" s="1658" t="s">
        <v>9033</v>
      </c>
      <c r="F4113" s="2004" t="str">
        <f>+'4M'!C$40</f>
        <v>Emergency Overflow Appeals</v>
      </c>
      <c r="G4113" s="2004">
        <f>IF('4M'!R40="","##BLANK",'4M'!R40)</f>
        <v>0</v>
      </c>
    </row>
    <row r="4114" spans="2:7">
      <c r="B4114" s="848" t="str">
        <f>+'4M'!BT41</f>
        <v>S3A00005HDCUM</v>
      </c>
      <c r="D4114" s="2004"/>
      <c r="E4114" s="1658" t="s">
        <v>9033</v>
      </c>
      <c r="F4114" s="2004" t="str">
        <f>+'4M'!C$41</f>
        <v>Exclusions</v>
      </c>
      <c r="G4114" s="2004">
        <f>IF('4M'!R41="","##BLANK",'4M'!R41)</f>
        <v>0</v>
      </c>
    </row>
    <row r="4115" spans="2:7">
      <c r="B4115" s="848" t="str">
        <f>+'4M'!BT42</f>
        <v>S3A00006HDCUM</v>
      </c>
      <c r="D4115" s="2004"/>
      <c r="E4115" s="1658" t="s">
        <v>9033</v>
      </c>
      <c r="F4115" s="2004" t="str">
        <f>+'4M'!C$42</f>
        <v>Pollution - UQ</v>
      </c>
      <c r="G4115" s="2004">
        <f>IF('4M'!R42="","##BLANK",'4M'!R42)</f>
        <v>5.415</v>
      </c>
    </row>
    <row r="4116" spans="2:7">
      <c r="B4116" s="848" t="str">
        <f>+'4M'!BT43</f>
        <v>S3A00007HDCUM</v>
      </c>
      <c r="D4116" s="2004"/>
      <c r="E4116" s="1658" t="s">
        <v>9033</v>
      </c>
      <c r="F4116" s="2004" t="str">
        <f>+'4M'!C$43</f>
        <v>Internal Flooding - UQ</v>
      </c>
      <c r="G4116" s="2004">
        <f>IF('4M'!R43="","##BLANK",'4M'!R43)</f>
        <v>7.5119999999999996</v>
      </c>
    </row>
    <row r="4117" spans="2:7">
      <c r="B4117" s="848" t="str">
        <f>+'4M'!BT44</f>
        <v>S3A00008HDCUM</v>
      </c>
      <c r="D4117" s="2004"/>
      <c r="E4117" s="1658" t="s">
        <v>9033</v>
      </c>
      <c r="F4117" s="2004" t="str">
        <f>+'4M'!C$44</f>
        <v>Infrastructure network reinforcement</v>
      </c>
      <c r="G4117" s="2004">
        <f>IF('4M'!R44="","##BLANK",'4M'!R44)</f>
        <v>0</v>
      </c>
    </row>
    <row r="4118" spans="2:7">
      <c r="B4118" s="848" t="str">
        <f>+'4M'!BT45</f>
        <v>S3A00009HDCUM</v>
      </c>
      <c r="D4118" s="2004"/>
      <c r="E4118" s="1658" t="s">
        <v>9033</v>
      </c>
      <c r="F4118" s="2004" t="str">
        <f>+'4M'!C$45</f>
        <v>2020-25 Transition Expenditure - Capex</v>
      </c>
      <c r="G4118" s="2004">
        <f>IF('4M'!R45="","##BLANK",'4M'!R45)</f>
        <v>0</v>
      </c>
    </row>
    <row r="4119" spans="2:7">
      <c r="B4119" s="848" t="str">
        <f>+'4M'!BT46</f>
        <v>S3A00010HDCUM</v>
      </c>
      <c r="D4119" s="2004"/>
      <c r="E4119" s="1658" t="s">
        <v>9033</v>
      </c>
      <c r="F4119" s="2004" t="str">
        <f>+'4M'!C$46</f>
        <v>Capital expenditure purpose - WASTEWATER additional line 10 [Other categories]</v>
      </c>
      <c r="G4119" s="2004">
        <f>IF('4M'!R46="","##BLANK",'4M'!R46)</f>
        <v>0</v>
      </c>
    </row>
    <row r="4120" spans="2:7">
      <c r="B4120" s="848" t="str">
        <f>+'4M'!BT47</f>
        <v>S3A00011HDCUM</v>
      </c>
      <c r="D4120" s="2004"/>
      <c r="E4120" s="1658" t="s">
        <v>9033</v>
      </c>
      <c r="F4120" s="2004" t="str">
        <f>+'4M'!C$47</f>
        <v>Capital expenditure purpose - WASTEWATER additional line 11 [Other categories]</v>
      </c>
      <c r="G4120" s="2004" t="str">
        <f>IF('4M'!R47="","##BLANK",'4M'!R47)</f>
        <v>##BLANK</v>
      </c>
    </row>
    <row r="4121" spans="2:7">
      <c r="B4121" s="848" t="str">
        <f>+'4M'!BT48</f>
        <v>S3A00012HDCUM</v>
      </c>
      <c r="D4121" s="2004"/>
      <c r="E4121" s="1658" t="s">
        <v>9033</v>
      </c>
      <c r="F4121" s="2004" t="str">
        <f>+'4M'!C$48</f>
        <v>Capital expenditure purpose - WASTEWATER additional line 12 [Other categories]</v>
      </c>
      <c r="G4121" s="2004" t="str">
        <f>IF('4M'!R48="","##BLANK",'4M'!R48)</f>
        <v>##BLANK</v>
      </c>
    </row>
    <row r="4122" spans="2:7">
      <c r="B4122" s="848" t="str">
        <f>+'4M'!BT49</f>
        <v>S3A00013HDCUM</v>
      </c>
      <c r="D4122" s="2004"/>
      <c r="E4122" s="1658" t="s">
        <v>9033</v>
      </c>
      <c r="F4122" s="2004" t="str">
        <f>+'4M'!C$49</f>
        <v>Capital expenditure purpose - WASTEWATER additional line 13 [Other categories]</v>
      </c>
      <c r="G4122" s="2004" t="str">
        <f>IF('4M'!R49="","##BLANK",'4M'!R49)</f>
        <v>##BLANK</v>
      </c>
    </row>
    <row r="4123" spans="2:7">
      <c r="B4123" s="848" t="str">
        <f>+'4M'!BT50</f>
        <v>S3A00014HDCUM</v>
      </c>
      <c r="D4123" s="2004"/>
      <c r="E4123" s="1658" t="s">
        <v>9033</v>
      </c>
      <c r="F4123" s="2004" t="str">
        <f>+'4M'!C$50</f>
        <v>Capital expenditure purpose - WASTEWATER additional line 14 [Other categories]</v>
      </c>
      <c r="G4123" s="2004" t="str">
        <f>IF('4M'!R50="","##BLANK",'4M'!R50)</f>
        <v>##BLANK</v>
      </c>
    </row>
    <row r="4124" spans="2:7">
      <c r="B4124" s="848" t="str">
        <f>+'4M'!BT51</f>
        <v>S3A00015HDCUM</v>
      </c>
      <c r="D4124" s="2004"/>
      <c r="E4124" s="1658" t="s">
        <v>9033</v>
      </c>
      <c r="F4124" s="2004" t="str">
        <f>+'4M'!C$51</f>
        <v>Capital expenditure purpose - WASTEWATER additional line 15 [Other categories]</v>
      </c>
      <c r="G4124" s="2004" t="str">
        <f>IF('4M'!R51="","##BLANK",'4M'!R51)</f>
        <v>##BLANK</v>
      </c>
    </row>
    <row r="4125" spans="2:7">
      <c r="B4125" s="848" t="str">
        <f>+'4M'!BT52</f>
        <v>S3025ENHHDCUM</v>
      </c>
      <c r="D4125" s="2004"/>
      <c r="E4125" s="1658" t="s">
        <v>9033</v>
      </c>
      <c r="F4125" s="2004"/>
      <c r="G4125" s="2004">
        <f>IF('4M'!R52="","##BLANK",'4M'!R52)</f>
        <v>18.571999999999999</v>
      </c>
    </row>
    <row r="4126" spans="2:7">
      <c r="B4126" s="848" t="str">
        <f>+'4M'!BU8</f>
        <v>BC31379STDCUM</v>
      </c>
      <c r="D4126" s="2004"/>
      <c r="E4126" s="1658" t="s">
        <v>9033</v>
      </c>
      <c r="F4126" s="2004"/>
      <c r="G4126" s="2004">
        <f>IF('4M'!S8="","##BLANK",'4M'!S8)</f>
        <v>0</v>
      </c>
    </row>
    <row r="4127" spans="2:7">
      <c r="B4127" s="848" t="str">
        <f>+'4M'!BU9</f>
        <v>S3035QSTDCUM</v>
      </c>
      <c r="D4127" s="2004"/>
      <c r="E4127" s="1658" t="s">
        <v>9033</v>
      </c>
      <c r="F4127" s="2004"/>
      <c r="G4127" s="2004">
        <f>IF('4M'!S9="","##BLANK",'4M'!S9)</f>
        <v>0</v>
      </c>
    </row>
    <row r="4128" spans="2:7">
      <c r="B4128" s="848" t="str">
        <f>+'4M'!BU10</f>
        <v>S3036GSTDCUM</v>
      </c>
      <c r="D4128" s="2004"/>
      <c r="E4128" s="1658" t="s">
        <v>9033</v>
      </c>
      <c r="F4128" s="2004"/>
      <c r="G4128" s="2004">
        <f>IF('4M'!S10="","##BLANK",'4M'!S10)</f>
        <v>0</v>
      </c>
    </row>
    <row r="4129" spans="2:7">
      <c r="B4129" s="848" t="str">
        <f>+'4M'!BU11</f>
        <v>S3004STDCUM</v>
      </c>
      <c r="D4129" s="2004"/>
      <c r="E4129" s="1658" t="s">
        <v>9033</v>
      </c>
      <c r="F4129" s="2004"/>
      <c r="G4129" s="2004">
        <f>IF('4M'!S11="","##BLANK",'4M'!S11)</f>
        <v>0</v>
      </c>
    </row>
    <row r="4130" spans="2:7">
      <c r="B4130" s="848" t="str">
        <f>+'4M'!BU12</f>
        <v>WWS2001STDCUM</v>
      </c>
      <c r="D4130" s="2004"/>
      <c r="E4130" s="1658" t="s">
        <v>9033</v>
      </c>
      <c r="F4130" s="2004"/>
      <c r="G4130" s="2004">
        <f>IF('4M'!S12="","##BLANK",'4M'!S12)</f>
        <v>0</v>
      </c>
    </row>
    <row r="4131" spans="2:7">
      <c r="B4131" s="848" t="str">
        <f>+'4M'!BU13</f>
        <v>S3005STDCUM</v>
      </c>
      <c r="D4131" s="2004"/>
      <c r="E4131" s="1658" t="s">
        <v>9033</v>
      </c>
      <c r="F4131" s="2004"/>
      <c r="G4131" s="2004">
        <f>IF('4M'!S13="","##BLANK",'4M'!S13)</f>
        <v>1.821</v>
      </c>
    </row>
    <row r="4132" spans="2:7">
      <c r="B4132" s="848" t="str">
        <f>+'4M'!BU14</f>
        <v>S3006STDCUM</v>
      </c>
      <c r="D4132" s="2004"/>
      <c r="E4132" s="1658" t="s">
        <v>9033</v>
      </c>
      <c r="F4132" s="2004"/>
      <c r="G4132" s="2004">
        <f>IF('4M'!S14="","##BLANK",'4M'!S14)</f>
        <v>0</v>
      </c>
    </row>
    <row r="4133" spans="2:7">
      <c r="B4133" s="848" t="str">
        <f>+'4M'!BU15</f>
        <v>S3007STDCUM</v>
      </c>
      <c r="D4133" s="2004"/>
      <c r="E4133" s="1658" t="s">
        <v>9033</v>
      </c>
      <c r="F4133" s="2004"/>
      <c r="G4133" s="2004">
        <f>IF('4M'!S15="","##BLANK",'4M'!S15)</f>
        <v>0</v>
      </c>
    </row>
    <row r="4134" spans="2:7">
      <c r="B4134" s="848" t="str">
        <f>+'4M'!BU16</f>
        <v>WWS2002STDCUM</v>
      </c>
      <c r="D4134" s="2004"/>
      <c r="E4134" s="1658" t="s">
        <v>9033</v>
      </c>
      <c r="F4134" s="2004"/>
      <c r="G4134" s="2004">
        <f>IF('4M'!S16="","##BLANK",'4M'!S16)</f>
        <v>0</v>
      </c>
    </row>
    <row r="4135" spans="2:7">
      <c r="B4135" s="848" t="str">
        <f>+'4M'!BU17</f>
        <v>WWS2003STDCUM</v>
      </c>
      <c r="D4135" s="2004"/>
      <c r="E4135" s="1658" t="s">
        <v>9033</v>
      </c>
      <c r="F4135" s="2004"/>
      <c r="G4135" s="2004">
        <f>IF('4M'!S17="","##BLANK",'4M'!S17)</f>
        <v>0</v>
      </c>
    </row>
    <row r="4136" spans="2:7">
      <c r="B4136" s="848" t="str">
        <f>+'4M'!BU18</f>
        <v>S3008STDCUM</v>
      </c>
      <c r="D4136" s="2004"/>
      <c r="E4136" s="1658" t="s">
        <v>9033</v>
      </c>
      <c r="F4136" s="2004"/>
      <c r="G4136" s="2004">
        <f>IF('4M'!S18="","##BLANK",'4M'!S18)</f>
        <v>0</v>
      </c>
    </row>
    <row r="4137" spans="2:7">
      <c r="B4137" s="848" t="str">
        <f>+'4M'!BU19</f>
        <v>S3009STDCUM</v>
      </c>
      <c r="D4137" s="2004"/>
      <c r="E4137" s="1658" t="s">
        <v>9033</v>
      </c>
      <c r="F4137" s="2004"/>
      <c r="G4137" s="2004">
        <f>IF('4M'!S19="","##BLANK",'4M'!S19)</f>
        <v>0.90100000000000002</v>
      </c>
    </row>
    <row r="4138" spans="2:7">
      <c r="B4138" s="848" t="str">
        <f>+'4M'!BU20</f>
        <v>WWS2007STDCUM</v>
      </c>
      <c r="D4138" s="2004"/>
      <c r="E4138" s="1658" t="s">
        <v>9033</v>
      </c>
      <c r="F4138" s="2004"/>
      <c r="G4138" s="2004">
        <f>IF('4M'!S20="","##BLANK",'4M'!S20)</f>
        <v>0</v>
      </c>
    </row>
    <row r="4139" spans="2:7">
      <c r="B4139" s="848" t="str">
        <f>+'4M'!BU21</f>
        <v>S3010STDCUM</v>
      </c>
      <c r="D4139" s="2004"/>
      <c r="E4139" s="1658" t="s">
        <v>9033</v>
      </c>
      <c r="F4139" s="2004"/>
      <c r="G4139" s="2004">
        <f>IF('4M'!S21="","##BLANK",'4M'!S21)</f>
        <v>0</v>
      </c>
    </row>
    <row r="4140" spans="2:7">
      <c r="B4140" s="848" t="str">
        <f>+'4M'!BU22</f>
        <v>S3011STDCUM</v>
      </c>
      <c r="D4140" s="2004"/>
      <c r="E4140" s="1658" t="s">
        <v>9033</v>
      </c>
      <c r="F4140" s="2004"/>
      <c r="G4140" s="2004">
        <f>IF('4M'!S22="","##BLANK",'4M'!S22)</f>
        <v>0</v>
      </c>
    </row>
    <row r="4141" spans="2:7">
      <c r="B4141" s="848" t="str">
        <f>+'4M'!BU23</f>
        <v>S3012STDCUM</v>
      </c>
      <c r="D4141" s="2004"/>
      <c r="E4141" s="1658" t="s">
        <v>9033</v>
      </c>
      <c r="F4141" s="2004"/>
      <c r="G4141" s="2004">
        <f>IF('4M'!S23="","##BLANK",'4M'!S23)</f>
        <v>0</v>
      </c>
    </row>
    <row r="4142" spans="2:7">
      <c r="B4142" s="848" t="str">
        <f>+'4M'!BU24</f>
        <v>S3013STDCUM</v>
      </c>
      <c r="D4142" s="2004"/>
      <c r="E4142" s="1658" t="s">
        <v>9033</v>
      </c>
      <c r="F4142" s="2004"/>
      <c r="G4142" s="2004">
        <f>IF('4M'!S24="","##BLANK",'4M'!S24)</f>
        <v>12.863</v>
      </c>
    </row>
    <row r="4143" spans="2:7">
      <c r="B4143" s="848" t="str">
        <f>+'4M'!BU25</f>
        <v>S3014STDCUM</v>
      </c>
      <c r="D4143" s="2004"/>
      <c r="E4143" s="1658" t="s">
        <v>9033</v>
      </c>
      <c r="F4143" s="2004"/>
      <c r="G4143" s="2004">
        <f>IF('4M'!S25="","##BLANK",'4M'!S25)</f>
        <v>40.872999999999998</v>
      </c>
    </row>
    <row r="4144" spans="2:7">
      <c r="B4144" s="848" t="str">
        <f>+'4M'!BU26</f>
        <v>S3015STDCUM</v>
      </c>
      <c r="D4144" s="2004"/>
      <c r="E4144" s="1658" t="s">
        <v>9033</v>
      </c>
      <c r="F4144" s="2004"/>
      <c r="G4144" s="2004">
        <f>IF('4M'!S26="","##BLANK",'4M'!S26)</f>
        <v>65.334000000000003</v>
      </c>
    </row>
    <row r="4145" spans="2:7">
      <c r="B4145" s="848" t="str">
        <f>+'4M'!BU27</f>
        <v>S3016STDCUM</v>
      </c>
      <c r="D4145" s="2004"/>
      <c r="E4145" s="1658" t="s">
        <v>9033</v>
      </c>
      <c r="F4145" s="2004"/>
      <c r="G4145" s="2004">
        <f>IF('4M'!S27="","##BLANK",'4M'!S27)</f>
        <v>0</v>
      </c>
    </row>
    <row r="4146" spans="2:7">
      <c r="B4146" s="848" t="str">
        <f>+'4M'!BU28</f>
        <v>S3017STDCUM</v>
      </c>
      <c r="D4146" s="2004"/>
      <c r="E4146" s="1658" t="s">
        <v>9033</v>
      </c>
      <c r="F4146" s="2004"/>
      <c r="G4146" s="2004">
        <f>IF('4M'!S28="","##BLANK",'4M'!S28)</f>
        <v>0</v>
      </c>
    </row>
    <row r="4147" spans="2:7">
      <c r="B4147" s="848" t="str">
        <f>+'4M'!BU29</f>
        <v>S3018STDCUM</v>
      </c>
      <c r="D4147" s="2004"/>
      <c r="E4147" s="1658" t="s">
        <v>9033</v>
      </c>
      <c r="F4147" s="2004"/>
      <c r="G4147" s="2004">
        <f>IF('4M'!S29="","##BLANK",'4M'!S29)</f>
        <v>0</v>
      </c>
    </row>
    <row r="4148" spans="2:7">
      <c r="B4148" s="848" t="str">
        <f>+'4M'!BU30</f>
        <v>S3019STDCUM</v>
      </c>
      <c r="D4148" s="2004"/>
      <c r="E4148" s="1658" t="s">
        <v>9033</v>
      </c>
      <c r="F4148" s="2004"/>
      <c r="G4148" s="2004">
        <f>IF('4M'!S30="","##BLANK",'4M'!S30)</f>
        <v>0</v>
      </c>
    </row>
    <row r="4149" spans="2:7">
      <c r="B4149" s="848" t="str">
        <f>+'4M'!BU31</f>
        <v>S3020STDCUM</v>
      </c>
      <c r="D4149" s="2004"/>
      <c r="E4149" s="1658" t="s">
        <v>9033</v>
      </c>
      <c r="F4149" s="2004"/>
      <c r="G4149" s="2004">
        <f>IF('4M'!S31="","##BLANK",'4M'!S31)</f>
        <v>0</v>
      </c>
    </row>
    <row r="4150" spans="2:7">
      <c r="B4150" s="848" t="str">
        <f>+'4M'!BU32</f>
        <v>S3021STDCUM</v>
      </c>
      <c r="D4150" s="2004"/>
      <c r="E4150" s="1658" t="s">
        <v>9033</v>
      </c>
      <c r="F4150" s="2004"/>
      <c r="G4150" s="2004">
        <f>IF('4M'!S32="","##BLANK",'4M'!S32)</f>
        <v>0.57899999999999996</v>
      </c>
    </row>
    <row r="4151" spans="2:7">
      <c r="B4151" s="848" t="str">
        <f>+'4M'!BU33</f>
        <v>S3022STDCUM</v>
      </c>
      <c r="D4151" s="2004"/>
      <c r="E4151" s="1658" t="s">
        <v>9033</v>
      </c>
      <c r="F4151" s="2004"/>
      <c r="G4151" s="2004">
        <f>IF('4M'!S33="","##BLANK",'4M'!S33)</f>
        <v>0</v>
      </c>
    </row>
    <row r="4152" spans="2:7">
      <c r="B4152" s="848" t="str">
        <f>+'4M'!BU34</f>
        <v>BC31785STDCUM</v>
      </c>
      <c r="D4152" s="2004"/>
      <c r="E4152" s="1658" t="s">
        <v>9033</v>
      </c>
      <c r="F4152" s="2004"/>
      <c r="G4152" s="2004">
        <f>IF('4M'!S34="","##BLANK",'4M'!S34)</f>
        <v>1.792</v>
      </c>
    </row>
    <row r="4153" spans="2:7">
      <c r="B4153" s="848" t="str">
        <f>+'4M'!BU35</f>
        <v>S3023STDCUM</v>
      </c>
      <c r="D4153" s="2004"/>
      <c r="E4153" s="1658" t="s">
        <v>9033</v>
      </c>
      <c r="F4153" s="2004"/>
      <c r="G4153" s="2004">
        <f>IF('4M'!S35="","##BLANK",'4M'!S35)</f>
        <v>0</v>
      </c>
    </row>
    <row r="4154" spans="2:7">
      <c r="B4154" s="848" t="str">
        <f>+'4M'!BU36</f>
        <v>S3024STDCUM</v>
      </c>
      <c r="D4154" s="2004"/>
      <c r="E4154" s="1658" t="s">
        <v>9033</v>
      </c>
      <c r="F4154" s="2004"/>
      <c r="G4154" s="2004">
        <f>IF('4M'!S36="","##BLANK",'4M'!S36)</f>
        <v>0</v>
      </c>
    </row>
    <row r="4155" spans="2:7">
      <c r="B4155" s="848" t="str">
        <f>+'4M'!BU37</f>
        <v>S3A00001STDCUM</v>
      </c>
      <c r="D4155" s="2004"/>
      <c r="E4155" s="1658" t="s">
        <v>9033</v>
      </c>
      <c r="F4155" s="2004" t="str">
        <f>+'4M'!C$37</f>
        <v>Bathing water ELoS</v>
      </c>
      <c r="G4155" s="2004">
        <f>IF('4M'!S37="","##BLANK",'4M'!S37)</f>
        <v>0</v>
      </c>
    </row>
    <row r="4156" spans="2:7">
      <c r="B4156" s="848" t="str">
        <f>+'4M'!BU38</f>
        <v>S3A00002STDCUM</v>
      </c>
      <c r="D4156" s="2004"/>
      <c r="E4156" s="1658" t="s">
        <v>9033</v>
      </c>
      <c r="F4156" s="2004" t="str">
        <f>+'4M'!C$38</f>
        <v>Pollution ELoS</v>
      </c>
      <c r="G4156" s="2004">
        <f>IF('4M'!S38="","##BLANK",'4M'!S38)</f>
        <v>0</v>
      </c>
    </row>
    <row r="4157" spans="2:7">
      <c r="B4157" s="848" t="str">
        <f>+'4M'!BU39</f>
        <v>S3A00003STDCUM</v>
      </c>
      <c r="D4157" s="2004"/>
      <c r="E4157" s="1658" t="s">
        <v>9033</v>
      </c>
      <c r="F4157" s="2004" t="str">
        <f>+'4M'!C$39</f>
        <v>Connections (if applicable)</v>
      </c>
      <c r="G4157" s="2004">
        <f>IF('4M'!S39="","##BLANK",'4M'!S39)</f>
        <v>0</v>
      </c>
    </row>
    <row r="4158" spans="2:7">
      <c r="B4158" s="848" t="str">
        <f>+'4M'!BU40</f>
        <v>S3A00004STDCUM</v>
      </c>
      <c r="D4158" s="2004"/>
      <c r="E4158" s="1658" t="s">
        <v>9033</v>
      </c>
      <c r="F4158" s="2004" t="str">
        <f>+'4M'!C$40</f>
        <v>Emergency Overflow Appeals</v>
      </c>
      <c r="G4158" s="2004">
        <f>IF('4M'!S40="","##BLANK",'4M'!S40)</f>
        <v>0</v>
      </c>
    </row>
    <row r="4159" spans="2:7">
      <c r="B4159" s="848" t="str">
        <f>+'4M'!BU41</f>
        <v>S3A00005STDCUM</v>
      </c>
      <c r="D4159" s="2004"/>
      <c r="E4159" s="1658" t="s">
        <v>9033</v>
      </c>
      <c r="F4159" s="2004" t="str">
        <f>+'4M'!C$41</f>
        <v>Exclusions</v>
      </c>
      <c r="G4159" s="2004">
        <f>IF('4M'!S41="","##BLANK",'4M'!S41)</f>
        <v>0</v>
      </c>
    </row>
    <row r="4160" spans="2:7">
      <c r="B4160" s="848" t="str">
        <f>+'4M'!BU42</f>
        <v>S3A00006STDCUM</v>
      </c>
      <c r="D4160" s="2004"/>
      <c r="E4160" s="1658" t="s">
        <v>9033</v>
      </c>
      <c r="F4160" s="2004" t="str">
        <f>+'4M'!C$42</f>
        <v>Pollution - UQ</v>
      </c>
      <c r="G4160" s="2004">
        <f>IF('4M'!S42="","##BLANK",'4M'!S42)</f>
        <v>0</v>
      </c>
    </row>
    <row r="4161" spans="2:7">
      <c r="B4161" s="848" t="str">
        <f>+'4M'!BU43</f>
        <v>S3A00007STDCUM</v>
      </c>
      <c r="D4161" s="2004"/>
      <c r="E4161" s="1658" t="s">
        <v>9033</v>
      </c>
      <c r="F4161" s="2004" t="str">
        <f>+'4M'!C$43</f>
        <v>Internal Flooding - UQ</v>
      </c>
      <c r="G4161" s="2004">
        <f>IF('4M'!S43="","##BLANK",'4M'!S43)</f>
        <v>0</v>
      </c>
    </row>
    <row r="4162" spans="2:7">
      <c r="B4162" s="848" t="str">
        <f>+'4M'!BU44</f>
        <v>S3A00008STDCUM</v>
      </c>
      <c r="D4162" s="2004"/>
      <c r="E4162" s="1658" t="s">
        <v>9033</v>
      </c>
      <c r="F4162" s="2004" t="str">
        <f>+'4M'!C$44</f>
        <v>Infrastructure network reinforcement</v>
      </c>
      <c r="G4162" s="2004">
        <f>IF('4M'!S44="","##BLANK",'4M'!S44)</f>
        <v>0</v>
      </c>
    </row>
    <row r="4163" spans="2:7">
      <c r="B4163" s="848" t="str">
        <f>+'4M'!BU45</f>
        <v>S3A00009STDCUM</v>
      </c>
      <c r="D4163" s="2004"/>
      <c r="E4163" s="1658" t="s">
        <v>9033</v>
      </c>
      <c r="F4163" s="2004" t="str">
        <f>+'4M'!C$45</f>
        <v>2020-25 Transition Expenditure - Capex</v>
      </c>
      <c r="G4163" s="2004">
        <f>IF('4M'!S45="","##BLANK",'4M'!S45)</f>
        <v>0</v>
      </c>
    </row>
    <row r="4164" spans="2:7">
      <c r="B4164" s="848" t="str">
        <f>+'4M'!BU46</f>
        <v>S3A00010STDCUM</v>
      </c>
      <c r="D4164" s="2004"/>
      <c r="E4164" s="1658" t="s">
        <v>9033</v>
      </c>
      <c r="F4164" s="2004" t="str">
        <f>+'4M'!C$46</f>
        <v>Capital expenditure purpose - WASTEWATER additional line 10 [Other categories]</v>
      </c>
      <c r="G4164" s="2004">
        <f>IF('4M'!S46="","##BLANK",'4M'!S46)</f>
        <v>0</v>
      </c>
    </row>
    <row r="4165" spans="2:7">
      <c r="B4165" s="848" t="str">
        <f>+'4M'!BU47</f>
        <v>S3A00011STDCUM</v>
      </c>
      <c r="D4165" s="2004"/>
      <c r="E4165" s="1658" t="s">
        <v>9033</v>
      </c>
      <c r="F4165" s="2004" t="str">
        <f>+'4M'!C$47</f>
        <v>Capital expenditure purpose - WASTEWATER additional line 11 [Other categories]</v>
      </c>
      <c r="G4165" s="2004" t="str">
        <f>IF('4M'!S47="","##BLANK",'4M'!S47)</f>
        <v>##BLANK</v>
      </c>
    </row>
    <row r="4166" spans="2:7">
      <c r="B4166" s="848" t="str">
        <f>+'4M'!BU48</f>
        <v>S3A00012STDCUM</v>
      </c>
      <c r="D4166" s="2004"/>
      <c r="E4166" s="1658" t="s">
        <v>9033</v>
      </c>
      <c r="F4166" s="2004" t="str">
        <f>+'4M'!C$48</f>
        <v>Capital expenditure purpose - WASTEWATER additional line 12 [Other categories]</v>
      </c>
      <c r="G4166" s="2004" t="str">
        <f>IF('4M'!S48="","##BLANK",'4M'!S48)</f>
        <v>##BLANK</v>
      </c>
    </row>
    <row r="4167" spans="2:7">
      <c r="B4167" s="848" t="str">
        <f>+'4M'!BU49</f>
        <v>S3A00013STDCUM</v>
      </c>
      <c r="D4167" s="2004"/>
      <c r="E4167" s="1658" t="s">
        <v>9033</v>
      </c>
      <c r="F4167" s="2004" t="str">
        <f>+'4M'!C$49</f>
        <v>Capital expenditure purpose - WASTEWATER additional line 13 [Other categories]</v>
      </c>
      <c r="G4167" s="2004" t="str">
        <f>IF('4M'!S49="","##BLANK",'4M'!S49)</f>
        <v>##BLANK</v>
      </c>
    </row>
    <row r="4168" spans="2:7">
      <c r="B4168" s="848" t="str">
        <f>+'4M'!BU50</f>
        <v>S3A00014STDCUM</v>
      </c>
      <c r="D4168" s="2004"/>
      <c r="E4168" s="1658" t="s">
        <v>9033</v>
      </c>
      <c r="F4168" s="2004" t="str">
        <f>+'4M'!C$50</f>
        <v>Capital expenditure purpose - WASTEWATER additional line 14 [Other categories]</v>
      </c>
      <c r="G4168" s="2004" t="str">
        <f>IF('4M'!S50="","##BLANK",'4M'!S50)</f>
        <v>##BLANK</v>
      </c>
    </row>
    <row r="4169" spans="2:7">
      <c r="B4169" s="848" t="str">
        <f>+'4M'!BU51</f>
        <v>S3A00015STDCUM</v>
      </c>
      <c r="D4169" s="2004"/>
      <c r="E4169" s="1658" t="s">
        <v>9033</v>
      </c>
      <c r="F4169" s="2004" t="str">
        <f>+'4M'!C$51</f>
        <v>Capital expenditure purpose - WASTEWATER additional line 15 [Other categories]</v>
      </c>
      <c r="G4169" s="2004" t="str">
        <f>IF('4M'!S51="","##BLANK",'4M'!S51)</f>
        <v>##BLANK</v>
      </c>
    </row>
    <row r="4170" spans="2:7">
      <c r="B4170" s="848" t="str">
        <f>+'4M'!BU52</f>
        <v>S3025ENHSTDCUM</v>
      </c>
      <c r="D4170" s="2004"/>
      <c r="E4170" s="1658" t="s">
        <v>9033</v>
      </c>
      <c r="F4170" s="2004"/>
      <c r="G4170" s="2004">
        <f>IF('4M'!S52="","##BLANK",'4M'!S52)</f>
        <v>124.163</v>
      </c>
    </row>
    <row r="4171" spans="2:7">
      <c r="B4171" s="848" t="str">
        <f>+'4M'!BV8</f>
        <v>BC31379SLTCUM</v>
      </c>
      <c r="D4171" s="2004"/>
      <c r="E4171" s="1658" t="s">
        <v>9033</v>
      </c>
      <c r="F4171" s="2004"/>
      <c r="G4171" s="2004">
        <f>IF('4M'!T8="","##BLANK",'4M'!T8)</f>
        <v>0</v>
      </c>
    </row>
    <row r="4172" spans="2:7">
      <c r="B4172" s="848" t="str">
        <f>+'4M'!BV9</f>
        <v>S3035QSLTCUM</v>
      </c>
      <c r="D4172" s="2004"/>
      <c r="E4172" s="1658" t="s">
        <v>9033</v>
      </c>
      <c r="F4172" s="2004"/>
      <c r="G4172" s="2004">
        <f>IF('4M'!T9="","##BLANK",'4M'!T9)</f>
        <v>0</v>
      </c>
    </row>
    <row r="4173" spans="2:7">
      <c r="B4173" s="848" t="str">
        <f>+'4M'!BV10</f>
        <v>S3036GSLTCUM</v>
      </c>
      <c r="D4173" s="2004"/>
      <c r="E4173" s="1658" t="s">
        <v>9033</v>
      </c>
      <c r="F4173" s="2004"/>
      <c r="G4173" s="2004">
        <f>IF('4M'!T10="","##BLANK",'4M'!T10)</f>
        <v>0</v>
      </c>
    </row>
    <row r="4174" spans="2:7">
      <c r="B4174" s="848" t="str">
        <f>+'4M'!BV11</f>
        <v>S3004SLTCUM</v>
      </c>
      <c r="D4174" s="2004"/>
      <c r="E4174" s="1658" t="s">
        <v>9033</v>
      </c>
      <c r="F4174" s="2004"/>
      <c r="G4174" s="2004">
        <f>IF('4M'!T11="","##BLANK",'4M'!T11)</f>
        <v>0</v>
      </c>
    </row>
    <row r="4175" spans="2:7">
      <c r="B4175" s="848" t="str">
        <f>+'4M'!BV12</f>
        <v>WWS2001SLTCUM</v>
      </c>
      <c r="D4175" s="2004"/>
      <c r="E4175" s="1658" t="s">
        <v>9033</v>
      </c>
      <c r="F4175" s="2004"/>
      <c r="G4175" s="2004">
        <f>IF('4M'!T12="","##BLANK",'4M'!T12)</f>
        <v>0</v>
      </c>
    </row>
    <row r="4176" spans="2:7">
      <c r="B4176" s="848" t="str">
        <f>+'4M'!BV13</f>
        <v>S3005SLTCUM</v>
      </c>
      <c r="D4176" s="2004"/>
      <c r="E4176" s="1658" t="s">
        <v>9033</v>
      </c>
      <c r="F4176" s="2004"/>
      <c r="G4176" s="2004">
        <f>IF('4M'!T13="","##BLANK",'4M'!T13)</f>
        <v>0</v>
      </c>
    </row>
    <row r="4177" spans="2:7">
      <c r="B4177" s="848" t="str">
        <f>+'4M'!BV14</f>
        <v>S3006SLTCUM</v>
      </c>
      <c r="D4177" s="2004"/>
      <c r="E4177" s="1658" t="s">
        <v>9033</v>
      </c>
      <c r="F4177" s="2004"/>
      <c r="G4177" s="2004">
        <f>IF('4M'!T14="","##BLANK",'4M'!T14)</f>
        <v>0</v>
      </c>
    </row>
    <row r="4178" spans="2:7">
      <c r="B4178" s="848" t="str">
        <f>+'4M'!BV15</f>
        <v>S3007SLTCUM</v>
      </c>
      <c r="D4178" s="2004"/>
      <c r="E4178" s="1658" t="s">
        <v>9033</v>
      </c>
      <c r="F4178" s="2004"/>
      <c r="G4178" s="2004">
        <f>IF('4M'!T15="","##BLANK",'4M'!T15)</f>
        <v>0</v>
      </c>
    </row>
    <row r="4179" spans="2:7">
      <c r="B4179" s="848" t="str">
        <f>+'4M'!BV16</f>
        <v>WWS2002SLTCUM</v>
      </c>
      <c r="D4179" s="2004"/>
      <c r="E4179" s="1658" t="s">
        <v>9033</v>
      </c>
      <c r="F4179" s="2004"/>
      <c r="G4179" s="2004">
        <f>IF('4M'!T16="","##BLANK",'4M'!T16)</f>
        <v>0</v>
      </c>
    </row>
    <row r="4180" spans="2:7">
      <c r="B4180" s="848" t="str">
        <f>+'4M'!BV17</f>
        <v>WWS2003SLTCUM</v>
      </c>
      <c r="D4180" s="2004"/>
      <c r="E4180" s="1658" t="s">
        <v>9033</v>
      </c>
      <c r="F4180" s="2004"/>
      <c r="G4180" s="2004">
        <f>IF('4M'!T17="","##BLANK",'4M'!T17)</f>
        <v>0</v>
      </c>
    </row>
    <row r="4181" spans="2:7">
      <c r="B4181" s="848" t="str">
        <f>+'4M'!BV18</f>
        <v>S3008SLTCUM</v>
      </c>
      <c r="D4181" s="2004"/>
      <c r="E4181" s="1658" t="s">
        <v>9033</v>
      </c>
      <c r="F4181" s="2004"/>
      <c r="G4181" s="2004">
        <f>IF('4M'!T18="","##BLANK",'4M'!T18)</f>
        <v>0</v>
      </c>
    </row>
    <row r="4182" spans="2:7">
      <c r="B4182" s="848" t="str">
        <f>+'4M'!BV19</f>
        <v>S3009SLTCUM</v>
      </c>
      <c r="D4182" s="2004"/>
      <c r="E4182" s="1658" t="s">
        <v>9033</v>
      </c>
      <c r="F4182" s="2004"/>
      <c r="G4182" s="2004">
        <f>IF('4M'!T19="","##BLANK",'4M'!T19)</f>
        <v>0</v>
      </c>
    </row>
    <row r="4183" spans="2:7">
      <c r="B4183" s="848" t="str">
        <f>+'4M'!BV20</f>
        <v>WWS2007SLTCUM</v>
      </c>
      <c r="D4183" s="2004"/>
      <c r="E4183" s="1658" t="s">
        <v>9033</v>
      </c>
      <c r="F4183" s="2004"/>
      <c r="G4183" s="2004">
        <f>IF('4M'!T20="","##BLANK",'4M'!T20)</f>
        <v>0</v>
      </c>
    </row>
    <row r="4184" spans="2:7">
      <c r="B4184" s="848" t="str">
        <f>+'4M'!BV21</f>
        <v>S3010SLTCUM</v>
      </c>
      <c r="D4184" s="2004"/>
      <c r="E4184" s="1658" t="s">
        <v>9033</v>
      </c>
      <c r="F4184" s="2004"/>
      <c r="G4184" s="2004">
        <f>IF('4M'!T21="","##BLANK",'4M'!T21)</f>
        <v>0</v>
      </c>
    </row>
    <row r="4185" spans="2:7">
      <c r="B4185" s="848" t="str">
        <f>+'4M'!BV22</f>
        <v>S3011SLTCUM</v>
      </c>
      <c r="D4185" s="2004"/>
      <c r="E4185" s="1658" t="s">
        <v>9033</v>
      </c>
      <c r="F4185" s="2004"/>
      <c r="G4185" s="2004">
        <f>IF('4M'!T22="","##BLANK",'4M'!T22)</f>
        <v>0</v>
      </c>
    </row>
    <row r="4186" spans="2:7">
      <c r="B4186" s="848" t="str">
        <f>+'4M'!BV23</f>
        <v>S3012SLTCUM</v>
      </c>
      <c r="D4186" s="2004"/>
      <c r="E4186" s="1658" t="s">
        <v>9033</v>
      </c>
      <c r="F4186" s="2004"/>
      <c r="G4186" s="2004">
        <f>IF('4M'!T23="","##BLANK",'4M'!T23)</f>
        <v>0</v>
      </c>
    </row>
    <row r="4187" spans="2:7">
      <c r="B4187" s="848" t="str">
        <f>+'4M'!BV24</f>
        <v>S3013SLTCUM</v>
      </c>
      <c r="D4187" s="2004"/>
      <c r="E4187" s="1658" t="s">
        <v>9033</v>
      </c>
      <c r="F4187" s="2004"/>
      <c r="G4187" s="2004">
        <f>IF('4M'!T24="","##BLANK",'4M'!T24)</f>
        <v>0</v>
      </c>
    </row>
    <row r="4188" spans="2:7">
      <c r="B4188" s="848" t="str">
        <f>+'4M'!BV25</f>
        <v>S3014SLTCUM</v>
      </c>
      <c r="D4188" s="2004"/>
      <c r="E4188" s="1658" t="s">
        <v>9033</v>
      </c>
      <c r="F4188" s="2004"/>
      <c r="G4188" s="2004">
        <f>IF('4M'!T25="","##BLANK",'4M'!T25)</f>
        <v>0</v>
      </c>
    </row>
    <row r="4189" spans="2:7">
      <c r="B4189" s="848" t="str">
        <f>+'4M'!BV26</f>
        <v>S3015SLTCUM</v>
      </c>
      <c r="D4189" s="2004"/>
      <c r="E4189" s="1658" t="s">
        <v>9033</v>
      </c>
      <c r="F4189" s="2004"/>
      <c r="G4189" s="2004">
        <f>IF('4M'!T26="","##BLANK",'4M'!T26)</f>
        <v>0</v>
      </c>
    </row>
    <row r="4190" spans="2:7">
      <c r="B4190" s="848" t="str">
        <f>+'4M'!BV27</f>
        <v>S3016SLTCUM</v>
      </c>
      <c r="D4190" s="2004"/>
      <c r="E4190" s="1658" t="s">
        <v>9033</v>
      </c>
      <c r="F4190" s="2004"/>
      <c r="G4190" s="2004">
        <f>IF('4M'!T27="","##BLANK",'4M'!T27)</f>
        <v>0</v>
      </c>
    </row>
    <row r="4191" spans="2:7">
      <c r="B4191" s="848" t="str">
        <f>+'4M'!BV28</f>
        <v>S3017SLTCUM</v>
      </c>
      <c r="D4191" s="2004"/>
      <c r="E4191" s="1658" t="s">
        <v>9033</v>
      </c>
      <c r="F4191" s="2004"/>
      <c r="G4191" s="2004">
        <f>IF('4M'!T28="","##BLANK",'4M'!T28)</f>
        <v>0</v>
      </c>
    </row>
    <row r="4192" spans="2:7">
      <c r="B4192" s="848" t="str">
        <f>+'4M'!BV29</f>
        <v>S3018SLTCUM</v>
      </c>
      <c r="D4192" s="2004"/>
      <c r="E4192" s="1658" t="s">
        <v>9033</v>
      </c>
      <c r="F4192" s="2004"/>
      <c r="G4192" s="2004">
        <f>IF('4M'!T29="","##BLANK",'4M'!T29)</f>
        <v>0</v>
      </c>
    </row>
    <row r="4193" spans="2:7">
      <c r="B4193" s="848" t="str">
        <f>+'4M'!BV30</f>
        <v>S3019SLTCUM</v>
      </c>
      <c r="D4193" s="2004"/>
      <c r="E4193" s="1658" t="s">
        <v>9033</v>
      </c>
      <c r="F4193" s="2004"/>
      <c r="G4193" s="2004">
        <f>IF('4M'!T30="","##BLANK",'4M'!T30)</f>
        <v>0</v>
      </c>
    </row>
    <row r="4194" spans="2:7">
      <c r="B4194" s="848" t="str">
        <f>+'4M'!BV31</f>
        <v>S3020SLTCUM</v>
      </c>
      <c r="D4194" s="2004"/>
      <c r="E4194" s="1658" t="s">
        <v>9033</v>
      </c>
      <c r="F4194" s="2004"/>
      <c r="G4194" s="2004">
        <f>IF('4M'!T31="","##BLANK",'4M'!T31)</f>
        <v>0</v>
      </c>
    </row>
    <row r="4195" spans="2:7">
      <c r="B4195" s="848" t="str">
        <f>+'4M'!BV32</f>
        <v>S3021SLTCUM</v>
      </c>
      <c r="D4195" s="2004"/>
      <c r="E4195" s="1658" t="s">
        <v>9033</v>
      </c>
      <c r="F4195" s="2004"/>
      <c r="G4195" s="2004">
        <f>IF('4M'!T32="","##BLANK",'4M'!T32)</f>
        <v>0</v>
      </c>
    </row>
    <row r="4196" spans="2:7">
      <c r="B4196" s="848" t="str">
        <f>+'4M'!BV33</f>
        <v>S3022SLTCUM</v>
      </c>
      <c r="D4196" s="2004"/>
      <c r="E4196" s="1658" t="s">
        <v>9033</v>
      </c>
      <c r="F4196" s="2004"/>
      <c r="G4196" s="2004">
        <f>IF('4M'!T33="","##BLANK",'4M'!T33)</f>
        <v>0</v>
      </c>
    </row>
    <row r="4197" spans="2:7">
      <c r="B4197" s="848" t="str">
        <f>+'4M'!BV34</f>
        <v>BC31785SLTCUM</v>
      </c>
      <c r="D4197" s="2004"/>
      <c r="E4197" s="1658" t="s">
        <v>9033</v>
      </c>
      <c r="F4197" s="2004"/>
      <c r="G4197" s="2004">
        <f>IF('4M'!T34="","##BLANK",'4M'!T34)</f>
        <v>3.3000000000000002E-2</v>
      </c>
    </row>
    <row r="4198" spans="2:7">
      <c r="B4198" s="848" t="str">
        <f>+'4M'!BV35</f>
        <v>S3023SLTCUM</v>
      </c>
      <c r="D4198" s="2004"/>
      <c r="E4198" s="1658" t="s">
        <v>9033</v>
      </c>
      <c r="F4198" s="2004"/>
      <c r="G4198" s="2004">
        <f>IF('4M'!T35="","##BLANK",'4M'!T35)</f>
        <v>0</v>
      </c>
    </row>
    <row r="4199" spans="2:7">
      <c r="B4199" s="848" t="str">
        <f>+'4M'!BV36</f>
        <v>S3024SLTCUM</v>
      </c>
      <c r="D4199" s="2004"/>
      <c r="E4199" s="1658" t="s">
        <v>9033</v>
      </c>
      <c r="F4199" s="2004"/>
      <c r="G4199" s="2004">
        <f>IF('4M'!T36="","##BLANK",'4M'!T36)</f>
        <v>0</v>
      </c>
    </row>
    <row r="4200" spans="2:7">
      <c r="B4200" s="848" t="str">
        <f>+'4M'!BV37</f>
        <v>S3A00001SLTCUM</v>
      </c>
      <c r="D4200" s="2004"/>
      <c r="E4200" s="1658" t="s">
        <v>9033</v>
      </c>
      <c r="F4200" s="2004" t="str">
        <f>+'4M'!C$37</f>
        <v>Bathing water ELoS</v>
      </c>
      <c r="G4200" s="2004">
        <f>IF('4M'!T37="","##BLANK",'4M'!T37)</f>
        <v>0</v>
      </c>
    </row>
    <row r="4201" spans="2:7">
      <c r="B4201" s="848" t="str">
        <f>+'4M'!BV38</f>
        <v>S3A00002SLTCUM</v>
      </c>
      <c r="D4201" s="2004"/>
      <c r="E4201" s="1658" t="s">
        <v>9033</v>
      </c>
      <c r="F4201" s="2004" t="str">
        <f>+'4M'!C$38</f>
        <v>Pollution ELoS</v>
      </c>
      <c r="G4201" s="2004">
        <f>IF('4M'!T38="","##BLANK",'4M'!T38)</f>
        <v>0</v>
      </c>
    </row>
    <row r="4202" spans="2:7">
      <c r="B4202" s="848" t="str">
        <f>+'4M'!BV39</f>
        <v>S3A00003SLTCUM</v>
      </c>
      <c r="D4202" s="2004"/>
      <c r="E4202" s="1658" t="s">
        <v>9033</v>
      </c>
      <c r="F4202" s="2004" t="str">
        <f>+'4M'!C$39</f>
        <v>Connections (if applicable)</v>
      </c>
      <c r="G4202" s="2004">
        <f>IF('4M'!T39="","##BLANK",'4M'!T39)</f>
        <v>0</v>
      </c>
    </row>
    <row r="4203" spans="2:7">
      <c r="B4203" s="848" t="str">
        <f>+'4M'!BV40</f>
        <v>S3A00004SLTCUM</v>
      </c>
      <c r="D4203" s="2004"/>
      <c r="E4203" s="1658" t="s">
        <v>9033</v>
      </c>
      <c r="F4203" s="2004" t="str">
        <f>+'4M'!C$40</f>
        <v>Emergency Overflow Appeals</v>
      </c>
      <c r="G4203" s="2004">
        <f>IF('4M'!T40="","##BLANK",'4M'!T40)</f>
        <v>0</v>
      </c>
    </row>
    <row r="4204" spans="2:7">
      <c r="B4204" s="848" t="str">
        <f>+'4M'!BV41</f>
        <v>S3A00005SLTCUM</v>
      </c>
      <c r="D4204" s="2004"/>
      <c r="E4204" s="1658" t="s">
        <v>9033</v>
      </c>
      <c r="F4204" s="2004" t="str">
        <f>+'4M'!C$41</f>
        <v>Exclusions</v>
      </c>
      <c r="G4204" s="2004">
        <f>IF('4M'!T41="","##BLANK",'4M'!T41)</f>
        <v>0</v>
      </c>
    </row>
    <row r="4205" spans="2:7">
      <c r="B4205" s="848" t="str">
        <f>+'4M'!BV42</f>
        <v>S3A00006SLTCUM</v>
      </c>
      <c r="D4205" s="2004"/>
      <c r="E4205" s="1658" t="s">
        <v>9033</v>
      </c>
      <c r="F4205" s="2004" t="str">
        <f>+'4M'!C$42</f>
        <v>Pollution - UQ</v>
      </c>
      <c r="G4205" s="2004">
        <f>IF('4M'!T42="","##BLANK",'4M'!T42)</f>
        <v>0</v>
      </c>
    </row>
    <row r="4206" spans="2:7">
      <c r="B4206" s="848" t="str">
        <f>+'4M'!BV43</f>
        <v>S3A00007SLTCUM</v>
      </c>
      <c r="D4206" s="2004"/>
      <c r="E4206" s="1658" t="s">
        <v>9033</v>
      </c>
      <c r="F4206" s="2004" t="str">
        <f>+'4M'!C$43</f>
        <v>Internal Flooding - UQ</v>
      </c>
      <c r="G4206" s="2004">
        <f>IF('4M'!T43="","##BLANK",'4M'!T43)</f>
        <v>0</v>
      </c>
    </row>
    <row r="4207" spans="2:7">
      <c r="B4207" s="848" t="str">
        <f>+'4M'!BV44</f>
        <v>S3A00008SLTCUM</v>
      </c>
      <c r="D4207" s="2004"/>
      <c r="E4207" s="1658" t="s">
        <v>9033</v>
      </c>
      <c r="F4207" s="2004" t="str">
        <f>+'4M'!C$44</f>
        <v>Infrastructure network reinforcement</v>
      </c>
      <c r="G4207" s="2004">
        <f>IF('4M'!T44="","##BLANK",'4M'!T44)</f>
        <v>0</v>
      </c>
    </row>
    <row r="4208" spans="2:7">
      <c r="B4208" s="848" t="str">
        <f>+'4M'!BV45</f>
        <v>S3A00009SLTCUM</v>
      </c>
      <c r="D4208" s="2004"/>
      <c r="E4208" s="1658" t="s">
        <v>9033</v>
      </c>
      <c r="F4208" s="2004" t="str">
        <f>+'4M'!C$45</f>
        <v>2020-25 Transition Expenditure - Capex</v>
      </c>
      <c r="G4208" s="2004">
        <f>IF('4M'!T45="","##BLANK",'4M'!T45)</f>
        <v>0</v>
      </c>
    </row>
    <row r="4209" spans="2:7">
      <c r="B4209" s="848" t="str">
        <f>+'4M'!BV46</f>
        <v>S3A00010SLTCUM</v>
      </c>
      <c r="D4209" s="2004"/>
      <c r="E4209" s="1658" t="s">
        <v>9033</v>
      </c>
      <c r="F4209" s="2004" t="str">
        <f>+'4M'!C$46</f>
        <v>Capital expenditure purpose - WASTEWATER additional line 10 [Other categories]</v>
      </c>
      <c r="G4209" s="2004">
        <f>IF('4M'!T46="","##BLANK",'4M'!T46)</f>
        <v>0</v>
      </c>
    </row>
    <row r="4210" spans="2:7">
      <c r="B4210" s="848" t="str">
        <f>+'4M'!BV47</f>
        <v>S3A00011SLTCUM</v>
      </c>
      <c r="D4210" s="2004"/>
      <c r="E4210" s="1658" t="s">
        <v>9033</v>
      </c>
      <c r="F4210" s="2004" t="str">
        <f>+'4M'!C$47</f>
        <v>Capital expenditure purpose - WASTEWATER additional line 11 [Other categories]</v>
      </c>
      <c r="G4210" s="2004" t="str">
        <f>IF('4M'!T47="","##BLANK",'4M'!T47)</f>
        <v>##BLANK</v>
      </c>
    </row>
    <row r="4211" spans="2:7">
      <c r="B4211" s="848" t="str">
        <f>+'4M'!BV48</f>
        <v>S3A00012SLTCUM</v>
      </c>
      <c r="D4211" s="2004"/>
      <c r="E4211" s="1658" t="s">
        <v>9033</v>
      </c>
      <c r="F4211" s="2004" t="str">
        <f>+'4M'!C$48</f>
        <v>Capital expenditure purpose - WASTEWATER additional line 12 [Other categories]</v>
      </c>
      <c r="G4211" s="2004" t="str">
        <f>IF('4M'!T48="","##BLANK",'4M'!T48)</f>
        <v>##BLANK</v>
      </c>
    </row>
    <row r="4212" spans="2:7">
      <c r="B4212" s="848" t="str">
        <f>+'4M'!BV49</f>
        <v>S3A00013SLTCUM</v>
      </c>
      <c r="D4212" s="2004"/>
      <c r="E4212" s="1658" t="s">
        <v>9033</v>
      </c>
      <c r="F4212" s="2004" t="str">
        <f>+'4M'!C$49</f>
        <v>Capital expenditure purpose - WASTEWATER additional line 13 [Other categories]</v>
      </c>
      <c r="G4212" s="2004" t="str">
        <f>IF('4M'!T49="","##BLANK",'4M'!T49)</f>
        <v>##BLANK</v>
      </c>
    </row>
    <row r="4213" spans="2:7">
      <c r="B4213" s="848" t="str">
        <f>+'4M'!BV50</f>
        <v>S3A00014SLTCUM</v>
      </c>
      <c r="D4213" s="2004"/>
      <c r="E4213" s="1658" t="s">
        <v>9033</v>
      </c>
      <c r="F4213" s="2004" t="str">
        <f>+'4M'!C$50</f>
        <v>Capital expenditure purpose - WASTEWATER additional line 14 [Other categories]</v>
      </c>
      <c r="G4213" s="2004" t="str">
        <f>IF('4M'!T50="","##BLANK",'4M'!T50)</f>
        <v>##BLANK</v>
      </c>
    </row>
    <row r="4214" spans="2:7">
      <c r="B4214" s="848" t="str">
        <f>+'4M'!BV51</f>
        <v>S3A00015SLTCUM</v>
      </c>
      <c r="D4214" s="2004"/>
      <c r="E4214" s="1658" t="s">
        <v>9033</v>
      </c>
      <c r="F4214" s="2004" t="str">
        <f>+'4M'!C$51</f>
        <v>Capital expenditure purpose - WASTEWATER additional line 15 [Other categories]</v>
      </c>
      <c r="G4214" s="2004" t="str">
        <f>IF('4M'!T51="","##BLANK",'4M'!T51)</f>
        <v>##BLANK</v>
      </c>
    </row>
    <row r="4215" spans="2:7">
      <c r="B4215" s="848" t="str">
        <f>+'4M'!BV52</f>
        <v>S3025ENHSLTCUM</v>
      </c>
      <c r="D4215" s="2004"/>
      <c r="E4215" s="1658" t="s">
        <v>9033</v>
      </c>
      <c r="F4215" s="2004"/>
      <c r="G4215" s="2004">
        <f>IF('4M'!T52="","##BLANK",'4M'!T52)</f>
        <v>3.3000000000000002E-2</v>
      </c>
    </row>
    <row r="4216" spans="2:7">
      <c r="B4216" s="848" t="str">
        <f>+'4M'!BW8</f>
        <v>BC31379STPCUM</v>
      </c>
      <c r="D4216" s="2004"/>
      <c r="E4216" s="1658" t="s">
        <v>9033</v>
      </c>
      <c r="F4216" s="2004"/>
      <c r="G4216" s="2004">
        <f>IF('4M'!U8="","##BLANK",'4M'!U8)</f>
        <v>0</v>
      </c>
    </row>
    <row r="4217" spans="2:7">
      <c r="B4217" s="848" t="str">
        <f>+'4M'!BW9</f>
        <v>S3035QSTPCUM</v>
      </c>
      <c r="D4217" s="2004"/>
      <c r="E4217" s="1658" t="s">
        <v>9033</v>
      </c>
      <c r="F4217" s="2004"/>
      <c r="G4217" s="2004">
        <f>IF('4M'!U9="","##BLANK",'4M'!U9)</f>
        <v>0</v>
      </c>
    </row>
    <row r="4218" spans="2:7">
      <c r="B4218" s="848" t="str">
        <f>+'4M'!BW10</f>
        <v>S3036GSTPCUM</v>
      </c>
      <c r="D4218" s="2004"/>
      <c r="E4218" s="1658" t="s">
        <v>9033</v>
      </c>
      <c r="F4218" s="2004"/>
      <c r="G4218" s="2004">
        <f>IF('4M'!U10="","##BLANK",'4M'!U10)</f>
        <v>0</v>
      </c>
    </row>
    <row r="4219" spans="2:7">
      <c r="B4219" s="848" t="str">
        <f>+'4M'!BW11</f>
        <v>S3004STPCUM</v>
      </c>
      <c r="D4219" s="2004"/>
      <c r="E4219" s="1658" t="s">
        <v>9033</v>
      </c>
      <c r="F4219" s="2004"/>
      <c r="G4219" s="2004">
        <f>IF('4M'!U11="","##BLANK",'4M'!U11)</f>
        <v>0</v>
      </c>
    </row>
    <row r="4220" spans="2:7">
      <c r="B4220" s="848" t="str">
        <f>+'4M'!BW12</f>
        <v>WWS2001STPCUM</v>
      </c>
      <c r="D4220" s="2004"/>
      <c r="E4220" s="1658" t="s">
        <v>9033</v>
      </c>
      <c r="F4220" s="2004"/>
      <c r="G4220" s="2004">
        <f>IF('4M'!U12="","##BLANK",'4M'!U12)</f>
        <v>0</v>
      </c>
    </row>
    <row r="4221" spans="2:7">
      <c r="B4221" s="848" t="str">
        <f>+'4M'!BW13</f>
        <v>S3005STPCUM</v>
      </c>
      <c r="D4221" s="2004"/>
      <c r="E4221" s="1658" t="s">
        <v>9033</v>
      </c>
      <c r="F4221" s="2004"/>
      <c r="G4221" s="2004">
        <f>IF('4M'!U13="","##BLANK",'4M'!U13)</f>
        <v>0</v>
      </c>
    </row>
    <row r="4222" spans="2:7">
      <c r="B4222" s="848" t="str">
        <f>+'4M'!BW14</f>
        <v>S3006STPCUM</v>
      </c>
      <c r="D4222" s="2004"/>
      <c r="E4222" s="1658" t="s">
        <v>9033</v>
      </c>
      <c r="F4222" s="2004"/>
      <c r="G4222" s="2004">
        <f>IF('4M'!U14="","##BLANK",'4M'!U14)</f>
        <v>0</v>
      </c>
    </row>
    <row r="4223" spans="2:7">
      <c r="B4223" s="848" t="str">
        <f>+'4M'!BW15</f>
        <v>S3007STPCUM</v>
      </c>
      <c r="D4223" s="2004"/>
      <c r="E4223" s="1658" t="s">
        <v>9033</v>
      </c>
      <c r="F4223" s="2004"/>
      <c r="G4223" s="2004">
        <f>IF('4M'!U15="","##BLANK",'4M'!U15)</f>
        <v>0</v>
      </c>
    </row>
    <row r="4224" spans="2:7">
      <c r="B4224" s="848" t="str">
        <f>+'4M'!BW16</f>
        <v>WWS2002STPCUM</v>
      </c>
      <c r="D4224" s="2004"/>
      <c r="E4224" s="1658" t="s">
        <v>9033</v>
      </c>
      <c r="F4224" s="2004"/>
      <c r="G4224" s="2004">
        <f>IF('4M'!U16="","##BLANK",'4M'!U16)</f>
        <v>0</v>
      </c>
    </row>
    <row r="4225" spans="2:7">
      <c r="B4225" s="848" t="str">
        <f>+'4M'!BW17</f>
        <v>WWS2003STPCUM</v>
      </c>
      <c r="D4225" s="2004"/>
      <c r="E4225" s="1658" t="s">
        <v>9033</v>
      </c>
      <c r="F4225" s="2004"/>
      <c r="G4225" s="2004">
        <f>IF('4M'!U17="","##BLANK",'4M'!U17)</f>
        <v>0</v>
      </c>
    </row>
    <row r="4226" spans="2:7">
      <c r="B4226" s="848" t="str">
        <f>+'4M'!BW18</f>
        <v>S3008STPCUM</v>
      </c>
      <c r="D4226" s="2004"/>
      <c r="E4226" s="1658" t="s">
        <v>9033</v>
      </c>
      <c r="F4226" s="2004"/>
      <c r="G4226" s="2004">
        <f>IF('4M'!U18="","##BLANK",'4M'!U18)</f>
        <v>0</v>
      </c>
    </row>
    <row r="4227" spans="2:7">
      <c r="B4227" s="848" t="str">
        <f>+'4M'!BW19</f>
        <v>S3009STPCUM</v>
      </c>
      <c r="D4227" s="2004"/>
      <c r="E4227" s="1658" t="s">
        <v>9033</v>
      </c>
      <c r="F4227" s="2004"/>
      <c r="G4227" s="2004">
        <f>IF('4M'!U19="","##BLANK",'4M'!U19)</f>
        <v>0</v>
      </c>
    </row>
    <row r="4228" spans="2:7">
      <c r="B4228" s="848" t="str">
        <f>+'4M'!BW20</f>
        <v>WWS2007STPCUM</v>
      </c>
      <c r="D4228" s="2004"/>
      <c r="E4228" s="1658" t="s">
        <v>9033</v>
      </c>
      <c r="F4228" s="2004"/>
      <c r="G4228" s="2004">
        <f>IF('4M'!U20="","##BLANK",'4M'!U20)</f>
        <v>0</v>
      </c>
    </row>
    <row r="4229" spans="2:7">
      <c r="B4229" s="848" t="str">
        <f>+'4M'!BW21</f>
        <v>S3010STPCUM</v>
      </c>
      <c r="D4229" s="2004"/>
      <c r="E4229" s="1658" t="s">
        <v>9033</v>
      </c>
      <c r="F4229" s="2004"/>
      <c r="G4229" s="2004">
        <f>IF('4M'!U21="","##BLANK",'4M'!U21)</f>
        <v>0</v>
      </c>
    </row>
    <row r="4230" spans="2:7">
      <c r="B4230" s="848" t="str">
        <f>+'4M'!BW22</f>
        <v>S3011STPCUM</v>
      </c>
      <c r="D4230" s="2004"/>
      <c r="E4230" s="1658" t="s">
        <v>9033</v>
      </c>
      <c r="F4230" s="2004"/>
      <c r="G4230" s="2004">
        <f>IF('4M'!U22="","##BLANK",'4M'!U22)</f>
        <v>0</v>
      </c>
    </row>
    <row r="4231" spans="2:7">
      <c r="B4231" s="848" t="str">
        <f>+'4M'!BW23</f>
        <v>S3012STPCUM</v>
      </c>
      <c r="D4231" s="2004"/>
      <c r="E4231" s="1658" t="s">
        <v>9033</v>
      </c>
      <c r="F4231" s="2004"/>
      <c r="G4231" s="2004">
        <f>IF('4M'!U23="","##BLANK",'4M'!U23)</f>
        <v>0</v>
      </c>
    </row>
    <row r="4232" spans="2:7">
      <c r="B4232" s="848" t="str">
        <f>+'4M'!BW24</f>
        <v>S3013STPCUM</v>
      </c>
      <c r="D4232" s="2004"/>
      <c r="E4232" s="1658" t="s">
        <v>9033</v>
      </c>
      <c r="F4232" s="2004"/>
      <c r="G4232" s="2004">
        <f>IF('4M'!U24="","##BLANK",'4M'!U24)</f>
        <v>0</v>
      </c>
    </row>
    <row r="4233" spans="2:7">
      <c r="B4233" s="848" t="str">
        <f>+'4M'!BW25</f>
        <v>S3014STPCUM</v>
      </c>
      <c r="D4233" s="2004"/>
      <c r="E4233" s="1658" t="s">
        <v>9033</v>
      </c>
      <c r="F4233" s="2004"/>
      <c r="G4233" s="2004">
        <f>IF('4M'!U25="","##BLANK",'4M'!U25)</f>
        <v>0</v>
      </c>
    </row>
    <row r="4234" spans="2:7">
      <c r="B4234" s="848" t="str">
        <f>+'4M'!BW26</f>
        <v>S3015STPCUM</v>
      </c>
      <c r="D4234" s="2004"/>
      <c r="E4234" s="1658" t="s">
        <v>9033</v>
      </c>
      <c r="F4234" s="2004"/>
      <c r="G4234" s="2004">
        <f>IF('4M'!U26="","##BLANK",'4M'!U26)</f>
        <v>0</v>
      </c>
    </row>
    <row r="4235" spans="2:7">
      <c r="B4235" s="848" t="str">
        <f>+'4M'!BW27</f>
        <v>S3016STPCUM</v>
      </c>
      <c r="D4235" s="2004"/>
      <c r="E4235" s="1658" t="s">
        <v>9033</v>
      </c>
      <c r="F4235" s="2004"/>
      <c r="G4235" s="2004">
        <f>IF('4M'!U27="","##BLANK",'4M'!U27)</f>
        <v>0</v>
      </c>
    </row>
    <row r="4236" spans="2:7">
      <c r="B4236" s="848" t="str">
        <f>+'4M'!BW28</f>
        <v>S3017STPCUM</v>
      </c>
      <c r="D4236" s="2004"/>
      <c r="E4236" s="1658" t="s">
        <v>9033</v>
      </c>
      <c r="F4236" s="2004"/>
      <c r="G4236" s="2004">
        <f>IF('4M'!U28="","##BLANK",'4M'!U28)</f>
        <v>0</v>
      </c>
    </row>
    <row r="4237" spans="2:7">
      <c r="B4237" s="848" t="str">
        <f>+'4M'!BW29</f>
        <v>S3018STPCUM</v>
      </c>
      <c r="D4237" s="2004"/>
      <c r="E4237" s="1658" t="s">
        <v>9033</v>
      </c>
      <c r="F4237" s="2004"/>
      <c r="G4237" s="2004">
        <f>IF('4M'!U29="","##BLANK",'4M'!U29)</f>
        <v>0</v>
      </c>
    </row>
    <row r="4238" spans="2:7">
      <c r="B4238" s="848" t="str">
        <f>+'4M'!BW30</f>
        <v>S3019STPCUM</v>
      </c>
      <c r="D4238" s="2004"/>
      <c r="E4238" s="1658" t="s">
        <v>9033</v>
      </c>
      <c r="F4238" s="2004"/>
      <c r="G4238" s="2004">
        <f>IF('4M'!U30="","##BLANK",'4M'!U30)</f>
        <v>0</v>
      </c>
    </row>
    <row r="4239" spans="2:7">
      <c r="B4239" s="848" t="str">
        <f>+'4M'!BW31</f>
        <v>S3020STPCUM</v>
      </c>
      <c r="D4239" s="2004"/>
      <c r="E4239" s="1658" t="s">
        <v>9033</v>
      </c>
      <c r="F4239" s="2004"/>
      <c r="G4239" s="2004">
        <f>IF('4M'!U31="","##BLANK",'4M'!U31)</f>
        <v>0</v>
      </c>
    </row>
    <row r="4240" spans="2:7">
      <c r="B4240" s="848" t="str">
        <f>+'4M'!BW32</f>
        <v>S3021STPCUM</v>
      </c>
      <c r="D4240" s="2004"/>
      <c r="E4240" s="1658" t="s">
        <v>9033</v>
      </c>
      <c r="F4240" s="2004"/>
      <c r="G4240" s="2004">
        <f>IF('4M'!U32="","##BLANK",'4M'!U32)</f>
        <v>0</v>
      </c>
    </row>
    <row r="4241" spans="2:7">
      <c r="B4241" s="848" t="str">
        <f>+'4M'!BW33</f>
        <v>S3022STPCUM</v>
      </c>
      <c r="D4241" s="2004"/>
      <c r="E4241" s="1658" t="s">
        <v>9033</v>
      </c>
      <c r="F4241" s="2004"/>
      <c r="G4241" s="2004">
        <f>IF('4M'!U33="","##BLANK",'4M'!U33)</f>
        <v>0</v>
      </c>
    </row>
    <row r="4242" spans="2:7">
      <c r="B4242" s="848" t="str">
        <f>+'4M'!BW34</f>
        <v>BC31785STPCUM</v>
      </c>
      <c r="D4242" s="2004"/>
      <c r="E4242" s="1658" t="s">
        <v>9033</v>
      </c>
      <c r="F4242" s="2004"/>
      <c r="G4242" s="2004">
        <f>IF('4M'!U34="","##BLANK",'4M'!U34)</f>
        <v>8.1000000000000003E-2</v>
      </c>
    </row>
    <row r="4243" spans="2:7">
      <c r="B4243" s="848" t="str">
        <f>+'4M'!BW35</f>
        <v>S3023STPCUM</v>
      </c>
      <c r="D4243" s="2004"/>
      <c r="E4243" s="1658" t="s">
        <v>9033</v>
      </c>
      <c r="F4243" s="2004"/>
      <c r="G4243" s="2004">
        <f>IF('4M'!U35="","##BLANK",'4M'!U35)</f>
        <v>0</v>
      </c>
    </row>
    <row r="4244" spans="2:7">
      <c r="B4244" s="848" t="str">
        <f>+'4M'!BW36</f>
        <v>S3024STPCUM</v>
      </c>
      <c r="D4244" s="2004"/>
      <c r="E4244" s="1658" t="s">
        <v>9033</v>
      </c>
      <c r="F4244" s="2004"/>
      <c r="G4244" s="2004">
        <f>IF('4M'!U36="","##BLANK",'4M'!U36)</f>
        <v>0</v>
      </c>
    </row>
    <row r="4245" spans="2:7">
      <c r="B4245" s="848" t="str">
        <f>+'4M'!BW37</f>
        <v>S3A00001STPCUM</v>
      </c>
      <c r="D4245" s="2004"/>
      <c r="E4245" s="1658" t="s">
        <v>9033</v>
      </c>
      <c r="F4245" s="2004" t="str">
        <f>+'4M'!C$37</f>
        <v>Bathing water ELoS</v>
      </c>
      <c r="G4245" s="2004">
        <f>IF('4M'!U37="","##BLANK",'4M'!U37)</f>
        <v>0</v>
      </c>
    </row>
    <row r="4246" spans="2:7">
      <c r="B4246" s="848" t="str">
        <f>+'4M'!BW38</f>
        <v>S3A00002STPCUM</v>
      </c>
      <c r="D4246" s="2004"/>
      <c r="E4246" s="1658" t="s">
        <v>9033</v>
      </c>
      <c r="F4246" s="2004" t="str">
        <f>+'4M'!C$38</f>
        <v>Pollution ELoS</v>
      </c>
      <c r="G4246" s="2004">
        <f>IF('4M'!U38="","##BLANK",'4M'!U38)</f>
        <v>0</v>
      </c>
    </row>
    <row r="4247" spans="2:7">
      <c r="B4247" s="848" t="str">
        <f>+'4M'!BW39</f>
        <v>S3A00003STPCUM</v>
      </c>
      <c r="D4247" s="2004"/>
      <c r="E4247" s="1658" t="s">
        <v>9033</v>
      </c>
      <c r="F4247" s="2004" t="str">
        <f>+'4M'!C$39</f>
        <v>Connections (if applicable)</v>
      </c>
      <c r="G4247" s="2004">
        <f>IF('4M'!U39="","##BLANK",'4M'!U39)</f>
        <v>0</v>
      </c>
    </row>
    <row r="4248" spans="2:7">
      <c r="B4248" s="848" t="str">
        <f>+'4M'!BW40</f>
        <v>S3A00004STPCUM</v>
      </c>
      <c r="D4248" s="2004"/>
      <c r="E4248" s="1658" t="s">
        <v>9033</v>
      </c>
      <c r="F4248" s="2004" t="str">
        <f>+'4M'!C$40</f>
        <v>Emergency Overflow Appeals</v>
      </c>
      <c r="G4248" s="2004">
        <f>IF('4M'!U40="","##BLANK",'4M'!U40)</f>
        <v>0</v>
      </c>
    </row>
    <row r="4249" spans="2:7">
      <c r="B4249" s="848" t="str">
        <f>+'4M'!BW41</f>
        <v>S3A00005STPCUM</v>
      </c>
      <c r="D4249" s="2004"/>
      <c r="E4249" s="1658" t="s">
        <v>9033</v>
      </c>
      <c r="F4249" s="2004" t="str">
        <f>+'4M'!C$41</f>
        <v>Exclusions</v>
      </c>
      <c r="G4249" s="2004">
        <f>IF('4M'!U41="","##BLANK",'4M'!U41)</f>
        <v>0</v>
      </c>
    </row>
    <row r="4250" spans="2:7">
      <c r="B4250" s="848" t="str">
        <f>+'4M'!BW42</f>
        <v>S3A00006STPCUM</v>
      </c>
      <c r="D4250" s="2004"/>
      <c r="E4250" s="1658" t="s">
        <v>9033</v>
      </c>
      <c r="F4250" s="2004" t="str">
        <f>+'4M'!C$42</f>
        <v>Pollution - UQ</v>
      </c>
      <c r="G4250" s="2004">
        <f>IF('4M'!U42="","##BLANK",'4M'!U42)</f>
        <v>0</v>
      </c>
    </row>
    <row r="4251" spans="2:7">
      <c r="B4251" s="848" t="str">
        <f>+'4M'!BW43</f>
        <v>S3A00007STPCUM</v>
      </c>
      <c r="D4251" s="2004"/>
      <c r="E4251" s="1658" t="s">
        <v>9033</v>
      </c>
      <c r="F4251" s="2004" t="str">
        <f>+'4M'!C$43</f>
        <v>Internal Flooding - UQ</v>
      </c>
      <c r="G4251" s="2004">
        <f>IF('4M'!U43="","##BLANK",'4M'!U43)</f>
        <v>0</v>
      </c>
    </row>
    <row r="4252" spans="2:7">
      <c r="B4252" s="848" t="str">
        <f>+'4M'!BW44</f>
        <v>S3A00008STPCUM</v>
      </c>
      <c r="D4252" s="2004"/>
      <c r="E4252" s="1658" t="s">
        <v>9033</v>
      </c>
      <c r="F4252" s="2004" t="str">
        <f>+'4M'!C$44</f>
        <v>Infrastructure network reinforcement</v>
      </c>
      <c r="G4252" s="2004">
        <f>IF('4M'!U44="","##BLANK",'4M'!U44)</f>
        <v>0</v>
      </c>
    </row>
    <row r="4253" spans="2:7">
      <c r="B4253" s="848" t="str">
        <f>+'4M'!BW45</f>
        <v>S3A00009STPCUM</v>
      </c>
      <c r="D4253" s="2004"/>
      <c r="E4253" s="1658" t="s">
        <v>9033</v>
      </c>
      <c r="F4253" s="2004" t="str">
        <f>+'4M'!C$45</f>
        <v>2020-25 Transition Expenditure - Capex</v>
      </c>
      <c r="G4253" s="2004">
        <f>IF('4M'!U45="","##BLANK",'4M'!U45)</f>
        <v>0</v>
      </c>
    </row>
    <row r="4254" spans="2:7">
      <c r="B4254" s="848" t="str">
        <f>+'4M'!BW46</f>
        <v>S3A00010STPCUM</v>
      </c>
      <c r="D4254" s="2004"/>
      <c r="E4254" s="1658" t="s">
        <v>9033</v>
      </c>
      <c r="F4254" s="2004" t="str">
        <f>+'4M'!C$46</f>
        <v>Capital expenditure purpose - WASTEWATER additional line 10 [Other categories]</v>
      </c>
      <c r="G4254" s="2004">
        <f>IF('4M'!U46="","##BLANK",'4M'!U46)</f>
        <v>0</v>
      </c>
    </row>
    <row r="4255" spans="2:7">
      <c r="B4255" s="848" t="str">
        <f>+'4M'!BW47</f>
        <v>S3A00011STPCUM</v>
      </c>
      <c r="D4255" s="2004"/>
      <c r="E4255" s="1658" t="s">
        <v>9033</v>
      </c>
      <c r="F4255" s="2004" t="str">
        <f>+'4M'!C$47</f>
        <v>Capital expenditure purpose - WASTEWATER additional line 11 [Other categories]</v>
      </c>
      <c r="G4255" s="2004" t="str">
        <f>IF('4M'!U47="","##BLANK",'4M'!U47)</f>
        <v>##BLANK</v>
      </c>
    </row>
    <row r="4256" spans="2:7">
      <c r="B4256" s="848" t="str">
        <f>+'4M'!BW48</f>
        <v>S3A00012STPCUM</v>
      </c>
      <c r="D4256" s="2004"/>
      <c r="E4256" s="1658" t="s">
        <v>9033</v>
      </c>
      <c r="F4256" s="2004" t="str">
        <f>+'4M'!C$48</f>
        <v>Capital expenditure purpose - WASTEWATER additional line 12 [Other categories]</v>
      </c>
      <c r="G4256" s="2004" t="str">
        <f>IF('4M'!U48="","##BLANK",'4M'!U48)</f>
        <v>##BLANK</v>
      </c>
    </row>
    <row r="4257" spans="2:7">
      <c r="B4257" s="848" t="str">
        <f>+'4M'!BW49</f>
        <v>S3A00013STPCUM</v>
      </c>
      <c r="D4257" s="2004"/>
      <c r="E4257" s="1658" t="s">
        <v>9033</v>
      </c>
      <c r="F4257" s="2004" t="str">
        <f>+'4M'!C$49</f>
        <v>Capital expenditure purpose - WASTEWATER additional line 13 [Other categories]</v>
      </c>
      <c r="G4257" s="2004" t="str">
        <f>IF('4M'!U49="","##BLANK",'4M'!U49)</f>
        <v>##BLANK</v>
      </c>
    </row>
    <row r="4258" spans="2:7">
      <c r="B4258" s="848" t="str">
        <f>+'4M'!BW50</f>
        <v>S3A00014STPCUM</v>
      </c>
      <c r="D4258" s="2004"/>
      <c r="E4258" s="1658" t="s">
        <v>9033</v>
      </c>
      <c r="F4258" s="2004" t="str">
        <f>+'4M'!C$50</f>
        <v>Capital expenditure purpose - WASTEWATER additional line 14 [Other categories]</v>
      </c>
      <c r="G4258" s="2004" t="str">
        <f>IF('4M'!U50="","##BLANK",'4M'!U50)</f>
        <v>##BLANK</v>
      </c>
    </row>
    <row r="4259" spans="2:7">
      <c r="B4259" s="848" t="str">
        <f>+'4M'!BW51</f>
        <v>S3A00015STPCUM</v>
      </c>
      <c r="D4259" s="2004"/>
      <c r="E4259" s="1658" t="s">
        <v>9033</v>
      </c>
      <c r="F4259" s="2004" t="str">
        <f>+'4M'!C$51</f>
        <v>Capital expenditure purpose - WASTEWATER additional line 15 [Other categories]</v>
      </c>
      <c r="G4259" s="2004" t="str">
        <f>IF('4M'!U51="","##BLANK",'4M'!U51)</f>
        <v>##BLANK</v>
      </c>
    </row>
    <row r="4260" spans="2:7">
      <c r="B4260" s="848" t="str">
        <f>+'4M'!BW52</f>
        <v>S3025ENHSTPCUM</v>
      </c>
      <c r="D4260" s="2004"/>
      <c r="E4260" s="1658" t="s">
        <v>9033</v>
      </c>
      <c r="F4260" s="2004"/>
      <c r="G4260" s="2004">
        <f>IF('4M'!U52="","##BLANK",'4M'!U52)</f>
        <v>8.1000000000000003E-2</v>
      </c>
    </row>
    <row r="4261" spans="2:7">
      <c r="B4261" s="848" t="str">
        <f>+'4M'!BX8</f>
        <v>BC31379SDTCUM</v>
      </c>
      <c r="D4261" s="2004"/>
      <c r="E4261" s="1658" t="s">
        <v>9033</v>
      </c>
      <c r="F4261" s="2004"/>
      <c r="G4261" s="2004">
        <f>IF('4M'!V8="","##BLANK",'4M'!V8)</f>
        <v>0</v>
      </c>
    </row>
    <row r="4262" spans="2:7">
      <c r="B4262" s="848" t="str">
        <f>+'4M'!BX9</f>
        <v>S3035QSDTCUM</v>
      </c>
      <c r="D4262" s="2004"/>
      <c r="E4262" s="1658" t="s">
        <v>9033</v>
      </c>
      <c r="F4262" s="2004"/>
      <c r="G4262" s="2004">
        <f>IF('4M'!V9="","##BLANK",'4M'!V9)</f>
        <v>0</v>
      </c>
    </row>
    <row r="4263" spans="2:7">
      <c r="B4263" s="848" t="str">
        <f>+'4M'!BX10</f>
        <v>S3036GSDTCUM</v>
      </c>
      <c r="D4263" s="2004"/>
      <c r="E4263" s="1658" t="s">
        <v>9033</v>
      </c>
      <c r="F4263" s="2004"/>
      <c r="G4263" s="2004">
        <f>IF('4M'!V10="","##BLANK",'4M'!V10)</f>
        <v>0</v>
      </c>
    </row>
    <row r="4264" spans="2:7">
      <c r="B4264" s="848" t="str">
        <f>+'4M'!BX11</f>
        <v>S3004SDTCUM</v>
      </c>
      <c r="D4264" s="2004"/>
      <c r="E4264" s="1658" t="s">
        <v>9033</v>
      </c>
      <c r="F4264" s="2004"/>
      <c r="G4264" s="2004">
        <f>IF('4M'!V11="","##BLANK",'4M'!V11)</f>
        <v>0</v>
      </c>
    </row>
    <row r="4265" spans="2:7">
      <c r="B4265" s="848" t="str">
        <f>+'4M'!BX12</f>
        <v>WWS2001SDTCUM</v>
      </c>
      <c r="D4265" s="2004"/>
      <c r="E4265" s="1658" t="s">
        <v>9033</v>
      </c>
      <c r="F4265" s="2004"/>
      <c r="G4265" s="2004">
        <f>IF('4M'!V12="","##BLANK",'4M'!V12)</f>
        <v>0</v>
      </c>
    </row>
    <row r="4266" spans="2:7">
      <c r="B4266" s="848" t="str">
        <f>+'4M'!BX13</f>
        <v>S3005SDTCUM</v>
      </c>
      <c r="D4266" s="2004"/>
      <c r="E4266" s="1658" t="s">
        <v>9033</v>
      </c>
      <c r="F4266" s="2004"/>
      <c r="G4266" s="2004">
        <f>IF('4M'!V13="","##BLANK",'4M'!V13)</f>
        <v>0</v>
      </c>
    </row>
    <row r="4267" spans="2:7">
      <c r="B4267" s="848" t="str">
        <f>+'4M'!BX14</f>
        <v>S3006SDTCUM</v>
      </c>
      <c r="D4267" s="2004"/>
      <c r="E4267" s="1658" t="s">
        <v>9033</v>
      </c>
      <c r="F4267" s="2004"/>
      <c r="G4267" s="2004">
        <f>IF('4M'!V14="","##BLANK",'4M'!V14)</f>
        <v>0</v>
      </c>
    </row>
    <row r="4268" spans="2:7">
      <c r="B4268" s="848" t="str">
        <f>+'4M'!BX15</f>
        <v>S3007SDTCUM</v>
      </c>
      <c r="D4268" s="2004"/>
      <c r="E4268" s="1658" t="s">
        <v>9033</v>
      </c>
      <c r="F4268" s="2004"/>
      <c r="G4268" s="2004">
        <f>IF('4M'!V15="","##BLANK",'4M'!V15)</f>
        <v>0</v>
      </c>
    </row>
    <row r="4269" spans="2:7">
      <c r="B4269" s="848" t="str">
        <f>+'4M'!BX16</f>
        <v>WWS2002SDTCUM</v>
      </c>
      <c r="D4269" s="2004"/>
      <c r="E4269" s="1658" t="s">
        <v>9033</v>
      </c>
      <c r="F4269" s="2004"/>
      <c r="G4269" s="2004">
        <f>IF('4M'!V16="","##BLANK",'4M'!V16)</f>
        <v>0</v>
      </c>
    </row>
    <row r="4270" spans="2:7">
      <c r="B4270" s="848" t="str">
        <f>+'4M'!BX17</f>
        <v>WWS2003SDTCUM</v>
      </c>
      <c r="D4270" s="2004"/>
      <c r="E4270" s="1658" t="s">
        <v>9033</v>
      </c>
      <c r="F4270" s="2004"/>
      <c r="G4270" s="2004">
        <f>IF('4M'!V17="","##BLANK",'4M'!V17)</f>
        <v>0</v>
      </c>
    </row>
    <row r="4271" spans="2:7">
      <c r="B4271" s="848" t="str">
        <f>+'4M'!BX18</f>
        <v>S3008SDTCUM</v>
      </c>
      <c r="D4271" s="2004"/>
      <c r="E4271" s="1658" t="s">
        <v>9033</v>
      </c>
      <c r="F4271" s="2004"/>
      <c r="G4271" s="2004">
        <f>IF('4M'!V18="","##BLANK",'4M'!V18)</f>
        <v>0</v>
      </c>
    </row>
    <row r="4272" spans="2:7">
      <c r="B4272" s="848" t="str">
        <f>+'4M'!BX19</f>
        <v>S3009SDTCUM</v>
      </c>
      <c r="D4272" s="2004"/>
      <c r="E4272" s="1658" t="s">
        <v>9033</v>
      </c>
      <c r="F4272" s="2004"/>
      <c r="G4272" s="2004">
        <f>IF('4M'!V19="","##BLANK",'4M'!V19)</f>
        <v>0</v>
      </c>
    </row>
    <row r="4273" spans="2:7">
      <c r="B4273" s="848" t="str">
        <f>+'4M'!BX20</f>
        <v>WWS2007SDTCUM</v>
      </c>
      <c r="D4273" s="2004"/>
      <c r="E4273" s="1658" t="s">
        <v>9033</v>
      </c>
      <c r="F4273" s="2004"/>
      <c r="G4273" s="2004">
        <f>IF('4M'!V20="","##BLANK",'4M'!V20)</f>
        <v>0</v>
      </c>
    </row>
    <row r="4274" spans="2:7">
      <c r="B4274" s="848" t="str">
        <f>+'4M'!BX21</f>
        <v>S3010SDTCUM</v>
      </c>
      <c r="D4274" s="2004"/>
      <c r="E4274" s="1658" t="s">
        <v>9033</v>
      </c>
      <c r="F4274" s="2004"/>
      <c r="G4274" s="2004">
        <f>IF('4M'!V21="","##BLANK",'4M'!V21)</f>
        <v>0</v>
      </c>
    </row>
    <row r="4275" spans="2:7">
      <c r="B4275" s="848" t="str">
        <f>+'4M'!BX22</f>
        <v>S3011SDTCUM</v>
      </c>
      <c r="D4275" s="2004"/>
      <c r="E4275" s="1658" t="s">
        <v>9033</v>
      </c>
      <c r="F4275" s="2004"/>
      <c r="G4275" s="2004">
        <f>IF('4M'!V22="","##BLANK",'4M'!V22)</f>
        <v>0</v>
      </c>
    </row>
    <row r="4276" spans="2:7">
      <c r="B4276" s="848" t="str">
        <f>+'4M'!BX23</f>
        <v>S3012SDTCUM</v>
      </c>
      <c r="D4276" s="2004"/>
      <c r="E4276" s="1658" t="s">
        <v>9033</v>
      </c>
      <c r="F4276" s="2004"/>
      <c r="G4276" s="2004">
        <f>IF('4M'!V23="","##BLANK",'4M'!V23)</f>
        <v>0</v>
      </c>
    </row>
    <row r="4277" spans="2:7">
      <c r="B4277" s="848" t="str">
        <f>+'4M'!BX24</f>
        <v>S3013SDTCUM</v>
      </c>
      <c r="D4277" s="2004"/>
      <c r="E4277" s="1658" t="s">
        <v>9033</v>
      </c>
      <c r="F4277" s="2004"/>
      <c r="G4277" s="2004">
        <f>IF('4M'!V24="","##BLANK",'4M'!V24)</f>
        <v>0</v>
      </c>
    </row>
    <row r="4278" spans="2:7">
      <c r="B4278" s="848" t="str">
        <f>+'4M'!BX25</f>
        <v>S3014SDTCUM</v>
      </c>
      <c r="D4278" s="2004"/>
      <c r="E4278" s="1658" t="s">
        <v>9033</v>
      </c>
      <c r="F4278" s="2004"/>
      <c r="G4278" s="2004">
        <f>IF('4M'!V25="","##BLANK",'4M'!V25)</f>
        <v>0</v>
      </c>
    </row>
    <row r="4279" spans="2:7">
      <c r="B4279" s="848" t="str">
        <f>+'4M'!BX26</f>
        <v>S3015SDTCUM</v>
      </c>
      <c r="D4279" s="2004"/>
      <c r="E4279" s="1658" t="s">
        <v>9033</v>
      </c>
      <c r="F4279" s="2004"/>
      <c r="G4279" s="2004">
        <f>IF('4M'!V26="","##BLANK",'4M'!V26)</f>
        <v>7.2619999999999996</v>
      </c>
    </row>
    <row r="4280" spans="2:7">
      <c r="B4280" s="848" t="str">
        <f>+'4M'!BX27</f>
        <v>S3016SDTCUM</v>
      </c>
      <c r="D4280" s="2004"/>
      <c r="E4280" s="1658" t="s">
        <v>9033</v>
      </c>
      <c r="F4280" s="2004"/>
      <c r="G4280" s="2004">
        <f>IF('4M'!V27="","##BLANK",'4M'!V27)</f>
        <v>0</v>
      </c>
    </row>
    <row r="4281" spans="2:7">
      <c r="B4281" s="848" t="str">
        <f>+'4M'!BX28</f>
        <v>S3017SDTCUM</v>
      </c>
      <c r="D4281" s="2004"/>
      <c r="E4281" s="1658" t="s">
        <v>9033</v>
      </c>
      <c r="F4281" s="2004"/>
      <c r="G4281" s="2004">
        <f>IF('4M'!V28="","##BLANK",'4M'!V28)</f>
        <v>0</v>
      </c>
    </row>
    <row r="4282" spans="2:7">
      <c r="B4282" s="848" t="str">
        <f>+'4M'!BX29</f>
        <v>S3018SDTCUM</v>
      </c>
      <c r="D4282" s="2004"/>
      <c r="E4282" s="1658" t="s">
        <v>9033</v>
      </c>
      <c r="F4282" s="2004"/>
      <c r="G4282" s="2004">
        <f>IF('4M'!V29="","##BLANK",'4M'!V29)</f>
        <v>0</v>
      </c>
    </row>
    <row r="4283" spans="2:7">
      <c r="B4283" s="848" t="str">
        <f>+'4M'!BX30</f>
        <v>S3019SDTCUM</v>
      </c>
      <c r="D4283" s="2004"/>
      <c r="E4283" s="1658" t="s">
        <v>9033</v>
      </c>
      <c r="F4283" s="2004"/>
      <c r="G4283" s="2004">
        <f>IF('4M'!V30="","##BLANK",'4M'!V30)</f>
        <v>0</v>
      </c>
    </row>
    <row r="4284" spans="2:7">
      <c r="B4284" s="848" t="str">
        <f>+'4M'!BX31</f>
        <v>S3020SDTCUM</v>
      </c>
      <c r="D4284" s="2004"/>
      <c r="E4284" s="1658" t="s">
        <v>9033</v>
      </c>
      <c r="F4284" s="2004"/>
      <c r="G4284" s="2004">
        <f>IF('4M'!V31="","##BLANK",'4M'!V31)</f>
        <v>0</v>
      </c>
    </row>
    <row r="4285" spans="2:7">
      <c r="B4285" s="848" t="str">
        <f>+'4M'!BX32</f>
        <v>S3021SDTCUM</v>
      </c>
      <c r="D4285" s="2004"/>
      <c r="E4285" s="1658" t="s">
        <v>9033</v>
      </c>
      <c r="F4285" s="2004"/>
      <c r="G4285" s="2004">
        <f>IF('4M'!V32="","##BLANK",'4M'!V32)</f>
        <v>0</v>
      </c>
    </row>
    <row r="4286" spans="2:7">
      <c r="B4286" s="848" t="str">
        <f>+'4M'!BX33</f>
        <v>S3022SDTCUM</v>
      </c>
      <c r="D4286" s="2004"/>
      <c r="E4286" s="1658" t="s">
        <v>9033</v>
      </c>
      <c r="F4286" s="2004"/>
      <c r="G4286" s="2004">
        <f>IF('4M'!V33="","##BLANK",'4M'!V33)</f>
        <v>0</v>
      </c>
    </row>
    <row r="4287" spans="2:7">
      <c r="B4287" s="848" t="str">
        <f>+'4M'!BX34</f>
        <v>BC31785SDTCUM</v>
      </c>
      <c r="D4287" s="2004"/>
      <c r="E4287" s="1658" t="s">
        <v>9033</v>
      </c>
      <c r="F4287" s="2004"/>
      <c r="G4287" s="2004">
        <f>IF('4M'!V34="","##BLANK",'4M'!V34)</f>
        <v>0.53100000000000003</v>
      </c>
    </row>
    <row r="4288" spans="2:7">
      <c r="B4288" s="848" t="str">
        <f>+'4M'!BX35</f>
        <v>S3023SDTCUM</v>
      </c>
      <c r="D4288" s="2004"/>
      <c r="E4288" s="1658" t="s">
        <v>9033</v>
      </c>
      <c r="F4288" s="2004"/>
      <c r="G4288" s="2004">
        <f>IF('4M'!V35="","##BLANK",'4M'!V35)</f>
        <v>0</v>
      </c>
    </row>
    <row r="4289" spans="2:7">
      <c r="B4289" s="848" t="str">
        <f>+'4M'!BX36</f>
        <v>S3024SDTCUM</v>
      </c>
      <c r="D4289" s="2004"/>
      <c r="E4289" s="1658" t="s">
        <v>9033</v>
      </c>
      <c r="F4289" s="2004"/>
      <c r="G4289" s="2004">
        <f>IF('4M'!V36="","##BLANK",'4M'!V36)</f>
        <v>0</v>
      </c>
    </row>
    <row r="4290" spans="2:7">
      <c r="B4290" s="848" t="str">
        <f>+'4M'!BX37</f>
        <v>S3A00001SDTCUM</v>
      </c>
      <c r="D4290" s="2004"/>
      <c r="E4290" s="1658" t="s">
        <v>9033</v>
      </c>
      <c r="F4290" s="2004" t="str">
        <f>+'4M'!C$37</f>
        <v>Bathing water ELoS</v>
      </c>
      <c r="G4290" s="2004">
        <f>IF('4M'!V37="","##BLANK",'4M'!V37)</f>
        <v>0</v>
      </c>
    </row>
    <row r="4291" spans="2:7">
      <c r="B4291" s="848" t="str">
        <f>+'4M'!BX38</f>
        <v>S3A00002SDTCUM</v>
      </c>
      <c r="D4291" s="2004"/>
      <c r="E4291" s="1658" t="s">
        <v>9033</v>
      </c>
      <c r="F4291" s="2004" t="str">
        <f>+'4M'!C$38</f>
        <v>Pollution ELoS</v>
      </c>
      <c r="G4291" s="2004">
        <f>IF('4M'!V38="","##BLANK",'4M'!V38)</f>
        <v>0</v>
      </c>
    </row>
    <row r="4292" spans="2:7">
      <c r="B4292" s="848" t="str">
        <f>+'4M'!BX39</f>
        <v>S3A00003SDTCUM</v>
      </c>
      <c r="D4292" s="2004"/>
      <c r="E4292" s="1658" t="s">
        <v>9033</v>
      </c>
      <c r="F4292" s="2004" t="str">
        <f>+'4M'!C$39</f>
        <v>Connections (if applicable)</v>
      </c>
      <c r="G4292" s="2004">
        <f>IF('4M'!V39="","##BLANK",'4M'!V39)</f>
        <v>0</v>
      </c>
    </row>
    <row r="4293" spans="2:7">
      <c r="B4293" s="848" t="str">
        <f>+'4M'!BX40</f>
        <v>S3A00004SDTCUM</v>
      </c>
      <c r="D4293" s="2004"/>
      <c r="E4293" s="1658" t="s">
        <v>9033</v>
      </c>
      <c r="F4293" s="2004" t="str">
        <f>+'4M'!C$40</f>
        <v>Emergency Overflow Appeals</v>
      </c>
      <c r="G4293" s="2004">
        <f>IF('4M'!V40="","##BLANK",'4M'!V40)</f>
        <v>0</v>
      </c>
    </row>
    <row r="4294" spans="2:7">
      <c r="B4294" s="848" t="str">
        <f>+'4M'!BX41</f>
        <v>S3A00005SDTCUM</v>
      </c>
      <c r="D4294" s="2004"/>
      <c r="E4294" s="1658" t="s">
        <v>9033</v>
      </c>
      <c r="F4294" s="2004" t="str">
        <f>+'4M'!C$41</f>
        <v>Exclusions</v>
      </c>
      <c r="G4294" s="2004">
        <f>IF('4M'!V41="","##BLANK",'4M'!V41)</f>
        <v>0</v>
      </c>
    </row>
    <row r="4295" spans="2:7">
      <c r="B4295" s="848" t="str">
        <f>+'4M'!BX42</f>
        <v>S3A00006SDTCUM</v>
      </c>
      <c r="D4295" s="2004"/>
      <c r="E4295" s="1658" t="s">
        <v>9033</v>
      </c>
      <c r="F4295" s="2004" t="str">
        <f>+'4M'!C$42</f>
        <v>Pollution - UQ</v>
      </c>
      <c r="G4295" s="2004">
        <f>IF('4M'!V42="","##BLANK",'4M'!V42)</f>
        <v>0</v>
      </c>
    </row>
    <row r="4296" spans="2:7">
      <c r="B4296" s="848" t="str">
        <f>+'4M'!BX43</f>
        <v>S3A00007SDTCUM</v>
      </c>
      <c r="D4296" s="2004"/>
      <c r="E4296" s="1658" t="s">
        <v>9033</v>
      </c>
      <c r="F4296" s="2004" t="str">
        <f>+'4M'!C$43</f>
        <v>Internal Flooding - UQ</v>
      </c>
      <c r="G4296" s="2004">
        <f>IF('4M'!V43="","##BLANK",'4M'!V43)</f>
        <v>0</v>
      </c>
    </row>
    <row r="4297" spans="2:7">
      <c r="B4297" s="848" t="str">
        <f>+'4M'!BX44</f>
        <v>S3A00008SDTCUM</v>
      </c>
      <c r="D4297" s="2004"/>
      <c r="E4297" s="1658" t="s">
        <v>9033</v>
      </c>
      <c r="F4297" s="2004" t="str">
        <f>+'4M'!C$44</f>
        <v>Infrastructure network reinforcement</v>
      </c>
      <c r="G4297" s="2004">
        <f>IF('4M'!V44="","##BLANK",'4M'!V44)</f>
        <v>0</v>
      </c>
    </row>
    <row r="4298" spans="2:7">
      <c r="B4298" s="848" t="str">
        <f>+'4M'!BX45</f>
        <v>S3A00009SDTCUM</v>
      </c>
      <c r="D4298" s="2004"/>
      <c r="E4298" s="1658" t="s">
        <v>9033</v>
      </c>
      <c r="F4298" s="2004" t="str">
        <f>+'4M'!C$45</f>
        <v>2020-25 Transition Expenditure - Capex</v>
      </c>
      <c r="G4298" s="2004">
        <f>IF('4M'!V45="","##BLANK",'4M'!V45)</f>
        <v>0</v>
      </c>
    </row>
    <row r="4299" spans="2:7">
      <c r="B4299" s="848" t="str">
        <f>+'4M'!BX46</f>
        <v>S3A00010SDTCUM</v>
      </c>
      <c r="D4299" s="2004"/>
      <c r="E4299" s="1658" t="s">
        <v>9033</v>
      </c>
      <c r="F4299" s="2004" t="str">
        <f>+'4M'!C$46</f>
        <v>Capital expenditure purpose - WASTEWATER additional line 10 [Other categories]</v>
      </c>
      <c r="G4299" s="2004">
        <f>IF('4M'!V46="","##BLANK",'4M'!V46)</f>
        <v>0</v>
      </c>
    </row>
    <row r="4300" spans="2:7">
      <c r="B4300" s="848" t="str">
        <f>+'4M'!BX47</f>
        <v>S3A00011SDTCUM</v>
      </c>
      <c r="D4300" s="2004"/>
      <c r="E4300" s="1658" t="s">
        <v>9033</v>
      </c>
      <c r="F4300" s="2004" t="str">
        <f>+'4M'!C$47</f>
        <v>Capital expenditure purpose - WASTEWATER additional line 11 [Other categories]</v>
      </c>
      <c r="G4300" s="2004" t="str">
        <f>IF('4M'!V47="","##BLANK",'4M'!V47)</f>
        <v>##BLANK</v>
      </c>
    </row>
    <row r="4301" spans="2:7">
      <c r="B4301" s="848" t="str">
        <f>+'4M'!BX48</f>
        <v>S3A00012SDTCUM</v>
      </c>
      <c r="D4301" s="2004"/>
      <c r="E4301" s="1658" t="s">
        <v>9033</v>
      </c>
      <c r="F4301" s="2004" t="str">
        <f>+'4M'!C$48</f>
        <v>Capital expenditure purpose - WASTEWATER additional line 12 [Other categories]</v>
      </c>
      <c r="G4301" s="2004" t="str">
        <f>IF('4M'!V48="","##BLANK",'4M'!V48)</f>
        <v>##BLANK</v>
      </c>
    </row>
    <row r="4302" spans="2:7">
      <c r="B4302" s="848" t="str">
        <f>+'4M'!BX49</f>
        <v>S3A00013SDTCUM</v>
      </c>
      <c r="D4302" s="2004"/>
      <c r="E4302" s="1658" t="s">
        <v>9033</v>
      </c>
      <c r="F4302" s="2004" t="str">
        <f>+'4M'!C$49</f>
        <v>Capital expenditure purpose - WASTEWATER additional line 13 [Other categories]</v>
      </c>
      <c r="G4302" s="2004" t="str">
        <f>IF('4M'!V49="","##BLANK",'4M'!V49)</f>
        <v>##BLANK</v>
      </c>
    </row>
    <row r="4303" spans="2:7">
      <c r="B4303" s="848" t="str">
        <f>+'4M'!BX50</f>
        <v>S3A00014SDTCUM</v>
      </c>
      <c r="D4303" s="2004"/>
      <c r="E4303" s="1658" t="s">
        <v>9033</v>
      </c>
      <c r="F4303" s="2004" t="str">
        <f>+'4M'!C$50</f>
        <v>Capital expenditure purpose - WASTEWATER additional line 14 [Other categories]</v>
      </c>
      <c r="G4303" s="2004" t="str">
        <f>IF('4M'!V50="","##BLANK",'4M'!V50)</f>
        <v>##BLANK</v>
      </c>
    </row>
    <row r="4304" spans="2:7">
      <c r="B4304" s="848" t="str">
        <f>+'4M'!BX51</f>
        <v>S3A00015SDTCUM</v>
      </c>
      <c r="D4304" s="2004"/>
      <c r="E4304" s="1658" t="s">
        <v>9033</v>
      </c>
      <c r="F4304" s="2004" t="str">
        <f>+'4M'!C$51</f>
        <v>Capital expenditure purpose - WASTEWATER additional line 15 [Other categories]</v>
      </c>
      <c r="G4304" s="2004" t="str">
        <f>IF('4M'!V51="","##BLANK",'4M'!V51)</f>
        <v>##BLANK</v>
      </c>
    </row>
    <row r="4305" spans="2:7" s="2004" customFormat="1">
      <c r="B4305" s="848" t="str">
        <f>+'4M'!BX52</f>
        <v>S3025ENHSDTCUM</v>
      </c>
      <c r="C4305" s="1322"/>
      <c r="E4305" s="1658" t="s">
        <v>9033</v>
      </c>
      <c r="G4305" s="2004">
        <f>IF('4M'!V52="","##BLANK",'4M'!V52)</f>
        <v>7.7929999999999993</v>
      </c>
    </row>
    <row r="4306" spans="2:7" s="2004" customFormat="1">
      <c r="B4306" s="848" t="str">
        <f>+'4M'!BY8</f>
        <v>BC31379SDDCUM</v>
      </c>
      <c r="C4306" s="1322"/>
      <c r="E4306" s="1658" t="s">
        <v>9033</v>
      </c>
      <c r="G4306" s="2004">
        <f>IF('4M'!W8="","##BLANK",'4M'!W8)</f>
        <v>0</v>
      </c>
    </row>
    <row r="4307" spans="2:7" s="2004" customFormat="1">
      <c r="B4307" s="848" t="str">
        <f>+'4M'!BY9</f>
        <v>S3035QSDDCUM</v>
      </c>
      <c r="C4307" s="1322"/>
      <c r="E4307" s="1658" t="s">
        <v>9033</v>
      </c>
      <c r="G4307" s="2004">
        <f>IF('4M'!W9="","##BLANK",'4M'!W9)</f>
        <v>0</v>
      </c>
    </row>
    <row r="4308" spans="2:7" s="2004" customFormat="1">
      <c r="B4308" s="848" t="str">
        <f>+'4M'!BY10</f>
        <v>S3036GSDDCUM</v>
      </c>
      <c r="C4308" s="1322"/>
      <c r="E4308" s="1658" t="s">
        <v>9033</v>
      </c>
      <c r="G4308" s="2004">
        <f>IF('4M'!W10="","##BLANK",'4M'!W10)</f>
        <v>0</v>
      </c>
    </row>
    <row r="4309" spans="2:7" s="2004" customFormat="1">
      <c r="B4309" s="848" t="str">
        <f>+'4M'!BY11</f>
        <v>S3004SDDCUM</v>
      </c>
      <c r="C4309" s="1322"/>
      <c r="E4309" s="1658" t="s">
        <v>9033</v>
      </c>
      <c r="G4309" s="2004">
        <f>IF('4M'!W11="","##BLANK",'4M'!W11)</f>
        <v>0</v>
      </c>
    </row>
    <row r="4310" spans="2:7" s="2004" customFormat="1">
      <c r="B4310" s="848" t="str">
        <f>+'4M'!BY12</f>
        <v>WWS2001SDDCUM</v>
      </c>
      <c r="C4310" s="1322"/>
      <c r="E4310" s="1658" t="s">
        <v>9033</v>
      </c>
      <c r="G4310" s="2004">
        <f>IF('4M'!W12="","##BLANK",'4M'!W12)</f>
        <v>0</v>
      </c>
    </row>
    <row r="4311" spans="2:7" s="2004" customFormat="1">
      <c r="B4311" s="848" t="str">
        <f>+'4M'!BY13</f>
        <v>S3005SDDCUM</v>
      </c>
      <c r="C4311" s="1322"/>
      <c r="E4311" s="1658" t="s">
        <v>9033</v>
      </c>
      <c r="G4311" s="2004">
        <f>IF('4M'!W13="","##BLANK",'4M'!W13)</f>
        <v>0</v>
      </c>
    </row>
    <row r="4312" spans="2:7" s="2004" customFormat="1">
      <c r="B4312" s="848" t="str">
        <f>+'4M'!BY14</f>
        <v>S3006SDDCUM</v>
      </c>
      <c r="C4312" s="1322"/>
      <c r="E4312" s="1658" t="s">
        <v>9033</v>
      </c>
      <c r="G4312" s="2004">
        <f>IF('4M'!W14="","##BLANK",'4M'!W14)</f>
        <v>0</v>
      </c>
    </row>
    <row r="4313" spans="2:7" s="2004" customFormat="1">
      <c r="B4313" s="848" t="str">
        <f>+'4M'!BY15</f>
        <v>S3007SDDCUM</v>
      </c>
      <c r="C4313" s="1322"/>
      <c r="E4313" s="1658" t="s">
        <v>9033</v>
      </c>
      <c r="G4313" s="2004">
        <f>IF('4M'!W15="","##BLANK",'4M'!W15)</f>
        <v>0</v>
      </c>
    </row>
    <row r="4314" spans="2:7" s="2004" customFormat="1">
      <c r="B4314" s="848" t="str">
        <f>+'4M'!BY16</f>
        <v>WWS2002SDDCUM</v>
      </c>
      <c r="C4314" s="1322"/>
      <c r="E4314" s="1658" t="s">
        <v>9033</v>
      </c>
      <c r="G4314" s="2004">
        <f>IF('4M'!W16="","##BLANK",'4M'!W16)</f>
        <v>0</v>
      </c>
    </row>
    <row r="4315" spans="2:7" s="2004" customFormat="1">
      <c r="B4315" s="848" t="str">
        <f>+'4M'!BY17</f>
        <v>WWS2003SDDCUM</v>
      </c>
      <c r="C4315" s="1322"/>
      <c r="E4315" s="1658" t="s">
        <v>9033</v>
      </c>
      <c r="G4315" s="2004">
        <f>IF('4M'!W17="","##BLANK",'4M'!W17)</f>
        <v>0</v>
      </c>
    </row>
    <row r="4316" spans="2:7" s="2004" customFormat="1">
      <c r="B4316" s="848" t="str">
        <f>+'4M'!BY18</f>
        <v>S3008SDDCUM</v>
      </c>
      <c r="C4316" s="1322"/>
      <c r="E4316" s="1658" t="s">
        <v>9033</v>
      </c>
      <c r="G4316" s="2004">
        <f>IF('4M'!W18="","##BLANK",'4M'!W18)</f>
        <v>0</v>
      </c>
    </row>
    <row r="4317" spans="2:7" s="2004" customFormat="1">
      <c r="B4317" s="848" t="str">
        <f>+'4M'!BY19</f>
        <v>S3009SDDCUM</v>
      </c>
      <c r="C4317" s="1322"/>
      <c r="E4317" s="1658" t="s">
        <v>9033</v>
      </c>
      <c r="G4317" s="2004">
        <f>IF('4M'!W19="","##BLANK",'4M'!W19)</f>
        <v>0</v>
      </c>
    </row>
    <row r="4318" spans="2:7" s="2004" customFormat="1">
      <c r="B4318" s="848" t="str">
        <f>+'4M'!BY20</f>
        <v>WWS2007SDDCUM</v>
      </c>
      <c r="C4318" s="1322"/>
      <c r="E4318" s="1658" t="s">
        <v>9033</v>
      </c>
      <c r="G4318" s="2004">
        <f>IF('4M'!W20="","##BLANK",'4M'!W20)</f>
        <v>0</v>
      </c>
    </row>
    <row r="4319" spans="2:7" s="2004" customFormat="1">
      <c r="B4319" s="848" t="str">
        <f>+'4M'!BY21</f>
        <v>S3010SDDCUM</v>
      </c>
      <c r="C4319" s="1322"/>
      <c r="E4319" s="1658" t="s">
        <v>9033</v>
      </c>
      <c r="G4319" s="2004">
        <f>IF('4M'!W21="","##BLANK",'4M'!W21)</f>
        <v>0</v>
      </c>
    </row>
    <row r="4320" spans="2:7" s="2004" customFormat="1">
      <c r="B4320" s="848" t="str">
        <f>+'4M'!BY22</f>
        <v>S3011SDDCUM</v>
      </c>
      <c r="C4320" s="1322"/>
      <c r="E4320" s="1658" t="s">
        <v>9033</v>
      </c>
      <c r="G4320" s="2004">
        <f>IF('4M'!W22="","##BLANK",'4M'!W22)</f>
        <v>0</v>
      </c>
    </row>
    <row r="4321" spans="2:7" s="2004" customFormat="1">
      <c r="B4321" s="848" t="str">
        <f>+'4M'!BY23</f>
        <v>S3012SDDCUM</v>
      </c>
      <c r="C4321" s="1322"/>
      <c r="E4321" s="1658" t="s">
        <v>9033</v>
      </c>
      <c r="G4321" s="2004">
        <f>IF('4M'!W23="","##BLANK",'4M'!W23)</f>
        <v>0</v>
      </c>
    </row>
    <row r="4322" spans="2:7" s="2004" customFormat="1">
      <c r="B4322" s="848" t="str">
        <f>+'4M'!BY24</f>
        <v>S3013SDDCUM</v>
      </c>
      <c r="C4322" s="1322"/>
      <c r="E4322" s="1658" t="s">
        <v>9033</v>
      </c>
      <c r="G4322" s="2004">
        <f>IF('4M'!W24="","##BLANK",'4M'!W24)</f>
        <v>0</v>
      </c>
    </row>
    <row r="4323" spans="2:7" s="2004" customFormat="1">
      <c r="B4323" s="848" t="str">
        <f>+'4M'!BY25</f>
        <v>S3014SDDCUM</v>
      </c>
      <c r="C4323" s="1322"/>
      <c r="E4323" s="1658" t="s">
        <v>9033</v>
      </c>
      <c r="G4323" s="2004">
        <f>IF('4M'!W25="","##BLANK",'4M'!W25)</f>
        <v>0</v>
      </c>
    </row>
    <row r="4324" spans="2:7" s="2004" customFormat="1">
      <c r="B4324" s="848" t="str">
        <f>+'4M'!BY26</f>
        <v>S3015SDDCUM</v>
      </c>
      <c r="C4324" s="1322"/>
      <c r="E4324" s="1658" t="s">
        <v>9033</v>
      </c>
      <c r="G4324" s="2004">
        <f>IF('4M'!W26="","##BLANK",'4M'!W26)</f>
        <v>0</v>
      </c>
    </row>
    <row r="4325" spans="2:7" s="2004" customFormat="1">
      <c r="B4325" s="848" t="str">
        <f>+'4M'!BY27</f>
        <v>S3016SDDCUM</v>
      </c>
      <c r="C4325" s="1322"/>
      <c r="E4325" s="1658" t="s">
        <v>9033</v>
      </c>
      <c r="G4325" s="2004">
        <f>IF('4M'!W27="","##BLANK",'4M'!W27)</f>
        <v>0</v>
      </c>
    </row>
    <row r="4326" spans="2:7" s="2004" customFormat="1">
      <c r="B4326" s="848" t="str">
        <f>+'4M'!BY28</f>
        <v>S3017SDDCUM</v>
      </c>
      <c r="C4326" s="1322"/>
      <c r="E4326" s="1658" t="s">
        <v>9033</v>
      </c>
      <c r="G4326" s="2004">
        <f>IF('4M'!W28="","##BLANK",'4M'!W28)</f>
        <v>0</v>
      </c>
    </row>
    <row r="4327" spans="2:7" s="2004" customFormat="1">
      <c r="B4327" s="848" t="str">
        <f>+'4M'!BY29</f>
        <v>S3018SDDCUM</v>
      </c>
      <c r="C4327" s="1322"/>
      <c r="E4327" s="1658" t="s">
        <v>9033</v>
      </c>
      <c r="G4327" s="2004">
        <f>IF('4M'!W29="","##BLANK",'4M'!W29)</f>
        <v>0</v>
      </c>
    </row>
    <row r="4328" spans="2:7" s="2004" customFormat="1">
      <c r="B4328" s="848" t="str">
        <f>+'4M'!BY30</f>
        <v>S3019SDDCUM</v>
      </c>
      <c r="C4328" s="1322"/>
      <c r="E4328" s="1658" t="s">
        <v>9033</v>
      </c>
      <c r="G4328" s="2004">
        <f>IF('4M'!W30="","##BLANK",'4M'!W30)</f>
        <v>0</v>
      </c>
    </row>
    <row r="4329" spans="2:7" s="2004" customFormat="1">
      <c r="B4329" s="848" t="str">
        <f>+'4M'!BY31</f>
        <v>S3020SDDCUM</v>
      </c>
      <c r="C4329" s="1322"/>
      <c r="E4329" s="1658" t="s">
        <v>9033</v>
      </c>
      <c r="G4329" s="2004">
        <f>IF('4M'!W31="","##BLANK",'4M'!W31)</f>
        <v>0</v>
      </c>
    </row>
    <row r="4330" spans="2:7" s="2004" customFormat="1">
      <c r="B4330" s="848" t="str">
        <f>+'4M'!BY32</f>
        <v>S3021SDDCUM</v>
      </c>
      <c r="C4330" s="1322"/>
      <c r="E4330" s="1658" t="s">
        <v>9033</v>
      </c>
      <c r="G4330" s="2004">
        <f>IF('4M'!W32="","##BLANK",'4M'!W32)</f>
        <v>0</v>
      </c>
    </row>
    <row r="4331" spans="2:7" s="2004" customFormat="1">
      <c r="B4331" s="848" t="str">
        <f>+'4M'!BY33</f>
        <v>S3022SDDCUM</v>
      </c>
      <c r="C4331" s="1322"/>
      <c r="E4331" s="1658" t="s">
        <v>9033</v>
      </c>
      <c r="G4331" s="2004">
        <f>IF('4M'!W33="","##BLANK",'4M'!W33)</f>
        <v>0</v>
      </c>
    </row>
    <row r="4332" spans="2:7" s="2004" customFormat="1">
      <c r="B4332" s="848" t="str">
        <f>+'4M'!BY34</f>
        <v>BC31785SDDCUM</v>
      </c>
      <c r="C4332" s="1322"/>
      <c r="E4332" s="1658" t="s">
        <v>9033</v>
      </c>
      <c r="G4332" s="2004">
        <f>IF('4M'!W34="","##BLANK",'4M'!W34)</f>
        <v>1.4E-2</v>
      </c>
    </row>
    <row r="4333" spans="2:7" s="2004" customFormat="1">
      <c r="B4333" s="848" t="str">
        <f>+'4M'!BY35</f>
        <v>S3023SDDCUM</v>
      </c>
      <c r="C4333" s="1322"/>
      <c r="E4333" s="1658" t="s">
        <v>9033</v>
      </c>
      <c r="G4333" s="2004">
        <f>IF('4M'!W35="","##BLANK",'4M'!W35)</f>
        <v>0</v>
      </c>
    </row>
    <row r="4334" spans="2:7" s="2004" customFormat="1">
      <c r="B4334" s="848" t="str">
        <f>+'4M'!BY36</f>
        <v>S3024SDDCUM</v>
      </c>
      <c r="C4334" s="1322"/>
      <c r="E4334" s="1658" t="s">
        <v>9033</v>
      </c>
      <c r="G4334" s="2004">
        <f>IF('4M'!W36="","##BLANK",'4M'!W36)</f>
        <v>0</v>
      </c>
    </row>
    <row r="4335" spans="2:7" s="2004" customFormat="1">
      <c r="B4335" s="848" t="str">
        <f>+'4M'!BY37</f>
        <v>S3A00001SDDCUM</v>
      </c>
      <c r="C4335" s="1322"/>
      <c r="E4335" s="1658" t="s">
        <v>9033</v>
      </c>
      <c r="F4335" s="2004" t="str">
        <f>+'4M'!C$37</f>
        <v>Bathing water ELoS</v>
      </c>
      <c r="G4335" s="2004">
        <f>IF('4M'!W37="","##BLANK",'4M'!W37)</f>
        <v>0</v>
      </c>
    </row>
    <row r="4336" spans="2:7" s="2004" customFormat="1">
      <c r="B4336" s="848" t="str">
        <f>+'4M'!BY38</f>
        <v>S3A00002SDDCUM</v>
      </c>
      <c r="C4336" s="1322"/>
      <c r="E4336" s="1658" t="s">
        <v>9033</v>
      </c>
      <c r="F4336" s="2004" t="str">
        <f>+'4M'!C$38</f>
        <v>Pollution ELoS</v>
      </c>
      <c r="G4336" s="2004">
        <f>IF('4M'!W38="","##BLANK",'4M'!W38)</f>
        <v>0</v>
      </c>
    </row>
    <row r="4337" spans="2:7" s="2004" customFormat="1">
      <c r="B4337" s="848" t="str">
        <f>+'4M'!BY39</f>
        <v>S3A00003SDDCUM</v>
      </c>
      <c r="C4337" s="1322"/>
      <c r="E4337" s="1658" t="s">
        <v>9033</v>
      </c>
      <c r="F4337" s="2004" t="str">
        <f>+'4M'!C$39</f>
        <v>Connections (if applicable)</v>
      </c>
      <c r="G4337" s="2004">
        <f>IF('4M'!W39="","##BLANK",'4M'!W39)</f>
        <v>0</v>
      </c>
    </row>
    <row r="4338" spans="2:7" s="2004" customFormat="1">
      <c r="B4338" s="848" t="str">
        <f>+'4M'!BY40</f>
        <v>S3A00004SDDCUM</v>
      </c>
      <c r="C4338" s="1322"/>
      <c r="E4338" s="1658" t="s">
        <v>9033</v>
      </c>
      <c r="F4338" s="2004" t="str">
        <f>+'4M'!C$40</f>
        <v>Emergency Overflow Appeals</v>
      </c>
      <c r="G4338" s="2004">
        <f>IF('4M'!W40="","##BLANK",'4M'!W40)</f>
        <v>0</v>
      </c>
    </row>
    <row r="4339" spans="2:7" s="2004" customFormat="1">
      <c r="B4339" s="848" t="str">
        <f>+'4M'!BY41</f>
        <v>S3A00005SDDCUM</v>
      </c>
      <c r="C4339" s="1322"/>
      <c r="E4339" s="1658" t="s">
        <v>9033</v>
      </c>
      <c r="F4339" s="2004" t="str">
        <f>+'4M'!C$41</f>
        <v>Exclusions</v>
      </c>
      <c r="G4339" s="2004">
        <f>IF('4M'!W41="","##BLANK",'4M'!W41)</f>
        <v>0</v>
      </c>
    </row>
    <row r="4340" spans="2:7" s="2004" customFormat="1">
      <c r="B4340" s="848" t="str">
        <f>+'4M'!BY42</f>
        <v>S3A00006SDDCUM</v>
      </c>
      <c r="C4340" s="1322"/>
      <c r="E4340" s="1658" t="s">
        <v>9033</v>
      </c>
      <c r="F4340" s="2004" t="str">
        <f>+'4M'!C$42</f>
        <v>Pollution - UQ</v>
      </c>
      <c r="G4340" s="2004">
        <f>IF('4M'!W42="","##BLANK",'4M'!W42)</f>
        <v>0</v>
      </c>
    </row>
    <row r="4341" spans="2:7" s="2004" customFormat="1">
      <c r="B4341" s="848" t="str">
        <f>+'4M'!BY43</f>
        <v>S3A00007SDDCUM</v>
      </c>
      <c r="C4341" s="1322"/>
      <c r="E4341" s="1658" t="s">
        <v>9033</v>
      </c>
      <c r="F4341" s="2004" t="str">
        <f>+'4M'!C$43</f>
        <v>Internal Flooding - UQ</v>
      </c>
      <c r="G4341" s="2004">
        <f>IF('4M'!W43="","##BLANK",'4M'!W43)</f>
        <v>0</v>
      </c>
    </row>
    <row r="4342" spans="2:7" s="2004" customFormat="1">
      <c r="B4342" s="848" t="str">
        <f>+'4M'!BY44</f>
        <v>S3A00008SDDCUM</v>
      </c>
      <c r="C4342" s="1322"/>
      <c r="E4342" s="1658" t="s">
        <v>9033</v>
      </c>
      <c r="F4342" s="2004" t="str">
        <f>+'4M'!C$44</f>
        <v>Infrastructure network reinforcement</v>
      </c>
      <c r="G4342" s="2004">
        <f>IF('4M'!W44="","##BLANK",'4M'!W44)</f>
        <v>0</v>
      </c>
    </row>
    <row r="4343" spans="2:7" s="2004" customFormat="1">
      <c r="B4343" s="848" t="str">
        <f>+'4M'!BY45</f>
        <v>S3A00009SDDCUM</v>
      </c>
      <c r="C4343" s="1322"/>
      <c r="E4343" s="1658" t="s">
        <v>9033</v>
      </c>
      <c r="F4343" s="2004" t="str">
        <f>+'4M'!C$45</f>
        <v>2020-25 Transition Expenditure - Capex</v>
      </c>
      <c r="G4343" s="2004">
        <f>IF('4M'!W45="","##BLANK",'4M'!W45)</f>
        <v>0</v>
      </c>
    </row>
    <row r="4344" spans="2:7" s="2004" customFormat="1">
      <c r="B4344" s="848" t="str">
        <f>+'4M'!BY46</f>
        <v>S3A00010SDDCUM</v>
      </c>
      <c r="C4344" s="1322"/>
      <c r="E4344" s="1658" t="s">
        <v>9033</v>
      </c>
      <c r="F4344" s="2004" t="str">
        <f>+'4M'!C$46</f>
        <v>Capital expenditure purpose - WASTEWATER additional line 10 [Other categories]</v>
      </c>
      <c r="G4344" s="2004">
        <f>IF('4M'!W46="","##BLANK",'4M'!W46)</f>
        <v>0</v>
      </c>
    </row>
    <row r="4345" spans="2:7" s="2004" customFormat="1">
      <c r="B4345" s="848" t="str">
        <f>+'4M'!BY47</f>
        <v>S3A00011SDDCUM</v>
      </c>
      <c r="C4345" s="1322"/>
      <c r="E4345" s="1658" t="s">
        <v>9033</v>
      </c>
      <c r="F4345" s="2004" t="str">
        <f>+'4M'!C$47</f>
        <v>Capital expenditure purpose - WASTEWATER additional line 11 [Other categories]</v>
      </c>
      <c r="G4345" s="2004" t="str">
        <f>IF('4M'!W47="","##BLANK",'4M'!W47)</f>
        <v>##BLANK</v>
      </c>
    </row>
    <row r="4346" spans="2:7" s="2004" customFormat="1">
      <c r="B4346" s="848" t="str">
        <f>+'4M'!BY48</f>
        <v>S3A00012SDDCUM</v>
      </c>
      <c r="C4346" s="1322"/>
      <c r="E4346" s="1658" t="s">
        <v>9033</v>
      </c>
      <c r="F4346" s="2004" t="str">
        <f>+'4M'!C$48</f>
        <v>Capital expenditure purpose - WASTEWATER additional line 12 [Other categories]</v>
      </c>
      <c r="G4346" s="2004" t="str">
        <f>IF('4M'!W48="","##BLANK",'4M'!W48)</f>
        <v>##BLANK</v>
      </c>
    </row>
    <row r="4347" spans="2:7" s="2004" customFormat="1">
      <c r="B4347" s="848" t="str">
        <f>+'4M'!BY49</f>
        <v>S3A00013SDDCUM</v>
      </c>
      <c r="C4347" s="1322"/>
      <c r="E4347" s="1658" t="s">
        <v>9033</v>
      </c>
      <c r="F4347" s="2004" t="str">
        <f>+'4M'!C$49</f>
        <v>Capital expenditure purpose - WASTEWATER additional line 13 [Other categories]</v>
      </c>
      <c r="G4347" s="2004" t="str">
        <f>IF('4M'!W49="","##BLANK",'4M'!W49)</f>
        <v>##BLANK</v>
      </c>
    </row>
    <row r="4348" spans="2:7" s="2004" customFormat="1">
      <c r="B4348" s="848" t="str">
        <f>+'4M'!BY50</f>
        <v>S3A00014SDDCUM</v>
      </c>
      <c r="C4348" s="1322"/>
      <c r="E4348" s="1658" t="s">
        <v>9033</v>
      </c>
      <c r="F4348" s="2004" t="str">
        <f>+'4M'!C$50</f>
        <v>Capital expenditure purpose - WASTEWATER additional line 14 [Other categories]</v>
      </c>
      <c r="G4348" s="2004" t="str">
        <f>IF('4M'!W50="","##BLANK",'4M'!W50)</f>
        <v>##BLANK</v>
      </c>
    </row>
    <row r="4349" spans="2:7" s="2004" customFormat="1">
      <c r="B4349" s="848" t="str">
        <f>+'4M'!BY51</f>
        <v>S3A00015SDDCUM</v>
      </c>
      <c r="C4349" s="1322"/>
      <c r="E4349" s="1658" t="s">
        <v>9033</v>
      </c>
      <c r="F4349" s="2004" t="str">
        <f>+'4M'!C$51</f>
        <v>Capital expenditure purpose - WASTEWATER additional line 15 [Other categories]</v>
      </c>
      <c r="G4349" s="2004" t="str">
        <f>IF('4M'!W51="","##BLANK",'4M'!W51)</f>
        <v>##BLANK</v>
      </c>
    </row>
    <row r="4350" spans="2:7" s="2004" customFormat="1">
      <c r="B4350" s="848" t="str">
        <f>+'4M'!BY52</f>
        <v>S3025ENHSDDCUM</v>
      </c>
      <c r="C4350" s="1322"/>
      <c r="E4350" s="1658" t="s">
        <v>9033</v>
      </c>
      <c r="G4350" s="2004">
        <f>IF('4M'!W52="","##BLANK",'4M'!W52)</f>
        <v>1.4E-2</v>
      </c>
    </row>
    <row r="4351" spans="2:7">
      <c r="B4351" s="848" t="str">
        <f>+'4M'!BZ8</f>
        <v>BC31379CASCUM</v>
      </c>
      <c r="D4351" s="2004"/>
      <c r="E4351" s="1658" t="s">
        <v>9033</v>
      </c>
      <c r="F4351" s="2004"/>
      <c r="G4351" s="2004">
        <f>IF('4M'!X8="","##BLANK",'4M'!X8)</f>
        <v>0</v>
      </c>
    </row>
    <row r="4352" spans="2:7">
      <c r="B4352" s="848" t="str">
        <f>+'4M'!BZ9</f>
        <v>S3035QCASCUM</v>
      </c>
      <c r="D4352" s="2004"/>
      <c r="E4352" s="1658" t="s">
        <v>9033</v>
      </c>
      <c r="F4352" s="2004"/>
      <c r="G4352" s="2004">
        <f>IF('4M'!X9="","##BLANK",'4M'!X9)</f>
        <v>0</v>
      </c>
    </row>
    <row r="4353" spans="2:7">
      <c r="B4353" s="848" t="str">
        <f>+'4M'!BZ10</f>
        <v>S3036GCASCUM</v>
      </c>
      <c r="D4353" s="2004"/>
      <c r="E4353" s="1658" t="s">
        <v>9033</v>
      </c>
      <c r="F4353" s="2004"/>
      <c r="G4353" s="2004">
        <f>IF('4M'!X10="","##BLANK",'4M'!X10)</f>
        <v>0</v>
      </c>
    </row>
    <row r="4354" spans="2:7">
      <c r="B4354" s="848" t="str">
        <f>+'4M'!BZ11</f>
        <v>S3004CASCUM</v>
      </c>
      <c r="D4354" s="2004"/>
      <c r="E4354" s="1658" t="s">
        <v>9033</v>
      </c>
      <c r="F4354" s="2004"/>
      <c r="G4354" s="2004">
        <f>IF('4M'!X11="","##BLANK",'4M'!X11)</f>
        <v>0</v>
      </c>
    </row>
    <row r="4355" spans="2:7">
      <c r="B4355" s="848" t="str">
        <f>+'4M'!BZ12</f>
        <v>WWS2001CASCUM</v>
      </c>
      <c r="D4355" s="2004"/>
      <c r="E4355" s="1658" t="s">
        <v>9033</v>
      </c>
      <c r="F4355" s="2004"/>
      <c r="G4355" s="2004">
        <f>IF('4M'!X12="","##BLANK",'4M'!X12)</f>
        <v>0</v>
      </c>
    </row>
    <row r="4356" spans="2:7">
      <c r="B4356" s="848" t="str">
        <f>+'4M'!BZ13</f>
        <v>S3005CASCUM</v>
      </c>
      <c r="D4356" s="2004"/>
      <c r="E4356" s="1658" t="s">
        <v>9033</v>
      </c>
      <c r="F4356" s="2004"/>
      <c r="G4356" s="2004">
        <f>IF('4M'!X13="","##BLANK",'4M'!X13)</f>
        <v>1.821</v>
      </c>
    </row>
    <row r="4357" spans="2:7">
      <c r="B4357" s="848" t="str">
        <f>+'4M'!BZ14</f>
        <v>S3006CASCUM</v>
      </c>
      <c r="D4357" s="2004"/>
      <c r="E4357" s="1658" t="s">
        <v>9033</v>
      </c>
      <c r="F4357" s="2004"/>
      <c r="G4357" s="2004">
        <f>IF('4M'!X14="","##BLANK",'4M'!X14)</f>
        <v>0</v>
      </c>
    </row>
    <row r="4358" spans="2:7">
      <c r="B4358" s="848" t="str">
        <f>+'4M'!BZ15</f>
        <v>S3007CASCUM</v>
      </c>
      <c r="D4358" s="2004"/>
      <c r="E4358" s="1658" t="s">
        <v>9033</v>
      </c>
      <c r="F4358" s="2004"/>
      <c r="G4358" s="2004">
        <f>IF('4M'!X15="","##BLANK",'4M'!X15)</f>
        <v>0</v>
      </c>
    </row>
    <row r="4359" spans="2:7">
      <c r="B4359" s="848" t="str">
        <f>+'4M'!BZ16</f>
        <v>WWS2002CASCUM</v>
      </c>
      <c r="D4359" s="2004"/>
      <c r="E4359" s="1658" t="s">
        <v>9033</v>
      </c>
      <c r="F4359" s="2004"/>
      <c r="G4359" s="2004">
        <f>IF('4M'!X16="","##BLANK",'4M'!X16)</f>
        <v>0</v>
      </c>
    </row>
    <row r="4360" spans="2:7">
      <c r="B4360" s="848" t="str">
        <f>+'4M'!BZ17</f>
        <v>WWS2003CASCUM</v>
      </c>
      <c r="D4360" s="2004"/>
      <c r="E4360" s="1658" t="s">
        <v>9033</v>
      </c>
      <c r="F4360" s="2004"/>
      <c r="G4360" s="2004">
        <f>IF('4M'!X17="","##BLANK",'4M'!X17)</f>
        <v>0</v>
      </c>
    </row>
    <row r="4361" spans="2:7">
      <c r="B4361" s="848" t="str">
        <f>+'4M'!BZ18</f>
        <v>S3008CASCUM</v>
      </c>
      <c r="D4361" s="2004"/>
      <c r="E4361" s="1658" t="s">
        <v>9033</v>
      </c>
      <c r="F4361" s="2004"/>
      <c r="G4361" s="2004">
        <f>IF('4M'!X18="","##BLANK",'4M'!X18)</f>
        <v>4.117</v>
      </c>
    </row>
    <row r="4362" spans="2:7">
      <c r="B4362" s="848" t="str">
        <f>+'4M'!BZ19</f>
        <v>S3009CASCUM</v>
      </c>
      <c r="D4362" s="2004"/>
      <c r="E4362" s="1658" t="s">
        <v>9033</v>
      </c>
      <c r="F4362" s="2004"/>
      <c r="G4362" s="2004">
        <f>IF('4M'!X19="","##BLANK",'4M'!X19)</f>
        <v>0.90100000000000002</v>
      </c>
    </row>
    <row r="4363" spans="2:7">
      <c r="B4363" s="848" t="str">
        <f>+'4M'!BZ20</f>
        <v>WWS2007CASCUM</v>
      </c>
      <c r="D4363" s="2004"/>
      <c r="E4363" s="1658" t="s">
        <v>9033</v>
      </c>
      <c r="F4363" s="2004"/>
      <c r="G4363" s="2004">
        <f>IF('4M'!X20="","##BLANK",'4M'!X20)</f>
        <v>0</v>
      </c>
    </row>
    <row r="4364" spans="2:7">
      <c r="B4364" s="848" t="str">
        <f>+'4M'!BZ21</f>
        <v>S3010CASCUM</v>
      </c>
      <c r="D4364" s="2004"/>
      <c r="E4364" s="1658" t="s">
        <v>9033</v>
      </c>
      <c r="F4364" s="2004"/>
      <c r="G4364" s="2004">
        <f>IF('4M'!X21="","##BLANK",'4M'!X21)</f>
        <v>0</v>
      </c>
    </row>
    <row r="4365" spans="2:7">
      <c r="B4365" s="848" t="str">
        <f>+'4M'!BZ22</f>
        <v>S3011CASCUM</v>
      </c>
      <c r="D4365" s="2004"/>
      <c r="E4365" s="1658" t="s">
        <v>9033</v>
      </c>
      <c r="F4365" s="2004"/>
      <c r="G4365" s="2004">
        <f>IF('4M'!X22="","##BLANK",'4M'!X22)</f>
        <v>0</v>
      </c>
    </row>
    <row r="4366" spans="2:7">
      <c r="B4366" s="848" t="str">
        <f>+'4M'!BZ23</f>
        <v>S3012CASCUM</v>
      </c>
      <c r="D4366" s="2004"/>
      <c r="E4366" s="1658" t="s">
        <v>9033</v>
      </c>
      <c r="F4366" s="2004"/>
      <c r="G4366" s="2004">
        <f>IF('4M'!X23="","##BLANK",'4M'!X23)</f>
        <v>0</v>
      </c>
    </row>
    <row r="4367" spans="2:7">
      <c r="B4367" s="848" t="str">
        <f>+'4M'!BZ24</f>
        <v>S3013CASCUM</v>
      </c>
      <c r="D4367" s="2004"/>
      <c r="E4367" s="1658" t="s">
        <v>9033</v>
      </c>
      <c r="F4367" s="2004"/>
      <c r="G4367" s="2004">
        <f>IF('4M'!X24="","##BLANK",'4M'!X24)</f>
        <v>12.863</v>
      </c>
    </row>
    <row r="4368" spans="2:7">
      <c r="B4368" s="848" t="str">
        <f>+'4M'!BZ25</f>
        <v>S3014CASCUM</v>
      </c>
      <c r="D4368" s="2004"/>
      <c r="E4368" s="1658" t="s">
        <v>9033</v>
      </c>
      <c r="F4368" s="2004"/>
      <c r="G4368" s="2004">
        <f>IF('4M'!X25="","##BLANK",'4M'!X25)</f>
        <v>40.872999999999998</v>
      </c>
    </row>
    <row r="4369" spans="2:7">
      <c r="B4369" s="848" t="str">
        <f>+'4M'!BZ26</f>
        <v>S3015CASCUM</v>
      </c>
      <c r="D4369" s="2004"/>
      <c r="E4369" s="1658" t="s">
        <v>9033</v>
      </c>
      <c r="F4369" s="2004"/>
      <c r="G4369" s="2004">
        <f>IF('4M'!X26="","##BLANK",'4M'!X26)</f>
        <v>73.01700000000001</v>
      </c>
    </row>
    <row r="4370" spans="2:7">
      <c r="B4370" s="848" t="str">
        <f>+'4M'!BZ27</f>
        <v>S3016CASCUM</v>
      </c>
      <c r="D4370" s="2004"/>
      <c r="E4370" s="1658" t="s">
        <v>9033</v>
      </c>
      <c r="F4370" s="2004"/>
      <c r="G4370" s="2004">
        <f>IF('4M'!X27="","##BLANK",'4M'!X27)</f>
        <v>0</v>
      </c>
    </row>
    <row r="4371" spans="2:7">
      <c r="B4371" s="848" t="str">
        <f>+'4M'!BZ28</f>
        <v>S3017CASCUM</v>
      </c>
      <c r="D4371" s="2004"/>
      <c r="E4371" s="1658" t="s">
        <v>9033</v>
      </c>
      <c r="F4371" s="2004"/>
      <c r="G4371" s="2004">
        <f>IF('4M'!X28="","##BLANK",'4M'!X28)</f>
        <v>0</v>
      </c>
    </row>
    <row r="4372" spans="2:7">
      <c r="B4372" s="848" t="str">
        <f>+'4M'!BZ29</f>
        <v>S3018CASCUM</v>
      </c>
      <c r="D4372" s="2004"/>
      <c r="E4372" s="1658" t="s">
        <v>9033</v>
      </c>
      <c r="F4372" s="2004"/>
      <c r="G4372" s="2004">
        <f>IF('4M'!X29="","##BLANK",'4M'!X29)</f>
        <v>0</v>
      </c>
    </row>
    <row r="4373" spans="2:7">
      <c r="B4373" s="848" t="str">
        <f>+'4M'!BZ30</f>
        <v>S3019CASCUM</v>
      </c>
      <c r="D4373" s="2004"/>
      <c r="E4373" s="1658" t="s">
        <v>9033</v>
      </c>
      <c r="F4373" s="2004"/>
      <c r="G4373" s="2004">
        <f>IF('4M'!X30="","##BLANK",'4M'!X30)</f>
        <v>0</v>
      </c>
    </row>
    <row r="4374" spans="2:7">
      <c r="B4374" s="848" t="str">
        <f>+'4M'!BZ31</f>
        <v>S3020CASCUM</v>
      </c>
      <c r="D4374" s="2004"/>
      <c r="E4374" s="1658" t="s">
        <v>9033</v>
      </c>
      <c r="F4374" s="2004"/>
      <c r="G4374" s="2004">
        <f>IF('4M'!X31="","##BLANK",'4M'!X31)</f>
        <v>1.2390000000000001</v>
      </c>
    </row>
    <row r="4375" spans="2:7">
      <c r="B4375" s="848" t="str">
        <f>+'4M'!BZ32</f>
        <v>S3021CASCUM</v>
      </c>
      <c r="D4375" s="2004"/>
      <c r="E4375" s="1658" t="s">
        <v>9033</v>
      </c>
      <c r="F4375" s="2004"/>
      <c r="G4375" s="2004">
        <f>IF('4M'!X32="","##BLANK",'4M'!X32)</f>
        <v>0.57899999999999996</v>
      </c>
    </row>
    <row r="4376" spans="2:7">
      <c r="B4376" s="848" t="str">
        <f>+'4M'!BZ33</f>
        <v>S3022CASCUM</v>
      </c>
      <c r="D4376" s="2004"/>
      <c r="E4376" s="1658" t="s">
        <v>9033</v>
      </c>
      <c r="F4376" s="2004"/>
      <c r="G4376" s="2004">
        <f>IF('4M'!X33="","##BLANK",'4M'!X33)</f>
        <v>0</v>
      </c>
    </row>
    <row r="4377" spans="2:7">
      <c r="B4377" s="848" t="str">
        <f>+'4M'!BZ34</f>
        <v>BC31785CASCUM</v>
      </c>
      <c r="D4377" s="2004"/>
      <c r="E4377" s="1658" t="s">
        <v>9033</v>
      </c>
      <c r="F4377" s="2004"/>
      <c r="G4377" s="2004">
        <f>IF('4M'!X34="","##BLANK",'4M'!X34)</f>
        <v>4.9490000000000007</v>
      </c>
    </row>
    <row r="4378" spans="2:7">
      <c r="B4378" s="848" t="str">
        <f>+'4M'!BZ35</f>
        <v>S3023CASCUM</v>
      </c>
      <c r="D4378" s="2004"/>
      <c r="E4378" s="1658" t="s">
        <v>9033</v>
      </c>
      <c r="F4378" s="2004"/>
      <c r="G4378" s="2004">
        <f>IF('4M'!X35="","##BLANK",'4M'!X35)</f>
        <v>7.2560000000000002</v>
      </c>
    </row>
    <row r="4379" spans="2:7">
      <c r="B4379" s="848" t="str">
        <f>+'4M'!BZ36</f>
        <v>S3024CASCUM</v>
      </c>
      <c r="D4379" s="2004"/>
      <c r="E4379" s="1658" t="s">
        <v>9033</v>
      </c>
      <c r="F4379" s="2004"/>
      <c r="G4379" s="2004">
        <f>IF('4M'!X36="","##BLANK",'4M'!X36)</f>
        <v>14.44</v>
      </c>
    </row>
    <row r="4380" spans="2:7">
      <c r="B4380" s="848" t="str">
        <f>+'4M'!BZ37</f>
        <v>S3A00001CASCUM</v>
      </c>
      <c r="D4380" s="2004"/>
      <c r="E4380" s="1658" t="s">
        <v>9033</v>
      </c>
      <c r="F4380" s="2004" t="str">
        <f>+'4M'!C$37</f>
        <v>Bathing water ELoS</v>
      </c>
      <c r="G4380" s="2004">
        <f>IF('4M'!X37="","##BLANK",'4M'!X37)</f>
        <v>0</v>
      </c>
    </row>
    <row r="4381" spans="2:7">
      <c r="B4381" s="848" t="str">
        <f>+'4M'!BZ38</f>
        <v>S3A00002CASCUM</v>
      </c>
      <c r="D4381" s="2004"/>
      <c r="E4381" s="1658" t="s">
        <v>9033</v>
      </c>
      <c r="F4381" s="2004" t="str">
        <f>+'4M'!C$38</f>
        <v>Pollution ELoS</v>
      </c>
      <c r="G4381" s="2004">
        <f>IF('4M'!X38="","##BLANK",'4M'!X38)</f>
        <v>0</v>
      </c>
    </row>
    <row r="4382" spans="2:7">
      <c r="B4382" s="848" t="str">
        <f>+'4M'!BZ39</f>
        <v>S3A00003CASCUM</v>
      </c>
      <c r="D4382" s="2004"/>
      <c r="E4382" s="1658" t="s">
        <v>9033</v>
      </c>
      <c r="F4382" s="2004" t="str">
        <f>+'4M'!C$39</f>
        <v>Connections (if applicable)</v>
      </c>
      <c r="G4382" s="2004">
        <f>IF('4M'!X39="","##BLANK",'4M'!X39)</f>
        <v>0</v>
      </c>
    </row>
    <row r="4383" spans="2:7">
      <c r="B4383" s="848" t="str">
        <f>+'4M'!BZ40</f>
        <v>S3A00004CASCUM</v>
      </c>
      <c r="D4383" s="2004"/>
      <c r="E4383" s="1658" t="s">
        <v>9033</v>
      </c>
      <c r="F4383" s="2004" t="str">
        <f>+'4M'!C$40</f>
        <v>Emergency Overflow Appeals</v>
      </c>
      <c r="G4383" s="2004">
        <f>IF('4M'!X40="","##BLANK",'4M'!X40)</f>
        <v>0</v>
      </c>
    </row>
    <row r="4384" spans="2:7">
      <c r="B4384" s="848" t="str">
        <f>+'4M'!BZ41</f>
        <v>S3A00005CASCUM</v>
      </c>
      <c r="D4384" s="2004"/>
      <c r="E4384" s="1658" t="s">
        <v>9033</v>
      </c>
      <c r="F4384" s="2004" t="str">
        <f>+'4M'!C$41</f>
        <v>Exclusions</v>
      </c>
      <c r="G4384" s="2004">
        <f>IF('4M'!X41="","##BLANK",'4M'!X41)</f>
        <v>0</v>
      </c>
    </row>
    <row r="4385" spans="2:7">
      <c r="B4385" s="848" t="str">
        <f>+'4M'!BZ42</f>
        <v>S3A00006CASCUM</v>
      </c>
      <c r="D4385" s="2004"/>
      <c r="E4385" s="1658" t="s">
        <v>9033</v>
      </c>
      <c r="F4385" s="2004" t="str">
        <f>+'4M'!C$42</f>
        <v>Pollution - UQ</v>
      </c>
      <c r="G4385" s="2004">
        <f>IF('4M'!X42="","##BLANK",'4M'!X42)</f>
        <v>30.082000000000001</v>
      </c>
    </row>
    <row r="4386" spans="2:7">
      <c r="B4386" s="848" t="str">
        <f>+'4M'!BZ43</f>
        <v>S3A00007CASCUM</v>
      </c>
      <c r="D4386" s="2004"/>
      <c r="E4386" s="1658" t="s">
        <v>9033</v>
      </c>
      <c r="F4386" s="2004" t="str">
        <f>+'4M'!C$43</f>
        <v>Internal Flooding - UQ</v>
      </c>
      <c r="G4386" s="2004">
        <f>IF('4M'!X43="","##BLANK",'4M'!X43)</f>
        <v>41.734999999999999</v>
      </c>
    </row>
    <row r="4387" spans="2:7">
      <c r="B4387" s="848" t="str">
        <f>+'4M'!BZ44</f>
        <v>S3A00008CASCUM</v>
      </c>
      <c r="D4387" s="2004"/>
      <c r="E4387" s="1658" t="s">
        <v>9033</v>
      </c>
      <c r="F4387" s="2004" t="str">
        <f>+'4M'!C$44</f>
        <v>Infrastructure network reinforcement</v>
      </c>
      <c r="G4387" s="2004">
        <f>IF('4M'!X44="","##BLANK",'4M'!X44)</f>
        <v>0</v>
      </c>
    </row>
    <row r="4388" spans="2:7">
      <c r="B4388" s="848" t="str">
        <f>+'4M'!BZ45</f>
        <v>S3A00009CASCUM</v>
      </c>
      <c r="D4388" s="2004"/>
      <c r="E4388" s="1658" t="s">
        <v>9033</v>
      </c>
      <c r="F4388" s="2004" t="str">
        <f>+'4M'!C$45</f>
        <v>2020-25 Transition Expenditure - Capex</v>
      </c>
      <c r="G4388" s="2004">
        <f>IF('4M'!X45="","##BLANK",'4M'!X45)</f>
        <v>0</v>
      </c>
    </row>
    <row r="4389" spans="2:7">
      <c r="B4389" s="848" t="str">
        <f>+'4M'!BZ46</f>
        <v>S3A00010CASCUM</v>
      </c>
      <c r="D4389" s="2004"/>
      <c r="E4389" s="1658" t="s">
        <v>9033</v>
      </c>
      <c r="F4389" s="2004" t="str">
        <f>+'4M'!C$46</f>
        <v>Capital expenditure purpose - WASTEWATER additional line 10 [Other categories]</v>
      </c>
      <c r="G4389" s="2004">
        <f>IF('4M'!X46="","##BLANK",'4M'!X46)</f>
        <v>0</v>
      </c>
    </row>
    <row r="4390" spans="2:7">
      <c r="B4390" s="848" t="str">
        <f>+'4M'!BZ47</f>
        <v>S3A00011CASCUM</v>
      </c>
      <c r="D4390" s="2004"/>
      <c r="E4390" s="1658" t="s">
        <v>9033</v>
      </c>
      <c r="F4390" s="2004" t="str">
        <f>+'4M'!C$47</f>
        <v>Capital expenditure purpose - WASTEWATER additional line 11 [Other categories]</v>
      </c>
      <c r="G4390" s="2004">
        <f>IF('4M'!X47="","##BLANK",'4M'!X47)</f>
        <v>0</v>
      </c>
    </row>
    <row r="4391" spans="2:7">
      <c r="B4391" s="848" t="str">
        <f>+'4M'!BZ48</f>
        <v>S3A00012CASCUM</v>
      </c>
      <c r="D4391" s="2004"/>
      <c r="E4391" s="1658" t="s">
        <v>9033</v>
      </c>
      <c r="F4391" s="2004" t="str">
        <f>+'4M'!C$48</f>
        <v>Capital expenditure purpose - WASTEWATER additional line 12 [Other categories]</v>
      </c>
      <c r="G4391" s="2004">
        <f>IF('4M'!X48="","##BLANK",'4M'!X48)</f>
        <v>0</v>
      </c>
    </row>
    <row r="4392" spans="2:7">
      <c r="B4392" s="848" t="str">
        <f>+'4M'!BZ49</f>
        <v>S3A00013CASCUM</v>
      </c>
      <c r="D4392" s="2004"/>
      <c r="E4392" s="1658" t="s">
        <v>9033</v>
      </c>
      <c r="F4392" s="2004" t="str">
        <f>+'4M'!C$49</f>
        <v>Capital expenditure purpose - WASTEWATER additional line 13 [Other categories]</v>
      </c>
      <c r="G4392" s="2004">
        <f>IF('4M'!X49="","##BLANK",'4M'!X49)</f>
        <v>0</v>
      </c>
    </row>
    <row r="4393" spans="2:7">
      <c r="B4393" s="848" t="str">
        <f>+'4M'!BZ50</f>
        <v>S3A00014CASCUM</v>
      </c>
      <c r="D4393" s="2004"/>
      <c r="E4393" s="1658" t="s">
        <v>9033</v>
      </c>
      <c r="F4393" s="2004" t="str">
        <f>+'4M'!C$50</f>
        <v>Capital expenditure purpose - WASTEWATER additional line 14 [Other categories]</v>
      </c>
      <c r="G4393" s="2004">
        <f>IF('4M'!X50="","##BLANK",'4M'!X50)</f>
        <v>0</v>
      </c>
    </row>
    <row r="4394" spans="2:7">
      <c r="B4394" s="848" t="str">
        <f>+'4M'!BZ51</f>
        <v>S3A00015CASCUM</v>
      </c>
      <c r="D4394" s="2004"/>
      <c r="E4394" s="1658" t="s">
        <v>9033</v>
      </c>
      <c r="F4394" s="2004" t="str">
        <f>+'4M'!C$51</f>
        <v>Capital expenditure purpose - WASTEWATER additional line 15 [Other categories]</v>
      </c>
      <c r="G4394" s="2004">
        <f>IF('4M'!X51="","##BLANK",'4M'!X51)</f>
        <v>0</v>
      </c>
    </row>
    <row r="4395" spans="2:7">
      <c r="B4395" s="848" t="str">
        <f>+'4M'!BZ52</f>
        <v>S3025ENHCASCUM</v>
      </c>
      <c r="D4395" s="2004"/>
      <c r="E4395" s="1658" t="s">
        <v>9033</v>
      </c>
      <c r="F4395" s="2004"/>
      <c r="G4395" s="2004">
        <f>IF('4M'!X52="","##BLANK",'4M'!X52)</f>
        <v>233.87200000000001</v>
      </c>
    </row>
    <row r="4396" spans="2:7">
      <c r="B4396" s="848" t="str">
        <f>+'4N'!U6</f>
        <v>STWF011</v>
      </c>
      <c r="D4396" s="2004"/>
      <c r="E4396" s="1658" t="s">
        <v>9033</v>
      </c>
      <c r="F4396" s="2004"/>
      <c r="G4396" s="2004">
        <f>IF('4N'!G6="","##BLANK",'4N'!G6)</f>
        <v>3211.3820000000001</v>
      </c>
    </row>
    <row r="4397" spans="2:7">
      <c r="B4397" s="848" t="str">
        <f>+'4N'!U7</f>
        <v>STWF025</v>
      </c>
      <c r="D4397" s="2004"/>
      <c r="E4397" s="1658" t="s">
        <v>9033</v>
      </c>
      <c r="F4397" s="2004"/>
      <c r="G4397" s="2004">
        <f>IF('4N'!G7="","##BLANK",'4N'!G7)</f>
        <v>1324.287</v>
      </c>
    </row>
    <row r="4398" spans="2:7">
      <c r="B4398" s="848" t="str">
        <f>+'4N'!U8</f>
        <v>STWF039</v>
      </c>
      <c r="D4398" s="2004"/>
      <c r="E4398" s="1658" t="s">
        <v>9033</v>
      </c>
      <c r="F4398" s="2004"/>
      <c r="G4398" s="2004">
        <f>IF('4N'!G8="","##BLANK",'4N'!G8)</f>
        <v>3293.489</v>
      </c>
    </row>
    <row r="4399" spans="2:7">
      <c r="B4399" s="848" t="str">
        <f>+'4N'!U9</f>
        <v>STWF053</v>
      </c>
      <c r="D4399" s="2004"/>
      <c r="E4399" s="1658" t="s">
        <v>9033</v>
      </c>
      <c r="F4399" s="2004"/>
      <c r="G4399" s="2004">
        <f>IF('4N'!G9="","##BLANK",'4N'!G9)</f>
        <v>5279.88</v>
      </c>
    </row>
    <row r="4400" spans="2:7">
      <c r="B4400" s="848" t="str">
        <f>+'4N'!U10</f>
        <v>STWF067</v>
      </c>
      <c r="D4400" s="2004"/>
      <c r="E4400" s="1658" t="s">
        <v>9033</v>
      </c>
      <c r="F4400" s="2004"/>
      <c r="G4400" s="2004">
        <f>IF('4N'!G10="","##BLANK",'4N'!G10)</f>
        <v>8746.4169999999995</v>
      </c>
    </row>
    <row r="4401" spans="2:7">
      <c r="B4401" s="848" t="str">
        <f>+'4N'!U11</f>
        <v>S3026</v>
      </c>
      <c r="D4401" s="2004"/>
      <c r="E4401" s="1658" t="s">
        <v>9033</v>
      </c>
      <c r="F4401" s="2004"/>
      <c r="G4401" s="2004">
        <f>IF('4N'!G11="","##BLANK",'4N'!G11)</f>
        <v>2790.7179999999998</v>
      </c>
    </row>
    <row r="4402" spans="2:7">
      <c r="B4402" s="848" t="str">
        <f>+'4N'!U12</f>
        <v>STWF012</v>
      </c>
      <c r="D4402" s="2004"/>
      <c r="E4402" s="1658" t="s">
        <v>9033</v>
      </c>
      <c r="F4402" s="2004"/>
      <c r="G4402" s="2004">
        <f>IF('4N'!G12="","##BLANK",'4N'!G12)</f>
        <v>24646.173000000003</v>
      </c>
    </row>
    <row r="4403" spans="2:7">
      <c r="B4403" s="848" t="str">
        <f>+'4N'!U15</f>
        <v>STWB040TOT</v>
      </c>
      <c r="D4403" s="2004"/>
      <c r="E4403" s="1658" t="s">
        <v>9033</v>
      </c>
      <c r="F4403" s="2004"/>
      <c r="G4403" s="2004">
        <f>IF('4N'!G15="","##BLANK",'4N'!G15)</f>
        <v>2979</v>
      </c>
    </row>
    <row r="4404" spans="2:7">
      <c r="B4404" s="848" t="str">
        <f>+'4N'!U16</f>
        <v>STWB038TOT</v>
      </c>
      <c r="D4404" s="2004"/>
      <c r="E4404" s="1658" t="s">
        <v>9033</v>
      </c>
      <c r="F4404" s="2004"/>
      <c r="G4404" s="2004">
        <f>IF('4N'!G16="","##BLANK",'4N'!G16)</f>
        <v>1021</v>
      </c>
    </row>
    <row r="4405" spans="2:7">
      <c r="B4405" s="848" t="str">
        <f>+'4N'!U17</f>
        <v>STWB041TOT</v>
      </c>
      <c r="D4405" s="2004"/>
      <c r="E4405" s="1658" t="s">
        <v>9033</v>
      </c>
      <c r="F4405" s="2004"/>
      <c r="G4405" s="2004">
        <f>IF('4N'!G17="","##BLANK",'4N'!G17)</f>
        <v>46652</v>
      </c>
    </row>
    <row r="4406" spans="2:7">
      <c r="B4406" s="848" t="str">
        <f>+'4N'!U18</f>
        <v>STWB033TOT</v>
      </c>
      <c r="D4406" s="2004"/>
      <c r="E4406" s="1658" t="s">
        <v>9033</v>
      </c>
      <c r="F4406" s="2004"/>
      <c r="G4406" s="2004">
        <f>IF('4N'!G18="","##BLANK",'4N'!G18)</f>
        <v>50652</v>
      </c>
    </row>
    <row r="4407" spans="2:7">
      <c r="B4407" s="848" t="str">
        <f>+'4N'!U19</f>
        <v>STWB036TOT</v>
      </c>
      <c r="D4407" s="2004"/>
      <c r="E4407" s="1658" t="s">
        <v>9033</v>
      </c>
      <c r="F4407" s="2004"/>
      <c r="G4407" s="2004">
        <f>IF('4N'!G19="","##BLANK",'4N'!G19)</f>
        <v>6569</v>
      </c>
    </row>
    <row r="4408" spans="2:7">
      <c r="B4408" s="848" t="str">
        <f>+'4N'!U20</f>
        <v>STWB042TOT</v>
      </c>
      <c r="D4408" s="2004"/>
      <c r="E4408" s="1658" t="s">
        <v>9033</v>
      </c>
      <c r="F4408" s="2004"/>
      <c r="G4408" s="2004">
        <f>IF('4N'!G20="","##BLANK",'4N'!G20)</f>
        <v>57221</v>
      </c>
    </row>
    <row r="4409" spans="2:7">
      <c r="B4409" s="848" t="str">
        <f>+'4N'!U21</f>
        <v>STWB043TOT</v>
      </c>
      <c r="D4409" s="2004"/>
      <c r="E4409" s="1658" t="s">
        <v>9033</v>
      </c>
      <c r="F4409" s="2004"/>
      <c r="G4409" s="2004">
        <f>IF('4N'!G21="","##BLANK",'4N'!G21)</f>
        <v>81867.17300000001</v>
      </c>
    </row>
    <row r="4410" spans="2:7">
      <c r="B4410" s="848" t="str">
        <f>+'4P'!D6</f>
        <v>BN4833</v>
      </c>
      <c r="D4410" s="2004"/>
      <c r="E4410" s="1658" t="s">
        <v>9033</v>
      </c>
      <c r="F4410" s="2004"/>
      <c r="G4410" s="2004">
        <f>IF('4P'!G6="","##BLANK",'4P'!G6)</f>
        <v>0.72899999999999998</v>
      </c>
    </row>
    <row r="4411" spans="2:7">
      <c r="B4411" s="848" t="str">
        <f>+'4P'!D7</f>
        <v>BN4834</v>
      </c>
      <c r="D4411" s="2004"/>
      <c r="E4411" s="1658" t="s">
        <v>9033</v>
      </c>
      <c r="F4411" s="2004"/>
      <c r="G4411" s="2004">
        <f>IF('4P'!G7="","##BLANK",'4P'!G7)</f>
        <v>1.7000000000000001E-2</v>
      </c>
    </row>
    <row r="4412" spans="2:7">
      <c r="B4412" s="848" t="str">
        <f>+'4P'!D8</f>
        <v>BN4838</v>
      </c>
      <c r="D4412" s="2004"/>
      <c r="E4412" s="1658" t="s">
        <v>9033</v>
      </c>
      <c r="F4412" s="2004"/>
      <c r="G4412" s="2004">
        <f>IF('4P'!G8="","##BLANK",'4P'!G8)</f>
        <v>5.8999999999999997E-2</v>
      </c>
    </row>
    <row r="4413" spans="2:7">
      <c r="B4413" s="848" t="str">
        <f>+'4P'!D9</f>
        <v>BN4848</v>
      </c>
      <c r="D4413" s="2004"/>
      <c r="E4413" s="1658" t="s">
        <v>9033</v>
      </c>
      <c r="F4413" s="2004"/>
      <c r="G4413" s="2004">
        <f>IF('4P'!G9="","##BLANK",'4P'!G9)</f>
        <v>0.19500000000000001</v>
      </c>
    </row>
    <row r="4414" spans="2:7">
      <c r="B4414" s="848" t="str">
        <f>+'4P'!D10</f>
        <v>BN4846</v>
      </c>
      <c r="D4414" s="2004"/>
      <c r="E4414" s="1658" t="s">
        <v>9033</v>
      </c>
      <c r="F4414" s="2004"/>
      <c r="G4414" s="2004">
        <f>IF('4P'!G10="","##BLANK",'4P'!G10)</f>
        <v>0</v>
      </c>
    </row>
    <row r="4415" spans="2:7">
      <c r="B4415" s="848" t="str">
        <f>+'4P'!D11</f>
        <v>BN4847</v>
      </c>
      <c r="D4415" s="2004"/>
      <c r="E4415" s="1658" t="s">
        <v>9033</v>
      </c>
      <c r="F4415" s="2004"/>
      <c r="G4415" s="2004">
        <f>IF('4P'!G11="","##BLANK",'4P'!G11)</f>
        <v>0</v>
      </c>
    </row>
    <row r="4416" spans="2:7">
      <c r="B4416" s="848" t="str">
        <f>+'4P'!D12</f>
        <v>BN4854</v>
      </c>
      <c r="D4416" s="2004"/>
      <c r="E4416" s="1658" t="s">
        <v>9033</v>
      </c>
      <c r="F4416" s="2004"/>
      <c r="G4416" s="2004">
        <f>IF('4P'!G12="","##BLANK",'4P'!G12)</f>
        <v>0</v>
      </c>
    </row>
    <row r="4417" spans="2:7">
      <c r="B4417" s="848" t="str">
        <f>+'4P'!D13</f>
        <v>BN4855</v>
      </c>
      <c r="D4417" s="2004"/>
      <c r="E4417" s="1658" t="s">
        <v>9033</v>
      </c>
      <c r="F4417" s="2004"/>
      <c r="G4417" s="2004">
        <f>IF('4P'!G13="","##BLANK",'4P'!G13)</f>
        <v>0</v>
      </c>
    </row>
    <row r="4418" spans="2:7">
      <c r="B4418" s="848" t="str">
        <f>+'4P'!D14</f>
        <v>BN4830</v>
      </c>
      <c r="D4418" s="2004"/>
      <c r="E4418" s="1658" t="s">
        <v>9033</v>
      </c>
      <c r="F4418" s="2004"/>
      <c r="G4418" s="2004">
        <f>IF('4P'!G14="","##BLANK",'4P'!G14)</f>
        <v>40</v>
      </c>
    </row>
    <row r="4419" spans="2:7">
      <c r="B4419" s="848" t="str">
        <f>+'4P'!D15</f>
        <v>BN4849</v>
      </c>
      <c r="D4419" s="2004"/>
      <c r="E4419" s="1658" t="s">
        <v>9033</v>
      </c>
      <c r="F4419" s="2004"/>
      <c r="G4419" s="2004">
        <f>IF('4P'!G15="","##BLANK",'4P'!G15)</f>
        <v>2</v>
      </c>
    </row>
    <row r="4420" spans="2:7">
      <c r="B4420" s="848" t="str">
        <f>+'4P'!D16</f>
        <v>BN4835</v>
      </c>
      <c r="D4420" s="2004"/>
      <c r="E4420" s="1658" t="s">
        <v>9033</v>
      </c>
      <c r="F4420" s="2004"/>
      <c r="G4420" s="2004">
        <f>IF('4P'!G16="","##BLANK",'4P'!G16)</f>
        <v>16</v>
      </c>
    </row>
    <row r="4421" spans="2:7">
      <c r="B4421" s="848" t="str">
        <f>+'4P'!D17</f>
        <v>BN4851</v>
      </c>
      <c r="D4421" s="2004"/>
      <c r="E4421" s="1658" t="s">
        <v>9033</v>
      </c>
      <c r="F4421" s="2004"/>
      <c r="G4421" s="2004">
        <f>IF('4P'!G17="","##BLANK",'4P'!G17)</f>
        <v>40</v>
      </c>
    </row>
    <row r="4422" spans="2:7">
      <c r="B4422" s="848" t="str">
        <f>+'4P'!D18</f>
        <v>BN4852</v>
      </c>
      <c r="D4422" s="2004"/>
      <c r="E4422" s="1658" t="s">
        <v>9033</v>
      </c>
      <c r="F4422" s="2004"/>
      <c r="G4422" s="2004">
        <f>IF('4P'!G18="","##BLANK",'4P'!G18)</f>
        <v>0</v>
      </c>
    </row>
    <row r="4423" spans="2:7">
      <c r="B4423" s="848" t="str">
        <f>+'4P'!D19</f>
        <v>BN4853</v>
      </c>
      <c r="D4423" s="2004"/>
      <c r="E4423" s="1658" t="s">
        <v>9033</v>
      </c>
      <c r="F4423" s="2004"/>
      <c r="G4423" s="2004">
        <f>IF('4P'!G19="","##BLANK",'4P'!G19)</f>
        <v>0</v>
      </c>
    </row>
    <row r="4424" spans="2:7">
      <c r="B4424" s="848" t="str">
        <f>+'4P'!D20</f>
        <v>BN4856</v>
      </c>
      <c r="D4424" s="2004"/>
      <c r="E4424" s="1658" t="s">
        <v>9033</v>
      </c>
      <c r="F4424" s="2004"/>
      <c r="G4424" s="2004">
        <f>IF('4P'!G20="","##BLANK",'4P'!G20)</f>
        <v>0</v>
      </c>
    </row>
    <row r="4425" spans="2:7">
      <c r="B4425" s="848" t="str">
        <f>+'4P'!D21</f>
        <v>BN4843</v>
      </c>
      <c r="D4425" s="2004"/>
      <c r="E4425" s="1658" t="s">
        <v>9033</v>
      </c>
      <c r="F4425" s="2004"/>
      <c r="G4425" s="2004">
        <f>IF('4P'!G21="","##BLANK",'4P'!G21)</f>
        <v>98</v>
      </c>
    </row>
    <row r="4426" spans="2:7">
      <c r="B4426" s="848" t="str">
        <f>+'4P'!D22</f>
        <v>BN4857</v>
      </c>
      <c r="D4426" s="2004"/>
      <c r="E4426" s="1658" t="s">
        <v>9033</v>
      </c>
      <c r="F4426" s="2004"/>
      <c r="G4426" s="2004">
        <f>IF('4P'!G22="","##BLANK",'4P'!G22)</f>
        <v>0</v>
      </c>
    </row>
    <row r="4427" spans="2:7">
      <c r="B4427" s="848" t="str">
        <f>+'4P'!D23</f>
        <v>BN10190</v>
      </c>
      <c r="D4427" s="2004"/>
      <c r="E4427" s="1658" t="s">
        <v>9033</v>
      </c>
      <c r="F4427" s="2004"/>
      <c r="G4427" s="2004">
        <f>IF('4P'!G23="","##BLANK",'4P'!G23)</f>
        <v>129</v>
      </c>
    </row>
    <row r="4428" spans="2:7">
      <c r="B4428" s="848" t="str">
        <f>+'4P'!D24</f>
        <v>BN10191</v>
      </c>
      <c r="D4428" s="2004"/>
      <c r="E4428" s="1658" t="s">
        <v>9033</v>
      </c>
      <c r="F4428" s="2004"/>
      <c r="G4428" s="2004">
        <f>IF('4P'!G24="","##BLANK",'4P'!G24)</f>
        <v>187719</v>
      </c>
    </row>
    <row r="4429" spans="2:7">
      <c r="B4429" s="848" t="str">
        <f>+'4P'!D25</f>
        <v>W5003</v>
      </c>
      <c r="D4429" s="2004"/>
      <c r="E4429" s="1658" t="s">
        <v>9033</v>
      </c>
      <c r="F4429" s="2004"/>
      <c r="G4429" s="2004">
        <f>IF('4P'!G25="","##BLANK",'4P'!G25)</f>
        <v>78</v>
      </c>
    </row>
    <row r="4430" spans="2:7">
      <c r="B4430" s="848" t="str">
        <f>+'4P'!D26</f>
        <v>WR001</v>
      </c>
      <c r="D4430" s="2004"/>
      <c r="E4430" s="1658" t="s">
        <v>9033</v>
      </c>
      <c r="F4430" s="2004"/>
      <c r="G4430" s="2004">
        <f>IF('4P'!G26="","##BLANK",'4P'!G26)</f>
        <v>38</v>
      </c>
    </row>
    <row r="4431" spans="2:7">
      <c r="B4431" s="848" t="str">
        <f>+'4P'!D27</f>
        <v>W5003CAP</v>
      </c>
      <c r="D4431" s="2004"/>
      <c r="E4431" s="1658" t="s">
        <v>9033</v>
      </c>
      <c r="F4431" s="2004"/>
      <c r="G4431" s="2004">
        <f>IF('4P'!G27="","##BLANK",'4P'!G27)</f>
        <v>12344</v>
      </c>
    </row>
    <row r="4432" spans="2:7">
      <c r="B4432" s="848" t="str">
        <f>+'4P'!D28</f>
        <v>WR002</v>
      </c>
      <c r="D4432" s="2004"/>
      <c r="E4432" s="1658" t="s">
        <v>9033</v>
      </c>
      <c r="F4432" s="2004"/>
      <c r="G4432" s="2004">
        <f>IF('4P'!G28="","##BLANK",'4P'!G28)</f>
        <v>28727</v>
      </c>
    </row>
    <row r="4433" spans="2:7">
      <c r="B4433" s="848" t="str">
        <f>+'4P'!D29</f>
        <v>BN10290</v>
      </c>
      <c r="D4433" s="2004"/>
      <c r="E4433" s="1658" t="s">
        <v>9033</v>
      </c>
      <c r="F4433" s="2004"/>
      <c r="G4433" s="2004">
        <f>IF('4P'!G29="","##BLANK",'4P'!G29)</f>
        <v>14.76</v>
      </c>
    </row>
    <row r="4434" spans="2:7">
      <c r="B4434" s="848" t="str">
        <f>+'4P'!D30</f>
        <v>BN4861</v>
      </c>
      <c r="D4434" s="2004"/>
      <c r="E4434" s="1658" t="s">
        <v>9033</v>
      </c>
      <c r="F4434" s="2004"/>
      <c r="G4434" s="2004">
        <f>IF('4P'!G30="","##BLANK",'4P'!G30)</f>
        <v>10.1</v>
      </c>
    </row>
    <row r="4435" spans="2:7">
      <c r="B4435" s="848" t="str">
        <f>+'4P'!D31</f>
        <v>BN4862</v>
      </c>
      <c r="D4435" s="2004"/>
      <c r="E4435" s="1658" t="s">
        <v>9033</v>
      </c>
      <c r="F4435" s="2004"/>
      <c r="G4435" s="2004">
        <f>IF('4P'!G31="","##BLANK",'4P'!G31)</f>
        <v>27.72</v>
      </c>
    </row>
    <row r="4436" spans="2:7">
      <c r="B4436" s="848" t="str">
        <f>+'4P'!D32</f>
        <v>BN4858</v>
      </c>
      <c r="D4436" s="2004"/>
      <c r="E4436" s="1658" t="s">
        <v>9033</v>
      </c>
      <c r="F4436" s="2004"/>
      <c r="G4436" s="2004">
        <f>IF('4P'!G32="","##BLANK",'4P'!G32)</f>
        <v>1452.59</v>
      </c>
    </row>
    <row r="4437" spans="2:7">
      <c r="B4437" s="848" t="str">
        <f>+'4P'!D33</f>
        <v>BN4859</v>
      </c>
      <c r="D4437" s="2004"/>
      <c r="E4437" s="1658" t="s">
        <v>9033</v>
      </c>
      <c r="F4437" s="2004"/>
      <c r="G4437" s="2004">
        <f>IF('4P'!G33="","##BLANK",'4P'!G33)</f>
        <v>1648.04</v>
      </c>
    </row>
    <row r="4438" spans="2:7">
      <c r="B4438" s="848" t="str">
        <f>+'4P'!D36</f>
        <v>CPMW0098</v>
      </c>
      <c r="D4438" s="2004"/>
      <c r="E4438" s="1658" t="s">
        <v>9033</v>
      </c>
      <c r="F4438" s="2004"/>
      <c r="G4438" s="2004">
        <f>IF('4P'!G36="","##BLANK",'4P'!G36)</f>
        <v>0</v>
      </c>
    </row>
    <row r="4439" spans="2:7">
      <c r="B4439" s="848" t="str">
        <f>+'4P'!D37</f>
        <v>CPMW0104</v>
      </c>
      <c r="D4439" s="2004"/>
      <c r="E4439" s="1658" t="s">
        <v>9033</v>
      </c>
      <c r="F4439" s="2004"/>
      <c r="G4439" s="2004">
        <f>IF('4P'!G37="","##BLANK",'4P'!G37)</f>
        <v>0</v>
      </c>
    </row>
    <row r="4440" spans="2:7">
      <c r="B4440" s="848" t="str">
        <f>+'4P'!D38</f>
        <v>CPMW0110</v>
      </c>
      <c r="D4440" s="2004"/>
      <c r="E4440" s="1658" t="s">
        <v>9033</v>
      </c>
      <c r="F4440" s="2004"/>
      <c r="G4440" s="2004">
        <f>IF('4P'!G38="","##BLANK",'4P'!G38)</f>
        <v>0</v>
      </c>
    </row>
    <row r="4441" spans="2:7">
      <c r="B4441" s="848" t="str">
        <f>+'4P'!D39</f>
        <v>CPMW0116</v>
      </c>
      <c r="D4441" s="2004"/>
      <c r="E4441" s="1658" t="s">
        <v>9033</v>
      </c>
      <c r="F4441" s="2004"/>
      <c r="G4441" s="2004">
        <f>IF('4P'!G39="","##BLANK",'4P'!G39)</f>
        <v>419.78</v>
      </c>
    </row>
    <row r="4442" spans="2:7">
      <c r="B4442" s="848" t="str">
        <f>+'4P'!D40</f>
        <v>CPMW0165</v>
      </c>
      <c r="D4442" s="2004"/>
      <c r="E4442" s="1658" t="s">
        <v>9033</v>
      </c>
      <c r="F4442" s="2004"/>
      <c r="G4442" s="2004">
        <f>IF('4P'!G40="","##BLANK",'4P'!G40)</f>
        <v>189.21</v>
      </c>
    </row>
    <row r="4443" spans="2:7">
      <c r="B4443" s="848" t="str">
        <f>+'4P'!D41</f>
        <v>CPMW0166</v>
      </c>
      <c r="D4443" s="2004"/>
      <c r="E4443" s="1658" t="s">
        <v>9033</v>
      </c>
      <c r="F4443" s="2004"/>
      <c r="G4443" s="2004">
        <f>IF('4P'!G41="","##BLANK",'4P'!G41)</f>
        <v>402.98</v>
      </c>
    </row>
    <row r="4444" spans="2:7">
      <c r="B4444" s="848" t="str">
        <f>+'4P'!D42</f>
        <v>CPMW0167</v>
      </c>
      <c r="D4444" s="2004"/>
      <c r="E4444" s="1658" t="s">
        <v>9033</v>
      </c>
      <c r="F4444" s="2004"/>
      <c r="G4444" s="2004">
        <f>IF('4P'!G42="","##BLANK",'4P'!G42)</f>
        <v>0</v>
      </c>
    </row>
    <row r="4445" spans="2:7">
      <c r="B4445" s="848" t="str">
        <f>+'4P'!D43</f>
        <v>CPMW0027</v>
      </c>
      <c r="D4445" s="2004"/>
      <c r="E4445" s="1658" t="s">
        <v>9033</v>
      </c>
      <c r="F4445" s="2004"/>
      <c r="G4445" s="2004">
        <f>IF('4P'!G43="","##BLANK",'4P'!G43)</f>
        <v>0</v>
      </c>
    </row>
    <row r="4446" spans="2:7">
      <c r="B4446" s="848" t="str">
        <f>+'4P'!D44</f>
        <v>CPMW0033</v>
      </c>
      <c r="D4446" s="2004"/>
      <c r="E4446" s="1658" t="s">
        <v>9033</v>
      </c>
      <c r="F4446" s="2004"/>
      <c r="G4446" s="2004">
        <f>IF('4P'!G44="","##BLANK",'4P'!G44)</f>
        <v>0</v>
      </c>
    </row>
    <row r="4447" spans="2:7">
      <c r="B4447" s="848" t="str">
        <f>+'4P'!D45</f>
        <v>CPMW0039</v>
      </c>
      <c r="D4447" s="2004"/>
      <c r="E4447" s="1658" t="s">
        <v>9033</v>
      </c>
      <c r="F4447" s="2004"/>
      <c r="G4447" s="2004">
        <f>IF('4P'!G45="","##BLANK",'4P'!G45)</f>
        <v>60.79</v>
      </c>
    </row>
    <row r="4448" spans="2:7">
      <c r="B4448" s="848" t="str">
        <f>+'4P'!D46</f>
        <v>CPMW0045</v>
      </c>
      <c r="D4448" s="2004"/>
      <c r="E4448" s="1658" t="s">
        <v>9033</v>
      </c>
      <c r="F4448" s="2004"/>
      <c r="G4448" s="2004">
        <f>IF('4P'!G46="","##BLANK",'4P'!G46)</f>
        <v>28.48</v>
      </c>
    </row>
    <row r="4449" spans="2:7">
      <c r="B4449" s="848" t="str">
        <f>+'4P'!D47</f>
        <v>CPMW0185</v>
      </c>
      <c r="D4449" s="2004"/>
      <c r="E4449" s="1658" t="s">
        <v>9033</v>
      </c>
      <c r="F4449" s="2004"/>
      <c r="G4449" s="2004">
        <f>IF('4P'!G47="","##BLANK",'4P'!G47)</f>
        <v>92.66</v>
      </c>
    </row>
    <row r="4450" spans="2:7">
      <c r="B4450" s="848" t="str">
        <f>+'4P'!D48</f>
        <v>CPMW0197</v>
      </c>
      <c r="D4450" s="2004"/>
      <c r="E4450" s="1658" t="s">
        <v>9033</v>
      </c>
      <c r="F4450" s="2004"/>
      <c r="G4450" s="2004">
        <f>IF('4P'!G48="","##BLANK",'4P'!G48)</f>
        <v>63.83</v>
      </c>
    </row>
    <row r="4451" spans="2:7">
      <c r="B4451" s="848" t="str">
        <f>+'4P'!D49</f>
        <v>CPMW0198</v>
      </c>
      <c r="D4451" s="2004"/>
      <c r="E4451" s="1658" t="s">
        <v>9033</v>
      </c>
      <c r="F4451" s="2004"/>
      <c r="G4451" s="2004">
        <f>IF('4P'!G49="","##BLANK",'4P'!G49)</f>
        <v>0</v>
      </c>
    </row>
    <row r="4452" spans="2:7">
      <c r="B4452" s="848" t="str">
        <f>+'4P'!D50</f>
        <v>CPMW001A</v>
      </c>
      <c r="D4452" s="2004"/>
      <c r="E4452" s="1658" t="s">
        <v>9033</v>
      </c>
      <c r="F4452" s="2004"/>
      <c r="G4452" s="2004">
        <f>IF('4P'!G50="","##BLANK",'4P'!G50)</f>
        <v>0</v>
      </c>
    </row>
    <row r="4453" spans="2:7">
      <c r="B4453" s="848" t="str">
        <f>+'4P'!D51</f>
        <v>CPMW0015</v>
      </c>
      <c r="D4453" s="2004"/>
      <c r="E4453" s="1658" t="s">
        <v>9033</v>
      </c>
      <c r="F4453" s="2004"/>
      <c r="G4453" s="2004">
        <f>IF('4P'!G51="","##BLANK",'4P'!G51)</f>
        <v>0</v>
      </c>
    </row>
    <row r="4454" spans="2:7">
      <c r="B4454" s="848" t="str">
        <f>+'4P'!D52</f>
        <v>BN10491</v>
      </c>
      <c r="D4454" s="2004"/>
      <c r="E4454" s="1658" t="s">
        <v>9033</v>
      </c>
      <c r="F4454" s="2004"/>
      <c r="G4454" s="2004">
        <f>IF('4P'!G52="","##BLANK",'4P'!G52)</f>
        <v>0</v>
      </c>
    </row>
    <row r="4455" spans="2:7">
      <c r="B4455" s="848" t="str">
        <f>+'4P'!D53</f>
        <v>BN10490</v>
      </c>
      <c r="D4455" s="2004"/>
      <c r="E4455" s="1658" t="s">
        <v>9033</v>
      </c>
      <c r="F4455" s="2004"/>
      <c r="G4455" s="2004">
        <f>IF('4P'!G53="","##BLANK",'4P'!G53)</f>
        <v>0</v>
      </c>
    </row>
    <row r="4456" spans="2:7">
      <c r="B4456" s="848" t="str">
        <f>+'4P'!D54</f>
        <v>BN10590</v>
      </c>
      <c r="D4456" s="2004"/>
      <c r="E4456" s="1658" t="s">
        <v>9033</v>
      </c>
      <c r="F4456" s="2004"/>
      <c r="G4456" s="2004">
        <f>IF('4P'!G54="","##BLANK",'4P'!G54)</f>
        <v>13</v>
      </c>
    </row>
    <row r="4457" spans="2:7">
      <c r="B4457" s="848" t="str">
        <f>+'4P'!D55</f>
        <v>BN10597</v>
      </c>
      <c r="D4457" s="2004"/>
      <c r="E4457" s="1658" t="s">
        <v>9033</v>
      </c>
      <c r="F4457" s="2004"/>
      <c r="G4457" s="2004">
        <f>IF('4P'!G55="","##BLANK",'4P'!G55)</f>
        <v>7</v>
      </c>
    </row>
    <row r="4458" spans="2:7">
      <c r="B4458" s="848" t="str">
        <f>+'4P'!D56</f>
        <v>BN10598</v>
      </c>
      <c r="D4458" s="2004"/>
      <c r="E4458" s="1658" t="s">
        <v>9033</v>
      </c>
      <c r="F4458" s="2004"/>
      <c r="G4458" s="2004">
        <f>IF('4P'!G56="","##BLANK",'4P'!G56)</f>
        <v>7</v>
      </c>
    </row>
    <row r="4459" spans="2:7">
      <c r="B4459" s="848" t="str">
        <f>+'4P'!D57</f>
        <v>BN10599</v>
      </c>
      <c r="D4459" s="2004"/>
      <c r="E4459" s="1658" t="s">
        <v>9033</v>
      </c>
      <c r="F4459" s="2004"/>
      <c r="G4459" s="2004">
        <f>IF('4P'!G57="","##BLANK",'4P'!G57)</f>
        <v>0</v>
      </c>
    </row>
    <row r="4460" spans="2:7">
      <c r="B4460" s="848" t="str">
        <f>+'4P'!D58</f>
        <v>CPMW0021</v>
      </c>
      <c r="D4460" s="2004"/>
      <c r="E4460" s="1658" t="s">
        <v>9033</v>
      </c>
      <c r="F4460" s="2004"/>
      <c r="G4460" s="2004">
        <f>IF('4P'!G58="","##BLANK",'4P'!G58)</f>
        <v>0</v>
      </c>
    </row>
    <row r="4461" spans="2:7">
      <c r="B4461" s="848" t="str">
        <f>+'4P'!D59</f>
        <v>BN10791</v>
      </c>
      <c r="D4461" s="2004"/>
      <c r="E4461" s="1658" t="s">
        <v>9033</v>
      </c>
      <c r="F4461" s="2004"/>
      <c r="G4461" s="2004">
        <f>IF('4P'!G59="","##BLANK",'4P'!G59)</f>
        <v>0</v>
      </c>
    </row>
    <row r="4462" spans="2:7">
      <c r="B4462" s="848" t="str">
        <f>+'4P'!D60</f>
        <v>BN10790</v>
      </c>
      <c r="D4462" s="2004"/>
      <c r="E4462" s="1658" t="s">
        <v>9033</v>
      </c>
      <c r="F4462" s="2004"/>
      <c r="G4462" s="2004">
        <f>IF('4P'!G60="","##BLANK",'4P'!G60)</f>
        <v>14</v>
      </c>
    </row>
    <row r="4463" spans="2:7">
      <c r="B4463" s="848" t="str">
        <f>+'4P'!D61</f>
        <v>BN10890</v>
      </c>
      <c r="D4463" s="2004"/>
      <c r="E4463" s="1658" t="s">
        <v>9033</v>
      </c>
      <c r="F4463" s="2004"/>
      <c r="G4463" s="2004">
        <f>IF('4P'!G61="","##BLANK",'4P'!G61)</f>
        <v>3</v>
      </c>
    </row>
    <row r="4464" spans="2:7">
      <c r="B4464" s="848" t="str">
        <f>+'4P'!D62</f>
        <v>BN10897</v>
      </c>
      <c r="D4464" s="2004"/>
      <c r="E4464" s="1658" t="s">
        <v>9033</v>
      </c>
      <c r="F4464" s="2004"/>
      <c r="G4464" s="2004">
        <f>IF('4P'!G62="","##BLANK",'4P'!G62)</f>
        <v>5</v>
      </c>
    </row>
    <row r="4465" spans="2:7">
      <c r="B4465" s="848" t="str">
        <f>+'4P'!D63</f>
        <v>BN10898</v>
      </c>
      <c r="D4465" s="2004"/>
      <c r="E4465" s="1658" t="s">
        <v>9033</v>
      </c>
      <c r="F4465" s="2004"/>
      <c r="G4465" s="2004">
        <f>IF('4P'!G63="","##BLANK",'4P'!G63)</f>
        <v>1</v>
      </c>
    </row>
    <row r="4466" spans="2:7">
      <c r="B4466" s="848" t="str">
        <f>+'4P'!D64</f>
        <v>BN10899</v>
      </c>
      <c r="D4466" s="2004"/>
      <c r="E4466" s="1658" t="s">
        <v>9033</v>
      </c>
      <c r="F4466" s="2004"/>
      <c r="G4466" s="2004">
        <f>IF('4P'!G64="","##BLANK",'4P'!G64)</f>
        <v>0</v>
      </c>
    </row>
    <row r="4467" spans="2:7">
      <c r="B4467" s="848" t="str">
        <f>+'4P'!D65</f>
        <v>W4005</v>
      </c>
      <c r="D4467" s="2004"/>
      <c r="E4467" s="1658" t="s">
        <v>9033</v>
      </c>
      <c r="F4467" s="2004"/>
      <c r="G4467" s="2004">
        <f>IF('4P'!G65="","##BLANK",'4P'!G65)</f>
        <v>1</v>
      </c>
    </row>
    <row r="4468" spans="2:7">
      <c r="B4468" s="848" t="str">
        <f>+'4P'!D66</f>
        <v>BN10901</v>
      </c>
      <c r="D4468" s="2004"/>
      <c r="E4468" s="1658" t="s">
        <v>9033</v>
      </c>
      <c r="F4468" s="2004"/>
      <c r="G4468" s="2004">
        <f>IF('4P'!G66="","##BLANK",'4P'!G66)</f>
        <v>5071.134</v>
      </c>
    </row>
    <row r="4469" spans="2:7">
      <c r="B4469" s="848" t="str">
        <f>+'4P'!D67</f>
        <v>BN10902</v>
      </c>
      <c r="D4469" s="2004"/>
      <c r="E4469" s="1658" t="s">
        <v>9033</v>
      </c>
      <c r="F4469" s="2004"/>
      <c r="G4469" s="2004">
        <f>IF('4P'!G67="","##BLANK",'4P'!G67)</f>
        <v>12.52</v>
      </c>
    </row>
    <row r="4470" spans="2:7">
      <c r="B4470" s="848" t="str">
        <f>+'4P'!D70</f>
        <v>BN1100</v>
      </c>
      <c r="D4470" s="2004"/>
      <c r="E4470" s="1658" t="s">
        <v>9033</v>
      </c>
      <c r="F4470" s="2004"/>
      <c r="G4470" s="2004">
        <f>IF('4P'!G70="","##BLANK",'4P'!G70)</f>
        <v>31890.9</v>
      </c>
    </row>
    <row r="4471" spans="2:7">
      <c r="B4471" s="848" t="str">
        <f>+'4P'!D71</f>
        <v>BN1204</v>
      </c>
      <c r="D4471" s="2004"/>
      <c r="E4471" s="1658" t="s">
        <v>9033</v>
      </c>
      <c r="F4471" s="2004"/>
      <c r="G4471" s="2004">
        <f>IF('4P'!G71="","##BLANK",'4P'!G71)</f>
        <v>0.1</v>
      </c>
    </row>
    <row r="4472" spans="2:7">
      <c r="B4472" s="848" t="str">
        <f>+'4P'!D72</f>
        <v>BN1200</v>
      </c>
      <c r="D4472" s="2004"/>
      <c r="E4472" s="1658" t="s">
        <v>9033</v>
      </c>
      <c r="F4472" s="2004"/>
      <c r="G4472" s="2004">
        <f>IF('4P'!G72="","##BLANK",'4P'!G72)</f>
        <v>19.3</v>
      </c>
    </row>
    <row r="4473" spans="2:7">
      <c r="B4473" s="848" t="str">
        <f>+'4P'!D73</f>
        <v>BN1208</v>
      </c>
      <c r="D4473" s="2004"/>
      <c r="E4473" s="1658" t="s">
        <v>9033</v>
      </c>
      <c r="F4473" s="2004"/>
      <c r="G4473" s="2004">
        <f>IF('4P'!G73="","##BLANK",'4P'!G73)</f>
        <v>112.5</v>
      </c>
    </row>
    <row r="4474" spans="2:7">
      <c r="B4474" s="848" t="str">
        <f>+'4P'!D74</f>
        <v>BN14990</v>
      </c>
      <c r="D4474" s="2004"/>
      <c r="E4474" s="1658" t="s">
        <v>9033</v>
      </c>
      <c r="F4474" s="2004"/>
      <c r="G4474" s="2004">
        <f>IF('4P'!G74="","##BLANK",'4P'!G74)</f>
        <v>29538.2</v>
      </c>
    </row>
    <row r="4475" spans="2:7">
      <c r="B4475" s="848" t="str">
        <f>+'4P'!D75</f>
        <v>BN14890</v>
      </c>
      <c r="D4475" s="2004"/>
      <c r="E4475" s="1658" t="s">
        <v>9033</v>
      </c>
      <c r="F4475" s="2004"/>
      <c r="G4475" s="2004">
        <f>IF('4P'!G75="","##BLANK",'4P'!G75)</f>
        <v>992.2</v>
      </c>
    </row>
    <row r="4476" spans="2:7">
      <c r="B4476" s="848" t="str">
        <f>+'4P'!D76</f>
        <v>BN14790</v>
      </c>
      <c r="D4476" s="2004"/>
      <c r="E4476" s="1658" t="s">
        <v>9033</v>
      </c>
      <c r="F4476" s="2004"/>
      <c r="G4476" s="2004">
        <f>IF('4P'!G76="","##BLANK",'4P'!G76)</f>
        <v>845.7</v>
      </c>
    </row>
    <row r="4477" spans="2:7">
      <c r="B4477" s="848" t="str">
        <f>+'4P'!D77</f>
        <v>BN14690</v>
      </c>
      <c r="D4477" s="2004"/>
      <c r="E4477" s="1658" t="s">
        <v>9033</v>
      </c>
      <c r="F4477" s="2004"/>
      <c r="G4477" s="2004">
        <f>IF('4P'!G77="","##BLANK",'4P'!G77)</f>
        <v>514.9</v>
      </c>
    </row>
    <row r="4478" spans="2:7">
      <c r="B4478" s="848" t="str">
        <f>+'4P'!D78</f>
        <v>BN11300CAP</v>
      </c>
      <c r="D4478" s="2004"/>
      <c r="E4478" s="1658" t="s">
        <v>9033</v>
      </c>
      <c r="F4478" s="2004"/>
      <c r="G4478" s="2004">
        <f>IF('4P'!G78="","##BLANK",'4P'!G78)</f>
        <v>71304</v>
      </c>
    </row>
    <row r="4479" spans="2:7">
      <c r="B4479" s="848" t="str">
        <f>+'4P'!D79</f>
        <v>BN10900CAP</v>
      </c>
      <c r="D4479" s="2004"/>
      <c r="E4479" s="1658" t="s">
        <v>9033</v>
      </c>
      <c r="F4479" s="2004"/>
      <c r="G4479" s="2004">
        <f>IF('4P'!G79="","##BLANK",'4P'!G79)</f>
        <v>2215</v>
      </c>
    </row>
    <row r="4480" spans="2:7">
      <c r="B4480" s="848" t="str">
        <f>+'4P'!D80</f>
        <v>BN11030CAP</v>
      </c>
      <c r="D4480" s="2004"/>
      <c r="E4480" s="1658" t="s">
        <v>9033</v>
      </c>
      <c r="F4480" s="2004"/>
      <c r="G4480" s="2004">
        <f>IF('4P'!G80="","##BLANK",'4P'!G80)</f>
        <v>29</v>
      </c>
    </row>
    <row r="4481" spans="2:7">
      <c r="B4481" s="848" t="str">
        <f>+'4P'!D82</f>
        <v>BN2350</v>
      </c>
      <c r="D4481" s="2004"/>
      <c r="E4481" s="1658" t="s">
        <v>9033</v>
      </c>
      <c r="F4481" s="2004"/>
      <c r="G4481" s="2004">
        <f>IF('4P'!G82="","##BLANK",'4P'!G82)</f>
        <v>0</v>
      </c>
    </row>
    <row r="4482" spans="2:7">
      <c r="B4482" s="848" t="str">
        <f>+'4P'!D83</f>
        <v>BN2330</v>
      </c>
      <c r="D4482" s="2004"/>
      <c r="E4482" s="1658" t="s">
        <v>9033</v>
      </c>
      <c r="F4482" s="2004"/>
      <c r="G4482" s="2004">
        <f>IF('4P'!G83="","##BLANK",'4P'!G83)</f>
        <v>1044.83</v>
      </c>
    </row>
    <row r="4483" spans="2:7">
      <c r="B4483" s="848" t="str">
        <f>+'4P'!D84</f>
        <v>BN2000</v>
      </c>
      <c r="D4483" s="2004"/>
      <c r="E4483" s="1658" t="s">
        <v>9033</v>
      </c>
      <c r="F4483" s="2004"/>
      <c r="G4483" s="2004">
        <f>IF('4P'!G84="","##BLANK",'4P'!G84)</f>
        <v>307.69</v>
      </c>
    </row>
    <row r="4484" spans="2:7">
      <c r="B4484" s="848" t="str">
        <f>+'4P'!D85</f>
        <v>BN2010</v>
      </c>
      <c r="D4484" s="2004"/>
      <c r="E4484" s="1658" t="s">
        <v>9033</v>
      </c>
      <c r="F4484" s="2004"/>
      <c r="G4484" s="2004">
        <f>IF('4P'!G85="","##BLANK",'4P'!G85)</f>
        <v>277.24</v>
      </c>
    </row>
    <row r="4485" spans="2:7">
      <c r="B4485" s="848" t="str">
        <f>+'4P'!D86</f>
        <v>BN2345</v>
      </c>
      <c r="D4485" s="2004"/>
      <c r="E4485" s="1658" t="s">
        <v>9033</v>
      </c>
      <c r="F4485" s="2004"/>
      <c r="G4485" s="2004">
        <f>IF('4P'!G86="","##BLANK",'4P'!G86)</f>
        <v>270.75</v>
      </c>
    </row>
    <row r="4486" spans="2:7">
      <c r="B4486" s="848" t="str">
        <f>+'4P'!D87</f>
        <v>BN2340</v>
      </c>
      <c r="D4486" s="2004"/>
      <c r="E4486" s="1658" t="s">
        <v>9033</v>
      </c>
      <c r="F4486" s="2004"/>
      <c r="G4486" s="2004">
        <f>IF('4P'!G87="","##BLANK",'4P'!G87)</f>
        <v>198.46</v>
      </c>
    </row>
    <row r="4487" spans="2:7">
      <c r="B4487" s="848" t="str">
        <f>+'4P'!D88</f>
        <v>BN2327</v>
      </c>
      <c r="D4487" s="2004"/>
      <c r="E4487" s="1658" t="s">
        <v>9033</v>
      </c>
      <c r="F4487" s="2004"/>
      <c r="G4487" s="2004">
        <f>IF('4P'!G88="","##BLANK",'4P'!G88)</f>
        <v>44.88</v>
      </c>
    </row>
    <row r="4488" spans="2:7">
      <c r="B4488" s="848" t="str">
        <f>+'4P'!D89</f>
        <v>BN11600</v>
      </c>
      <c r="D4488" s="2004"/>
      <c r="E4488" s="1658" t="s">
        <v>9033</v>
      </c>
      <c r="F4488" s="2004"/>
      <c r="G4488" s="2004">
        <f>IF('4P'!G89="","##BLANK",'4P'!G89)</f>
        <v>1269833</v>
      </c>
    </row>
    <row r="4489" spans="2:7">
      <c r="B4489" s="848" t="str">
        <f>+'4P'!D90</f>
        <v>BN11610</v>
      </c>
      <c r="D4489" s="2004"/>
      <c r="E4489" s="1658" t="s">
        <v>9033</v>
      </c>
      <c r="F4489" s="2004"/>
      <c r="G4489" s="2004">
        <f>IF('4P'!G90="","##BLANK",'4P'!G90)</f>
        <v>1963</v>
      </c>
    </row>
    <row r="4490" spans="2:7">
      <c r="B4490" s="848" t="str">
        <f>+'4P'!D91</f>
        <v>BN11620</v>
      </c>
      <c r="D4490" s="2004"/>
      <c r="E4490" s="1658" t="s">
        <v>9033</v>
      </c>
      <c r="F4490" s="2004"/>
      <c r="G4490" s="2004">
        <f>IF('4P'!G91="","##BLANK",'4P'!G91)</f>
        <v>900131</v>
      </c>
    </row>
    <row r="4491" spans="2:7">
      <c r="B4491" s="848" t="str">
        <f>+'4P'!D92</f>
        <v>BN11390</v>
      </c>
      <c r="D4491" s="2004"/>
      <c r="E4491" s="1658" t="s">
        <v>9033</v>
      </c>
      <c r="F4491" s="2004"/>
      <c r="G4491" s="2004">
        <f>IF('4P'!G92="","##BLANK",'4P'!G92)</f>
        <v>531</v>
      </c>
    </row>
    <row r="4492" spans="2:7">
      <c r="B4492" s="848" t="str">
        <f>+'4P'!D93</f>
        <v>BN10990</v>
      </c>
      <c r="D4492" s="2004"/>
      <c r="E4492" s="1658" t="s">
        <v>9033</v>
      </c>
      <c r="F4492" s="2004"/>
      <c r="G4492" s="2004">
        <f>IF('4P'!G93="","##BLANK",'4P'!G93)</f>
        <v>368</v>
      </c>
    </row>
    <row r="4493" spans="2:7">
      <c r="B4493" s="848" t="str">
        <f>+'4P'!D94</f>
        <v>BN11090</v>
      </c>
      <c r="D4493" s="2004"/>
      <c r="E4493" s="1658" t="s">
        <v>9033</v>
      </c>
      <c r="F4493" s="2004"/>
      <c r="G4493" s="2004">
        <f>IF('4P'!G94="","##BLANK",'4P'!G94)</f>
        <v>27</v>
      </c>
    </row>
    <row r="4494" spans="2:7">
      <c r="B4494" s="848" t="str">
        <f>+'4P'!D95</f>
        <v>BB13000</v>
      </c>
      <c r="D4494" s="2004"/>
      <c r="E4494" s="1658" t="s">
        <v>9033</v>
      </c>
      <c r="F4494" s="2004"/>
      <c r="G4494" s="2004">
        <f>IF('4P'!G95="","##BLANK",'4P'!G95)</f>
        <v>346.8</v>
      </c>
    </row>
    <row r="4495" spans="2:7">
      <c r="B4495" s="848" t="str">
        <f>+'4P'!D96</f>
        <v>BB13010</v>
      </c>
      <c r="D4495" s="2004"/>
      <c r="E4495" s="1658" t="s">
        <v>9033</v>
      </c>
      <c r="F4495" s="2004"/>
      <c r="G4495" s="2004">
        <f>IF('4P'!G96="","##BLANK",'4P'!G96)</f>
        <v>1876.3</v>
      </c>
    </row>
    <row r="4496" spans="2:7">
      <c r="B4496" s="848" t="str">
        <f>+'4P'!D97</f>
        <v>BB13020</v>
      </c>
      <c r="D4496" s="2004"/>
      <c r="E4496" s="1658" t="s">
        <v>9033</v>
      </c>
      <c r="F4496" s="2004"/>
      <c r="G4496" s="2004">
        <f>IF('4P'!G97="","##BLANK",'4P'!G97)</f>
        <v>843</v>
      </c>
    </row>
    <row r="4497" spans="2:7">
      <c r="B4497" s="848" t="str">
        <f>+'4P'!D98</f>
        <v>BB13030</v>
      </c>
      <c r="D4497" s="2004"/>
      <c r="E4497" s="1658" t="s">
        <v>9033</v>
      </c>
      <c r="F4497" s="2004"/>
      <c r="G4497" s="2004">
        <f>IF('4P'!G98="","##BLANK",'4P'!G98)</f>
        <v>4668</v>
      </c>
    </row>
    <row r="4498" spans="2:7">
      <c r="B4498" s="848" t="str">
        <f>+'4P'!D99</f>
        <v>BB13040</v>
      </c>
      <c r="D4498" s="2004"/>
      <c r="E4498" s="1658" t="s">
        <v>9033</v>
      </c>
      <c r="F4498" s="2004"/>
      <c r="G4498" s="2004">
        <f>IF('4P'!G99="","##BLANK",'4P'!G99)</f>
        <v>8906.5</v>
      </c>
    </row>
    <row r="4499" spans="2:7">
      <c r="B4499" s="848" t="str">
        <f>+'4P'!D100</f>
        <v>BB13050</v>
      </c>
      <c r="D4499" s="2004"/>
      <c r="E4499" s="1658" t="s">
        <v>9033</v>
      </c>
      <c r="F4499" s="2004"/>
      <c r="G4499" s="2004">
        <f>IF('4P'!G100="","##BLANK",'4P'!G100)</f>
        <v>5145.8999999999996</v>
      </c>
    </row>
    <row r="4500" spans="2:7">
      <c r="B4500" s="848" t="str">
        <f>+'4P'!D101</f>
        <v>BB13060</v>
      </c>
      <c r="D4500" s="2004"/>
      <c r="E4500" s="1658" t="s">
        <v>9033</v>
      </c>
      <c r="F4500" s="2004"/>
      <c r="G4500" s="2004">
        <f>IF('4P'!G101="","##BLANK",'4P'!G101)</f>
        <v>6451.1</v>
      </c>
    </row>
    <row r="4501" spans="2:7">
      <c r="B4501" s="848" t="str">
        <f>+'4P'!D102</f>
        <v>BB13070</v>
      </c>
      <c r="D4501" s="2004"/>
      <c r="E4501" s="1658" t="s">
        <v>9033</v>
      </c>
      <c r="F4501" s="2004"/>
      <c r="G4501" s="2004">
        <f>IF('4P'!G102="","##BLANK",'4P'!G102)</f>
        <v>3653.4</v>
      </c>
    </row>
    <row r="4502" spans="2:7">
      <c r="B4502" s="848" t="str">
        <f>+'4P'!D103</f>
        <v>BN4870</v>
      </c>
      <c r="D4502" s="2004"/>
      <c r="E4502" s="1658" t="s">
        <v>9033</v>
      </c>
      <c r="F4502" s="2004"/>
      <c r="G4502" s="2004">
        <f>IF('4P'!G103="","##BLANK",'4P'!G103)</f>
        <v>68.64</v>
      </c>
    </row>
    <row r="4503" spans="2:7">
      <c r="B4503" s="848" t="str">
        <f>+'4P'!D106</f>
        <v>WTW001NR</v>
      </c>
      <c r="D4503" s="2004"/>
      <c r="E4503" s="1658" t="s">
        <v>9033</v>
      </c>
      <c r="F4503" s="2004"/>
      <c r="G4503" s="2004">
        <f>IF('4P'!G106="","##BLANK",'4P'!G106)</f>
        <v>6</v>
      </c>
    </row>
    <row r="4504" spans="2:7">
      <c r="B4504" s="848" t="str">
        <f>+'4P'!D107</f>
        <v>WTW002NR</v>
      </c>
      <c r="D4504" s="2004"/>
      <c r="E4504" s="1658" t="s">
        <v>9033</v>
      </c>
      <c r="F4504" s="2004"/>
      <c r="G4504" s="2004">
        <f>IF('4P'!G107="","##BLANK",'4P'!G107)</f>
        <v>2</v>
      </c>
    </row>
    <row r="4505" spans="2:7">
      <c r="B4505" s="848" t="str">
        <f>+'4P'!D108</f>
        <v>WTW003NR</v>
      </c>
      <c r="D4505" s="2004"/>
      <c r="E4505" s="1658" t="s">
        <v>9033</v>
      </c>
      <c r="F4505" s="2004"/>
      <c r="G4505" s="2004">
        <f>IF('4P'!G108="","##BLANK",'4P'!G108)</f>
        <v>8</v>
      </c>
    </row>
    <row r="4506" spans="2:7">
      <c r="B4506" s="848" t="str">
        <f>+'4P'!D109</f>
        <v>WTW004NR</v>
      </c>
      <c r="D4506" s="2004"/>
      <c r="E4506" s="1658" t="s">
        <v>9033</v>
      </c>
      <c r="F4506" s="2004"/>
      <c r="G4506" s="2004">
        <f>IF('4P'!G109="","##BLANK",'4P'!G109)</f>
        <v>6</v>
      </c>
    </row>
    <row r="4507" spans="2:7">
      <c r="B4507" s="848" t="str">
        <f>+'4P'!D110</f>
        <v>WTW005NR</v>
      </c>
      <c r="D4507" s="2004"/>
      <c r="E4507" s="1658" t="s">
        <v>9033</v>
      </c>
      <c r="F4507" s="2004"/>
      <c r="G4507" s="2004">
        <f>IF('4P'!G110="","##BLANK",'4P'!G110)</f>
        <v>14</v>
      </c>
    </row>
    <row r="4508" spans="2:7">
      <c r="B4508" s="848" t="str">
        <f>+'4P'!D111</f>
        <v>WTW006NR</v>
      </c>
      <c r="D4508" s="2004"/>
      <c r="E4508" s="1658" t="s">
        <v>9033</v>
      </c>
      <c r="F4508" s="2004"/>
      <c r="G4508" s="2004">
        <f>IF('4P'!G111="","##BLANK",'4P'!G111)</f>
        <v>8</v>
      </c>
    </row>
    <row r="4509" spans="2:7">
      <c r="B4509" s="848" t="str">
        <f>+'4P'!D112</f>
        <v>WTW007NR</v>
      </c>
      <c r="D4509" s="2004"/>
      <c r="E4509" s="1658" t="s">
        <v>9033</v>
      </c>
      <c r="F4509" s="2004"/>
      <c r="G4509" s="2004">
        <f>IF('4P'!G112="","##BLANK",'4P'!G112)</f>
        <v>2</v>
      </c>
    </row>
    <row r="4510" spans="2:7">
      <c r="B4510" s="848" t="str">
        <f>+'4P'!D113</f>
        <v>WTW008NR</v>
      </c>
      <c r="D4510" s="2004"/>
      <c r="E4510" s="1658" t="s">
        <v>9033</v>
      </c>
      <c r="F4510" s="2004"/>
      <c r="G4510" s="2004">
        <f>IF('4P'!G113="","##BLANK",'4P'!G113)</f>
        <v>2</v>
      </c>
    </row>
    <row r="4511" spans="2:7">
      <c r="B4511" s="848" t="str">
        <f>+'4P'!D116</f>
        <v>WTW001PN</v>
      </c>
      <c r="D4511" s="2004"/>
      <c r="E4511" s="1658" t="s">
        <v>9033</v>
      </c>
      <c r="F4511" s="2004"/>
      <c r="G4511" s="2004">
        <f>IF('4P'!G116="","##BLANK",'4P'!G116)</f>
        <v>4.0000000000000001E-3</v>
      </c>
    </row>
    <row r="4512" spans="2:7">
      <c r="B4512" s="848" t="str">
        <f>+'4P'!D117</f>
        <v>WTW002PN</v>
      </c>
      <c r="D4512" s="2004"/>
      <c r="E4512" s="1658" t="s">
        <v>9033</v>
      </c>
      <c r="F4512" s="2004"/>
      <c r="G4512" s="2004">
        <f>IF('4P'!G117="","##BLANK",'4P'!G117)</f>
        <v>4.0000000000000001E-3</v>
      </c>
    </row>
    <row r="4513" spans="2:7">
      <c r="B4513" s="848" t="str">
        <f>+'4P'!D118</f>
        <v>WTW003PN</v>
      </c>
      <c r="D4513" s="2004"/>
      <c r="E4513" s="1658" t="s">
        <v>9033</v>
      </c>
      <c r="F4513" s="2004"/>
      <c r="G4513" s="2004">
        <f>IF('4P'!G118="","##BLANK",'4P'!G118)</f>
        <v>3.9E-2</v>
      </c>
    </row>
    <row r="4514" spans="2:7">
      <c r="B4514" s="848" t="str">
        <f>+'4P'!D119</f>
        <v>WTW004PN</v>
      </c>
      <c r="D4514" s="2004"/>
      <c r="E4514" s="1658" t="s">
        <v>9033</v>
      </c>
      <c r="F4514" s="2004"/>
      <c r="G4514" s="2004">
        <f>IF('4P'!G119="","##BLANK",'4P'!G119)</f>
        <v>5.6000000000000001E-2</v>
      </c>
    </row>
    <row r="4515" spans="2:7">
      <c r="B4515" s="848" t="str">
        <f>+'4P'!D120</f>
        <v>WTW005PN</v>
      </c>
      <c r="D4515" s="2004"/>
      <c r="E4515" s="1658" t="s">
        <v>9033</v>
      </c>
      <c r="F4515" s="2004"/>
      <c r="G4515" s="2004">
        <f>IF('4P'!G120="","##BLANK",'4P'!G120)</f>
        <v>0.24299999999999999</v>
      </c>
    </row>
    <row r="4516" spans="2:7">
      <c r="B4516" s="848" t="str">
        <f>+'4P'!D121</f>
        <v>WTW006PN</v>
      </c>
      <c r="D4516" s="2004"/>
      <c r="E4516" s="1658" t="s">
        <v>9033</v>
      </c>
      <c r="F4516" s="2004"/>
      <c r="G4516" s="2004">
        <f>IF('4P'!G121="","##BLANK",'4P'!G121)</f>
        <v>0.29499999999999998</v>
      </c>
    </row>
    <row r="4517" spans="2:7">
      <c r="B4517" s="848" t="str">
        <f>+'4P'!D122</f>
        <v>WTW007PN</v>
      </c>
      <c r="D4517" s="2004"/>
      <c r="E4517" s="1658" t="s">
        <v>9033</v>
      </c>
      <c r="F4517" s="2004"/>
      <c r="G4517" s="2004">
        <f>IF('4P'!G122="","##BLANK",'4P'!G122)</f>
        <v>0.112</v>
      </c>
    </row>
    <row r="4518" spans="2:7">
      <c r="B4518" s="848" t="str">
        <f>+'4P'!D123</f>
        <v>WTW008PN</v>
      </c>
      <c r="D4518" s="2004"/>
      <c r="E4518" s="1658" t="s">
        <v>9033</v>
      </c>
      <c r="F4518" s="2004"/>
      <c r="G4518" s="2004">
        <f>IF('4P'!G123="","##BLANK",'4P'!G123)</f>
        <v>0.247</v>
      </c>
    </row>
    <row r="4519" spans="2:7">
      <c r="B4519" s="848" t="str">
        <f>+'4Q'!D6</f>
        <v>BN2110</v>
      </c>
      <c r="D4519" s="2004"/>
      <c r="E4519" s="1658" t="s">
        <v>9033</v>
      </c>
      <c r="F4519" s="2004"/>
      <c r="G4519" s="2004">
        <f>IF('4Q'!G6="","##BLANK",'4Q'!G6)</f>
        <v>744.77700000000004</v>
      </c>
    </row>
    <row r="4520" spans="2:7">
      <c r="B4520" s="848" t="str">
        <f>+'4Q'!D7</f>
        <v>BN2115</v>
      </c>
      <c r="D4520" s="2004"/>
      <c r="E4520" s="1658" t="s">
        <v>9033</v>
      </c>
      <c r="F4520" s="2004"/>
      <c r="G4520" s="2004">
        <f>IF('4Q'!G7="","##BLANK",'4Q'!G7)</f>
        <v>425.01799999999997</v>
      </c>
    </row>
    <row r="4521" spans="2:7">
      <c r="B4521" s="848" t="str">
        <f>+'4Q'!D8</f>
        <v>BN2210</v>
      </c>
      <c r="D4521" s="2004"/>
      <c r="E4521" s="1658" t="s">
        <v>9033</v>
      </c>
      <c r="F4521" s="2004"/>
      <c r="G4521" s="2004">
        <f>IF('4Q'!G8="","##BLANK",'4Q'!G8)</f>
        <v>106.654</v>
      </c>
    </row>
    <row r="4522" spans="2:7">
      <c r="B4522" s="848" t="str">
        <f>+'4Q'!D9</f>
        <v>BN2100</v>
      </c>
      <c r="D4522" s="2004"/>
      <c r="E4522" s="1658" t="s">
        <v>9033</v>
      </c>
      <c r="F4522" s="2004"/>
      <c r="G4522" s="2004">
        <f>IF('4Q'!G9="","##BLANK",'4Q'!G9)</f>
        <v>904.53300000000002</v>
      </c>
    </row>
    <row r="4523" spans="2:7">
      <c r="B4523" s="848" t="str">
        <f>+'4Q'!D10</f>
        <v>BN2200</v>
      </c>
      <c r="D4523" s="2004"/>
      <c r="E4523" s="1658" t="s">
        <v>9033</v>
      </c>
      <c r="F4523" s="2004"/>
      <c r="G4523" s="2004">
        <f>IF('4Q'!G10="","##BLANK",'4Q'!G10)</f>
        <v>13.641999999999999</v>
      </c>
    </row>
    <row r="4524" spans="2:7">
      <c r="B4524" s="848" t="str">
        <f>+'4Q'!D11</f>
        <v>BN2221</v>
      </c>
      <c r="D4524" s="2004"/>
      <c r="E4524" s="1658" t="s">
        <v>9033</v>
      </c>
      <c r="F4524" s="2004"/>
      <c r="G4524" s="2004">
        <f>IF('4Q'!G11="","##BLANK",'4Q'!G11)</f>
        <v>140.541</v>
      </c>
    </row>
    <row r="4525" spans="2:7">
      <c r="B4525" s="848" t="str">
        <f>+'4Q'!D12</f>
        <v>BN2161</v>
      </c>
      <c r="D4525" s="2004"/>
      <c r="E4525" s="1658" t="s">
        <v>9033</v>
      </c>
      <c r="F4525" s="2004"/>
      <c r="G4525" s="2004">
        <f>IF('4Q'!G12="","##BLANK",'4Q'!G12)</f>
        <v>2196.866</v>
      </c>
    </row>
    <row r="4526" spans="2:7">
      <c r="B4526" s="848" t="str">
        <f>+'4Q'!D13</f>
        <v>BN1001</v>
      </c>
      <c r="D4526" s="2004"/>
      <c r="E4526" s="1658" t="s">
        <v>9033</v>
      </c>
      <c r="F4526" s="2004"/>
      <c r="G4526" s="2004">
        <f>IF('4Q'!G13="","##BLANK",'4Q'!G13)</f>
        <v>2337.4070000000002</v>
      </c>
    </row>
    <row r="4527" spans="2:7">
      <c r="B4527" s="848" t="str">
        <f>+'4Q'!D14</f>
        <v>BN1765</v>
      </c>
      <c r="D4527" s="2004"/>
      <c r="E4527" s="1658" t="s">
        <v>9033</v>
      </c>
      <c r="F4527" s="2004"/>
      <c r="G4527" s="2004">
        <f>IF('4Q'!G14="","##BLANK",'4Q'!G14)</f>
        <v>11.49</v>
      </c>
    </row>
    <row r="4528" spans="2:7">
      <c r="B4528" s="848" t="str">
        <f>+'4Q'!D15</f>
        <v>BN1767</v>
      </c>
      <c r="D4528" s="2004"/>
      <c r="E4528" s="1658" t="s">
        <v>9033</v>
      </c>
      <c r="F4528" s="2004"/>
      <c r="G4528" s="2004">
        <f>IF('4Q'!G15="","##BLANK",'4Q'!G15)</f>
        <v>1.647</v>
      </c>
    </row>
    <row r="4529" spans="2:7">
      <c r="B4529" s="848" t="str">
        <f>+'4Q'!D16</f>
        <v>BN1715</v>
      </c>
      <c r="D4529" s="2004"/>
      <c r="E4529" s="1658" t="s">
        <v>9033</v>
      </c>
      <c r="F4529" s="2004"/>
      <c r="G4529" s="2004">
        <f>IF('4Q'!G16="","##BLANK",'4Q'!G16)</f>
        <v>33.811999999999998</v>
      </c>
    </row>
    <row r="4530" spans="2:7">
      <c r="B4530" s="848" t="str">
        <f>+'4Q'!D17</f>
        <v>BN1711</v>
      </c>
      <c r="D4530" s="2004"/>
      <c r="E4530" s="1658" t="s">
        <v>9033</v>
      </c>
      <c r="F4530" s="2004"/>
      <c r="G4530" s="2004">
        <f>IF('4Q'!G17="","##BLANK",'4Q'!G17)</f>
        <v>0</v>
      </c>
    </row>
    <row r="4531" spans="2:7">
      <c r="B4531" s="848" t="str">
        <f>+'4Q'!D18</f>
        <v>BP3405</v>
      </c>
      <c r="D4531" s="2004"/>
      <c r="E4531" s="1658" t="s">
        <v>9033</v>
      </c>
      <c r="F4531" s="2004"/>
      <c r="G4531" s="2004">
        <f>IF('4Q'!G18="","##BLANK",'4Q'!G18)</f>
        <v>1.036</v>
      </c>
    </row>
    <row r="4532" spans="2:7">
      <c r="B4532" s="848" t="str">
        <f>+'4Q'!D19</f>
        <v>BP3400</v>
      </c>
      <c r="D4532" s="2004"/>
      <c r="E4532" s="1658" t="s">
        <v>9033</v>
      </c>
      <c r="F4532" s="2004"/>
      <c r="G4532" s="2004">
        <f>IF('4Q'!G19="","##BLANK",'4Q'!G19)</f>
        <v>14.611000000000001</v>
      </c>
    </row>
    <row r="4533" spans="2:7">
      <c r="B4533" s="848" t="str">
        <f>+'4Q'!D20</f>
        <v>BN2590</v>
      </c>
      <c r="D4533" s="2004"/>
      <c r="E4533" s="1658" t="s">
        <v>9033</v>
      </c>
      <c r="F4533" s="2004"/>
      <c r="G4533" s="2004">
        <f>IF('4Q'!G20="","##BLANK",'4Q'!G20)</f>
        <v>5071.134</v>
      </c>
    </row>
    <row r="4534" spans="2:7">
      <c r="B4534" s="848" t="str">
        <f>+'4Q'!D21</f>
        <v>BN11630</v>
      </c>
      <c r="D4534" s="2004"/>
      <c r="E4534" s="1658" t="s">
        <v>9033</v>
      </c>
      <c r="F4534" s="2004"/>
      <c r="G4534" s="2004">
        <f>IF('4Q'!G21="","##BLANK",'4Q'!G21)</f>
        <v>104.61799999999999</v>
      </c>
    </row>
    <row r="4535" spans="2:7">
      <c r="B4535" s="848" t="str">
        <f>+'4Q'!D22</f>
        <v>BN11640</v>
      </c>
      <c r="D4535" s="2004"/>
      <c r="E4535" s="1658" t="s">
        <v>9033</v>
      </c>
      <c r="F4535" s="2004"/>
      <c r="G4535" s="2004">
        <f>IF('4Q'!G22="","##BLANK",'4Q'!G22)</f>
        <v>1194.385</v>
      </c>
    </row>
    <row r="4536" spans="2:7">
      <c r="B4536" s="848" t="str">
        <f>+'4Q'!D23</f>
        <v>SYS03</v>
      </c>
      <c r="D4536" s="2004"/>
      <c r="E4536" s="1658" t="s">
        <v>9033</v>
      </c>
      <c r="F4536" s="2004"/>
      <c r="G4536" s="2004">
        <f>IF('4Q'!G23="","##BLANK",'4Q'!G23)</f>
        <v>14294</v>
      </c>
    </row>
    <row r="4537" spans="2:7">
      <c r="B4537" s="848" t="str">
        <f>+'4Q'!D26</f>
        <v>BN1231</v>
      </c>
      <c r="D4537" s="2004"/>
      <c r="E4537" s="1658" t="s">
        <v>9033</v>
      </c>
      <c r="F4537" s="2004"/>
      <c r="G4537" s="2004">
        <f>IF('4Q'!G26="","##BLANK",'4Q'!G26)</f>
        <v>499</v>
      </c>
    </row>
    <row r="4538" spans="2:7">
      <c r="B4538" s="848" t="str">
        <f>+'4Q'!D27</f>
        <v>W3007SO</v>
      </c>
      <c r="D4538" s="2004"/>
      <c r="E4538" s="1658" t="s">
        <v>9033</v>
      </c>
      <c r="F4538" s="2004"/>
      <c r="G4538" s="2004">
        <f>IF('4Q'!G27="","##BLANK",'4Q'!G27)</f>
        <v>0</v>
      </c>
    </row>
    <row r="4539" spans="2:7">
      <c r="B4539" s="848" t="str">
        <f>+'4Q'!D28</f>
        <v>W3008SO</v>
      </c>
      <c r="D4539" s="2004"/>
      <c r="E4539" s="1658" t="s">
        <v>9033</v>
      </c>
      <c r="F4539" s="2004"/>
      <c r="G4539" s="2004">
        <f>IF('4Q'!G28="","##BLANK",'4Q'!G28)</f>
        <v>0</v>
      </c>
    </row>
    <row r="4540" spans="2:7">
      <c r="B4540" s="848" t="str">
        <f>+'4Q'!D29</f>
        <v>W3007DO</v>
      </c>
      <c r="D4540" s="2004"/>
      <c r="E4540" s="1658" t="s">
        <v>9033</v>
      </c>
      <c r="F4540" s="2004"/>
      <c r="G4540" s="2004">
        <f>IF('4Q'!G29="","##BLANK",'4Q'!G29)</f>
        <v>19.360000000000014</v>
      </c>
    </row>
    <row r="4541" spans="2:7">
      <c r="B4541" s="848" t="str">
        <f>+'4Q'!D30</f>
        <v>W3008DO</v>
      </c>
      <c r="D4541" s="2004"/>
      <c r="E4541" s="1658" t="s">
        <v>9033</v>
      </c>
      <c r="F4541" s="2004"/>
      <c r="G4541" s="2004">
        <f>IF('4Q'!G30="","##BLANK",'4Q'!G30)</f>
        <v>19.360000000000014</v>
      </c>
    </row>
    <row r="4542" spans="2:7">
      <c r="B4542" s="848" t="str">
        <f>+'4Q'!D31</f>
        <v>BM902ECNP</v>
      </c>
      <c r="D4542" s="2004"/>
      <c r="E4542" s="1658" t="s">
        <v>9033</v>
      </c>
      <c r="F4542" s="2004"/>
      <c r="G4542" s="2004">
        <f>IF('4Q'!G31="","##BLANK",'4Q'!G31)</f>
        <v>270105</v>
      </c>
    </row>
    <row r="4543" spans="2:7">
      <c r="B4543" s="848" t="str">
        <f>+'4Q'!D32</f>
        <v>BM902ECWR</v>
      </c>
      <c r="D4543" s="2004"/>
      <c r="E4543" s="1658" t="s">
        <v>9033</v>
      </c>
      <c r="F4543" s="2004"/>
      <c r="G4543" s="2004">
        <f>IF('4Q'!G32="","##BLANK",'4Q'!G32)</f>
        <v>41946</v>
      </c>
    </row>
    <row r="4544" spans="2:7">
      <c r="B4544" s="848" t="str">
        <f>+'4Q'!D33</f>
        <v>BM102ECWW</v>
      </c>
      <c r="D4544" s="2004"/>
      <c r="E4544" s="1658" t="s">
        <v>9033</v>
      </c>
      <c r="F4544" s="2004"/>
      <c r="G4544" s="2004">
        <f>IF('4Q'!G33="","##BLANK",'4Q'!G33)</f>
        <v>312051</v>
      </c>
    </row>
    <row r="4545" spans="2:7">
      <c r="B4545" s="848" t="str">
        <f>+'4Q'!D34</f>
        <v>QEBW0180</v>
      </c>
      <c r="D4545" s="2004"/>
      <c r="E4545" s="1658" t="s">
        <v>9033</v>
      </c>
      <c r="F4545" s="2004"/>
      <c r="G4545" s="2004">
        <f>IF('4Q'!G34="","##BLANK",'4Q'!G34)</f>
        <v>0.99950000000000006</v>
      </c>
    </row>
    <row r="4546" spans="2:7">
      <c r="B4546" s="848" t="str">
        <f>+'4Q'!D35</f>
        <v>QEBW0183</v>
      </c>
      <c r="D4546" s="2004"/>
      <c r="E4546" s="1658" t="s">
        <v>9033</v>
      </c>
      <c r="F4546" s="2004"/>
      <c r="G4546" s="2004">
        <f>IF('4Q'!G35="","##BLANK",'4Q'!G35)</f>
        <v>4.7</v>
      </c>
    </row>
    <row r="4547" spans="2:7">
      <c r="B4547" s="848" t="str">
        <f>+'4Q'!D36</f>
        <v>QEBW0184</v>
      </c>
      <c r="D4547" s="2004"/>
      <c r="E4547" s="1658" t="s">
        <v>9033</v>
      </c>
      <c r="F4547" s="2004"/>
      <c r="G4547" s="2004">
        <f>IF('4Q'!G36="","##BLANK",'4Q'!G36)</f>
        <v>1.5</v>
      </c>
    </row>
    <row r="4548" spans="2:7">
      <c r="B4548" s="848" t="str">
        <f>+'4Q'!D37</f>
        <v>BN2341</v>
      </c>
      <c r="D4548" s="2004"/>
      <c r="E4548" s="1658" t="s">
        <v>9033</v>
      </c>
      <c r="F4548" s="2004"/>
      <c r="G4548" s="2004">
        <f>IF('4Q'!G37="","##BLANK",'4Q'!G37)</f>
        <v>-16.350000000000001</v>
      </c>
    </row>
    <row r="4549" spans="2:7">
      <c r="B4549" s="848" t="str">
        <f>+'4R'!D6</f>
        <v>S4002</v>
      </c>
      <c r="D4549" s="2004"/>
      <c r="E4549" s="1658" t="s">
        <v>9033</v>
      </c>
      <c r="F4549" s="2004"/>
      <c r="G4549" s="2004">
        <f>IF('4R'!G6="","##BLANK",'4R'!G6)</f>
        <v>0</v>
      </c>
    </row>
    <row r="4550" spans="2:7">
      <c r="B4550" s="848" t="str">
        <f>+'4R'!D7</f>
        <v>S4002A</v>
      </c>
      <c r="D4550" s="2004"/>
      <c r="E4550" s="1658" t="s">
        <v>9033</v>
      </c>
      <c r="F4550" s="2004"/>
      <c r="G4550" s="2004">
        <f>IF('4R'!G7="","##BLANK",'4R'!G7)</f>
        <v>0</v>
      </c>
    </row>
    <row r="4551" spans="2:7">
      <c r="B4551" s="848" t="str">
        <f>+'4R'!D8</f>
        <v>S4029</v>
      </c>
      <c r="D4551" s="2004"/>
      <c r="E4551" s="1658" t="s">
        <v>9033</v>
      </c>
      <c r="F4551" s="2004"/>
      <c r="G4551" s="2004">
        <f>IF('4R'!G8="","##BLANK",'4R'!G8)</f>
        <v>70018</v>
      </c>
    </row>
    <row r="4552" spans="2:7">
      <c r="B4552" s="848" t="str">
        <f>+'4R'!D9</f>
        <v>S6019</v>
      </c>
      <c r="D4552" s="2004"/>
      <c r="E4552" s="1658" t="s">
        <v>9033</v>
      </c>
      <c r="F4552" s="2004"/>
      <c r="G4552" s="2004">
        <f>IF('4R'!G9="","##BLANK",'4R'!G9)</f>
        <v>2534</v>
      </c>
    </row>
    <row r="4553" spans="2:7">
      <c r="B4553" s="848" t="str">
        <f>+'4R'!D10</f>
        <v>BN13522</v>
      </c>
      <c r="D4553" s="2004"/>
      <c r="E4553" s="1658" t="s">
        <v>9033</v>
      </c>
      <c r="F4553" s="2004"/>
      <c r="G4553" s="2004">
        <f>IF('4R'!G10="","##BLANK",'4R'!G10)</f>
        <v>32370</v>
      </c>
    </row>
    <row r="4554" spans="2:7">
      <c r="B4554" s="848" t="str">
        <f>+'4R'!D11</f>
        <v>BN13521</v>
      </c>
      <c r="D4554" s="2004"/>
      <c r="E4554" s="1658" t="s">
        <v>9033</v>
      </c>
      <c r="F4554" s="2004"/>
      <c r="G4554" s="2004">
        <f>IF('4R'!G11="","##BLANK",'4R'!G11)</f>
        <v>345</v>
      </c>
    </row>
    <row r="4555" spans="2:7">
      <c r="B4555" s="848" t="str">
        <f>+'4R'!D12</f>
        <v>BN13520</v>
      </c>
      <c r="D4555" s="2004"/>
      <c r="E4555" s="1658" t="s">
        <v>9033</v>
      </c>
      <c r="F4555" s="2004"/>
      <c r="G4555" s="2004">
        <f>IF('4R'!G12="","##BLANK",'4R'!G12)</f>
        <v>74</v>
      </c>
    </row>
    <row r="4556" spans="2:7">
      <c r="B4556" s="848" t="str">
        <f>+'4R'!D13</f>
        <v>CPMS2005</v>
      </c>
      <c r="D4556" s="2004"/>
      <c r="E4556" s="1658" t="s">
        <v>9033</v>
      </c>
      <c r="F4556" s="2004"/>
      <c r="G4556" s="2004">
        <f>IF('4R'!G13="","##BLANK",'4R'!G13)</f>
        <v>2068</v>
      </c>
    </row>
    <row r="4557" spans="2:7">
      <c r="B4557" s="848" t="str">
        <f>+'4R'!D14</f>
        <v>CPMS2004</v>
      </c>
      <c r="D4557" s="2004"/>
      <c r="E4557" s="1658" t="s">
        <v>9033</v>
      </c>
      <c r="F4557" s="2004"/>
      <c r="G4557" s="2004">
        <f>IF('4R'!G14="","##BLANK",'4R'!G14)</f>
        <v>602</v>
      </c>
    </row>
    <row r="4558" spans="2:7">
      <c r="B4558" s="848" t="str">
        <f>+'4R'!D15</f>
        <v>CPMS2014</v>
      </c>
      <c r="D4558" s="2004"/>
      <c r="E4558" s="1658" t="s">
        <v>9033</v>
      </c>
      <c r="F4558" s="2004"/>
      <c r="G4558" s="2004">
        <f>IF('4R'!G15="","##BLANK",'4R'!G15)</f>
        <v>190</v>
      </c>
    </row>
    <row r="4559" spans="2:7">
      <c r="B4559" s="848" t="str">
        <f>+'4R'!D16</f>
        <v>BB2370</v>
      </c>
      <c r="D4559" s="2004"/>
      <c r="E4559" s="1658" t="s">
        <v>9033</v>
      </c>
      <c r="F4559" s="2004"/>
      <c r="G4559" s="2004">
        <f>IF('4R'!G16="","##BLANK",'4R'!G16)</f>
        <v>2224</v>
      </c>
    </row>
    <row r="4560" spans="2:7">
      <c r="B4560" s="848" t="str">
        <f>+'4R'!D17</f>
        <v>CPMS2012</v>
      </c>
      <c r="D4560" s="2004"/>
      <c r="E4560" s="1658" t="s">
        <v>9033</v>
      </c>
      <c r="F4560" s="2004"/>
      <c r="G4560" s="2004">
        <f>IF('4R'!G17="","##BLANK",'4R'!G17)</f>
        <v>18588.47</v>
      </c>
    </row>
    <row r="4561" spans="2:7">
      <c r="B4561" s="848" t="str">
        <f>+'4R'!D18</f>
        <v>CPMS2015</v>
      </c>
      <c r="D4561" s="2004"/>
      <c r="E4561" s="1658" t="s">
        <v>9033</v>
      </c>
      <c r="F4561" s="2004"/>
      <c r="G4561" s="2004">
        <f>IF('4R'!G18="","##BLANK",'4R'!G18)</f>
        <v>747107.16</v>
      </c>
    </row>
    <row r="4562" spans="2:7">
      <c r="B4562" s="848" t="str">
        <f>+'4R'!D19</f>
        <v>BN13519</v>
      </c>
      <c r="D4562" s="2004"/>
      <c r="E4562" s="1658" t="s">
        <v>9033</v>
      </c>
      <c r="F4562" s="2004"/>
      <c r="G4562" s="2004">
        <f>IF('4R'!G19="","##BLANK",'4R'!G19)</f>
        <v>27</v>
      </c>
    </row>
    <row r="4563" spans="2:7">
      <c r="B4563" s="848" t="str">
        <f>+'4R'!D20</f>
        <v>BN13523</v>
      </c>
      <c r="D4563" s="2004"/>
      <c r="E4563" s="1658" t="s">
        <v>9033</v>
      </c>
      <c r="F4563" s="2004"/>
      <c r="G4563" s="2004">
        <f>IF('4R'!G20="","##BLANK",'4R'!G20)</f>
        <v>2</v>
      </c>
    </row>
    <row r="4564" spans="2:7">
      <c r="B4564" s="848" t="str">
        <f>+'4R'!D21</f>
        <v>BN13524</v>
      </c>
      <c r="D4564" s="2004"/>
      <c r="E4564" s="1658" t="s">
        <v>9033</v>
      </c>
      <c r="F4564" s="2004"/>
      <c r="G4564" s="2004">
        <f>IF('4R'!G21="","##BLANK",'4R'!G21)</f>
        <v>5357</v>
      </c>
    </row>
    <row r="4565" spans="2:7">
      <c r="B4565" s="848" t="str">
        <f>+'4R'!D22</f>
        <v>BN13525</v>
      </c>
      <c r="D4565" s="2004"/>
      <c r="E4565" s="1658" t="s">
        <v>9033</v>
      </c>
      <c r="F4565" s="2004"/>
      <c r="G4565" s="2004">
        <f>IF('4R'!G22="","##BLANK",'4R'!G22)</f>
        <v>7510</v>
      </c>
    </row>
    <row r="4566" spans="2:7">
      <c r="B4566" s="848" t="str">
        <f>+'4R'!D23</f>
        <v>BN13526</v>
      </c>
      <c r="D4566" s="2004"/>
      <c r="E4566" s="1658" t="s">
        <v>9033</v>
      </c>
      <c r="F4566" s="2004"/>
      <c r="G4566" s="2004">
        <f>IF('4R'!G23="","##BLANK",'4R'!G23)</f>
        <v>16266</v>
      </c>
    </row>
    <row r="4567" spans="2:7">
      <c r="B4567" s="848" t="str">
        <f>+'4R'!D24</f>
        <v>BN13527</v>
      </c>
      <c r="D4567" s="2004"/>
      <c r="E4567" s="1658" t="s">
        <v>9033</v>
      </c>
      <c r="F4567" s="2004"/>
      <c r="G4567" s="2004">
        <f>IF('4R'!G24="","##BLANK",'4R'!G24)</f>
        <v>1267</v>
      </c>
    </row>
    <row r="4568" spans="2:7">
      <c r="B4568" s="848" t="str">
        <f>+'4R'!D25</f>
        <v>BN13534</v>
      </c>
      <c r="D4568" s="2004"/>
      <c r="E4568" s="1658" t="s">
        <v>9033</v>
      </c>
      <c r="F4568" s="2004"/>
      <c r="G4568" s="2004">
        <f>IF('4R'!G25="","##BLANK",'4R'!G25)</f>
        <v>355</v>
      </c>
    </row>
    <row r="4569" spans="2:7">
      <c r="B4569" s="848" t="str">
        <f>+'4R'!D26</f>
        <v>BN13535</v>
      </c>
      <c r="D4569" s="2004"/>
      <c r="E4569" s="1658" t="s">
        <v>9033</v>
      </c>
      <c r="F4569" s="2004"/>
      <c r="G4569" s="2004">
        <f>IF('4R'!G26="","##BLANK",'4R'!G26)</f>
        <v>30755</v>
      </c>
    </row>
    <row r="4570" spans="2:7">
      <c r="B4570" s="848" t="str">
        <f>+'4R'!D27</f>
        <v>BN13528</v>
      </c>
      <c r="D4570" s="2004"/>
      <c r="E4570" s="1658" t="s">
        <v>9033</v>
      </c>
      <c r="F4570" s="2004"/>
      <c r="G4570" s="2004">
        <f>IF('4R'!G27="","##BLANK",'4R'!G27)</f>
        <v>21560</v>
      </c>
    </row>
    <row r="4571" spans="2:7">
      <c r="B4571" s="848" t="str">
        <f>+'4R'!D30</f>
        <v>BP05613</v>
      </c>
      <c r="D4571" s="2004"/>
      <c r="E4571" s="1658" t="s">
        <v>9033</v>
      </c>
      <c r="F4571" s="2004"/>
      <c r="G4571" s="2004">
        <f>IF('4R'!G30="","##BLANK",'4R'!G30)</f>
        <v>146.69999999999999</v>
      </c>
    </row>
    <row r="4572" spans="2:7">
      <c r="B4572" s="848" t="str">
        <f>+'4R'!D31</f>
        <v>MP05614</v>
      </c>
      <c r="D4572" s="2004"/>
      <c r="E4572" s="1658" t="s">
        <v>9033</v>
      </c>
      <c r="F4572" s="2004"/>
      <c r="G4572" s="2004">
        <f>IF('4R'!G31="","##BLANK",'4R'!G31)</f>
        <v>2</v>
      </c>
    </row>
    <row r="4573" spans="2:7">
      <c r="B4573" s="848" t="str">
        <f>+'4R'!D32</f>
        <v>MP05611</v>
      </c>
      <c r="D4573" s="2004"/>
      <c r="E4573" s="1658" t="s">
        <v>9033</v>
      </c>
      <c r="F4573" s="2004"/>
      <c r="G4573" s="2004">
        <f>IF('4R'!G32="","##BLANK",'4R'!G32)</f>
        <v>148.69999999999999</v>
      </c>
    </row>
    <row r="4574" spans="2:7">
      <c r="B4574" s="848" t="str">
        <f>+'4R'!D33</f>
        <v>MP05613</v>
      </c>
      <c r="D4574" s="2004"/>
      <c r="E4574" s="1658" t="s">
        <v>9033</v>
      </c>
      <c r="F4574" s="2004"/>
      <c r="G4574" s="2004">
        <f>IF('4R'!G33="","##BLANK",'4R'!G33)</f>
        <v>5.9</v>
      </c>
    </row>
    <row r="4575" spans="2:7">
      <c r="B4575" s="848" t="str">
        <f>+'4R'!D35</f>
        <v>MP05615</v>
      </c>
      <c r="D4575" s="2004"/>
      <c r="E4575" s="1658" t="s">
        <v>9033</v>
      </c>
      <c r="F4575" s="2004"/>
      <c r="G4575" s="2004">
        <f>IF('4R'!G35="","##BLANK",'4R'!G35)</f>
        <v>0.77939999999999998</v>
      </c>
    </row>
    <row r="4576" spans="2:7">
      <c r="B4576" s="848" t="str">
        <f>+'4R'!D37</f>
        <v>BN1623</v>
      </c>
      <c r="D4576" s="2004"/>
      <c r="E4576" s="1658" t="s">
        <v>9033</v>
      </c>
      <c r="F4576" s="2004"/>
      <c r="G4576" s="2004">
        <f>IF('4R'!G37="","##BLANK",'4R'!G37)</f>
        <v>73.7</v>
      </c>
    </row>
    <row r="4577" spans="2:7">
      <c r="B4577" s="848" t="str">
        <f>+'4R'!D38</f>
        <v>BN1622</v>
      </c>
      <c r="D4577" s="2004"/>
      <c r="E4577" s="1658" t="s">
        <v>9033</v>
      </c>
      <c r="F4577" s="2004"/>
      <c r="G4577" s="2004">
        <f>IF('4R'!G38="","##BLANK",'4R'!G38)</f>
        <v>1.9</v>
      </c>
    </row>
    <row r="4578" spans="2:7">
      <c r="B4578" s="848" t="str">
        <f>+'4R'!D39</f>
        <v>BN1621</v>
      </c>
      <c r="D4578" s="2004"/>
      <c r="E4578" s="1658" t="s">
        <v>9033</v>
      </c>
      <c r="F4578" s="2004"/>
      <c r="G4578" s="2004">
        <f>IF('4R'!G39="","##BLANK",'4R'!G39)</f>
        <v>75.600000000000009</v>
      </c>
    </row>
    <row r="4579" spans="2:7">
      <c r="B4579" s="848" t="str">
        <f>+'4R'!D41</f>
        <v>BN1640</v>
      </c>
      <c r="D4579" s="2004"/>
      <c r="E4579" s="1658" t="s">
        <v>9033</v>
      </c>
      <c r="F4579" s="2004"/>
      <c r="G4579" s="2004">
        <f>IF('4R'!G41="","##BLANK",'4R'!G41)</f>
        <v>0</v>
      </c>
    </row>
    <row r="4580" spans="2:7">
      <c r="B4580" s="848" t="str">
        <f>+'4R'!D42</f>
        <v>BN1641</v>
      </c>
      <c r="D4580" s="2004"/>
      <c r="E4580" s="1658" t="s">
        <v>9033</v>
      </c>
      <c r="F4580" s="2004"/>
      <c r="G4580" s="2004">
        <f>IF('4R'!G42="","##BLANK",'4R'!G42)</f>
        <v>973</v>
      </c>
    </row>
    <row r="4581" spans="2:7">
      <c r="B4581" s="848" t="str">
        <f>+'4R'!D43</f>
        <v>BN1642</v>
      </c>
      <c r="D4581" s="2004"/>
      <c r="E4581" s="1658" t="s">
        <v>9033</v>
      </c>
      <c r="F4581" s="2004"/>
      <c r="G4581" s="2004">
        <f>IF('4R'!G43="","##BLANK",'4R'!G43)</f>
        <v>1726</v>
      </c>
    </row>
    <row r="4582" spans="2:7">
      <c r="B4582" s="848" t="str">
        <f>+'4R'!D44</f>
        <v>BN1643</v>
      </c>
      <c r="D4582" s="2004"/>
      <c r="E4582" s="1658" t="s">
        <v>9033</v>
      </c>
      <c r="F4582" s="2004"/>
      <c r="G4582" s="2004">
        <f>IF('4R'!G44="","##BLANK",'4R'!G44)</f>
        <v>2699</v>
      </c>
    </row>
    <row r="4583" spans="2:7">
      <c r="B4583" s="848" t="str">
        <f>+'4R'!D46</f>
        <v>BN1644</v>
      </c>
      <c r="D4583" s="2004"/>
      <c r="E4583" s="1658" t="s">
        <v>9033</v>
      </c>
      <c r="F4583" s="2004"/>
      <c r="G4583" s="2004">
        <f>IF('4R'!G46="","##BLANK",'4R'!G46)</f>
        <v>32220066</v>
      </c>
    </row>
    <row r="4584" spans="2:7">
      <c r="B4584" s="848" t="str">
        <f>+'4R'!D48</f>
        <v>BN1648</v>
      </c>
      <c r="D4584" s="2004"/>
      <c r="E4584" s="1658" t="s">
        <v>9033</v>
      </c>
      <c r="F4584" s="2004"/>
      <c r="G4584" s="2004">
        <f>IF('4R'!G48="","##BLANK",'4R'!G48)</f>
        <v>0</v>
      </c>
    </row>
    <row r="4585" spans="2:7">
      <c r="B4585" s="848" t="str">
        <f>+'4R'!D49</f>
        <v>BN1645</v>
      </c>
      <c r="D4585" s="2004"/>
      <c r="E4585" s="1658" t="s">
        <v>9033</v>
      </c>
      <c r="F4585" s="2004"/>
      <c r="G4585" s="2004">
        <f>IF('4R'!G49="","##BLANK",'4R'!G49)</f>
        <v>4</v>
      </c>
    </row>
    <row r="4586" spans="2:7">
      <c r="B4586" s="848" t="str">
        <f>+'4R'!D50</f>
        <v>BN1646</v>
      </c>
      <c r="D4586" s="2004"/>
      <c r="E4586" s="1658" t="s">
        <v>9033</v>
      </c>
      <c r="F4586" s="2004"/>
      <c r="G4586" s="2004">
        <f>IF('4R'!G50="","##BLANK",'4R'!G50)</f>
        <v>4541</v>
      </c>
    </row>
    <row r="4587" spans="2:7">
      <c r="B4587" s="848" t="str">
        <f>+'4R'!D51</f>
        <v>BN1647</v>
      </c>
      <c r="D4587" s="2004"/>
      <c r="E4587" s="1658" t="s">
        <v>9033</v>
      </c>
      <c r="F4587" s="2004"/>
      <c r="G4587" s="2004">
        <f>IF('4R'!G51="","##BLANK",'4R'!G51)</f>
        <v>4545</v>
      </c>
    </row>
    <row r="4588" spans="2:7">
      <c r="B4588" s="848" t="str">
        <f>+'4R'!D53</f>
        <v>BN1649</v>
      </c>
      <c r="D4588" s="2004"/>
      <c r="E4588" s="1658" t="s">
        <v>9033</v>
      </c>
      <c r="F4588" s="2004"/>
      <c r="G4588" s="2004">
        <f>IF('4R'!G53="","##BLANK",'4R'!G53)</f>
        <v>81192</v>
      </c>
    </row>
    <row r="4589" spans="2:7">
      <c r="B4589" s="848" t="str">
        <f>+'4R'!D55</f>
        <v>MP05616</v>
      </c>
      <c r="D4589" s="2004"/>
      <c r="E4589" s="1658" t="s">
        <v>9033</v>
      </c>
      <c r="F4589" s="2004"/>
      <c r="G4589" s="2004">
        <f>IF('4R'!G55="","##BLANK",'4R'!G55)</f>
        <v>3.1699999999999999E-2</v>
      </c>
    </row>
    <row r="4590" spans="2:7">
      <c r="B4590" s="1739" t="str">
        <f>'4S'!BS8</f>
        <v>STWD001</v>
      </c>
      <c r="D4590" s="2004"/>
      <c r="E4590" s="1658" t="s">
        <v>9033</v>
      </c>
      <c r="F4590" s="2004"/>
      <c r="G4590" s="2004">
        <f>IF('4S'!G8="","##BLANK",'4S'!G8)</f>
        <v>66</v>
      </c>
    </row>
    <row r="4591" spans="2:7">
      <c r="B4591" s="1739" t="str">
        <f>'4S'!BS9</f>
        <v>STWD015</v>
      </c>
      <c r="D4591" s="2004"/>
      <c r="E4591" s="1658" t="s">
        <v>9033</v>
      </c>
      <c r="F4591" s="2004"/>
      <c r="G4591" s="2004">
        <f>IF('4S'!G9="","##BLANK",'4S'!G9)</f>
        <v>19</v>
      </c>
    </row>
    <row r="4592" spans="2:7">
      <c r="B4592" s="1739" t="str">
        <f>'4S'!BS10</f>
        <v>STWD029</v>
      </c>
      <c r="D4592" s="2004"/>
      <c r="E4592" s="1658" t="s">
        <v>9033</v>
      </c>
      <c r="F4592" s="2004"/>
      <c r="G4592" s="2004">
        <f>IF('4S'!G10="","##BLANK",'4S'!G10)</f>
        <v>152</v>
      </c>
    </row>
    <row r="4593" spans="2:7">
      <c r="B4593" s="1739" t="str">
        <f>'4S'!BS11</f>
        <v>STWD043</v>
      </c>
      <c r="D4593" s="2004"/>
      <c r="E4593" s="1658" t="s">
        <v>9033</v>
      </c>
      <c r="F4593" s="2004"/>
      <c r="G4593" s="2004">
        <f>IF('4S'!G11="","##BLANK",'4S'!G11)</f>
        <v>0</v>
      </c>
    </row>
    <row r="4594" spans="2:7">
      <c r="B4594" s="1739" t="str">
        <f>'4S'!BS12</f>
        <v>STWD057</v>
      </c>
      <c r="D4594" s="2004"/>
      <c r="E4594" s="1658" t="s">
        <v>9033</v>
      </c>
      <c r="F4594" s="2004"/>
      <c r="G4594" s="2004">
        <f>IF('4S'!G12="","##BLANK",'4S'!G12)</f>
        <v>0</v>
      </c>
    </row>
    <row r="4595" spans="2:7">
      <c r="B4595" s="1739" t="str">
        <f>'4S'!BS13</f>
        <v>STWD101</v>
      </c>
      <c r="D4595" s="2004"/>
      <c r="E4595" s="1658" t="s">
        <v>9033</v>
      </c>
      <c r="F4595" s="2004"/>
      <c r="G4595" s="2004">
        <f>IF('4S'!G13="","##BLANK",'4S'!G13)</f>
        <v>0</v>
      </c>
    </row>
    <row r="4596" spans="2:7">
      <c r="B4596" s="1739" t="str">
        <f>'4S'!BS14</f>
        <v>STWD121</v>
      </c>
      <c r="D4596" s="2004"/>
      <c r="E4596" s="1658" t="s">
        <v>9033</v>
      </c>
      <c r="F4596" s="2004"/>
      <c r="G4596" s="2004">
        <f>IF('4S'!G14="","##BLANK",'4S'!G14)</f>
        <v>237</v>
      </c>
    </row>
    <row r="4597" spans="2:7">
      <c r="B4597" s="1739" t="str">
        <f>'4S'!BS18</f>
        <v>STWC001</v>
      </c>
      <c r="D4597" s="2004"/>
      <c r="E4597" s="1658" t="s">
        <v>9033</v>
      </c>
      <c r="F4597" s="2004"/>
      <c r="G4597" s="2004">
        <f>IF('4S'!G18="","##BLANK",'4S'!G18)</f>
        <v>32</v>
      </c>
    </row>
    <row r="4598" spans="2:7">
      <c r="B4598" s="1739" t="str">
        <f>'4S'!BS19</f>
        <v>STWC015</v>
      </c>
      <c r="D4598" s="2004"/>
      <c r="E4598" s="1658" t="s">
        <v>9033</v>
      </c>
      <c r="F4598" s="2004"/>
      <c r="G4598" s="2004">
        <f>IF('4S'!G19="","##BLANK",'4S'!G19)</f>
        <v>1</v>
      </c>
    </row>
    <row r="4599" spans="2:7">
      <c r="B4599" s="1739" t="str">
        <f>'4S'!BS20</f>
        <v>STWC029</v>
      </c>
      <c r="D4599" s="2004"/>
      <c r="E4599" s="1658" t="s">
        <v>9033</v>
      </c>
      <c r="F4599" s="2004"/>
      <c r="G4599" s="2004">
        <f>IF('4S'!G20="","##BLANK",'4S'!G20)</f>
        <v>3</v>
      </c>
    </row>
    <row r="4600" spans="2:7">
      <c r="B4600" s="1739" t="str">
        <f>'4S'!BS21</f>
        <v>STWC043</v>
      </c>
      <c r="D4600" s="2004"/>
      <c r="E4600" s="1658" t="s">
        <v>9033</v>
      </c>
      <c r="F4600" s="2004"/>
      <c r="G4600" s="2004">
        <f>IF('4S'!G21="","##BLANK",'4S'!G21)</f>
        <v>0</v>
      </c>
    </row>
    <row r="4601" spans="2:7">
      <c r="B4601" s="1739" t="str">
        <f>'4S'!BS22</f>
        <v>STWC057</v>
      </c>
      <c r="D4601" s="2004"/>
      <c r="E4601" s="1658" t="s">
        <v>9033</v>
      </c>
      <c r="F4601" s="2004"/>
      <c r="G4601" s="2004">
        <f>IF('4S'!G22="","##BLANK",'4S'!G22)</f>
        <v>0</v>
      </c>
    </row>
    <row r="4602" spans="2:7">
      <c r="B4602" s="1739" t="str">
        <f>'4S'!BS23</f>
        <v>STWC101</v>
      </c>
      <c r="D4602" s="2004"/>
      <c r="E4602" s="1658" t="s">
        <v>9033</v>
      </c>
      <c r="F4602" s="2004"/>
      <c r="G4602" s="2004">
        <f>IF('4S'!G23="","##BLANK",'4S'!G23)</f>
        <v>0</v>
      </c>
    </row>
    <row r="4603" spans="2:7">
      <c r="B4603" s="1739" t="str">
        <f>'4S'!BS24</f>
        <v>STWC121</v>
      </c>
      <c r="D4603" s="2004"/>
      <c r="E4603" s="1658" t="s">
        <v>9033</v>
      </c>
      <c r="F4603" s="2004"/>
      <c r="G4603" s="2004">
        <f>IF('4S'!G24="","##BLANK",'4S'!G24)</f>
        <v>36</v>
      </c>
    </row>
    <row r="4604" spans="2:7">
      <c r="B4604" s="1739" t="str">
        <f>'4S'!BT8</f>
        <v>STWD002</v>
      </c>
      <c r="D4604" s="2004"/>
      <c r="E4604" s="1658" t="s">
        <v>9033</v>
      </c>
      <c r="F4604" s="2004"/>
      <c r="G4604" s="2004">
        <f>IF('4S'!H8="","##BLANK",'4S'!H8)</f>
        <v>365</v>
      </c>
    </row>
    <row r="4605" spans="2:7">
      <c r="B4605" s="1739" t="str">
        <f>'4S'!BT9</f>
        <v>STWD016</v>
      </c>
      <c r="D4605" s="2004"/>
      <c r="E4605" s="1658" t="s">
        <v>9033</v>
      </c>
      <c r="F4605" s="2004"/>
      <c r="G4605" s="2004">
        <f>IF('4S'!H9="","##BLANK",'4S'!H9)</f>
        <v>277</v>
      </c>
    </row>
    <row r="4606" spans="2:7">
      <c r="B4606" s="1739" t="str">
        <f>'4S'!BT10</f>
        <v>STWD030</v>
      </c>
      <c r="D4606" s="2004"/>
      <c r="E4606" s="1658" t="s">
        <v>9033</v>
      </c>
      <c r="F4606" s="2004"/>
      <c r="G4606" s="2004">
        <f>IF('4S'!H10="","##BLANK",'4S'!H10)</f>
        <v>834</v>
      </c>
    </row>
    <row r="4607" spans="2:7">
      <c r="B4607" s="1739" t="str">
        <f>'4S'!BT11</f>
        <v>STWD044</v>
      </c>
      <c r="D4607" s="2004"/>
      <c r="E4607" s="1658" t="s">
        <v>9033</v>
      </c>
      <c r="F4607" s="2004"/>
      <c r="G4607" s="2004">
        <f>IF('4S'!H11="","##BLANK",'4S'!H11)</f>
        <v>4072</v>
      </c>
    </row>
    <row r="4608" spans="2:7">
      <c r="B4608" s="1739" t="str">
        <f>'4S'!BT12</f>
        <v>STWD058</v>
      </c>
      <c r="D4608" s="2004"/>
      <c r="E4608" s="1658" t="s">
        <v>9033</v>
      </c>
      <c r="F4608" s="2004"/>
      <c r="G4608" s="2004">
        <f>IF('4S'!H12="","##BLANK",'4S'!H12)</f>
        <v>10589</v>
      </c>
    </row>
    <row r="4609" spans="2:7">
      <c r="B4609" s="1739" t="str">
        <f>'4S'!BT13</f>
        <v>STWD102</v>
      </c>
      <c r="D4609" s="2004"/>
      <c r="E4609" s="1658" t="s">
        <v>9033</v>
      </c>
      <c r="F4609" s="2004"/>
      <c r="G4609" s="2004">
        <f>IF('4S'!H13="","##BLANK",'4S'!H13)</f>
        <v>195295</v>
      </c>
    </row>
    <row r="4610" spans="2:7">
      <c r="B4610" s="1739" t="str">
        <f>'4S'!BT14</f>
        <v>STWD122</v>
      </c>
      <c r="D4610" s="2004"/>
      <c r="E4610" s="1658" t="s">
        <v>9033</v>
      </c>
      <c r="F4610" s="2004"/>
      <c r="G4610" s="2004">
        <f>IF('4S'!H14="","##BLANK",'4S'!H14)</f>
        <v>211432</v>
      </c>
    </row>
    <row r="4611" spans="2:7">
      <c r="B4611" s="1739" t="str">
        <f>'4S'!BT18</f>
        <v>STWC002</v>
      </c>
      <c r="D4611" s="2004"/>
      <c r="E4611" s="1658" t="s">
        <v>9033</v>
      </c>
      <c r="F4611" s="2004"/>
      <c r="G4611" s="2004">
        <f>IF('4S'!H18="","##BLANK",'4S'!H18)</f>
        <v>68</v>
      </c>
    </row>
    <row r="4612" spans="2:7">
      <c r="B4612" s="1739" t="str">
        <f>'4S'!BT19</f>
        <v>STWC016</v>
      </c>
      <c r="D4612" s="2004"/>
      <c r="E4612" s="1658" t="s">
        <v>9033</v>
      </c>
      <c r="F4612" s="2004"/>
      <c r="G4612" s="2004">
        <f>IF('4S'!H19="","##BLANK",'4S'!H19)</f>
        <v>12</v>
      </c>
    </row>
    <row r="4613" spans="2:7">
      <c r="B4613" s="1739" t="str">
        <f>'4S'!BT20</f>
        <v>STWC030</v>
      </c>
      <c r="D4613" s="2004"/>
      <c r="E4613" s="1658" t="s">
        <v>9033</v>
      </c>
      <c r="F4613" s="2004"/>
      <c r="G4613" s="2004">
        <f>IF('4S'!H20="","##BLANK",'4S'!H20)</f>
        <v>10</v>
      </c>
    </row>
    <row r="4614" spans="2:7">
      <c r="B4614" s="1739" t="str">
        <f>'4S'!BT21</f>
        <v>STWC044</v>
      </c>
      <c r="D4614" s="2004"/>
      <c r="E4614" s="1658" t="s">
        <v>9033</v>
      </c>
      <c r="F4614" s="2004"/>
      <c r="G4614" s="2004">
        <f>IF('4S'!H21="","##BLANK",'4S'!H21)</f>
        <v>12</v>
      </c>
    </row>
    <row r="4615" spans="2:7">
      <c r="B4615" s="1739" t="str">
        <f>'4S'!BT22</f>
        <v>STWC058</v>
      </c>
      <c r="D4615" s="2004"/>
      <c r="E4615" s="1658" t="s">
        <v>9033</v>
      </c>
      <c r="F4615" s="2004"/>
      <c r="G4615" s="2004">
        <f>IF('4S'!H22="","##BLANK",'4S'!H22)</f>
        <v>9</v>
      </c>
    </row>
    <row r="4616" spans="2:7">
      <c r="B4616" s="1739" t="str">
        <f>'4S'!BT23</f>
        <v>STWC102</v>
      </c>
      <c r="D4616" s="2004"/>
      <c r="E4616" s="1658" t="s">
        <v>9033</v>
      </c>
      <c r="F4616" s="2004"/>
      <c r="G4616" s="2004">
        <f>IF('4S'!H23="","##BLANK",'4S'!H23)</f>
        <v>18</v>
      </c>
    </row>
    <row r="4617" spans="2:7">
      <c r="B4617" s="1739" t="str">
        <f>'4S'!BT24</f>
        <v>STWC122</v>
      </c>
      <c r="D4617" s="2004"/>
      <c r="E4617" s="1658" t="s">
        <v>9033</v>
      </c>
      <c r="F4617" s="2004"/>
      <c r="G4617" s="2004">
        <f>IF('4S'!H24="","##BLANK",'4S'!H24)</f>
        <v>129</v>
      </c>
    </row>
    <row r="4618" spans="2:7">
      <c r="B4618" s="1739" t="str">
        <f>'4S'!BU8</f>
        <v>STWD003</v>
      </c>
      <c r="D4618" s="2004"/>
      <c r="E4618" s="1658" t="s">
        <v>9033</v>
      </c>
      <c r="F4618" s="2004"/>
      <c r="G4618" s="2004">
        <f>IF('4S'!I8="","##BLANK",'4S'!I8)</f>
        <v>1161</v>
      </c>
    </row>
    <row r="4619" spans="2:7">
      <c r="B4619" s="1739" t="str">
        <f>'4S'!BU9</f>
        <v>STWD017</v>
      </c>
      <c r="D4619" s="2004"/>
      <c r="E4619" s="1658" t="s">
        <v>9033</v>
      </c>
      <c r="F4619" s="2004"/>
      <c r="G4619" s="2004">
        <f>IF('4S'!I9="","##BLANK",'4S'!I9)</f>
        <v>818</v>
      </c>
    </row>
    <row r="4620" spans="2:7">
      <c r="B4620" s="1739" t="str">
        <f>'4S'!BU10</f>
        <v>STWD031</v>
      </c>
      <c r="D4620" s="2004"/>
      <c r="E4620" s="1658" t="s">
        <v>9033</v>
      </c>
      <c r="F4620" s="2004"/>
      <c r="G4620" s="2004">
        <f>IF('4S'!I10="","##BLANK",'4S'!I10)</f>
        <v>2341</v>
      </c>
    </row>
    <row r="4621" spans="2:7">
      <c r="B4621" s="1739" t="str">
        <f>'4S'!BU11</f>
        <v>STWD045</v>
      </c>
      <c r="D4621" s="2004"/>
      <c r="E4621" s="1658" t="s">
        <v>9033</v>
      </c>
      <c r="F4621" s="2004"/>
      <c r="G4621" s="2004">
        <f>IF('4S'!I11="","##BLANK",'4S'!I11)</f>
        <v>8449</v>
      </c>
    </row>
    <row r="4622" spans="2:7">
      <c r="B4622" s="1739" t="str">
        <f>'4S'!BU12</f>
        <v>STWD059</v>
      </c>
      <c r="D4622" s="2004"/>
      <c r="E4622" s="1658" t="s">
        <v>9033</v>
      </c>
      <c r="F4622" s="2004"/>
      <c r="G4622" s="2004">
        <f>IF('4S'!I12="","##BLANK",'4S'!I12)</f>
        <v>13922</v>
      </c>
    </row>
    <row r="4623" spans="2:7">
      <c r="B4623" s="1739" t="str">
        <f>'4S'!BU13</f>
        <v>STWD103</v>
      </c>
      <c r="D4623" s="2004"/>
      <c r="E4623" s="1658" t="s">
        <v>9033</v>
      </c>
      <c r="F4623" s="2004"/>
      <c r="G4623" s="2004">
        <f>IF('4S'!I13="","##BLANK",'4S'!I13)</f>
        <v>19394</v>
      </c>
    </row>
    <row r="4624" spans="2:7">
      <c r="B4624" s="1739" t="str">
        <f>'4S'!BU14</f>
        <v>STWD123</v>
      </c>
      <c r="D4624" s="2004"/>
      <c r="E4624" s="1658" t="s">
        <v>9033</v>
      </c>
      <c r="F4624" s="2004"/>
      <c r="G4624" s="2004">
        <f>IF('4S'!I14="","##BLANK",'4S'!I14)</f>
        <v>46085</v>
      </c>
    </row>
    <row r="4625" spans="2:7">
      <c r="B4625" s="1739" t="str">
        <f>'4S'!BU18</f>
        <v>STWC003</v>
      </c>
      <c r="D4625" s="2004"/>
      <c r="E4625" s="1658" t="s">
        <v>9033</v>
      </c>
      <c r="F4625" s="2004"/>
      <c r="G4625" s="2004">
        <f>IF('4S'!I18="","##BLANK",'4S'!I18)</f>
        <v>201</v>
      </c>
    </row>
    <row r="4626" spans="2:7">
      <c r="B4626" s="1739" t="str">
        <f>'4S'!BU19</f>
        <v>STWC017</v>
      </c>
      <c r="D4626" s="2004"/>
      <c r="E4626" s="1658" t="s">
        <v>9033</v>
      </c>
      <c r="F4626" s="2004"/>
      <c r="G4626" s="2004">
        <f>IF('4S'!I19="","##BLANK",'4S'!I19)</f>
        <v>37</v>
      </c>
    </row>
    <row r="4627" spans="2:7">
      <c r="B4627" s="1739" t="str">
        <f>'4S'!BU20</f>
        <v>STWC031</v>
      </c>
      <c r="D4627" s="2004"/>
      <c r="E4627" s="1658" t="s">
        <v>9033</v>
      </c>
      <c r="F4627" s="2004"/>
      <c r="G4627" s="2004">
        <f>IF('4S'!I20="","##BLANK",'4S'!I20)</f>
        <v>39</v>
      </c>
    </row>
    <row r="4628" spans="2:7">
      <c r="B4628" s="1739" t="str">
        <f>'4S'!BU21</f>
        <v>STWC045</v>
      </c>
      <c r="D4628" s="2004"/>
      <c r="E4628" s="1658" t="s">
        <v>9033</v>
      </c>
      <c r="F4628" s="2004"/>
      <c r="G4628" s="2004">
        <f>IF('4S'!I21="","##BLANK",'4S'!I21)</f>
        <v>29</v>
      </c>
    </row>
    <row r="4629" spans="2:7">
      <c r="B4629" s="1739" t="str">
        <f>'4S'!BU22</f>
        <v>STWC059</v>
      </c>
      <c r="D4629" s="2004"/>
      <c r="E4629" s="1658" t="s">
        <v>9033</v>
      </c>
      <c r="F4629" s="2004"/>
      <c r="G4629" s="2004">
        <f>IF('4S'!I22="","##BLANK",'4S'!I22)</f>
        <v>15</v>
      </c>
    </row>
    <row r="4630" spans="2:7">
      <c r="B4630" s="1739" t="str">
        <f>'4S'!BU23</f>
        <v>STWC103</v>
      </c>
      <c r="D4630" s="2004"/>
      <c r="E4630" s="1658" t="s">
        <v>9033</v>
      </c>
      <c r="F4630" s="2004"/>
      <c r="G4630" s="2004">
        <f>IF('4S'!I23="","##BLANK",'4S'!I23)</f>
        <v>6</v>
      </c>
    </row>
    <row r="4631" spans="2:7">
      <c r="B4631" s="1739" t="str">
        <f>'4S'!BU24</f>
        <v>STWC123</v>
      </c>
      <c r="D4631" s="2004"/>
      <c r="E4631" s="1658" t="s">
        <v>9033</v>
      </c>
      <c r="F4631" s="2004"/>
      <c r="G4631" s="2004">
        <f>IF('4S'!I24="","##BLANK",'4S'!I24)</f>
        <v>327</v>
      </c>
    </row>
    <row r="4632" spans="2:7">
      <c r="B4632" s="1739" t="str">
        <f>'4S'!BV8</f>
        <v>STWD004</v>
      </c>
      <c r="D4632" s="2004"/>
      <c r="E4632" s="1658" t="s">
        <v>9033</v>
      </c>
      <c r="F4632" s="2004"/>
      <c r="G4632" s="2004">
        <f>IF('4S'!J8="","##BLANK",'4S'!J8)</f>
        <v>49</v>
      </c>
    </row>
    <row r="4633" spans="2:7">
      <c r="B4633" s="1739" t="str">
        <f>'4S'!BV9</f>
        <v>STWD018</v>
      </c>
      <c r="D4633" s="2004"/>
      <c r="E4633" s="1658" t="s">
        <v>9033</v>
      </c>
      <c r="F4633" s="2004"/>
      <c r="G4633" s="2004">
        <f>IF('4S'!J9="","##BLANK",'4S'!J9)</f>
        <v>22</v>
      </c>
    </row>
    <row r="4634" spans="2:7">
      <c r="B4634" s="1739" t="str">
        <f>'4S'!BV10</f>
        <v>STWD032</v>
      </c>
      <c r="D4634" s="2004"/>
      <c r="E4634" s="1658" t="s">
        <v>9033</v>
      </c>
      <c r="F4634" s="2004"/>
      <c r="G4634" s="2004">
        <f>IF('4S'!J10="","##BLANK",'4S'!J10)</f>
        <v>169</v>
      </c>
    </row>
    <row r="4635" spans="2:7">
      <c r="B4635" s="1739" t="str">
        <f>'4S'!BV11</f>
        <v>STWD046</v>
      </c>
      <c r="D4635" s="2004"/>
      <c r="E4635" s="1658" t="s">
        <v>9033</v>
      </c>
      <c r="F4635" s="2004"/>
      <c r="G4635" s="2004">
        <f>IF('4S'!J11="","##BLANK",'4S'!J11)</f>
        <v>884</v>
      </c>
    </row>
    <row r="4636" spans="2:7">
      <c r="B4636" s="1739" t="str">
        <f>'4S'!BV12</f>
        <v>STWD060</v>
      </c>
      <c r="D4636" s="2004"/>
      <c r="E4636" s="1658" t="s">
        <v>9033</v>
      </c>
      <c r="F4636" s="2004"/>
      <c r="G4636" s="2004">
        <f>IF('4S'!J12="","##BLANK",'4S'!J12)</f>
        <v>3521</v>
      </c>
    </row>
    <row r="4637" spans="2:7">
      <c r="B4637" s="1739" t="str">
        <f>'4S'!BV13</f>
        <v>STWD104</v>
      </c>
      <c r="D4637" s="2004"/>
      <c r="E4637" s="1658" t="s">
        <v>9033</v>
      </c>
      <c r="F4637" s="2004"/>
      <c r="G4637" s="2004">
        <f>IF('4S'!J13="","##BLANK",'4S'!J13)</f>
        <v>6112</v>
      </c>
    </row>
    <row r="4638" spans="2:7">
      <c r="B4638" s="1739" t="str">
        <f>'4S'!BV14</f>
        <v>STWD124</v>
      </c>
      <c r="D4638" s="2004"/>
      <c r="E4638" s="1658" t="s">
        <v>9033</v>
      </c>
      <c r="F4638" s="2004"/>
      <c r="G4638" s="2004">
        <f>IF('4S'!J14="","##BLANK",'4S'!J14)</f>
        <v>10757</v>
      </c>
    </row>
    <row r="4639" spans="2:7">
      <c r="B4639" s="1739" t="str">
        <f>'4S'!BV18</f>
        <v>STWC004</v>
      </c>
      <c r="D4639" s="2004"/>
      <c r="E4639" s="1658" t="s">
        <v>9033</v>
      </c>
      <c r="F4639" s="2004"/>
      <c r="G4639" s="2004">
        <f>IF('4S'!J18="","##BLANK",'4S'!J18)</f>
        <v>3</v>
      </c>
    </row>
    <row r="4640" spans="2:7">
      <c r="B4640" s="1739" t="str">
        <f>'4S'!BV19</f>
        <v>STWC018</v>
      </c>
      <c r="D4640" s="2004"/>
      <c r="E4640" s="1658" t="s">
        <v>9033</v>
      </c>
      <c r="F4640" s="2004"/>
      <c r="G4640" s="2004">
        <f>IF('4S'!J19="","##BLANK",'4S'!J19)</f>
        <v>1</v>
      </c>
    </row>
    <row r="4641" spans="2:7">
      <c r="B4641" s="1739" t="str">
        <f>'4S'!BV20</f>
        <v>STWC032</v>
      </c>
      <c r="D4641" s="2004"/>
      <c r="E4641" s="1658" t="s">
        <v>9033</v>
      </c>
      <c r="F4641" s="2004"/>
      <c r="G4641" s="2004">
        <f>IF('4S'!J20="","##BLANK",'4S'!J20)</f>
        <v>2</v>
      </c>
    </row>
    <row r="4642" spans="2:7">
      <c r="B4642" s="1739" t="str">
        <f>'4S'!BV21</f>
        <v>STWC046</v>
      </c>
      <c r="D4642" s="2004"/>
      <c r="E4642" s="1658" t="s">
        <v>9033</v>
      </c>
      <c r="F4642" s="2004"/>
      <c r="G4642" s="2004">
        <f>IF('4S'!J21="","##BLANK",'4S'!J21)</f>
        <v>2</v>
      </c>
    </row>
    <row r="4643" spans="2:7">
      <c r="B4643" s="1739" t="str">
        <f>'4S'!BV22</f>
        <v>STWC060</v>
      </c>
      <c r="D4643" s="2004"/>
      <c r="E4643" s="1658" t="s">
        <v>9033</v>
      </c>
      <c r="F4643" s="2004"/>
      <c r="G4643" s="2004">
        <f>IF('4S'!J22="","##BLANK",'4S'!J22)</f>
        <v>3</v>
      </c>
    </row>
    <row r="4644" spans="2:7">
      <c r="B4644" s="1739" t="str">
        <f>'4S'!BV23</f>
        <v>STWC104</v>
      </c>
      <c r="D4644" s="2004"/>
      <c r="E4644" s="1658" t="s">
        <v>9033</v>
      </c>
      <c r="F4644" s="2004"/>
      <c r="G4644" s="2004">
        <f>IF('4S'!J23="","##BLANK",'4S'!J23)</f>
        <v>3</v>
      </c>
    </row>
    <row r="4645" spans="2:7">
      <c r="B4645" s="1739" t="str">
        <f>'4S'!BV24</f>
        <v>STWC124</v>
      </c>
      <c r="D4645" s="2004"/>
      <c r="E4645" s="1658" t="s">
        <v>9033</v>
      </c>
      <c r="F4645" s="2004"/>
      <c r="G4645" s="2004">
        <f>IF('4S'!J24="","##BLANK",'4S'!J24)</f>
        <v>14</v>
      </c>
    </row>
    <row r="4646" spans="2:7">
      <c r="B4646" s="1739" t="str">
        <f>'4S'!BW8</f>
        <v>STWD005</v>
      </c>
      <c r="D4646" s="2004"/>
      <c r="E4646" s="1658" t="s">
        <v>9033</v>
      </c>
      <c r="F4646" s="2004"/>
      <c r="G4646" s="2004">
        <f>IF('4S'!K8="","##BLANK",'4S'!K8)</f>
        <v>0</v>
      </c>
    </row>
    <row r="4647" spans="2:7">
      <c r="B4647" s="1739" t="str">
        <f>'4S'!BW9</f>
        <v>STWD019</v>
      </c>
      <c r="D4647" s="2004"/>
      <c r="E4647" s="1658" t="s">
        <v>9033</v>
      </c>
      <c r="F4647" s="2004"/>
      <c r="G4647" s="2004">
        <f>IF('4S'!K9="","##BLANK",'4S'!K9)</f>
        <v>25</v>
      </c>
    </row>
    <row r="4648" spans="2:7">
      <c r="B4648" s="1739" t="str">
        <f>'4S'!BW10</f>
        <v>STWD033</v>
      </c>
      <c r="D4648" s="2004"/>
      <c r="E4648" s="1658" t="s">
        <v>9033</v>
      </c>
      <c r="F4648" s="2004"/>
      <c r="G4648" s="2004">
        <f>IF('4S'!K10="","##BLANK",'4S'!K10)</f>
        <v>297</v>
      </c>
    </row>
    <row r="4649" spans="2:7">
      <c r="B4649" s="1739" t="str">
        <f>'4S'!BW11</f>
        <v>STWD047</v>
      </c>
      <c r="D4649" s="2004"/>
      <c r="E4649" s="1658" t="s">
        <v>9033</v>
      </c>
      <c r="F4649" s="2004"/>
      <c r="G4649" s="2004">
        <f>IF('4S'!K11="","##BLANK",'4S'!K11)</f>
        <v>3278</v>
      </c>
    </row>
    <row r="4650" spans="2:7">
      <c r="B4650" s="1739" t="str">
        <f>'4S'!BW12</f>
        <v>STWD061</v>
      </c>
      <c r="D4650" s="2004"/>
      <c r="E4650" s="1658" t="s">
        <v>9033</v>
      </c>
      <c r="F4650" s="2004"/>
      <c r="G4650" s="2004">
        <f>IF('4S'!K12="","##BLANK",'4S'!K12)</f>
        <v>4936</v>
      </c>
    </row>
    <row r="4651" spans="2:7">
      <c r="B4651" s="1739" t="str">
        <f>'4S'!BW13</f>
        <v>STWD105</v>
      </c>
      <c r="D4651" s="2004"/>
      <c r="E4651" s="1658" t="s">
        <v>9033</v>
      </c>
      <c r="F4651" s="2004"/>
      <c r="G4651" s="2004">
        <f>IF('4S'!K13="","##BLANK",'4S'!K13)</f>
        <v>60783</v>
      </c>
    </row>
    <row r="4652" spans="2:7">
      <c r="B4652" s="1739" t="str">
        <f>'4S'!BW14</f>
        <v>STWD125</v>
      </c>
      <c r="D4652" s="2004"/>
      <c r="E4652" s="1658" t="s">
        <v>9033</v>
      </c>
      <c r="F4652" s="2004"/>
      <c r="G4652" s="2004">
        <f>IF('4S'!K14="","##BLANK",'4S'!K14)</f>
        <v>69319</v>
      </c>
    </row>
    <row r="4653" spans="2:7">
      <c r="B4653" s="1739" t="str">
        <f>'4S'!BW18</f>
        <v>STWC005</v>
      </c>
      <c r="D4653" s="2004"/>
      <c r="E4653" s="1658" t="s">
        <v>9033</v>
      </c>
      <c r="F4653" s="2004"/>
      <c r="G4653" s="2004">
        <f>IF('4S'!K18="","##BLANK",'4S'!K18)</f>
        <v>0</v>
      </c>
    </row>
    <row r="4654" spans="2:7">
      <c r="B4654" s="1739" t="str">
        <f>'4S'!BW19</f>
        <v>STWC019</v>
      </c>
      <c r="D4654" s="2004"/>
      <c r="E4654" s="1658" t="s">
        <v>9033</v>
      </c>
      <c r="F4654" s="2004"/>
      <c r="G4654" s="2004">
        <f>IF('4S'!K19="","##BLANK",'4S'!K19)</f>
        <v>1</v>
      </c>
    </row>
    <row r="4655" spans="2:7">
      <c r="B4655" s="1739" t="str">
        <f>'4S'!BW20</f>
        <v>STWC033</v>
      </c>
      <c r="D4655" s="2004"/>
      <c r="E4655" s="1658" t="s">
        <v>9033</v>
      </c>
      <c r="F4655" s="2004"/>
      <c r="G4655" s="2004">
        <f>IF('4S'!K20="","##BLANK",'4S'!K20)</f>
        <v>5</v>
      </c>
    </row>
    <row r="4656" spans="2:7">
      <c r="B4656" s="1739" t="str">
        <f>'4S'!BW21</f>
        <v>STWC047</v>
      </c>
      <c r="D4656" s="2004"/>
      <c r="E4656" s="1658" t="s">
        <v>9033</v>
      </c>
      <c r="F4656" s="2004"/>
      <c r="G4656" s="2004">
        <f>IF('4S'!K21="","##BLANK",'4S'!K21)</f>
        <v>9</v>
      </c>
    </row>
    <row r="4657" spans="2:7">
      <c r="B4657" s="1739" t="str">
        <f>'4S'!BW22</f>
        <v>STWC061</v>
      </c>
      <c r="D4657" s="2004"/>
      <c r="E4657" s="1658" t="s">
        <v>9033</v>
      </c>
      <c r="F4657" s="2004"/>
      <c r="G4657" s="2004">
        <f>IF('4S'!K22="","##BLANK",'4S'!K22)</f>
        <v>5</v>
      </c>
    </row>
    <row r="4658" spans="2:7">
      <c r="B4658" s="1739" t="str">
        <f>'4S'!BW23</f>
        <v>STWC105</v>
      </c>
      <c r="D4658" s="2004"/>
      <c r="E4658" s="1658" t="s">
        <v>9033</v>
      </c>
      <c r="F4658" s="2004"/>
      <c r="G4658" s="2004">
        <f>IF('4S'!K23="","##BLANK",'4S'!K23)</f>
        <v>6</v>
      </c>
    </row>
    <row r="4659" spans="2:7">
      <c r="B4659" s="1739" t="str">
        <f>'4S'!BW24</f>
        <v>STWC125</v>
      </c>
      <c r="D4659" s="2004"/>
      <c r="E4659" s="1658" t="s">
        <v>9033</v>
      </c>
      <c r="F4659" s="2004"/>
      <c r="G4659" s="2004">
        <f>IF('4S'!K24="","##BLANK",'4S'!K24)</f>
        <v>26</v>
      </c>
    </row>
    <row r="4660" spans="2:7">
      <c r="B4660" s="1739" t="str">
        <f>'4S'!BX8</f>
        <v>STWD006</v>
      </c>
      <c r="D4660" s="2004"/>
      <c r="E4660" s="1658" t="s">
        <v>9033</v>
      </c>
      <c r="F4660" s="2004"/>
      <c r="G4660" s="2004">
        <f>IF('4S'!L8="","##BLANK",'4S'!L8)</f>
        <v>64</v>
      </c>
    </row>
    <row r="4661" spans="2:7">
      <c r="B4661" s="1739" t="str">
        <f>'4S'!BX9</f>
        <v>STWD020</v>
      </c>
      <c r="D4661" s="2004"/>
      <c r="E4661" s="1658" t="s">
        <v>9033</v>
      </c>
      <c r="F4661" s="2004"/>
      <c r="G4661" s="2004">
        <f>IF('4S'!L9="","##BLANK",'4S'!L9)</f>
        <v>178</v>
      </c>
    </row>
    <row r="4662" spans="2:7">
      <c r="B4662" s="1739" t="str">
        <f>'4S'!BX10</f>
        <v>STWD034</v>
      </c>
      <c r="D4662" s="2004"/>
      <c r="E4662" s="1658" t="s">
        <v>9033</v>
      </c>
      <c r="F4662" s="2004"/>
      <c r="G4662" s="2004">
        <f>IF('4S'!L10="","##BLANK",'4S'!L10)</f>
        <v>710</v>
      </c>
    </row>
    <row r="4663" spans="2:7">
      <c r="B4663" s="1739" t="str">
        <f>'4S'!BX11</f>
        <v>STWD048</v>
      </c>
      <c r="D4663" s="2004"/>
      <c r="E4663" s="1658" t="s">
        <v>9033</v>
      </c>
      <c r="F4663" s="2004"/>
      <c r="G4663" s="2004">
        <f>IF('4S'!L11="","##BLANK",'4S'!L11)</f>
        <v>1357</v>
      </c>
    </row>
    <row r="4664" spans="2:7">
      <c r="B4664" s="1739" t="str">
        <f>'4S'!BX12</f>
        <v>STWD062</v>
      </c>
      <c r="D4664" s="2004"/>
      <c r="E4664" s="1658" t="s">
        <v>9033</v>
      </c>
      <c r="F4664" s="2004"/>
      <c r="G4664" s="2004">
        <f>IF('4S'!L12="","##BLANK",'4S'!L12)</f>
        <v>2085</v>
      </c>
    </row>
    <row r="4665" spans="2:7">
      <c r="B4665" s="1739" t="str">
        <f>'4S'!BX13</f>
        <v>STWD106</v>
      </c>
      <c r="D4665" s="2004"/>
      <c r="E4665" s="1658" t="s">
        <v>9033</v>
      </c>
      <c r="F4665" s="2004"/>
      <c r="G4665" s="2004">
        <f>IF('4S'!L13="","##BLANK",'4S'!L13)</f>
        <v>2294</v>
      </c>
    </row>
    <row r="4666" spans="2:7">
      <c r="B4666" s="1739" t="str">
        <f>'4S'!BX14</f>
        <v>STWD126</v>
      </c>
      <c r="D4666" s="2004"/>
      <c r="E4666" s="1658" t="s">
        <v>9033</v>
      </c>
      <c r="F4666" s="2004"/>
      <c r="G4666" s="2004">
        <f>IF('4S'!L14="","##BLANK",'4S'!L14)</f>
        <v>6688</v>
      </c>
    </row>
    <row r="4667" spans="2:7">
      <c r="B4667" s="1739" t="str">
        <f>'4S'!BX18</f>
        <v>STWC006</v>
      </c>
      <c r="D4667" s="2004"/>
      <c r="E4667" s="1658" t="s">
        <v>9033</v>
      </c>
      <c r="F4667" s="2004"/>
      <c r="G4667" s="2004">
        <f>IF('4S'!L18="","##BLANK",'4S'!L18)</f>
        <v>7</v>
      </c>
    </row>
    <row r="4668" spans="2:7">
      <c r="B4668" s="1739" t="str">
        <f>'4S'!BX19</f>
        <v>STWC020</v>
      </c>
      <c r="D4668" s="2004"/>
      <c r="E4668" s="1658" t="s">
        <v>9033</v>
      </c>
      <c r="F4668" s="2004"/>
      <c r="G4668" s="2004">
        <f>IF('4S'!L19="","##BLANK",'4S'!L19)</f>
        <v>7</v>
      </c>
    </row>
    <row r="4669" spans="2:7">
      <c r="B4669" s="1739" t="str">
        <f>'4S'!BX20</f>
        <v>STWC034</v>
      </c>
      <c r="D4669" s="2004"/>
      <c r="E4669" s="1658" t="s">
        <v>9033</v>
      </c>
      <c r="F4669" s="2004"/>
      <c r="G4669" s="2004">
        <f>IF('4S'!L20="","##BLANK",'4S'!L20)</f>
        <v>12</v>
      </c>
    </row>
    <row r="4670" spans="2:7">
      <c r="B4670" s="1739" t="str">
        <f>'4S'!BX21</f>
        <v>STWC048</v>
      </c>
      <c r="D4670" s="2004"/>
      <c r="E4670" s="1658" t="s">
        <v>9033</v>
      </c>
      <c r="F4670" s="2004"/>
      <c r="G4670" s="2004">
        <f>IF('4S'!L21="","##BLANK",'4S'!L21)</f>
        <v>6</v>
      </c>
    </row>
    <row r="4671" spans="2:7">
      <c r="B4671" s="1739" t="str">
        <f>'4S'!BX22</f>
        <v>STWC062</v>
      </c>
      <c r="D4671" s="2004"/>
      <c r="E4671" s="1658" t="s">
        <v>9033</v>
      </c>
      <c r="F4671" s="2004"/>
      <c r="G4671" s="2004">
        <f>IF('4S'!L22="","##BLANK",'4S'!L22)</f>
        <v>2</v>
      </c>
    </row>
    <row r="4672" spans="2:7">
      <c r="B4672" s="1739" t="str">
        <f>'4S'!BX23</f>
        <v>STWC106</v>
      </c>
      <c r="D4672" s="2004"/>
      <c r="E4672" s="1658" t="s">
        <v>9033</v>
      </c>
      <c r="F4672" s="2004"/>
      <c r="G4672" s="2004">
        <f>IF('4S'!L23="","##BLANK",'4S'!L23)</f>
        <v>1</v>
      </c>
    </row>
    <row r="4673" spans="2:7">
      <c r="B4673" s="1739" t="str">
        <f>'4S'!BX24</f>
        <v>STWC126</v>
      </c>
      <c r="D4673" s="2004"/>
      <c r="E4673" s="1658" t="s">
        <v>9033</v>
      </c>
      <c r="F4673" s="2004"/>
      <c r="G4673" s="2004">
        <f>IF('4S'!L24="","##BLANK",'4S'!L24)</f>
        <v>35</v>
      </c>
    </row>
    <row r="4674" spans="2:7">
      <c r="B4674" s="1739" t="str">
        <f>'4S'!BY8</f>
        <v>STWD007</v>
      </c>
      <c r="D4674" s="2004"/>
      <c r="E4674" s="1658" t="s">
        <v>9033</v>
      </c>
      <c r="F4674" s="2004"/>
      <c r="G4674" s="2004">
        <f>IF('4S'!M8="","##BLANK",'4S'!M8)</f>
        <v>0</v>
      </c>
    </row>
    <row r="4675" spans="2:7">
      <c r="B4675" s="1739" t="str">
        <f>'4S'!BY9</f>
        <v>STWD021</v>
      </c>
      <c r="D4675" s="2004"/>
      <c r="E4675" s="1658" t="s">
        <v>9033</v>
      </c>
      <c r="F4675" s="2004"/>
      <c r="G4675" s="2004">
        <f>IF('4S'!M9="","##BLANK",'4S'!M9)</f>
        <v>87</v>
      </c>
    </row>
    <row r="4676" spans="2:7">
      <c r="B4676" s="1739" t="str">
        <f>'4S'!BY10</f>
        <v>STWD035</v>
      </c>
      <c r="D4676" s="2004"/>
      <c r="E4676" s="1658" t="s">
        <v>9033</v>
      </c>
      <c r="F4676" s="2004"/>
      <c r="G4676" s="2004">
        <f>IF('4S'!M10="","##BLANK",'4S'!M10)</f>
        <v>1175</v>
      </c>
    </row>
    <row r="4677" spans="2:7">
      <c r="B4677" s="1739" t="str">
        <f>'4S'!BY11</f>
        <v>STWD049</v>
      </c>
      <c r="D4677" s="2004"/>
      <c r="E4677" s="1658" t="s">
        <v>9033</v>
      </c>
      <c r="F4677" s="2004"/>
      <c r="G4677" s="2004">
        <f>IF('4S'!M11="","##BLANK",'4S'!M11)</f>
        <v>3945</v>
      </c>
    </row>
    <row r="4678" spans="2:7">
      <c r="B4678" s="1739" t="str">
        <f>'4S'!BY12</f>
        <v>STWD063</v>
      </c>
      <c r="D4678" s="2004"/>
      <c r="E4678" s="1658" t="s">
        <v>9033</v>
      </c>
      <c r="F4678" s="2004"/>
      <c r="G4678" s="2004">
        <f>IF('4S'!M12="","##BLANK",'4S'!M12)</f>
        <v>9490</v>
      </c>
    </row>
    <row r="4679" spans="2:7">
      <c r="B4679" s="1739" t="str">
        <f>'4S'!BY13</f>
        <v>STWD107</v>
      </c>
      <c r="D4679" s="2004"/>
      <c r="E4679" s="1658" t="s">
        <v>9033</v>
      </c>
      <c r="F4679" s="2004"/>
      <c r="G4679" s="2004">
        <f>IF('4S'!M13="","##BLANK",'4S'!M13)</f>
        <v>1984</v>
      </c>
    </row>
    <row r="4680" spans="2:7">
      <c r="B4680" s="1739" t="str">
        <f>'4S'!BY14</f>
        <v>STWD127</v>
      </c>
      <c r="D4680" s="2004"/>
      <c r="E4680" s="1658" t="s">
        <v>9033</v>
      </c>
      <c r="F4680" s="2004"/>
      <c r="G4680" s="2004">
        <f>IF('4S'!M14="","##BLANK",'4S'!M14)</f>
        <v>16681</v>
      </c>
    </row>
    <row r="4681" spans="2:7">
      <c r="B4681" s="1739" t="str">
        <f>'4S'!BY18</f>
        <v>STWC007</v>
      </c>
      <c r="D4681" s="2004"/>
      <c r="E4681" s="1658" t="s">
        <v>9033</v>
      </c>
      <c r="F4681" s="2004"/>
      <c r="G4681" s="2004">
        <f>IF('4S'!M18="","##BLANK",'4S'!M18)</f>
        <v>0</v>
      </c>
    </row>
    <row r="4682" spans="2:7">
      <c r="B4682" s="1739" t="str">
        <f>'4S'!BY19</f>
        <v>STWC021</v>
      </c>
      <c r="D4682" s="2004"/>
      <c r="E4682" s="1658" t="s">
        <v>9033</v>
      </c>
      <c r="F4682" s="2004"/>
      <c r="G4682" s="2004">
        <f>IF('4S'!M19="","##BLANK",'4S'!M19)</f>
        <v>4</v>
      </c>
    </row>
    <row r="4683" spans="2:7">
      <c r="B4683" s="1739" t="str">
        <f>'4S'!BY20</f>
        <v>STWC035</v>
      </c>
      <c r="D4683" s="2004"/>
      <c r="E4683" s="1658" t="s">
        <v>9033</v>
      </c>
      <c r="F4683" s="2004"/>
      <c r="G4683" s="2004">
        <f>IF('4S'!M20="","##BLANK",'4S'!M20)</f>
        <v>12</v>
      </c>
    </row>
    <row r="4684" spans="2:7">
      <c r="B4684" s="1739" t="str">
        <f>'4S'!BY21</f>
        <v>STWC049</v>
      </c>
      <c r="D4684" s="2004"/>
      <c r="E4684" s="1658" t="s">
        <v>9033</v>
      </c>
      <c r="F4684" s="2004"/>
      <c r="G4684" s="2004">
        <f>IF('4S'!M21="","##BLANK",'4S'!M21)</f>
        <v>15</v>
      </c>
    </row>
    <row r="4685" spans="2:7">
      <c r="B4685" s="1739" t="str">
        <f>'4S'!BY22</f>
        <v>STWC063</v>
      </c>
      <c r="D4685" s="2004"/>
      <c r="E4685" s="1658" t="s">
        <v>9033</v>
      </c>
      <c r="F4685" s="2004"/>
      <c r="G4685" s="2004">
        <f>IF('4S'!M22="","##BLANK",'4S'!M22)</f>
        <v>9</v>
      </c>
    </row>
    <row r="4686" spans="2:7">
      <c r="B4686" s="1739" t="str">
        <f>'4S'!BY23</f>
        <v>STWC107</v>
      </c>
      <c r="D4686" s="2004"/>
      <c r="E4686" s="1658" t="s">
        <v>9033</v>
      </c>
      <c r="F4686" s="2004"/>
      <c r="G4686" s="2004">
        <f>IF('4S'!M23="","##BLANK",'4S'!M23)</f>
        <v>1</v>
      </c>
    </row>
    <row r="4687" spans="2:7">
      <c r="B4687" s="1739" t="str">
        <f>'4S'!BY24</f>
        <v>STWC127</v>
      </c>
      <c r="D4687" s="2004"/>
      <c r="E4687" s="1658" t="s">
        <v>9033</v>
      </c>
      <c r="F4687" s="2004"/>
      <c r="G4687" s="2004">
        <f>IF('4S'!M24="","##BLANK",'4S'!M24)</f>
        <v>41</v>
      </c>
    </row>
    <row r="4688" spans="2:7">
      <c r="B4688" s="1739" t="str">
        <f>'4S'!BZ8</f>
        <v>STWD012</v>
      </c>
      <c r="D4688" s="2004"/>
      <c r="E4688" s="1658" t="s">
        <v>9033</v>
      </c>
      <c r="F4688" s="2004"/>
      <c r="G4688" s="2004">
        <f>IF('4S'!N8="","##BLANK",'4S'!N8)</f>
        <v>1705</v>
      </c>
    </row>
    <row r="4689" spans="2:7">
      <c r="B4689" s="1739" t="str">
        <f>'4S'!BZ9</f>
        <v>STWD026</v>
      </c>
      <c r="D4689" s="2004"/>
      <c r="E4689" s="1658" t="s">
        <v>9033</v>
      </c>
      <c r="F4689" s="2004"/>
      <c r="G4689" s="2004">
        <f>IF('4S'!N9="","##BLANK",'4S'!N9)</f>
        <v>1426</v>
      </c>
    </row>
    <row r="4690" spans="2:7">
      <c r="B4690" s="1739" t="str">
        <f>'4S'!BZ10</f>
        <v>STWD040</v>
      </c>
      <c r="D4690" s="2004"/>
      <c r="E4690" s="1658" t="s">
        <v>9033</v>
      </c>
      <c r="F4690" s="2004"/>
      <c r="G4690" s="2004">
        <f>IF('4S'!N10="","##BLANK",'4S'!N10)</f>
        <v>5678</v>
      </c>
    </row>
    <row r="4691" spans="2:7">
      <c r="B4691" s="1739" t="str">
        <f>'4S'!BZ11</f>
        <v>STWD054</v>
      </c>
      <c r="D4691" s="2004"/>
      <c r="E4691" s="1658" t="s">
        <v>9033</v>
      </c>
      <c r="F4691" s="2004"/>
      <c r="G4691" s="2004">
        <f>IF('4S'!N11="","##BLANK",'4S'!N11)</f>
        <v>21985</v>
      </c>
    </row>
    <row r="4692" spans="2:7">
      <c r="B4692" s="1739" t="str">
        <f>'4S'!BZ12</f>
        <v>STWD068</v>
      </c>
      <c r="D4692" s="2004"/>
      <c r="E4692" s="1658" t="s">
        <v>9033</v>
      </c>
      <c r="F4692" s="2004"/>
      <c r="G4692" s="2004">
        <f>IF('4S'!N12="","##BLANK",'4S'!N12)</f>
        <v>44543</v>
      </c>
    </row>
    <row r="4693" spans="2:7">
      <c r="B4693" s="1739" t="str">
        <f>'4S'!BZ13</f>
        <v>STWD108</v>
      </c>
      <c r="D4693" s="2004"/>
      <c r="E4693" s="1658" t="s">
        <v>9033</v>
      </c>
      <c r="F4693" s="2004"/>
      <c r="G4693" s="2004">
        <f>IF('4S'!N13="","##BLANK",'4S'!N13)</f>
        <v>285862</v>
      </c>
    </row>
    <row r="4694" spans="2:7">
      <c r="B4694" s="1739" t="str">
        <f>'4S'!BZ14</f>
        <v>STWD128</v>
      </c>
      <c r="D4694" s="2004"/>
      <c r="E4694" s="1658" t="s">
        <v>9033</v>
      </c>
      <c r="F4694" s="2004"/>
      <c r="G4694" s="2004">
        <f>IF('4S'!N14="","##BLANK",'4S'!N14)</f>
        <v>361199</v>
      </c>
    </row>
    <row r="4695" spans="2:7" s="2004" customFormat="1">
      <c r="B4695" s="1739" t="str">
        <f>'4S'!BZ15</f>
        <v>STWD130</v>
      </c>
      <c r="C4695" s="1322"/>
      <c r="E4695" s="1658" t="s">
        <v>9033</v>
      </c>
      <c r="G4695" s="2004">
        <f>IF('4S'!N15="","##BLANK",'4S'!N15)</f>
        <v>48219</v>
      </c>
    </row>
    <row r="4696" spans="2:7">
      <c r="B4696" s="1739" t="str">
        <f>'4S'!BZ18</f>
        <v>STWC108</v>
      </c>
      <c r="D4696" s="2004"/>
      <c r="E4696" s="1658" t="s">
        <v>9033</v>
      </c>
      <c r="F4696" s="2004"/>
      <c r="G4696" s="2004">
        <f>IF('4S'!N18="","##BLANK",'4S'!N18)</f>
        <v>311</v>
      </c>
    </row>
    <row r="4697" spans="2:7">
      <c r="B4697" s="1739" t="str">
        <f>'4S'!BZ19</f>
        <v>STWC109</v>
      </c>
      <c r="D4697" s="2004"/>
      <c r="E4697" s="1658" t="s">
        <v>9033</v>
      </c>
      <c r="F4697" s="2004"/>
      <c r="G4697" s="2004">
        <f>IF('4S'!N19="","##BLANK",'4S'!N19)</f>
        <v>63</v>
      </c>
    </row>
    <row r="4698" spans="2:7">
      <c r="B4698" s="1739" t="str">
        <f>'4S'!BZ20</f>
        <v>STWC110</v>
      </c>
      <c r="D4698" s="2004"/>
      <c r="E4698" s="1658" t="s">
        <v>9033</v>
      </c>
      <c r="F4698" s="2004"/>
      <c r="G4698" s="2004">
        <f>IF('4S'!N20="","##BLANK",'4S'!N20)</f>
        <v>83</v>
      </c>
    </row>
    <row r="4699" spans="2:7">
      <c r="B4699" s="1739" t="str">
        <f>'4S'!BZ21</f>
        <v>STWC111</v>
      </c>
      <c r="D4699" s="2004"/>
      <c r="E4699" s="1658" t="s">
        <v>9033</v>
      </c>
      <c r="F4699" s="2004"/>
      <c r="G4699" s="2004">
        <f>IF('4S'!N21="","##BLANK",'4S'!N21)</f>
        <v>73</v>
      </c>
    </row>
    <row r="4700" spans="2:7">
      <c r="B4700" s="1739" t="str">
        <f>'4S'!BZ22</f>
        <v>STWC112</v>
      </c>
      <c r="D4700" s="2004"/>
      <c r="E4700" s="1658" t="s">
        <v>9033</v>
      </c>
      <c r="F4700" s="2004"/>
      <c r="G4700" s="2004">
        <f>IF('4S'!N22="","##BLANK",'4S'!N22)</f>
        <v>43</v>
      </c>
    </row>
    <row r="4701" spans="2:7">
      <c r="B4701" s="1739" t="str">
        <f>'4S'!BZ23</f>
        <v>STWC114</v>
      </c>
      <c r="D4701" s="2004"/>
      <c r="E4701" s="1658" t="s">
        <v>9033</v>
      </c>
      <c r="F4701" s="2004"/>
      <c r="G4701" s="2004">
        <f>IF('4S'!N23="","##BLANK",'4S'!N23)</f>
        <v>35</v>
      </c>
    </row>
    <row r="4702" spans="2:7">
      <c r="B4702" s="1739" t="str">
        <f>'4S'!BZ24</f>
        <v>STWC115</v>
      </c>
      <c r="D4702" s="2004"/>
      <c r="E4702" s="1658" t="s">
        <v>9033</v>
      </c>
      <c r="F4702" s="2004"/>
      <c r="G4702" s="2004">
        <f>IF('4S'!N24="","##BLANK",'4S'!N24)</f>
        <v>608</v>
      </c>
    </row>
    <row r="4703" spans="2:7">
      <c r="B4703" s="1739" t="str">
        <f>'4S'!CB8</f>
        <v>STWDP001</v>
      </c>
      <c r="D4703" s="2004"/>
      <c r="E4703" s="1658" t="s">
        <v>9033</v>
      </c>
      <c r="F4703" s="2004"/>
      <c r="G4703" s="2004">
        <f>IF('4S'!P8="","##BLANK",'4S'!P8)</f>
        <v>0</v>
      </c>
    </row>
    <row r="4704" spans="2:7">
      <c r="B4704" s="1739" t="str">
        <f>'4S'!CB9</f>
        <v>STWDP015</v>
      </c>
      <c r="D4704" s="2004"/>
      <c r="E4704" s="1658" t="s">
        <v>9033</v>
      </c>
      <c r="F4704" s="2004"/>
      <c r="G4704" s="2004">
        <f>IF('4S'!P9="","##BLANK",'4S'!P9)</f>
        <v>0</v>
      </c>
    </row>
    <row r="4705" spans="2:7">
      <c r="B4705" s="1739" t="str">
        <f>'4S'!CB10</f>
        <v>STWDP029</v>
      </c>
      <c r="D4705" s="2004"/>
      <c r="E4705" s="1658" t="s">
        <v>9033</v>
      </c>
      <c r="F4705" s="2004"/>
      <c r="G4705" s="2004">
        <f>IF('4S'!P10="","##BLANK",'4S'!P10)</f>
        <v>256</v>
      </c>
    </row>
    <row r="4706" spans="2:7">
      <c r="B4706" s="1739" t="str">
        <f>'4S'!CB11</f>
        <v>STWDP043</v>
      </c>
      <c r="D4706" s="2004"/>
      <c r="E4706" s="1658" t="s">
        <v>9033</v>
      </c>
      <c r="F4706" s="2004"/>
      <c r="G4706" s="2004">
        <f>IF('4S'!P11="","##BLANK",'4S'!P11)</f>
        <v>1277</v>
      </c>
    </row>
    <row r="4707" spans="2:7">
      <c r="B4707" s="1739" t="str">
        <f>'4S'!CB12</f>
        <v>STWDP057</v>
      </c>
      <c r="D4707" s="2004"/>
      <c r="E4707" s="1658" t="s">
        <v>9033</v>
      </c>
      <c r="F4707" s="2004"/>
      <c r="G4707" s="2004">
        <f>IF('4S'!P12="","##BLANK",'4S'!P12)</f>
        <v>4942</v>
      </c>
    </row>
    <row r="4708" spans="2:7">
      <c r="B4708" s="1739" t="str">
        <f>'4S'!CB13</f>
        <v>STWDP101</v>
      </c>
      <c r="D4708" s="2004"/>
      <c r="E4708" s="1658" t="s">
        <v>9033</v>
      </c>
      <c r="F4708" s="2004"/>
      <c r="G4708" s="2004">
        <f>IF('4S'!P13="","##BLANK",'4S'!P13)</f>
        <v>0</v>
      </c>
    </row>
    <row r="4709" spans="2:7">
      <c r="B4709" s="1739" t="str">
        <f>'4S'!CB14</f>
        <v>STWDP121</v>
      </c>
      <c r="D4709" s="2004"/>
      <c r="E4709" s="1658" t="s">
        <v>9033</v>
      </c>
      <c r="F4709" s="2004"/>
      <c r="G4709" s="2004">
        <f>IF('4S'!P14="","##BLANK",'4S'!P14)</f>
        <v>6475</v>
      </c>
    </row>
    <row r="4710" spans="2:7">
      <c r="B4710" s="1739" t="str">
        <f>'4S'!CB18</f>
        <v>STWCP001</v>
      </c>
      <c r="D4710" s="2004"/>
      <c r="E4710" s="1658" t="s">
        <v>9033</v>
      </c>
      <c r="F4710" s="2004"/>
      <c r="G4710" s="2004">
        <f>IF('4S'!P18="","##BLANK",'4S'!P18)</f>
        <v>0</v>
      </c>
    </row>
    <row r="4711" spans="2:7">
      <c r="B4711" s="1739" t="str">
        <f>'4S'!CB19</f>
        <v>STWCP015</v>
      </c>
      <c r="D4711" s="2004"/>
      <c r="E4711" s="1658" t="s">
        <v>9033</v>
      </c>
      <c r="F4711" s="2004"/>
      <c r="G4711" s="2004">
        <f>IF('4S'!P19="","##BLANK",'4S'!P19)</f>
        <v>0</v>
      </c>
    </row>
    <row r="4712" spans="2:7">
      <c r="B4712" s="1739" t="str">
        <f>'4S'!CB20</f>
        <v>STWCP029</v>
      </c>
      <c r="D4712" s="2004"/>
      <c r="E4712" s="1658" t="s">
        <v>9033</v>
      </c>
      <c r="F4712" s="2004"/>
      <c r="G4712" s="2004">
        <f>IF('4S'!P20="","##BLANK",'4S'!P20)</f>
        <v>4</v>
      </c>
    </row>
    <row r="4713" spans="2:7">
      <c r="B4713" s="1739" t="str">
        <f>'4S'!CB21</f>
        <v>STWCP043</v>
      </c>
      <c r="D4713" s="2004"/>
      <c r="E4713" s="1658" t="s">
        <v>9033</v>
      </c>
      <c r="F4713" s="2004"/>
      <c r="G4713" s="2004">
        <f>IF('4S'!P21="","##BLANK",'4S'!P21)</f>
        <v>4</v>
      </c>
    </row>
    <row r="4714" spans="2:7">
      <c r="B4714" s="1739" t="str">
        <f>'4S'!CB22</f>
        <v>STWCP057</v>
      </c>
      <c r="D4714" s="2004"/>
      <c r="E4714" s="1658" t="s">
        <v>9033</v>
      </c>
      <c r="F4714" s="2004"/>
      <c r="G4714" s="2004">
        <f>IF('4S'!P22="","##BLANK",'4S'!P22)</f>
        <v>5</v>
      </c>
    </row>
    <row r="4715" spans="2:7">
      <c r="B4715" s="1739" t="str">
        <f>'4S'!CB23</f>
        <v>STWCP101</v>
      </c>
      <c r="D4715" s="2004"/>
      <c r="E4715" s="1658" t="s">
        <v>9033</v>
      </c>
      <c r="F4715" s="2004"/>
      <c r="G4715" s="2004">
        <f>IF('4S'!P23="","##BLANK",'4S'!P23)</f>
        <v>0</v>
      </c>
    </row>
    <row r="4716" spans="2:7">
      <c r="B4716" s="1739" t="str">
        <f>'4S'!CB24</f>
        <v>STWCP121</v>
      </c>
      <c r="D4716" s="2004"/>
      <c r="E4716" s="1658" t="s">
        <v>9033</v>
      </c>
      <c r="F4716" s="2004"/>
      <c r="G4716" s="2004">
        <f>IF('4S'!P24="","##BLANK",'4S'!P24)</f>
        <v>13</v>
      </c>
    </row>
    <row r="4717" spans="2:7">
      <c r="B4717" s="1739" t="str">
        <f>'4S'!CC8</f>
        <v>STWDP002</v>
      </c>
      <c r="D4717" s="2004"/>
      <c r="E4717" s="1658" t="s">
        <v>9033</v>
      </c>
      <c r="F4717" s="2004"/>
      <c r="G4717" s="2004">
        <f>IF('4S'!Q8="","##BLANK",'4S'!Q8)</f>
        <v>0</v>
      </c>
    </row>
    <row r="4718" spans="2:7">
      <c r="B4718" s="1739" t="str">
        <f>'4S'!CC9</f>
        <v>STWDP016</v>
      </c>
      <c r="D4718" s="2004"/>
      <c r="E4718" s="1658" t="s">
        <v>9033</v>
      </c>
      <c r="F4718" s="2004"/>
      <c r="G4718" s="2004">
        <f>IF('4S'!Q9="","##BLANK",'4S'!Q9)</f>
        <v>22</v>
      </c>
    </row>
    <row r="4719" spans="2:7">
      <c r="B4719" s="1739" t="str">
        <f>'4S'!CC10</f>
        <v>STWDP030</v>
      </c>
      <c r="D4719" s="2004"/>
      <c r="E4719" s="1658" t="s">
        <v>9033</v>
      </c>
      <c r="F4719" s="2004"/>
      <c r="G4719" s="2004">
        <f>IF('4S'!Q10="","##BLANK",'4S'!Q10)</f>
        <v>0</v>
      </c>
    </row>
    <row r="4720" spans="2:7">
      <c r="B4720" s="1739" t="str">
        <f>'4S'!CC11</f>
        <v>STWDP044</v>
      </c>
      <c r="D4720" s="2004"/>
      <c r="E4720" s="1658" t="s">
        <v>9033</v>
      </c>
      <c r="F4720" s="2004"/>
      <c r="G4720" s="2004">
        <f>IF('4S'!Q11="","##BLANK",'4S'!Q11)</f>
        <v>937</v>
      </c>
    </row>
    <row r="4721" spans="2:7">
      <c r="B4721" s="1739" t="str">
        <f>'4S'!CC12</f>
        <v>STWDP058</v>
      </c>
      <c r="D4721" s="2004"/>
      <c r="E4721" s="1658" t="s">
        <v>9033</v>
      </c>
      <c r="F4721" s="2004"/>
      <c r="G4721" s="2004">
        <f>IF('4S'!Q12="","##BLANK",'4S'!Q12)</f>
        <v>2847</v>
      </c>
    </row>
    <row r="4722" spans="2:7">
      <c r="B4722" s="1739" t="str">
        <f>'4S'!CC13</f>
        <v>STWDP102</v>
      </c>
      <c r="D4722" s="2004"/>
      <c r="E4722" s="1658" t="s">
        <v>9033</v>
      </c>
      <c r="F4722" s="2004"/>
      <c r="G4722" s="2004">
        <f>IF('4S'!Q13="","##BLANK",'4S'!Q13)</f>
        <v>1984</v>
      </c>
    </row>
    <row r="4723" spans="2:7">
      <c r="B4723" s="1739" t="str">
        <f>'4S'!CC14</f>
        <v>STWDP122</v>
      </c>
      <c r="D4723" s="2004"/>
      <c r="E4723" s="1658" t="s">
        <v>9033</v>
      </c>
      <c r="F4723" s="2004"/>
      <c r="G4723" s="2004">
        <f>IF('4S'!Q14="","##BLANK",'4S'!Q14)</f>
        <v>5790</v>
      </c>
    </row>
    <row r="4724" spans="2:7">
      <c r="B4724" s="1739" t="str">
        <f>'4S'!CC18</f>
        <v>STWCP002</v>
      </c>
      <c r="D4724" s="2004"/>
      <c r="E4724" s="1658" t="s">
        <v>9033</v>
      </c>
      <c r="F4724" s="2004"/>
      <c r="G4724" s="2004">
        <f>IF('4S'!Q18="","##BLANK",'4S'!Q18)</f>
        <v>0</v>
      </c>
    </row>
    <row r="4725" spans="2:7">
      <c r="B4725" s="1739" t="str">
        <f>'4S'!CC19</f>
        <v>STWCP016</v>
      </c>
      <c r="D4725" s="2004"/>
      <c r="E4725" s="1658" t="s">
        <v>9033</v>
      </c>
      <c r="F4725" s="2004"/>
      <c r="G4725" s="2004">
        <f>IF('4S'!Q19="","##BLANK",'4S'!Q19)</f>
        <v>1</v>
      </c>
    </row>
    <row r="4726" spans="2:7">
      <c r="B4726" s="1739" t="str">
        <f>'4S'!CC20</f>
        <v>STWCP030</v>
      </c>
      <c r="D4726" s="2004"/>
      <c r="E4726" s="1658" t="s">
        <v>9033</v>
      </c>
      <c r="F4726" s="2004"/>
      <c r="G4726" s="2004">
        <f>IF('4S'!Q20="","##BLANK",'4S'!Q20)</f>
        <v>0</v>
      </c>
    </row>
    <row r="4727" spans="2:7">
      <c r="B4727" s="1739" t="str">
        <f>'4S'!CC21</f>
        <v>STWCP044</v>
      </c>
      <c r="D4727" s="2004"/>
      <c r="E4727" s="1658" t="s">
        <v>9033</v>
      </c>
      <c r="F4727" s="2004"/>
      <c r="G4727" s="2004">
        <f>IF('4S'!Q21="","##BLANK",'4S'!Q21)</f>
        <v>3</v>
      </c>
    </row>
    <row r="4728" spans="2:7">
      <c r="B4728" s="1739" t="str">
        <f>'4S'!CC22</f>
        <v>STWCP058</v>
      </c>
      <c r="D4728" s="2004"/>
      <c r="E4728" s="1658" t="s">
        <v>9033</v>
      </c>
      <c r="F4728" s="2004"/>
      <c r="G4728" s="2004">
        <f>IF('4S'!Q22="","##BLANK",'4S'!Q22)</f>
        <v>3</v>
      </c>
    </row>
    <row r="4729" spans="2:7">
      <c r="B4729" s="1739" t="str">
        <f>'4S'!CC23</f>
        <v>STWCP102</v>
      </c>
      <c r="D4729" s="2004"/>
      <c r="E4729" s="1658" t="s">
        <v>9033</v>
      </c>
      <c r="F4729" s="2004"/>
      <c r="G4729" s="2004">
        <f>IF('4S'!Q23="","##BLANK",'4S'!Q23)</f>
        <v>1</v>
      </c>
    </row>
    <row r="4730" spans="2:7">
      <c r="B4730" s="1739" t="str">
        <f>'4S'!CC24</f>
        <v>STWCP122</v>
      </c>
      <c r="D4730" s="2004"/>
      <c r="E4730" s="1658" t="s">
        <v>9033</v>
      </c>
      <c r="F4730" s="2004"/>
      <c r="G4730" s="2004">
        <f>IF('4S'!Q24="","##BLANK",'4S'!Q24)</f>
        <v>8</v>
      </c>
    </row>
    <row r="4731" spans="2:7">
      <c r="B4731" s="1739" t="str">
        <f>'4S'!CD8</f>
        <v>STWDP003</v>
      </c>
      <c r="D4731" s="2004"/>
      <c r="E4731" s="1658" t="s">
        <v>9033</v>
      </c>
      <c r="F4731" s="2004"/>
      <c r="G4731" s="2004">
        <f>IF('4S'!R8="","##BLANK",'4S'!R8)</f>
        <v>0</v>
      </c>
    </row>
    <row r="4732" spans="2:7">
      <c r="B4732" s="1739" t="str">
        <f>'4S'!CD9</f>
        <v>STWDP017</v>
      </c>
      <c r="D4732" s="2004"/>
      <c r="E4732" s="1658" t="s">
        <v>9033</v>
      </c>
      <c r="F4732" s="2004"/>
      <c r="G4732" s="2004">
        <f>IF('4S'!R9="","##BLANK",'4S'!R9)</f>
        <v>0</v>
      </c>
    </row>
    <row r="4733" spans="2:7">
      <c r="B4733" s="1739" t="str">
        <f>'4S'!CD10</f>
        <v>STWDP031</v>
      </c>
      <c r="D4733" s="2004"/>
      <c r="E4733" s="1658" t="s">
        <v>9033</v>
      </c>
      <c r="F4733" s="2004"/>
      <c r="G4733" s="2004">
        <f>IF('4S'!R10="","##BLANK",'4S'!R10)</f>
        <v>466</v>
      </c>
    </row>
    <row r="4734" spans="2:7">
      <c r="B4734" s="1739" t="str">
        <f>'4S'!CD11</f>
        <v>STWDP045</v>
      </c>
      <c r="D4734" s="2004"/>
      <c r="E4734" s="1658" t="s">
        <v>9033</v>
      </c>
      <c r="F4734" s="2004"/>
      <c r="G4734" s="2004">
        <f>IF('4S'!R11="","##BLANK",'4S'!R11)</f>
        <v>345</v>
      </c>
    </row>
    <row r="4735" spans="2:7">
      <c r="B4735" s="1739" t="str">
        <f>'4S'!CD12</f>
        <v>STWDP059</v>
      </c>
      <c r="D4735" s="2004"/>
      <c r="E4735" s="1658" t="s">
        <v>9033</v>
      </c>
      <c r="F4735" s="2004"/>
      <c r="G4735" s="2004">
        <f>IF('4S'!R12="","##BLANK",'4S'!R12)</f>
        <v>4692</v>
      </c>
    </row>
    <row r="4736" spans="2:7">
      <c r="B4736" s="1739" t="str">
        <f>'4S'!CD13</f>
        <v>STWDP103</v>
      </c>
      <c r="D4736" s="2004"/>
      <c r="E4736" s="1658" t="s">
        <v>9033</v>
      </c>
      <c r="F4736" s="2004"/>
      <c r="G4736" s="2004">
        <f>IF('4S'!R13="","##BLANK",'4S'!R13)</f>
        <v>0</v>
      </c>
    </row>
    <row r="4737" spans="2:7">
      <c r="B4737" s="1739" t="str">
        <f>'4S'!CD14</f>
        <v>STWDP123</v>
      </c>
      <c r="D4737" s="2004"/>
      <c r="E4737" s="1658" t="s">
        <v>9033</v>
      </c>
      <c r="F4737" s="2004"/>
      <c r="G4737" s="2004">
        <f>IF('4S'!R14="","##BLANK",'4S'!R14)</f>
        <v>5503</v>
      </c>
    </row>
    <row r="4738" spans="2:7">
      <c r="B4738" s="1739" t="str">
        <f>'4S'!CD18</f>
        <v>STWCP003</v>
      </c>
      <c r="D4738" s="2004"/>
      <c r="E4738" s="1658" t="s">
        <v>9033</v>
      </c>
      <c r="F4738" s="2004"/>
      <c r="G4738" s="2004">
        <f>IF('4S'!R18="","##BLANK",'4S'!R18)</f>
        <v>0</v>
      </c>
    </row>
    <row r="4739" spans="2:7">
      <c r="B4739" s="1739" t="str">
        <f>'4S'!CD19</f>
        <v>STWCP017</v>
      </c>
      <c r="D4739" s="2004"/>
      <c r="E4739" s="1658" t="s">
        <v>9033</v>
      </c>
      <c r="F4739" s="2004"/>
      <c r="G4739" s="2004">
        <f>IF('4S'!R19="","##BLANK",'4S'!R19)</f>
        <v>0</v>
      </c>
    </row>
    <row r="4740" spans="2:7">
      <c r="B4740" s="1739" t="str">
        <f>'4S'!CD20</f>
        <v>STWCP031</v>
      </c>
      <c r="D4740" s="2004"/>
      <c r="E4740" s="1658" t="s">
        <v>9033</v>
      </c>
      <c r="F4740" s="2004"/>
      <c r="G4740" s="2004">
        <f>IF('4S'!R20="","##BLANK",'4S'!R20)</f>
        <v>5</v>
      </c>
    </row>
    <row r="4741" spans="2:7">
      <c r="B4741" s="1739" t="str">
        <f>'4S'!CD21</f>
        <v>STWCP045</v>
      </c>
      <c r="D4741" s="2004"/>
      <c r="E4741" s="1658" t="s">
        <v>9033</v>
      </c>
      <c r="F4741" s="2004"/>
      <c r="G4741" s="2004">
        <f>IF('4S'!R21="","##BLANK",'4S'!R21)</f>
        <v>2</v>
      </c>
    </row>
    <row r="4742" spans="2:7">
      <c r="B4742" s="1739" t="str">
        <f>'4S'!CD22</f>
        <v>STWCP059</v>
      </c>
      <c r="D4742" s="2004"/>
      <c r="E4742" s="1658" t="s">
        <v>9033</v>
      </c>
      <c r="F4742" s="2004"/>
      <c r="G4742" s="2004">
        <f>IF('4S'!R22="","##BLANK",'4S'!R22)</f>
        <v>5</v>
      </c>
    </row>
    <row r="4743" spans="2:7">
      <c r="B4743" s="1739" t="str">
        <f>'4S'!CD23</f>
        <v>STWCP103</v>
      </c>
      <c r="D4743" s="2004"/>
      <c r="E4743" s="1658" t="s">
        <v>9033</v>
      </c>
      <c r="F4743" s="2004"/>
      <c r="G4743" s="2004">
        <f>IF('4S'!R23="","##BLANK",'4S'!R23)</f>
        <v>0</v>
      </c>
    </row>
    <row r="4744" spans="2:7">
      <c r="B4744" s="1739" t="str">
        <f>'4S'!CD24</f>
        <v>STWCP123</v>
      </c>
      <c r="D4744" s="2004"/>
      <c r="E4744" s="1658" t="s">
        <v>9033</v>
      </c>
      <c r="F4744" s="2004"/>
      <c r="G4744" s="2004">
        <f>IF('4S'!R24="","##BLANK",'4S'!R24)</f>
        <v>12</v>
      </c>
    </row>
    <row r="4745" spans="2:7">
      <c r="B4745" s="1739" t="str">
        <f>'4S'!CE8</f>
        <v>STWDP004</v>
      </c>
      <c r="D4745" s="2004"/>
      <c r="E4745" s="1658" t="s">
        <v>9033</v>
      </c>
      <c r="F4745" s="2004"/>
      <c r="G4745" s="2004">
        <f>IF('4S'!S8="","##BLANK",'4S'!S8)</f>
        <v>1704</v>
      </c>
    </row>
    <row r="4746" spans="2:7">
      <c r="B4746" s="1739" t="str">
        <f>'4S'!CE9</f>
        <v>STWDP018</v>
      </c>
      <c r="D4746" s="2004"/>
      <c r="E4746" s="1658" t="s">
        <v>9033</v>
      </c>
      <c r="F4746" s="2004"/>
      <c r="G4746" s="2004">
        <f>IF('4S'!S9="","##BLANK",'4S'!S9)</f>
        <v>1404</v>
      </c>
    </row>
    <row r="4747" spans="2:7">
      <c r="B4747" s="1739" t="str">
        <f>'4S'!CE10</f>
        <v>STWDP032</v>
      </c>
      <c r="D4747" s="2004"/>
      <c r="E4747" s="1658" t="s">
        <v>9033</v>
      </c>
      <c r="F4747" s="2004"/>
      <c r="G4747" s="2004">
        <f>IF('4S'!S10="","##BLANK",'4S'!S10)</f>
        <v>4956</v>
      </c>
    </row>
    <row r="4748" spans="2:7">
      <c r="B4748" s="1739" t="str">
        <f>'4S'!CE11</f>
        <v>STWDP046</v>
      </c>
      <c r="D4748" s="2004"/>
      <c r="E4748" s="1658" t="s">
        <v>9033</v>
      </c>
      <c r="F4748" s="2004"/>
      <c r="G4748" s="2004">
        <f>IF('4S'!S11="","##BLANK",'4S'!S11)</f>
        <v>19427</v>
      </c>
    </row>
    <row r="4749" spans="2:7">
      <c r="B4749" s="1739" t="str">
        <f>'4S'!CE12</f>
        <v>STWDP060</v>
      </c>
      <c r="D4749" s="2004"/>
      <c r="E4749" s="1658" t="s">
        <v>9033</v>
      </c>
      <c r="F4749" s="2004"/>
      <c r="G4749" s="2004">
        <f>IF('4S'!S12="","##BLANK",'4S'!S12)</f>
        <v>32062</v>
      </c>
    </row>
    <row r="4750" spans="2:7">
      <c r="B4750" s="1739" t="str">
        <f>'4S'!CE13</f>
        <v>STWDP104</v>
      </c>
      <c r="D4750" s="2004"/>
      <c r="E4750" s="1658" t="s">
        <v>9033</v>
      </c>
      <c r="F4750" s="2004"/>
      <c r="G4750" s="2004">
        <f>IF('4S'!S13="","##BLANK",'4S'!S13)</f>
        <v>283878</v>
      </c>
    </row>
    <row r="4751" spans="2:7">
      <c r="B4751" s="1739" t="str">
        <f>'4S'!CE14</f>
        <v>STWDP124</v>
      </c>
      <c r="D4751" s="2004"/>
      <c r="E4751" s="1658" t="s">
        <v>9033</v>
      </c>
      <c r="F4751" s="2004"/>
      <c r="G4751" s="2004">
        <f>IF('4S'!S14="","##BLANK",'4S'!S14)</f>
        <v>343431</v>
      </c>
    </row>
    <row r="4752" spans="2:7">
      <c r="B4752" s="1739" t="str">
        <f>'4S'!CE18</f>
        <v>STWCP004</v>
      </c>
      <c r="D4752" s="2004"/>
      <c r="E4752" s="1658" t="s">
        <v>9033</v>
      </c>
      <c r="F4752" s="2004"/>
      <c r="G4752" s="2004">
        <f>IF('4S'!S18="","##BLANK",'4S'!S18)</f>
        <v>311</v>
      </c>
    </row>
    <row r="4753" spans="2:7">
      <c r="B4753" s="1739" t="str">
        <f>'4S'!CE19</f>
        <v>STWCP018</v>
      </c>
      <c r="D4753" s="2004"/>
      <c r="E4753" s="1658" t="s">
        <v>9033</v>
      </c>
      <c r="F4753" s="2004"/>
      <c r="G4753" s="2004">
        <f>IF('4S'!S19="","##BLANK",'4S'!S19)</f>
        <v>62</v>
      </c>
    </row>
    <row r="4754" spans="2:7">
      <c r="B4754" s="1739" t="str">
        <f>'4S'!CE20</f>
        <v>STWCP032</v>
      </c>
      <c r="D4754" s="2004"/>
      <c r="E4754" s="1658" t="s">
        <v>9033</v>
      </c>
      <c r="F4754" s="2004"/>
      <c r="G4754" s="2004">
        <f>IF('4S'!S20="","##BLANK",'4S'!S20)</f>
        <v>74</v>
      </c>
    </row>
    <row r="4755" spans="2:7">
      <c r="B4755" s="1739" t="str">
        <f>'4S'!CE21</f>
        <v>STWCP046</v>
      </c>
      <c r="D4755" s="2004"/>
      <c r="E4755" s="1658" t="s">
        <v>9033</v>
      </c>
      <c r="F4755" s="2004"/>
      <c r="G4755" s="2004">
        <f>IF('4S'!S21="","##BLANK",'4S'!S21)</f>
        <v>64</v>
      </c>
    </row>
    <row r="4756" spans="2:7">
      <c r="B4756" s="1739" t="str">
        <f>'4S'!CE22</f>
        <v>STWCP060</v>
      </c>
      <c r="D4756" s="2004"/>
      <c r="E4756" s="1658" t="s">
        <v>9033</v>
      </c>
      <c r="F4756" s="2004"/>
      <c r="G4756" s="2004">
        <f>IF('4S'!S22="","##BLANK",'4S'!S22)</f>
        <v>30</v>
      </c>
    </row>
    <row r="4757" spans="2:7">
      <c r="B4757" s="1739" t="str">
        <f>'4S'!CE23</f>
        <v>STWCP104</v>
      </c>
      <c r="D4757" s="2004"/>
      <c r="E4757" s="1658" t="s">
        <v>9033</v>
      </c>
      <c r="F4757" s="2004"/>
      <c r="G4757" s="2004">
        <f>IF('4S'!S23="","##BLANK",'4S'!S23)</f>
        <v>34</v>
      </c>
    </row>
    <row r="4758" spans="2:7">
      <c r="B4758" s="1739" t="str">
        <f>'4S'!CE24</f>
        <v>STWCP124</v>
      </c>
      <c r="D4758" s="2004"/>
      <c r="E4758" s="1658" t="s">
        <v>9033</v>
      </c>
      <c r="F4758" s="2004"/>
      <c r="G4758" s="2004">
        <f>IF('4S'!S24="","##BLANK",'4S'!S24)</f>
        <v>575</v>
      </c>
    </row>
    <row r="4759" spans="2:7">
      <c r="B4759" s="1739" t="str">
        <f>'4S'!CF8</f>
        <v>STWDP005</v>
      </c>
      <c r="D4759" s="2004"/>
      <c r="E4759" s="1658" t="s">
        <v>9033</v>
      </c>
      <c r="F4759" s="2004"/>
      <c r="G4759" s="2004">
        <f>IF('4S'!T8="","##BLANK",'4S'!T8)</f>
        <v>1704</v>
      </c>
    </row>
    <row r="4760" spans="2:7">
      <c r="B4760" s="1739" t="str">
        <f>'4S'!CF9</f>
        <v>STWDP019</v>
      </c>
      <c r="D4760" s="2004"/>
      <c r="E4760" s="1658" t="s">
        <v>9033</v>
      </c>
      <c r="F4760" s="2004"/>
      <c r="G4760" s="2004">
        <f>IF('4S'!T9="","##BLANK",'4S'!T9)</f>
        <v>1426</v>
      </c>
    </row>
    <row r="4761" spans="2:7">
      <c r="B4761" s="1739" t="str">
        <f>'4S'!CF10</f>
        <v>STWDP033</v>
      </c>
      <c r="D4761" s="2004"/>
      <c r="E4761" s="1658" t="s">
        <v>9033</v>
      </c>
      <c r="F4761" s="2004"/>
      <c r="G4761" s="2004">
        <f>IF('4S'!T10="","##BLANK",'4S'!T10)</f>
        <v>5678</v>
      </c>
    </row>
    <row r="4762" spans="2:7">
      <c r="B4762" s="1739" t="str">
        <f>'4S'!CF11</f>
        <v>STWDP047</v>
      </c>
      <c r="D4762" s="2004"/>
      <c r="E4762" s="1658" t="s">
        <v>9033</v>
      </c>
      <c r="F4762" s="2004"/>
      <c r="G4762" s="2004">
        <f>IF('4S'!T11="","##BLANK",'4S'!T11)</f>
        <v>21986</v>
      </c>
    </row>
    <row r="4763" spans="2:7">
      <c r="B4763" s="1739" t="str">
        <f>'4S'!CF12</f>
        <v>STWDP061</v>
      </c>
      <c r="D4763" s="2004"/>
      <c r="E4763" s="1658" t="s">
        <v>9033</v>
      </c>
      <c r="F4763" s="2004"/>
      <c r="G4763" s="2004">
        <f>IF('4S'!T12="","##BLANK",'4S'!T12)</f>
        <v>44543</v>
      </c>
    </row>
    <row r="4764" spans="2:7">
      <c r="B4764" s="1739" t="str">
        <f>'4S'!CF13</f>
        <v>STWDP105</v>
      </c>
      <c r="D4764" s="2004"/>
      <c r="E4764" s="1658" t="s">
        <v>9033</v>
      </c>
      <c r="F4764" s="2004"/>
      <c r="G4764" s="2004">
        <f>IF('4S'!T13="","##BLANK",'4S'!T13)</f>
        <v>285862</v>
      </c>
    </row>
    <row r="4765" spans="2:7">
      <c r="B4765" s="1739" t="str">
        <f>'4S'!CF14</f>
        <v>STWDP125</v>
      </c>
      <c r="D4765" s="2004"/>
      <c r="E4765" s="1658" t="s">
        <v>9033</v>
      </c>
      <c r="F4765" s="2004"/>
      <c r="G4765" s="2004">
        <f>IF('4S'!T14="","##BLANK",'4S'!T14)</f>
        <v>361199</v>
      </c>
    </row>
    <row r="4766" spans="2:7">
      <c r="B4766" s="1739" t="str">
        <f>'4S'!CF18</f>
        <v>STWCP005</v>
      </c>
      <c r="D4766" s="2004"/>
      <c r="E4766" s="1658" t="s">
        <v>9033</v>
      </c>
      <c r="F4766" s="2004"/>
      <c r="G4766" s="2004">
        <f>IF('4S'!T18="","##BLANK",'4S'!T18)</f>
        <v>311</v>
      </c>
    </row>
    <row r="4767" spans="2:7">
      <c r="B4767" s="1739" t="str">
        <f>'4S'!CF19</f>
        <v>STWCP019</v>
      </c>
      <c r="D4767" s="2004"/>
      <c r="E4767" s="1658" t="s">
        <v>9033</v>
      </c>
      <c r="F4767" s="2004"/>
      <c r="G4767" s="2004">
        <f>IF('4S'!T19="","##BLANK",'4S'!T19)</f>
        <v>63</v>
      </c>
    </row>
    <row r="4768" spans="2:7">
      <c r="B4768" s="1739" t="str">
        <f>'4S'!CF20</f>
        <v>STWCP033</v>
      </c>
      <c r="D4768" s="2004"/>
      <c r="E4768" s="1658" t="s">
        <v>9033</v>
      </c>
      <c r="F4768" s="2004"/>
      <c r="G4768" s="2004">
        <f>IF('4S'!T20="","##BLANK",'4S'!T20)</f>
        <v>83</v>
      </c>
    </row>
    <row r="4769" spans="2:7">
      <c r="B4769" s="1739" t="str">
        <f>'4S'!CF21</f>
        <v>STWCP047</v>
      </c>
      <c r="D4769" s="2004"/>
      <c r="E4769" s="1658" t="s">
        <v>9033</v>
      </c>
      <c r="F4769" s="2004"/>
      <c r="G4769" s="2004">
        <f>IF('4S'!T21="","##BLANK",'4S'!T21)</f>
        <v>73</v>
      </c>
    </row>
    <row r="4770" spans="2:7">
      <c r="B4770" s="1739" t="str">
        <f>'4S'!CF22</f>
        <v>STWCP061</v>
      </c>
      <c r="D4770" s="2004"/>
      <c r="E4770" s="1658" t="s">
        <v>9033</v>
      </c>
      <c r="F4770" s="2004"/>
      <c r="G4770" s="2004">
        <f>IF('4S'!T22="","##BLANK",'4S'!T22)</f>
        <v>43</v>
      </c>
    </row>
    <row r="4771" spans="2:7">
      <c r="B4771" s="1739" t="str">
        <f>'4S'!CF23</f>
        <v>STWCP105</v>
      </c>
      <c r="D4771" s="2004"/>
      <c r="E4771" s="1658" t="s">
        <v>9033</v>
      </c>
      <c r="F4771" s="2004"/>
      <c r="G4771" s="2004">
        <f>IF('4S'!T23="","##BLANK",'4S'!T23)</f>
        <v>35</v>
      </c>
    </row>
    <row r="4772" spans="2:7">
      <c r="B4772" s="1739" t="str">
        <f>'4S'!CF24</f>
        <v>STWCP125</v>
      </c>
      <c r="D4772" s="2004"/>
      <c r="E4772" s="1658" t="s">
        <v>9033</v>
      </c>
      <c r="F4772" s="2004"/>
      <c r="G4772" s="2004">
        <f>IF('4S'!T24="","##BLANK",'4S'!T24)</f>
        <v>608</v>
      </c>
    </row>
    <row r="4773" spans="2:7">
      <c r="B4773" s="1739" t="str">
        <f>'4S'!CG8</f>
        <v>STWDB001</v>
      </c>
      <c r="D4773" s="2004"/>
      <c r="E4773" s="1658" t="s">
        <v>9033</v>
      </c>
      <c r="F4773" s="2004"/>
      <c r="G4773" s="2004">
        <f>IF('4S'!U8="","##BLANK",'4S'!U8)</f>
        <v>0</v>
      </c>
    </row>
    <row r="4774" spans="2:7">
      <c r="B4774" s="1739" t="str">
        <f>'4S'!CG9</f>
        <v>STWDB015</v>
      </c>
      <c r="D4774" s="2004"/>
      <c r="E4774" s="1658" t="s">
        <v>9033</v>
      </c>
      <c r="F4774" s="2004"/>
      <c r="G4774" s="2004">
        <f>IF('4S'!U9="","##BLANK",'4S'!U9)</f>
        <v>0</v>
      </c>
    </row>
    <row r="4775" spans="2:7">
      <c r="B4775" s="1739" t="str">
        <f>'4S'!CG10</f>
        <v>STWDB029</v>
      </c>
      <c r="D4775" s="2004"/>
      <c r="E4775" s="1658" t="s">
        <v>9033</v>
      </c>
      <c r="F4775" s="2004"/>
      <c r="G4775" s="2004">
        <f>IF('4S'!U10="","##BLANK",'4S'!U10)</f>
        <v>0</v>
      </c>
    </row>
    <row r="4776" spans="2:7">
      <c r="B4776" s="1739" t="str">
        <f>'4S'!CG11</f>
        <v>STWDB043</v>
      </c>
      <c r="D4776" s="2004"/>
      <c r="E4776" s="1658" t="s">
        <v>9033</v>
      </c>
      <c r="F4776" s="2004"/>
      <c r="G4776" s="2004">
        <f>IF('4S'!U11="","##BLANK",'4S'!U11)</f>
        <v>0</v>
      </c>
    </row>
    <row r="4777" spans="2:7">
      <c r="B4777" s="1739" t="str">
        <f>'4S'!CG12</f>
        <v>STWDB057</v>
      </c>
      <c r="D4777" s="2004"/>
      <c r="E4777" s="1658" t="s">
        <v>9033</v>
      </c>
      <c r="F4777" s="2004"/>
      <c r="G4777" s="2004">
        <f>IF('4S'!U12="","##BLANK",'4S'!U12)</f>
        <v>0</v>
      </c>
    </row>
    <row r="4778" spans="2:7">
      <c r="B4778" s="1739" t="str">
        <f>'4S'!CG13</f>
        <v>STWDB101</v>
      </c>
      <c r="D4778" s="2004"/>
      <c r="E4778" s="1658" t="s">
        <v>9033</v>
      </c>
      <c r="F4778" s="2004"/>
      <c r="G4778" s="2004">
        <f>IF('4S'!U13="","##BLANK",'4S'!U13)</f>
        <v>0</v>
      </c>
    </row>
    <row r="4779" spans="2:7">
      <c r="B4779" s="1739" t="str">
        <f>'4S'!CG14</f>
        <v>STWDB121</v>
      </c>
      <c r="D4779" s="2004"/>
      <c r="E4779" s="1658" t="s">
        <v>9033</v>
      </c>
      <c r="F4779" s="2004"/>
      <c r="G4779" s="2004">
        <f>IF('4S'!U14="","##BLANK",'4S'!U14)</f>
        <v>0</v>
      </c>
    </row>
    <row r="4780" spans="2:7">
      <c r="B4780" s="1739" t="str">
        <f>'4S'!CG18</f>
        <v>STWCB001</v>
      </c>
      <c r="D4780" s="2004"/>
      <c r="E4780" s="1658" t="s">
        <v>9033</v>
      </c>
      <c r="F4780" s="2004"/>
      <c r="G4780" s="2004">
        <f>IF('4S'!U18="","##BLANK",'4S'!U18)</f>
        <v>0</v>
      </c>
    </row>
    <row r="4781" spans="2:7">
      <c r="B4781" s="1739" t="str">
        <f>'4S'!CG19</f>
        <v>STWCB015</v>
      </c>
      <c r="D4781" s="2004"/>
      <c r="E4781" s="1658" t="s">
        <v>9033</v>
      </c>
      <c r="F4781" s="2004"/>
      <c r="G4781" s="2004">
        <f>IF('4S'!U19="","##BLANK",'4S'!U19)</f>
        <v>0</v>
      </c>
    </row>
    <row r="4782" spans="2:7">
      <c r="B4782" s="1739" t="str">
        <f>'4S'!CG20</f>
        <v>STWCB029</v>
      </c>
      <c r="D4782" s="2004"/>
      <c r="E4782" s="1658" t="s">
        <v>9033</v>
      </c>
      <c r="F4782" s="2004"/>
      <c r="G4782" s="2004">
        <f>IF('4S'!U20="","##BLANK",'4S'!U20)</f>
        <v>0</v>
      </c>
    </row>
    <row r="4783" spans="2:7">
      <c r="B4783" s="1739" t="str">
        <f>'4S'!CG21</f>
        <v>STWCB043</v>
      </c>
      <c r="D4783" s="2004"/>
      <c r="E4783" s="1658" t="s">
        <v>9033</v>
      </c>
      <c r="F4783" s="2004"/>
      <c r="G4783" s="2004">
        <f>IF('4S'!U21="","##BLANK",'4S'!U21)</f>
        <v>0</v>
      </c>
    </row>
    <row r="4784" spans="2:7">
      <c r="B4784" s="1739" t="str">
        <f>'4S'!CG22</f>
        <v>STWCB057</v>
      </c>
      <c r="D4784" s="2004"/>
      <c r="E4784" s="1658" t="s">
        <v>9033</v>
      </c>
      <c r="F4784" s="2004"/>
      <c r="G4784" s="2004">
        <f>IF('4S'!U22="","##BLANK",'4S'!U22)</f>
        <v>0</v>
      </c>
    </row>
    <row r="4785" spans="2:7">
      <c r="B4785" s="1739" t="str">
        <f>'4S'!CG23</f>
        <v>STWCB101</v>
      </c>
      <c r="D4785" s="2004"/>
      <c r="E4785" s="1658" t="s">
        <v>9033</v>
      </c>
      <c r="F4785" s="2004"/>
      <c r="G4785" s="2004">
        <f>IF('4S'!U23="","##BLANK",'4S'!U23)</f>
        <v>0</v>
      </c>
    </row>
    <row r="4786" spans="2:7">
      <c r="B4786" s="1739" t="str">
        <f>'4S'!CG24</f>
        <v>STWCB121</v>
      </c>
      <c r="D4786" s="2004"/>
      <c r="E4786" s="1658" t="s">
        <v>9033</v>
      </c>
      <c r="F4786" s="2004"/>
      <c r="G4786" s="2004">
        <f>IF('4S'!U24="","##BLANK",'4S'!U24)</f>
        <v>0</v>
      </c>
    </row>
    <row r="4787" spans="2:7">
      <c r="B4787" s="1739" t="str">
        <f>'4S'!CH8</f>
        <v>STWDB002</v>
      </c>
      <c r="D4787" s="2004"/>
      <c r="E4787" s="1658" t="s">
        <v>9033</v>
      </c>
      <c r="F4787" s="2004"/>
      <c r="G4787" s="2004">
        <f>IF('4S'!V8="","##BLANK",'4S'!V8)</f>
        <v>0</v>
      </c>
    </row>
    <row r="4788" spans="2:7">
      <c r="B4788" s="1739" t="str">
        <f>'4S'!CH9</f>
        <v>STWDB016</v>
      </c>
      <c r="D4788" s="2004"/>
      <c r="E4788" s="1658" t="s">
        <v>9033</v>
      </c>
      <c r="F4788" s="2004"/>
      <c r="G4788" s="2004">
        <f>IF('4S'!V9="","##BLANK",'4S'!V9)</f>
        <v>0</v>
      </c>
    </row>
    <row r="4789" spans="2:7">
      <c r="B4789" s="1739" t="str">
        <f>'4S'!CH10</f>
        <v>STWDB030</v>
      </c>
      <c r="D4789" s="2004"/>
      <c r="E4789" s="1658" t="s">
        <v>9033</v>
      </c>
      <c r="F4789" s="2004"/>
      <c r="G4789" s="2004">
        <f>IF('4S'!V10="","##BLANK",'4S'!V10)</f>
        <v>159</v>
      </c>
    </row>
    <row r="4790" spans="2:7">
      <c r="B4790" s="1739" t="str">
        <f>'4S'!CH11</f>
        <v>STWDB044</v>
      </c>
      <c r="D4790" s="2004"/>
      <c r="E4790" s="1658" t="s">
        <v>9033</v>
      </c>
      <c r="F4790" s="2004"/>
      <c r="G4790" s="2004">
        <f>IF('4S'!V11="","##BLANK",'4S'!V11)</f>
        <v>1472</v>
      </c>
    </row>
    <row r="4791" spans="2:7">
      <c r="B4791" s="1739" t="str">
        <f>'4S'!CH12</f>
        <v>STWDB058</v>
      </c>
      <c r="D4791" s="2004"/>
      <c r="E4791" s="1658" t="s">
        <v>9033</v>
      </c>
      <c r="F4791" s="2004"/>
      <c r="G4791" s="2004">
        <f>IF('4S'!V12="","##BLANK",'4S'!V12)</f>
        <v>4552</v>
      </c>
    </row>
    <row r="4792" spans="2:7">
      <c r="B4792" s="1739" t="str">
        <f>'4S'!CH13</f>
        <v>STWDB102</v>
      </c>
      <c r="D4792" s="2004"/>
      <c r="E4792" s="1658" t="s">
        <v>9033</v>
      </c>
      <c r="F4792" s="2004"/>
      <c r="G4792" s="2004">
        <f>IF('4S'!V13="","##BLANK",'4S'!V13)</f>
        <v>25633</v>
      </c>
    </row>
    <row r="4793" spans="2:7">
      <c r="B4793" s="1739" t="str">
        <f>'4S'!CH14</f>
        <v>STWDB122</v>
      </c>
      <c r="D4793" s="2004"/>
      <c r="E4793" s="1658" t="s">
        <v>9033</v>
      </c>
      <c r="F4793" s="2004"/>
      <c r="G4793" s="2004">
        <f>IF('4S'!V14="","##BLANK",'4S'!V14)</f>
        <v>31816</v>
      </c>
    </row>
    <row r="4794" spans="2:7">
      <c r="B4794" s="1739" t="str">
        <f>'4S'!CH18</f>
        <v>STWCB002</v>
      </c>
      <c r="D4794" s="2004"/>
      <c r="E4794" s="1658" t="s">
        <v>9033</v>
      </c>
      <c r="F4794" s="2004"/>
      <c r="G4794" s="2004">
        <f>IF('4S'!V18="","##BLANK",'4S'!V18)</f>
        <v>0</v>
      </c>
    </row>
    <row r="4795" spans="2:7">
      <c r="B4795" s="1739" t="str">
        <f>'4S'!CH19</f>
        <v>STWCB016</v>
      </c>
      <c r="D4795" s="2004"/>
      <c r="E4795" s="1658" t="s">
        <v>9033</v>
      </c>
      <c r="F4795" s="2004"/>
      <c r="G4795" s="2004">
        <f>IF('4S'!V19="","##BLANK",'4S'!V19)</f>
        <v>0</v>
      </c>
    </row>
    <row r="4796" spans="2:7">
      <c r="B4796" s="1739" t="str">
        <f>'4S'!CH20</f>
        <v>STWCB030</v>
      </c>
      <c r="D4796" s="2004"/>
      <c r="E4796" s="1658" t="s">
        <v>9033</v>
      </c>
      <c r="F4796" s="2004"/>
      <c r="G4796" s="2004">
        <f>IF('4S'!V20="","##BLANK",'4S'!V20)</f>
        <v>2</v>
      </c>
    </row>
    <row r="4797" spans="2:7">
      <c r="B4797" s="1739" t="str">
        <f>'4S'!CH21</f>
        <v>STWCB044</v>
      </c>
      <c r="D4797" s="2004"/>
      <c r="E4797" s="1658" t="s">
        <v>9033</v>
      </c>
      <c r="F4797" s="2004"/>
      <c r="G4797" s="2004">
        <f>IF('4S'!V21="","##BLANK",'4S'!V21)</f>
        <v>5</v>
      </c>
    </row>
    <row r="4798" spans="2:7">
      <c r="B4798" s="1739" t="str">
        <f>'4S'!CH22</f>
        <v>STWCB058</v>
      </c>
      <c r="D4798" s="2004"/>
      <c r="E4798" s="1658" t="s">
        <v>9033</v>
      </c>
      <c r="F4798" s="2004"/>
      <c r="G4798" s="2004">
        <f>IF('4S'!V22="","##BLANK",'4S'!V22)</f>
        <v>4</v>
      </c>
    </row>
    <row r="4799" spans="2:7">
      <c r="B4799" s="1739" t="str">
        <f>'4S'!CH23</f>
        <v>STWCB102</v>
      </c>
      <c r="D4799" s="2004"/>
      <c r="E4799" s="1658" t="s">
        <v>9033</v>
      </c>
      <c r="F4799" s="2004"/>
      <c r="G4799" s="2004">
        <f>IF('4S'!V23="","##BLANK",'4S'!V23)</f>
        <v>1</v>
      </c>
    </row>
    <row r="4800" spans="2:7">
      <c r="B4800" s="1739" t="str">
        <f>'4S'!CH24</f>
        <v>STWCB122</v>
      </c>
      <c r="D4800" s="2004"/>
      <c r="E4800" s="1658" t="s">
        <v>9033</v>
      </c>
      <c r="F4800" s="2004"/>
      <c r="G4800" s="2004">
        <f>IF('4S'!V24="","##BLANK",'4S'!V24)</f>
        <v>12</v>
      </c>
    </row>
    <row r="4801" spans="2:7">
      <c r="B4801" s="1739" t="str">
        <f>'4S'!CI8</f>
        <v>STWDB003</v>
      </c>
      <c r="D4801" s="2004"/>
      <c r="E4801" s="1658" t="s">
        <v>9033</v>
      </c>
      <c r="F4801" s="2004"/>
      <c r="G4801" s="2004">
        <f>IF('4S'!W8="","##BLANK",'4S'!W8)</f>
        <v>25</v>
      </c>
    </row>
    <row r="4802" spans="2:7">
      <c r="B4802" s="1739" t="str">
        <f>'4S'!CI9</f>
        <v>STWDB017</v>
      </c>
      <c r="D4802" s="2004"/>
      <c r="E4802" s="1658" t="s">
        <v>9033</v>
      </c>
      <c r="F4802" s="2004"/>
      <c r="G4802" s="2004">
        <f>IF('4S'!W9="","##BLANK",'4S'!W9)</f>
        <v>208</v>
      </c>
    </row>
    <row r="4803" spans="2:7">
      <c r="B4803" s="1739" t="str">
        <f>'4S'!CI10</f>
        <v>STWDB031</v>
      </c>
      <c r="D4803" s="2004"/>
      <c r="E4803" s="1658" t="s">
        <v>9033</v>
      </c>
      <c r="F4803" s="2004"/>
      <c r="G4803" s="2004">
        <f>IF('4S'!W10="","##BLANK",'4S'!W10)</f>
        <v>1737</v>
      </c>
    </row>
    <row r="4804" spans="2:7">
      <c r="B4804" s="1739" t="str">
        <f>'4S'!CI11</f>
        <v>STWDB045</v>
      </c>
      <c r="D4804" s="2004"/>
      <c r="E4804" s="1658" t="s">
        <v>9033</v>
      </c>
      <c r="F4804" s="2004"/>
      <c r="G4804" s="2004">
        <f>IF('4S'!W11="","##BLANK",'4S'!W11)</f>
        <v>5160</v>
      </c>
    </row>
    <row r="4805" spans="2:7">
      <c r="B4805" s="1739" t="str">
        <f>'4S'!CI12</f>
        <v>STWDB059</v>
      </c>
      <c r="D4805" s="2004"/>
      <c r="E4805" s="1658" t="s">
        <v>9033</v>
      </c>
      <c r="F4805" s="2004"/>
      <c r="G4805" s="2004">
        <f>IF('4S'!W12="","##BLANK",'4S'!W12)</f>
        <v>14390</v>
      </c>
    </row>
    <row r="4806" spans="2:7">
      <c r="B4806" s="1739" t="str">
        <f>'4S'!CI13</f>
        <v>STWDB103</v>
      </c>
      <c r="D4806" s="2004"/>
      <c r="E4806" s="1658" t="s">
        <v>9033</v>
      </c>
      <c r="F4806" s="2004"/>
      <c r="G4806" s="2004">
        <f>IF('4S'!W13="","##BLANK",'4S'!W13)</f>
        <v>133813</v>
      </c>
    </row>
    <row r="4807" spans="2:7">
      <c r="B4807" s="1739" t="str">
        <f>'4S'!CI14</f>
        <v>STWDB123</v>
      </c>
      <c r="D4807" s="2004"/>
      <c r="E4807" s="1658" t="s">
        <v>9033</v>
      </c>
      <c r="F4807" s="2004"/>
      <c r="G4807" s="2004">
        <f>IF('4S'!W14="","##BLANK",'4S'!W14)</f>
        <v>155333</v>
      </c>
    </row>
    <row r="4808" spans="2:7">
      <c r="B4808" s="1739" t="str">
        <f>'4S'!CI18</f>
        <v>STWCB003</v>
      </c>
      <c r="D4808" s="2004"/>
      <c r="E4808" s="1658" t="s">
        <v>9033</v>
      </c>
      <c r="F4808" s="2004"/>
      <c r="G4808" s="2004">
        <f>IF('4S'!W18="","##BLANK",'4S'!W18)</f>
        <v>2</v>
      </c>
    </row>
    <row r="4809" spans="2:7">
      <c r="B4809" s="1739" t="str">
        <f>'4S'!CI19</f>
        <v>STWCB017</v>
      </c>
      <c r="D4809" s="2004"/>
      <c r="E4809" s="1658" t="s">
        <v>9033</v>
      </c>
      <c r="F4809" s="2004"/>
      <c r="G4809" s="2004">
        <f>IF('4S'!W19="","##BLANK",'4S'!W19)</f>
        <v>9</v>
      </c>
    </row>
    <row r="4810" spans="2:7">
      <c r="B4810" s="1739" t="str">
        <f>'4S'!CI20</f>
        <v>STWCB031</v>
      </c>
      <c r="D4810" s="2004"/>
      <c r="E4810" s="1658" t="s">
        <v>9033</v>
      </c>
      <c r="F4810" s="2004"/>
      <c r="G4810" s="2004">
        <f>IF('4S'!W20="","##BLANK",'4S'!W20)</f>
        <v>22</v>
      </c>
    </row>
    <row r="4811" spans="2:7">
      <c r="B4811" s="1739" t="str">
        <f>'4S'!CI21</f>
        <v>STWCB045</v>
      </c>
      <c r="D4811" s="2004"/>
      <c r="E4811" s="1658" t="s">
        <v>9033</v>
      </c>
      <c r="F4811" s="2004"/>
      <c r="G4811" s="2004">
        <f>IF('4S'!W21="","##BLANK",'4S'!W21)</f>
        <v>17</v>
      </c>
    </row>
    <row r="4812" spans="2:7">
      <c r="B4812" s="1739" t="str">
        <f>'4S'!CI22</f>
        <v>STWCB059</v>
      </c>
      <c r="D4812" s="2004"/>
      <c r="E4812" s="1658" t="s">
        <v>9033</v>
      </c>
      <c r="F4812" s="2004"/>
      <c r="G4812" s="2004">
        <f>IF('4S'!W22="","##BLANK",'4S'!W22)</f>
        <v>15</v>
      </c>
    </row>
    <row r="4813" spans="2:7">
      <c r="B4813" s="1739" t="str">
        <f>'4S'!CI23</f>
        <v>STWCB103</v>
      </c>
      <c r="D4813" s="2004"/>
      <c r="E4813" s="1658" t="s">
        <v>9033</v>
      </c>
      <c r="F4813" s="2004"/>
      <c r="G4813" s="2004">
        <f>IF('4S'!W23="","##BLANK",'4S'!W23)</f>
        <v>13</v>
      </c>
    </row>
    <row r="4814" spans="2:7">
      <c r="B4814" s="1739" t="str">
        <f>'4S'!CI24</f>
        <v>STWCB123</v>
      </c>
      <c r="D4814" s="2004"/>
      <c r="E4814" s="1658" t="s">
        <v>9033</v>
      </c>
      <c r="F4814" s="2004"/>
      <c r="G4814" s="2004">
        <f>IF('4S'!W24="","##BLANK",'4S'!W24)</f>
        <v>78</v>
      </c>
    </row>
    <row r="4815" spans="2:7">
      <c r="B4815" s="1739" t="str">
        <f>'4S'!CJ8</f>
        <v>STWDB004</v>
      </c>
      <c r="D4815" s="2004"/>
      <c r="E4815" s="1658" t="s">
        <v>9033</v>
      </c>
      <c r="F4815" s="2004"/>
      <c r="G4815" s="2004">
        <f>IF('4S'!X8="","##BLANK",'4S'!X8)</f>
        <v>156</v>
      </c>
    </row>
    <row r="4816" spans="2:7">
      <c r="B4816" s="1739" t="str">
        <f>'4S'!CJ9</f>
        <v>STWDB018</v>
      </c>
      <c r="D4816" s="2004"/>
      <c r="E4816" s="1658" t="s">
        <v>9033</v>
      </c>
      <c r="F4816" s="2004"/>
      <c r="G4816" s="2004">
        <f>IF('4S'!X9="","##BLANK",'4S'!X9)</f>
        <v>675</v>
      </c>
    </row>
    <row r="4817" spans="2:7">
      <c r="B4817" s="1739" t="str">
        <f>'4S'!CJ10</f>
        <v>STWDB032</v>
      </c>
      <c r="D4817" s="2004"/>
      <c r="E4817" s="1658" t="s">
        <v>9033</v>
      </c>
      <c r="F4817" s="2004"/>
      <c r="G4817" s="2004">
        <f>IF('4S'!X10="","##BLANK",'4S'!X10)</f>
        <v>3467</v>
      </c>
    </row>
    <row r="4818" spans="2:7">
      <c r="B4818" s="1739" t="str">
        <f>'4S'!CJ11</f>
        <v>STWDB046</v>
      </c>
      <c r="D4818" s="2004"/>
      <c r="E4818" s="1658" t="s">
        <v>9033</v>
      </c>
      <c r="F4818" s="2004"/>
      <c r="G4818" s="2004">
        <f>IF('4S'!X11="","##BLANK",'4S'!X11)</f>
        <v>11153</v>
      </c>
    </row>
    <row r="4819" spans="2:7">
      <c r="B4819" s="1739" t="str">
        <f>'4S'!CJ12</f>
        <v>STWDB060</v>
      </c>
      <c r="D4819" s="2004"/>
      <c r="E4819" s="1658" t="s">
        <v>9033</v>
      </c>
      <c r="F4819" s="2004"/>
      <c r="G4819" s="2004">
        <f>IF('4S'!X12="","##BLANK",'4S'!X12)</f>
        <v>22800</v>
      </c>
    </row>
    <row r="4820" spans="2:7">
      <c r="B4820" s="1739" t="str">
        <f>'4S'!CJ13</f>
        <v>STWDB104</v>
      </c>
      <c r="D4820" s="2004"/>
      <c r="E4820" s="1658" t="s">
        <v>9033</v>
      </c>
      <c r="F4820" s="2004"/>
      <c r="G4820" s="2004">
        <f>IF('4S'!X13="","##BLANK",'4S'!X13)</f>
        <v>86952</v>
      </c>
    </row>
    <row r="4821" spans="2:7">
      <c r="B4821" s="1739" t="str">
        <f>'4S'!CJ14</f>
        <v>STWDB124</v>
      </c>
      <c r="D4821" s="2004"/>
      <c r="E4821" s="1658" t="s">
        <v>9033</v>
      </c>
      <c r="F4821" s="2004"/>
      <c r="G4821" s="2004">
        <f>IF('4S'!X14="","##BLANK",'4S'!X14)</f>
        <v>125203</v>
      </c>
    </row>
    <row r="4822" spans="2:7">
      <c r="B4822" s="1739" t="str">
        <f>'4S'!CJ18</f>
        <v>STWCB004</v>
      </c>
      <c r="D4822" s="2004"/>
      <c r="E4822" s="1658" t="s">
        <v>9033</v>
      </c>
      <c r="F4822" s="2004"/>
      <c r="G4822" s="2004">
        <f>IF('4S'!X18="","##BLANK",'4S'!X18)</f>
        <v>11</v>
      </c>
    </row>
    <row r="4823" spans="2:7">
      <c r="B4823" s="1739" t="str">
        <f>'4S'!CJ19</f>
        <v>STWCB018</v>
      </c>
      <c r="D4823" s="2004"/>
      <c r="E4823" s="1658" t="s">
        <v>9033</v>
      </c>
      <c r="F4823" s="2004"/>
      <c r="G4823" s="2004">
        <f>IF('4S'!X19="","##BLANK",'4S'!X19)</f>
        <v>28</v>
      </c>
    </row>
    <row r="4824" spans="2:7">
      <c r="B4824" s="1739" t="str">
        <f>'4S'!CJ20</f>
        <v>STWCB032</v>
      </c>
      <c r="D4824" s="2004"/>
      <c r="E4824" s="1658" t="s">
        <v>9033</v>
      </c>
      <c r="F4824" s="2004"/>
      <c r="G4824" s="2004">
        <f>IF('4S'!X20="","##BLANK",'4S'!X20)</f>
        <v>52</v>
      </c>
    </row>
    <row r="4825" spans="2:7">
      <c r="B4825" s="1739" t="str">
        <f>'4S'!CJ21</f>
        <v>STWCB046</v>
      </c>
      <c r="D4825" s="2004"/>
      <c r="E4825" s="1658" t="s">
        <v>9033</v>
      </c>
      <c r="F4825" s="2004"/>
      <c r="G4825" s="2004">
        <f>IF('4S'!X21="","##BLANK",'4S'!X21)</f>
        <v>40</v>
      </c>
    </row>
    <row r="4826" spans="2:7">
      <c r="B4826" s="1739" t="str">
        <f>'4S'!CJ22</f>
        <v>STWCB060</v>
      </c>
      <c r="D4826" s="2004"/>
      <c r="E4826" s="1658" t="s">
        <v>9033</v>
      </c>
      <c r="F4826" s="2004"/>
      <c r="G4826" s="2004">
        <f>IF('4S'!X22="","##BLANK",'4S'!X22)</f>
        <v>21</v>
      </c>
    </row>
    <row r="4827" spans="2:7">
      <c r="B4827" s="1739" t="str">
        <f>'4S'!CJ23</f>
        <v>STWCB104</v>
      </c>
      <c r="D4827" s="2004"/>
      <c r="E4827" s="1658" t="s">
        <v>9033</v>
      </c>
      <c r="F4827" s="2004"/>
      <c r="G4827" s="2004">
        <f>IF('4S'!X23="","##BLANK",'4S'!X23)</f>
        <v>17</v>
      </c>
    </row>
    <row r="4828" spans="2:7">
      <c r="B4828" s="1739" t="str">
        <f>'4S'!CJ24</f>
        <v>STWCB124</v>
      </c>
      <c r="D4828" s="2004"/>
      <c r="E4828" s="1658" t="s">
        <v>9033</v>
      </c>
      <c r="F4828" s="2004"/>
      <c r="G4828" s="2004">
        <f>IF('4S'!X24="","##BLANK",'4S'!X24)</f>
        <v>169</v>
      </c>
    </row>
    <row r="4829" spans="2:7">
      <c r="B4829" s="1739" t="str">
        <f>'4S'!CK8</f>
        <v>STWDB005</v>
      </c>
      <c r="D4829" s="2004"/>
      <c r="E4829" s="1658" t="s">
        <v>9033</v>
      </c>
      <c r="F4829" s="2004"/>
      <c r="G4829" s="2004">
        <f>IF('4S'!Y8="","##BLANK",'4S'!Y8)</f>
        <v>1523</v>
      </c>
    </row>
    <row r="4830" spans="2:7">
      <c r="B4830" s="1739" t="str">
        <f>'4S'!CK9</f>
        <v>STWDB019</v>
      </c>
      <c r="D4830" s="2004"/>
      <c r="E4830" s="1658" t="s">
        <v>9033</v>
      </c>
      <c r="F4830" s="2004"/>
      <c r="G4830" s="2004">
        <f>IF('4S'!Y9="","##BLANK",'4S'!Y9)</f>
        <v>543</v>
      </c>
    </row>
    <row r="4831" spans="2:7">
      <c r="B4831" s="1739" t="str">
        <f>'4S'!CK10</f>
        <v>STWDB033</v>
      </c>
      <c r="D4831" s="2004"/>
      <c r="E4831" s="1658" t="s">
        <v>9033</v>
      </c>
      <c r="F4831" s="2004"/>
      <c r="G4831" s="2004">
        <f>IF('4S'!Y10="","##BLANK",'4S'!Y10)</f>
        <v>315</v>
      </c>
    </row>
    <row r="4832" spans="2:7">
      <c r="B4832" s="1739" t="str">
        <f>'4S'!CK11</f>
        <v>STWDB047</v>
      </c>
      <c r="D4832" s="2004"/>
      <c r="E4832" s="1658" t="s">
        <v>9033</v>
      </c>
      <c r="F4832" s="2004"/>
      <c r="G4832" s="2004">
        <f>IF('4S'!Y11="","##BLANK",'4S'!Y11)</f>
        <v>4201</v>
      </c>
    </row>
    <row r="4833" spans="2:7">
      <c r="B4833" s="1739" t="str">
        <f>'4S'!CK12</f>
        <v>STWDB061</v>
      </c>
      <c r="D4833" s="2004"/>
      <c r="E4833" s="1658" t="s">
        <v>9033</v>
      </c>
      <c r="F4833" s="2004"/>
      <c r="G4833" s="2004">
        <f>IF('4S'!Y12="","##BLANK",'4S'!Y12)</f>
        <v>2801</v>
      </c>
    </row>
    <row r="4834" spans="2:7">
      <c r="B4834" s="1739" t="str">
        <f>'4S'!CK13</f>
        <v>STWDB105</v>
      </c>
      <c r="D4834" s="2004"/>
      <c r="E4834" s="1658" t="s">
        <v>9033</v>
      </c>
      <c r="F4834" s="2004"/>
      <c r="G4834" s="2004">
        <f>IF('4S'!Y13="","##BLANK",'4S'!Y13)</f>
        <v>39464</v>
      </c>
    </row>
    <row r="4835" spans="2:7">
      <c r="B4835" s="1739" t="str">
        <f>'4S'!CK14</f>
        <v>STWDB125</v>
      </c>
      <c r="D4835" s="2004"/>
      <c r="E4835" s="1658" t="s">
        <v>9033</v>
      </c>
      <c r="F4835" s="2004"/>
      <c r="G4835" s="2004">
        <f>IF('4S'!Y14="","##BLANK",'4S'!Y14)</f>
        <v>48847</v>
      </c>
    </row>
    <row r="4836" spans="2:7">
      <c r="B4836" s="1739" t="str">
        <f>'4S'!CK18</f>
        <v>STWCB005</v>
      </c>
      <c r="D4836" s="2004"/>
      <c r="E4836" s="1658" t="s">
        <v>9033</v>
      </c>
      <c r="F4836" s="2004"/>
      <c r="G4836" s="2004">
        <f>IF('4S'!Y18="","##BLANK",'4S'!Y18)</f>
        <v>298</v>
      </c>
    </row>
    <row r="4837" spans="2:7">
      <c r="B4837" s="1739" t="str">
        <f>'4S'!CK19</f>
        <v>STWCB019</v>
      </c>
      <c r="D4837" s="2004"/>
      <c r="E4837" s="1658" t="s">
        <v>9033</v>
      </c>
      <c r="F4837" s="2004"/>
      <c r="G4837" s="2004">
        <f>IF('4S'!Y19="","##BLANK",'4S'!Y19)</f>
        <v>26</v>
      </c>
    </row>
    <row r="4838" spans="2:7">
      <c r="B4838" s="1739" t="str">
        <f>'4S'!CK20</f>
        <v>STWCB033</v>
      </c>
      <c r="D4838" s="2004"/>
      <c r="E4838" s="1658" t="s">
        <v>9033</v>
      </c>
      <c r="F4838" s="2004"/>
      <c r="G4838" s="2004">
        <f>IF('4S'!Y20="","##BLANK",'4S'!Y20)</f>
        <v>7</v>
      </c>
    </row>
    <row r="4839" spans="2:7">
      <c r="B4839" s="1739" t="str">
        <f>'4S'!CK21</f>
        <v>STWCB047</v>
      </c>
      <c r="D4839" s="2004"/>
      <c r="E4839" s="1658" t="s">
        <v>9033</v>
      </c>
      <c r="F4839" s="2004"/>
      <c r="G4839" s="2004">
        <f>IF('4S'!Y21="","##BLANK",'4S'!Y21)</f>
        <v>11</v>
      </c>
    </row>
    <row r="4840" spans="2:7">
      <c r="B4840" s="1739" t="str">
        <f>'4S'!CK22</f>
        <v>STWCB061</v>
      </c>
      <c r="D4840" s="2004"/>
      <c r="E4840" s="1658" t="s">
        <v>9033</v>
      </c>
      <c r="F4840" s="2004"/>
      <c r="G4840" s="2004">
        <f>IF('4S'!Y22="","##BLANK",'4S'!Y22)</f>
        <v>3</v>
      </c>
    </row>
    <row r="4841" spans="2:7">
      <c r="B4841" s="1739" t="str">
        <f>'4S'!CK23</f>
        <v>STWCB105</v>
      </c>
      <c r="D4841" s="2004"/>
      <c r="E4841" s="1658" t="s">
        <v>9033</v>
      </c>
      <c r="F4841" s="2004"/>
      <c r="G4841" s="2004">
        <f>IF('4S'!Y23="","##BLANK",'4S'!Y23)</f>
        <v>4</v>
      </c>
    </row>
    <row r="4842" spans="2:7">
      <c r="B4842" s="1739" t="str">
        <f>'4S'!CK24</f>
        <v>STWCB125</v>
      </c>
      <c r="D4842" s="2004"/>
      <c r="E4842" s="1658" t="s">
        <v>9033</v>
      </c>
      <c r="F4842" s="2004"/>
      <c r="G4842" s="2004">
        <f>IF('4S'!Y24="","##BLANK",'4S'!Y24)</f>
        <v>349</v>
      </c>
    </row>
    <row r="4843" spans="2:7">
      <c r="B4843" s="1739" t="str">
        <f>'4S'!CL8</f>
        <v>STWDB006</v>
      </c>
      <c r="D4843" s="2004"/>
      <c r="E4843" s="1658" t="s">
        <v>9033</v>
      </c>
      <c r="F4843" s="2004"/>
      <c r="G4843" s="2004">
        <f>IF('4S'!Z8="","##BLANK",'4S'!Z8)</f>
        <v>1704</v>
      </c>
    </row>
    <row r="4844" spans="2:7">
      <c r="B4844" s="1739" t="str">
        <f>'4S'!CL9</f>
        <v>STWDB020</v>
      </c>
      <c r="D4844" s="2004"/>
      <c r="E4844" s="1658" t="s">
        <v>9033</v>
      </c>
      <c r="F4844" s="2004"/>
      <c r="G4844" s="2004">
        <f>IF('4S'!Z9="","##BLANK",'4S'!Z9)</f>
        <v>1426</v>
      </c>
    </row>
    <row r="4845" spans="2:7">
      <c r="B4845" s="1739" t="str">
        <f>'4S'!CL10</f>
        <v>STWDB034</v>
      </c>
      <c r="D4845" s="2004"/>
      <c r="E4845" s="1658" t="s">
        <v>9033</v>
      </c>
      <c r="F4845" s="2004"/>
      <c r="G4845" s="2004">
        <f>IF('4S'!Z10="","##BLANK",'4S'!Z10)</f>
        <v>5678</v>
      </c>
    </row>
    <row r="4846" spans="2:7">
      <c r="B4846" s="1739" t="str">
        <f>'4S'!CL11</f>
        <v>STWDB048</v>
      </c>
      <c r="D4846" s="2004"/>
      <c r="E4846" s="1658" t="s">
        <v>9033</v>
      </c>
      <c r="F4846" s="2004"/>
      <c r="G4846" s="2004">
        <f>IF('4S'!Z11="","##BLANK",'4S'!Z11)</f>
        <v>21986</v>
      </c>
    </row>
    <row r="4847" spans="2:7">
      <c r="B4847" s="1739" t="str">
        <f>'4S'!CL12</f>
        <v>STWDB062</v>
      </c>
      <c r="D4847" s="2004"/>
      <c r="E4847" s="1658" t="s">
        <v>9033</v>
      </c>
      <c r="F4847" s="2004"/>
      <c r="G4847" s="2004">
        <f>IF('4S'!Z12="","##BLANK",'4S'!Z12)</f>
        <v>44543</v>
      </c>
    </row>
    <row r="4848" spans="2:7">
      <c r="B4848" s="1739" t="str">
        <f>'4S'!CL13</f>
        <v>STWDB106</v>
      </c>
      <c r="D4848" s="2004"/>
      <c r="E4848" s="1658" t="s">
        <v>9033</v>
      </c>
      <c r="F4848" s="2004"/>
      <c r="G4848" s="2004">
        <f>IF('4S'!Z13="","##BLANK",'4S'!Z13)</f>
        <v>285862</v>
      </c>
    </row>
    <row r="4849" spans="2:7">
      <c r="B4849" s="1739" t="str">
        <f>'4S'!CL14</f>
        <v>STWDB126</v>
      </c>
      <c r="D4849" s="2004"/>
      <c r="E4849" s="1658" t="s">
        <v>9033</v>
      </c>
      <c r="F4849" s="2004"/>
      <c r="G4849" s="2004">
        <f>IF('4S'!Z14="","##BLANK",'4S'!Z14)</f>
        <v>361199</v>
      </c>
    </row>
    <row r="4850" spans="2:7">
      <c r="B4850" s="1739" t="str">
        <f>'4S'!CL18</f>
        <v>STWCB006</v>
      </c>
      <c r="D4850" s="2004"/>
      <c r="E4850" s="1658" t="s">
        <v>9033</v>
      </c>
      <c r="F4850" s="2004"/>
      <c r="G4850" s="2004">
        <f>IF('4S'!Z18="","##BLANK",'4S'!Z18)</f>
        <v>311</v>
      </c>
    </row>
    <row r="4851" spans="2:7">
      <c r="B4851" s="1739" t="str">
        <f>'4S'!CL19</f>
        <v>STWCB020</v>
      </c>
      <c r="D4851" s="2004"/>
      <c r="E4851" s="1658" t="s">
        <v>9033</v>
      </c>
      <c r="F4851" s="2004"/>
      <c r="G4851" s="2004">
        <f>IF('4S'!Z19="","##BLANK",'4S'!Z19)</f>
        <v>63</v>
      </c>
    </row>
    <row r="4852" spans="2:7">
      <c r="B4852" s="1739" t="str">
        <f>'4S'!CL20</f>
        <v>STWCB034</v>
      </c>
      <c r="D4852" s="2004"/>
      <c r="E4852" s="1658" t="s">
        <v>9033</v>
      </c>
      <c r="F4852" s="2004"/>
      <c r="G4852" s="2004">
        <f>IF('4S'!Z20="","##BLANK",'4S'!Z20)</f>
        <v>83</v>
      </c>
    </row>
    <row r="4853" spans="2:7">
      <c r="B4853" s="1739" t="str">
        <f>'4S'!CL21</f>
        <v>STWCB048</v>
      </c>
      <c r="D4853" s="2004"/>
      <c r="E4853" s="1658" t="s">
        <v>9033</v>
      </c>
      <c r="F4853" s="2004"/>
      <c r="G4853" s="2004">
        <f>IF('4S'!Z21="","##BLANK",'4S'!Z21)</f>
        <v>73</v>
      </c>
    </row>
    <row r="4854" spans="2:7">
      <c r="B4854" s="1739" t="str">
        <f>'4S'!CL22</f>
        <v>STWCB062</v>
      </c>
      <c r="D4854" s="2004"/>
      <c r="E4854" s="1658" t="s">
        <v>9033</v>
      </c>
      <c r="F4854" s="2004"/>
      <c r="G4854" s="2004">
        <f>IF('4S'!Z22="","##BLANK",'4S'!Z22)</f>
        <v>43</v>
      </c>
    </row>
    <row r="4855" spans="2:7">
      <c r="B4855" s="1739" t="str">
        <f>'4S'!CL23</f>
        <v>STWCB106</v>
      </c>
      <c r="D4855" s="2004"/>
      <c r="E4855" s="1658" t="s">
        <v>9033</v>
      </c>
      <c r="F4855" s="2004"/>
      <c r="G4855" s="2004">
        <f>IF('4S'!Z23="","##BLANK",'4S'!Z23)</f>
        <v>35</v>
      </c>
    </row>
    <row r="4856" spans="2:7">
      <c r="B4856" s="1739" t="str">
        <f>'4S'!CL24</f>
        <v>STWCB126</v>
      </c>
      <c r="D4856" s="2004"/>
      <c r="E4856" s="1658" t="s">
        <v>9033</v>
      </c>
      <c r="F4856" s="2004"/>
      <c r="G4856" s="2004">
        <f>IF('4S'!Z24="","##BLANK",'4S'!Z24)</f>
        <v>608</v>
      </c>
    </row>
    <row r="4857" spans="2:7">
      <c r="B4857" s="1739" t="str">
        <f>'4S'!CM8</f>
        <v>STWDA001</v>
      </c>
      <c r="D4857" s="2004"/>
      <c r="E4857" s="1658" t="s">
        <v>9033</v>
      </c>
      <c r="F4857" s="2004"/>
      <c r="G4857" s="2004">
        <f>IF('4S'!AA8="","##BLANK",'4S'!AA8)</f>
        <v>0</v>
      </c>
    </row>
    <row r="4858" spans="2:7">
      <c r="B4858" s="1739" t="str">
        <f>'4S'!CM9</f>
        <v>STWDA015</v>
      </c>
      <c r="D4858" s="2004"/>
      <c r="E4858" s="1658" t="s">
        <v>9033</v>
      </c>
      <c r="F4858" s="2004"/>
      <c r="G4858" s="2004">
        <f>IF('4S'!AA9="","##BLANK",'4S'!AA9)</f>
        <v>0</v>
      </c>
    </row>
    <row r="4859" spans="2:7">
      <c r="B4859" s="1739" t="str">
        <f>'4S'!CM10</f>
        <v>STWDA029</v>
      </c>
      <c r="D4859" s="2004"/>
      <c r="E4859" s="1658" t="s">
        <v>9033</v>
      </c>
      <c r="F4859" s="2004"/>
      <c r="G4859" s="2004">
        <f>IF('4S'!AA10="","##BLANK",'4S'!AA10)</f>
        <v>0</v>
      </c>
    </row>
    <row r="4860" spans="2:7">
      <c r="B4860" s="1739" t="str">
        <f>'4S'!CM11</f>
        <v>STWDA043</v>
      </c>
      <c r="D4860" s="2004"/>
      <c r="E4860" s="1658" t="s">
        <v>9033</v>
      </c>
      <c r="F4860" s="2004"/>
      <c r="G4860" s="2004">
        <f>IF('4S'!AA11="","##BLANK",'4S'!AA11)</f>
        <v>0</v>
      </c>
    </row>
    <row r="4861" spans="2:7">
      <c r="B4861" s="1739" t="str">
        <f>'4S'!CM12</f>
        <v>STWDA057</v>
      </c>
      <c r="D4861" s="2004"/>
      <c r="E4861" s="1658" t="s">
        <v>9033</v>
      </c>
      <c r="F4861" s="2004"/>
      <c r="G4861" s="2004">
        <f>IF('4S'!AA12="","##BLANK",'4S'!AA12)</f>
        <v>0</v>
      </c>
    </row>
    <row r="4862" spans="2:7">
      <c r="B4862" s="1739" t="str">
        <f>'4S'!CM13</f>
        <v>STWDA101</v>
      </c>
      <c r="D4862" s="2004"/>
      <c r="E4862" s="1658" t="s">
        <v>9033</v>
      </c>
      <c r="F4862" s="2004"/>
      <c r="G4862" s="2004">
        <f>IF('4S'!AA13="","##BLANK",'4S'!AA13)</f>
        <v>5222</v>
      </c>
    </row>
    <row r="4863" spans="2:7">
      <c r="B4863" s="1739" t="str">
        <f>'4S'!CM14</f>
        <v>STWDA121</v>
      </c>
      <c r="D4863" s="2004"/>
      <c r="E4863" s="1658" t="s">
        <v>9033</v>
      </c>
      <c r="F4863" s="2004"/>
      <c r="G4863" s="2004">
        <f>IF('4S'!AA14="","##BLANK",'4S'!AA14)</f>
        <v>5222</v>
      </c>
    </row>
    <row r="4864" spans="2:7">
      <c r="B4864" s="1739" t="str">
        <f>'4S'!CM18</f>
        <v>STWCA001</v>
      </c>
      <c r="D4864" s="2004"/>
      <c r="E4864" s="1658" t="s">
        <v>9033</v>
      </c>
      <c r="F4864" s="2004"/>
      <c r="G4864" s="2004">
        <f>IF('4S'!AA18="","##BLANK",'4S'!AA18)</f>
        <v>0</v>
      </c>
    </row>
    <row r="4865" spans="2:7">
      <c r="B4865" s="1739" t="str">
        <f>'4S'!CM19</f>
        <v>STWCA015</v>
      </c>
      <c r="D4865" s="2004"/>
      <c r="E4865" s="1658" t="s">
        <v>9033</v>
      </c>
      <c r="F4865" s="2004"/>
      <c r="G4865" s="2004">
        <f>IF('4S'!AA19="","##BLANK",'4S'!AA19)</f>
        <v>0</v>
      </c>
    </row>
    <row r="4866" spans="2:7">
      <c r="B4866" s="1739" t="str">
        <f>'4S'!CM20</f>
        <v>STWCA029</v>
      </c>
      <c r="D4866" s="2004"/>
      <c r="E4866" s="1658" t="s">
        <v>9033</v>
      </c>
      <c r="F4866" s="2004"/>
      <c r="G4866" s="2004">
        <f>IF('4S'!AA20="","##BLANK",'4S'!AA20)</f>
        <v>0</v>
      </c>
    </row>
    <row r="4867" spans="2:7">
      <c r="B4867" s="1739" t="str">
        <f>'4S'!CM21</f>
        <v>STWCA043</v>
      </c>
      <c r="D4867" s="2004"/>
      <c r="E4867" s="1658" t="s">
        <v>9033</v>
      </c>
      <c r="F4867" s="2004"/>
      <c r="G4867" s="2004">
        <f>IF('4S'!AA21="","##BLANK",'4S'!AA21)</f>
        <v>0</v>
      </c>
    </row>
    <row r="4868" spans="2:7">
      <c r="B4868" s="1739" t="str">
        <f>'4S'!CM22</f>
        <v>STWCA057</v>
      </c>
      <c r="D4868" s="2004"/>
      <c r="E4868" s="1658" t="s">
        <v>9033</v>
      </c>
      <c r="F4868" s="2004"/>
      <c r="G4868" s="2004">
        <f>IF('4S'!AA22="","##BLANK",'4S'!AA22)</f>
        <v>0</v>
      </c>
    </row>
    <row r="4869" spans="2:7">
      <c r="B4869" s="1739" t="str">
        <f>'4S'!CM23</f>
        <v>STWCA101</v>
      </c>
      <c r="D4869" s="2004"/>
      <c r="E4869" s="1658" t="s">
        <v>9033</v>
      </c>
      <c r="F4869" s="2004"/>
      <c r="G4869" s="2004">
        <f>IF('4S'!AA23="","##BLANK",'4S'!AA23)</f>
        <v>1</v>
      </c>
    </row>
    <row r="4870" spans="2:7">
      <c r="B4870" s="1739" t="str">
        <f>'4S'!CM24</f>
        <v>STWCA121</v>
      </c>
      <c r="D4870" s="2004"/>
      <c r="E4870" s="1658" t="s">
        <v>9033</v>
      </c>
      <c r="F4870" s="2004"/>
      <c r="G4870" s="2004">
        <f>IF('4S'!AA24="","##BLANK",'4S'!AA24)</f>
        <v>1</v>
      </c>
    </row>
    <row r="4871" spans="2:7">
      <c r="B4871" s="1739" t="str">
        <f>'4S'!CN8</f>
        <v>STWDA002</v>
      </c>
      <c r="D4871" s="2004"/>
      <c r="E4871" s="1658" t="s">
        <v>9033</v>
      </c>
      <c r="F4871" s="2004"/>
      <c r="G4871" s="2004">
        <f>IF('4S'!AB8="","##BLANK",'4S'!AB8)</f>
        <v>0</v>
      </c>
    </row>
    <row r="4872" spans="2:7">
      <c r="B4872" s="1739" t="str">
        <f>'4S'!CN9</f>
        <v>STWDA016</v>
      </c>
      <c r="D4872" s="2004"/>
      <c r="E4872" s="1658" t="s">
        <v>9033</v>
      </c>
      <c r="F4872" s="2004"/>
      <c r="G4872" s="2004">
        <f>IF('4S'!AB9="","##BLANK",'4S'!AB9)</f>
        <v>25</v>
      </c>
    </row>
    <row r="4873" spans="2:7">
      <c r="B4873" s="1739" t="str">
        <f>'4S'!CN10</f>
        <v>STWDA030</v>
      </c>
      <c r="D4873" s="2004"/>
      <c r="E4873" s="1658" t="s">
        <v>9033</v>
      </c>
      <c r="F4873" s="2004"/>
      <c r="G4873" s="2004">
        <f>IF('4S'!AB10="","##BLANK",'4S'!AB10)</f>
        <v>111</v>
      </c>
    </row>
    <row r="4874" spans="2:7">
      <c r="B4874" s="1739" t="str">
        <f>'4S'!CN11</f>
        <v>STWDA044</v>
      </c>
      <c r="D4874" s="2004"/>
      <c r="E4874" s="1658" t="s">
        <v>9033</v>
      </c>
      <c r="F4874" s="2004"/>
      <c r="G4874" s="2004">
        <f>IF('4S'!AB11="","##BLANK",'4S'!AB11)</f>
        <v>2536</v>
      </c>
    </row>
    <row r="4875" spans="2:7">
      <c r="B4875" s="1739" t="str">
        <f>'4S'!CN12</f>
        <v>STWDA058</v>
      </c>
      <c r="D4875" s="2004"/>
      <c r="E4875" s="1658" t="s">
        <v>9033</v>
      </c>
      <c r="F4875" s="2004"/>
      <c r="G4875" s="2004">
        <f>IF('4S'!AB12="","##BLANK",'4S'!AB12)</f>
        <v>7323</v>
      </c>
    </row>
    <row r="4876" spans="2:7">
      <c r="B4876" s="1739" t="str">
        <f>'4S'!CN13</f>
        <v>STWDA102</v>
      </c>
      <c r="D4876" s="2004"/>
      <c r="E4876" s="1658" t="s">
        <v>9033</v>
      </c>
      <c r="F4876" s="2004"/>
      <c r="G4876" s="2004">
        <f>IF('4S'!AB13="","##BLANK",'4S'!AB13)</f>
        <v>140416</v>
      </c>
    </row>
    <row r="4877" spans="2:7">
      <c r="B4877" s="1739" t="str">
        <f>'4S'!CN14</f>
        <v>STWDA122</v>
      </c>
      <c r="D4877" s="2004"/>
      <c r="E4877" s="1658" t="s">
        <v>9033</v>
      </c>
      <c r="F4877" s="2004"/>
      <c r="G4877" s="2004">
        <f>IF('4S'!AB14="","##BLANK",'4S'!AB14)</f>
        <v>150411</v>
      </c>
    </row>
    <row r="4878" spans="2:7">
      <c r="B4878" s="1739" t="str">
        <f>'4S'!CN18</f>
        <v>STWCA002</v>
      </c>
      <c r="D4878" s="2004"/>
      <c r="E4878" s="1658" t="s">
        <v>9033</v>
      </c>
      <c r="F4878" s="2004"/>
      <c r="G4878" s="2004">
        <f>IF('4S'!AB18="","##BLANK",'4S'!AB18)</f>
        <v>0</v>
      </c>
    </row>
    <row r="4879" spans="2:7">
      <c r="B4879" s="1739" t="str">
        <f>'4S'!CN19</f>
        <v>STWCA016</v>
      </c>
      <c r="D4879" s="2004"/>
      <c r="E4879" s="1658" t="s">
        <v>9033</v>
      </c>
      <c r="F4879" s="2004"/>
      <c r="G4879" s="2004">
        <f>IF('4S'!AB19="","##BLANK",'4S'!AB19)</f>
        <v>1</v>
      </c>
    </row>
    <row r="4880" spans="2:7">
      <c r="B4880" s="1739" t="str">
        <f>'4S'!CN20</f>
        <v>STWCA030</v>
      </c>
      <c r="D4880" s="2004"/>
      <c r="E4880" s="1658" t="s">
        <v>9033</v>
      </c>
      <c r="F4880" s="2004"/>
      <c r="G4880" s="2004">
        <f>IF('4S'!AB20="","##BLANK",'4S'!AB20)</f>
        <v>1</v>
      </c>
    </row>
    <row r="4881" spans="2:7">
      <c r="B4881" s="1739" t="str">
        <f>'4S'!CN21</f>
        <v>STWCA044</v>
      </c>
      <c r="D4881" s="2004"/>
      <c r="E4881" s="1658" t="s">
        <v>9033</v>
      </c>
      <c r="F4881" s="2004"/>
      <c r="G4881" s="2004">
        <f>IF('4S'!AB21="","##BLANK",'4S'!AB21)</f>
        <v>6</v>
      </c>
    </row>
    <row r="4882" spans="2:7">
      <c r="B4882" s="1739" t="str">
        <f>'4S'!CN22</f>
        <v>STWCA058</v>
      </c>
      <c r="D4882" s="2004"/>
      <c r="E4882" s="1658" t="s">
        <v>9033</v>
      </c>
      <c r="F4882" s="2004"/>
      <c r="G4882" s="2004">
        <f>IF('4S'!AB22="","##BLANK",'4S'!AB22)</f>
        <v>6</v>
      </c>
    </row>
    <row r="4883" spans="2:7">
      <c r="B4883" s="1739" t="str">
        <f>'4S'!CN23</f>
        <v>STWCA102</v>
      </c>
      <c r="D4883" s="2004"/>
      <c r="E4883" s="1658" t="s">
        <v>9033</v>
      </c>
      <c r="F4883" s="2004"/>
      <c r="G4883" s="2004">
        <f>IF('4S'!AB23="","##BLANK",'4S'!AB23)</f>
        <v>10</v>
      </c>
    </row>
    <row r="4884" spans="2:7">
      <c r="B4884" s="1739" t="str">
        <f>'4S'!CN24</f>
        <v>STWCA122</v>
      </c>
      <c r="D4884" s="2004"/>
      <c r="E4884" s="1658" t="s">
        <v>9033</v>
      </c>
      <c r="F4884" s="2004"/>
      <c r="G4884" s="2004">
        <f>IF('4S'!AB24="","##BLANK",'4S'!AB24)</f>
        <v>24</v>
      </c>
    </row>
    <row r="4885" spans="2:7">
      <c r="B4885" s="1739" t="str">
        <f>'4S'!CO8</f>
        <v>STWDA003</v>
      </c>
      <c r="D4885" s="2004"/>
      <c r="E4885" s="1658" t="s">
        <v>9033</v>
      </c>
      <c r="F4885" s="2004"/>
      <c r="G4885" s="2004">
        <f>IF('4S'!AC8="","##BLANK",'4S'!AC8)</f>
        <v>11</v>
      </c>
    </row>
    <row r="4886" spans="2:7">
      <c r="B4886" s="1739" t="str">
        <f>'4S'!CO9</f>
        <v>STWDA017</v>
      </c>
      <c r="D4886" s="2004"/>
      <c r="E4886" s="1658" t="s">
        <v>9033</v>
      </c>
      <c r="F4886" s="2004"/>
      <c r="G4886" s="2004">
        <f>IF('4S'!AC9="","##BLANK",'4S'!AC9)</f>
        <v>283</v>
      </c>
    </row>
    <row r="4887" spans="2:7">
      <c r="B4887" s="1739" t="str">
        <f>'4S'!CO10</f>
        <v>STWDA031</v>
      </c>
      <c r="D4887" s="2004"/>
      <c r="E4887" s="1658" t="s">
        <v>9033</v>
      </c>
      <c r="F4887" s="2004"/>
      <c r="G4887" s="2004">
        <f>IF('4S'!AC10="","##BLANK",'4S'!AC10)</f>
        <v>2158</v>
      </c>
    </row>
    <row r="4888" spans="2:7">
      <c r="B4888" s="1739" t="str">
        <f>'4S'!CO11</f>
        <v>STWDA045</v>
      </c>
      <c r="D4888" s="2004"/>
      <c r="E4888" s="1658" t="s">
        <v>9033</v>
      </c>
      <c r="F4888" s="2004"/>
      <c r="G4888" s="2004">
        <f>IF('4S'!AC11="","##BLANK",'4S'!AC11)</f>
        <v>6995</v>
      </c>
    </row>
    <row r="4889" spans="2:7">
      <c r="B4889" s="1739" t="str">
        <f>'4S'!CO12</f>
        <v>STWDA059</v>
      </c>
      <c r="D4889" s="2004"/>
      <c r="E4889" s="1658" t="s">
        <v>9033</v>
      </c>
      <c r="F4889" s="2004"/>
      <c r="G4889" s="2004">
        <f>IF('4S'!AC12="","##BLANK",'4S'!AC12)</f>
        <v>22473</v>
      </c>
    </row>
    <row r="4890" spans="2:7">
      <c r="B4890" s="1739" t="str">
        <f>'4S'!CO13</f>
        <v>STWDA103</v>
      </c>
      <c r="D4890" s="2004"/>
      <c r="E4890" s="1658" t="s">
        <v>9033</v>
      </c>
      <c r="F4890" s="2004"/>
      <c r="G4890" s="2004">
        <f>IF('4S'!AC13="","##BLANK",'4S'!AC13)</f>
        <v>92009</v>
      </c>
    </row>
    <row r="4891" spans="2:7">
      <c r="B4891" s="1739" t="str">
        <f>'4S'!CO14</f>
        <v>STWDA123</v>
      </c>
      <c r="D4891" s="2004"/>
      <c r="E4891" s="1658" t="s">
        <v>9033</v>
      </c>
      <c r="F4891" s="2004"/>
      <c r="G4891" s="2004">
        <f>IF('4S'!AC14="","##BLANK",'4S'!AC14)</f>
        <v>123929</v>
      </c>
    </row>
    <row r="4892" spans="2:7">
      <c r="B4892" s="1739" t="str">
        <f>'4S'!CO18</f>
        <v>STWCA003</v>
      </c>
      <c r="D4892" s="2004"/>
      <c r="E4892" s="1658" t="s">
        <v>9033</v>
      </c>
      <c r="F4892" s="2004"/>
      <c r="G4892" s="2004">
        <f>IF('4S'!AC18="","##BLANK",'4S'!AC18)</f>
        <v>1</v>
      </c>
    </row>
    <row r="4893" spans="2:7">
      <c r="B4893" s="1739" t="str">
        <f>'4S'!CO19</f>
        <v>STWCA017</v>
      </c>
      <c r="D4893" s="2004"/>
      <c r="E4893" s="1658" t="s">
        <v>9033</v>
      </c>
      <c r="F4893" s="2004"/>
      <c r="G4893" s="2004">
        <f>IF('4S'!AC19="","##BLANK",'4S'!AC19)</f>
        <v>12</v>
      </c>
    </row>
    <row r="4894" spans="2:7">
      <c r="B4894" s="1739" t="str">
        <f>'4S'!CO20</f>
        <v>STWCA031</v>
      </c>
      <c r="D4894" s="2004"/>
      <c r="E4894" s="1658" t="s">
        <v>9033</v>
      </c>
      <c r="F4894" s="2004"/>
      <c r="G4894" s="2004">
        <f>IF('4S'!AC20="","##BLANK",'4S'!AC20)</f>
        <v>27</v>
      </c>
    </row>
    <row r="4895" spans="2:7">
      <c r="B4895" s="1739" t="str">
        <f>'4S'!CO21</f>
        <v>STWCA045</v>
      </c>
      <c r="D4895" s="2004"/>
      <c r="E4895" s="1658" t="s">
        <v>9033</v>
      </c>
      <c r="F4895" s="2004"/>
      <c r="G4895" s="2004">
        <f>IF('4S'!AC21="","##BLANK",'4S'!AC21)</f>
        <v>25</v>
      </c>
    </row>
    <row r="4896" spans="2:7">
      <c r="B4896" s="1739" t="str">
        <f>'4S'!CO22</f>
        <v>STWCA059</v>
      </c>
      <c r="D4896" s="2004"/>
      <c r="E4896" s="1658" t="s">
        <v>9033</v>
      </c>
      <c r="F4896" s="2004"/>
      <c r="G4896" s="2004">
        <f>IF('4S'!AC22="","##BLANK",'4S'!AC22)</f>
        <v>23</v>
      </c>
    </row>
    <row r="4897" spans="2:7">
      <c r="B4897" s="1739" t="str">
        <f>'4S'!CO23</f>
        <v>STWCA103</v>
      </c>
      <c r="D4897" s="2004"/>
      <c r="E4897" s="1658" t="s">
        <v>9033</v>
      </c>
      <c r="F4897" s="2004"/>
      <c r="G4897" s="2004">
        <f>IF('4S'!AC23="","##BLANK",'4S'!AC23)</f>
        <v>16</v>
      </c>
    </row>
    <row r="4898" spans="2:7">
      <c r="B4898" s="1739" t="str">
        <f>'4S'!CO24</f>
        <v>STWCA123</v>
      </c>
      <c r="D4898" s="2004"/>
      <c r="E4898" s="1658" t="s">
        <v>9033</v>
      </c>
      <c r="F4898" s="2004"/>
      <c r="G4898" s="2004">
        <f>IF('4S'!AC24="","##BLANK",'4S'!AC24)</f>
        <v>104</v>
      </c>
    </row>
    <row r="4899" spans="2:7">
      <c r="B4899" s="1739" t="str">
        <f>'4S'!CP8</f>
        <v>STWDA004</v>
      </c>
      <c r="D4899" s="2004"/>
      <c r="E4899" s="1658" t="s">
        <v>9033</v>
      </c>
      <c r="F4899" s="2004"/>
      <c r="G4899" s="2004">
        <f>IF('4S'!AD8="","##BLANK",'4S'!AD8)</f>
        <v>211</v>
      </c>
    </row>
    <row r="4900" spans="2:7">
      <c r="B4900" s="1739" t="str">
        <f>'4S'!CP9</f>
        <v>STWDA018</v>
      </c>
      <c r="D4900" s="2004"/>
      <c r="E4900" s="1658" t="s">
        <v>9033</v>
      </c>
      <c r="F4900" s="2004"/>
      <c r="G4900" s="2004">
        <f>IF('4S'!AD9="","##BLANK",'4S'!AD9)</f>
        <v>639</v>
      </c>
    </row>
    <row r="4901" spans="2:7">
      <c r="B4901" s="1739" t="str">
        <f>'4S'!CP10</f>
        <v>STWDA032</v>
      </c>
      <c r="D4901" s="2004"/>
      <c r="E4901" s="1658" t="s">
        <v>9033</v>
      </c>
      <c r="F4901" s="2004"/>
      <c r="G4901" s="2004">
        <f>IF('4S'!AD10="","##BLANK",'4S'!AD10)</f>
        <v>2798</v>
      </c>
    </row>
    <row r="4902" spans="2:7">
      <c r="B4902" s="1739" t="str">
        <f>'4S'!CP11</f>
        <v>STWDA046</v>
      </c>
      <c r="D4902" s="2004"/>
      <c r="E4902" s="1658" t="s">
        <v>9033</v>
      </c>
      <c r="F4902" s="2004"/>
      <c r="G4902" s="2004">
        <f>IF('4S'!AD11="","##BLANK",'4S'!AD11)</f>
        <v>6730</v>
      </c>
    </row>
    <row r="4903" spans="2:7">
      <c r="B4903" s="1739" t="str">
        <f>'4S'!CP12</f>
        <v>STWDA060</v>
      </c>
      <c r="D4903" s="2004"/>
      <c r="E4903" s="1658" t="s">
        <v>9033</v>
      </c>
      <c r="F4903" s="2004"/>
      <c r="G4903" s="2004">
        <f>IF('4S'!AD12="","##BLANK",'4S'!AD12)</f>
        <v>6895</v>
      </c>
    </row>
    <row r="4904" spans="2:7">
      <c r="B4904" s="1739" t="str">
        <f>'4S'!CP13</f>
        <v>STWDA104</v>
      </c>
      <c r="D4904" s="2004"/>
      <c r="E4904" s="1658" t="s">
        <v>9033</v>
      </c>
      <c r="F4904" s="2004"/>
      <c r="G4904" s="2004">
        <f>IF('4S'!AD13="","##BLANK",'4S'!AD13)</f>
        <v>8749</v>
      </c>
    </row>
    <row r="4905" spans="2:7">
      <c r="B4905" s="1739" t="str">
        <f>'4S'!CP14</f>
        <v>STWDA124</v>
      </c>
      <c r="D4905" s="2004"/>
      <c r="E4905" s="1658" t="s">
        <v>9033</v>
      </c>
      <c r="F4905" s="2004"/>
      <c r="G4905" s="2004">
        <f>IF('4S'!AD14="","##BLANK",'4S'!AD14)</f>
        <v>26022</v>
      </c>
    </row>
    <row r="4906" spans="2:7">
      <c r="B4906" s="1739" t="str">
        <f>'4S'!CP18</f>
        <v>STWCA004</v>
      </c>
      <c r="D4906" s="2004"/>
      <c r="E4906" s="1658" t="s">
        <v>9033</v>
      </c>
      <c r="F4906" s="2004"/>
      <c r="G4906" s="2004">
        <f>IF('4S'!AD18="","##BLANK",'4S'!AD18)</f>
        <v>15</v>
      </c>
    </row>
    <row r="4907" spans="2:7">
      <c r="B4907" s="1739" t="str">
        <f>'4S'!CP19</f>
        <v>STWCA018</v>
      </c>
      <c r="D4907" s="2004"/>
      <c r="E4907" s="1658" t="s">
        <v>9033</v>
      </c>
      <c r="F4907" s="2004"/>
      <c r="G4907" s="2004">
        <f>IF('4S'!AD19="","##BLANK",'4S'!AD19)</f>
        <v>27</v>
      </c>
    </row>
    <row r="4908" spans="2:7">
      <c r="B4908" s="1739" t="str">
        <f>'4S'!CP20</f>
        <v>STWCA032</v>
      </c>
      <c r="D4908" s="2004"/>
      <c r="E4908" s="1658" t="s">
        <v>9033</v>
      </c>
      <c r="F4908" s="2004"/>
      <c r="G4908" s="2004">
        <f>IF('4S'!AD20="","##BLANK",'4S'!AD20)</f>
        <v>44</v>
      </c>
    </row>
    <row r="4909" spans="2:7">
      <c r="B4909" s="1739" t="str">
        <f>'4S'!CP21</f>
        <v>STWCA046</v>
      </c>
      <c r="D4909" s="2004"/>
      <c r="E4909" s="1658" t="s">
        <v>9033</v>
      </c>
      <c r="F4909" s="2004"/>
      <c r="G4909" s="2004">
        <f>IF('4S'!AD21="","##BLANK",'4S'!AD21)</f>
        <v>25</v>
      </c>
    </row>
    <row r="4910" spans="2:7">
      <c r="B4910" s="1739" t="str">
        <f>'4S'!CP22</f>
        <v>STWCA060</v>
      </c>
      <c r="D4910" s="2004"/>
      <c r="E4910" s="1658" t="s">
        <v>9033</v>
      </c>
      <c r="F4910" s="2004"/>
      <c r="G4910" s="2004">
        <f>IF('4S'!AD22="","##BLANK",'4S'!AD22)</f>
        <v>7</v>
      </c>
    </row>
    <row r="4911" spans="2:7">
      <c r="B4911" s="1739" t="str">
        <f>'4S'!CP23</f>
        <v>STWCA104</v>
      </c>
      <c r="D4911" s="2004"/>
      <c r="E4911" s="1658" t="s">
        <v>9033</v>
      </c>
      <c r="F4911" s="2004"/>
      <c r="G4911" s="2004">
        <f>IF('4S'!AD23="","##BLANK",'4S'!AD23)</f>
        <v>4</v>
      </c>
    </row>
    <row r="4912" spans="2:7">
      <c r="B4912" s="1739" t="str">
        <f>'4S'!CP24</f>
        <v>STWCA124</v>
      </c>
      <c r="D4912" s="2004"/>
      <c r="E4912" s="1658" t="s">
        <v>9033</v>
      </c>
      <c r="F4912" s="2004"/>
      <c r="G4912" s="2004">
        <f>IF('4S'!AD24="","##BLANK",'4S'!AD24)</f>
        <v>122</v>
      </c>
    </row>
    <row r="4913" spans="2:7">
      <c r="B4913" s="1739" t="str">
        <f>'4S'!CQ8</f>
        <v>STWDA005</v>
      </c>
      <c r="D4913" s="2004"/>
      <c r="E4913" s="1658" t="s">
        <v>9033</v>
      </c>
      <c r="F4913" s="2004"/>
      <c r="G4913" s="2004">
        <f>IF('4S'!AE8="","##BLANK",'4S'!AE8)</f>
        <v>1482</v>
      </c>
    </row>
    <row r="4914" spans="2:7">
      <c r="B4914" s="1739" t="str">
        <f>'4S'!CQ9</f>
        <v>STWDA019</v>
      </c>
      <c r="D4914" s="2004"/>
      <c r="E4914" s="1658" t="s">
        <v>9033</v>
      </c>
      <c r="F4914" s="2004"/>
      <c r="G4914" s="2004">
        <f>IF('4S'!AE9="","##BLANK",'4S'!AE9)</f>
        <v>479</v>
      </c>
    </row>
    <row r="4915" spans="2:7">
      <c r="B4915" s="1739" t="str">
        <f>'4S'!CQ10</f>
        <v>STWDA033</v>
      </c>
      <c r="D4915" s="2004"/>
      <c r="E4915" s="1658" t="s">
        <v>9033</v>
      </c>
      <c r="F4915" s="2004"/>
      <c r="G4915" s="2004">
        <f>IF('4S'!AE10="","##BLANK",'4S'!AE10)</f>
        <v>611</v>
      </c>
    </row>
    <row r="4916" spans="2:7">
      <c r="B4916" s="1739" t="str">
        <f>'4S'!CQ11</f>
        <v>STWDA047</v>
      </c>
      <c r="D4916" s="2004"/>
      <c r="E4916" s="1658" t="s">
        <v>9033</v>
      </c>
      <c r="F4916" s="2004"/>
      <c r="G4916" s="2004">
        <f>IF('4S'!AE11="","##BLANK",'4S'!AE11)</f>
        <v>5724</v>
      </c>
    </row>
    <row r="4917" spans="2:7">
      <c r="B4917" s="1739" t="str">
        <f>'4S'!CQ12</f>
        <v>STWDA061</v>
      </c>
      <c r="D4917" s="2004"/>
      <c r="E4917" s="1658" t="s">
        <v>9033</v>
      </c>
      <c r="F4917" s="2004"/>
      <c r="G4917" s="2004">
        <f>IF('4S'!AE12="","##BLANK",'4S'!AE12)</f>
        <v>7852</v>
      </c>
    </row>
    <row r="4918" spans="2:7">
      <c r="B4918" s="1739" t="str">
        <f>'4S'!CQ13</f>
        <v>STWDA105</v>
      </c>
      <c r="D4918" s="2004"/>
      <c r="E4918" s="1658" t="s">
        <v>9033</v>
      </c>
      <c r="F4918" s="2004"/>
      <c r="G4918" s="2004">
        <f>IF('4S'!AE13="","##BLANK",'4S'!AE13)</f>
        <v>39464</v>
      </c>
    </row>
    <row r="4919" spans="2:7">
      <c r="B4919" s="1739" t="str">
        <f>'4S'!CQ14</f>
        <v>STWDA125</v>
      </c>
      <c r="D4919" s="2004"/>
      <c r="E4919" s="1658" t="s">
        <v>9033</v>
      </c>
      <c r="F4919" s="2004"/>
      <c r="G4919" s="2004">
        <f>IF('4S'!AE14="","##BLANK",'4S'!AE14)</f>
        <v>55612</v>
      </c>
    </row>
    <row r="4920" spans="2:7">
      <c r="B4920" s="1739" t="str">
        <f>'4S'!CQ18</f>
        <v>STWCA005</v>
      </c>
      <c r="D4920" s="2004"/>
      <c r="E4920" s="1658" t="s">
        <v>9033</v>
      </c>
      <c r="F4920" s="2004"/>
      <c r="G4920" s="2004">
        <f>IF('4S'!AE18="","##BLANK",'4S'!AE18)</f>
        <v>295</v>
      </c>
    </row>
    <row r="4921" spans="2:7">
      <c r="B4921" s="1739" t="str">
        <f>'4S'!CQ19</f>
        <v>STWCA019</v>
      </c>
      <c r="D4921" s="2004"/>
      <c r="E4921" s="1658" t="s">
        <v>9033</v>
      </c>
      <c r="F4921" s="2004"/>
      <c r="G4921" s="2004">
        <f>IF('4S'!AE19="","##BLANK",'4S'!AE19)</f>
        <v>23</v>
      </c>
    </row>
    <row r="4922" spans="2:7">
      <c r="B4922" s="1739" t="str">
        <f>'4S'!CQ20</f>
        <v>STWCA033</v>
      </c>
      <c r="D4922" s="2004"/>
      <c r="E4922" s="1658" t="s">
        <v>9033</v>
      </c>
      <c r="F4922" s="2004"/>
      <c r="G4922" s="2004">
        <f>IF('4S'!AE20="","##BLANK",'4S'!AE20)</f>
        <v>11</v>
      </c>
    </row>
    <row r="4923" spans="2:7">
      <c r="B4923" s="1739" t="str">
        <f>'4S'!CQ21</f>
        <v>STWCA047</v>
      </c>
      <c r="D4923" s="2004"/>
      <c r="E4923" s="1658" t="s">
        <v>9033</v>
      </c>
      <c r="F4923" s="2004"/>
      <c r="G4923" s="2004">
        <f>IF('4S'!AE21="","##BLANK",'4S'!AE21)</f>
        <v>17</v>
      </c>
    </row>
    <row r="4924" spans="2:7">
      <c r="B4924" s="1739" t="str">
        <f>'4S'!CQ22</f>
        <v>STWCA061</v>
      </c>
      <c r="D4924" s="2004"/>
      <c r="E4924" s="1658" t="s">
        <v>9033</v>
      </c>
      <c r="F4924" s="2004"/>
      <c r="G4924" s="2004">
        <f>IF('4S'!AE22="","##BLANK",'4S'!AE22)</f>
        <v>7</v>
      </c>
    </row>
    <row r="4925" spans="2:7">
      <c r="B4925" s="1739" t="str">
        <f>'4S'!CQ23</f>
        <v>STWCA105</v>
      </c>
      <c r="D4925" s="2004"/>
      <c r="E4925" s="1658" t="s">
        <v>9033</v>
      </c>
      <c r="F4925" s="2004"/>
      <c r="G4925" s="2004">
        <f>IF('4S'!AE23="","##BLANK",'4S'!AE23)</f>
        <v>4</v>
      </c>
    </row>
    <row r="4926" spans="2:7">
      <c r="B4926" s="1739" t="str">
        <f>'4S'!CQ24</f>
        <v>STWCA125</v>
      </c>
      <c r="D4926" s="2004"/>
      <c r="E4926" s="1658" t="s">
        <v>9033</v>
      </c>
      <c r="F4926" s="2004"/>
      <c r="G4926" s="2004">
        <f>IF('4S'!AE24="","##BLANK",'4S'!AE24)</f>
        <v>357</v>
      </c>
    </row>
    <row r="4927" spans="2:7">
      <c r="B4927" s="1739" t="str">
        <f>'4S'!CR8</f>
        <v>STWDA006</v>
      </c>
      <c r="D4927" s="2004"/>
      <c r="E4927" s="1658" t="s">
        <v>9033</v>
      </c>
      <c r="F4927" s="2004"/>
      <c r="G4927" s="2004">
        <f>IF('4S'!AF8="","##BLANK",'4S'!AF8)</f>
        <v>1704</v>
      </c>
    </row>
    <row r="4928" spans="2:7">
      <c r="B4928" s="1739" t="str">
        <f>'4S'!CR9</f>
        <v>STWDA020</v>
      </c>
      <c r="D4928" s="2004"/>
      <c r="E4928" s="1658" t="s">
        <v>9033</v>
      </c>
      <c r="F4928" s="2004"/>
      <c r="G4928" s="2004">
        <f>IF('4S'!AF9="","##BLANK",'4S'!AF9)</f>
        <v>1426</v>
      </c>
    </row>
    <row r="4929" spans="2:7">
      <c r="B4929" s="1739" t="str">
        <f>'4S'!CR10</f>
        <v>STWDA034</v>
      </c>
      <c r="D4929" s="2004"/>
      <c r="E4929" s="1658" t="s">
        <v>9033</v>
      </c>
      <c r="F4929" s="2004"/>
      <c r="G4929" s="2004">
        <f>IF('4S'!AF10="","##BLANK",'4S'!AF10)</f>
        <v>5678</v>
      </c>
    </row>
    <row r="4930" spans="2:7">
      <c r="B4930" s="1739" t="str">
        <f>'4S'!CR11</f>
        <v>STWDA048</v>
      </c>
      <c r="D4930" s="2004"/>
      <c r="E4930" s="1658" t="s">
        <v>9033</v>
      </c>
      <c r="F4930" s="2004"/>
      <c r="G4930" s="2004">
        <f>IF('4S'!AF11="","##BLANK",'4S'!AF11)</f>
        <v>21985</v>
      </c>
    </row>
    <row r="4931" spans="2:7">
      <c r="B4931" s="1739" t="str">
        <f>'4S'!CR12</f>
        <v>STWDA062</v>
      </c>
      <c r="D4931" s="2004"/>
      <c r="E4931" s="1658" t="s">
        <v>9033</v>
      </c>
      <c r="F4931" s="2004"/>
      <c r="G4931" s="2004">
        <f>IF('4S'!AF12="","##BLANK",'4S'!AF12)</f>
        <v>44543</v>
      </c>
    </row>
    <row r="4932" spans="2:7">
      <c r="B4932" s="1739" t="str">
        <f>'4S'!CR13</f>
        <v>STWDA106</v>
      </c>
      <c r="D4932" s="2004"/>
      <c r="E4932" s="1658" t="s">
        <v>9033</v>
      </c>
      <c r="F4932" s="2004"/>
      <c r="G4932" s="2004">
        <f>IF('4S'!AF13="","##BLANK",'4S'!AF13)</f>
        <v>285860</v>
      </c>
    </row>
    <row r="4933" spans="2:7">
      <c r="B4933" s="1739" t="str">
        <f>'4S'!CR14</f>
        <v>STWDA126</v>
      </c>
      <c r="D4933" s="2004"/>
      <c r="E4933" s="1658" t="s">
        <v>9033</v>
      </c>
      <c r="F4933" s="2004"/>
      <c r="G4933" s="2004">
        <f>IF('4S'!AF14="","##BLANK",'4S'!AF14)</f>
        <v>361196</v>
      </c>
    </row>
    <row r="4934" spans="2:7">
      <c r="B4934" s="1739" t="str">
        <f>'4S'!CR18</f>
        <v>STWCA006</v>
      </c>
      <c r="D4934" s="2004"/>
      <c r="E4934" s="1658" t="s">
        <v>9033</v>
      </c>
      <c r="F4934" s="2004"/>
      <c r="G4934" s="2004">
        <f>IF('4S'!AF18="","##BLANK",'4S'!AF18)</f>
        <v>311</v>
      </c>
    </row>
    <row r="4935" spans="2:7">
      <c r="B4935" s="1739" t="str">
        <f>'4S'!CR19</f>
        <v>STWCA020</v>
      </c>
      <c r="D4935" s="2004"/>
      <c r="E4935" s="1658" t="s">
        <v>9033</v>
      </c>
      <c r="F4935" s="2004"/>
      <c r="G4935" s="2004">
        <f>IF('4S'!AF19="","##BLANK",'4S'!AF19)</f>
        <v>63</v>
      </c>
    </row>
    <row r="4936" spans="2:7">
      <c r="B4936" s="1739" t="str">
        <f>'4S'!CR20</f>
        <v>STWCA034</v>
      </c>
      <c r="D4936" s="2004"/>
      <c r="E4936" s="1658" t="s">
        <v>9033</v>
      </c>
      <c r="F4936" s="2004"/>
      <c r="G4936" s="2004">
        <f>IF('4S'!AF20="","##BLANK",'4S'!AF20)</f>
        <v>83</v>
      </c>
    </row>
    <row r="4937" spans="2:7">
      <c r="B4937" s="1739" t="str">
        <f>'4S'!CR21</f>
        <v>STWCA048</v>
      </c>
      <c r="D4937" s="2004"/>
      <c r="E4937" s="1658" t="s">
        <v>9033</v>
      </c>
      <c r="F4937" s="2004"/>
      <c r="G4937" s="2004">
        <f>IF('4S'!AF21="","##BLANK",'4S'!AF21)</f>
        <v>73</v>
      </c>
    </row>
    <row r="4938" spans="2:7">
      <c r="B4938" s="1739" t="str">
        <f>'4S'!CR22</f>
        <v>STWCA062</v>
      </c>
      <c r="D4938" s="2004"/>
      <c r="E4938" s="1658" t="s">
        <v>9033</v>
      </c>
      <c r="F4938" s="2004"/>
      <c r="G4938" s="2004">
        <f>IF('4S'!AF22="","##BLANK",'4S'!AF22)</f>
        <v>43</v>
      </c>
    </row>
    <row r="4939" spans="2:7">
      <c r="B4939" s="1739" t="str">
        <f>'4S'!CR23</f>
        <v>STWCA106</v>
      </c>
      <c r="D4939" s="2004"/>
      <c r="E4939" s="1658" t="s">
        <v>9033</v>
      </c>
      <c r="F4939" s="2004"/>
      <c r="G4939" s="2004">
        <f>IF('4S'!AF23="","##BLANK",'4S'!AF23)</f>
        <v>35</v>
      </c>
    </row>
    <row r="4940" spans="2:7">
      <c r="B4940" s="1739" t="str">
        <f>'4S'!CR24</f>
        <v>STWCA126</v>
      </c>
      <c r="D4940" s="2004"/>
      <c r="E4940" s="1658" t="s">
        <v>9033</v>
      </c>
      <c r="F4940" s="2004"/>
      <c r="G4940" s="2004">
        <f>IF('4S'!AF24="","##BLANK",'4S'!AF24)</f>
        <v>608</v>
      </c>
    </row>
    <row r="4941" spans="2:7">
      <c r="B4941" s="848" t="str">
        <f>'4S'!BP29</f>
        <v>BN1603</v>
      </c>
      <c r="D4941" s="2004"/>
      <c r="E4941" s="1658" t="s">
        <v>9033</v>
      </c>
      <c r="F4941" s="2004"/>
      <c r="G4941" s="2004">
        <f>IF('4S'!G29="","##BLANK",'4S'!G29)</f>
        <v>6027.26</v>
      </c>
    </row>
    <row r="4942" spans="2:7">
      <c r="B4942" s="848" t="str">
        <f>'4S'!BP30</f>
        <v>S4019</v>
      </c>
      <c r="D4942" s="2004"/>
      <c r="E4942" s="1658" t="s">
        <v>9033</v>
      </c>
      <c r="F4942" s="2004"/>
      <c r="G4942" s="2004">
        <f>IF('4S'!G30="","##BLANK",'4S'!G30)</f>
        <v>0</v>
      </c>
    </row>
    <row r="4943" spans="2:7">
      <c r="B4943" s="848" t="str">
        <f>'4S'!BP31</f>
        <v>S4020</v>
      </c>
      <c r="D4943" s="2004"/>
      <c r="E4943" s="1658" t="s">
        <v>9033</v>
      </c>
      <c r="F4943" s="2004"/>
      <c r="G4943" s="2004">
        <f>IF('4S'!G31="","##BLANK",'4S'!G31)</f>
        <v>78.936999999999998</v>
      </c>
    </row>
    <row r="4944" spans="2:7">
      <c r="B4944" s="848" t="str">
        <f>'4S'!BP32</f>
        <v>S4018</v>
      </c>
      <c r="D4944" s="2004"/>
      <c r="E4944" s="1658" t="s">
        <v>9033</v>
      </c>
      <c r="F4944" s="2004"/>
      <c r="G4944" s="2004">
        <f>IF('4S'!G32="","##BLANK",'4S'!G32)</f>
        <v>45.728999999999999</v>
      </c>
    </row>
    <row r="4945" spans="2:7">
      <c r="B4945" s="848" t="str">
        <f>'4S'!BP33</f>
        <v>S4021</v>
      </c>
      <c r="D4945" s="2004"/>
      <c r="E4945" s="1658" t="s">
        <v>9033</v>
      </c>
      <c r="F4945" s="2004"/>
      <c r="G4945" s="2004">
        <f>IF('4S'!G33="","##BLANK",'4S'!G33)</f>
        <v>0</v>
      </c>
    </row>
    <row r="4946" spans="2:7">
      <c r="B4946" s="848" t="str">
        <f>'4S'!BP34</f>
        <v>S4022</v>
      </c>
      <c r="D4946" s="2004"/>
      <c r="E4946" s="1658" t="s">
        <v>9033</v>
      </c>
      <c r="F4946" s="2004"/>
      <c r="G4946" s="2004">
        <f>IF('4S'!G34="","##BLANK",'4S'!G34)</f>
        <v>0</v>
      </c>
    </row>
    <row r="4947" spans="2:7">
      <c r="B4947" s="848" t="str">
        <f>'4S'!BP35</f>
        <v>S4023</v>
      </c>
      <c r="D4947" s="2004"/>
      <c r="E4947" s="1658" t="s">
        <v>9033</v>
      </c>
      <c r="F4947" s="2004"/>
      <c r="G4947" s="2004">
        <f>IF('4S'!G35="","##BLANK",'4S'!G35)</f>
        <v>0</v>
      </c>
    </row>
    <row r="4948" spans="2:7">
      <c r="B4948" s="848" t="str">
        <f>'4S'!BP36</f>
        <v>S4024</v>
      </c>
      <c r="D4948" s="2004"/>
      <c r="E4948" s="1658" t="s">
        <v>9033</v>
      </c>
      <c r="F4948" s="2004"/>
      <c r="G4948" s="2004">
        <f>IF('4S'!G36="","##BLANK",'4S'!G36)</f>
        <v>154.88</v>
      </c>
    </row>
    <row r="4949" spans="2:7">
      <c r="B4949" s="848" t="str">
        <f>'4S'!BP37</f>
        <v>S4025</v>
      </c>
      <c r="D4949" s="2004"/>
      <c r="E4949" s="1658" t="s">
        <v>9033</v>
      </c>
      <c r="F4949" s="2004"/>
      <c r="G4949" s="2004">
        <f>IF('4S'!G37="","##BLANK",'4S'!G37)</f>
        <v>0</v>
      </c>
    </row>
    <row r="4950" spans="2:7">
      <c r="B4950" s="848" t="str">
        <f>'4S'!BP38</f>
        <v>S4027</v>
      </c>
      <c r="D4950" s="2004"/>
      <c r="E4950" s="1658" t="s">
        <v>9033</v>
      </c>
      <c r="F4950" s="2004"/>
      <c r="G4950" s="2004">
        <f>IF('4S'!G38="","##BLANK",'4S'!G38)</f>
        <v>0</v>
      </c>
    </row>
    <row r="4951" spans="2:7">
      <c r="B4951" s="848" t="str">
        <f>'4T'!AC6</f>
        <v>BN5611INC</v>
      </c>
      <c r="D4951" s="2004"/>
      <c r="E4951" s="1658" t="s">
        <v>9033</v>
      </c>
      <c r="F4951" s="2004"/>
      <c r="G4951" s="2004">
        <f>IF('4T'!G6="","##BLANK",'4T'!G6)</f>
        <v>3.3000000000000002E-2</v>
      </c>
    </row>
    <row r="4952" spans="2:7">
      <c r="B4952" s="848" t="str">
        <f>'4T'!AC7</f>
        <v>BN5612INC</v>
      </c>
      <c r="D4952" s="2004"/>
      <c r="E4952" s="1658" t="s">
        <v>9033</v>
      </c>
      <c r="F4952" s="2004"/>
      <c r="G4952" s="2004">
        <f>IF('4T'!G7="","##BLANK",'4T'!G7)</f>
        <v>3.0000000000000001E-3</v>
      </c>
    </row>
    <row r="4953" spans="2:7">
      <c r="B4953" s="848" t="str">
        <f>'4T'!AC8</f>
        <v>BN5613INC</v>
      </c>
      <c r="D4953" s="2004"/>
      <c r="E4953" s="1658" t="s">
        <v>9033</v>
      </c>
      <c r="F4953" s="2004"/>
      <c r="G4953" s="2004">
        <f>IF('4T'!G8="","##BLANK",'4T'!G8)</f>
        <v>0.78100000000000003</v>
      </c>
    </row>
    <row r="4954" spans="2:7">
      <c r="B4954" s="848" t="str">
        <f>'4T'!AC9</f>
        <v>BN5614INC</v>
      </c>
      <c r="D4954" s="2004"/>
      <c r="E4954" s="1658" t="s">
        <v>9033</v>
      </c>
      <c r="F4954" s="2004"/>
      <c r="G4954" s="2004">
        <f>IF('4T'!G9="","##BLANK",'4T'!G9)</f>
        <v>0.16900000000000001</v>
      </c>
    </row>
    <row r="4955" spans="2:7">
      <c r="B4955" s="848" t="str">
        <f>'4T'!AC10</f>
        <v>BN5615INC</v>
      </c>
      <c r="D4955" s="2004"/>
      <c r="E4955" s="1658" t="s">
        <v>9033</v>
      </c>
      <c r="F4955" s="2004"/>
      <c r="G4955" s="2004">
        <f>IF('4T'!G10="","##BLANK",'4T'!G10)</f>
        <v>0</v>
      </c>
    </row>
    <row r="4956" spans="2:7">
      <c r="B4956" s="848" t="str">
        <f>'4T'!AC11</f>
        <v>BN5616INC</v>
      </c>
      <c r="D4956" s="2004"/>
      <c r="E4956" s="1658" t="s">
        <v>9033</v>
      </c>
      <c r="F4956" s="2004"/>
      <c r="G4956" s="2004">
        <f>IF('4T'!G11="","##BLANK",'4T'!G11)</f>
        <v>0</v>
      </c>
    </row>
    <row r="4957" spans="2:7">
      <c r="B4957" s="848" t="str">
        <f>'4T'!AC12</f>
        <v>BN5617INC</v>
      </c>
      <c r="D4957" s="2004"/>
      <c r="E4957" s="1658" t="s">
        <v>9033</v>
      </c>
      <c r="F4957" s="2004"/>
      <c r="G4957" s="2004">
        <f>IF('4T'!G12="","##BLANK",'4T'!G12)</f>
        <v>0</v>
      </c>
    </row>
    <row r="4958" spans="2:7">
      <c r="B4958" s="848" t="str">
        <f>'4T'!AC13</f>
        <v>BN5618INC</v>
      </c>
      <c r="D4958" s="2004"/>
      <c r="E4958" s="1658" t="s">
        <v>9033</v>
      </c>
      <c r="F4958" s="2004"/>
      <c r="G4958" s="2004">
        <f>IF('4T'!G13="","##BLANK",'4T'!G13)</f>
        <v>0</v>
      </c>
    </row>
    <row r="4959" spans="2:7">
      <c r="B4959" s="848" t="str">
        <f>'4T'!AC14</f>
        <v>BN5619INC</v>
      </c>
      <c r="D4959" s="2004"/>
      <c r="E4959" s="1658" t="s">
        <v>9033</v>
      </c>
      <c r="F4959" s="2004"/>
      <c r="G4959" s="2004">
        <f>IF('4T'!G14="","##BLANK",'4T'!G14)</f>
        <v>0.9860000000000001</v>
      </c>
    </row>
    <row r="4960" spans="2:7">
      <c r="B4960" s="848" t="str">
        <f>'4T'!AC17</f>
        <v>BN5620INC</v>
      </c>
      <c r="D4960" s="2004"/>
      <c r="E4960" s="1658" t="s">
        <v>9033</v>
      </c>
      <c r="F4960" s="2004"/>
      <c r="G4960" s="2004">
        <f>IF('4T'!G17="","##BLANK",'4T'!G17)</f>
        <v>0</v>
      </c>
    </row>
    <row r="4961" spans="2:7">
      <c r="B4961" s="848" t="str">
        <f>'4T'!AC18</f>
        <v>BN5621INC</v>
      </c>
      <c r="D4961" s="2004"/>
      <c r="E4961" s="1658" t="s">
        <v>9033</v>
      </c>
      <c r="F4961" s="2004"/>
      <c r="G4961" s="2004">
        <f>IF('4T'!G18="","##BLANK",'4T'!G18)</f>
        <v>0</v>
      </c>
    </row>
    <row r="4962" spans="2:7">
      <c r="B4962" s="848" t="str">
        <f>'4T'!AC19</f>
        <v>BN5622INC</v>
      </c>
      <c r="D4962" s="2004"/>
      <c r="E4962" s="1658" t="s">
        <v>9033</v>
      </c>
      <c r="F4962" s="2004"/>
      <c r="G4962" s="2004">
        <f>IF('4T'!G19="","##BLANK",'4T'!G19)</f>
        <v>7.1999999999999995E-2</v>
      </c>
    </row>
    <row r="4963" spans="2:7">
      <c r="B4963" s="848" t="str">
        <f>'4T'!AC20</f>
        <v>BN5623INC</v>
      </c>
      <c r="D4963" s="2004"/>
      <c r="E4963" s="1658" t="s">
        <v>9033</v>
      </c>
      <c r="F4963" s="2004"/>
      <c r="G4963" s="2004">
        <f>IF('4T'!G20="","##BLANK",'4T'!G20)</f>
        <v>0.90300000000000002</v>
      </c>
    </row>
    <row r="4964" spans="2:7">
      <c r="B4964" s="848" t="str">
        <f>'4T'!AC21</f>
        <v>BN5624INC</v>
      </c>
      <c r="D4964" s="2004"/>
      <c r="E4964" s="1658" t="s">
        <v>9033</v>
      </c>
      <c r="F4964" s="2004"/>
      <c r="G4964" s="2004">
        <f>IF('4T'!G21="","##BLANK",'4T'!G21)</f>
        <v>0</v>
      </c>
    </row>
    <row r="4965" spans="2:7">
      <c r="B4965" s="848" t="str">
        <f>'4T'!AC22</f>
        <v>BN5625INC</v>
      </c>
      <c r="D4965" s="2004"/>
      <c r="E4965" s="1658" t="s">
        <v>9033</v>
      </c>
      <c r="F4965" s="2004"/>
      <c r="G4965" s="2004">
        <f>IF('4T'!G22="","##BLANK",'4T'!G22)</f>
        <v>0.97499999999999998</v>
      </c>
    </row>
    <row r="4966" spans="2:7">
      <c r="B4966" s="848" t="str">
        <f>'4T'!AD6</f>
        <v>BN5611TPS</v>
      </c>
      <c r="D4966" s="2004"/>
      <c r="E4966" s="1658" t="s">
        <v>9033</v>
      </c>
      <c r="F4966" s="2004"/>
      <c r="G4966" s="2004">
        <f>IF('4T'!H6="","##BLANK",'4T'!H6)</f>
        <v>0</v>
      </c>
    </row>
    <row r="4967" spans="2:7">
      <c r="B4967" s="848" t="str">
        <f>'4T'!AD7</f>
        <v>BN5612TPS</v>
      </c>
      <c r="D4967" s="2004"/>
      <c r="E4967" s="1658" t="s">
        <v>9033</v>
      </c>
      <c r="F4967" s="2004"/>
      <c r="G4967" s="2004">
        <f>IF('4T'!H7="","##BLANK",'4T'!H7)</f>
        <v>1.2E-2</v>
      </c>
    </row>
    <row r="4968" spans="2:7">
      <c r="B4968" s="848" t="str">
        <f>'4T'!AD8</f>
        <v>BN5613TPS</v>
      </c>
      <c r="D4968" s="2004"/>
      <c r="E4968" s="1658" t="s">
        <v>9033</v>
      </c>
      <c r="F4968" s="2004"/>
      <c r="G4968" s="2004">
        <f>IF('4T'!H8="","##BLANK",'4T'!H8)</f>
        <v>1E-3</v>
      </c>
    </row>
    <row r="4969" spans="2:7">
      <c r="B4969" s="848" t="str">
        <f>'4T'!AD9</f>
        <v>BN5614TPS</v>
      </c>
      <c r="D4969" s="2004"/>
      <c r="E4969" s="1658" t="s">
        <v>9033</v>
      </c>
      <c r="F4969" s="2004"/>
      <c r="G4969" s="2004">
        <f>IF('4T'!H9="","##BLANK",'4T'!H9)</f>
        <v>1E-3</v>
      </c>
    </row>
    <row r="4970" spans="2:7">
      <c r="B4970" s="848" t="str">
        <f>'4T'!AD10</f>
        <v>BN5615TPS</v>
      </c>
      <c r="D4970" s="2004"/>
      <c r="E4970" s="1658" t="s">
        <v>9033</v>
      </c>
      <c r="F4970" s="2004"/>
      <c r="G4970" s="2004">
        <f>IF('4T'!H10="","##BLANK",'4T'!H10)</f>
        <v>0</v>
      </c>
    </row>
    <row r="4971" spans="2:7">
      <c r="B4971" s="848" t="str">
        <f>'4T'!AD11</f>
        <v>BN5616TPS</v>
      </c>
      <c r="D4971" s="2004"/>
      <c r="E4971" s="1658" t="s">
        <v>9033</v>
      </c>
      <c r="F4971" s="2004"/>
      <c r="G4971" s="2004">
        <f>IF('4T'!H11="","##BLANK",'4T'!H11)</f>
        <v>0</v>
      </c>
    </row>
    <row r="4972" spans="2:7">
      <c r="B4972" s="848" t="str">
        <f>'4T'!AD12</f>
        <v>BN5617TPS</v>
      </c>
      <c r="D4972" s="2004"/>
      <c r="E4972" s="1658" t="s">
        <v>9033</v>
      </c>
      <c r="F4972" s="2004"/>
      <c r="G4972" s="2004">
        <f>IF('4T'!H12="","##BLANK",'4T'!H12)</f>
        <v>0</v>
      </c>
    </row>
    <row r="4973" spans="2:7">
      <c r="B4973" s="848" t="str">
        <f>'4T'!AD13</f>
        <v>BN5618TPS</v>
      </c>
      <c r="D4973" s="2004"/>
      <c r="E4973" s="1658" t="s">
        <v>9033</v>
      </c>
      <c r="F4973" s="2004"/>
      <c r="G4973" s="2004">
        <f>IF('4T'!H13="","##BLANK",'4T'!H13)</f>
        <v>0</v>
      </c>
    </row>
    <row r="4974" spans="2:7">
      <c r="B4974" s="848" t="str">
        <f>'4T'!AD14</f>
        <v>BN5619TPS</v>
      </c>
      <c r="D4974" s="2004"/>
      <c r="E4974" s="1658" t="s">
        <v>9033</v>
      </c>
      <c r="F4974" s="2004"/>
      <c r="G4974" s="2004">
        <f>IF('4T'!H14="","##BLANK",'4T'!H14)</f>
        <v>1.4000000000000002E-2</v>
      </c>
    </row>
    <row r="4975" spans="2:7">
      <c r="B4975" s="848" t="str">
        <f>'4T'!AD17</f>
        <v>BN5620TPS</v>
      </c>
      <c r="D4975" s="2004"/>
      <c r="E4975" s="1658" t="s">
        <v>9033</v>
      </c>
      <c r="F4975" s="2004"/>
      <c r="G4975" s="2004">
        <f>IF('4T'!H17="","##BLANK",'4T'!H17)</f>
        <v>0</v>
      </c>
    </row>
    <row r="4976" spans="2:7">
      <c r="B4976" s="848" t="str">
        <f>'4T'!AD18</f>
        <v>BN5621TPS</v>
      </c>
      <c r="D4976" s="2004"/>
      <c r="E4976" s="1658" t="s">
        <v>9033</v>
      </c>
      <c r="F4976" s="2004"/>
      <c r="G4976" s="2004">
        <f>IF('4T'!H18="","##BLANK",'4T'!H18)</f>
        <v>0</v>
      </c>
    </row>
    <row r="4977" spans="2:7">
      <c r="B4977" s="848" t="str">
        <f>'4T'!AD19</f>
        <v>BN5622TPS</v>
      </c>
      <c r="D4977" s="2004"/>
      <c r="E4977" s="1658" t="s">
        <v>9033</v>
      </c>
      <c r="F4977" s="2004"/>
      <c r="G4977" s="2004">
        <f>IF('4T'!H19="","##BLANK",'4T'!H19)</f>
        <v>0</v>
      </c>
    </row>
    <row r="4978" spans="2:7">
      <c r="B4978" s="848" t="str">
        <f>'4T'!AD20</f>
        <v>BN5623TPS</v>
      </c>
      <c r="D4978" s="2004"/>
      <c r="E4978" s="1658" t="s">
        <v>9033</v>
      </c>
      <c r="F4978" s="2004"/>
      <c r="G4978" s="2004">
        <f>IF('4T'!H20="","##BLANK",'4T'!H20)</f>
        <v>2.1999999999999999E-2</v>
      </c>
    </row>
    <row r="4979" spans="2:7">
      <c r="B4979" s="848" t="str">
        <f>'4T'!AD21</f>
        <v>BN5624TPS</v>
      </c>
      <c r="D4979" s="2004"/>
      <c r="E4979" s="1658" t="s">
        <v>9033</v>
      </c>
      <c r="F4979" s="2004"/>
      <c r="G4979" s="2004">
        <f>IF('4T'!H21="","##BLANK",'4T'!H21)</f>
        <v>3.0000000000000001E-3</v>
      </c>
    </row>
    <row r="4980" spans="2:7">
      <c r="B4980" s="848" t="str">
        <f>'4T'!AD22</f>
        <v>BN5625TPS</v>
      </c>
      <c r="D4980" s="2004"/>
      <c r="E4980" s="1658" t="s">
        <v>9033</v>
      </c>
      <c r="F4980" s="2004"/>
      <c r="G4980" s="2004">
        <f>IF('4T'!H22="","##BLANK",'4T'!H22)</f>
        <v>2.4999999999999998E-2</v>
      </c>
    </row>
    <row r="4981" spans="2:7">
      <c r="B4981" s="848" t="str">
        <f>'4U'!D6</f>
        <v>BP3410</v>
      </c>
      <c r="D4981" s="2004"/>
      <c r="E4981" s="1658" t="s">
        <v>9033</v>
      </c>
      <c r="F4981" s="2004"/>
      <c r="G4981" s="2004">
        <f>IF('4U'!G6="","##BLANK",'4U'!G6)</f>
        <v>14.696999999999999</v>
      </c>
    </row>
    <row r="4982" spans="2:7">
      <c r="B4982" s="848" t="str">
        <f>'4U'!D7</f>
        <v>BP3415</v>
      </c>
      <c r="D4982" s="2004"/>
      <c r="E4982" s="1658" t="s">
        <v>9033</v>
      </c>
      <c r="F4982" s="2004"/>
      <c r="G4982" s="2004">
        <f>IF('4U'!G7="","##BLANK",'4U'!G7)</f>
        <v>0.80900000000000005</v>
      </c>
    </row>
    <row r="4983" spans="2:7">
      <c r="B4983" s="848" t="str">
        <f>'4U'!D8</f>
        <v>BN2130</v>
      </c>
      <c r="D4983" s="2004"/>
      <c r="E4983" s="1658" t="s">
        <v>9033</v>
      </c>
      <c r="F4983" s="2004"/>
      <c r="G4983" s="2004">
        <f>IF('4U'!G8="","##BLANK",'4U'!G8)</f>
        <v>906.86599999999999</v>
      </c>
    </row>
    <row r="4984" spans="2:7">
      <c r="B4984" s="848" t="str">
        <f>'4U'!D9</f>
        <v>BN2140</v>
      </c>
      <c r="D4984" s="2004"/>
      <c r="E4984" s="1658" t="s">
        <v>9033</v>
      </c>
      <c r="F4984" s="2004"/>
      <c r="G4984" s="2004">
        <f>IF('4U'!G9="","##BLANK",'4U'!G9)</f>
        <v>1172.653</v>
      </c>
    </row>
    <row r="4985" spans="2:7">
      <c r="B4985" s="848" t="str">
        <f>'4U'!D10</f>
        <v>BN2150</v>
      </c>
      <c r="D4985" s="2004"/>
      <c r="E4985" s="1658" t="s">
        <v>9033</v>
      </c>
      <c r="F4985" s="2004"/>
      <c r="G4985" s="2004">
        <f>IF('4U'!G10="","##BLANK",'4U'!G10)</f>
        <v>2079.5190000000002</v>
      </c>
    </row>
    <row r="4986" spans="2:7">
      <c r="B4986" s="848" t="str">
        <f>'4U'!D11</f>
        <v>BN2250</v>
      </c>
      <c r="D4986" s="2004"/>
      <c r="E4986" s="1658" t="s">
        <v>9033</v>
      </c>
      <c r="F4986" s="2004"/>
      <c r="G4986" s="2004">
        <f>IF('4U'!G11="","##BLANK",'4U'!G11)</f>
        <v>14.994</v>
      </c>
    </row>
    <row r="4987" spans="2:7">
      <c r="B4987" s="848" t="str">
        <f>'4U'!D12</f>
        <v>BN2260</v>
      </c>
      <c r="D4987" s="2004"/>
      <c r="E4987" s="1658" t="s">
        <v>9033</v>
      </c>
      <c r="F4987" s="2004"/>
      <c r="G4987" s="2004">
        <f>IF('4U'!G12="","##BLANK",'4U'!G12)</f>
        <v>86.442999999999998</v>
      </c>
    </row>
    <row r="4988" spans="2:7">
      <c r="B4988" s="848" t="str">
        <f>'4U'!D13</f>
        <v>BN2270</v>
      </c>
      <c r="D4988" s="2004"/>
      <c r="E4988" s="1658" t="s">
        <v>9033</v>
      </c>
      <c r="F4988" s="2004"/>
      <c r="G4988" s="2004">
        <f>IF('4U'!G13="","##BLANK",'4U'!G13)</f>
        <v>101.437</v>
      </c>
    </row>
    <row r="4989" spans="2:7">
      <c r="B4989" s="848" t="str">
        <f>'4U'!D14</f>
        <v>BN2285</v>
      </c>
      <c r="D4989" s="2004"/>
      <c r="E4989" s="1658" t="s">
        <v>9033</v>
      </c>
      <c r="F4989" s="2004"/>
      <c r="G4989" s="2004">
        <f>IF('4U'!G14="","##BLANK",'4U'!G14)</f>
        <v>132.023</v>
      </c>
    </row>
    <row r="4990" spans="2:7">
      <c r="B4990" s="848" t="str">
        <f>'4U'!D15</f>
        <v>BN1178</v>
      </c>
      <c r="D4990" s="2004"/>
      <c r="E4990" s="1658" t="s">
        <v>9033</v>
      </c>
      <c r="F4990" s="2004"/>
      <c r="G4990" s="2004">
        <f>IF('4U'!G15="","##BLANK",'4U'!G15)</f>
        <v>2312.9790000000003</v>
      </c>
    </row>
    <row r="4991" spans="2:7">
      <c r="B4991" s="848" t="str">
        <f>'4U'!D17</f>
        <v>BN2630</v>
      </c>
      <c r="D4991" s="2004"/>
      <c r="E4991" s="1658" t="s">
        <v>9033</v>
      </c>
      <c r="F4991" s="2004"/>
      <c r="G4991" s="2004">
        <f>IF('4U'!G17="","##BLANK",'4U'!G17)</f>
        <v>5169.5889999999999</v>
      </c>
    </row>
    <row r="4992" spans="2:7">
      <c r="B4992" s="848" t="str">
        <f>'4U'!D18</f>
        <v>BN2620</v>
      </c>
      <c r="D4992" s="2004"/>
      <c r="E4992" s="1658" t="s">
        <v>9033</v>
      </c>
      <c r="F4992" s="2004"/>
      <c r="G4992" s="2004">
        <f>IF('4U'!G18="","##BLANK",'4U'!G18)</f>
        <v>46.723999999999997</v>
      </c>
    </row>
    <row r="4993" spans="2:7">
      <c r="B4993" s="848" t="str">
        <f>'4U'!D21</f>
        <v>BM902ECNPS</v>
      </c>
      <c r="D4993" s="2004"/>
      <c r="E4993" s="1658" t="s">
        <v>9033</v>
      </c>
      <c r="F4993" s="2004"/>
      <c r="G4993" s="2004">
        <f>IF('4U'!G21="","##BLANK",'4U'!G21)</f>
        <v>344160.18400000001</v>
      </c>
    </row>
    <row r="4994" spans="2:7">
      <c r="B4994" s="848" t="str">
        <f>'4U'!D22</f>
        <v>BM602EC</v>
      </c>
      <c r="D4994" s="2004"/>
      <c r="E4994" s="1658" t="s">
        <v>9033</v>
      </c>
      <c r="F4994" s="2004"/>
      <c r="G4994" s="2004">
        <f>IF('4U'!G22="","##BLANK",'4U'!G22)</f>
        <v>71929.475999999995</v>
      </c>
    </row>
    <row r="4995" spans="2:7">
      <c r="B4995" s="848" t="str">
        <f>'4U'!D23</f>
        <v>BM902ECWS</v>
      </c>
      <c r="D4995" s="2004"/>
      <c r="E4995" s="1658" t="s">
        <v>9033</v>
      </c>
      <c r="F4995" s="2004"/>
      <c r="G4995" s="2004">
        <f>IF('4U'!G23="","##BLANK",'4U'!G23)</f>
        <v>416089.66000000003</v>
      </c>
    </row>
    <row r="4996" spans="2:7">
      <c r="B4996" s="848" t="str">
        <f>'4U'!D24</f>
        <v>BN1609</v>
      </c>
      <c r="D4996" s="2004"/>
      <c r="E4996" s="1658" t="s">
        <v>9033</v>
      </c>
      <c r="F4996" s="2004"/>
      <c r="G4996" s="2004">
        <f>IF('4U'!G24="","##BLANK",'4U'!G24)</f>
        <v>70.036000000000001</v>
      </c>
    </row>
    <row r="4997" spans="2:7">
      <c r="B4997" s="848" t="str">
        <f>'4U'!D25</f>
        <v>BN1176CA</v>
      </c>
      <c r="D4997" s="2004"/>
      <c r="E4997" s="1658" t="s">
        <v>9033</v>
      </c>
      <c r="F4997" s="2004"/>
      <c r="G4997" s="2004">
        <f>IF('4U'!G25="","##BLANK",'4U'!G25)</f>
        <v>1693</v>
      </c>
    </row>
    <row r="4998" spans="2:7">
      <c r="B4998" s="848" t="str">
        <f>'4U'!D26</f>
        <v>BN1615</v>
      </c>
      <c r="D4998" s="2004"/>
      <c r="E4998" s="1658" t="s">
        <v>9033</v>
      </c>
      <c r="F4998" s="2004"/>
      <c r="G4998" s="2004">
        <f>IF('4U'!G26="","##BLANK",'4U'!G26)</f>
        <v>19</v>
      </c>
    </row>
    <row r="4999" spans="2:7">
      <c r="B4999" s="848" t="str">
        <f>'4U'!D27</f>
        <v>S4016</v>
      </c>
      <c r="D4999" s="2004"/>
      <c r="E4999" s="1658" t="s">
        <v>9033</v>
      </c>
      <c r="F4999" s="2004"/>
      <c r="G4999" s="2004">
        <f>IF('4U'!G27="","##BLANK",'4U'!G27)</f>
        <v>489</v>
      </c>
    </row>
    <row r="5000" spans="2:7">
      <c r="B5000" s="848" t="str">
        <f>'4U'!D28</f>
        <v>STWM001</v>
      </c>
      <c r="D5000" s="2004"/>
      <c r="E5000" s="1658" t="s">
        <v>9033</v>
      </c>
      <c r="F5000" s="2004"/>
      <c r="G5000" s="2004">
        <f>IF('4U'!G28="","##BLANK",'4U'!G28)</f>
        <v>15</v>
      </c>
    </row>
    <row r="5001" spans="2:7">
      <c r="B5001" s="848" t="str">
        <f>'4U'!D29</f>
        <v>S4017</v>
      </c>
      <c r="D5001" s="2004"/>
      <c r="E5001" s="1658" t="s">
        <v>9033</v>
      </c>
      <c r="F5001" s="2004"/>
      <c r="G5001" s="2004">
        <f>IF('4U'!G29="","##BLANK",'4U'!G29)</f>
        <v>2857</v>
      </c>
    </row>
    <row r="5002" spans="2:7">
      <c r="B5002" s="848" t="str">
        <f>'4U'!D30</f>
        <v>S4026</v>
      </c>
      <c r="D5002" s="2004"/>
      <c r="E5002" s="1658" t="s">
        <v>9033</v>
      </c>
      <c r="F5002" s="2004"/>
      <c r="G5002" s="2004">
        <f>IF('4U'!G30="","##BLANK",'4U'!G30)</f>
        <v>16100</v>
      </c>
    </row>
    <row r="5003" spans="2:7">
      <c r="B5003" s="848" t="str">
        <f>'4U'!D31</f>
        <v>CPMS2016</v>
      </c>
      <c r="D5003" s="2004"/>
      <c r="E5003" s="1658" t="s">
        <v>9033</v>
      </c>
      <c r="F5003" s="2004"/>
      <c r="G5003" s="2004">
        <f>IF('4U'!G31="","##BLANK",'4U'!G31)</f>
        <v>4534062</v>
      </c>
    </row>
    <row r="5004" spans="2:7">
      <c r="B5004" s="848" t="str">
        <f>'4V'!AN7</f>
        <v>BM102IR</v>
      </c>
      <c r="D5004" s="2004"/>
      <c r="E5004" s="1658" t="s">
        <v>9033</v>
      </c>
      <c r="F5004" s="2004"/>
      <c r="G5004" s="2004">
        <f>IF('4V'!G7="","##BLANK",'4V'!G7)</f>
        <v>0.13900000000000001</v>
      </c>
    </row>
    <row r="5005" spans="2:7">
      <c r="B5005" s="848" t="str">
        <f>'4V'!AN8</f>
        <v>BM836IR</v>
      </c>
      <c r="D5005" s="2004"/>
      <c r="E5005" s="1658" t="s">
        <v>9033</v>
      </c>
      <c r="F5005" s="2004"/>
      <c r="G5005" s="2004">
        <f>IF('4V'!G8="","##BLANK",'4V'!G8)</f>
        <v>0</v>
      </c>
    </row>
    <row r="5006" spans="2:7">
      <c r="B5006" s="848" t="str">
        <f>'4V'!AN9</f>
        <v>WS1003IR</v>
      </c>
      <c r="D5006" s="2004"/>
      <c r="E5006" s="1658" t="s">
        <v>9033</v>
      </c>
      <c r="F5006" s="2004"/>
      <c r="G5006" s="2004">
        <f>IF('4V'!G9="","##BLANK",'4V'!G9)</f>
        <v>5.9210000000000003</v>
      </c>
    </row>
    <row r="5007" spans="2:7">
      <c r="B5007" s="848" t="str">
        <f>'4V'!AN10</f>
        <v>BM240IR</v>
      </c>
      <c r="D5007" s="2004"/>
      <c r="E5007" s="1658" t="s">
        <v>9033</v>
      </c>
      <c r="F5007" s="2004"/>
      <c r="G5007" s="2004">
        <f>IF('4V'!G10="","##BLANK",'4V'!G10)</f>
        <v>0</v>
      </c>
    </row>
    <row r="5008" spans="2:7">
      <c r="B5008" s="848" t="str">
        <f>'4V'!AN12</f>
        <v>WS1005IR</v>
      </c>
      <c r="D5008" s="2004"/>
      <c r="E5008" s="1658" t="s">
        <v>9033</v>
      </c>
      <c r="F5008" s="2004"/>
      <c r="G5008" s="2004">
        <f>IF('4V'!G12="","##BLANK",'4V'!G12)</f>
        <v>0</v>
      </c>
    </row>
    <row r="5009" spans="2:8">
      <c r="B5009" s="848" t="str">
        <f>'4V'!AN13</f>
        <v>WS1006IR</v>
      </c>
      <c r="D5009" s="2004"/>
      <c r="E5009" s="1658" t="s">
        <v>9033</v>
      </c>
      <c r="F5009" s="2004"/>
      <c r="G5009" s="2004">
        <f>IF('4V'!G13="","##BLANK",'4V'!G13)</f>
        <v>0</v>
      </c>
      <c r="H5009" s="2004"/>
    </row>
    <row r="5010" spans="2:8">
      <c r="B5010" s="848" t="str">
        <f>'4V'!AN14</f>
        <v>BM108IR</v>
      </c>
      <c r="D5010" s="2004"/>
      <c r="E5010" s="1658" t="s">
        <v>9033</v>
      </c>
      <c r="F5010" s="2004"/>
      <c r="G5010" s="2004">
        <f>IF('4V'!G14="","##BLANK",'4V'!G14)</f>
        <v>2.5779999999999998</v>
      </c>
      <c r="H5010" s="2004"/>
    </row>
    <row r="5011" spans="2:8">
      <c r="B5011" s="848" t="str">
        <f>'4V'!AN15</f>
        <v>BM110IR</v>
      </c>
      <c r="D5011" s="2004"/>
      <c r="E5011" s="1658" t="s">
        <v>9033</v>
      </c>
      <c r="F5011" s="2004"/>
      <c r="G5011" s="2004">
        <f>IF('4V'!G15="","##BLANK",'4V'!G15)</f>
        <v>3.8769999999999998</v>
      </c>
      <c r="H5011" s="2004"/>
    </row>
    <row r="5012" spans="2:8">
      <c r="B5012" s="848" t="str">
        <f>'4V'!AN16</f>
        <v>BM816IR</v>
      </c>
      <c r="D5012" s="2004"/>
      <c r="E5012" s="1658" t="s">
        <v>9033</v>
      </c>
      <c r="F5012" s="2004"/>
      <c r="G5012" s="2004">
        <f>IF('4V'!G16="","##BLANK",'4V'!G16)</f>
        <v>12.515000000000001</v>
      </c>
      <c r="H5012" s="2004"/>
    </row>
    <row r="5013" spans="2:8">
      <c r="B5013" s="848" t="str">
        <f>'4V'!AN17</f>
        <v>BM817IR</v>
      </c>
      <c r="D5013" s="2004"/>
      <c r="E5013" s="1658" t="s">
        <v>9033</v>
      </c>
      <c r="F5013" s="2004"/>
      <c r="G5013" s="2004">
        <f>IF('4V'!G17="","##BLANK",'4V'!G17)</f>
        <v>5.2480000000000002</v>
      </c>
      <c r="H5013" s="2004"/>
    </row>
    <row r="5014" spans="2:8">
      <c r="B5014" s="848" t="str">
        <f>'4V'!AN18</f>
        <v>BM316IR</v>
      </c>
      <c r="D5014" s="2004"/>
      <c r="E5014" s="1658" t="s">
        <v>9033</v>
      </c>
      <c r="F5014" s="2004"/>
      <c r="G5014" s="2004">
        <f>IF('4V'!G18="","##BLANK",'4V'!G18)</f>
        <v>17.763000000000002</v>
      </c>
      <c r="H5014" s="2004"/>
    </row>
    <row r="5015" spans="2:8">
      <c r="B5015" s="848" t="str">
        <f>'4V'!AN19</f>
        <v>FT00865IR</v>
      </c>
      <c r="D5015" s="2004"/>
      <c r="E5015" s="1658" t="s">
        <v>9033</v>
      </c>
      <c r="F5015" s="2004"/>
      <c r="G5015" s="2004">
        <f>IF('4V'!G19="","##BLANK",'4V'!G19)</f>
        <v>5.5590000000000002</v>
      </c>
      <c r="H5015" s="2004"/>
    </row>
    <row r="5016" spans="2:8">
      <c r="B5016" s="848" t="str">
        <f>'4V'!AN20</f>
        <v>BM319IR</v>
      </c>
      <c r="D5016" s="2004"/>
      <c r="E5016" s="1658" t="s">
        <v>9033</v>
      </c>
      <c r="F5016" s="2004"/>
      <c r="G5016" s="2004">
        <f>IF('4V'!G20="","##BLANK",'4V'!G20)</f>
        <v>23.322000000000003</v>
      </c>
      <c r="H5016" s="2004"/>
    </row>
    <row r="5017" spans="2:8">
      <c r="B5017" s="848" t="str">
        <f>'4V'!AN25</f>
        <v>BM3010WR</v>
      </c>
      <c r="D5017" s="2004"/>
      <c r="E5017" s="1658" t="s">
        <v>9033</v>
      </c>
      <c r="F5017" s="2004"/>
      <c r="G5017" s="2004">
        <f>IF('4V'!G25="","##BLANK",'4V'!G25)</f>
        <v>2.6360000000000001</v>
      </c>
      <c r="H5017" s="2004"/>
    </row>
    <row r="5018" spans="2:8">
      <c r="B5018" s="848" t="str">
        <f>'4V'!AN26</f>
        <v>BM3011WR</v>
      </c>
      <c r="D5018" s="2004"/>
      <c r="E5018" s="1658" t="s">
        <v>9033</v>
      </c>
      <c r="F5018" s="2004"/>
      <c r="G5018" s="2004">
        <f>IF('4V'!G26="","##BLANK",'4V'!G26)</f>
        <v>1.2789999999999999</v>
      </c>
      <c r="H5018" s="2004"/>
    </row>
    <row r="5019" spans="2:8">
      <c r="B5019" s="848" t="str">
        <f>'4V'!AN27</f>
        <v>W3030WR</v>
      </c>
      <c r="D5019" s="2004"/>
      <c r="E5019" s="1658" t="s">
        <v>9033</v>
      </c>
      <c r="F5019" s="2004"/>
      <c r="G5019" s="2004">
        <f>IF('4V'!G27="","##BLANK",'4V'!G27)</f>
        <v>61</v>
      </c>
      <c r="H5019" s="2004"/>
    </row>
    <row r="5020" spans="2:8">
      <c r="B5020" s="848" t="str">
        <f>'4V'!AN28</f>
        <v>W3031WR</v>
      </c>
      <c r="D5020" s="2004"/>
      <c r="E5020" s="1658" t="s">
        <v>9033</v>
      </c>
      <c r="F5020" s="2004"/>
      <c r="G5020" s="2004">
        <f>IF('4V'!G28="","##BLANK",'4V'!G28)</f>
        <v>34</v>
      </c>
      <c r="H5020" s="2004"/>
    </row>
    <row r="5021" spans="2:8">
      <c r="B5021" s="848" t="str">
        <f>'4V'!AN29</f>
        <v>W3032WR</v>
      </c>
      <c r="D5021" s="2004"/>
      <c r="E5021" s="1658" t="s">
        <v>9033</v>
      </c>
      <c r="F5021" s="2004"/>
      <c r="G5021" s="2004">
        <f>IF('4V'!G29="","##BLANK",'4V'!G29)</f>
        <v>0</v>
      </c>
      <c r="H5021" s="2004"/>
    </row>
    <row r="5022" spans="2:8">
      <c r="B5022" s="848" t="str">
        <f>'4V'!AN32</f>
        <v>W3033WR</v>
      </c>
      <c r="D5022" s="2004"/>
      <c r="E5022" s="1658" t="s">
        <v>9033</v>
      </c>
      <c r="F5022" s="2004"/>
      <c r="G5022" s="2004">
        <f>IF('4V'!G32="","##BLANK",'4V'!G32)</f>
        <v>4.968</v>
      </c>
      <c r="H5022" s="2004"/>
    </row>
    <row r="5023" spans="2:8">
      <c r="B5023" s="848" t="str">
        <f>'4V'!AN33</f>
        <v>W3034WR</v>
      </c>
      <c r="D5023" s="2004"/>
      <c r="E5023" s="1658" t="s">
        <v>9033</v>
      </c>
      <c r="F5023" s="2004"/>
      <c r="G5023" s="2004">
        <f>IF('4V'!G33="","##BLANK",'4V'!G33)</f>
        <v>0.57999999999999996</v>
      </c>
      <c r="H5023" s="2004"/>
    </row>
    <row r="5024" spans="2:8">
      <c r="B5024" s="848" t="str">
        <f>'4V'!AN34</f>
        <v>W3035WR</v>
      </c>
      <c r="D5024" s="2004"/>
      <c r="E5024" s="1658" t="s">
        <v>9033</v>
      </c>
      <c r="F5024" s="2004"/>
      <c r="G5024" s="2004">
        <f>IF('4V'!G34="","##BLANK",'4V'!G34)</f>
        <v>0</v>
      </c>
      <c r="H5024" s="2004"/>
    </row>
    <row r="5025" spans="2:8">
      <c r="B5025" s="848" t="str">
        <f>'4V'!AN36</f>
        <v>W3036WR</v>
      </c>
      <c r="D5025" s="2004"/>
      <c r="E5025" s="1658" t="s">
        <v>9033</v>
      </c>
      <c r="F5025" s="2004"/>
      <c r="G5025" s="2004">
        <f>IF('4V'!G36="","##BLANK",'4V'!G36)</f>
        <v>0</v>
      </c>
      <c r="H5025" s="2004"/>
    </row>
    <row r="5026" spans="2:8">
      <c r="B5026" s="848" t="str">
        <f>'4V'!AO7</f>
        <v>BM102PS</v>
      </c>
      <c r="D5026" s="2004"/>
      <c r="E5026" s="1658" t="s">
        <v>9033</v>
      </c>
      <c r="F5026" s="2004"/>
      <c r="G5026" s="2004">
        <f>IF('4V'!H7="","##BLANK",'4V'!H7)</f>
        <v>2.1000000000000001E-2</v>
      </c>
      <c r="H5026" s="2004"/>
    </row>
    <row r="5027" spans="2:8">
      <c r="B5027" s="848" t="str">
        <f>'4V'!AO8</f>
        <v>BM836PS</v>
      </c>
      <c r="D5027" s="2004"/>
      <c r="E5027" s="1658" t="s">
        <v>9033</v>
      </c>
      <c r="F5027" s="2004"/>
      <c r="G5027" s="2004">
        <f>IF('4V'!H8="","##BLANK",'4V'!H8)</f>
        <v>0</v>
      </c>
      <c r="H5027" s="2004"/>
    </row>
    <row r="5028" spans="2:8">
      <c r="B5028" s="848" t="str">
        <f>'4V'!AO9</f>
        <v>WS1003PS</v>
      </c>
      <c r="D5028" s="2004"/>
      <c r="E5028" s="1658" t="s">
        <v>9033</v>
      </c>
      <c r="F5028" s="2004"/>
      <c r="G5028" s="2004">
        <f>IF('4V'!H9="","##BLANK",'4V'!H9)</f>
        <v>0.27200000000000002</v>
      </c>
      <c r="H5028" s="2004"/>
    </row>
    <row r="5029" spans="2:8">
      <c r="B5029" s="848" t="str">
        <f>'4V'!AO10</f>
        <v>BM240PS</v>
      </c>
      <c r="D5029" s="2004"/>
      <c r="E5029" s="1658" t="s">
        <v>9033</v>
      </c>
      <c r="F5029" s="2004"/>
      <c r="G5029" s="2004">
        <f>IF('4V'!H10="","##BLANK",'4V'!H10)</f>
        <v>0</v>
      </c>
      <c r="H5029" s="2004"/>
    </row>
    <row r="5030" spans="2:8">
      <c r="B5030" s="848" t="str">
        <f>'4V'!AO12</f>
        <v>WS1005PS</v>
      </c>
      <c r="D5030" s="2004"/>
      <c r="E5030" s="1658" t="s">
        <v>9033</v>
      </c>
      <c r="F5030" s="2004"/>
      <c r="G5030" s="2004">
        <f>IF('4V'!H12="","##BLANK",'4V'!H12)</f>
        <v>0</v>
      </c>
      <c r="H5030" s="2004"/>
    </row>
    <row r="5031" spans="2:8">
      <c r="B5031" s="848" t="str">
        <f>'4V'!AO13</f>
        <v>WS1006PS</v>
      </c>
      <c r="D5031" s="2004"/>
      <c r="E5031" s="1658" t="s">
        <v>9033</v>
      </c>
      <c r="F5031" s="2004"/>
      <c r="G5031" s="2004">
        <f>IF('4V'!H13="","##BLANK",'4V'!H13)</f>
        <v>0</v>
      </c>
      <c r="H5031" s="2004"/>
    </row>
    <row r="5032" spans="2:8">
      <c r="B5032" s="848" t="str">
        <f>'4V'!AO14</f>
        <v>BM108PS</v>
      </c>
      <c r="D5032" s="2004"/>
      <c r="E5032" s="1658" t="s">
        <v>9033</v>
      </c>
      <c r="F5032" s="2004"/>
      <c r="G5032" s="2004">
        <f>IF('4V'!H14="","##BLANK",'4V'!H14)</f>
        <v>0.11799999999999999</v>
      </c>
      <c r="H5032" s="2004"/>
    </row>
    <row r="5033" spans="2:8">
      <c r="B5033" s="848" t="str">
        <f>'4V'!AO15</f>
        <v>BM110PS</v>
      </c>
      <c r="D5033" s="2004"/>
      <c r="E5033" s="1658" t="s">
        <v>9033</v>
      </c>
      <c r="F5033" s="2004"/>
      <c r="G5033" s="2004">
        <f>IF('4V'!H15="","##BLANK",'4V'!H15)</f>
        <v>0.17799999999999999</v>
      </c>
      <c r="H5033" s="2004"/>
    </row>
    <row r="5034" spans="2:8">
      <c r="B5034" s="848" t="str">
        <f>'4V'!AO16</f>
        <v>BM816PS</v>
      </c>
      <c r="D5034" s="2004"/>
      <c r="E5034" s="1658" t="s">
        <v>9033</v>
      </c>
      <c r="F5034" s="2004"/>
      <c r="G5034" s="2004">
        <f>IF('4V'!H16="","##BLANK",'4V'!H16)</f>
        <v>0.58899999999999997</v>
      </c>
      <c r="H5034" s="2004"/>
    </row>
    <row r="5035" spans="2:8">
      <c r="B5035" s="848" t="str">
        <f>'4V'!AO17</f>
        <v>BM817PS</v>
      </c>
      <c r="D5035" s="2004"/>
      <c r="E5035" s="1658" t="s">
        <v>9033</v>
      </c>
      <c r="F5035" s="2004"/>
      <c r="G5035" s="2004">
        <f>IF('4V'!H17="","##BLANK",'4V'!H17)</f>
        <v>0.24099999999999999</v>
      </c>
      <c r="H5035" s="2004"/>
    </row>
    <row r="5036" spans="2:8">
      <c r="B5036" s="848" t="str">
        <f>'4V'!AO18</f>
        <v>BM316PS</v>
      </c>
      <c r="D5036" s="2004"/>
      <c r="E5036" s="1658" t="s">
        <v>9033</v>
      </c>
      <c r="F5036" s="2004"/>
      <c r="G5036" s="2004">
        <f>IF('4V'!H18="","##BLANK",'4V'!H18)</f>
        <v>0.83</v>
      </c>
      <c r="H5036" s="2004"/>
    </row>
    <row r="5037" spans="2:8">
      <c r="B5037" s="848" t="str">
        <f>'4V'!AO19</f>
        <v>FT00865PS</v>
      </c>
      <c r="D5037" s="2004"/>
      <c r="E5037" s="1658" t="s">
        <v>9033</v>
      </c>
      <c r="F5037" s="2004"/>
      <c r="G5037" s="2004">
        <f>IF('4V'!H19="","##BLANK",'4V'!H19)</f>
        <v>8.9999999999999993E-3</v>
      </c>
      <c r="H5037" s="2004"/>
    </row>
    <row r="5038" spans="2:8">
      <c r="B5038" s="848" t="str">
        <f>'4V'!AO20</f>
        <v>BM319PS</v>
      </c>
      <c r="D5038" s="2004"/>
      <c r="E5038" s="1658" t="s">
        <v>9033</v>
      </c>
      <c r="F5038" s="2004"/>
      <c r="G5038" s="2004">
        <f>IF('4V'!H20="","##BLANK",'4V'!H20)</f>
        <v>0.83899999999999997</v>
      </c>
      <c r="H5038" s="2004"/>
    </row>
    <row r="5039" spans="2:8">
      <c r="B5039" s="848" t="str">
        <f>'4V'!AO25</f>
        <v>BM3010RWD</v>
      </c>
      <c r="D5039" s="2004"/>
      <c r="E5039" s="1658" t="s">
        <v>9033</v>
      </c>
      <c r="F5039" s="2004"/>
      <c r="G5039" s="2004">
        <f>IF('4V'!H25="","##BLANK",'4V'!H25)</f>
        <v>1.343</v>
      </c>
      <c r="H5039" s="2004"/>
    </row>
    <row r="5040" spans="2:8">
      <c r="B5040" s="848" t="str">
        <f>'4V'!AO26</f>
        <v>BM3011RWD</v>
      </c>
      <c r="D5040" s="2004"/>
      <c r="E5040" s="1658" t="s">
        <v>9033</v>
      </c>
      <c r="F5040" s="2004"/>
      <c r="G5040" s="2004">
        <f>IF('4V'!H26="","##BLANK",'4V'!H26)</f>
        <v>0.54100000000000004</v>
      </c>
      <c r="H5040" s="2004"/>
    </row>
    <row r="5041" spans="2:7">
      <c r="B5041" s="848" t="str">
        <f>'4V'!AO27</f>
        <v>W3030RWD</v>
      </c>
      <c r="D5041" s="2004"/>
      <c r="E5041" s="1658" t="s">
        <v>9033</v>
      </c>
      <c r="F5041" s="2004"/>
      <c r="G5041" s="2004">
        <f>IF('4V'!H27="","##BLANK",'4V'!H27)</f>
        <v>31</v>
      </c>
    </row>
    <row r="5042" spans="2:7">
      <c r="B5042" s="848" t="str">
        <f>'4V'!AO28</f>
        <v>W3031RWD</v>
      </c>
      <c r="D5042" s="2004"/>
      <c r="E5042" s="1658" t="s">
        <v>9033</v>
      </c>
      <c r="F5042" s="2004"/>
      <c r="G5042" s="2004">
        <f>IF('4V'!H28="","##BLANK",'4V'!H28)</f>
        <v>12</v>
      </c>
    </row>
    <row r="5043" spans="2:7">
      <c r="B5043" s="848" t="str">
        <f>'4V'!AO29</f>
        <v>W3032RWD</v>
      </c>
      <c r="D5043" s="2004"/>
      <c r="E5043" s="1658" t="s">
        <v>9033</v>
      </c>
      <c r="F5043" s="2004"/>
      <c r="G5043" s="2004">
        <f>IF('4V'!H29="","##BLANK",'4V'!H29)</f>
        <v>0</v>
      </c>
    </row>
    <row r="5044" spans="2:7" s="2004" customFormat="1">
      <c r="B5044" s="848" t="str">
        <f>'4V'!AO32</f>
        <v>W3033RWD</v>
      </c>
      <c r="C5044" s="1322"/>
      <c r="E5044" s="1658" t="s">
        <v>9033</v>
      </c>
      <c r="G5044" s="2004">
        <f>IF('4V'!H32="","##BLANK",'4V'!H32)</f>
        <v>0</v>
      </c>
    </row>
    <row r="5045" spans="2:7" s="2004" customFormat="1">
      <c r="B5045" s="848" t="str">
        <f>'4V'!AO33</f>
        <v>W3034RWD</v>
      </c>
      <c r="C5045" s="1322"/>
      <c r="E5045" s="1658" t="s">
        <v>9033</v>
      </c>
      <c r="G5045" s="2004">
        <f>IF('4V'!H33="","##BLANK",'4V'!H33)</f>
        <v>0</v>
      </c>
    </row>
    <row r="5046" spans="2:7" s="2004" customFormat="1">
      <c r="B5046" s="848" t="str">
        <f>'4V'!AO34</f>
        <v>W3035RWD</v>
      </c>
      <c r="C5046" s="1322"/>
      <c r="E5046" s="1658" t="s">
        <v>9033</v>
      </c>
      <c r="G5046" s="2004">
        <f>IF('4V'!H34="","##BLANK",'4V'!H34)</f>
        <v>0</v>
      </c>
    </row>
    <row r="5047" spans="2:7">
      <c r="B5047" s="848" t="str">
        <f>'4V'!AO36</f>
        <v>W3036RWD</v>
      </c>
      <c r="D5047" s="2004"/>
      <c r="E5047" s="1658" t="s">
        <v>9033</v>
      </c>
      <c r="F5047" s="2004"/>
      <c r="G5047" s="2004">
        <f>IF('4V'!H36="","##BLANK",'4V'!H36)</f>
        <v>0</v>
      </c>
    </row>
    <row r="5048" spans="2:7">
      <c r="B5048" s="848" t="str">
        <f>'4V'!AP7</f>
        <v>BM102RS</v>
      </c>
      <c r="D5048" s="2004"/>
      <c r="E5048" s="1658" t="s">
        <v>9033</v>
      </c>
      <c r="F5048" s="2004"/>
      <c r="G5048" s="2004">
        <f>IF('4V'!I7="","##BLANK",'4V'!I7)</f>
        <v>0.71699999999999997</v>
      </c>
    </row>
    <row r="5049" spans="2:7">
      <c r="B5049" s="848" t="str">
        <f>'4V'!AP8</f>
        <v>BM836RS</v>
      </c>
      <c r="D5049" s="2004"/>
      <c r="E5049" s="1658" t="s">
        <v>9033</v>
      </c>
      <c r="F5049" s="2004"/>
      <c r="G5049" s="2004">
        <f>IF('4V'!I8="","##BLANK",'4V'!I8)</f>
        <v>0</v>
      </c>
    </row>
    <row r="5050" spans="2:7">
      <c r="B5050" s="848" t="str">
        <f>'4V'!AP9</f>
        <v>WS1003RS</v>
      </c>
      <c r="D5050" s="2004"/>
      <c r="E5050" s="1658" t="s">
        <v>9033</v>
      </c>
      <c r="F5050" s="2004"/>
      <c r="G5050" s="2004">
        <f>IF('4V'!I9="","##BLANK",'4V'!I9)</f>
        <v>0.28799999999999998</v>
      </c>
    </row>
    <row r="5051" spans="2:7">
      <c r="B5051" s="848" t="str">
        <f>'4V'!AP10</f>
        <v>BM240RS</v>
      </c>
      <c r="D5051" s="2004"/>
      <c r="E5051" s="1658" t="s">
        <v>9033</v>
      </c>
      <c r="F5051" s="2004"/>
      <c r="G5051" s="2004">
        <f>IF('4V'!I10="","##BLANK",'4V'!I10)</f>
        <v>0</v>
      </c>
    </row>
    <row r="5052" spans="2:7">
      <c r="B5052" s="848" t="str">
        <f>'4V'!AP12</f>
        <v>WS1005RS</v>
      </c>
      <c r="D5052" s="2004"/>
      <c r="E5052" s="1658" t="s">
        <v>9033</v>
      </c>
      <c r="F5052" s="2004"/>
      <c r="G5052" s="2004">
        <f>IF('4V'!I12="","##BLANK",'4V'!I12)</f>
        <v>0</v>
      </c>
    </row>
    <row r="5053" spans="2:7">
      <c r="B5053" s="848" t="str">
        <f>'4V'!AP13</f>
        <v>WS1006RS</v>
      </c>
      <c r="D5053" s="2004"/>
      <c r="E5053" s="1658" t="s">
        <v>9033</v>
      </c>
      <c r="F5053" s="2004"/>
      <c r="G5053" s="2004">
        <f>IF('4V'!I13="","##BLANK",'4V'!I13)</f>
        <v>0</v>
      </c>
    </row>
    <row r="5054" spans="2:7">
      <c r="B5054" s="848" t="str">
        <f>'4V'!AP14</f>
        <v>BM108RS</v>
      </c>
      <c r="D5054" s="2004"/>
      <c r="E5054" s="1658" t="s">
        <v>9033</v>
      </c>
      <c r="F5054" s="2004"/>
      <c r="G5054" s="2004">
        <f>IF('4V'!I14="","##BLANK",'4V'!I14)</f>
        <v>0.125</v>
      </c>
    </row>
    <row r="5055" spans="2:7">
      <c r="B5055" s="848" t="str">
        <f>'4V'!AP15</f>
        <v>BM110RS</v>
      </c>
      <c r="D5055" s="2004"/>
      <c r="E5055" s="1658" t="s">
        <v>9033</v>
      </c>
      <c r="F5055" s="2004"/>
      <c r="G5055" s="2004">
        <f>IF('4V'!I15="","##BLANK",'4V'!I15)</f>
        <v>0.189</v>
      </c>
    </row>
    <row r="5056" spans="2:7">
      <c r="B5056" s="848" t="str">
        <f>'4V'!AP16</f>
        <v>BM816RS</v>
      </c>
      <c r="D5056" s="2004"/>
      <c r="E5056" s="1658" t="s">
        <v>9033</v>
      </c>
      <c r="F5056" s="2004"/>
      <c r="G5056" s="2004">
        <f>IF('4V'!I16="","##BLANK",'4V'!I16)</f>
        <v>1.319</v>
      </c>
    </row>
    <row r="5057" spans="2:7">
      <c r="B5057" s="848" t="str">
        <f>'4V'!AP17</f>
        <v>BM817RS</v>
      </c>
      <c r="D5057" s="2004"/>
      <c r="E5057" s="1658" t="s">
        <v>9033</v>
      </c>
      <c r="F5057" s="2004"/>
      <c r="G5057" s="2004">
        <f>IF('4V'!I17="","##BLANK",'4V'!I17)</f>
        <v>0.255</v>
      </c>
    </row>
    <row r="5058" spans="2:7">
      <c r="B5058" s="848" t="str">
        <f>'4V'!AP18</f>
        <v>BM316RS</v>
      </c>
      <c r="D5058" s="2004"/>
      <c r="E5058" s="1658" t="s">
        <v>9033</v>
      </c>
      <c r="F5058" s="2004"/>
      <c r="G5058" s="2004">
        <f>IF('4V'!I18="","##BLANK",'4V'!I18)</f>
        <v>1.5739999999999998</v>
      </c>
    </row>
    <row r="5059" spans="2:7">
      <c r="B5059" s="848" t="str">
        <f>'4V'!AP19</f>
        <v>FT00865RS</v>
      </c>
      <c r="D5059" s="2004"/>
      <c r="E5059" s="1658" t="s">
        <v>9033</v>
      </c>
      <c r="F5059" s="2004"/>
      <c r="G5059" s="2004">
        <f>IF('4V'!I19="","##BLANK",'4V'!I19)</f>
        <v>0.73</v>
      </c>
    </row>
    <row r="5060" spans="2:7">
      <c r="B5060" s="848" t="str">
        <f>'4V'!AP20</f>
        <v>BM319RS</v>
      </c>
      <c r="D5060" s="2004"/>
      <c r="E5060" s="1658" t="s">
        <v>9033</v>
      </c>
      <c r="F5060" s="2004"/>
      <c r="G5060" s="2004">
        <f>IF('4V'!I20="","##BLANK",'4V'!I20)</f>
        <v>2.3039999999999998</v>
      </c>
    </row>
    <row r="5061" spans="2:7">
      <c r="B5061" s="848" t="str">
        <f>'4V'!AP25</f>
        <v>BM3010WT</v>
      </c>
      <c r="D5061" s="2004"/>
      <c r="E5061" s="1658" t="s">
        <v>9033</v>
      </c>
      <c r="F5061" s="2004"/>
      <c r="G5061" s="2004">
        <f>IF('4V'!I25="","##BLANK",'4V'!I25)</f>
        <v>13.989000000000001</v>
      </c>
    </row>
    <row r="5062" spans="2:7">
      <c r="B5062" s="848" t="str">
        <f>'4V'!AP26</f>
        <v>BM3011WT</v>
      </c>
      <c r="D5062" s="2004"/>
      <c r="E5062" s="1658" t="s">
        <v>9033</v>
      </c>
      <c r="F5062" s="2004"/>
      <c r="G5062" s="2004">
        <f>IF('4V'!I26="","##BLANK",'4V'!I26)</f>
        <v>3.637</v>
      </c>
    </row>
    <row r="5063" spans="2:7">
      <c r="B5063" s="848" t="str">
        <f>'4V'!AP27</f>
        <v>W3030WT</v>
      </c>
      <c r="D5063" s="2004"/>
      <c r="E5063" s="1658" t="s">
        <v>9033</v>
      </c>
      <c r="F5063" s="2004"/>
      <c r="G5063" s="2004">
        <f>IF('4V'!I27="","##BLANK",'4V'!I27)</f>
        <v>325</v>
      </c>
    </row>
    <row r="5064" spans="2:7">
      <c r="B5064" s="848" t="str">
        <f>'4V'!AP28</f>
        <v>W3031WT</v>
      </c>
      <c r="D5064" s="2004"/>
      <c r="E5064" s="1658" t="s">
        <v>9033</v>
      </c>
      <c r="F5064" s="2004"/>
      <c r="G5064" s="2004">
        <f>IF('4V'!I28="","##BLANK",'4V'!I28)</f>
        <v>86</v>
      </c>
    </row>
    <row r="5065" spans="2:7">
      <c r="B5065" s="848" t="str">
        <f>'4V'!AP29</f>
        <v>W3032WT</v>
      </c>
      <c r="D5065" s="2004"/>
      <c r="E5065" s="1658" t="s">
        <v>9033</v>
      </c>
      <c r="F5065" s="2004"/>
      <c r="G5065" s="2004">
        <f>IF('4V'!I29="","##BLANK",'4V'!I29)</f>
        <v>0</v>
      </c>
    </row>
    <row r="5066" spans="2:7" s="2004" customFormat="1">
      <c r="B5066" s="848" t="str">
        <f>'4V'!AP32</f>
        <v>W3033WT</v>
      </c>
      <c r="C5066" s="1322"/>
      <c r="E5066" s="1658" t="s">
        <v>9033</v>
      </c>
      <c r="G5066" s="2004">
        <f>IF('4V'!I32="","##BLANK",'4V'!I32)</f>
        <v>5.0000000000000001E-3</v>
      </c>
    </row>
    <row r="5067" spans="2:7" s="2004" customFormat="1">
      <c r="B5067" s="848" t="str">
        <f>'4V'!AP33</f>
        <v>W3034WT</v>
      </c>
      <c r="C5067" s="1322"/>
      <c r="E5067" s="1658" t="s">
        <v>9033</v>
      </c>
      <c r="G5067" s="2004">
        <f>IF('4V'!I33="","##BLANK",'4V'!I33)</f>
        <v>0</v>
      </c>
    </row>
    <row r="5068" spans="2:7" s="2004" customFormat="1">
      <c r="B5068" s="848" t="str">
        <f>'4V'!AP34</f>
        <v>W3035WT</v>
      </c>
      <c r="C5068" s="1322"/>
      <c r="E5068" s="1658" t="s">
        <v>9033</v>
      </c>
      <c r="G5068" s="2004">
        <f>IF('4V'!I34="","##BLANK",'4V'!I34)</f>
        <v>0</v>
      </c>
    </row>
    <row r="5069" spans="2:7">
      <c r="B5069" s="848" t="str">
        <f>'4V'!AP36</f>
        <v>W3036WT</v>
      </c>
      <c r="D5069" s="2004"/>
      <c r="E5069" s="1658" t="s">
        <v>9033</v>
      </c>
      <c r="F5069" s="2004"/>
      <c r="G5069" s="2004">
        <f>IF('4V'!I36="","##BLANK",'4V'!I36)</f>
        <v>0</v>
      </c>
    </row>
    <row r="5070" spans="2:7">
      <c r="B5070" s="848" t="str">
        <f>'4V'!AQ7</f>
        <v>BM102BO</v>
      </c>
      <c r="D5070" s="2004"/>
      <c r="E5070" s="1658" t="s">
        <v>9033</v>
      </c>
      <c r="F5070" s="2004"/>
      <c r="G5070" s="2004">
        <f>IF('4V'!J7="","##BLANK",'4V'!J7)</f>
        <v>1.343</v>
      </c>
    </row>
    <row r="5071" spans="2:7">
      <c r="B5071" s="848" t="str">
        <f>'4V'!AQ8</f>
        <v>BM836BO</v>
      </c>
      <c r="D5071" s="2004"/>
      <c r="E5071" s="1658" t="s">
        <v>9033</v>
      </c>
      <c r="F5071" s="2004"/>
      <c r="G5071" s="2004">
        <f>IF('4V'!J8="","##BLANK",'4V'!J8)</f>
        <v>0</v>
      </c>
    </row>
    <row r="5072" spans="2:7">
      <c r="B5072" s="848" t="str">
        <f>'4V'!AQ9</f>
        <v>WS1003BO</v>
      </c>
      <c r="D5072" s="2004"/>
      <c r="E5072" s="1658" t="s">
        <v>9033</v>
      </c>
      <c r="F5072" s="2004"/>
      <c r="G5072" s="2004">
        <f>IF('4V'!J9="","##BLANK",'4V'!J9)</f>
        <v>2.4580000000000002</v>
      </c>
    </row>
    <row r="5073" spans="2:7">
      <c r="B5073" s="848" t="str">
        <f>'4V'!AQ10</f>
        <v>BM240BO</v>
      </c>
      <c r="D5073" s="2004"/>
      <c r="E5073" s="1658" t="s">
        <v>9033</v>
      </c>
      <c r="F5073" s="2004"/>
      <c r="G5073" s="2004">
        <f>IF('4V'!J10="","##BLANK",'4V'!J10)</f>
        <v>0</v>
      </c>
    </row>
    <row r="5074" spans="2:7">
      <c r="B5074" s="848" t="str">
        <f>'4V'!AQ12</f>
        <v>WS1005BO</v>
      </c>
      <c r="D5074" s="2004"/>
      <c r="E5074" s="1658" t="s">
        <v>9033</v>
      </c>
      <c r="F5074" s="2004"/>
      <c r="G5074" s="2004">
        <f>IF('4V'!J12="","##BLANK",'4V'!J12)</f>
        <v>0</v>
      </c>
    </row>
    <row r="5075" spans="2:7">
      <c r="B5075" s="848" t="str">
        <f>'4V'!AQ13</f>
        <v>WS1006BO</v>
      </c>
      <c r="D5075" s="2004"/>
      <c r="E5075" s="1658" t="s">
        <v>9033</v>
      </c>
      <c r="F5075" s="2004"/>
      <c r="G5075" s="2004">
        <f>IF('4V'!J13="","##BLANK",'4V'!J13)</f>
        <v>0</v>
      </c>
    </row>
    <row r="5076" spans="2:7">
      <c r="B5076" s="848" t="str">
        <f>'4V'!AQ14</f>
        <v>BM108BO</v>
      </c>
      <c r="D5076" s="2004"/>
      <c r="E5076" s="1658" t="s">
        <v>9033</v>
      </c>
      <c r="F5076" s="2004"/>
      <c r="G5076" s="2004">
        <f>IF('4V'!J14="","##BLANK",'4V'!J14)</f>
        <v>1.07</v>
      </c>
    </row>
    <row r="5077" spans="2:7">
      <c r="B5077" s="848" t="str">
        <f>'4V'!AQ15</f>
        <v>BM110BO</v>
      </c>
      <c r="D5077" s="2004"/>
      <c r="E5077" s="1658" t="s">
        <v>9033</v>
      </c>
      <c r="F5077" s="2004"/>
      <c r="G5077" s="2004">
        <f>IF('4V'!J15="","##BLANK",'4V'!J15)</f>
        <v>1.61</v>
      </c>
    </row>
    <row r="5078" spans="2:7">
      <c r="B5078" s="848" t="str">
        <f>'4V'!AQ16</f>
        <v>BM816BO</v>
      </c>
      <c r="D5078" s="2004"/>
      <c r="E5078" s="1658" t="s">
        <v>9033</v>
      </c>
      <c r="F5078" s="2004"/>
      <c r="G5078" s="2004">
        <f>IF('4V'!J16="","##BLANK",'4V'!J16)</f>
        <v>6.4810000000000008</v>
      </c>
    </row>
    <row r="5079" spans="2:7">
      <c r="B5079" s="848" t="str">
        <f>'4V'!AQ17</f>
        <v>BM817BO</v>
      </c>
      <c r="D5079" s="2004"/>
      <c r="E5079" s="1658" t="s">
        <v>9033</v>
      </c>
      <c r="F5079" s="2004"/>
      <c r="G5079" s="2004">
        <f>IF('4V'!J17="","##BLANK",'4V'!J17)</f>
        <v>2.1789999999999998</v>
      </c>
    </row>
    <row r="5080" spans="2:7">
      <c r="B5080" s="848" t="str">
        <f>'4V'!AQ18</f>
        <v>BM316BO</v>
      </c>
      <c r="D5080" s="2004"/>
      <c r="E5080" s="1658" t="s">
        <v>9033</v>
      </c>
      <c r="F5080" s="2004"/>
      <c r="G5080" s="2004">
        <f>IF('4V'!J18="","##BLANK",'4V'!J18)</f>
        <v>8.66</v>
      </c>
    </row>
    <row r="5081" spans="2:7">
      <c r="B5081" s="848" t="str">
        <f>'4V'!AQ19</f>
        <v>FT00865BO</v>
      </c>
      <c r="D5081" s="2004"/>
      <c r="E5081" s="1658" t="s">
        <v>9033</v>
      </c>
      <c r="F5081" s="2004"/>
      <c r="G5081" s="2004">
        <f>IF('4V'!J19="","##BLANK",'4V'!J19)</f>
        <v>1.2450000000000001</v>
      </c>
    </row>
    <row r="5082" spans="2:7">
      <c r="B5082" s="848" t="str">
        <f>'4V'!AQ20</f>
        <v>BM319BO</v>
      </c>
      <c r="D5082" s="2004"/>
      <c r="E5082" s="1658" t="s">
        <v>9033</v>
      </c>
      <c r="F5082" s="2004"/>
      <c r="G5082" s="2004">
        <f>IF('4V'!J20="","##BLANK",'4V'!J20)</f>
        <v>9.9050000000000011</v>
      </c>
    </row>
    <row r="5083" spans="2:7">
      <c r="B5083" s="848" t="str">
        <f>'4V'!AQ25</f>
        <v>BM3010TWD</v>
      </c>
      <c r="D5083" s="2004"/>
      <c r="E5083" s="1658" t="s">
        <v>9033</v>
      </c>
      <c r="F5083" s="2004"/>
      <c r="G5083" s="2004">
        <f>IF('4V'!J25="","##BLANK",'4V'!J25)</f>
        <v>33.204999999999998</v>
      </c>
    </row>
    <row r="5084" spans="2:7">
      <c r="B5084" s="848" t="str">
        <f>'4V'!AQ26</f>
        <v>BM3011TWD</v>
      </c>
      <c r="D5084" s="2004"/>
      <c r="E5084" s="1658" t="s">
        <v>9033</v>
      </c>
      <c r="F5084" s="2004"/>
      <c r="G5084" s="2004">
        <f>IF('4V'!J26="","##BLANK",'4V'!J26)</f>
        <v>12.712</v>
      </c>
    </row>
    <row r="5085" spans="2:7">
      <c r="B5085" s="848" t="str">
        <f>'4V'!AQ27</f>
        <v>W3030TWD</v>
      </c>
      <c r="D5085" s="2004"/>
      <c r="E5085" s="1658" t="s">
        <v>9033</v>
      </c>
      <c r="F5085" s="2004"/>
      <c r="G5085" s="2004">
        <f>IF('4V'!J27="","##BLANK",'4V'!J27)</f>
        <v>933</v>
      </c>
    </row>
    <row r="5086" spans="2:7">
      <c r="B5086" s="848" t="str">
        <f>'4V'!AQ28</f>
        <v>W3031TWD</v>
      </c>
      <c r="D5086" s="2004"/>
      <c r="E5086" s="1658" t="s">
        <v>9033</v>
      </c>
      <c r="F5086" s="2004"/>
      <c r="G5086" s="2004">
        <f>IF('4V'!J28="","##BLANK",'4V'!J28)</f>
        <v>286</v>
      </c>
    </row>
    <row r="5087" spans="2:7">
      <c r="B5087" s="848" t="str">
        <f>'4V'!AQ29</f>
        <v>W3032TWD</v>
      </c>
      <c r="D5087" s="2004"/>
      <c r="E5087" s="1658" t="s">
        <v>9033</v>
      </c>
      <c r="F5087" s="2004"/>
      <c r="G5087" s="2004">
        <f>IF('4V'!J29="","##BLANK",'4V'!J29)</f>
        <v>3.5110000000000001</v>
      </c>
    </row>
    <row r="5088" spans="2:7" s="2004" customFormat="1">
      <c r="B5088" s="848" t="str">
        <f>'4V'!AQ32</f>
        <v>W3033TWD</v>
      </c>
      <c r="C5088" s="1322"/>
      <c r="E5088" s="1658" t="s">
        <v>9033</v>
      </c>
      <c r="G5088" s="2004">
        <f>IF('4V'!J32="","##BLANK",'4V'!J32)</f>
        <v>0</v>
      </c>
    </row>
    <row r="5089" spans="2:7" s="2004" customFormat="1">
      <c r="B5089" s="848" t="str">
        <f>'4V'!AQ33</f>
        <v>W3034TWD</v>
      </c>
      <c r="C5089" s="1322"/>
      <c r="E5089" s="1658" t="s">
        <v>9033</v>
      </c>
      <c r="G5089" s="2004">
        <f>IF('4V'!J33="","##BLANK",'4V'!J33)</f>
        <v>0</v>
      </c>
    </row>
    <row r="5090" spans="2:7" s="2004" customFormat="1">
      <c r="B5090" s="848" t="str">
        <f>'4V'!AQ34</f>
        <v>W3035TWD</v>
      </c>
      <c r="C5090" s="1322"/>
      <c r="E5090" s="1658" t="s">
        <v>9033</v>
      </c>
      <c r="G5090" s="2004">
        <f>IF('4V'!J34="","##BLANK",'4V'!J34)</f>
        <v>0</v>
      </c>
    </row>
    <row r="5091" spans="2:7">
      <c r="B5091" s="848" t="str">
        <f>'4V'!AQ36</f>
        <v>W3036TWD</v>
      </c>
      <c r="D5091" s="2004"/>
      <c r="E5091" s="1658" t="s">
        <v>9033</v>
      </c>
      <c r="F5091" s="2004"/>
      <c r="G5091" s="2004">
        <f>IF('4V'!J36="","##BLANK",'4V'!J36)</f>
        <v>0</v>
      </c>
    </row>
    <row r="5092" spans="2:7">
      <c r="B5092" s="848" t="str">
        <f>'4V'!AR7</f>
        <v>BM102AR</v>
      </c>
      <c r="D5092" s="2004"/>
      <c r="E5092" s="1658" t="s">
        <v>9033</v>
      </c>
      <c r="F5092" s="2004"/>
      <c r="G5092" s="2004">
        <f>IF('4V'!K7="","##BLANK",'4V'!K7)</f>
        <v>0</v>
      </c>
    </row>
    <row r="5093" spans="2:7">
      <c r="B5093" s="848" t="str">
        <f>'4V'!AR8</f>
        <v>BM836AR</v>
      </c>
      <c r="D5093" s="2004"/>
      <c r="E5093" s="1658" t="s">
        <v>9033</v>
      </c>
      <c r="F5093" s="2004"/>
      <c r="G5093" s="2004">
        <f>IF('4V'!K8="","##BLANK",'4V'!K8)</f>
        <v>0</v>
      </c>
    </row>
    <row r="5094" spans="2:7">
      <c r="B5094" s="848" t="str">
        <f>'4V'!AR9</f>
        <v>WS1003AR</v>
      </c>
      <c r="D5094" s="2004"/>
      <c r="E5094" s="1658" t="s">
        <v>9033</v>
      </c>
      <c r="F5094" s="2004"/>
      <c r="G5094" s="2004">
        <f>IF('4V'!K9="","##BLANK",'4V'!K9)</f>
        <v>0</v>
      </c>
    </row>
    <row r="5095" spans="2:7">
      <c r="B5095" s="848" t="str">
        <f>'4V'!AR10</f>
        <v>BM240AR</v>
      </c>
      <c r="D5095" s="2004"/>
      <c r="E5095" s="1658" t="s">
        <v>9033</v>
      </c>
      <c r="F5095" s="2004"/>
      <c r="G5095" s="2004">
        <f>IF('4V'!K10="","##BLANK",'4V'!K10)</f>
        <v>0</v>
      </c>
    </row>
    <row r="5096" spans="2:7">
      <c r="B5096" s="848" t="str">
        <f>'4V'!AR12</f>
        <v>WS1005AR</v>
      </c>
      <c r="D5096" s="2004"/>
      <c r="E5096" s="1658" t="s">
        <v>9033</v>
      </c>
      <c r="F5096" s="2004"/>
      <c r="G5096" s="2004">
        <f>IF('4V'!K12="","##BLANK",'4V'!K12)</f>
        <v>0</v>
      </c>
    </row>
    <row r="5097" spans="2:7">
      <c r="B5097" s="848" t="str">
        <f>'4V'!AR13</f>
        <v>WS1006AR</v>
      </c>
      <c r="D5097" s="2004"/>
      <c r="E5097" s="1658" t="s">
        <v>9033</v>
      </c>
      <c r="F5097" s="2004"/>
      <c r="G5097" s="2004">
        <f>IF('4V'!K13="","##BLANK",'4V'!K13)</f>
        <v>0</v>
      </c>
    </row>
    <row r="5098" spans="2:7">
      <c r="B5098" s="848" t="str">
        <f>'4V'!AR14</f>
        <v>BM108AR</v>
      </c>
      <c r="D5098" s="2004"/>
      <c r="E5098" s="1658" t="s">
        <v>9033</v>
      </c>
      <c r="F5098" s="2004"/>
      <c r="G5098" s="2004">
        <f>IF('4V'!K14="","##BLANK",'4V'!K14)</f>
        <v>0</v>
      </c>
    </row>
    <row r="5099" spans="2:7">
      <c r="B5099" s="848" t="str">
        <f>'4V'!AR15</f>
        <v>BM110AR</v>
      </c>
      <c r="D5099" s="2004"/>
      <c r="E5099" s="1658" t="s">
        <v>9033</v>
      </c>
      <c r="F5099" s="2004"/>
      <c r="G5099" s="2004">
        <f>IF('4V'!K15="","##BLANK",'4V'!K15)</f>
        <v>0</v>
      </c>
    </row>
    <row r="5100" spans="2:7">
      <c r="B5100" s="848" t="str">
        <f>'4V'!AR16</f>
        <v>BM816AR</v>
      </c>
      <c r="D5100" s="2004"/>
      <c r="E5100" s="1658" t="s">
        <v>9033</v>
      </c>
      <c r="F5100" s="2004"/>
      <c r="G5100" s="2004">
        <f>IF('4V'!K16="","##BLANK",'4V'!K16)</f>
        <v>0</v>
      </c>
    </row>
    <row r="5101" spans="2:7">
      <c r="B5101" s="848" t="str">
        <f>'4V'!AR17</f>
        <v>BM817AR</v>
      </c>
      <c r="D5101" s="2004"/>
      <c r="E5101" s="1658" t="s">
        <v>9033</v>
      </c>
      <c r="F5101" s="2004"/>
      <c r="G5101" s="2004">
        <f>IF('4V'!K17="","##BLANK",'4V'!K17)</f>
        <v>0</v>
      </c>
    </row>
    <row r="5102" spans="2:7">
      <c r="B5102" s="848" t="str">
        <f>'4V'!AR18</f>
        <v>BM316AR</v>
      </c>
      <c r="D5102" s="2004"/>
      <c r="E5102" s="1658" t="s">
        <v>9033</v>
      </c>
      <c r="F5102" s="2004"/>
      <c r="G5102" s="2004">
        <f>IF('4V'!K18="","##BLANK",'4V'!K18)</f>
        <v>0</v>
      </c>
    </row>
    <row r="5103" spans="2:7">
      <c r="B5103" s="848" t="str">
        <f>'4V'!AR19</f>
        <v>FT00865AR</v>
      </c>
      <c r="D5103" s="2004"/>
      <c r="E5103" s="1658" t="s">
        <v>9033</v>
      </c>
      <c r="F5103" s="2004"/>
      <c r="G5103" s="2004">
        <f>IF('4V'!K19="","##BLANK",'4V'!K19)</f>
        <v>0</v>
      </c>
    </row>
    <row r="5104" spans="2:7">
      <c r="B5104" s="848" t="str">
        <f>'4V'!AR20</f>
        <v>BM319AR</v>
      </c>
      <c r="D5104" s="2004"/>
      <c r="E5104" s="1658" t="s">
        <v>9033</v>
      </c>
      <c r="F5104" s="2004"/>
      <c r="G5104" s="2004">
        <f>IF('4V'!K20="","##BLANK",'4V'!K20)</f>
        <v>0</v>
      </c>
    </row>
    <row r="5105" spans="2:7">
      <c r="B5105" s="848" t="str">
        <f>'4V'!AR25</f>
        <v>BM3010CAW</v>
      </c>
      <c r="D5105" s="2004"/>
      <c r="E5105" s="1658" t="s">
        <v>9033</v>
      </c>
      <c r="F5105" s="2004"/>
      <c r="G5105" s="2004">
        <f>IF('4V'!K25="","##BLANK",'4V'!K25)</f>
        <v>51.173000000000002</v>
      </c>
    </row>
    <row r="5106" spans="2:7">
      <c r="B5106" s="848" t="str">
        <f>'4V'!AR26</f>
        <v>BM3011CAW</v>
      </c>
      <c r="D5106" s="2004"/>
      <c r="E5106" s="1658" t="s">
        <v>9033</v>
      </c>
      <c r="F5106" s="2004"/>
      <c r="G5106" s="2004">
        <f>IF('4V'!K26="","##BLANK",'4V'!K26)</f>
        <v>18.169</v>
      </c>
    </row>
    <row r="5107" spans="2:7">
      <c r="B5107" s="848" t="str">
        <f>'4V'!AR27</f>
        <v>W3030CAW</v>
      </c>
      <c r="D5107" s="2004"/>
      <c r="E5107" s="1658" t="s">
        <v>9033</v>
      </c>
      <c r="F5107" s="2004"/>
      <c r="G5107" s="2004">
        <f>IF('4V'!K27="","##BLANK",'4V'!K27)</f>
        <v>1350</v>
      </c>
    </row>
    <row r="5108" spans="2:7">
      <c r="B5108" s="848" t="str">
        <f>'4V'!AR28</f>
        <v>W3031CAW</v>
      </c>
      <c r="D5108" s="2004"/>
      <c r="E5108" s="1658" t="s">
        <v>9033</v>
      </c>
      <c r="F5108" s="2004"/>
      <c r="G5108" s="2004">
        <f>IF('4V'!K28="","##BLANK",'4V'!K28)</f>
        <v>418</v>
      </c>
    </row>
    <row r="5109" spans="2:7">
      <c r="B5109" s="848" t="str">
        <f>'4V'!AR29</f>
        <v>W3032CAW</v>
      </c>
      <c r="D5109" s="2004"/>
      <c r="E5109" s="1658" t="s">
        <v>9033</v>
      </c>
      <c r="F5109" s="2004"/>
      <c r="G5109" s="2004">
        <f>IF('4V'!K29="","##BLANK",'4V'!K29)</f>
        <v>3.5110000000000001</v>
      </c>
    </row>
    <row r="5110" spans="2:7">
      <c r="B5110" s="848" t="str">
        <f>'4V'!AR32</f>
        <v>W3033CAW</v>
      </c>
      <c r="D5110" s="2004"/>
      <c r="E5110" s="1658" t="s">
        <v>9033</v>
      </c>
      <c r="F5110" s="2004"/>
      <c r="G5110" s="2004">
        <f>IF('4V'!K32="","##BLANK",'4V'!K32)</f>
        <v>4.9729999999999999</v>
      </c>
    </row>
    <row r="5111" spans="2:7">
      <c r="B5111" s="848" t="str">
        <f>'4V'!AR33</f>
        <v>W3034CAW</v>
      </c>
      <c r="D5111" s="2004"/>
      <c r="E5111" s="1658" t="s">
        <v>9033</v>
      </c>
      <c r="F5111" s="2004"/>
      <c r="G5111" s="2004">
        <f>IF('4V'!K33="","##BLANK",'4V'!K33)</f>
        <v>0.57999999999999996</v>
      </c>
    </row>
    <row r="5112" spans="2:7">
      <c r="B5112" s="848" t="str">
        <f>'4V'!AR34</f>
        <v>W3035CAW</v>
      </c>
      <c r="D5112" s="2004"/>
      <c r="E5112" s="1658" t="s">
        <v>9033</v>
      </c>
      <c r="F5112" s="2004"/>
      <c r="G5112" s="2004">
        <f>IF('4V'!K34="","##BLANK",'4V'!K34)</f>
        <v>0</v>
      </c>
    </row>
    <row r="5113" spans="2:7">
      <c r="B5113" s="848" t="str">
        <f>'4V'!AR36</f>
        <v>W3036CAW</v>
      </c>
      <c r="D5113" s="2004"/>
      <c r="E5113" s="1658" t="s">
        <v>9033</v>
      </c>
      <c r="F5113" s="2004"/>
      <c r="G5113" s="2004">
        <f>IF('4V'!K36="","##BLANK",'4V'!K36)</f>
        <v>0</v>
      </c>
    </row>
    <row r="5114" spans="2:7">
      <c r="B5114" s="848" t="str">
        <f>'4V'!AS7</f>
        <v>BM102ASR</v>
      </c>
      <c r="D5114" s="2004"/>
      <c r="E5114" s="1658" t="s">
        <v>9033</v>
      </c>
      <c r="F5114" s="2004"/>
      <c r="G5114" s="2004">
        <f>IF('4V'!L7="","##BLANK",'4V'!L7)</f>
        <v>0</v>
      </c>
    </row>
    <row r="5115" spans="2:7">
      <c r="B5115" s="848" t="str">
        <f>'4V'!AS8</f>
        <v>BM836ASR</v>
      </c>
      <c r="D5115" s="2004"/>
      <c r="E5115" s="1658" t="s">
        <v>9033</v>
      </c>
      <c r="F5115" s="2004"/>
      <c r="G5115" s="2004">
        <f>IF('4V'!L8="","##BLANK",'4V'!L8)</f>
        <v>0</v>
      </c>
    </row>
    <row r="5116" spans="2:7">
      <c r="B5116" s="848" t="str">
        <f>'4V'!AS9</f>
        <v>WS1003ASR</v>
      </c>
      <c r="D5116" s="2004"/>
      <c r="E5116" s="1658" t="s">
        <v>9033</v>
      </c>
      <c r="F5116" s="2004"/>
      <c r="G5116" s="2004">
        <f>IF('4V'!L9="","##BLANK",'4V'!L9)</f>
        <v>0</v>
      </c>
    </row>
    <row r="5117" spans="2:7">
      <c r="B5117" s="848" t="str">
        <f>'4V'!AS10</f>
        <v>BM240ASR</v>
      </c>
      <c r="D5117" s="2004"/>
      <c r="E5117" s="1658" t="s">
        <v>9033</v>
      </c>
      <c r="F5117" s="2004"/>
      <c r="G5117" s="2004">
        <f>IF('4V'!L10="","##BLANK",'4V'!L10)</f>
        <v>0</v>
      </c>
    </row>
    <row r="5118" spans="2:7">
      <c r="B5118" s="848" t="str">
        <f>'4V'!AS12</f>
        <v>WS1005ASR</v>
      </c>
      <c r="D5118" s="2004"/>
      <c r="E5118" s="1658" t="s">
        <v>9033</v>
      </c>
      <c r="F5118" s="2004"/>
      <c r="G5118" s="2004">
        <f>IF('4V'!L12="","##BLANK",'4V'!L12)</f>
        <v>0</v>
      </c>
    </row>
    <row r="5119" spans="2:7">
      <c r="B5119" s="848" t="str">
        <f>'4V'!AS13</f>
        <v>WS1006ASR</v>
      </c>
      <c r="D5119" s="2004"/>
      <c r="E5119" s="1658" t="s">
        <v>9033</v>
      </c>
      <c r="F5119" s="2004"/>
      <c r="G5119" s="2004">
        <f>IF('4V'!L13="","##BLANK",'4V'!L13)</f>
        <v>0</v>
      </c>
    </row>
    <row r="5120" spans="2:7">
      <c r="B5120" s="848" t="str">
        <f>'4V'!AS14</f>
        <v>BM108ASR</v>
      </c>
      <c r="D5120" s="2004"/>
      <c r="E5120" s="1658" t="s">
        <v>9033</v>
      </c>
      <c r="F5120" s="2004"/>
      <c r="G5120" s="2004">
        <f>IF('4V'!L14="","##BLANK",'4V'!L14)</f>
        <v>0</v>
      </c>
    </row>
    <row r="5121" spans="2:7">
      <c r="B5121" s="848" t="str">
        <f>'4V'!AS15</f>
        <v>BM110ASR</v>
      </c>
      <c r="D5121" s="2004"/>
      <c r="E5121" s="1658" t="s">
        <v>9033</v>
      </c>
      <c r="F5121" s="2004"/>
      <c r="G5121" s="2004">
        <f>IF('4V'!L15="","##BLANK",'4V'!L15)</f>
        <v>0</v>
      </c>
    </row>
    <row r="5122" spans="2:7">
      <c r="B5122" s="848" t="str">
        <f>'4V'!AS16</f>
        <v>BM816ASR</v>
      </c>
      <c r="D5122" s="2004"/>
      <c r="E5122" s="1658" t="s">
        <v>9033</v>
      </c>
      <c r="F5122" s="2004"/>
      <c r="G5122" s="2004">
        <f>IF('4V'!L16="","##BLANK",'4V'!L16)</f>
        <v>0</v>
      </c>
    </row>
    <row r="5123" spans="2:7">
      <c r="B5123" s="848" t="str">
        <f>'4V'!AS17</f>
        <v>BM817ASR</v>
      </c>
      <c r="D5123" s="2004"/>
      <c r="E5123" s="1658" t="s">
        <v>9033</v>
      </c>
      <c r="F5123" s="2004"/>
      <c r="G5123" s="2004">
        <f>IF('4V'!L17="","##BLANK",'4V'!L17)</f>
        <v>0</v>
      </c>
    </row>
    <row r="5124" spans="2:7">
      <c r="B5124" s="848" t="str">
        <f>'4V'!AS18</f>
        <v>BM316ASR</v>
      </c>
      <c r="D5124" s="2004"/>
      <c r="E5124" s="1658" t="s">
        <v>9033</v>
      </c>
      <c r="F5124" s="2004"/>
      <c r="G5124" s="2004">
        <f>IF('4V'!L18="","##BLANK",'4V'!L18)</f>
        <v>0</v>
      </c>
    </row>
    <row r="5125" spans="2:7">
      <c r="B5125" s="848" t="str">
        <f>'4V'!AS19</f>
        <v>FT00865ASR</v>
      </c>
      <c r="D5125" s="2004"/>
      <c r="E5125" s="1658" t="s">
        <v>9033</v>
      </c>
      <c r="F5125" s="2004"/>
      <c r="G5125" s="2004">
        <f>IF('4V'!L19="","##BLANK",'4V'!L19)</f>
        <v>0</v>
      </c>
    </row>
    <row r="5126" spans="2:7">
      <c r="B5126" s="848" t="str">
        <f>'4V'!AS20</f>
        <v>BM319ASR</v>
      </c>
      <c r="D5126" s="2004"/>
      <c r="E5126" s="1658" t="s">
        <v>9033</v>
      </c>
      <c r="F5126" s="2004"/>
      <c r="G5126" s="2004">
        <f>IF('4V'!L20="","##BLANK",'4V'!L20)</f>
        <v>0</v>
      </c>
    </row>
    <row r="5127" spans="2:7">
      <c r="B5127" s="848" t="str">
        <f>'4V'!AT7</f>
        <v>BM102WROT</v>
      </c>
      <c r="D5127" s="2004"/>
      <c r="E5127" s="1658" t="s">
        <v>9033</v>
      </c>
      <c r="F5127" s="2004"/>
      <c r="G5127" s="2004">
        <f>IF('4V'!M7="","##BLANK",'4V'!M7)</f>
        <v>0</v>
      </c>
    </row>
    <row r="5128" spans="2:7">
      <c r="B5128" s="848" t="str">
        <f>'4V'!AT8</f>
        <v>BM836WROT</v>
      </c>
      <c r="D5128" s="2004"/>
      <c r="E5128" s="1658" t="s">
        <v>9033</v>
      </c>
      <c r="F5128" s="2004"/>
      <c r="G5128" s="2004">
        <f>IF('4V'!M8="","##BLANK",'4V'!M8)</f>
        <v>0</v>
      </c>
    </row>
    <row r="5129" spans="2:7">
      <c r="B5129" s="848" t="str">
        <f>'4V'!AT9</f>
        <v>WS1003WROT</v>
      </c>
      <c r="D5129" s="2004"/>
      <c r="E5129" s="1658" t="s">
        <v>9033</v>
      </c>
      <c r="F5129" s="2004"/>
      <c r="G5129" s="2004">
        <f>IF('4V'!M9="","##BLANK",'4V'!M9)</f>
        <v>0</v>
      </c>
    </row>
    <row r="5130" spans="2:7">
      <c r="B5130" s="848" t="str">
        <f>'4V'!AT10</f>
        <v>BM240WROT</v>
      </c>
      <c r="D5130" s="2004"/>
      <c r="E5130" s="1658" t="s">
        <v>9033</v>
      </c>
      <c r="F5130" s="2004"/>
      <c r="G5130" s="2004">
        <f>IF('4V'!M10="","##BLANK",'4V'!M10)</f>
        <v>0</v>
      </c>
    </row>
    <row r="5131" spans="2:7">
      <c r="B5131" s="848" t="str">
        <f>'4V'!AT12</f>
        <v>WS1005WROT</v>
      </c>
      <c r="D5131" s="2004"/>
      <c r="E5131" s="1658" t="s">
        <v>9033</v>
      </c>
      <c r="F5131" s="2004"/>
      <c r="G5131" s="2004">
        <f>IF('4V'!M12="","##BLANK",'4V'!M12)</f>
        <v>0</v>
      </c>
    </row>
    <row r="5132" spans="2:7">
      <c r="B5132" s="848" t="str">
        <f>'4V'!AT13</f>
        <v>WS1006WROT</v>
      </c>
      <c r="D5132" s="2004"/>
      <c r="E5132" s="1658" t="s">
        <v>9033</v>
      </c>
      <c r="F5132" s="2004"/>
      <c r="G5132" s="2004">
        <f>IF('4V'!M13="","##BLANK",'4V'!M13)</f>
        <v>0</v>
      </c>
    </row>
    <row r="5133" spans="2:7">
      <c r="B5133" s="848" t="str">
        <f>'4V'!AT14</f>
        <v>BM108WROT</v>
      </c>
      <c r="D5133" s="2004"/>
      <c r="E5133" s="1658" t="s">
        <v>9033</v>
      </c>
      <c r="F5133" s="2004"/>
      <c r="G5133" s="2004">
        <f>IF('4V'!M14="","##BLANK",'4V'!M14)</f>
        <v>0</v>
      </c>
    </row>
    <row r="5134" spans="2:7">
      <c r="B5134" s="848" t="str">
        <f>'4V'!AT15</f>
        <v>BM110WROT</v>
      </c>
      <c r="D5134" s="2004"/>
      <c r="E5134" s="1658" t="s">
        <v>9033</v>
      </c>
      <c r="F5134" s="2004"/>
      <c r="G5134" s="2004">
        <f>IF('4V'!M15="","##BLANK",'4V'!M15)</f>
        <v>0</v>
      </c>
    </row>
    <row r="5135" spans="2:7">
      <c r="B5135" s="848" t="str">
        <f>'4V'!AT16</f>
        <v>BM816WROT</v>
      </c>
      <c r="D5135" s="2004"/>
      <c r="E5135" s="1658" t="s">
        <v>9033</v>
      </c>
      <c r="F5135" s="2004"/>
      <c r="G5135" s="2004">
        <f>IF('4V'!M16="","##BLANK",'4V'!M16)</f>
        <v>0</v>
      </c>
    </row>
    <row r="5136" spans="2:7">
      <c r="B5136" s="848" t="str">
        <f>'4V'!AT17</f>
        <v>BM817WROT</v>
      </c>
      <c r="D5136" s="2004"/>
      <c r="E5136" s="1658" t="s">
        <v>9033</v>
      </c>
      <c r="F5136" s="2004"/>
      <c r="G5136" s="2004">
        <f>IF('4V'!M17="","##BLANK",'4V'!M17)</f>
        <v>0</v>
      </c>
    </row>
    <row r="5137" spans="2:7">
      <c r="B5137" s="848" t="str">
        <f>'4V'!AT18</f>
        <v>BM316WROT</v>
      </c>
      <c r="D5137" s="2004"/>
      <c r="E5137" s="1658" t="s">
        <v>9033</v>
      </c>
      <c r="F5137" s="2004"/>
      <c r="G5137" s="2004">
        <f>IF('4V'!M18="","##BLANK",'4V'!M18)</f>
        <v>0</v>
      </c>
    </row>
    <row r="5138" spans="2:7">
      <c r="B5138" s="848" t="str">
        <f>'4V'!AT19</f>
        <v>FT00865WROT</v>
      </c>
      <c r="D5138" s="2004"/>
      <c r="E5138" s="1658" t="s">
        <v>9033</v>
      </c>
      <c r="F5138" s="2004"/>
      <c r="G5138" s="2004">
        <f>IF('4V'!M19="","##BLANK",'4V'!M19)</f>
        <v>1.7390000000000001</v>
      </c>
    </row>
    <row r="5139" spans="2:7">
      <c r="B5139" s="848" t="str">
        <f>'4V'!AT20</f>
        <v>BM319WROT</v>
      </c>
      <c r="D5139" s="2004"/>
      <c r="E5139" s="1658" t="s">
        <v>9033</v>
      </c>
      <c r="F5139" s="2004"/>
      <c r="G5139" s="2004">
        <f>IF('4V'!M20="","##BLANK",'4V'!M20)</f>
        <v>1.7390000000000001</v>
      </c>
    </row>
    <row r="5140" spans="2:7">
      <c r="B5140" s="848" t="str">
        <f>'4V'!AU7</f>
        <v>BM102WRTOT</v>
      </c>
      <c r="D5140" s="2004"/>
      <c r="E5140" s="1658" t="s">
        <v>9033</v>
      </c>
      <c r="F5140" s="2004"/>
      <c r="G5140" s="2004">
        <f>IF('4V'!N7="","##BLANK",'4V'!N7)</f>
        <v>2.2199999999999998</v>
      </c>
    </row>
    <row r="5141" spans="2:7">
      <c r="B5141" s="848" t="str">
        <f>'4V'!AU8</f>
        <v>BM836WRTOT</v>
      </c>
      <c r="D5141" s="2004"/>
      <c r="E5141" s="1658" t="s">
        <v>9033</v>
      </c>
      <c r="F5141" s="2004"/>
      <c r="G5141" s="2004">
        <f>IF('4V'!N8="","##BLANK",'4V'!N8)</f>
        <v>0</v>
      </c>
    </row>
    <row r="5142" spans="2:7">
      <c r="B5142" s="848" t="str">
        <f>'4V'!AU9</f>
        <v>WS1003WRTOT</v>
      </c>
      <c r="D5142" s="2004"/>
      <c r="E5142" s="1658" t="s">
        <v>9033</v>
      </c>
      <c r="F5142" s="2004"/>
      <c r="G5142" s="2004">
        <f>IF('4V'!N9="","##BLANK",'4V'!N9)</f>
        <v>8.9390000000000001</v>
      </c>
    </row>
    <row r="5143" spans="2:7">
      <c r="B5143" s="848" t="str">
        <f>'4V'!AU10</f>
        <v>BM240WRTOT</v>
      </c>
      <c r="D5143" s="2004"/>
      <c r="E5143" s="1658" t="s">
        <v>9033</v>
      </c>
      <c r="F5143" s="2004"/>
      <c r="G5143" s="2004">
        <f>IF('4V'!N10="","##BLANK",'4V'!N10)</f>
        <v>0</v>
      </c>
    </row>
    <row r="5144" spans="2:7">
      <c r="B5144" s="848" t="str">
        <f>'4V'!AU12</f>
        <v>WS1005WRTOT</v>
      </c>
      <c r="D5144" s="2004"/>
      <c r="E5144" s="1658" t="s">
        <v>9033</v>
      </c>
      <c r="F5144" s="2004"/>
      <c r="G5144" s="2004">
        <f>IF('4V'!N12="","##BLANK",'4V'!N12)</f>
        <v>0</v>
      </c>
    </row>
    <row r="5145" spans="2:7">
      <c r="B5145" s="848" t="str">
        <f>'4V'!AU13</f>
        <v>WS1006WRTOT</v>
      </c>
      <c r="D5145" s="2004"/>
      <c r="E5145" s="1658" t="s">
        <v>9033</v>
      </c>
      <c r="F5145" s="2004"/>
      <c r="G5145" s="2004">
        <f>IF('4V'!N13="","##BLANK",'4V'!N13)</f>
        <v>0</v>
      </c>
    </row>
    <row r="5146" spans="2:7">
      <c r="B5146" s="848" t="str">
        <f>'4V'!AU14</f>
        <v>BM108WRTOT</v>
      </c>
      <c r="D5146" s="2004"/>
      <c r="E5146" s="1658" t="s">
        <v>9033</v>
      </c>
      <c r="F5146" s="2004"/>
      <c r="G5146" s="2004">
        <f>IF('4V'!N14="","##BLANK",'4V'!N14)</f>
        <v>3.891</v>
      </c>
    </row>
    <row r="5147" spans="2:7">
      <c r="B5147" s="848" t="str">
        <f>'4V'!AU15</f>
        <v>BM110WRTOT</v>
      </c>
      <c r="D5147" s="2004"/>
      <c r="E5147" s="1658" t="s">
        <v>9033</v>
      </c>
      <c r="F5147" s="2004"/>
      <c r="G5147" s="2004">
        <f>IF('4V'!N15="","##BLANK",'4V'!N15)</f>
        <v>5.8540000000000001</v>
      </c>
    </row>
    <row r="5148" spans="2:7">
      <c r="B5148" s="848" t="str">
        <f>'4V'!AU16</f>
        <v>BM816WRTOT</v>
      </c>
      <c r="D5148" s="2004"/>
      <c r="E5148" s="1658" t="s">
        <v>9033</v>
      </c>
      <c r="F5148" s="2004"/>
      <c r="G5148" s="2004">
        <f>IF('4V'!N16="","##BLANK",'4V'!N16)</f>
        <v>20.904000000000003</v>
      </c>
    </row>
    <row r="5149" spans="2:7">
      <c r="B5149" s="848" t="str">
        <f>'4V'!AU17</f>
        <v>BM817WRTOT</v>
      </c>
      <c r="D5149" s="2004"/>
      <c r="E5149" s="1658" t="s">
        <v>9033</v>
      </c>
      <c r="F5149" s="2004"/>
      <c r="G5149" s="2004">
        <f>IF('4V'!N17="","##BLANK",'4V'!N17)</f>
        <v>7.923</v>
      </c>
    </row>
    <row r="5150" spans="2:7">
      <c r="B5150" s="848" t="str">
        <f>'4V'!AU18</f>
        <v>BM316WRTOT</v>
      </c>
      <c r="D5150" s="2004"/>
      <c r="E5150" s="1658" t="s">
        <v>9033</v>
      </c>
      <c r="F5150" s="2004"/>
      <c r="G5150" s="2004">
        <f>IF('4V'!N18="","##BLANK",'4V'!N18)</f>
        <v>28.827000000000002</v>
      </c>
    </row>
    <row r="5151" spans="2:7">
      <c r="B5151" s="848" t="str">
        <f>'4V'!AU19</f>
        <v>FT00865WRTOT</v>
      </c>
      <c r="D5151" s="2004"/>
      <c r="E5151" s="1658" t="s">
        <v>9033</v>
      </c>
      <c r="F5151" s="2004"/>
      <c r="G5151" s="2004">
        <f>IF('4V'!N19="","##BLANK",'4V'!N19)</f>
        <v>9.282</v>
      </c>
    </row>
    <row r="5152" spans="2:7">
      <c r="B5152" s="848" t="str">
        <f>'4V'!AU20</f>
        <v>BM319WRTOT</v>
      </c>
      <c r="D5152" s="2004"/>
      <c r="E5152" s="1658" t="s">
        <v>9033</v>
      </c>
      <c r="F5152" s="2004"/>
      <c r="G5152" s="2004">
        <f>IF('4V'!N20="","##BLANK",'4V'!N20)</f>
        <v>38.109000000000002</v>
      </c>
    </row>
    <row r="5153" spans="2:8">
      <c r="B5153" s="848" t="str">
        <f>'4W'!AP6</f>
        <v>WWS1001STPPP</v>
      </c>
      <c r="D5153" s="2004"/>
      <c r="E5153" s="1658" t="s">
        <v>9033</v>
      </c>
      <c r="F5153" s="2004"/>
      <c r="G5153" s="2004">
        <f>IF('4W'!G6="","##BLANK",'4W'!G6)</f>
        <v>0</v>
      </c>
      <c r="H5153" s="2004"/>
    </row>
    <row r="5154" spans="2:8">
      <c r="B5154" s="848" t="str">
        <f>'4W'!AP7</f>
        <v>WWS1002STPPP</v>
      </c>
      <c r="D5154" s="2004"/>
      <c r="E5154" s="1658" t="s">
        <v>9033</v>
      </c>
      <c r="F5154" s="2004"/>
      <c r="G5154" s="2004">
        <f>IF('4W'!G7="","##BLANK",'4W'!G7)</f>
        <v>0</v>
      </c>
      <c r="H5154" s="2004"/>
    </row>
    <row r="5155" spans="2:8">
      <c r="B5155" s="848" t="str">
        <f>'4W'!AP8</f>
        <v>WWS1003STPPP</v>
      </c>
      <c r="D5155" s="2004"/>
      <c r="E5155" s="1658" t="s">
        <v>9033</v>
      </c>
      <c r="F5155" s="2004"/>
      <c r="G5155" s="2004">
        <f>IF('4W'!G8="","##BLANK",'4W'!G8)</f>
        <v>0</v>
      </c>
      <c r="H5155" s="2004"/>
    </row>
    <row r="5156" spans="2:8">
      <c r="B5156" s="848" t="str">
        <f>'4W'!AP9</f>
        <v>WWS1004STPPP</v>
      </c>
      <c r="D5156" s="2004"/>
      <c r="E5156" s="1658" t="s">
        <v>9033</v>
      </c>
      <c r="F5156" s="2004"/>
      <c r="G5156" s="2004">
        <f>IF('4W'!G9="","##BLANK",'4W'!G9)</f>
        <v>0</v>
      </c>
      <c r="H5156" s="2004"/>
    </row>
    <row r="5157" spans="2:8">
      <c r="B5157" s="848" t="str">
        <f>'4W'!AP11</f>
        <v>WWS1005STPPP</v>
      </c>
      <c r="D5157" s="2004"/>
      <c r="E5157" s="1658" t="s">
        <v>9033</v>
      </c>
      <c r="F5157" s="2004"/>
      <c r="G5157" s="2004">
        <f>IF('4W'!G11="","##BLANK",'4W'!G11)</f>
        <v>0</v>
      </c>
      <c r="H5157" s="2004"/>
    </row>
    <row r="5158" spans="2:8">
      <c r="B5158" s="848" t="str">
        <f>'4W'!AP12</f>
        <v>WWS1006STPPP</v>
      </c>
      <c r="D5158" s="2004"/>
      <c r="E5158" s="1658" t="s">
        <v>9033</v>
      </c>
      <c r="F5158" s="2004"/>
      <c r="G5158" s="2004">
        <f>IF('4W'!G12="","##BLANK",'4W'!G12)</f>
        <v>0</v>
      </c>
      <c r="H5158" s="2004"/>
    </row>
    <row r="5159" spans="2:8">
      <c r="B5159" s="848" t="str">
        <f>'4W'!AP13</f>
        <v>WWS1007DISTPPP</v>
      </c>
      <c r="D5159" s="2004"/>
      <c r="E5159" s="1658" t="s">
        <v>9033</v>
      </c>
      <c r="F5159" s="2004"/>
      <c r="G5159" s="2004">
        <f>IF('4W'!G13="","##BLANK",'4W'!G13)</f>
        <v>0</v>
      </c>
      <c r="H5159" s="2004"/>
    </row>
    <row r="5160" spans="2:8">
      <c r="B5160" s="848" t="str">
        <f>'4W'!AP14</f>
        <v>WWS1007INSTPPP</v>
      </c>
      <c r="D5160" s="2004"/>
      <c r="E5160" s="1658" t="s">
        <v>9033</v>
      </c>
      <c r="F5160" s="2004"/>
      <c r="G5160" s="2004">
        <f>IF('4W'!G14="","##BLANK",'4W'!G14)</f>
        <v>0</v>
      </c>
      <c r="H5160" s="2004"/>
    </row>
    <row r="5161" spans="2:8">
      <c r="B5161" s="848" t="str">
        <f>'4W'!AP15</f>
        <v>BM816STPPP</v>
      </c>
      <c r="D5161" s="2004"/>
      <c r="E5161" s="1658" t="s">
        <v>9033</v>
      </c>
      <c r="F5161" s="2004"/>
      <c r="G5161" s="2004">
        <f>IF('4W'!G15="","##BLANK",'4W'!G15)</f>
        <v>0</v>
      </c>
      <c r="H5161" s="2004"/>
    </row>
    <row r="5162" spans="2:8">
      <c r="B5162" s="848" t="str">
        <f>'4W'!AP16</f>
        <v>WWS1008STPPP</v>
      </c>
      <c r="D5162" s="2004"/>
      <c r="E5162" s="1658" t="s">
        <v>9033</v>
      </c>
      <c r="F5162" s="2004"/>
      <c r="G5162" s="2004">
        <f>IF('4W'!G16="","##BLANK",'4W'!G16)</f>
        <v>0</v>
      </c>
      <c r="H5162" s="2004"/>
    </row>
    <row r="5163" spans="2:8">
      <c r="B5163" s="848" t="str">
        <f>'4W'!AP17</f>
        <v>WWS1009STPPP</v>
      </c>
      <c r="D5163" s="2004"/>
      <c r="E5163" s="1658" t="s">
        <v>9033</v>
      </c>
      <c r="F5163" s="2004"/>
      <c r="G5163" s="2004">
        <f>IF('4W'!G17="","##BLANK",'4W'!G17)</f>
        <v>0</v>
      </c>
      <c r="H5163" s="2004"/>
    </row>
    <row r="5164" spans="2:8">
      <c r="B5164" s="848" t="str">
        <f>'4W'!AP18</f>
        <v>FT00865STPPP</v>
      </c>
      <c r="D5164" s="2004"/>
      <c r="E5164" s="1658" t="s">
        <v>9033</v>
      </c>
      <c r="F5164" s="2004"/>
      <c r="G5164" s="2004">
        <f>IF('4W'!G18="","##BLANK",'4W'!G18)</f>
        <v>0</v>
      </c>
      <c r="H5164" s="2004"/>
    </row>
    <row r="5165" spans="2:8">
      <c r="B5165" s="848" t="str">
        <f>'4W'!AP19</f>
        <v>BM319STPPP</v>
      </c>
      <c r="D5165" s="2004"/>
      <c r="E5165" s="1658" t="s">
        <v>9033</v>
      </c>
      <c r="F5165" s="2004"/>
      <c r="G5165" s="2004">
        <f>IF('4W'!G19="","##BLANK",'4W'!G19)</f>
        <v>0</v>
      </c>
      <c r="H5165" s="2004"/>
    </row>
    <row r="5166" spans="2:8">
      <c r="B5166" s="848" t="str">
        <f>'4W'!AP22</f>
        <v>BM402STUTS</v>
      </c>
      <c r="D5166" s="2004"/>
      <c r="E5166" s="1658" t="s">
        <v>9033</v>
      </c>
      <c r="F5166" s="2004"/>
      <c r="G5166" s="2004">
        <f>IF('4W'!G22="","##BLANK",'4W'!G22)</f>
        <v>0</v>
      </c>
      <c r="H5166" s="2004"/>
    </row>
    <row r="5167" spans="2:8">
      <c r="B5167" s="848" t="str">
        <f>'4W'!AP23</f>
        <v>BM836STUTS</v>
      </c>
      <c r="D5167" s="2004"/>
      <c r="E5167" s="1658" t="s">
        <v>9033</v>
      </c>
      <c r="F5167" s="2004"/>
      <c r="G5167" s="2004">
        <f>IF('4W'!G23="","##BLANK",'4W'!G23)</f>
        <v>0</v>
      </c>
      <c r="H5167" s="2004"/>
    </row>
    <row r="5168" spans="2:8">
      <c r="B5168" s="848" t="str">
        <f>'4W'!AP24</f>
        <v>WWS1003STUTS</v>
      </c>
      <c r="D5168" s="2004"/>
      <c r="E5168" s="1658" t="s">
        <v>9033</v>
      </c>
      <c r="F5168" s="2004"/>
      <c r="G5168" s="2004">
        <f>IF('4W'!G24="","##BLANK",'4W'!G24)</f>
        <v>0</v>
      </c>
      <c r="H5168" s="2004"/>
    </row>
    <row r="5169" spans="2:8">
      <c r="B5169" s="848" t="str">
        <f>'4W'!AP25</f>
        <v>BM240STUTS</v>
      </c>
      <c r="D5169" s="2004"/>
      <c r="E5169" s="1658" t="s">
        <v>9033</v>
      </c>
      <c r="F5169" s="2004"/>
      <c r="G5169" s="2004">
        <f>IF('4W'!G25="","##BLANK",'4W'!G25)</f>
        <v>0</v>
      </c>
      <c r="H5169" s="2004"/>
    </row>
    <row r="5170" spans="2:8">
      <c r="B5170" s="848" t="str">
        <f>'4W'!AP27</f>
        <v>WWS1005STUTS</v>
      </c>
      <c r="D5170" s="2004"/>
      <c r="E5170" s="1658" t="s">
        <v>9033</v>
      </c>
      <c r="F5170" s="2004"/>
      <c r="G5170" s="2004">
        <f>IF('4W'!G27="","##BLANK",'4W'!G27)</f>
        <v>0</v>
      </c>
      <c r="H5170" s="2004"/>
    </row>
    <row r="5171" spans="2:8">
      <c r="B5171" s="848" t="str">
        <f>'4W'!AP28</f>
        <v>WWS1006STUTS</v>
      </c>
      <c r="D5171" s="2004"/>
      <c r="E5171" s="1658" t="s">
        <v>9033</v>
      </c>
      <c r="F5171" s="2004"/>
      <c r="G5171" s="2004">
        <f>IF('4W'!G28="","##BLANK",'4W'!G28)</f>
        <v>0</v>
      </c>
      <c r="H5171" s="2004"/>
    </row>
    <row r="5172" spans="2:8">
      <c r="B5172" s="848" t="str">
        <f>'4W'!AP29</f>
        <v>BM408STUTS</v>
      </c>
      <c r="D5172" s="2004"/>
      <c r="E5172" s="1658" t="s">
        <v>9033</v>
      </c>
      <c r="F5172" s="2004"/>
      <c r="G5172" s="2004">
        <f>IF('4W'!G29="","##BLANK",'4W'!G29)</f>
        <v>0</v>
      </c>
      <c r="H5172" s="2004"/>
    </row>
    <row r="5173" spans="2:8">
      <c r="B5173" s="848" t="str">
        <f>'4W'!AP30</f>
        <v>BM410STUTS</v>
      </c>
      <c r="D5173" s="2004"/>
      <c r="E5173" s="1658" t="s">
        <v>9033</v>
      </c>
      <c r="F5173" s="2004"/>
      <c r="G5173" s="2004">
        <f>IF('4W'!G30="","##BLANK",'4W'!G30)</f>
        <v>0</v>
      </c>
      <c r="H5173" s="2004"/>
    </row>
    <row r="5174" spans="2:8">
      <c r="B5174" s="848" t="str">
        <f>'4W'!AP31</f>
        <v>BM816STUTS</v>
      </c>
      <c r="D5174" s="2004"/>
      <c r="E5174" s="1658" t="s">
        <v>9033</v>
      </c>
      <c r="F5174" s="2004"/>
      <c r="G5174" s="2004">
        <f>IF('4W'!G31="","##BLANK",'4W'!G31)</f>
        <v>0</v>
      </c>
      <c r="H5174" s="2004"/>
    </row>
    <row r="5175" spans="2:8">
      <c r="B5175" s="848" t="str">
        <f>'4W'!AP32</f>
        <v>BM817STUTS</v>
      </c>
      <c r="D5175" s="2004"/>
      <c r="E5175" s="1658" t="s">
        <v>9033</v>
      </c>
      <c r="F5175" s="2004"/>
      <c r="G5175" s="2004">
        <f>IF('4W'!G32="","##BLANK",'4W'!G32)</f>
        <v>0</v>
      </c>
      <c r="H5175" s="2004"/>
    </row>
    <row r="5176" spans="2:8">
      <c r="B5176" s="848" t="str">
        <f>'4W'!AP33</f>
        <v>BM8390STUTS</v>
      </c>
      <c r="D5176" s="2004"/>
      <c r="E5176" s="1658" t="s">
        <v>9033</v>
      </c>
      <c r="F5176" s="2004"/>
      <c r="G5176" s="2004">
        <f>IF('4W'!G33="","##BLANK",'4W'!G33)</f>
        <v>0</v>
      </c>
      <c r="H5176" s="2004"/>
    </row>
    <row r="5177" spans="2:8">
      <c r="B5177" s="848" t="str">
        <f>'4W'!AP34</f>
        <v>FT00865STUTS</v>
      </c>
      <c r="D5177" s="2004"/>
      <c r="E5177" s="1658" t="s">
        <v>9033</v>
      </c>
      <c r="F5177" s="2004"/>
      <c r="G5177" s="2004">
        <f>IF('4W'!G34="","##BLANK",'4W'!G34)</f>
        <v>2.3839999999999999</v>
      </c>
      <c r="H5177" s="2004"/>
    </row>
    <row r="5178" spans="2:8">
      <c r="B5178" s="848" t="str">
        <f>'4W'!AP35</f>
        <v>BM319STUTS</v>
      </c>
      <c r="D5178" s="2004"/>
      <c r="E5178" s="1658" t="s">
        <v>9033</v>
      </c>
      <c r="F5178" s="2004"/>
      <c r="G5178" s="2004">
        <f>IF('4W'!G35="","##BLANK",'4W'!G35)</f>
        <v>2.3839999999999999</v>
      </c>
      <c r="H5178" s="2004"/>
    </row>
    <row r="5179" spans="2:8">
      <c r="B5179" s="848" t="str">
        <f>'4W'!AP38</f>
        <v>BM402SDLFR</v>
      </c>
      <c r="D5179" s="2004"/>
      <c r="E5179" s="1658" t="s">
        <v>9033</v>
      </c>
      <c r="F5179" s="2004"/>
      <c r="G5179" s="2004">
        <f>IF('4W'!G38="","##BLANK",'4W'!G38)</f>
        <v>0</v>
      </c>
      <c r="H5179" s="2004"/>
    </row>
    <row r="5180" spans="2:8">
      <c r="B5180" s="848" t="str">
        <f>'4W'!AP39</f>
        <v>BM836SDLFR</v>
      </c>
      <c r="D5180" s="2004"/>
      <c r="E5180" s="1658" t="s">
        <v>9033</v>
      </c>
      <c r="F5180" s="2004"/>
      <c r="G5180" s="2004">
        <f>IF('4W'!G39="","##BLANK",'4W'!G39)</f>
        <v>0</v>
      </c>
      <c r="H5180" s="2004"/>
    </row>
    <row r="5181" spans="2:8">
      <c r="B5181" s="848" t="str">
        <f>'4W'!AP40</f>
        <v>WWS1003SDLFR</v>
      </c>
      <c r="D5181" s="2004"/>
      <c r="E5181" s="1658" t="s">
        <v>9033</v>
      </c>
      <c r="F5181" s="2004"/>
      <c r="G5181" s="2004">
        <f>IF('4W'!G40="","##BLANK",'4W'!G40)</f>
        <v>0</v>
      </c>
      <c r="H5181" s="2004"/>
    </row>
    <row r="5182" spans="2:8">
      <c r="B5182" s="848" t="str">
        <f>'4W'!AP41</f>
        <v>BM240SDLFR</v>
      </c>
      <c r="D5182" s="2004"/>
      <c r="E5182" s="1658" t="s">
        <v>9033</v>
      </c>
      <c r="F5182" s="2004"/>
      <c r="G5182" s="2004">
        <f>IF('4W'!G41="","##BLANK",'4W'!G41)</f>
        <v>0</v>
      </c>
      <c r="H5182" s="2004"/>
    </row>
    <row r="5183" spans="2:8">
      <c r="B5183" s="848" t="str">
        <f>'4W'!AP43</f>
        <v>WWS1005SDLFR</v>
      </c>
      <c r="D5183" s="2004"/>
      <c r="E5183" s="1658" t="s">
        <v>9033</v>
      </c>
      <c r="F5183" s="2004"/>
      <c r="G5183" s="2004">
        <f>IF('4W'!G43="","##BLANK",'4W'!G43)</f>
        <v>0</v>
      </c>
      <c r="H5183" s="2004"/>
    </row>
    <row r="5184" spans="2:8">
      <c r="B5184" s="848" t="str">
        <f>'4W'!AP44</f>
        <v>WWS1006SDLFR</v>
      </c>
      <c r="D5184" s="2004"/>
      <c r="E5184" s="1658" t="s">
        <v>9033</v>
      </c>
      <c r="F5184" s="2004"/>
      <c r="G5184" s="2004">
        <f>IF('4W'!G44="","##BLANK",'4W'!G44)</f>
        <v>0</v>
      </c>
      <c r="H5184" s="2004"/>
    </row>
    <row r="5185" spans="2:8">
      <c r="B5185" s="848" t="str">
        <f>'4W'!AP45</f>
        <v>BM408SDLFR</v>
      </c>
      <c r="D5185" s="2004"/>
      <c r="E5185" s="1658" t="s">
        <v>9033</v>
      </c>
      <c r="F5185" s="2004"/>
      <c r="G5185" s="2004">
        <f>IF('4W'!G45="","##BLANK",'4W'!G45)</f>
        <v>0</v>
      </c>
      <c r="H5185" s="2004"/>
    </row>
    <row r="5186" spans="2:8">
      <c r="B5186" s="848" t="str">
        <f>'4W'!AP46</f>
        <v>BM410SDLFR</v>
      </c>
      <c r="D5186" s="2004"/>
      <c r="E5186" s="1658" t="s">
        <v>9033</v>
      </c>
      <c r="F5186" s="2004"/>
      <c r="G5186" s="2004">
        <f>IF('4W'!G46="","##BLANK",'4W'!G46)</f>
        <v>0</v>
      </c>
      <c r="H5186" s="2004"/>
    </row>
    <row r="5187" spans="2:8">
      <c r="B5187" s="848" t="str">
        <f>'4W'!AP47</f>
        <v>BM816SDLFR</v>
      </c>
      <c r="D5187" s="2004"/>
      <c r="E5187" s="1658" t="s">
        <v>9033</v>
      </c>
      <c r="F5187" s="2004"/>
      <c r="G5187" s="2004">
        <f>IF('4W'!G47="","##BLANK",'4W'!G47)</f>
        <v>0</v>
      </c>
      <c r="H5187" s="2004"/>
    </row>
    <row r="5188" spans="2:8">
      <c r="B5188" s="848" t="str">
        <f>'4W'!AP48</f>
        <v>BM817SDLFR</v>
      </c>
      <c r="D5188" s="2004"/>
      <c r="E5188" s="1658" t="s">
        <v>9033</v>
      </c>
      <c r="F5188" s="2004"/>
      <c r="G5188" s="2004">
        <f>IF('4W'!G48="","##BLANK",'4W'!G48)</f>
        <v>0</v>
      </c>
      <c r="H5188" s="2004"/>
    </row>
    <row r="5189" spans="2:8">
      <c r="B5189" s="848" t="str">
        <f>'4W'!AP49</f>
        <v>BM8390SDLFR</v>
      </c>
      <c r="D5189" s="2004"/>
      <c r="E5189" s="1658" t="s">
        <v>9033</v>
      </c>
      <c r="F5189" s="2004"/>
      <c r="G5189" s="2004">
        <f>IF('4W'!G49="","##BLANK",'4W'!G49)</f>
        <v>0</v>
      </c>
      <c r="H5189" s="2004"/>
    </row>
    <row r="5190" spans="2:8">
      <c r="B5190" s="848" t="str">
        <f>'4W'!AP50</f>
        <v>FT00865SDLFR</v>
      </c>
      <c r="D5190" s="2004"/>
      <c r="E5190" s="1658" t="s">
        <v>9033</v>
      </c>
      <c r="F5190" s="2004"/>
      <c r="G5190" s="2004">
        <f>IF('4W'!G50="","##BLANK",'4W'!G50)</f>
        <v>0</v>
      </c>
      <c r="H5190" s="2004"/>
    </row>
    <row r="5191" spans="2:8">
      <c r="B5191" s="848" t="str">
        <f>'4W'!AP51</f>
        <v>BM319SDLFR</v>
      </c>
      <c r="D5191" s="2004"/>
      <c r="E5191" s="1658" t="s">
        <v>9033</v>
      </c>
      <c r="F5191" s="2004"/>
      <c r="G5191" s="2004">
        <f>IF('4W'!G51="","##BLANK",'4W'!G51)</f>
        <v>0</v>
      </c>
      <c r="H5191" s="2004"/>
    </row>
    <row r="5192" spans="2:8">
      <c r="B5192" s="848" t="str">
        <f>'4W'!AP58</f>
        <v>BM3010NPSC</v>
      </c>
      <c r="D5192" s="2004"/>
      <c r="E5192" s="1658" t="s">
        <v>9033</v>
      </c>
      <c r="F5192" s="2004"/>
      <c r="G5192" s="2004">
        <f>IF('4W'!G58="","##BLANK",'4W'!G58)</f>
        <v>25.062999999999999</v>
      </c>
      <c r="H5192" s="2004"/>
    </row>
    <row r="5193" spans="2:8">
      <c r="B5193" s="848" t="str">
        <f>'4W'!AP59</f>
        <v>BM3011NPSC</v>
      </c>
      <c r="D5193" s="2004"/>
      <c r="E5193" s="1658" t="s">
        <v>9033</v>
      </c>
      <c r="F5193" s="2004"/>
      <c r="G5193" s="2004">
        <f>IF('4W'!G59="","##BLANK",'4W'!G59)</f>
        <v>8.0109999999999992</v>
      </c>
      <c r="H5193" s="2004"/>
    </row>
    <row r="5194" spans="2:8">
      <c r="B5194" s="848" t="str">
        <f>'4W'!AP60</f>
        <v>W3030NPSC</v>
      </c>
      <c r="D5194" s="2004"/>
      <c r="E5194" s="1658" t="s">
        <v>9033</v>
      </c>
      <c r="F5194" s="2004"/>
      <c r="G5194" s="2004">
        <f>IF('4W'!G60="","##BLANK",'4W'!G60)</f>
        <v>797</v>
      </c>
      <c r="H5194" s="2004"/>
    </row>
    <row r="5195" spans="2:8">
      <c r="B5195" s="848" t="str">
        <f>'4W'!AP61</f>
        <v>W3031NPSC</v>
      </c>
      <c r="D5195" s="2004"/>
      <c r="E5195" s="1658" t="s">
        <v>9033</v>
      </c>
      <c r="F5195" s="2004"/>
      <c r="G5195" s="2004">
        <f>IF('4W'!G61="","##BLANK",'4W'!G61)</f>
        <v>177</v>
      </c>
      <c r="H5195" s="2004"/>
    </row>
    <row r="5196" spans="2:8">
      <c r="B5196" s="848" t="str">
        <f>'4W'!AP62</f>
        <v>W3032NPSC</v>
      </c>
      <c r="D5196" s="2004"/>
      <c r="E5196" s="1658" t="s">
        <v>9033</v>
      </c>
      <c r="F5196" s="2004"/>
      <c r="G5196" s="2004">
        <f>IF('4W'!G62="","##BLANK",'4W'!G62)</f>
        <v>0.29799999999999999</v>
      </c>
      <c r="H5196" s="2004"/>
    </row>
    <row r="5197" spans="2:8">
      <c r="B5197" s="848" t="str">
        <f>'4W'!AP63</f>
        <v>W3036NPSC</v>
      </c>
      <c r="D5197" s="2004"/>
      <c r="E5197" s="1658" t="s">
        <v>9033</v>
      </c>
      <c r="F5197" s="2004"/>
      <c r="G5197" s="2004">
        <f>IF('4W'!G63="","##BLANK",'4W'!G63)</f>
        <v>0</v>
      </c>
      <c r="H5197" s="2004"/>
    </row>
    <row r="5198" spans="2:8">
      <c r="B5198" s="848" t="str">
        <f>'4W'!AP66</f>
        <v>W3033NPSC</v>
      </c>
      <c r="D5198" s="2004"/>
      <c r="E5198" s="1658" t="s">
        <v>9033</v>
      </c>
      <c r="F5198" s="2004"/>
      <c r="G5198" s="2004">
        <f>IF('4W'!G66="","##BLANK",'4W'!G66)</f>
        <v>0.26800000000000002</v>
      </c>
      <c r="H5198" s="2004"/>
    </row>
    <row r="5199" spans="2:8">
      <c r="B5199" s="848" t="str">
        <f>'4W'!AP67</f>
        <v>W3034NPSC</v>
      </c>
      <c r="D5199" s="2004"/>
      <c r="E5199" s="1658" t="s">
        <v>9033</v>
      </c>
      <c r="F5199" s="2004"/>
      <c r="G5199" s="2004">
        <f>IF('4W'!G67="","##BLANK",'4W'!G67)</f>
        <v>1.748</v>
      </c>
      <c r="H5199" s="2004"/>
    </row>
    <row r="5200" spans="2:8">
      <c r="B5200" s="848" t="str">
        <f>'4W'!AP68</f>
        <v>W3035NPSC</v>
      </c>
      <c r="D5200" s="2004"/>
      <c r="E5200" s="1658" t="s">
        <v>9033</v>
      </c>
      <c r="F5200" s="2004"/>
      <c r="G5200" s="2004">
        <f>IF('4W'!G68="","##BLANK",'4W'!G68)</f>
        <v>0</v>
      </c>
      <c r="H5200" s="2004"/>
    </row>
    <row r="5201" spans="2:8">
      <c r="B5201" s="848" t="str">
        <f>'4W'!AQ6</f>
        <v>WWS1001STPTK</v>
      </c>
      <c r="D5201" s="2004"/>
      <c r="E5201" s="1658" t="s">
        <v>9033</v>
      </c>
      <c r="F5201" s="2004"/>
      <c r="G5201" s="2004">
        <f>IF('4W'!H6="","##BLANK",'4W'!H6)</f>
        <v>0</v>
      </c>
      <c r="H5201" s="2004"/>
    </row>
    <row r="5202" spans="2:8">
      <c r="B5202" s="848" t="str">
        <f>'4W'!AQ7</f>
        <v>WWS1002STPTK</v>
      </c>
      <c r="D5202" s="2004"/>
      <c r="E5202" s="1658" t="s">
        <v>9033</v>
      </c>
      <c r="F5202" s="2004"/>
      <c r="G5202" s="2004">
        <f>IF('4W'!H7="","##BLANK",'4W'!H7)</f>
        <v>0</v>
      </c>
      <c r="H5202" s="2004"/>
    </row>
    <row r="5203" spans="2:8">
      <c r="B5203" s="848" t="str">
        <f>'4W'!AQ8</f>
        <v>WWS1003STPTK</v>
      </c>
      <c r="D5203" s="2004"/>
      <c r="E5203" s="1658" t="s">
        <v>9033</v>
      </c>
      <c r="F5203" s="2004"/>
      <c r="G5203" s="2004">
        <f>IF('4W'!H8="","##BLANK",'4W'!H8)</f>
        <v>0</v>
      </c>
      <c r="H5203" s="2004"/>
    </row>
    <row r="5204" spans="2:8">
      <c r="B5204" s="848" t="str">
        <f>'4W'!AQ9</f>
        <v>WWS1004STPTK</v>
      </c>
      <c r="D5204" s="2004"/>
      <c r="E5204" s="1658" t="s">
        <v>9033</v>
      </c>
      <c r="F5204" s="2004"/>
      <c r="G5204" s="2004">
        <f>IF('4W'!H9="","##BLANK",'4W'!H9)</f>
        <v>0</v>
      </c>
      <c r="H5204" s="2004"/>
    </row>
    <row r="5205" spans="2:8">
      <c r="B5205" s="848" t="str">
        <f>'4W'!AQ11</f>
        <v>WWS1005STPTK</v>
      </c>
      <c r="D5205" s="2004"/>
      <c r="E5205" s="1658" t="s">
        <v>9033</v>
      </c>
      <c r="F5205" s="2004"/>
      <c r="G5205" s="2004">
        <f>IF('4W'!H11="","##BLANK",'4W'!H11)</f>
        <v>0</v>
      </c>
      <c r="H5205" s="2004"/>
    </row>
    <row r="5206" spans="2:8">
      <c r="B5206" s="848" t="str">
        <f>'4W'!AQ12</f>
        <v>WWS1006STPTK</v>
      </c>
      <c r="D5206" s="2004"/>
      <c r="E5206" s="1658" t="s">
        <v>9033</v>
      </c>
      <c r="F5206" s="2004"/>
      <c r="G5206" s="2004">
        <f>IF('4W'!H12="","##BLANK",'4W'!H12)</f>
        <v>0</v>
      </c>
      <c r="H5206" s="2004"/>
    </row>
    <row r="5207" spans="2:8">
      <c r="B5207" s="848" t="str">
        <f>'4W'!AQ13</f>
        <v>WWS1007DISTPTK</v>
      </c>
      <c r="D5207" s="2004"/>
      <c r="E5207" s="1658" t="s">
        <v>9033</v>
      </c>
      <c r="F5207" s="2004"/>
      <c r="G5207" s="2004">
        <f>IF('4W'!H13="","##BLANK",'4W'!H13)</f>
        <v>3.49</v>
      </c>
      <c r="H5207" s="2004"/>
    </row>
    <row r="5208" spans="2:8">
      <c r="B5208" s="848" t="str">
        <f>'4W'!AQ14</f>
        <v>WWS1007INSTPTK</v>
      </c>
      <c r="D5208" s="2004"/>
      <c r="E5208" s="1658" t="s">
        <v>9033</v>
      </c>
      <c r="F5208" s="2004"/>
      <c r="G5208" s="2004">
        <f>IF('4W'!H14="","##BLANK",'4W'!H14)</f>
        <v>1.3460000000000001</v>
      </c>
      <c r="H5208" s="2004"/>
    </row>
    <row r="5209" spans="2:8">
      <c r="B5209" s="848" t="str">
        <f>'4W'!AQ15</f>
        <v>BM816STPTK</v>
      </c>
      <c r="D5209" s="2004"/>
      <c r="E5209" s="1658" t="s">
        <v>9033</v>
      </c>
      <c r="F5209" s="2004"/>
      <c r="G5209" s="2004">
        <f>IF('4W'!H15="","##BLANK",'4W'!H15)</f>
        <v>4.8360000000000003</v>
      </c>
      <c r="H5209" s="2004"/>
    </row>
    <row r="5210" spans="2:8">
      <c r="B5210" s="848" t="str">
        <f>'4W'!AQ16</f>
        <v>WWS1008STPTK</v>
      </c>
      <c r="D5210" s="2004"/>
      <c r="E5210" s="1658" t="s">
        <v>9033</v>
      </c>
      <c r="F5210" s="2004"/>
      <c r="G5210" s="2004">
        <f>IF('4W'!H16="","##BLANK",'4W'!H16)</f>
        <v>1E-3</v>
      </c>
      <c r="H5210" s="2004"/>
    </row>
    <row r="5211" spans="2:8">
      <c r="B5211" s="848" t="str">
        <f>'4W'!AQ17</f>
        <v>WWS1009STPTK</v>
      </c>
      <c r="D5211" s="2004"/>
      <c r="E5211" s="1658" t="s">
        <v>9033</v>
      </c>
      <c r="F5211" s="2004"/>
      <c r="G5211" s="2004">
        <f>IF('4W'!H17="","##BLANK",'4W'!H17)</f>
        <v>4.8370000000000006</v>
      </c>
      <c r="H5211" s="2004"/>
    </row>
    <row r="5212" spans="2:8">
      <c r="B5212" s="848" t="str">
        <f>'4W'!AQ18</f>
        <v>FT00865STPTK</v>
      </c>
      <c r="D5212" s="2004"/>
      <c r="E5212" s="1658" t="s">
        <v>9033</v>
      </c>
      <c r="F5212" s="2004"/>
      <c r="G5212" s="2004">
        <f>IF('4W'!H18="","##BLANK",'4W'!H18)</f>
        <v>0.28899999999999998</v>
      </c>
      <c r="H5212" s="2004"/>
    </row>
    <row r="5213" spans="2:8">
      <c r="B5213" s="848" t="str">
        <f>'4W'!AQ19</f>
        <v>BM319STPTK</v>
      </c>
      <c r="D5213" s="2004"/>
      <c r="E5213" s="1658" t="s">
        <v>9033</v>
      </c>
      <c r="F5213" s="2004"/>
      <c r="G5213" s="2004">
        <f>IF('4W'!H19="","##BLANK",'4W'!H19)</f>
        <v>5.1260000000000003</v>
      </c>
      <c r="H5213" s="2004"/>
    </row>
    <row r="5214" spans="2:8">
      <c r="B5214" s="848" t="str">
        <f>'4W'!AQ22</f>
        <v>BM402STRSL</v>
      </c>
      <c r="D5214" s="2004"/>
      <c r="E5214" s="1658" t="s">
        <v>9033</v>
      </c>
      <c r="F5214" s="2004"/>
      <c r="G5214" s="2004">
        <f>IF('4W'!H22="","##BLANK",'4W'!H22)</f>
        <v>-9.1999999999999998E-2</v>
      </c>
      <c r="H5214" s="2004"/>
    </row>
    <row r="5215" spans="2:8">
      <c r="B5215" s="848" t="str">
        <f>'4W'!AQ23</f>
        <v>BM836STRSL</v>
      </c>
      <c r="D5215" s="2004"/>
      <c r="E5215" s="1658" t="s">
        <v>9033</v>
      </c>
      <c r="F5215" s="2004"/>
      <c r="G5215" s="2004">
        <f>IF('4W'!H23="","##BLANK",'4W'!H23)</f>
        <v>-6.8000000000000005E-2</v>
      </c>
      <c r="H5215" s="2004"/>
    </row>
    <row r="5216" spans="2:8">
      <c r="B5216" s="848" t="str">
        <f>'4W'!AQ24</f>
        <v>WWS1003STRSL</v>
      </c>
      <c r="D5216" s="2004"/>
      <c r="E5216" s="1658" t="s">
        <v>9033</v>
      </c>
      <c r="F5216" s="2004"/>
      <c r="G5216" s="2004">
        <f>IF('4W'!H24="","##BLANK",'4W'!H24)</f>
        <v>0</v>
      </c>
      <c r="H5216" s="2004"/>
    </row>
    <row r="5217" spans="2:7">
      <c r="B5217" s="848" t="str">
        <f>'4W'!AQ25</f>
        <v>BM240STRSL</v>
      </c>
      <c r="D5217" s="2004"/>
      <c r="E5217" s="1658" t="s">
        <v>9033</v>
      </c>
      <c r="F5217" s="2004"/>
      <c r="G5217" s="2004">
        <f>IF('4W'!H25="","##BLANK",'4W'!H25)</f>
        <v>0</v>
      </c>
    </row>
    <row r="5218" spans="2:7">
      <c r="B5218" s="848" t="str">
        <f>'4W'!AQ27</f>
        <v>WWS1005STRSL</v>
      </c>
      <c r="D5218" s="2004"/>
      <c r="E5218" s="1658" t="s">
        <v>9033</v>
      </c>
      <c r="F5218" s="2004"/>
      <c r="G5218" s="2004">
        <f>IF('4W'!H27="","##BLANK",'4W'!H27)</f>
        <v>0</v>
      </c>
    </row>
    <row r="5219" spans="2:7">
      <c r="B5219" s="848" t="str">
        <f>'4W'!AQ28</f>
        <v>WWS1006STRSL</v>
      </c>
      <c r="D5219" s="2004"/>
      <c r="E5219" s="1658" t="s">
        <v>9033</v>
      </c>
      <c r="F5219" s="2004"/>
      <c r="G5219" s="2004">
        <f>IF('4W'!H28="","##BLANK",'4W'!H28)</f>
        <v>0</v>
      </c>
    </row>
    <row r="5220" spans="2:7">
      <c r="B5220" s="848" t="str">
        <f>'4W'!AQ29</f>
        <v>BM408STRSL</v>
      </c>
      <c r="D5220" s="2004"/>
      <c r="E5220" s="1658" t="s">
        <v>9033</v>
      </c>
      <c r="F5220" s="2004"/>
      <c r="G5220" s="2004">
        <f>IF('4W'!H29="","##BLANK",'4W'!H29)</f>
        <v>0.52600000000000002</v>
      </c>
    </row>
    <row r="5221" spans="2:7">
      <c r="B5221" s="848" t="str">
        <f>'4W'!AQ30</f>
        <v>BM410STRSL</v>
      </c>
      <c r="D5221" s="2004"/>
      <c r="E5221" s="1658" t="s">
        <v>9033</v>
      </c>
      <c r="F5221" s="2004"/>
      <c r="G5221" s="2004">
        <f>IF('4W'!H30="","##BLANK",'4W'!H30)</f>
        <v>9.4E-2</v>
      </c>
    </row>
    <row r="5222" spans="2:7">
      <c r="B5222" s="848" t="str">
        <f>'4W'!AQ31</f>
        <v>BM816STRSL</v>
      </c>
      <c r="D5222" s="2004"/>
      <c r="E5222" s="1658" t="s">
        <v>9033</v>
      </c>
      <c r="F5222" s="2004"/>
      <c r="G5222" s="2004">
        <f>IF('4W'!H31="","##BLANK",'4W'!H31)</f>
        <v>0.45999999999999996</v>
      </c>
    </row>
    <row r="5223" spans="2:7">
      <c r="B5223" s="848" t="str">
        <f>'4W'!AQ32</f>
        <v>BM817STRSL</v>
      </c>
      <c r="D5223" s="2004"/>
      <c r="E5223" s="1658" t="s">
        <v>9033</v>
      </c>
      <c r="F5223" s="2004"/>
      <c r="G5223" s="2004">
        <f>IF('4W'!H32="","##BLANK",'4W'!H32)</f>
        <v>4.2000000000000003E-2</v>
      </c>
    </row>
    <row r="5224" spans="2:7">
      <c r="B5224" s="848" t="str">
        <f>'4W'!AQ33</f>
        <v>BM8390STRSL</v>
      </c>
      <c r="D5224" s="2004"/>
      <c r="E5224" s="1658" t="s">
        <v>9033</v>
      </c>
      <c r="F5224" s="2004"/>
      <c r="G5224" s="2004">
        <f>IF('4W'!H33="","##BLANK",'4W'!H33)</f>
        <v>0.502</v>
      </c>
    </row>
    <row r="5225" spans="2:7">
      <c r="B5225" s="848" t="str">
        <f>'4W'!AQ34</f>
        <v>FT00865STRSL</v>
      </c>
      <c r="D5225" s="2004"/>
      <c r="E5225" s="1658" t="s">
        <v>9033</v>
      </c>
      <c r="F5225" s="2004"/>
      <c r="G5225" s="2004">
        <f>IF('4W'!H34="","##BLANK",'4W'!H34)</f>
        <v>0</v>
      </c>
    </row>
    <row r="5226" spans="2:7">
      <c r="B5226" s="848" t="str">
        <f>'4W'!AQ35</f>
        <v>BM319STRSL</v>
      </c>
      <c r="D5226" s="2004"/>
      <c r="E5226" s="1658" t="s">
        <v>9033</v>
      </c>
      <c r="F5226" s="2004"/>
      <c r="G5226" s="2004">
        <f>IF('4W'!H35="","##BLANK",'4W'!H35)</f>
        <v>0.502</v>
      </c>
    </row>
    <row r="5227" spans="2:7">
      <c r="B5227" s="848" t="str">
        <f>'4W'!AQ38</f>
        <v>BM402SDLFP</v>
      </c>
      <c r="D5227" s="2004"/>
      <c r="E5227" s="1658" t="s">
        <v>9033</v>
      </c>
      <c r="F5227" s="2004"/>
      <c r="G5227" s="2004">
        <f>IF('4W'!H38="","##BLANK",'4W'!H38)</f>
        <v>0</v>
      </c>
    </row>
    <row r="5228" spans="2:7">
      <c r="B5228" s="848" t="str">
        <f>'4W'!AQ39</f>
        <v>BM836SDLFP</v>
      </c>
      <c r="D5228" s="2004"/>
      <c r="E5228" s="1658" t="s">
        <v>9033</v>
      </c>
      <c r="F5228" s="2004"/>
      <c r="G5228" s="2004">
        <f>IF('4W'!H39="","##BLANK",'4W'!H39)</f>
        <v>0</v>
      </c>
    </row>
    <row r="5229" spans="2:7">
      <c r="B5229" s="848" t="str">
        <f>'4W'!AQ40</f>
        <v>WWS1003SDLFP</v>
      </c>
      <c r="D5229" s="2004"/>
      <c r="E5229" s="1658" t="s">
        <v>9033</v>
      </c>
      <c r="F5229" s="2004"/>
      <c r="G5229" s="2004">
        <f>IF('4W'!H40="","##BLANK",'4W'!H40)</f>
        <v>0</v>
      </c>
    </row>
    <row r="5230" spans="2:7">
      <c r="B5230" s="848" t="str">
        <f>'4W'!AQ41</f>
        <v>BM240SDLFP</v>
      </c>
      <c r="D5230" s="2004"/>
      <c r="E5230" s="1658" t="s">
        <v>9033</v>
      </c>
      <c r="F5230" s="2004"/>
      <c r="G5230" s="2004">
        <f>IF('4W'!H41="","##BLANK",'4W'!H41)</f>
        <v>0</v>
      </c>
    </row>
    <row r="5231" spans="2:7">
      <c r="B5231" s="848" t="str">
        <f>'4W'!AQ43</f>
        <v>WWS1005SDLFP</v>
      </c>
      <c r="D5231" s="2004"/>
      <c r="E5231" s="1658" t="s">
        <v>9033</v>
      </c>
      <c r="F5231" s="2004"/>
      <c r="G5231" s="2004">
        <f>IF('4W'!H43="","##BLANK",'4W'!H43)</f>
        <v>0</v>
      </c>
    </row>
    <row r="5232" spans="2:7">
      <c r="B5232" s="848" t="str">
        <f>'4W'!AQ44</f>
        <v>WWS1006SDLFP</v>
      </c>
      <c r="D5232" s="2004"/>
      <c r="E5232" s="1658" t="s">
        <v>9033</v>
      </c>
      <c r="F5232" s="2004"/>
      <c r="G5232" s="2004">
        <f>IF('4W'!H44="","##BLANK",'4W'!H44)</f>
        <v>0</v>
      </c>
    </row>
    <row r="5233" spans="2:7">
      <c r="B5233" s="848" t="str">
        <f>'4W'!AQ45</f>
        <v>BM408SDLFP</v>
      </c>
      <c r="D5233" s="2004"/>
      <c r="E5233" s="1658" t="s">
        <v>9033</v>
      </c>
      <c r="F5233" s="2004"/>
      <c r="G5233" s="2004">
        <f>IF('4W'!H45="","##BLANK",'4W'!H45)</f>
        <v>0</v>
      </c>
    </row>
    <row r="5234" spans="2:7">
      <c r="B5234" s="848" t="str">
        <f>'4W'!AQ46</f>
        <v>BM410SDLFP</v>
      </c>
      <c r="D5234" s="2004"/>
      <c r="E5234" s="1658" t="s">
        <v>9033</v>
      </c>
      <c r="F5234" s="2004"/>
      <c r="G5234" s="2004">
        <f>IF('4W'!H46="","##BLANK",'4W'!H46)</f>
        <v>0</v>
      </c>
    </row>
    <row r="5235" spans="2:7">
      <c r="B5235" s="848" t="str">
        <f>'4W'!AQ47</f>
        <v>BM816SDLFP</v>
      </c>
      <c r="D5235" s="2004"/>
      <c r="E5235" s="1658" t="s">
        <v>9033</v>
      </c>
      <c r="F5235" s="2004"/>
      <c r="G5235" s="2004">
        <f>IF('4W'!H47="","##BLANK",'4W'!H47)</f>
        <v>0</v>
      </c>
    </row>
    <row r="5236" spans="2:7">
      <c r="B5236" s="848" t="str">
        <f>'4W'!AQ48</f>
        <v>BM817SDLFP</v>
      </c>
      <c r="D5236" s="2004"/>
      <c r="E5236" s="1658" t="s">
        <v>9033</v>
      </c>
      <c r="F5236" s="2004"/>
      <c r="G5236" s="2004">
        <f>IF('4W'!H48="","##BLANK",'4W'!H48)</f>
        <v>0</v>
      </c>
    </row>
    <row r="5237" spans="2:7">
      <c r="B5237" s="848" t="str">
        <f>'4W'!AQ49</f>
        <v>BM8390SDLFP</v>
      </c>
      <c r="D5237" s="2004"/>
      <c r="E5237" s="1658" t="s">
        <v>9033</v>
      </c>
      <c r="F5237" s="2004"/>
      <c r="G5237" s="2004">
        <f>IF('4W'!H49="","##BLANK",'4W'!H49)</f>
        <v>0</v>
      </c>
    </row>
    <row r="5238" spans="2:7">
      <c r="B5238" s="848" t="str">
        <f>'4W'!AQ50</f>
        <v>FT00865SDLFP</v>
      </c>
      <c r="D5238" s="2004"/>
      <c r="E5238" s="1658" t="s">
        <v>9033</v>
      </c>
      <c r="F5238" s="2004"/>
      <c r="G5238" s="2004">
        <f>IF('4W'!H50="","##BLANK",'4W'!H50)</f>
        <v>0</v>
      </c>
    </row>
    <row r="5239" spans="2:7">
      <c r="B5239" s="848" t="str">
        <f>'4W'!AQ51</f>
        <v>BM319SDLFP</v>
      </c>
      <c r="D5239" s="2004"/>
      <c r="E5239" s="1658" t="s">
        <v>9033</v>
      </c>
      <c r="F5239" s="2004"/>
      <c r="G5239" s="2004">
        <f>IF('4W'!H51="","##BLANK",'4W'!H51)</f>
        <v>0</v>
      </c>
    </row>
    <row r="5240" spans="2:7">
      <c r="B5240" s="848" t="str">
        <f>'4W'!AQ58</f>
        <v>BM3010NPST</v>
      </c>
      <c r="D5240" s="2004"/>
      <c r="E5240" s="1658" t="s">
        <v>9033</v>
      </c>
      <c r="F5240" s="2004"/>
      <c r="G5240" s="2004">
        <f>IF('4W'!H58="","##BLANK",'4W'!H58)</f>
        <v>23.39</v>
      </c>
    </row>
    <row r="5241" spans="2:7">
      <c r="B5241" s="848" t="str">
        <f>'4W'!AQ59</f>
        <v>BM3011NPST</v>
      </c>
      <c r="D5241" s="2004"/>
      <c r="E5241" s="1658" t="s">
        <v>9033</v>
      </c>
      <c r="F5241" s="2004"/>
      <c r="G5241" s="2004">
        <f>IF('4W'!H59="","##BLANK",'4W'!H59)</f>
        <v>5.09</v>
      </c>
    </row>
    <row r="5242" spans="2:7">
      <c r="B5242" s="848" t="str">
        <f>'4W'!AQ60</f>
        <v>W3030NPST</v>
      </c>
      <c r="D5242" s="2004"/>
      <c r="E5242" s="1658" t="s">
        <v>9033</v>
      </c>
      <c r="F5242" s="2004"/>
      <c r="G5242" s="2004">
        <f>IF('4W'!H60="","##BLANK",'4W'!H60)</f>
        <v>590</v>
      </c>
    </row>
    <row r="5243" spans="2:7">
      <c r="B5243" s="848" t="str">
        <f>'4W'!AQ61</f>
        <v>W3031NPST</v>
      </c>
      <c r="D5243" s="2004"/>
      <c r="E5243" s="1658" t="s">
        <v>9033</v>
      </c>
      <c r="F5243" s="2004"/>
      <c r="G5243" s="2004">
        <f>IF('4W'!H61="","##BLANK",'4W'!H61)</f>
        <v>114</v>
      </c>
    </row>
    <row r="5244" spans="2:7">
      <c r="B5244" s="848" t="str">
        <f>'4W'!AQ62</f>
        <v>W3032NPST</v>
      </c>
      <c r="D5244" s="2004"/>
      <c r="E5244" s="1658" t="s">
        <v>9033</v>
      </c>
      <c r="F5244" s="2004"/>
      <c r="G5244" s="2004">
        <f>IF('4W'!H62="","##BLANK",'4W'!H62)</f>
        <v>0</v>
      </c>
    </row>
    <row r="5245" spans="2:7">
      <c r="B5245" s="848" t="str">
        <f>'4W'!AQ63</f>
        <v>W3036NPST</v>
      </c>
      <c r="D5245" s="2004"/>
      <c r="E5245" s="1658" t="s">
        <v>9033</v>
      </c>
      <c r="F5245" s="2004"/>
      <c r="G5245" s="2004">
        <f>IF('4W'!H63="","##BLANK",'4W'!H63)</f>
        <v>0</v>
      </c>
    </row>
    <row r="5246" spans="2:7">
      <c r="B5246" s="848" t="str">
        <f>'4W'!AQ66</f>
        <v>W3033NPST</v>
      </c>
      <c r="D5246" s="2004"/>
      <c r="E5246" s="1658" t="s">
        <v>9033</v>
      </c>
      <c r="F5246" s="2004"/>
      <c r="G5246" s="2004">
        <f>IF('4W'!H66="","##BLANK",'4W'!H66)</f>
        <v>0</v>
      </c>
    </row>
    <row r="5247" spans="2:7">
      <c r="B5247" s="848" t="str">
        <f>'4W'!AQ67</f>
        <v>W3034NPST</v>
      </c>
      <c r="D5247" s="2004"/>
      <c r="E5247" s="1658" t="s">
        <v>9033</v>
      </c>
      <c r="F5247" s="2004"/>
      <c r="G5247" s="2004">
        <f>IF('4W'!H67="","##BLANK",'4W'!H67)</f>
        <v>4.2480000000000002</v>
      </c>
    </row>
    <row r="5248" spans="2:7">
      <c r="B5248" s="848" t="str">
        <f>'4W'!AQ68</f>
        <v>W3035NPST</v>
      </c>
      <c r="D5248" s="2004"/>
      <c r="E5248" s="1658" t="s">
        <v>9033</v>
      </c>
      <c r="F5248" s="2004"/>
      <c r="G5248" s="2004">
        <f>IF('4W'!H68="","##BLANK",'4W'!H68)</f>
        <v>0</v>
      </c>
    </row>
    <row r="5249" spans="2:7">
      <c r="B5249" s="848" t="str">
        <f>'4W'!AR6</f>
        <v>WWS1001STPTR</v>
      </c>
      <c r="D5249" s="2004"/>
      <c r="E5249" s="1658" t="s">
        <v>9033</v>
      </c>
      <c r="F5249" s="2004"/>
      <c r="G5249" s="2004">
        <f>IF('4W'!I6="","##BLANK",'4W'!I6)</f>
        <v>0</v>
      </c>
    </row>
    <row r="5250" spans="2:7">
      <c r="B5250" s="848" t="str">
        <f>'4W'!AR7</f>
        <v>WWS1002STPTR</v>
      </c>
      <c r="D5250" s="2004"/>
      <c r="E5250" s="1658" t="s">
        <v>9033</v>
      </c>
      <c r="F5250" s="2004"/>
      <c r="G5250" s="2004">
        <f>IF('4W'!I7="","##BLANK",'4W'!I7)</f>
        <v>0</v>
      </c>
    </row>
    <row r="5251" spans="2:7">
      <c r="B5251" s="848" t="str">
        <f>'4W'!AR8</f>
        <v>WWS1003STPTR</v>
      </c>
      <c r="D5251" s="2004"/>
      <c r="E5251" s="1658" t="s">
        <v>9033</v>
      </c>
      <c r="F5251" s="2004"/>
      <c r="G5251" s="2004">
        <f>IF('4W'!I8="","##BLANK",'4W'!I8)</f>
        <v>0</v>
      </c>
    </row>
    <row r="5252" spans="2:7">
      <c r="B5252" s="848" t="str">
        <f>'4W'!AR9</f>
        <v>WWS1004STPTR</v>
      </c>
      <c r="D5252" s="2004"/>
      <c r="E5252" s="1658" t="s">
        <v>9033</v>
      </c>
      <c r="F5252" s="2004"/>
      <c r="G5252" s="2004">
        <f>IF('4W'!I9="","##BLANK",'4W'!I9)</f>
        <v>0</v>
      </c>
    </row>
    <row r="5253" spans="2:7">
      <c r="B5253" s="848" t="str">
        <f>'4W'!AR11</f>
        <v>WWS1005STPTR</v>
      </c>
      <c r="D5253" s="2004"/>
      <c r="E5253" s="1658" t="s">
        <v>9033</v>
      </c>
      <c r="F5253" s="2004"/>
      <c r="G5253" s="2004">
        <f>IF('4W'!I11="","##BLANK",'4W'!I11)</f>
        <v>0</v>
      </c>
    </row>
    <row r="5254" spans="2:7">
      <c r="B5254" s="848" t="str">
        <f>'4W'!AR12</f>
        <v>WWS1006STPTR</v>
      </c>
      <c r="D5254" s="2004"/>
      <c r="E5254" s="1658" t="s">
        <v>9033</v>
      </c>
      <c r="F5254" s="2004"/>
      <c r="G5254" s="2004">
        <f>IF('4W'!I12="","##BLANK",'4W'!I12)</f>
        <v>0</v>
      </c>
    </row>
    <row r="5255" spans="2:7">
      <c r="B5255" s="848" t="str">
        <f>'4W'!AR13</f>
        <v>WWS1007DISTPTR</v>
      </c>
      <c r="D5255" s="2004"/>
      <c r="E5255" s="1658" t="s">
        <v>9033</v>
      </c>
      <c r="F5255" s="2004"/>
      <c r="G5255" s="2004">
        <f>IF('4W'!I13="","##BLANK",'4W'!I13)</f>
        <v>0</v>
      </c>
    </row>
    <row r="5256" spans="2:7">
      <c r="B5256" s="848" t="str">
        <f>'4W'!AR14</f>
        <v>WWS1007INSTPTR</v>
      </c>
      <c r="D5256" s="2004"/>
      <c r="E5256" s="1658" t="s">
        <v>9033</v>
      </c>
      <c r="F5256" s="2004"/>
      <c r="G5256" s="2004">
        <f>IF('4W'!I14="","##BLANK",'4W'!I14)</f>
        <v>0</v>
      </c>
    </row>
    <row r="5257" spans="2:7">
      <c r="B5257" s="848" t="str">
        <f>'4W'!AR15</f>
        <v>BM816STPTR</v>
      </c>
      <c r="D5257" s="2004"/>
      <c r="E5257" s="1658" t="s">
        <v>9033</v>
      </c>
      <c r="F5257" s="2004"/>
      <c r="G5257" s="2004">
        <f>IF('4W'!I15="","##BLANK",'4W'!I15)</f>
        <v>0</v>
      </c>
    </row>
    <row r="5258" spans="2:7">
      <c r="B5258" s="848" t="str">
        <f>'4W'!AR16</f>
        <v>WWS1008STPTR</v>
      </c>
      <c r="D5258" s="2004"/>
      <c r="E5258" s="1658" t="s">
        <v>9033</v>
      </c>
      <c r="F5258" s="2004"/>
      <c r="G5258" s="2004">
        <f>IF('4W'!I16="","##BLANK",'4W'!I16)</f>
        <v>0</v>
      </c>
    </row>
    <row r="5259" spans="2:7">
      <c r="B5259" s="848" t="str">
        <f>'4W'!AR17</f>
        <v>WWS1009STPTR</v>
      </c>
      <c r="D5259" s="2004"/>
      <c r="E5259" s="1658" t="s">
        <v>9033</v>
      </c>
      <c r="F5259" s="2004"/>
      <c r="G5259" s="2004">
        <f>IF('4W'!I17="","##BLANK",'4W'!I17)</f>
        <v>0</v>
      </c>
    </row>
    <row r="5260" spans="2:7">
      <c r="B5260" s="848" t="str">
        <f>'4W'!AR18</f>
        <v>FT00865STPTR</v>
      </c>
      <c r="D5260" s="2004"/>
      <c r="E5260" s="1658" t="s">
        <v>9033</v>
      </c>
      <c r="F5260" s="2004"/>
      <c r="G5260" s="2004">
        <f>IF('4W'!I18="","##BLANK",'4W'!I18)</f>
        <v>0</v>
      </c>
    </row>
    <row r="5261" spans="2:7">
      <c r="B5261" s="848" t="str">
        <f>'4W'!AR19</f>
        <v>BM319STPTR</v>
      </c>
      <c r="D5261" s="2004"/>
      <c r="E5261" s="1658" t="s">
        <v>9033</v>
      </c>
      <c r="F5261" s="2004"/>
      <c r="G5261" s="2004">
        <f>IF('4W'!I19="","##BLANK",'4W'!I19)</f>
        <v>0</v>
      </c>
    </row>
    <row r="5262" spans="2:7">
      <c r="B5262" s="848" t="str">
        <f>'4W'!AR22</f>
        <v>BM402STCAD</v>
      </c>
      <c r="D5262" s="2004"/>
      <c r="E5262" s="1658" t="s">
        <v>9033</v>
      </c>
      <c r="F5262" s="2004"/>
      <c r="G5262" s="2004">
        <f>IF('4W'!I22="","##BLANK",'4W'!I22)</f>
        <v>-2.1190000000000002</v>
      </c>
    </row>
    <row r="5263" spans="2:7">
      <c r="B5263" s="848" t="str">
        <f>'4W'!AR23</f>
        <v>BM836STCAD</v>
      </c>
      <c r="D5263" s="2004"/>
      <c r="E5263" s="1658" t="s">
        <v>9033</v>
      </c>
      <c r="F5263" s="2004"/>
      <c r="G5263" s="2004">
        <f>IF('4W'!I23="","##BLANK",'4W'!I23)</f>
        <v>-1.5609999999999999</v>
      </c>
    </row>
    <row r="5264" spans="2:7">
      <c r="B5264" s="848" t="str">
        <f>'4W'!AR24</f>
        <v>WWS1003STCAD</v>
      </c>
      <c r="D5264" s="2004"/>
      <c r="E5264" s="1658" t="s">
        <v>9033</v>
      </c>
      <c r="F5264" s="2004"/>
      <c r="G5264" s="2004">
        <f>IF('4W'!I24="","##BLANK",'4W'!I24)</f>
        <v>0</v>
      </c>
    </row>
    <row r="5265" spans="2:7">
      <c r="B5265" s="848" t="str">
        <f>'4W'!AR25</f>
        <v>BM240STCAD</v>
      </c>
      <c r="D5265" s="2004"/>
      <c r="E5265" s="1658" t="s">
        <v>9033</v>
      </c>
      <c r="F5265" s="2004"/>
      <c r="G5265" s="2004">
        <f>IF('4W'!I25="","##BLANK",'4W'!I25)</f>
        <v>0</v>
      </c>
    </row>
    <row r="5266" spans="2:7">
      <c r="B5266" s="848" t="str">
        <f>'4W'!AR27</f>
        <v>WWS1005STCAD</v>
      </c>
      <c r="D5266" s="2004"/>
      <c r="E5266" s="1658" t="s">
        <v>9033</v>
      </c>
      <c r="F5266" s="2004"/>
      <c r="G5266" s="2004">
        <f>IF('4W'!I27="","##BLANK",'4W'!I27)</f>
        <v>0</v>
      </c>
    </row>
    <row r="5267" spans="2:7">
      <c r="B5267" s="848" t="str">
        <f>'4W'!AR28</f>
        <v>WWS1006STCAD</v>
      </c>
      <c r="D5267" s="2004"/>
      <c r="E5267" s="1658" t="s">
        <v>9033</v>
      </c>
      <c r="F5267" s="2004"/>
      <c r="G5267" s="2004">
        <f>IF('4W'!I28="","##BLANK",'4W'!I28)</f>
        <v>0</v>
      </c>
    </row>
    <row r="5268" spans="2:7">
      <c r="B5268" s="848" t="str">
        <f>'4W'!AR29</f>
        <v>BM408STCAD</v>
      </c>
      <c r="D5268" s="2004"/>
      <c r="E5268" s="1658" t="s">
        <v>9033</v>
      </c>
      <c r="F5268" s="2004"/>
      <c r="G5268" s="2004">
        <f>IF('4W'!I29="","##BLANK",'4W'!I29)</f>
        <v>12.074999999999999</v>
      </c>
    </row>
    <row r="5269" spans="2:7">
      <c r="B5269" s="848" t="str">
        <f>'4W'!AR30</f>
        <v>BM410STCAD</v>
      </c>
      <c r="D5269" s="2004"/>
      <c r="E5269" s="1658" t="s">
        <v>9033</v>
      </c>
      <c r="F5269" s="2004"/>
      <c r="G5269" s="2004">
        <f>IF('4W'!I30="","##BLANK",'4W'!I30)</f>
        <v>2.1669999999999998</v>
      </c>
    </row>
    <row r="5270" spans="2:7">
      <c r="B5270" s="848" t="str">
        <f>'4W'!AR31</f>
        <v>BM816STCAD</v>
      </c>
      <c r="D5270" s="2004"/>
      <c r="E5270" s="1658" t="s">
        <v>9033</v>
      </c>
      <c r="F5270" s="2004"/>
      <c r="G5270" s="2004">
        <f>IF('4W'!I31="","##BLANK",'4W'!I31)</f>
        <v>10.561999999999999</v>
      </c>
    </row>
    <row r="5271" spans="2:7">
      <c r="B5271" s="848" t="str">
        <f>'4W'!AR32</f>
        <v>BM817STCAD</v>
      </c>
      <c r="D5271" s="2004"/>
      <c r="E5271" s="1658" t="s">
        <v>9033</v>
      </c>
      <c r="F5271" s="2004"/>
      <c r="G5271" s="2004">
        <f>IF('4W'!I32="","##BLANK",'4W'!I32)</f>
        <v>0.97399999999999998</v>
      </c>
    </row>
    <row r="5272" spans="2:7">
      <c r="B5272" s="848" t="str">
        <f>'4W'!AR33</f>
        <v>BM8390STCAD</v>
      </c>
      <c r="D5272" s="2004"/>
      <c r="E5272" s="1658" t="s">
        <v>9033</v>
      </c>
      <c r="F5272" s="2004"/>
      <c r="G5272" s="2004">
        <f>IF('4W'!I33="","##BLANK",'4W'!I33)</f>
        <v>11.536</v>
      </c>
    </row>
    <row r="5273" spans="2:7">
      <c r="B5273" s="848" t="str">
        <f>'4W'!AR34</f>
        <v>FT00865STCAD</v>
      </c>
      <c r="D5273" s="2004"/>
      <c r="E5273" s="1658" t="s">
        <v>9033</v>
      </c>
      <c r="F5273" s="2004"/>
      <c r="G5273" s="2004">
        <f>IF('4W'!I34="","##BLANK",'4W'!I34)</f>
        <v>12.768000000000001</v>
      </c>
    </row>
    <row r="5274" spans="2:7">
      <c r="B5274" s="848" t="str">
        <f>'4W'!AR35</f>
        <v>BM319STCAD</v>
      </c>
      <c r="D5274" s="2004"/>
      <c r="E5274" s="1658" t="s">
        <v>9033</v>
      </c>
      <c r="F5274" s="2004"/>
      <c r="G5274" s="2004">
        <f>IF('4W'!I35="","##BLANK",'4W'!I35)</f>
        <v>24.304000000000002</v>
      </c>
    </row>
    <row r="5275" spans="2:7">
      <c r="B5275" s="848" t="str">
        <f>'4W'!AR38</f>
        <v>BM402SDLRR</v>
      </c>
      <c r="D5275" s="2004"/>
      <c r="E5275" s="1658" t="s">
        <v>9033</v>
      </c>
      <c r="F5275" s="2004"/>
      <c r="G5275" s="2004">
        <f>IF('4W'!I38="","##BLANK",'4W'!I38)</f>
        <v>0</v>
      </c>
    </row>
    <row r="5276" spans="2:7">
      <c r="B5276" s="848" t="str">
        <f>'4W'!AR39</f>
        <v>BM836SDLRR</v>
      </c>
      <c r="D5276" s="2004"/>
      <c r="E5276" s="1658" t="s">
        <v>9033</v>
      </c>
      <c r="F5276" s="2004"/>
      <c r="G5276" s="2004">
        <f>IF('4W'!I39="","##BLANK",'4W'!I39)</f>
        <v>0</v>
      </c>
    </row>
    <row r="5277" spans="2:7">
      <c r="B5277" s="848" t="str">
        <f>'4W'!AR40</f>
        <v>WWS1003SDLRR</v>
      </c>
      <c r="D5277" s="2004"/>
      <c r="E5277" s="1658" t="s">
        <v>9033</v>
      </c>
      <c r="F5277" s="2004"/>
      <c r="G5277" s="2004">
        <f>IF('4W'!I40="","##BLANK",'4W'!I40)</f>
        <v>0</v>
      </c>
    </row>
    <row r="5278" spans="2:7">
      <c r="B5278" s="848" t="str">
        <f>'4W'!AR41</f>
        <v>BM240SDLRR</v>
      </c>
      <c r="D5278" s="2004"/>
      <c r="E5278" s="1658" t="s">
        <v>9033</v>
      </c>
      <c r="F5278" s="2004"/>
      <c r="G5278" s="2004">
        <f>IF('4W'!I41="","##BLANK",'4W'!I41)</f>
        <v>0</v>
      </c>
    </row>
    <row r="5279" spans="2:7">
      <c r="B5279" s="848" t="str">
        <f>'4W'!AR43</f>
        <v>WWS1005SDLRR</v>
      </c>
      <c r="D5279" s="2004"/>
      <c r="E5279" s="1658" t="s">
        <v>9033</v>
      </c>
      <c r="F5279" s="2004"/>
      <c r="G5279" s="2004">
        <f>IF('4W'!I43="","##BLANK",'4W'!I43)</f>
        <v>0</v>
      </c>
    </row>
    <row r="5280" spans="2:7">
      <c r="B5280" s="848" t="str">
        <f>'4W'!AR44</f>
        <v>WWS1006SDLRR</v>
      </c>
      <c r="D5280" s="2004"/>
      <c r="E5280" s="1658" t="s">
        <v>9033</v>
      </c>
      <c r="F5280" s="2004"/>
      <c r="G5280" s="2004">
        <f>IF('4W'!I44="","##BLANK",'4W'!I44)</f>
        <v>0</v>
      </c>
    </row>
    <row r="5281" spans="2:7">
      <c r="B5281" s="848" t="str">
        <f>'4W'!AR45</f>
        <v>BM408SDLRR</v>
      </c>
      <c r="D5281" s="2004"/>
      <c r="E5281" s="1658" t="s">
        <v>9033</v>
      </c>
      <c r="F5281" s="2004"/>
      <c r="G5281" s="2004">
        <f>IF('4W'!I45="","##BLANK",'4W'!I45)</f>
        <v>2.7730000000000001</v>
      </c>
    </row>
    <row r="5282" spans="2:7">
      <c r="B5282" s="848" t="str">
        <f>'4W'!AR46</f>
        <v>BM410SDLRR</v>
      </c>
      <c r="D5282" s="2004"/>
      <c r="E5282" s="1658" t="s">
        <v>9033</v>
      </c>
      <c r="F5282" s="2004"/>
      <c r="G5282" s="2004">
        <f>IF('4W'!I46="","##BLANK",'4W'!I46)</f>
        <v>0.36499999999999999</v>
      </c>
    </row>
    <row r="5283" spans="2:7">
      <c r="B5283" s="848" t="str">
        <f>'4W'!AR47</f>
        <v>BM816SDLRR</v>
      </c>
      <c r="D5283" s="2004"/>
      <c r="E5283" s="1658" t="s">
        <v>9033</v>
      </c>
      <c r="F5283" s="2004"/>
      <c r="G5283" s="2004">
        <f>IF('4W'!I47="","##BLANK",'4W'!I47)</f>
        <v>3.1379999999999999</v>
      </c>
    </row>
    <row r="5284" spans="2:7">
      <c r="B5284" s="848" t="str">
        <f>'4W'!AR48</f>
        <v>BM817SDLRR</v>
      </c>
      <c r="D5284" s="2004"/>
      <c r="E5284" s="1658" t="s">
        <v>9033</v>
      </c>
      <c r="F5284" s="2004"/>
      <c r="G5284" s="2004">
        <f>IF('4W'!I48="","##BLANK",'4W'!I48)</f>
        <v>0</v>
      </c>
    </row>
    <row r="5285" spans="2:7">
      <c r="B5285" s="848" t="str">
        <f>'4W'!AR49</f>
        <v>BM8390SDLRR</v>
      </c>
      <c r="D5285" s="2004"/>
      <c r="E5285" s="1658" t="s">
        <v>9033</v>
      </c>
      <c r="F5285" s="2004"/>
      <c r="G5285" s="2004">
        <f>IF('4W'!I49="","##BLANK",'4W'!I49)</f>
        <v>3.1379999999999999</v>
      </c>
    </row>
    <row r="5286" spans="2:7">
      <c r="B5286" s="848" t="str">
        <f>'4W'!AR50</f>
        <v>FT00865SDLRR</v>
      </c>
      <c r="D5286" s="2004"/>
      <c r="E5286" s="1658" t="s">
        <v>9033</v>
      </c>
      <c r="F5286" s="2004"/>
      <c r="G5286" s="2004">
        <f>IF('4W'!I50="","##BLANK",'4W'!I50)</f>
        <v>0</v>
      </c>
    </row>
    <row r="5287" spans="2:7">
      <c r="B5287" s="848" t="str">
        <f>'4W'!AR51</f>
        <v>BM319SDLRR</v>
      </c>
      <c r="D5287" s="2004"/>
      <c r="E5287" s="1658" t="s">
        <v>9033</v>
      </c>
      <c r="F5287" s="2004"/>
      <c r="G5287" s="2004">
        <f>IF('4W'!I51="","##BLANK",'4W'!I51)</f>
        <v>3.1379999999999999</v>
      </c>
    </row>
    <row r="5288" spans="2:7">
      <c r="B5288" s="848" t="str">
        <f>'4W'!AR58</f>
        <v>BM3010SL</v>
      </c>
      <c r="D5288" s="2004"/>
      <c r="E5288" s="1658" t="s">
        <v>9033</v>
      </c>
      <c r="F5288" s="2004"/>
      <c r="G5288" s="2004">
        <f>IF('4W'!I58="","##BLANK",'4W'!I58)</f>
        <v>7.9809999999999999</v>
      </c>
    </row>
    <row r="5289" spans="2:7">
      <c r="B5289" s="848" t="str">
        <f>'4W'!AR59</f>
        <v>BM3011SL</v>
      </c>
      <c r="D5289" s="2004"/>
      <c r="E5289" s="1658" t="s">
        <v>9033</v>
      </c>
      <c r="F5289" s="2004"/>
      <c r="G5289" s="2004">
        <f>IF('4W'!I59="","##BLANK",'4W'!I59)</f>
        <v>2.044</v>
      </c>
    </row>
    <row r="5290" spans="2:7">
      <c r="B5290" s="848" t="str">
        <f>'4W'!AR60</f>
        <v>W3030SL</v>
      </c>
      <c r="D5290" s="2004"/>
      <c r="E5290" s="1658" t="s">
        <v>9033</v>
      </c>
      <c r="F5290" s="2004"/>
      <c r="G5290" s="2004">
        <f>IF('4W'!I60="","##BLANK",'4W'!I60)</f>
        <v>202</v>
      </c>
    </row>
    <row r="5291" spans="2:7">
      <c r="B5291" s="848" t="str">
        <f>'4W'!AR61</f>
        <v>W3031SL</v>
      </c>
      <c r="D5291" s="2004"/>
      <c r="E5291" s="1658" t="s">
        <v>9033</v>
      </c>
      <c r="F5291" s="2004"/>
      <c r="G5291" s="2004">
        <f>IF('4W'!I61="","##BLANK",'4W'!I61)</f>
        <v>46</v>
      </c>
    </row>
    <row r="5292" spans="2:7">
      <c r="B5292" s="848" t="str">
        <f>'4W'!AR62</f>
        <v>W3032SL</v>
      </c>
      <c r="D5292" s="2004"/>
      <c r="E5292" s="1658" t="s">
        <v>9033</v>
      </c>
      <c r="F5292" s="2004"/>
      <c r="G5292" s="2004">
        <f>IF('4W'!I62="","##BLANK",'4W'!I62)</f>
        <v>0</v>
      </c>
    </row>
    <row r="5293" spans="2:7">
      <c r="B5293" s="848" t="str">
        <f>'4W'!AR63</f>
        <v>W3036SL</v>
      </c>
      <c r="D5293" s="2004"/>
      <c r="E5293" s="1658" t="s">
        <v>9033</v>
      </c>
      <c r="F5293" s="2004"/>
      <c r="G5293" s="2004">
        <f>IF('4W'!I63="","##BLANK",'4W'!I63)</f>
        <v>0</v>
      </c>
    </row>
    <row r="5294" spans="2:7">
      <c r="B5294" s="848" t="str">
        <f>'4W'!AR66</f>
        <v>W3033SL</v>
      </c>
      <c r="D5294" s="2004"/>
      <c r="E5294" s="1658" t="s">
        <v>9033</v>
      </c>
      <c r="F5294" s="2004"/>
      <c r="G5294" s="2004">
        <f>IF('4W'!I66="","##BLANK",'4W'!I66)</f>
        <v>0</v>
      </c>
    </row>
    <row r="5295" spans="2:7">
      <c r="B5295" s="848" t="str">
        <f>'4W'!AR67</f>
        <v>W3034SL</v>
      </c>
      <c r="D5295" s="2004"/>
      <c r="E5295" s="1658" t="s">
        <v>9033</v>
      </c>
      <c r="F5295" s="2004"/>
      <c r="G5295" s="2004">
        <f>IF('4W'!I67="","##BLANK",'4W'!I67)</f>
        <v>0</v>
      </c>
    </row>
    <row r="5296" spans="2:7">
      <c r="B5296" s="848" t="str">
        <f>'4W'!AR68</f>
        <v>W3035SL</v>
      </c>
      <c r="D5296" s="2004"/>
      <c r="E5296" s="1658" t="s">
        <v>9033</v>
      </c>
      <c r="F5296" s="2004"/>
      <c r="G5296" s="2004">
        <f>IF('4W'!I68="","##BLANK",'4W'!I68)</f>
        <v>0</v>
      </c>
    </row>
    <row r="5297" spans="2:7">
      <c r="B5297" s="848" t="str">
        <f>'4W'!AS6</f>
        <v>WWS1001STPTOT</v>
      </c>
      <c r="D5297" s="2004"/>
      <c r="E5297" s="1658" t="s">
        <v>9033</v>
      </c>
      <c r="F5297" s="2004"/>
      <c r="G5297" s="2004">
        <f>IF('4W'!J6="","##BLANK",'4W'!J6)</f>
        <v>0</v>
      </c>
    </row>
    <row r="5298" spans="2:7">
      <c r="B5298" s="848" t="str">
        <f>'4W'!AS7</f>
        <v>WWS1002STPTOT</v>
      </c>
      <c r="D5298" s="2004"/>
      <c r="E5298" s="1658" t="s">
        <v>9033</v>
      </c>
      <c r="F5298" s="2004"/>
      <c r="G5298" s="2004">
        <f>IF('4W'!J7="","##BLANK",'4W'!J7)</f>
        <v>0</v>
      </c>
    </row>
    <row r="5299" spans="2:7">
      <c r="B5299" s="848" t="str">
        <f>'4W'!AS8</f>
        <v>WWS1003STPTOT</v>
      </c>
      <c r="D5299" s="2004"/>
      <c r="E5299" s="1658" t="s">
        <v>9033</v>
      </c>
      <c r="F5299" s="2004"/>
      <c r="G5299" s="2004">
        <f>IF('4W'!J8="","##BLANK",'4W'!J8)</f>
        <v>0</v>
      </c>
    </row>
    <row r="5300" spans="2:7">
      <c r="B5300" s="848" t="str">
        <f>'4W'!AS9</f>
        <v>WWS1004STPTOT</v>
      </c>
      <c r="D5300" s="2004"/>
      <c r="E5300" s="1658" t="s">
        <v>9033</v>
      </c>
      <c r="F5300" s="2004"/>
      <c r="G5300" s="2004">
        <f>IF('4W'!J9="","##BLANK",'4W'!J9)</f>
        <v>0</v>
      </c>
    </row>
    <row r="5301" spans="2:7">
      <c r="B5301" s="848" t="str">
        <f>'4W'!AS11</f>
        <v>WWS1005STPTOT</v>
      </c>
      <c r="D5301" s="2004"/>
      <c r="E5301" s="1658" t="s">
        <v>9033</v>
      </c>
      <c r="F5301" s="2004"/>
      <c r="G5301" s="2004">
        <f>IF('4W'!J11="","##BLANK",'4W'!J11)</f>
        <v>0</v>
      </c>
    </row>
    <row r="5302" spans="2:7">
      <c r="B5302" s="848" t="str">
        <f>'4W'!AS12</f>
        <v>WWS1006STPTOT</v>
      </c>
      <c r="D5302" s="2004"/>
      <c r="E5302" s="1658" t="s">
        <v>9033</v>
      </c>
      <c r="F5302" s="2004"/>
      <c r="G5302" s="2004">
        <f>IF('4W'!J12="","##BLANK",'4W'!J12)</f>
        <v>0</v>
      </c>
    </row>
    <row r="5303" spans="2:7">
      <c r="B5303" s="848" t="str">
        <f>'4W'!AS13</f>
        <v>WWS1007DISTPTOT</v>
      </c>
      <c r="D5303" s="2004"/>
      <c r="E5303" s="1658" t="s">
        <v>9033</v>
      </c>
      <c r="F5303" s="2004"/>
      <c r="G5303" s="2004">
        <f>IF('4W'!J13="","##BLANK",'4W'!J13)</f>
        <v>3.49</v>
      </c>
    </row>
    <row r="5304" spans="2:7">
      <c r="B5304" s="848" t="str">
        <f>'4W'!AS14</f>
        <v>WWS1007INSTPTOT</v>
      </c>
      <c r="D5304" s="2004"/>
      <c r="E5304" s="1658" t="s">
        <v>9033</v>
      </c>
      <c r="F5304" s="2004"/>
      <c r="G5304" s="2004">
        <f>IF('4W'!J14="","##BLANK",'4W'!J14)</f>
        <v>1.3460000000000001</v>
      </c>
    </row>
    <row r="5305" spans="2:7">
      <c r="B5305" s="848" t="str">
        <f>'4W'!AS15</f>
        <v>BM816STPTOT</v>
      </c>
      <c r="D5305" s="2004"/>
      <c r="E5305" s="1658" t="s">
        <v>9033</v>
      </c>
      <c r="F5305" s="2004"/>
      <c r="G5305" s="2004">
        <f>IF('4W'!J15="","##BLANK",'4W'!J15)</f>
        <v>4.8360000000000003</v>
      </c>
    </row>
    <row r="5306" spans="2:7">
      <c r="B5306" s="848" t="str">
        <f>'4W'!AS16</f>
        <v>WWS1008STPTOT</v>
      </c>
      <c r="D5306" s="2004"/>
      <c r="E5306" s="1658" t="s">
        <v>9033</v>
      </c>
      <c r="F5306" s="2004"/>
      <c r="G5306" s="2004">
        <f>IF('4W'!J16="","##BLANK",'4W'!J16)</f>
        <v>1E-3</v>
      </c>
    </row>
    <row r="5307" spans="2:7">
      <c r="B5307" s="848" t="str">
        <f>'4W'!AS17</f>
        <v>WWS1009STPTOT</v>
      </c>
      <c r="D5307" s="2004"/>
      <c r="E5307" s="1658" t="s">
        <v>9033</v>
      </c>
      <c r="F5307" s="2004"/>
      <c r="G5307" s="2004">
        <f>IF('4W'!J17="","##BLANK",'4W'!J17)</f>
        <v>4.8370000000000006</v>
      </c>
    </row>
    <row r="5308" spans="2:7">
      <c r="B5308" s="848" t="str">
        <f>'4W'!AS18</f>
        <v>FT00865STPTOT</v>
      </c>
      <c r="D5308" s="2004"/>
      <c r="E5308" s="1658" t="s">
        <v>9033</v>
      </c>
      <c r="F5308" s="2004"/>
      <c r="G5308" s="2004">
        <f>IF('4W'!J18="","##BLANK",'4W'!J18)</f>
        <v>0.28899999999999998</v>
      </c>
    </row>
    <row r="5309" spans="2:7">
      <c r="B5309" s="848" t="str">
        <f>'4W'!AS19</f>
        <v>BM319STPTOT</v>
      </c>
      <c r="D5309" s="2004"/>
      <c r="E5309" s="1658" t="s">
        <v>9033</v>
      </c>
      <c r="F5309" s="2004"/>
      <c r="G5309" s="2004">
        <f>IF('4W'!J19="","##BLANK",'4W'!J19)</f>
        <v>5.1260000000000003</v>
      </c>
    </row>
    <row r="5310" spans="2:7">
      <c r="B5310" s="848" t="str">
        <f>'4W'!AS22</f>
        <v>BM402STAD</v>
      </c>
      <c r="D5310" s="2004"/>
      <c r="E5310" s="1658" t="s">
        <v>9033</v>
      </c>
      <c r="F5310" s="2004"/>
      <c r="G5310" s="2004">
        <f>IF('4W'!J22="","##BLANK",'4W'!J22)</f>
        <v>-0.86</v>
      </c>
    </row>
    <row r="5311" spans="2:7">
      <c r="B5311" s="848" t="str">
        <f>'4W'!AS23</f>
        <v>BM836STAD</v>
      </c>
      <c r="D5311" s="2004"/>
      <c r="E5311" s="1658" t="s">
        <v>9033</v>
      </c>
      <c r="F5311" s="2004"/>
      <c r="G5311" s="2004">
        <f>IF('4W'!J23="","##BLANK",'4W'!J23)</f>
        <v>-0.63300000000000001</v>
      </c>
    </row>
    <row r="5312" spans="2:7">
      <c r="B5312" s="848" t="str">
        <f>'4W'!AS24</f>
        <v>WWS1003STAD</v>
      </c>
      <c r="D5312" s="2004"/>
      <c r="E5312" s="1658" t="s">
        <v>9033</v>
      </c>
      <c r="F5312" s="2004"/>
      <c r="G5312" s="2004">
        <f>IF('4W'!J24="","##BLANK",'4W'!J24)</f>
        <v>0</v>
      </c>
    </row>
    <row r="5313" spans="2:7">
      <c r="B5313" s="848" t="str">
        <f>'4W'!AS25</f>
        <v>BM240STAD</v>
      </c>
      <c r="D5313" s="2004"/>
      <c r="E5313" s="1658" t="s">
        <v>9033</v>
      </c>
      <c r="F5313" s="2004"/>
      <c r="G5313" s="2004">
        <f>IF('4W'!J25="","##BLANK",'4W'!J25)</f>
        <v>0</v>
      </c>
    </row>
    <row r="5314" spans="2:7">
      <c r="B5314" s="848" t="str">
        <f>'4W'!AS27</f>
        <v>WWS1005STAD</v>
      </c>
      <c r="D5314" s="2004"/>
      <c r="E5314" s="1658" t="s">
        <v>9033</v>
      </c>
      <c r="F5314" s="2004"/>
      <c r="G5314" s="2004">
        <f>IF('4W'!J27="","##BLANK",'4W'!J27)</f>
        <v>0</v>
      </c>
    </row>
    <row r="5315" spans="2:7">
      <c r="B5315" s="848" t="str">
        <f>'4W'!AS28</f>
        <v>WWS1006STAD</v>
      </c>
      <c r="D5315" s="2004"/>
      <c r="E5315" s="1658" t="s">
        <v>9033</v>
      </c>
      <c r="F5315" s="2004"/>
      <c r="G5315" s="2004">
        <f>IF('4W'!J28="","##BLANK",'4W'!J28)</f>
        <v>0</v>
      </c>
    </row>
    <row r="5316" spans="2:7">
      <c r="B5316" s="848" t="str">
        <f>'4W'!AS29</f>
        <v>BM408STAD</v>
      </c>
      <c r="D5316" s="2004"/>
      <c r="E5316" s="1658" t="s">
        <v>9033</v>
      </c>
      <c r="F5316" s="2004"/>
      <c r="G5316" s="2004">
        <f>IF('4W'!J29="","##BLANK",'4W'!J29)</f>
        <v>4.9000000000000004</v>
      </c>
    </row>
    <row r="5317" spans="2:7">
      <c r="B5317" s="848" t="str">
        <f>'4W'!AS30</f>
        <v>BM410STAD</v>
      </c>
      <c r="D5317" s="2004"/>
      <c r="E5317" s="1658" t="s">
        <v>9033</v>
      </c>
      <c r="F5317" s="2004"/>
      <c r="G5317" s="2004">
        <f>IF('4W'!J30="","##BLANK",'4W'!J30)</f>
        <v>0.879</v>
      </c>
    </row>
    <row r="5318" spans="2:7">
      <c r="B5318" s="848" t="str">
        <f>'4W'!AS31</f>
        <v>BM816STAD</v>
      </c>
      <c r="D5318" s="2004"/>
      <c r="E5318" s="1658" t="s">
        <v>9033</v>
      </c>
      <c r="F5318" s="2004"/>
      <c r="G5318" s="2004">
        <f>IF('4W'!J31="","##BLANK",'4W'!J31)</f>
        <v>4.2860000000000005</v>
      </c>
    </row>
    <row r="5319" spans="2:7">
      <c r="B5319" s="848" t="str">
        <f>'4W'!AS32</f>
        <v>BM817STAD</v>
      </c>
      <c r="D5319" s="2004"/>
      <c r="E5319" s="1658" t="s">
        <v>9033</v>
      </c>
      <c r="F5319" s="2004"/>
      <c r="G5319" s="2004">
        <f>IF('4W'!J32="","##BLANK",'4W'!J32)</f>
        <v>0.39500000000000002</v>
      </c>
    </row>
    <row r="5320" spans="2:7">
      <c r="B5320" s="848" t="str">
        <f>'4W'!AS33</f>
        <v>BM8390STAD</v>
      </c>
      <c r="D5320" s="2004"/>
      <c r="E5320" s="1658" t="s">
        <v>9033</v>
      </c>
      <c r="F5320" s="2004"/>
      <c r="G5320" s="2004">
        <f>IF('4W'!J33="","##BLANK",'4W'!J33)</f>
        <v>4.6810000000000009</v>
      </c>
    </row>
    <row r="5321" spans="2:7">
      <c r="B5321" s="848" t="str">
        <f>'4W'!AS34</f>
        <v>FT00865STAD</v>
      </c>
      <c r="D5321" s="2004"/>
      <c r="E5321" s="1658" t="s">
        <v>9033</v>
      </c>
      <c r="F5321" s="2004"/>
      <c r="G5321" s="2004">
        <f>IF('4W'!J34="","##BLANK",'4W'!J34)</f>
        <v>2.9689999999999999</v>
      </c>
    </row>
    <row r="5322" spans="2:7">
      <c r="B5322" s="848" t="str">
        <f>'4W'!AS35</f>
        <v>BM319STAD</v>
      </c>
      <c r="D5322" s="2004"/>
      <c r="E5322" s="1658" t="s">
        <v>9033</v>
      </c>
      <c r="F5322" s="2004"/>
      <c r="G5322" s="2004">
        <f>IF('4W'!J35="","##BLANK",'4W'!J35)</f>
        <v>7.65</v>
      </c>
    </row>
    <row r="5323" spans="2:7">
      <c r="B5323" s="848" t="str">
        <f>'4W'!AS38</f>
        <v>BM402SDRTF</v>
      </c>
      <c r="D5323" s="2004"/>
      <c r="E5323" s="1658" t="s">
        <v>9033</v>
      </c>
      <c r="F5323" s="2004"/>
      <c r="G5323" s="2004">
        <f>IF('4W'!J38="","##BLANK",'4W'!J38)</f>
        <v>0</v>
      </c>
    </row>
    <row r="5324" spans="2:7">
      <c r="B5324" s="848" t="str">
        <f>'4W'!AS39</f>
        <v>BM836SDRTF</v>
      </c>
      <c r="D5324" s="2004"/>
      <c r="E5324" s="1658" t="s">
        <v>9033</v>
      </c>
      <c r="F5324" s="2004"/>
      <c r="G5324" s="2004">
        <f>IF('4W'!J39="","##BLANK",'4W'!J39)</f>
        <v>0</v>
      </c>
    </row>
    <row r="5325" spans="2:7">
      <c r="B5325" s="848" t="str">
        <f>'4W'!AS40</f>
        <v>WWS1003SDRTF</v>
      </c>
      <c r="D5325" s="2004"/>
      <c r="E5325" s="1658" t="s">
        <v>9033</v>
      </c>
      <c r="F5325" s="2004"/>
      <c r="G5325" s="2004">
        <f>IF('4W'!J40="","##BLANK",'4W'!J40)</f>
        <v>0</v>
      </c>
    </row>
    <row r="5326" spans="2:7">
      <c r="B5326" s="848" t="str">
        <f>'4W'!AS41</f>
        <v>BM240SDRTF</v>
      </c>
      <c r="D5326" s="2004"/>
      <c r="E5326" s="1658" t="s">
        <v>9033</v>
      </c>
      <c r="F5326" s="2004"/>
      <c r="G5326" s="2004">
        <f>IF('4W'!J41="","##BLANK",'4W'!J41)</f>
        <v>0</v>
      </c>
    </row>
    <row r="5327" spans="2:7">
      <c r="B5327" s="848" t="str">
        <f>'4W'!AS43</f>
        <v>WWS1005SDRTF</v>
      </c>
      <c r="D5327" s="2004"/>
      <c r="E5327" s="1658" t="s">
        <v>9033</v>
      </c>
      <c r="F5327" s="2004"/>
      <c r="G5327" s="2004">
        <f>IF('4W'!J43="","##BLANK",'4W'!J43)</f>
        <v>0</v>
      </c>
    </row>
    <row r="5328" spans="2:7">
      <c r="B5328" s="848" t="str">
        <f>'4W'!AS44</f>
        <v>WWS1006SDRTF</v>
      </c>
      <c r="D5328" s="2004"/>
      <c r="E5328" s="1658" t="s">
        <v>9033</v>
      </c>
      <c r="F5328" s="2004"/>
      <c r="G5328" s="2004">
        <f>IF('4W'!J44="","##BLANK",'4W'!J44)</f>
        <v>0</v>
      </c>
    </row>
    <row r="5329" spans="2:7">
      <c r="B5329" s="848" t="str">
        <f>'4W'!AS45</f>
        <v>BM408SDRTF</v>
      </c>
      <c r="D5329" s="2004"/>
      <c r="E5329" s="1658" t="s">
        <v>9033</v>
      </c>
      <c r="F5329" s="2004"/>
      <c r="G5329" s="2004">
        <f>IF('4W'!J45="","##BLANK",'4W'!J45)</f>
        <v>6.3869999999999996</v>
      </c>
    </row>
    <row r="5330" spans="2:7">
      <c r="B5330" s="848" t="str">
        <f>'4W'!AS46</f>
        <v>BM410SDRTF</v>
      </c>
      <c r="D5330" s="2004"/>
      <c r="E5330" s="1658" t="s">
        <v>9033</v>
      </c>
      <c r="F5330" s="2004"/>
      <c r="G5330" s="2004">
        <f>IF('4W'!J46="","##BLANK",'4W'!J46)</f>
        <v>0.84199999999999997</v>
      </c>
    </row>
    <row r="5331" spans="2:7">
      <c r="B5331" s="848" t="str">
        <f>'4W'!AS47</f>
        <v>BM816SDRTF</v>
      </c>
      <c r="D5331" s="2004"/>
      <c r="E5331" s="1658" t="s">
        <v>9033</v>
      </c>
      <c r="F5331" s="2004"/>
      <c r="G5331" s="2004">
        <f>IF('4W'!J47="","##BLANK",'4W'!J47)</f>
        <v>7.2289999999999992</v>
      </c>
    </row>
    <row r="5332" spans="2:7">
      <c r="B5332" s="848" t="str">
        <f>'4W'!AS48</f>
        <v>BM817SDRTF</v>
      </c>
      <c r="D5332" s="2004"/>
      <c r="E5332" s="1658" t="s">
        <v>9033</v>
      </c>
      <c r="F5332" s="2004"/>
      <c r="G5332" s="2004">
        <f>IF('4W'!J48="","##BLANK",'4W'!J48)</f>
        <v>0</v>
      </c>
    </row>
    <row r="5333" spans="2:7">
      <c r="B5333" s="848" t="str">
        <f>'4W'!AS49</f>
        <v>BM8390SDRTF</v>
      </c>
      <c r="D5333" s="2004"/>
      <c r="E5333" s="1658" t="s">
        <v>9033</v>
      </c>
      <c r="F5333" s="2004"/>
      <c r="G5333" s="2004">
        <f>IF('4W'!J49="","##BLANK",'4W'!J49)</f>
        <v>7.2289999999999992</v>
      </c>
    </row>
    <row r="5334" spans="2:7">
      <c r="B5334" s="848" t="str">
        <f>'4W'!AS50</f>
        <v>FT00865SDRTF</v>
      </c>
      <c r="D5334" s="2004"/>
      <c r="E5334" s="1658" t="s">
        <v>9033</v>
      </c>
      <c r="F5334" s="2004"/>
      <c r="G5334" s="2004">
        <f>IF('4W'!J50="","##BLANK",'4W'!J50)</f>
        <v>0</v>
      </c>
    </row>
    <row r="5335" spans="2:7">
      <c r="B5335" s="848" t="str">
        <f>'4W'!AS51</f>
        <v>BM319SDRTF</v>
      </c>
      <c r="D5335" s="2004"/>
      <c r="E5335" s="1658" t="s">
        <v>9033</v>
      </c>
      <c r="F5335" s="2004"/>
      <c r="G5335" s="2004">
        <f>IF('4W'!J51="","##BLANK",'4W'!J51)</f>
        <v>7.2289999999999992</v>
      </c>
    </row>
    <row r="5336" spans="2:7">
      <c r="B5336" s="848" t="str">
        <f>'4W'!AS58</f>
        <v>BM3010OTHTOT</v>
      </c>
      <c r="D5336" s="2004"/>
      <c r="E5336" s="1658" t="s">
        <v>9033</v>
      </c>
      <c r="F5336" s="2004"/>
      <c r="G5336" s="2004">
        <f>IF('4W'!J58="","##BLANK",'4W'!J58)</f>
        <v>56.434000000000005</v>
      </c>
    </row>
    <row r="5337" spans="2:7">
      <c r="B5337" s="848" t="str">
        <f>'4W'!AS59</f>
        <v>BM3011OTHTOT</v>
      </c>
      <c r="D5337" s="2004"/>
      <c r="E5337" s="1658" t="s">
        <v>9033</v>
      </c>
      <c r="F5337" s="2004"/>
      <c r="G5337" s="2004">
        <f>IF('4W'!J59="","##BLANK",'4W'!J59)</f>
        <v>15.145</v>
      </c>
    </row>
    <row r="5338" spans="2:7">
      <c r="B5338" s="848" t="str">
        <f>'4W'!AS60</f>
        <v>W3030OTHTOT</v>
      </c>
      <c r="D5338" s="2004"/>
      <c r="E5338" s="1658" t="s">
        <v>9033</v>
      </c>
      <c r="F5338" s="2004"/>
      <c r="G5338" s="2004">
        <f>IF('4W'!J60="","##BLANK",'4W'!J60)</f>
        <v>1589</v>
      </c>
    </row>
    <row r="5339" spans="2:7">
      <c r="B5339" s="848" t="str">
        <f>'4W'!AS61</f>
        <v>W3031OTHTOT</v>
      </c>
      <c r="D5339" s="2004"/>
      <c r="E5339" s="1658" t="s">
        <v>9033</v>
      </c>
      <c r="F5339" s="2004"/>
      <c r="G5339" s="2004">
        <f>IF('4W'!J61="","##BLANK",'4W'!J61)</f>
        <v>337</v>
      </c>
    </row>
    <row r="5340" spans="2:7">
      <c r="B5340" s="848" t="str">
        <f>'4W'!AS62</f>
        <v>W3032OTHTOT</v>
      </c>
      <c r="D5340" s="2004"/>
      <c r="E5340" s="1658" t="s">
        <v>9033</v>
      </c>
      <c r="F5340" s="2004"/>
      <c r="G5340" s="2004">
        <f>IF('4W'!J62="","##BLANK",'4W'!J62)</f>
        <v>0.29799999999999999</v>
      </c>
    </row>
    <row r="5341" spans="2:7">
      <c r="B5341" s="848" t="str">
        <f>'4W'!AS63</f>
        <v>W3036OTHTOT</v>
      </c>
      <c r="D5341" s="2004"/>
      <c r="E5341" s="1658" t="s">
        <v>9033</v>
      </c>
      <c r="F5341" s="2004"/>
      <c r="G5341" s="2004">
        <f>IF('4W'!J63="","##BLANK",'4W'!J63)</f>
        <v>0</v>
      </c>
    </row>
    <row r="5342" spans="2:7">
      <c r="B5342" s="848" t="str">
        <f>'4W'!AS66</f>
        <v>W3033OTHTOT</v>
      </c>
      <c r="D5342" s="2004"/>
      <c r="E5342" s="1658" t="s">
        <v>9033</v>
      </c>
      <c r="F5342" s="2004"/>
      <c r="G5342" s="2004">
        <f>IF('4W'!J66="","##BLANK",'4W'!J66)</f>
        <v>0.26800000000000002</v>
      </c>
    </row>
    <row r="5343" spans="2:7">
      <c r="B5343" s="848" t="str">
        <f>'4W'!AS67</f>
        <v>W3034OTHTOT</v>
      </c>
      <c r="D5343" s="2004"/>
      <c r="E5343" s="1658" t="s">
        <v>9033</v>
      </c>
      <c r="F5343" s="2004"/>
      <c r="G5343" s="2004">
        <f>IF('4W'!J67="","##BLANK",'4W'!J67)</f>
        <v>5.9960000000000004</v>
      </c>
    </row>
    <row r="5344" spans="2:7">
      <c r="B5344" s="848" t="str">
        <f>'4W'!AS68</f>
        <v>W3035OTHTOT</v>
      </c>
      <c r="D5344" s="2004"/>
      <c r="E5344" s="1658" t="s">
        <v>9033</v>
      </c>
      <c r="F5344" s="2004"/>
      <c r="G5344" s="2004">
        <f>IF('4W'!J68="","##BLANK",'4W'!J68)</f>
        <v>0</v>
      </c>
    </row>
    <row r="5345" spans="2:7">
      <c r="B5345" s="848" t="str">
        <f>'4W'!AT22</f>
        <v>BM402STIRS</v>
      </c>
      <c r="D5345" s="2004"/>
      <c r="E5345" s="1658" t="s">
        <v>9033</v>
      </c>
      <c r="F5345" s="2004"/>
      <c r="G5345" s="2004">
        <f>IF('4W'!K22="","##BLANK",'4W'!K22)</f>
        <v>0</v>
      </c>
    </row>
    <row r="5346" spans="2:7">
      <c r="B5346" s="848" t="str">
        <f>'4W'!AT23</f>
        <v>BM836STIRS</v>
      </c>
      <c r="D5346" s="2004"/>
      <c r="E5346" s="1658" t="s">
        <v>9033</v>
      </c>
      <c r="F5346" s="2004"/>
      <c r="G5346" s="2004">
        <f>IF('4W'!K23="","##BLANK",'4W'!K23)</f>
        <v>0</v>
      </c>
    </row>
    <row r="5347" spans="2:7">
      <c r="B5347" s="848" t="str">
        <f>'4W'!AT24</f>
        <v>WWS1003STIRS</v>
      </c>
      <c r="D5347" s="2004"/>
      <c r="E5347" s="1658" t="s">
        <v>9033</v>
      </c>
      <c r="F5347" s="2004"/>
      <c r="G5347" s="2004">
        <f>IF('4W'!K24="","##BLANK",'4W'!K24)</f>
        <v>0</v>
      </c>
    </row>
    <row r="5348" spans="2:7">
      <c r="B5348" s="848" t="str">
        <f>'4W'!AT25</f>
        <v>BM240STIRS</v>
      </c>
      <c r="D5348" s="2004"/>
      <c r="E5348" s="1658" t="s">
        <v>9033</v>
      </c>
      <c r="F5348" s="2004"/>
      <c r="G5348" s="2004">
        <f>IF('4W'!K25="","##BLANK",'4W'!K25)</f>
        <v>0</v>
      </c>
    </row>
    <row r="5349" spans="2:7">
      <c r="B5349" s="848" t="str">
        <f>'4W'!AT27</f>
        <v>WWS1005STIRS</v>
      </c>
      <c r="D5349" s="2004"/>
      <c r="E5349" s="1658" t="s">
        <v>9033</v>
      </c>
      <c r="F5349" s="2004"/>
      <c r="G5349" s="2004">
        <f>IF('4W'!K27="","##BLANK",'4W'!K27)</f>
        <v>0</v>
      </c>
    </row>
    <row r="5350" spans="2:7">
      <c r="B5350" s="848" t="str">
        <f>'4W'!AT28</f>
        <v>WWS1006STIRS</v>
      </c>
      <c r="D5350" s="2004"/>
      <c r="E5350" s="1658" t="s">
        <v>9033</v>
      </c>
      <c r="F5350" s="2004"/>
      <c r="G5350" s="2004">
        <f>IF('4W'!K28="","##BLANK",'4W'!K28)</f>
        <v>0</v>
      </c>
    </row>
    <row r="5351" spans="2:7">
      <c r="B5351" s="848" t="str">
        <f>'4W'!AT29</f>
        <v>BM408STIRS</v>
      </c>
      <c r="D5351" s="2004"/>
      <c r="E5351" s="1658" t="s">
        <v>9033</v>
      </c>
      <c r="F5351" s="2004"/>
      <c r="G5351" s="2004">
        <f>IF('4W'!K29="","##BLANK",'4W'!K29)</f>
        <v>0</v>
      </c>
    </row>
    <row r="5352" spans="2:7">
      <c r="B5352" s="848" t="str">
        <f>'4W'!AT30</f>
        <v>BM410STIRS</v>
      </c>
      <c r="D5352" s="2004"/>
      <c r="E5352" s="1658" t="s">
        <v>9033</v>
      </c>
      <c r="F5352" s="2004"/>
      <c r="G5352" s="2004">
        <f>IF('4W'!K30="","##BLANK",'4W'!K30)</f>
        <v>0</v>
      </c>
    </row>
    <row r="5353" spans="2:7">
      <c r="B5353" s="848" t="str">
        <f>'4W'!AT31</f>
        <v>BM816STIRS</v>
      </c>
      <c r="D5353" s="2004"/>
      <c r="E5353" s="1658" t="s">
        <v>9033</v>
      </c>
      <c r="F5353" s="2004"/>
      <c r="G5353" s="2004">
        <f>IF('4W'!K31="","##BLANK",'4W'!K31)</f>
        <v>0</v>
      </c>
    </row>
    <row r="5354" spans="2:7">
      <c r="B5354" s="848" t="str">
        <f>'4W'!AT32</f>
        <v>BM817STIRS</v>
      </c>
      <c r="D5354" s="2004"/>
      <c r="E5354" s="1658" t="s">
        <v>9033</v>
      </c>
      <c r="F5354" s="2004"/>
      <c r="G5354" s="2004">
        <f>IF('4W'!K32="","##BLANK",'4W'!K32)</f>
        <v>0</v>
      </c>
    </row>
    <row r="5355" spans="2:7">
      <c r="B5355" s="848" t="str">
        <f>'4W'!AT33</f>
        <v>BM8390STIRS</v>
      </c>
      <c r="D5355" s="2004"/>
      <c r="E5355" s="1658" t="s">
        <v>9033</v>
      </c>
      <c r="F5355" s="2004"/>
      <c r="G5355" s="2004">
        <f>IF('4W'!K33="","##BLANK",'4W'!K33)</f>
        <v>0</v>
      </c>
    </row>
    <row r="5356" spans="2:7">
      <c r="B5356" s="848" t="str">
        <f>'4W'!AT34</f>
        <v>FT00865STIRS</v>
      </c>
      <c r="D5356" s="2004"/>
      <c r="E5356" s="1658" t="s">
        <v>9033</v>
      </c>
      <c r="F5356" s="2004"/>
      <c r="G5356" s="2004">
        <f>IF('4W'!K34="","##BLANK",'4W'!K34)</f>
        <v>0</v>
      </c>
    </row>
    <row r="5357" spans="2:7">
      <c r="B5357" s="848" t="str">
        <f>'4W'!AT35</f>
        <v>BM319STIRS</v>
      </c>
      <c r="D5357" s="2004"/>
      <c r="E5357" s="1658" t="s">
        <v>9033</v>
      </c>
      <c r="F5357" s="2004"/>
      <c r="G5357" s="2004">
        <f>IF('4W'!K35="","##BLANK",'4W'!K35)</f>
        <v>0</v>
      </c>
    </row>
    <row r="5358" spans="2:7">
      <c r="B5358" s="848" t="str">
        <f>'4W'!AT38</f>
        <v>BM402SDSOT</v>
      </c>
      <c r="D5358" s="2004"/>
      <c r="E5358" s="1658" t="s">
        <v>9033</v>
      </c>
      <c r="F5358" s="2004"/>
      <c r="G5358" s="2004">
        <f>IF('4W'!K38="","##BLANK",'4W'!K38)</f>
        <v>0</v>
      </c>
    </row>
    <row r="5359" spans="2:7">
      <c r="B5359" s="848" t="str">
        <f>'4W'!AT39</f>
        <v>BM836SDSOT</v>
      </c>
      <c r="D5359" s="2004"/>
      <c r="E5359" s="1658" t="s">
        <v>9033</v>
      </c>
      <c r="F5359" s="2004"/>
      <c r="G5359" s="2004">
        <f>IF('4W'!K39="","##BLANK",'4W'!K39)</f>
        <v>0</v>
      </c>
    </row>
    <row r="5360" spans="2:7">
      <c r="B5360" s="848" t="str">
        <f>'4W'!AT40</f>
        <v>WWS1003SDSOT</v>
      </c>
      <c r="D5360" s="2004"/>
      <c r="E5360" s="1658" t="s">
        <v>9033</v>
      </c>
      <c r="F5360" s="2004"/>
      <c r="G5360" s="2004">
        <f>IF('4W'!K40="","##BLANK",'4W'!K40)</f>
        <v>0</v>
      </c>
    </row>
    <row r="5361" spans="2:7">
      <c r="B5361" s="848" t="str">
        <f>'4W'!AT41</f>
        <v>BM240SDSOT</v>
      </c>
      <c r="D5361" s="2004"/>
      <c r="E5361" s="1658" t="s">
        <v>9033</v>
      </c>
      <c r="F5361" s="2004"/>
      <c r="G5361" s="2004">
        <f>IF('4W'!K41="","##BLANK",'4W'!K41)</f>
        <v>0</v>
      </c>
    </row>
    <row r="5362" spans="2:7">
      <c r="B5362" s="848" t="str">
        <f>'4W'!AT43</f>
        <v>WWS1005SDSOT</v>
      </c>
      <c r="D5362" s="2004"/>
      <c r="E5362" s="1658" t="s">
        <v>9033</v>
      </c>
      <c r="F5362" s="2004"/>
      <c r="G5362" s="2004">
        <f>IF('4W'!K43="","##BLANK",'4W'!K43)</f>
        <v>0</v>
      </c>
    </row>
    <row r="5363" spans="2:7">
      <c r="B5363" s="848" t="str">
        <f>'4W'!AT44</f>
        <v>WWS1006SDSOT</v>
      </c>
      <c r="D5363" s="2004"/>
      <c r="E5363" s="1658" t="s">
        <v>9033</v>
      </c>
      <c r="F5363" s="2004"/>
      <c r="G5363" s="2004">
        <f>IF('4W'!K44="","##BLANK",'4W'!K44)</f>
        <v>0</v>
      </c>
    </row>
    <row r="5364" spans="2:7">
      <c r="B5364" s="848" t="str">
        <f>'4W'!AT45</f>
        <v>BM408SDSOT</v>
      </c>
      <c r="D5364" s="2004"/>
      <c r="E5364" s="1658" t="s">
        <v>9033</v>
      </c>
      <c r="F5364" s="2004"/>
      <c r="G5364" s="2004">
        <f>IF('4W'!K45="","##BLANK",'4W'!K45)</f>
        <v>0.46899999999999997</v>
      </c>
    </row>
    <row r="5365" spans="2:7">
      <c r="B5365" s="848" t="str">
        <f>'4W'!AT46</f>
        <v>BM410SDSOT</v>
      </c>
      <c r="D5365" s="2004"/>
      <c r="E5365" s="1658" t="s">
        <v>9033</v>
      </c>
      <c r="F5365" s="2004"/>
      <c r="G5365" s="2004">
        <f>IF('4W'!K46="","##BLANK",'4W'!K46)</f>
        <v>6.0999999999999999E-2</v>
      </c>
    </row>
    <row r="5366" spans="2:7">
      <c r="B5366" s="848" t="str">
        <f>'4W'!AT47</f>
        <v>BM816SDSOT</v>
      </c>
      <c r="D5366" s="2004"/>
      <c r="E5366" s="1658" t="s">
        <v>9033</v>
      </c>
      <c r="F5366" s="2004"/>
      <c r="G5366" s="2004">
        <f>IF('4W'!K47="","##BLANK",'4W'!K47)</f>
        <v>0.53</v>
      </c>
    </row>
    <row r="5367" spans="2:7">
      <c r="B5367" s="848" t="str">
        <f>'4W'!AT48</f>
        <v>BM817SDSOT</v>
      </c>
      <c r="D5367" s="2004"/>
      <c r="E5367" s="1658" t="s">
        <v>9033</v>
      </c>
      <c r="F5367" s="2004"/>
      <c r="G5367" s="2004">
        <f>IF('4W'!K48="","##BLANK",'4W'!K48)</f>
        <v>0</v>
      </c>
    </row>
    <row r="5368" spans="2:7">
      <c r="B5368" s="848" t="str">
        <f>'4W'!AT49</f>
        <v>BM8390SDSOT</v>
      </c>
      <c r="D5368" s="2004"/>
      <c r="E5368" s="1658" t="s">
        <v>9033</v>
      </c>
      <c r="F5368" s="2004"/>
      <c r="G5368" s="2004">
        <f>IF('4W'!K49="","##BLANK",'4W'!K49)</f>
        <v>0.53</v>
      </c>
    </row>
    <row r="5369" spans="2:7">
      <c r="B5369" s="848" t="str">
        <f>'4W'!AT50</f>
        <v>FT00865SDSOT</v>
      </c>
      <c r="D5369" s="2004"/>
      <c r="E5369" s="1658" t="s">
        <v>9033</v>
      </c>
      <c r="F5369" s="2004"/>
      <c r="G5369" s="2004">
        <f>IF('4W'!K50="","##BLANK",'4W'!K50)</f>
        <v>0</v>
      </c>
    </row>
    <row r="5370" spans="2:7">
      <c r="B5370" s="848" t="str">
        <f>'4W'!AT51</f>
        <v>BM319SDSOT</v>
      </c>
      <c r="D5370" s="2004"/>
      <c r="E5370" s="1658" t="s">
        <v>9033</v>
      </c>
      <c r="F5370" s="2004"/>
      <c r="G5370" s="2004">
        <f>IF('4W'!K51="","##BLANK",'4W'!K51)</f>
        <v>0.53</v>
      </c>
    </row>
    <row r="5371" spans="2:7">
      <c r="B5371" s="848" t="str">
        <f>'4W'!AU22</f>
        <v>BM402STIDS</v>
      </c>
      <c r="D5371" s="2004"/>
      <c r="E5371" s="1658" t="s">
        <v>9033</v>
      </c>
      <c r="F5371" s="2004"/>
      <c r="G5371" s="2004">
        <f>IF('4W'!L22="","##BLANK",'4W'!L22)</f>
        <v>0</v>
      </c>
    </row>
    <row r="5372" spans="2:7">
      <c r="B5372" s="848" t="str">
        <f>'4W'!AU23</f>
        <v>BM836STIDS</v>
      </c>
      <c r="D5372" s="2004"/>
      <c r="E5372" s="1658" t="s">
        <v>9033</v>
      </c>
      <c r="F5372" s="2004"/>
      <c r="G5372" s="2004">
        <f>IF('4W'!L23="","##BLANK",'4W'!L23)</f>
        <v>0</v>
      </c>
    </row>
    <row r="5373" spans="2:7">
      <c r="B5373" s="848" t="str">
        <f>'4W'!AU24</f>
        <v>WWS1003STIDS</v>
      </c>
      <c r="D5373" s="2004"/>
      <c r="E5373" s="1658" t="s">
        <v>9033</v>
      </c>
      <c r="F5373" s="2004"/>
      <c r="G5373" s="2004">
        <f>IF('4W'!L24="","##BLANK",'4W'!L24)</f>
        <v>0</v>
      </c>
    </row>
    <row r="5374" spans="2:7">
      <c r="B5374" s="848" t="str">
        <f>'4W'!AU25</f>
        <v>BM240STIDS</v>
      </c>
      <c r="D5374" s="2004"/>
      <c r="E5374" s="1658" t="s">
        <v>9033</v>
      </c>
      <c r="F5374" s="2004"/>
      <c r="G5374" s="2004">
        <f>IF('4W'!L25="","##BLANK",'4W'!L25)</f>
        <v>0</v>
      </c>
    </row>
    <row r="5375" spans="2:7">
      <c r="B5375" s="848" t="str">
        <f>'4W'!AU27</f>
        <v>WWS1005STIDS</v>
      </c>
      <c r="D5375" s="2004"/>
      <c r="E5375" s="1658" t="s">
        <v>9033</v>
      </c>
      <c r="F5375" s="2004"/>
      <c r="G5375" s="2004">
        <f>IF('4W'!L27="","##BLANK",'4W'!L27)</f>
        <v>0</v>
      </c>
    </row>
    <row r="5376" spans="2:7">
      <c r="B5376" s="848" t="str">
        <f>'4W'!AU28</f>
        <v>WWS1006STIDS</v>
      </c>
      <c r="D5376" s="2004"/>
      <c r="E5376" s="1658" t="s">
        <v>9033</v>
      </c>
      <c r="F5376" s="2004"/>
      <c r="G5376" s="2004">
        <f>IF('4W'!L28="","##BLANK",'4W'!L28)</f>
        <v>0</v>
      </c>
    </row>
    <row r="5377" spans="2:7">
      <c r="B5377" s="848" t="str">
        <f>'4W'!AU29</f>
        <v>BM408STIDS</v>
      </c>
      <c r="D5377" s="2004"/>
      <c r="E5377" s="1658" t="s">
        <v>9033</v>
      </c>
      <c r="F5377" s="2004"/>
      <c r="G5377" s="2004">
        <f>IF('4W'!L29="","##BLANK",'4W'!L29)</f>
        <v>0</v>
      </c>
    </row>
    <row r="5378" spans="2:7">
      <c r="B5378" s="848" t="str">
        <f>'4W'!AU30</f>
        <v>BM410STIDS</v>
      </c>
      <c r="D5378" s="2004"/>
      <c r="E5378" s="1658" t="s">
        <v>9033</v>
      </c>
      <c r="F5378" s="2004"/>
      <c r="G5378" s="2004">
        <f>IF('4W'!L30="","##BLANK",'4W'!L30)</f>
        <v>0</v>
      </c>
    </row>
    <row r="5379" spans="2:7">
      <c r="B5379" s="848" t="str">
        <f>'4W'!AU31</f>
        <v>BM816STIDS</v>
      </c>
      <c r="D5379" s="2004"/>
      <c r="E5379" s="1658" t="s">
        <v>9033</v>
      </c>
      <c r="F5379" s="2004"/>
      <c r="G5379" s="2004">
        <f>IF('4W'!L31="","##BLANK",'4W'!L31)</f>
        <v>0</v>
      </c>
    </row>
    <row r="5380" spans="2:7">
      <c r="B5380" s="848" t="str">
        <f>'4W'!AU32</f>
        <v>BM817STIDS</v>
      </c>
      <c r="D5380" s="2004"/>
      <c r="E5380" s="1658" t="s">
        <v>9033</v>
      </c>
      <c r="F5380" s="2004"/>
      <c r="G5380" s="2004">
        <f>IF('4W'!L32="","##BLANK",'4W'!L32)</f>
        <v>0</v>
      </c>
    </row>
    <row r="5381" spans="2:7">
      <c r="B5381" s="848" t="str">
        <f>'4W'!AU33</f>
        <v>BM8390STIDS</v>
      </c>
      <c r="D5381" s="2004"/>
      <c r="E5381" s="1658" t="s">
        <v>9033</v>
      </c>
      <c r="F5381" s="2004"/>
      <c r="G5381" s="2004">
        <f>IF('4W'!L33="","##BLANK",'4W'!L33)</f>
        <v>0</v>
      </c>
    </row>
    <row r="5382" spans="2:7">
      <c r="B5382" s="848" t="str">
        <f>'4W'!AU34</f>
        <v>FT00865STIDS</v>
      </c>
      <c r="D5382" s="2004"/>
      <c r="E5382" s="1658" t="s">
        <v>9033</v>
      </c>
      <c r="F5382" s="2004"/>
      <c r="G5382" s="2004">
        <f>IF('4W'!L34="","##BLANK",'4W'!L34)</f>
        <v>0</v>
      </c>
    </row>
    <row r="5383" spans="2:7">
      <c r="B5383" s="848" t="str">
        <f>'4W'!AU35</f>
        <v>BM319STIDS</v>
      </c>
      <c r="D5383" s="2004"/>
      <c r="E5383" s="1658" t="s">
        <v>9033</v>
      </c>
      <c r="F5383" s="2004"/>
      <c r="G5383" s="2004">
        <f>IF('4W'!L35="","##BLANK",'4W'!L35)</f>
        <v>0</v>
      </c>
    </row>
    <row r="5384" spans="2:7">
      <c r="B5384" s="848" t="str">
        <f>'4W'!AU38</f>
        <v>BM402SDTOT</v>
      </c>
      <c r="D5384" s="2004"/>
      <c r="E5384" s="1658" t="s">
        <v>9033</v>
      </c>
      <c r="F5384" s="2004"/>
      <c r="G5384" s="2004">
        <f>IF('4W'!L38="","##BLANK",'4W'!L38)</f>
        <v>0</v>
      </c>
    </row>
    <row r="5385" spans="2:7">
      <c r="B5385" s="848" t="str">
        <f>'4W'!AU39</f>
        <v>BM836SDTOT</v>
      </c>
      <c r="D5385" s="2004"/>
      <c r="E5385" s="1658" t="s">
        <v>9033</v>
      </c>
      <c r="F5385" s="2004"/>
      <c r="G5385" s="2004">
        <f>IF('4W'!L39="","##BLANK",'4W'!L39)</f>
        <v>0</v>
      </c>
    </row>
    <row r="5386" spans="2:7">
      <c r="B5386" s="848" t="str">
        <f>'4W'!AU40</f>
        <v>WWS1003SDTOT</v>
      </c>
      <c r="D5386" s="2004"/>
      <c r="E5386" s="1658" t="s">
        <v>9033</v>
      </c>
      <c r="F5386" s="2004"/>
      <c r="G5386" s="2004">
        <f>IF('4W'!L40="","##BLANK",'4W'!L40)</f>
        <v>0</v>
      </c>
    </row>
    <row r="5387" spans="2:7">
      <c r="B5387" s="848" t="str">
        <f>'4W'!AU41</f>
        <v>BM240SDTOT</v>
      </c>
      <c r="D5387" s="2004"/>
      <c r="E5387" s="1658" t="s">
        <v>9033</v>
      </c>
      <c r="F5387" s="2004"/>
      <c r="G5387" s="2004">
        <f>IF('4W'!L41="","##BLANK",'4W'!L41)</f>
        <v>0</v>
      </c>
    </row>
    <row r="5388" spans="2:7">
      <c r="B5388" s="848" t="str">
        <f>'4W'!AU43</f>
        <v>WWS1005SDTOT</v>
      </c>
      <c r="D5388" s="2004"/>
      <c r="E5388" s="1658" t="s">
        <v>9033</v>
      </c>
      <c r="F5388" s="2004"/>
      <c r="G5388" s="2004">
        <f>IF('4W'!L43="","##BLANK",'4W'!L43)</f>
        <v>0</v>
      </c>
    </row>
    <row r="5389" spans="2:7">
      <c r="B5389" s="848" t="str">
        <f>'4W'!AU44</f>
        <v>WWS1006SDTOT</v>
      </c>
      <c r="D5389" s="2004"/>
      <c r="E5389" s="1658" t="s">
        <v>9033</v>
      </c>
      <c r="F5389" s="2004"/>
      <c r="G5389" s="2004">
        <f>IF('4W'!L44="","##BLANK",'4W'!L44)</f>
        <v>0</v>
      </c>
    </row>
    <row r="5390" spans="2:7">
      <c r="B5390" s="848" t="str">
        <f>'4W'!AU45</f>
        <v>BM408SDTOT</v>
      </c>
      <c r="D5390" s="2004"/>
      <c r="E5390" s="1658" t="s">
        <v>9033</v>
      </c>
      <c r="F5390" s="2004"/>
      <c r="G5390" s="2004">
        <f>IF('4W'!L45="","##BLANK",'4W'!L45)</f>
        <v>9.6289999999999996</v>
      </c>
    </row>
    <row r="5391" spans="2:7">
      <c r="B5391" s="848" t="str">
        <f>'4W'!AU46</f>
        <v>BM410SDTOT</v>
      </c>
      <c r="D5391" s="2004"/>
      <c r="E5391" s="1658" t="s">
        <v>9033</v>
      </c>
      <c r="F5391" s="2004"/>
      <c r="G5391" s="2004">
        <f>IF('4W'!L46="","##BLANK",'4W'!L46)</f>
        <v>1.2679999999999998</v>
      </c>
    </row>
    <row r="5392" spans="2:7">
      <c r="B5392" s="848" t="str">
        <f>'4W'!AU47</f>
        <v>BM816SDTOT</v>
      </c>
      <c r="D5392" s="2004"/>
      <c r="E5392" s="1658" t="s">
        <v>9033</v>
      </c>
      <c r="F5392" s="2004"/>
      <c r="G5392" s="2004">
        <f>IF('4W'!L47="","##BLANK",'4W'!L47)</f>
        <v>10.896999999999998</v>
      </c>
    </row>
    <row r="5393" spans="2:7">
      <c r="B5393" s="848" t="str">
        <f>'4W'!AU48</f>
        <v>BM817SDTOT</v>
      </c>
      <c r="D5393" s="2004"/>
      <c r="E5393" s="1658" t="s">
        <v>9033</v>
      </c>
      <c r="F5393" s="2004"/>
      <c r="G5393" s="2004">
        <f>IF('4W'!L48="","##BLANK",'4W'!L48)</f>
        <v>0</v>
      </c>
    </row>
    <row r="5394" spans="2:7">
      <c r="B5394" s="848" t="str">
        <f>'4W'!AU49</f>
        <v>BM8390SDTOT</v>
      </c>
      <c r="D5394" s="2004"/>
      <c r="E5394" s="1658" t="s">
        <v>9033</v>
      </c>
      <c r="F5394" s="2004"/>
      <c r="G5394" s="2004">
        <f>IF('4W'!L49="","##BLANK",'4W'!L49)</f>
        <v>10.896999999999998</v>
      </c>
    </row>
    <row r="5395" spans="2:7">
      <c r="B5395" s="848" t="str">
        <f>'4W'!AU50</f>
        <v>FT00865SDTOT</v>
      </c>
      <c r="D5395" s="2004"/>
      <c r="E5395" s="1658" t="s">
        <v>9033</v>
      </c>
      <c r="F5395" s="2004"/>
      <c r="G5395" s="2004">
        <f>IF('4W'!L50="","##BLANK",'4W'!L50)</f>
        <v>0</v>
      </c>
    </row>
    <row r="5396" spans="2:7">
      <c r="B5396" s="848" t="str">
        <f>'4W'!AU51</f>
        <v>BM319SDTOT</v>
      </c>
      <c r="D5396" s="2004"/>
      <c r="E5396" s="1658" t="s">
        <v>9033</v>
      </c>
      <c r="F5396" s="2004"/>
      <c r="G5396" s="2004">
        <f>IF('4W'!L51="","##BLANK",'4W'!L51)</f>
        <v>10.896999999999998</v>
      </c>
    </row>
    <row r="5397" spans="2:7">
      <c r="B5397" s="848" t="str">
        <f>'4W'!AV22</f>
        <v>BM402STPCC</v>
      </c>
      <c r="D5397" s="2004"/>
      <c r="E5397" s="1658" t="s">
        <v>9033</v>
      </c>
      <c r="F5397" s="2004"/>
      <c r="G5397" s="2004">
        <f>IF('4W'!M22="","##BLANK",'4W'!M22)</f>
        <v>0</v>
      </c>
    </row>
    <row r="5398" spans="2:7">
      <c r="B5398" s="848" t="str">
        <f>'4W'!AV23</f>
        <v>BM836STPCC</v>
      </c>
      <c r="D5398" s="2004"/>
      <c r="E5398" s="1658" t="s">
        <v>9033</v>
      </c>
      <c r="F5398" s="2004"/>
      <c r="G5398" s="2004">
        <f>IF('4W'!M23="","##BLANK",'4W'!M23)</f>
        <v>0</v>
      </c>
    </row>
    <row r="5399" spans="2:7">
      <c r="B5399" s="848" t="str">
        <f>'4W'!AV24</f>
        <v>WWS1003STPCC</v>
      </c>
      <c r="D5399" s="2004"/>
      <c r="E5399" s="1658" t="s">
        <v>9033</v>
      </c>
      <c r="F5399" s="2004"/>
      <c r="G5399" s="2004">
        <f>IF('4W'!M24="","##BLANK",'4W'!M24)</f>
        <v>0</v>
      </c>
    </row>
    <row r="5400" spans="2:7">
      <c r="B5400" s="848" t="str">
        <f>'4W'!AV25</f>
        <v>BM240STPCC</v>
      </c>
      <c r="D5400" s="2004"/>
      <c r="E5400" s="1658" t="s">
        <v>9033</v>
      </c>
      <c r="F5400" s="2004"/>
      <c r="G5400" s="2004">
        <f>IF('4W'!M25="","##BLANK",'4W'!M25)</f>
        <v>0</v>
      </c>
    </row>
    <row r="5401" spans="2:7">
      <c r="B5401" s="848" t="str">
        <f>'4W'!AV27</f>
        <v>WWS1005STPCC</v>
      </c>
      <c r="D5401" s="2004"/>
      <c r="E5401" s="1658" t="s">
        <v>9033</v>
      </c>
      <c r="F5401" s="2004"/>
      <c r="G5401" s="2004">
        <f>IF('4W'!M27="","##BLANK",'4W'!M27)</f>
        <v>0</v>
      </c>
    </row>
    <row r="5402" spans="2:7">
      <c r="B5402" s="848" t="str">
        <f>'4W'!AV28</f>
        <v>WWS1006STPCC</v>
      </c>
      <c r="D5402" s="2004"/>
      <c r="E5402" s="1658" t="s">
        <v>9033</v>
      </c>
      <c r="F5402" s="2004"/>
      <c r="G5402" s="2004">
        <f>IF('4W'!M28="","##BLANK",'4W'!M28)</f>
        <v>0</v>
      </c>
    </row>
    <row r="5403" spans="2:7">
      <c r="B5403" s="848" t="str">
        <f>'4W'!AV29</f>
        <v>BM408STPCC</v>
      </c>
      <c r="D5403" s="2004"/>
      <c r="E5403" s="1658" t="s">
        <v>9033</v>
      </c>
      <c r="F5403" s="2004"/>
      <c r="G5403" s="2004">
        <f>IF('4W'!M29="","##BLANK",'4W'!M29)</f>
        <v>0</v>
      </c>
    </row>
    <row r="5404" spans="2:7">
      <c r="B5404" s="848" t="str">
        <f>'4W'!AV30</f>
        <v>BM410STPCC</v>
      </c>
      <c r="D5404" s="2004"/>
      <c r="E5404" s="1658" t="s">
        <v>9033</v>
      </c>
      <c r="F5404" s="2004"/>
      <c r="G5404" s="2004">
        <f>IF('4W'!M30="","##BLANK",'4W'!M30)</f>
        <v>0</v>
      </c>
    </row>
    <row r="5405" spans="2:7">
      <c r="B5405" s="848" t="str">
        <f>'4W'!AV31</f>
        <v>BM816STPCC</v>
      </c>
      <c r="D5405" s="2004"/>
      <c r="E5405" s="1658" t="s">
        <v>9033</v>
      </c>
      <c r="F5405" s="2004"/>
      <c r="G5405" s="2004">
        <f>IF('4W'!M31="","##BLANK",'4W'!M31)</f>
        <v>0</v>
      </c>
    </row>
    <row r="5406" spans="2:7">
      <c r="B5406" s="848" t="str">
        <f>'4W'!AV32</f>
        <v>BM817STPCC</v>
      </c>
      <c r="D5406" s="2004"/>
      <c r="E5406" s="1658" t="s">
        <v>9033</v>
      </c>
      <c r="F5406" s="2004"/>
      <c r="G5406" s="2004">
        <f>IF('4W'!M32="","##BLANK",'4W'!M32)</f>
        <v>0</v>
      </c>
    </row>
    <row r="5407" spans="2:7">
      <c r="B5407" s="848" t="str">
        <f>'4W'!AV33</f>
        <v>BM8390STPCC</v>
      </c>
      <c r="D5407" s="2004"/>
      <c r="E5407" s="1658" t="s">
        <v>9033</v>
      </c>
      <c r="F5407" s="2004"/>
      <c r="G5407" s="2004">
        <f>IF('4W'!M33="","##BLANK",'4W'!M33)</f>
        <v>0</v>
      </c>
    </row>
    <row r="5408" spans="2:7">
      <c r="B5408" s="848" t="str">
        <f>'4W'!AV34</f>
        <v>FT00865STPCC</v>
      </c>
      <c r="D5408" s="2004"/>
      <c r="E5408" s="1658" t="s">
        <v>9033</v>
      </c>
      <c r="F5408" s="2004"/>
      <c r="G5408" s="2004">
        <f>IF('4W'!M34="","##BLANK",'4W'!M34)</f>
        <v>0</v>
      </c>
    </row>
    <row r="5409" spans="2:7">
      <c r="B5409" s="848" t="str">
        <f>'4W'!AV35</f>
        <v>BM319STPCC</v>
      </c>
      <c r="D5409" s="2004"/>
      <c r="E5409" s="1658" t="s">
        <v>9033</v>
      </c>
      <c r="F5409" s="2004"/>
      <c r="G5409" s="2004">
        <f>IF('4W'!M35="","##BLANK",'4W'!M35)</f>
        <v>0</v>
      </c>
    </row>
    <row r="5410" spans="2:7">
      <c r="B5410" s="848" t="str">
        <f>'4W'!AW22</f>
        <v>BM402STSLOT</v>
      </c>
      <c r="D5410" s="2004"/>
      <c r="E5410" s="1658" t="s">
        <v>9033</v>
      </c>
      <c r="F5410" s="2004"/>
      <c r="G5410" s="2004">
        <f>IF('4W'!N22="","##BLANK",'4W'!N22)</f>
        <v>0</v>
      </c>
    </row>
    <row r="5411" spans="2:7">
      <c r="B5411" s="848" t="str">
        <f>'4W'!AW23</f>
        <v>BM836STSLOT</v>
      </c>
      <c r="D5411" s="2004"/>
      <c r="E5411" s="1658" t="s">
        <v>9033</v>
      </c>
      <c r="F5411" s="2004"/>
      <c r="G5411" s="2004">
        <f>IF('4W'!N23="","##BLANK",'4W'!N23)</f>
        <v>0</v>
      </c>
    </row>
    <row r="5412" spans="2:7">
      <c r="B5412" s="848" t="str">
        <f>'4W'!AW24</f>
        <v>WWS1003STSLOT</v>
      </c>
      <c r="D5412" s="2004"/>
      <c r="E5412" s="1658" t="s">
        <v>9033</v>
      </c>
      <c r="F5412" s="2004"/>
      <c r="G5412" s="2004">
        <f>IF('4W'!N24="","##BLANK",'4W'!N24)</f>
        <v>0</v>
      </c>
    </row>
    <row r="5413" spans="2:7">
      <c r="B5413" s="848" t="str">
        <f>'4W'!AW25</f>
        <v>BM240STSLOT</v>
      </c>
      <c r="D5413" s="2004"/>
      <c r="E5413" s="1658" t="s">
        <v>9033</v>
      </c>
      <c r="F5413" s="2004"/>
      <c r="G5413" s="2004">
        <f>IF('4W'!N25="","##BLANK",'4W'!N25)</f>
        <v>0</v>
      </c>
    </row>
    <row r="5414" spans="2:7">
      <c r="B5414" s="848" t="str">
        <f>'4W'!AW27</f>
        <v>WWS1005STSLOT</v>
      </c>
      <c r="D5414" s="2004"/>
      <c r="E5414" s="1658" t="s">
        <v>9033</v>
      </c>
      <c r="F5414" s="2004"/>
      <c r="G5414" s="2004">
        <f>IF('4W'!N27="","##BLANK",'4W'!N27)</f>
        <v>0</v>
      </c>
    </row>
    <row r="5415" spans="2:7">
      <c r="B5415" s="848" t="str">
        <f>'4W'!AW28</f>
        <v>WWS1006STSLOT</v>
      </c>
      <c r="D5415" s="2004"/>
      <c r="E5415" s="1658" t="s">
        <v>9033</v>
      </c>
      <c r="F5415" s="2004"/>
      <c r="G5415" s="2004">
        <f>IF('4W'!N28="","##BLANK",'4W'!N28)</f>
        <v>0</v>
      </c>
    </row>
    <row r="5416" spans="2:7">
      <c r="B5416" s="848" t="str">
        <f>'4W'!AW29</f>
        <v>BM408STSLOT</v>
      </c>
      <c r="D5416" s="2004"/>
      <c r="E5416" s="1658" t="s">
        <v>9033</v>
      </c>
      <c r="F5416" s="2004"/>
      <c r="G5416" s="2004">
        <f>IF('4W'!N29="","##BLANK",'4W'!N29)</f>
        <v>0</v>
      </c>
    </row>
    <row r="5417" spans="2:7">
      <c r="B5417" s="848" t="str">
        <f>'4W'!AW30</f>
        <v>BM410STSLOT</v>
      </c>
      <c r="D5417" s="2004"/>
      <c r="E5417" s="1658" t="s">
        <v>9033</v>
      </c>
      <c r="F5417" s="2004"/>
      <c r="G5417" s="2004">
        <f>IF('4W'!N30="","##BLANK",'4W'!N30)</f>
        <v>0</v>
      </c>
    </row>
    <row r="5418" spans="2:7">
      <c r="B5418" s="848" t="str">
        <f>'4W'!AW31</f>
        <v>BM816STSLOT</v>
      </c>
      <c r="D5418" s="2004"/>
      <c r="E5418" s="1658" t="s">
        <v>9033</v>
      </c>
      <c r="F5418" s="2004"/>
      <c r="G5418" s="2004">
        <f>IF('4W'!N31="","##BLANK",'4W'!N31)</f>
        <v>0</v>
      </c>
    </row>
    <row r="5419" spans="2:7">
      <c r="B5419" s="848" t="str">
        <f>'4W'!AW32</f>
        <v>BM817STSLOT</v>
      </c>
      <c r="D5419" s="2004"/>
      <c r="E5419" s="1658" t="s">
        <v>9033</v>
      </c>
      <c r="F5419" s="2004"/>
      <c r="G5419" s="2004">
        <f>IF('4W'!N32="","##BLANK",'4W'!N32)</f>
        <v>0</v>
      </c>
    </row>
    <row r="5420" spans="2:7">
      <c r="B5420" s="848" t="str">
        <f>'4W'!AW33</f>
        <v>BM8390STSLOT</v>
      </c>
      <c r="D5420" s="2004"/>
      <c r="E5420" s="1658" t="s">
        <v>9033</v>
      </c>
      <c r="F5420" s="2004"/>
      <c r="G5420" s="2004">
        <f>IF('4W'!N33="","##BLANK",'4W'!N33)</f>
        <v>0</v>
      </c>
    </row>
    <row r="5421" spans="2:7">
      <c r="B5421" s="848" t="str">
        <f>'4W'!AW34</f>
        <v>FT00865STSLOT</v>
      </c>
      <c r="D5421" s="2004"/>
      <c r="E5421" s="1658" t="s">
        <v>9033</v>
      </c>
      <c r="F5421" s="2004"/>
      <c r="G5421" s="2004">
        <f>IF('4W'!N34="","##BLANK",'4W'!N34)</f>
        <v>0.26700000000000002</v>
      </c>
    </row>
    <row r="5422" spans="2:7">
      <c r="B5422" s="848" t="str">
        <f>'4W'!AW35</f>
        <v>BM319STSLOT</v>
      </c>
      <c r="D5422" s="2004"/>
      <c r="E5422" s="1658" t="s">
        <v>9033</v>
      </c>
      <c r="F5422" s="2004"/>
      <c r="G5422" s="2004">
        <f>IF('4W'!N35="","##BLANK",'4W'!N35)</f>
        <v>0.26700000000000002</v>
      </c>
    </row>
    <row r="5423" spans="2:7">
      <c r="B5423" s="848" t="str">
        <f>'4W'!AX22</f>
        <v>BM402STTOT</v>
      </c>
      <c r="D5423" s="2004"/>
      <c r="E5423" s="1658" t="s">
        <v>9033</v>
      </c>
      <c r="F5423" s="2004"/>
      <c r="G5423" s="2004">
        <f>IF('4W'!O22="","##BLANK",'4W'!O22)</f>
        <v>-3.0710000000000002</v>
      </c>
    </row>
    <row r="5424" spans="2:7">
      <c r="B5424" s="848" t="str">
        <f>'4W'!AX23</f>
        <v>BM836STTOT</v>
      </c>
      <c r="D5424" s="2004"/>
      <c r="E5424" s="1658" t="s">
        <v>9033</v>
      </c>
      <c r="F5424" s="2004"/>
      <c r="G5424" s="2004">
        <f>IF('4W'!O23="","##BLANK",'4W'!O23)</f>
        <v>-2.262</v>
      </c>
    </row>
    <row r="5425" spans="2:7">
      <c r="B5425" s="848" t="str">
        <f>'4W'!AX24</f>
        <v>WWS1003STTOT</v>
      </c>
      <c r="D5425" s="2004"/>
      <c r="E5425" s="1658" t="s">
        <v>9033</v>
      </c>
      <c r="F5425" s="2004"/>
      <c r="G5425" s="2004">
        <f>IF('4W'!O24="","##BLANK",'4W'!O24)</f>
        <v>0</v>
      </c>
    </row>
    <row r="5426" spans="2:7">
      <c r="B5426" s="848" t="str">
        <f>'4W'!AX25</f>
        <v>BM240STTOT</v>
      </c>
      <c r="D5426" s="2004"/>
      <c r="E5426" s="1658" t="s">
        <v>9033</v>
      </c>
      <c r="F5426" s="2004"/>
      <c r="G5426" s="2004">
        <f>IF('4W'!O25="","##BLANK",'4W'!O25)</f>
        <v>0</v>
      </c>
    </row>
    <row r="5427" spans="2:7">
      <c r="B5427" s="848" t="str">
        <f>'4W'!AX27</f>
        <v>WWS1005STTOT</v>
      </c>
      <c r="D5427" s="2004"/>
      <c r="E5427" s="1658" t="s">
        <v>9033</v>
      </c>
      <c r="F5427" s="2004"/>
      <c r="G5427" s="2004">
        <f>IF('4W'!O27="","##BLANK",'4W'!O27)</f>
        <v>0</v>
      </c>
    </row>
    <row r="5428" spans="2:7">
      <c r="B5428" s="848" t="str">
        <f>'4W'!AX28</f>
        <v>WWS1006STTOT</v>
      </c>
      <c r="D5428" s="2004"/>
      <c r="E5428" s="1658" t="s">
        <v>9033</v>
      </c>
      <c r="F5428" s="2004"/>
      <c r="G5428" s="2004">
        <f>IF('4W'!O28="","##BLANK",'4W'!O28)</f>
        <v>0</v>
      </c>
    </row>
    <row r="5429" spans="2:7">
      <c r="B5429" s="848" t="str">
        <f>'4W'!AX29</f>
        <v>BM408STTOT</v>
      </c>
      <c r="D5429" s="2004"/>
      <c r="E5429" s="1658" t="s">
        <v>9033</v>
      </c>
      <c r="F5429" s="2004"/>
      <c r="G5429" s="2004">
        <f>IF('4W'!O29="","##BLANK",'4W'!O29)</f>
        <v>17.500999999999998</v>
      </c>
    </row>
    <row r="5430" spans="2:7">
      <c r="B5430" s="848" t="str">
        <f>'4W'!AX30</f>
        <v>BM410STTOT</v>
      </c>
      <c r="D5430" s="2004"/>
      <c r="E5430" s="1658" t="s">
        <v>9033</v>
      </c>
      <c r="F5430" s="2004"/>
      <c r="G5430" s="2004">
        <f>IF('4W'!O30="","##BLANK",'4W'!O30)</f>
        <v>3.1399999999999997</v>
      </c>
    </row>
    <row r="5431" spans="2:7">
      <c r="B5431" s="848" t="str">
        <f>'4W'!AX31</f>
        <v>BM816STTOT</v>
      </c>
      <c r="D5431" s="2004"/>
      <c r="E5431" s="1658" t="s">
        <v>9033</v>
      </c>
      <c r="F5431" s="2004"/>
      <c r="G5431" s="2004">
        <f>IF('4W'!O31="","##BLANK",'4W'!O31)</f>
        <v>15.308</v>
      </c>
    </row>
    <row r="5432" spans="2:7">
      <c r="B5432" s="848" t="str">
        <f>'4W'!AX32</f>
        <v>BM817STTOT</v>
      </c>
      <c r="D5432" s="2004"/>
      <c r="E5432" s="1658" t="s">
        <v>9033</v>
      </c>
      <c r="F5432" s="2004"/>
      <c r="G5432" s="2004">
        <f>IF('4W'!O32="","##BLANK",'4W'!O32)</f>
        <v>1.411</v>
      </c>
    </row>
    <row r="5433" spans="2:7">
      <c r="B5433" s="848" t="str">
        <f>'4W'!AX33</f>
        <v>BM8390STTOT</v>
      </c>
      <c r="D5433" s="2004"/>
      <c r="E5433" s="1658" t="s">
        <v>9033</v>
      </c>
      <c r="F5433" s="2004"/>
      <c r="G5433" s="2004">
        <f>IF('4W'!O33="","##BLANK",'4W'!O33)</f>
        <v>16.719000000000001</v>
      </c>
    </row>
    <row r="5434" spans="2:7">
      <c r="B5434" s="848" t="str">
        <f>'4W'!AX34</f>
        <v>FT00865STTOT</v>
      </c>
      <c r="D5434" s="2004"/>
      <c r="E5434" s="1658" t="s">
        <v>9033</v>
      </c>
      <c r="F5434" s="2004"/>
      <c r="G5434" s="2004">
        <f>IF('4W'!O34="","##BLANK",'4W'!O34)</f>
        <v>18.388000000000002</v>
      </c>
    </row>
    <row r="5435" spans="2:7">
      <c r="B5435" s="848" t="str">
        <f>'4W'!AX35</f>
        <v>BM319STTOT</v>
      </c>
      <c r="D5435" s="2004"/>
      <c r="E5435" s="1658" t="s">
        <v>9033</v>
      </c>
      <c r="F5435" s="2004"/>
      <c r="G5435" s="2004">
        <f>IF('4W'!O35="","##BLANK",'4W'!O35)</f>
        <v>35.107000000000006</v>
      </c>
    </row>
    <row r="5436" spans="2:7">
      <c r="B5436" s="848" t="str">
        <f>Bioresources!D6</f>
        <v>CR3001BIOM</v>
      </c>
      <c r="D5436" s="2004"/>
      <c r="E5436" s="1658" t="s">
        <v>9033</v>
      </c>
      <c r="F5436" s="2004"/>
      <c r="G5436" s="2004">
        <f>IF(Bioresources!G6="","##BLANK",Bioresources!G6)</f>
        <v>16</v>
      </c>
    </row>
    <row r="5437" spans="2:7">
      <c r="B5437" s="848" t="str">
        <f>Bioresources!D7</f>
        <v>CR3002BIOM</v>
      </c>
      <c r="D5437" s="2004"/>
      <c r="E5437" s="1658" t="s">
        <v>9033</v>
      </c>
      <c r="F5437" s="2004"/>
      <c r="G5437" s="2004">
        <f>IF(Bioresources!G7="","##BLANK",Bioresources!G7)</f>
        <v>14801.299000000001</v>
      </c>
    </row>
    <row r="5438" spans="2:7">
      <c r="B5438" s="848" t="str">
        <f>Bioresources!D8</f>
        <v>CR3003BIOM</v>
      </c>
      <c r="D5438" s="2004"/>
      <c r="E5438" s="1658" t="s">
        <v>9033</v>
      </c>
      <c r="F5438" s="2004"/>
      <c r="G5438" s="2004">
        <f>IF(Bioresources!G8="","##BLANK",Bioresources!G8)</f>
        <v>14</v>
      </c>
    </row>
    <row r="5439" spans="2:7">
      <c r="B5439" s="848" t="str">
        <f>Bioresources!D9</f>
        <v>CR3004BIOM</v>
      </c>
      <c r="D5439" s="2004"/>
      <c r="E5439" s="1658" t="s">
        <v>9033</v>
      </c>
      <c r="F5439" s="2004"/>
      <c r="G5439" s="2004">
        <f>IF(Bioresources!G9="","##BLANK",Bioresources!G9)</f>
        <v>14</v>
      </c>
    </row>
    <row r="5440" spans="2:7">
      <c r="B5440" s="848" t="str">
        <f>Bioresources!D10</f>
        <v>CR3005BIOM</v>
      </c>
      <c r="D5440" s="2004"/>
      <c r="E5440" s="1658" t="s">
        <v>9033</v>
      </c>
      <c r="F5440" s="2004"/>
      <c r="G5440" s="2004">
        <f>IF(Bioresources!G10="","##BLANK",Bioresources!G10)</f>
        <v>13</v>
      </c>
    </row>
    <row r="5441" spans="2:7">
      <c r="B5441" s="848" t="str">
        <f>Bioresources!D11</f>
        <v>CR3006BIOM</v>
      </c>
      <c r="D5441" s="2004"/>
      <c r="E5441" s="1658" t="s">
        <v>9033</v>
      </c>
      <c r="F5441" s="2004"/>
      <c r="G5441" s="2004">
        <f>IF(Bioresources!G11="","##BLANK",Bioresources!G11)</f>
        <v>1</v>
      </c>
    </row>
    <row r="5442" spans="2:7">
      <c r="B5442" s="848" t="str">
        <f>Bioresources!D14</f>
        <v>CR3007BIOM</v>
      </c>
      <c r="D5442" s="2004"/>
      <c r="E5442" s="1658" t="s">
        <v>9033</v>
      </c>
      <c r="F5442" s="2004"/>
      <c r="G5442" s="2004">
        <f>IF(Bioresources!G14="","##BLANK",Bioresources!G14)</f>
        <v>1</v>
      </c>
    </row>
    <row r="5443" spans="2:7">
      <c r="B5443" s="848" t="str">
        <f>Bioresources!D15</f>
        <v>CR3008BIOM</v>
      </c>
      <c r="D5443" s="2004"/>
      <c r="E5443" s="1658" t="s">
        <v>9033</v>
      </c>
      <c r="F5443" s="2004"/>
      <c r="G5443" s="2004">
        <f>IF(Bioresources!G15="","##BLANK",Bioresources!G15)</f>
        <v>3</v>
      </c>
    </row>
    <row r="5444" spans="2:7">
      <c r="B5444" s="848" t="str">
        <f>Bioresources!D16</f>
        <v>CR3009BIOM</v>
      </c>
      <c r="D5444" s="2004"/>
      <c r="E5444" s="1658" t="s">
        <v>9033</v>
      </c>
      <c r="F5444" s="2004"/>
      <c r="G5444" s="2004">
        <f>IF(Bioresources!G16="","##BLANK",Bioresources!G16)</f>
        <v>1</v>
      </c>
    </row>
    <row r="5445" spans="2:7">
      <c r="B5445" s="848" t="str">
        <f>Bioresources!D19</f>
        <v>CR3010BIOM</v>
      </c>
      <c r="D5445" s="2004"/>
      <c r="E5445" s="1658" t="s">
        <v>9033</v>
      </c>
      <c r="F5445" s="2004"/>
      <c r="G5445" s="2004">
        <f>IF(Bioresources!G19="","##BLANK",Bioresources!G19)</f>
        <v>0</v>
      </c>
    </row>
    <row r="5446" spans="2:7">
      <c r="B5446" s="848" t="str">
        <f>Bioresources!D20</f>
        <v>CR3011BIOM</v>
      </c>
      <c r="D5446" s="2004"/>
      <c r="E5446" s="1658" t="s">
        <v>9033</v>
      </c>
      <c r="F5446" s="2004"/>
      <c r="G5446" s="2004">
        <f>IF(Bioresources!G20="","##BLANK",Bioresources!G20)</f>
        <v>0</v>
      </c>
    </row>
    <row r="5447" spans="2:7">
      <c r="B5447" s="848" t="str">
        <f>Bioresources!D23</f>
        <v>CR3012BIOM</v>
      </c>
      <c r="D5447" s="2004"/>
      <c r="E5447" s="1658" t="s">
        <v>9033</v>
      </c>
      <c r="F5447" s="2004"/>
      <c r="G5447" s="2004">
        <f>IF(Bioresources!G23="","##BLANK",Bioresources!G23)</f>
        <v>148.74</v>
      </c>
    </row>
    <row r="5448" spans="2:7">
      <c r="B5448" s="848" t="str">
        <f>Bioresources!D24</f>
        <v>CR3013BIOM</v>
      </c>
      <c r="D5448" s="2004"/>
      <c r="E5448" s="1658" t="s">
        <v>9033</v>
      </c>
      <c r="F5448" s="2004"/>
      <c r="G5448" s="2004">
        <f>IF(Bioresources!G24="","##BLANK",Bioresources!G24)</f>
        <v>146.69999999999999</v>
      </c>
    </row>
    <row r="5449" spans="2:7">
      <c r="B5449" s="848" t="str">
        <f>Bioresources!D25</f>
        <v>CR3014BIOM</v>
      </c>
      <c r="D5449" s="2004"/>
      <c r="E5449" s="1658" t="s">
        <v>9033</v>
      </c>
      <c r="F5449" s="2004"/>
      <c r="G5449" s="2004">
        <f>IF(Bioresources!G25="","##BLANK",Bioresources!G25)</f>
        <v>2.04</v>
      </c>
    </row>
    <row r="5450" spans="2:7">
      <c r="B5450" s="848" t="str">
        <f>Bioresources!D26</f>
        <v>CR3015BIOM</v>
      </c>
      <c r="D5450" s="2004"/>
      <c r="E5450" s="1658" t="s">
        <v>9033</v>
      </c>
      <c r="F5450" s="2004"/>
      <c r="G5450" s="2004">
        <f>IF(Bioresources!G26="","##BLANK",Bioresources!G26)</f>
        <v>2</v>
      </c>
    </row>
    <row r="5451" spans="2:7">
      <c r="B5451" s="848" t="str">
        <f>Bioresources!D27</f>
        <v>CR3016BIOM</v>
      </c>
      <c r="D5451" s="2004"/>
      <c r="E5451" s="1658" t="s">
        <v>9033</v>
      </c>
      <c r="F5451" s="2004"/>
      <c r="G5451" s="2004">
        <f>IF(Bioresources!G27="","##BLANK",Bioresources!G27)</f>
        <v>2</v>
      </c>
    </row>
    <row r="5452" spans="2:7">
      <c r="B5452" s="848" t="str">
        <f>Bioresources!D30</f>
        <v>CR3017BIOM</v>
      </c>
      <c r="D5452" s="2004"/>
      <c r="E5452" s="1658" t="s">
        <v>9033</v>
      </c>
      <c r="F5452" s="2004"/>
      <c r="G5452" s="2004">
        <f>IF(Bioresources!G30="","##BLANK",Bioresources!G30)</f>
        <v>136.36000000000001</v>
      </c>
    </row>
    <row r="5453" spans="2:7">
      <c r="B5453" s="848" t="str">
        <f>Bioresources!D31</f>
        <v>CR3018BIOM</v>
      </c>
      <c r="D5453" s="2004"/>
      <c r="E5453" s="1658" t="s">
        <v>9033</v>
      </c>
      <c r="F5453" s="2004"/>
      <c r="G5453" s="2004">
        <f>IF(Bioresources!G31="","##BLANK",Bioresources!G31)</f>
        <v>22.05</v>
      </c>
    </row>
    <row r="5454" spans="2:7">
      <c r="B5454" s="848" t="str">
        <f>Bioresources!D32</f>
        <v>CR3019BIOM</v>
      </c>
      <c r="D5454" s="2004"/>
      <c r="E5454" s="1658" t="s">
        <v>9033</v>
      </c>
      <c r="F5454" s="2004"/>
      <c r="G5454" s="2004">
        <f>IF(Bioresources!G32="","##BLANK",Bioresources!G32)</f>
        <v>114.31</v>
      </c>
    </row>
    <row r="5455" spans="2:7">
      <c r="B5455" s="848" t="str">
        <f>Bioresources!D33</f>
        <v>CR3020BIOM</v>
      </c>
      <c r="D5455" s="2004"/>
      <c r="E5455" s="1658" t="s">
        <v>9033</v>
      </c>
      <c r="F5455" s="2004"/>
      <c r="G5455" s="2004">
        <f>IF(Bioresources!G33="","##BLANK",Bioresources!G33)</f>
        <v>14</v>
      </c>
    </row>
    <row r="5456" spans="2:7">
      <c r="B5456" s="848" t="str">
        <f>Bioresources!D34</f>
        <v>CR3021BIOM</v>
      </c>
      <c r="D5456" s="2004"/>
      <c r="E5456" s="1658" t="s">
        <v>9033</v>
      </c>
      <c r="F5456" s="2004"/>
      <c r="G5456" s="2004">
        <f>IF(Bioresources!G34="","##BLANK",Bioresources!G34)</f>
        <v>12</v>
      </c>
    </row>
    <row r="5457" spans="2:7">
      <c r="B5457" s="848" t="str">
        <f>Bioresources!D37</f>
        <v>CR3022BIOM</v>
      </c>
      <c r="D5457" s="2004"/>
      <c r="E5457" s="1658" t="s">
        <v>9033</v>
      </c>
      <c r="F5457" s="2004"/>
      <c r="G5457" s="2004">
        <f>IF(Bioresources!G37="","##BLANK",Bioresources!G37)</f>
        <v>75.540000000000006</v>
      </c>
    </row>
    <row r="5458" spans="2:7">
      <c r="B5458" s="848" t="str">
        <f>Bioresources!D38</f>
        <v>CR3023BIOM</v>
      </c>
      <c r="D5458" s="2004"/>
      <c r="E5458" s="1658" t="s">
        <v>9033</v>
      </c>
      <c r="F5458" s="2004"/>
      <c r="G5458" s="2004">
        <f>IF(Bioresources!G38="","##BLANK",Bioresources!G38)</f>
        <v>0</v>
      </c>
    </row>
    <row r="5459" spans="2:7">
      <c r="B5459" s="848" t="str">
        <f>Bioresources!D39</f>
        <v>CR3024BIOM</v>
      </c>
      <c r="D5459" s="2004"/>
      <c r="E5459" s="1658" t="s">
        <v>9033</v>
      </c>
      <c r="F5459" s="2004"/>
      <c r="G5459" s="2004">
        <f>IF(Bioresources!G39="","##BLANK",Bioresources!G39)</f>
        <v>75.540000000000006</v>
      </c>
    </row>
    <row r="5460" spans="2:7">
      <c r="B5460" s="848" t="str">
        <f>Bioresources!D40</f>
        <v>CR3025BIOM</v>
      </c>
      <c r="D5460" s="2004"/>
      <c r="E5460" s="1658" t="s">
        <v>9033</v>
      </c>
      <c r="F5460" s="2004"/>
      <c r="G5460" s="2004">
        <f>IF(Bioresources!G40="","##BLANK",Bioresources!G40)</f>
        <v>3</v>
      </c>
    </row>
    <row r="5461" spans="2:7">
      <c r="B5461" s="848" t="str">
        <f>Bioresources!D41</f>
        <v>CR3026BIOM</v>
      </c>
      <c r="D5461" s="2004"/>
      <c r="E5461" s="1658" t="s">
        <v>9033</v>
      </c>
      <c r="F5461" s="2004"/>
      <c r="G5461" s="2004">
        <f>IF(Bioresources!G41="","##BLANK",Bioresources!G41)</f>
        <v>3</v>
      </c>
    </row>
  </sheetData>
  <sheetProtection algorithmName="SHA-512" hashValue="MO4+jnRwC/wghOSlCaoYevye5+pytEBgsgWxZGBIziAkK1eXW2NblO0kOvJvLAaQh30dcipRLkfWYvjYHkSkqQ==" saltValue="JYBTkOKCcsHsbDHIMeHZDg=="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tabColor rgb="FFFF0000"/>
    <pageSetUpPr fitToPage="1"/>
  </sheetPr>
  <dimension ref="A1:G178"/>
  <sheetViews>
    <sheetView workbookViewId="0"/>
  </sheetViews>
  <sheetFormatPr defaultColWidth="12.5" defaultRowHeight="14.25"/>
  <cols>
    <col min="3" max="3" width="16.5" customWidth="1"/>
    <col min="4" max="4" width="51.125" customWidth="1"/>
    <col min="6" max="6" width="21.125" customWidth="1"/>
    <col min="7" max="7" width="15.125" customWidth="1"/>
  </cols>
  <sheetData>
    <row r="1" spans="1:7">
      <c r="A1" s="2004"/>
      <c r="B1" s="2004"/>
      <c r="C1" s="2004"/>
      <c r="D1" s="2004" t="str">
        <f>"APR_2019-20_"&amp;INDEX(Lists!$C$4:$C$26,MATCH(Validation!$B$3,Lists!$B$4:$B$26,0))</f>
        <v>APR_2019-20_YKY</v>
      </c>
      <c r="E1" s="2004"/>
      <c r="F1" s="2004"/>
      <c r="G1" s="2004"/>
    </row>
    <row r="2" spans="1:7">
      <c r="A2" s="2004" t="s">
        <v>9029</v>
      </c>
      <c r="B2" s="2004" t="s">
        <v>9034</v>
      </c>
      <c r="C2" s="2004" t="s">
        <v>9030</v>
      </c>
      <c r="D2" s="2004" t="s">
        <v>4916</v>
      </c>
      <c r="E2" s="2004" t="s">
        <v>2310</v>
      </c>
      <c r="F2" s="2004" t="s">
        <v>9031</v>
      </c>
      <c r="G2" s="2004" t="s">
        <v>2931</v>
      </c>
    </row>
    <row r="3" spans="1:7" ht="15" thickBot="1">
      <c r="A3" s="2004"/>
      <c r="B3" s="2004"/>
      <c r="C3" s="2004"/>
      <c r="D3" s="2004"/>
      <c r="E3" s="2004"/>
      <c r="F3" s="2004"/>
      <c r="G3" s="2004"/>
    </row>
    <row r="4" spans="1:7">
      <c r="A4" s="1648" t="str">
        <f>INDEX(Lists!$C$4:$C$26,MATCH(Validation!$B$3,Lists!$B$4:$B$26,0))</f>
        <v>YKY</v>
      </c>
      <c r="B4" s="1649" t="str">
        <f>INDEX(Lists!$C$4:$C$26,MATCH(Validation!$B$3,Lists!$B$4:$B$26,0))&amp;"_AIM01"</f>
        <v>YKY_AIM01</v>
      </c>
      <c r="C4" s="1649" t="s">
        <v>2387</v>
      </c>
      <c r="D4" s="1649" t="s">
        <v>9035</v>
      </c>
      <c r="E4" s="1649" t="s">
        <v>4149</v>
      </c>
      <c r="F4" s="1649" t="s">
        <v>9033</v>
      </c>
      <c r="G4" s="1655" t="str">
        <f>IF('3C'!C5="","##BLANK",'3C'!C5)</f>
        <v>N/a</v>
      </c>
    </row>
    <row r="5" spans="1:7">
      <c r="A5" s="1650" t="str">
        <f>INDEX(Lists!$C$4:$C$26,MATCH(Validation!$B$3,Lists!$B$4:$B$26,0))</f>
        <v>YKY</v>
      </c>
      <c r="B5" s="848" t="str">
        <f>INDEX(Lists!$C$4:$C$26,MATCH(Validation!$B$3,Lists!$B$4:$B$26,0))&amp;"_AIM02"</f>
        <v>YKY_AIM02</v>
      </c>
      <c r="C5" s="848" t="s">
        <v>2387</v>
      </c>
      <c r="D5" s="848" t="s">
        <v>9035</v>
      </c>
      <c r="E5" s="848" t="s">
        <v>4149</v>
      </c>
      <c r="F5" s="848" t="s">
        <v>9033</v>
      </c>
      <c r="G5" s="1654" t="str">
        <f>IF('3C'!C6="","##BLANK",'3C'!C6)</f>
        <v>##BLANK</v>
      </c>
    </row>
    <row r="6" spans="1:7">
      <c r="A6" s="1650" t="str">
        <f>INDEX(Lists!$C$4:$C$26,MATCH(Validation!$B$3,Lists!$B$4:$B$26,0))</f>
        <v>YKY</v>
      </c>
      <c r="B6" s="848" t="str">
        <f>INDEX(Lists!$C$4:$C$26,MATCH(Validation!$B$3,Lists!$B$4:$B$26,0))&amp;"_AIM03"</f>
        <v>YKY_AIM03</v>
      </c>
      <c r="C6" s="848" t="s">
        <v>2387</v>
      </c>
      <c r="D6" s="848" t="s">
        <v>9035</v>
      </c>
      <c r="E6" s="848" t="s">
        <v>4149</v>
      </c>
      <c r="F6" s="848" t="s">
        <v>9033</v>
      </c>
      <c r="G6" s="1654" t="str">
        <f>IF('3C'!C7="","##BLANK",'3C'!C7)</f>
        <v>##BLANK</v>
      </c>
    </row>
    <row r="7" spans="1:7">
      <c r="A7" s="1650" t="str">
        <f>INDEX(Lists!$C$4:$C$26,MATCH(Validation!$B$3,Lists!$B$4:$B$26,0))</f>
        <v>YKY</v>
      </c>
      <c r="B7" s="848" t="str">
        <f>INDEX(Lists!$C$4:$C$26,MATCH(Validation!$B$3,Lists!$B$4:$B$26,0))&amp;"_AIM04"</f>
        <v>YKY_AIM04</v>
      </c>
      <c r="C7" s="848" t="s">
        <v>2387</v>
      </c>
      <c r="D7" s="848" t="s">
        <v>9035</v>
      </c>
      <c r="E7" s="848" t="s">
        <v>4149</v>
      </c>
      <c r="F7" s="848" t="s">
        <v>9033</v>
      </c>
      <c r="G7" s="1654" t="str">
        <f>IF('3C'!C8="","##BLANK",'3C'!C8)</f>
        <v>##BLANK</v>
      </c>
    </row>
    <row r="8" spans="1:7">
      <c r="A8" s="1650" t="str">
        <f>INDEX(Lists!$C$4:$C$26,MATCH(Validation!$B$3,Lists!$B$4:$B$26,0))</f>
        <v>YKY</v>
      </c>
      <c r="B8" s="848" t="str">
        <f>INDEX(Lists!$C$4:$C$26,MATCH(Validation!$B$3,Lists!$B$4:$B$26,0))&amp;"_AIM05"</f>
        <v>YKY_AIM05</v>
      </c>
      <c r="C8" s="848" t="s">
        <v>2387</v>
      </c>
      <c r="D8" s="848" t="s">
        <v>9035</v>
      </c>
      <c r="E8" s="848" t="s">
        <v>4149</v>
      </c>
      <c r="F8" s="848" t="s">
        <v>9033</v>
      </c>
      <c r="G8" s="1654" t="str">
        <f>IF('3C'!C9="","##BLANK",'3C'!C9)</f>
        <v>##BLANK</v>
      </c>
    </row>
    <row r="9" spans="1:7">
      <c r="A9" s="1650" t="str">
        <f>INDEX(Lists!$C$4:$C$26,MATCH(Validation!$B$3,Lists!$B$4:$B$26,0))</f>
        <v>YKY</v>
      </c>
      <c r="B9" s="848" t="str">
        <f>INDEX(Lists!$C$4:$C$26,MATCH(Validation!$B$3,Lists!$B$4:$B$26,0))&amp;"_AIM06"</f>
        <v>YKY_AIM06</v>
      </c>
      <c r="C9" s="848" t="s">
        <v>2387</v>
      </c>
      <c r="D9" s="848" t="s">
        <v>9035</v>
      </c>
      <c r="E9" s="848" t="s">
        <v>4149</v>
      </c>
      <c r="F9" s="848" t="s">
        <v>9033</v>
      </c>
      <c r="G9" s="1654" t="str">
        <f>IF('3C'!C10="","##BLANK",'3C'!C10)</f>
        <v>##BLANK</v>
      </c>
    </row>
    <row r="10" spans="1:7">
      <c r="A10" s="1650" t="str">
        <f>INDEX(Lists!$C$4:$C$26,MATCH(Validation!$B$3,Lists!$B$4:$B$26,0))</f>
        <v>YKY</v>
      </c>
      <c r="B10" s="848" t="str">
        <f>INDEX(Lists!$C$4:$C$26,MATCH(Validation!$B$3,Lists!$B$4:$B$26,0))&amp;"_AIM07"</f>
        <v>YKY_AIM07</v>
      </c>
      <c r="C10" s="848" t="s">
        <v>2387</v>
      </c>
      <c r="D10" s="848" t="s">
        <v>9035</v>
      </c>
      <c r="E10" s="848" t="s">
        <v>4149</v>
      </c>
      <c r="F10" s="848" t="s">
        <v>9033</v>
      </c>
      <c r="G10" s="1654" t="str">
        <f>IF('3C'!C11="","##BLANK",'3C'!C11)</f>
        <v>##BLANK</v>
      </c>
    </row>
    <row r="11" spans="1:7">
      <c r="A11" s="1650" t="str">
        <f>INDEX(Lists!$C$4:$C$26,MATCH(Validation!$B$3,Lists!$B$4:$B$26,0))</f>
        <v>YKY</v>
      </c>
      <c r="B11" s="848" t="str">
        <f>INDEX(Lists!$C$4:$C$26,MATCH(Validation!$B$3,Lists!$B$4:$B$26,0))&amp;"_AIM08"</f>
        <v>YKY_AIM08</v>
      </c>
      <c r="C11" s="848" t="s">
        <v>2387</v>
      </c>
      <c r="D11" s="848" t="s">
        <v>9035</v>
      </c>
      <c r="E11" s="848" t="s">
        <v>4149</v>
      </c>
      <c r="F11" s="848" t="s">
        <v>9033</v>
      </c>
      <c r="G11" s="1654" t="str">
        <f>IF('3C'!C12="","##BLANK",'3C'!C12)</f>
        <v>##BLANK</v>
      </c>
    </row>
    <row r="12" spans="1:7">
      <c r="A12" s="1650" t="str">
        <f>INDEX(Lists!$C$4:$C$26,MATCH(Validation!$B$3,Lists!$B$4:$B$26,0))</f>
        <v>YKY</v>
      </c>
      <c r="B12" s="848" t="str">
        <f>INDEX(Lists!$C$4:$C$26,MATCH(Validation!$B$3,Lists!$B$4:$B$26,0))&amp;"_AIM09"</f>
        <v>YKY_AIM09</v>
      </c>
      <c r="C12" s="848" t="s">
        <v>2387</v>
      </c>
      <c r="D12" s="848" t="s">
        <v>9035</v>
      </c>
      <c r="E12" s="848" t="s">
        <v>4149</v>
      </c>
      <c r="F12" s="848" t="s">
        <v>9033</v>
      </c>
      <c r="G12" s="1654" t="str">
        <f>IF('3C'!C13="","##BLANK",'3C'!C13)</f>
        <v>##BLANK</v>
      </c>
    </row>
    <row r="13" spans="1:7">
      <c r="A13" s="1650" t="str">
        <f>INDEX(Lists!$C$4:$C$26,MATCH(Validation!$B$3,Lists!$B$4:$B$26,0))</f>
        <v>YKY</v>
      </c>
      <c r="B13" s="848" t="str">
        <f>INDEX(Lists!$C$4:$C$26,MATCH(Validation!$B$3,Lists!$B$4:$B$26,0))&amp;"_AIM10"</f>
        <v>YKY_AIM10</v>
      </c>
      <c r="C13" s="848" t="s">
        <v>2387</v>
      </c>
      <c r="D13" s="848" t="s">
        <v>9035</v>
      </c>
      <c r="E13" s="848" t="s">
        <v>4149</v>
      </c>
      <c r="F13" s="848" t="s">
        <v>9033</v>
      </c>
      <c r="G13" s="1654" t="str">
        <f>IF('3C'!C14="","##BLANK",'3C'!C14)</f>
        <v>##BLANK</v>
      </c>
    </row>
    <row r="14" spans="1:7">
      <c r="A14" s="1650" t="str">
        <f>INDEX(Lists!$C$4:$C$26,MATCH(Validation!$B$3,Lists!$B$4:$B$26,0))</f>
        <v>YKY</v>
      </c>
      <c r="B14" s="848" t="str">
        <f>INDEX(Lists!$C$4:$C$26,MATCH(Validation!$B$3,Lists!$B$4:$B$26,0))&amp;"_AIM11"</f>
        <v>YKY_AIM11</v>
      </c>
      <c r="C14" s="848" t="s">
        <v>2387</v>
      </c>
      <c r="D14" s="848" t="s">
        <v>9035</v>
      </c>
      <c r="E14" s="848" t="s">
        <v>4149</v>
      </c>
      <c r="F14" s="848" t="s">
        <v>9033</v>
      </c>
      <c r="G14" s="1654" t="str">
        <f>IF('3C'!C15="","##BLANK",'3C'!C15)</f>
        <v>##BLANK</v>
      </c>
    </row>
    <row r="15" spans="1:7">
      <c r="A15" s="1650" t="str">
        <f>INDEX(Lists!$C$4:$C$26,MATCH(Validation!$B$3,Lists!$B$4:$B$26,0))</f>
        <v>YKY</v>
      </c>
      <c r="B15" s="848" t="str">
        <f>INDEX(Lists!$C$4:$C$26,MATCH(Validation!$B$3,Lists!$B$4:$B$26,0))&amp;"_AIM12"</f>
        <v>YKY_AIM12</v>
      </c>
      <c r="C15" s="848" t="s">
        <v>2387</v>
      </c>
      <c r="D15" s="848" t="s">
        <v>9035</v>
      </c>
      <c r="E15" s="848" t="s">
        <v>4149</v>
      </c>
      <c r="F15" s="848" t="s">
        <v>9033</v>
      </c>
      <c r="G15" s="1654" t="str">
        <f>IF('3C'!C16="","##BLANK",'3C'!C16)</f>
        <v>##BLANK</v>
      </c>
    </row>
    <row r="16" spans="1:7">
      <c r="A16" s="1650" t="str">
        <f>INDEX(Lists!$C$4:$C$26,MATCH(Validation!$B$3,Lists!$B$4:$B$26,0))</f>
        <v>YKY</v>
      </c>
      <c r="B16" s="848" t="str">
        <f>INDEX(Lists!$C$4:$C$26,MATCH(Validation!$B$3,Lists!$B$4:$B$26,0))&amp;"_AIM13"</f>
        <v>YKY_AIM13</v>
      </c>
      <c r="C16" s="848" t="s">
        <v>2387</v>
      </c>
      <c r="D16" s="848" t="s">
        <v>9035</v>
      </c>
      <c r="E16" s="848" t="s">
        <v>4149</v>
      </c>
      <c r="F16" s="848" t="s">
        <v>9033</v>
      </c>
      <c r="G16" s="1654" t="str">
        <f>IF('3C'!C17="","##BLANK",'3C'!C17)</f>
        <v>##BLANK</v>
      </c>
    </row>
    <row r="17" spans="1:7">
      <c r="A17" s="1650" t="str">
        <f>INDEX(Lists!$C$4:$C$26,MATCH(Validation!$B$3,Lists!$B$4:$B$26,0))</f>
        <v>YKY</v>
      </c>
      <c r="B17" s="848" t="str">
        <f>INDEX(Lists!$C$4:$C$26,MATCH(Validation!$B$3,Lists!$B$4:$B$26,0))&amp;"_AIM14"</f>
        <v>YKY_AIM14</v>
      </c>
      <c r="C17" s="848" t="s">
        <v>2387</v>
      </c>
      <c r="D17" s="848" t="s">
        <v>9035</v>
      </c>
      <c r="E17" s="848" t="s">
        <v>4149</v>
      </c>
      <c r="F17" s="848" t="s">
        <v>9033</v>
      </c>
      <c r="G17" s="1654" t="str">
        <f>IF('3C'!C18="","##BLANK",'3C'!C18)</f>
        <v>##BLANK</v>
      </c>
    </row>
    <row r="18" spans="1:7">
      <c r="A18" s="1650" t="str">
        <f>INDEX(Lists!$C$4:$C$26,MATCH(Validation!$B$3,Lists!$B$4:$B$26,0))</f>
        <v>YKY</v>
      </c>
      <c r="B18" s="848" t="str">
        <f>INDEX(Lists!$C$4:$C$26,MATCH(Validation!$B$3,Lists!$B$4:$B$26,0))&amp;"_AIM15"</f>
        <v>YKY_AIM15</v>
      </c>
      <c r="C18" s="848" t="s">
        <v>2387</v>
      </c>
      <c r="D18" s="848" t="s">
        <v>9035</v>
      </c>
      <c r="E18" s="848" t="s">
        <v>4149</v>
      </c>
      <c r="F18" s="848" t="s">
        <v>9033</v>
      </c>
      <c r="G18" s="1654" t="str">
        <f>IF('3C'!C19="","##BLANK",'3C'!C19)</f>
        <v>##BLANK</v>
      </c>
    </row>
    <row r="19" spans="1:7">
      <c r="A19" s="1650" t="str">
        <f>INDEX(Lists!$C$4:$C$26,MATCH(Validation!$B$3,Lists!$B$4:$B$26,0))</f>
        <v>YKY</v>
      </c>
      <c r="B19" s="848" t="str">
        <f>INDEX(Lists!$C$4:$C$26,MATCH(Validation!$B$3,Lists!$B$4:$B$26,0))&amp;"_AIM16"</f>
        <v>YKY_AIM16</v>
      </c>
      <c r="C19" s="848" t="s">
        <v>2387</v>
      </c>
      <c r="D19" s="848" t="s">
        <v>9035</v>
      </c>
      <c r="E19" s="848" t="s">
        <v>4149</v>
      </c>
      <c r="F19" s="848" t="s">
        <v>9033</v>
      </c>
      <c r="G19" s="1654" t="str">
        <f>IF('3C'!C20="","##BLANK",'3C'!C20)</f>
        <v>##BLANK</v>
      </c>
    </row>
    <row r="20" spans="1:7">
      <c r="A20" s="1650" t="str">
        <f>INDEX(Lists!$C$4:$C$26,MATCH(Validation!$B$3,Lists!$B$4:$B$26,0))</f>
        <v>YKY</v>
      </c>
      <c r="B20" s="848" t="str">
        <f>INDEX(Lists!$C$4:$C$26,MATCH(Validation!$B$3,Lists!$B$4:$B$26,0))&amp;"_AIM17"</f>
        <v>YKY_AIM17</v>
      </c>
      <c r="C20" s="848" t="s">
        <v>2387</v>
      </c>
      <c r="D20" s="848" t="s">
        <v>9035</v>
      </c>
      <c r="E20" s="848" t="s">
        <v>4149</v>
      </c>
      <c r="F20" s="848" t="s">
        <v>9033</v>
      </c>
      <c r="G20" s="1654" t="str">
        <f>IF('3C'!C21="","##BLANK",'3C'!C21)</f>
        <v>##BLANK</v>
      </c>
    </row>
    <row r="21" spans="1:7">
      <c r="A21" s="1650" t="str">
        <f>INDEX(Lists!$C$4:$C$26,MATCH(Validation!$B$3,Lists!$B$4:$B$26,0))</f>
        <v>YKY</v>
      </c>
      <c r="B21" s="848" t="str">
        <f>INDEX(Lists!$C$4:$C$26,MATCH(Validation!$B$3,Lists!$B$4:$B$26,0))&amp;"_AIM18"</f>
        <v>YKY_AIM18</v>
      </c>
      <c r="C21" s="848" t="s">
        <v>2387</v>
      </c>
      <c r="D21" s="848" t="s">
        <v>9035</v>
      </c>
      <c r="E21" s="848" t="s">
        <v>4149</v>
      </c>
      <c r="F21" s="848" t="s">
        <v>9033</v>
      </c>
      <c r="G21" s="1654" t="str">
        <f>IF('3C'!C22="","##BLANK",'3C'!C22)</f>
        <v>##BLANK</v>
      </c>
    </row>
    <row r="22" spans="1:7">
      <c r="A22" s="1650" t="str">
        <f>INDEX(Lists!$C$4:$C$26,MATCH(Validation!$B$3,Lists!$B$4:$B$26,0))</f>
        <v>YKY</v>
      </c>
      <c r="B22" s="848" t="str">
        <f>INDEX(Lists!$C$4:$C$26,MATCH(Validation!$B$3,Lists!$B$4:$B$26,0))&amp;"_AIM19"</f>
        <v>YKY_AIM19</v>
      </c>
      <c r="C22" s="848" t="s">
        <v>2387</v>
      </c>
      <c r="D22" s="848" t="s">
        <v>9035</v>
      </c>
      <c r="E22" s="848" t="s">
        <v>4149</v>
      </c>
      <c r="F22" s="848" t="s">
        <v>9033</v>
      </c>
      <c r="G22" s="1654" t="str">
        <f>IF('3C'!C23="","##BLANK",'3C'!C23)</f>
        <v>##BLANK</v>
      </c>
    </row>
    <row r="23" spans="1:7">
      <c r="A23" s="1650" t="str">
        <f>INDEX(Lists!$C$4:$C$26,MATCH(Validation!$B$3,Lists!$B$4:$B$26,0))</f>
        <v>YKY</v>
      </c>
      <c r="B23" s="848" t="str">
        <f>INDEX(Lists!$C$4:$C$26,MATCH(Validation!$B$3,Lists!$B$4:$B$26,0))&amp;"_AIM20"</f>
        <v>YKY_AIM20</v>
      </c>
      <c r="C23" s="848" t="s">
        <v>2387</v>
      </c>
      <c r="D23" s="848" t="s">
        <v>9035</v>
      </c>
      <c r="E23" s="848" t="s">
        <v>4149</v>
      </c>
      <c r="F23" s="848" t="s">
        <v>9033</v>
      </c>
      <c r="G23" s="1654" t="str">
        <f>IF('3C'!C24="","##BLANK",'3C'!C24)</f>
        <v>##BLANK</v>
      </c>
    </row>
    <row r="24" spans="1:7">
      <c r="A24" s="1650" t="str">
        <f>INDEX(Lists!$C$4:$C$26,MATCH(Validation!$B$3,Lists!$B$4:$B$26,0))</f>
        <v>YKY</v>
      </c>
      <c r="B24" s="848" t="str">
        <f>INDEX(Lists!$C$4:$C$26,MATCH(Validation!$B$3,Lists!$B$4:$B$26,0))&amp;"_AIM21"</f>
        <v>YKY_AIM21</v>
      </c>
      <c r="C24" s="848" t="s">
        <v>2387</v>
      </c>
      <c r="D24" s="848" t="s">
        <v>9035</v>
      </c>
      <c r="E24" s="848" t="s">
        <v>4149</v>
      </c>
      <c r="F24" s="848" t="s">
        <v>9033</v>
      </c>
      <c r="G24" s="1654" t="str">
        <f>IF('3C'!C25="","##BLANK",'3C'!C25)</f>
        <v>##BLANK</v>
      </c>
    </row>
    <row r="25" spans="1:7">
      <c r="A25" s="1650" t="str">
        <f>INDEX(Lists!$C$4:$C$26,MATCH(Validation!$B$3,Lists!$B$4:$B$26,0))</f>
        <v>YKY</v>
      </c>
      <c r="B25" s="848" t="str">
        <f>INDEX(Lists!$C$4:$C$26,MATCH(Validation!$B$3,Lists!$B$4:$B$26,0))&amp;"_AIM22"</f>
        <v>YKY_AIM22</v>
      </c>
      <c r="C25" s="848" t="s">
        <v>2387</v>
      </c>
      <c r="D25" s="848" t="s">
        <v>9035</v>
      </c>
      <c r="E25" s="848" t="s">
        <v>4149</v>
      </c>
      <c r="F25" s="848" t="s">
        <v>9033</v>
      </c>
      <c r="G25" s="1654" t="str">
        <f>IF('3C'!C26="","##BLANK",'3C'!C26)</f>
        <v>##BLANK</v>
      </c>
    </row>
    <row r="26" spans="1:7">
      <c r="A26" s="1650" t="str">
        <f>INDEX(Lists!$C$4:$C$26,MATCH(Validation!$B$3,Lists!$B$4:$B$26,0))</f>
        <v>YKY</v>
      </c>
      <c r="B26" s="848" t="str">
        <f>INDEX(Lists!$C$4:$C$26,MATCH(Validation!$B$3,Lists!$B$4:$B$26,0))&amp;"_AIM23"</f>
        <v>YKY_AIM23</v>
      </c>
      <c r="C26" s="848" t="s">
        <v>2387</v>
      </c>
      <c r="D26" s="848" t="s">
        <v>9035</v>
      </c>
      <c r="E26" s="848" t="s">
        <v>4149</v>
      </c>
      <c r="F26" s="848" t="s">
        <v>9033</v>
      </c>
      <c r="G26" s="1654" t="str">
        <f>IF('3C'!C27="","##BLANK",'3C'!C27)</f>
        <v>##BLANK</v>
      </c>
    </row>
    <row r="27" spans="1:7">
      <c r="A27" s="1650" t="str">
        <f>INDEX(Lists!$C$4:$C$26,MATCH(Validation!$B$3,Lists!$B$4:$B$26,0))</f>
        <v>YKY</v>
      </c>
      <c r="B27" s="848" t="str">
        <f>INDEX(Lists!$C$4:$C$26,MATCH(Validation!$B$3,Lists!$B$4:$B$26,0))&amp;"_AIM24"</f>
        <v>YKY_AIM24</v>
      </c>
      <c r="C27" s="848" t="s">
        <v>2387</v>
      </c>
      <c r="D27" s="848" t="s">
        <v>9035</v>
      </c>
      <c r="E27" s="848" t="s">
        <v>4149</v>
      </c>
      <c r="F27" s="848" t="s">
        <v>9033</v>
      </c>
      <c r="G27" s="1654" t="str">
        <f>IF('3C'!C28="","##BLANK",'3C'!C28)</f>
        <v>##BLANK</v>
      </c>
    </row>
    <row r="28" spans="1:7" ht="15" thickBot="1">
      <c r="A28" s="1651" t="str">
        <f>INDEX(Lists!$C$4:$C$26,MATCH(Validation!$B$3,Lists!$B$4:$B$26,0))</f>
        <v>YKY</v>
      </c>
      <c r="B28" s="1652" t="str">
        <f>INDEX(Lists!$C$4:$C$26,MATCH(Validation!$B$3,Lists!$B$4:$B$26,0))&amp;"_AIM25"</f>
        <v>YKY_AIM25</v>
      </c>
      <c r="C28" s="1652" t="s">
        <v>2387</v>
      </c>
      <c r="D28" s="1652" t="s">
        <v>9035</v>
      </c>
      <c r="E28" s="1652" t="s">
        <v>4149</v>
      </c>
      <c r="F28" s="1652" t="s">
        <v>9033</v>
      </c>
      <c r="G28" s="1656" t="str">
        <f>IF('3C'!C29="","##BLANK",'3C'!C29)</f>
        <v>##BLANK</v>
      </c>
    </row>
    <row r="29" spans="1:7">
      <c r="A29" s="1648" t="str">
        <f>INDEX(Lists!$C$4:$C$26,MATCH(Validation!$B$3,Lists!$B$4:$B$26,0))</f>
        <v>YKY</v>
      </c>
      <c r="B29" s="1649" t="str">
        <f>INDEX(Lists!$C$4:$C$26,MATCH(Validation!$B$3,Lists!$B$4:$B$26,0))&amp;"_AIM01"</f>
        <v>YKY_AIM01</v>
      </c>
      <c r="C29" s="1649" t="s">
        <v>2388</v>
      </c>
      <c r="D29" s="1649" t="s">
        <v>2312</v>
      </c>
      <c r="E29" s="1649" t="s">
        <v>766</v>
      </c>
      <c r="F29" s="1649" t="s">
        <v>9033</v>
      </c>
      <c r="G29" s="1654">
        <f>IF('3C'!D5="","##BLANK",'3C'!D5)</f>
        <v>0</v>
      </c>
    </row>
    <row r="30" spans="1:7">
      <c r="A30" s="1650" t="str">
        <f>INDEX(Lists!$C$4:$C$26,MATCH(Validation!$B$3,Lists!$B$4:$B$26,0))</f>
        <v>YKY</v>
      </c>
      <c r="B30" s="848" t="str">
        <f>INDEX(Lists!$C$4:$C$26,MATCH(Validation!$B$3,Lists!$B$4:$B$26,0))&amp;"_AIM02"</f>
        <v>YKY_AIM02</v>
      </c>
      <c r="C30" s="848" t="s">
        <v>2388</v>
      </c>
      <c r="D30" s="848" t="s">
        <v>2312</v>
      </c>
      <c r="E30" s="848" t="s">
        <v>766</v>
      </c>
      <c r="F30" s="848" t="s">
        <v>9033</v>
      </c>
      <c r="G30" s="1654" t="str">
        <f>IF('3C'!D6="","##BLANK",'3C'!D6)</f>
        <v>##BLANK</v>
      </c>
    </row>
    <row r="31" spans="1:7">
      <c r="A31" s="1650" t="str">
        <f>INDEX(Lists!$C$4:$C$26,MATCH(Validation!$B$3,Lists!$B$4:$B$26,0))</f>
        <v>YKY</v>
      </c>
      <c r="B31" s="848" t="str">
        <f>INDEX(Lists!$C$4:$C$26,MATCH(Validation!$B$3,Lists!$B$4:$B$26,0))&amp;"_AIM03"</f>
        <v>YKY_AIM03</v>
      </c>
      <c r="C31" s="848" t="s">
        <v>2388</v>
      </c>
      <c r="D31" s="848" t="s">
        <v>2312</v>
      </c>
      <c r="E31" s="848" t="s">
        <v>766</v>
      </c>
      <c r="F31" s="848" t="s">
        <v>9033</v>
      </c>
      <c r="G31" s="1654" t="str">
        <f>IF('3C'!D7="","##BLANK",'3C'!D7)</f>
        <v>##BLANK</v>
      </c>
    </row>
    <row r="32" spans="1:7">
      <c r="A32" s="1650" t="str">
        <f>INDEX(Lists!$C$4:$C$26,MATCH(Validation!$B$3,Lists!$B$4:$B$26,0))</f>
        <v>YKY</v>
      </c>
      <c r="B32" s="848" t="str">
        <f>INDEX(Lists!$C$4:$C$26,MATCH(Validation!$B$3,Lists!$B$4:$B$26,0))&amp;"_AIM04"</f>
        <v>YKY_AIM04</v>
      </c>
      <c r="C32" s="848" t="s">
        <v>2388</v>
      </c>
      <c r="D32" s="848" t="s">
        <v>2312</v>
      </c>
      <c r="E32" s="848" t="s">
        <v>766</v>
      </c>
      <c r="F32" s="848" t="s">
        <v>9033</v>
      </c>
      <c r="G32" s="1654" t="str">
        <f>IF('3C'!D8="","##BLANK",'3C'!D8)</f>
        <v>##BLANK</v>
      </c>
    </row>
    <row r="33" spans="1:7">
      <c r="A33" s="1650" t="str">
        <f>INDEX(Lists!$C$4:$C$26,MATCH(Validation!$B$3,Lists!$B$4:$B$26,0))</f>
        <v>YKY</v>
      </c>
      <c r="B33" s="848" t="str">
        <f>INDEX(Lists!$C$4:$C$26,MATCH(Validation!$B$3,Lists!$B$4:$B$26,0))&amp;"_AIM05"</f>
        <v>YKY_AIM05</v>
      </c>
      <c r="C33" s="848" t="s">
        <v>2388</v>
      </c>
      <c r="D33" s="848" t="s">
        <v>2312</v>
      </c>
      <c r="E33" s="848" t="s">
        <v>766</v>
      </c>
      <c r="F33" s="848" t="s">
        <v>9033</v>
      </c>
      <c r="G33" s="1654" t="str">
        <f>IF('3C'!D9="","##BLANK",'3C'!D9)</f>
        <v>##BLANK</v>
      </c>
    </row>
    <row r="34" spans="1:7">
      <c r="A34" s="1650" t="str">
        <f>INDEX(Lists!$C$4:$C$26,MATCH(Validation!$B$3,Lists!$B$4:$B$26,0))</f>
        <v>YKY</v>
      </c>
      <c r="B34" s="848" t="str">
        <f>INDEX(Lists!$C$4:$C$26,MATCH(Validation!$B$3,Lists!$B$4:$B$26,0))&amp;"_AIM06"</f>
        <v>YKY_AIM06</v>
      </c>
      <c r="C34" s="848" t="s">
        <v>2388</v>
      </c>
      <c r="D34" s="848" t="s">
        <v>2312</v>
      </c>
      <c r="E34" s="848" t="s">
        <v>766</v>
      </c>
      <c r="F34" s="848" t="s">
        <v>9033</v>
      </c>
      <c r="G34" s="1654" t="str">
        <f>IF('3C'!D10="","##BLANK",'3C'!D10)</f>
        <v>##BLANK</v>
      </c>
    </row>
    <row r="35" spans="1:7">
      <c r="A35" s="1650" t="str">
        <f>INDEX(Lists!$C$4:$C$26,MATCH(Validation!$B$3,Lists!$B$4:$B$26,0))</f>
        <v>YKY</v>
      </c>
      <c r="B35" s="848" t="str">
        <f>INDEX(Lists!$C$4:$C$26,MATCH(Validation!$B$3,Lists!$B$4:$B$26,0))&amp;"_AIM07"</f>
        <v>YKY_AIM07</v>
      </c>
      <c r="C35" s="848" t="s">
        <v>2388</v>
      </c>
      <c r="D35" s="848" t="s">
        <v>2312</v>
      </c>
      <c r="E35" s="848" t="s">
        <v>766</v>
      </c>
      <c r="F35" s="848" t="s">
        <v>9033</v>
      </c>
      <c r="G35" s="1654" t="str">
        <f>IF('3C'!D11="","##BLANK",'3C'!D11)</f>
        <v>##BLANK</v>
      </c>
    </row>
    <row r="36" spans="1:7">
      <c r="A36" s="1650" t="str">
        <f>INDEX(Lists!$C$4:$C$26,MATCH(Validation!$B$3,Lists!$B$4:$B$26,0))</f>
        <v>YKY</v>
      </c>
      <c r="B36" s="848" t="str">
        <f>INDEX(Lists!$C$4:$C$26,MATCH(Validation!$B$3,Lists!$B$4:$B$26,0))&amp;"_AIM08"</f>
        <v>YKY_AIM08</v>
      </c>
      <c r="C36" s="848" t="s">
        <v>2388</v>
      </c>
      <c r="D36" s="848" t="s">
        <v>2312</v>
      </c>
      <c r="E36" s="848" t="s">
        <v>766</v>
      </c>
      <c r="F36" s="848" t="s">
        <v>9033</v>
      </c>
      <c r="G36" s="1654" t="str">
        <f>IF('3C'!D12="","##BLANK",'3C'!D12)</f>
        <v>##BLANK</v>
      </c>
    </row>
    <row r="37" spans="1:7">
      <c r="A37" s="1650" t="str">
        <f>INDEX(Lists!$C$4:$C$26,MATCH(Validation!$B$3,Lists!$B$4:$B$26,0))</f>
        <v>YKY</v>
      </c>
      <c r="B37" s="848" t="str">
        <f>INDEX(Lists!$C$4:$C$26,MATCH(Validation!$B$3,Lists!$B$4:$B$26,0))&amp;"_AIM09"</f>
        <v>YKY_AIM09</v>
      </c>
      <c r="C37" s="848" t="s">
        <v>2388</v>
      </c>
      <c r="D37" s="848" t="s">
        <v>2312</v>
      </c>
      <c r="E37" s="848" t="s">
        <v>766</v>
      </c>
      <c r="F37" s="848" t="s">
        <v>9033</v>
      </c>
      <c r="G37" s="1654" t="str">
        <f>IF('3C'!D13="","##BLANK",'3C'!D13)</f>
        <v>##BLANK</v>
      </c>
    </row>
    <row r="38" spans="1:7">
      <c r="A38" s="1650" t="str">
        <f>INDEX(Lists!$C$4:$C$26,MATCH(Validation!$B$3,Lists!$B$4:$B$26,0))</f>
        <v>YKY</v>
      </c>
      <c r="B38" s="848" t="str">
        <f>INDEX(Lists!$C$4:$C$26,MATCH(Validation!$B$3,Lists!$B$4:$B$26,0))&amp;"_AIM10"</f>
        <v>YKY_AIM10</v>
      </c>
      <c r="C38" s="848" t="s">
        <v>2388</v>
      </c>
      <c r="D38" s="848" t="s">
        <v>2312</v>
      </c>
      <c r="E38" s="848" t="s">
        <v>766</v>
      </c>
      <c r="F38" s="848" t="s">
        <v>9033</v>
      </c>
      <c r="G38" s="1654" t="str">
        <f>IF('3C'!D14="","##BLANK",'3C'!D14)</f>
        <v>##BLANK</v>
      </c>
    </row>
    <row r="39" spans="1:7">
      <c r="A39" s="1650" t="str">
        <f>INDEX(Lists!$C$4:$C$26,MATCH(Validation!$B$3,Lists!$B$4:$B$26,0))</f>
        <v>YKY</v>
      </c>
      <c r="B39" s="848" t="str">
        <f>INDEX(Lists!$C$4:$C$26,MATCH(Validation!$B$3,Lists!$B$4:$B$26,0))&amp;"_AIM11"</f>
        <v>YKY_AIM11</v>
      </c>
      <c r="C39" s="848" t="s">
        <v>2388</v>
      </c>
      <c r="D39" s="848" t="s">
        <v>2312</v>
      </c>
      <c r="E39" s="848" t="s">
        <v>766</v>
      </c>
      <c r="F39" s="848" t="s">
        <v>9033</v>
      </c>
      <c r="G39" s="1654" t="str">
        <f>IF('3C'!D15="","##BLANK",'3C'!D15)</f>
        <v>##BLANK</v>
      </c>
    </row>
    <row r="40" spans="1:7">
      <c r="A40" s="1650" t="str">
        <f>INDEX(Lists!$C$4:$C$26,MATCH(Validation!$B$3,Lists!$B$4:$B$26,0))</f>
        <v>YKY</v>
      </c>
      <c r="B40" s="848" t="str">
        <f>INDEX(Lists!$C$4:$C$26,MATCH(Validation!$B$3,Lists!$B$4:$B$26,0))&amp;"_AIM12"</f>
        <v>YKY_AIM12</v>
      </c>
      <c r="C40" s="848" t="s">
        <v>2388</v>
      </c>
      <c r="D40" s="848" t="s">
        <v>2312</v>
      </c>
      <c r="E40" s="848" t="s">
        <v>766</v>
      </c>
      <c r="F40" s="848" t="s">
        <v>9033</v>
      </c>
      <c r="G40" s="1654" t="str">
        <f>IF('3C'!D16="","##BLANK",'3C'!D16)</f>
        <v>##BLANK</v>
      </c>
    </row>
    <row r="41" spans="1:7">
      <c r="A41" s="1650" t="str">
        <f>INDEX(Lists!$C$4:$C$26,MATCH(Validation!$B$3,Lists!$B$4:$B$26,0))</f>
        <v>YKY</v>
      </c>
      <c r="B41" s="848" t="str">
        <f>INDEX(Lists!$C$4:$C$26,MATCH(Validation!$B$3,Lists!$B$4:$B$26,0))&amp;"_AIM13"</f>
        <v>YKY_AIM13</v>
      </c>
      <c r="C41" s="848" t="s">
        <v>2388</v>
      </c>
      <c r="D41" s="848" t="s">
        <v>2312</v>
      </c>
      <c r="E41" s="848" t="s">
        <v>766</v>
      </c>
      <c r="F41" s="848" t="s">
        <v>9033</v>
      </c>
      <c r="G41" s="1654" t="str">
        <f>IF('3C'!D17="","##BLANK",'3C'!D17)</f>
        <v>##BLANK</v>
      </c>
    </row>
    <row r="42" spans="1:7">
      <c r="A42" s="1650" t="str">
        <f>INDEX(Lists!$C$4:$C$26,MATCH(Validation!$B$3,Lists!$B$4:$B$26,0))</f>
        <v>YKY</v>
      </c>
      <c r="B42" s="848" t="str">
        <f>INDEX(Lists!$C$4:$C$26,MATCH(Validation!$B$3,Lists!$B$4:$B$26,0))&amp;"_AIM14"</f>
        <v>YKY_AIM14</v>
      </c>
      <c r="C42" s="848" t="s">
        <v>2388</v>
      </c>
      <c r="D42" s="848" t="s">
        <v>2312</v>
      </c>
      <c r="E42" s="848" t="s">
        <v>766</v>
      </c>
      <c r="F42" s="848" t="s">
        <v>9033</v>
      </c>
      <c r="G42" s="1654" t="str">
        <f>IF('3C'!D18="","##BLANK",'3C'!D18)</f>
        <v>##BLANK</v>
      </c>
    </row>
    <row r="43" spans="1:7">
      <c r="A43" s="1650" t="str">
        <f>INDEX(Lists!$C$4:$C$26,MATCH(Validation!$B$3,Lists!$B$4:$B$26,0))</f>
        <v>YKY</v>
      </c>
      <c r="B43" s="848" t="str">
        <f>INDEX(Lists!$C$4:$C$26,MATCH(Validation!$B$3,Lists!$B$4:$B$26,0))&amp;"_AIM15"</f>
        <v>YKY_AIM15</v>
      </c>
      <c r="C43" s="848" t="s">
        <v>2388</v>
      </c>
      <c r="D43" s="848" t="s">
        <v>2312</v>
      </c>
      <c r="E43" s="848" t="s">
        <v>766</v>
      </c>
      <c r="F43" s="848" t="s">
        <v>9033</v>
      </c>
      <c r="G43" s="1654" t="str">
        <f>IF('3C'!D19="","##BLANK",'3C'!D19)</f>
        <v>##BLANK</v>
      </c>
    </row>
    <row r="44" spans="1:7">
      <c r="A44" s="1650" t="str">
        <f>INDEX(Lists!$C$4:$C$26,MATCH(Validation!$B$3,Lists!$B$4:$B$26,0))</f>
        <v>YKY</v>
      </c>
      <c r="B44" s="848" t="str">
        <f>INDEX(Lists!$C$4:$C$26,MATCH(Validation!$B$3,Lists!$B$4:$B$26,0))&amp;"_AIM16"</f>
        <v>YKY_AIM16</v>
      </c>
      <c r="C44" s="848" t="s">
        <v>2388</v>
      </c>
      <c r="D44" s="848" t="s">
        <v>2312</v>
      </c>
      <c r="E44" s="848" t="s">
        <v>766</v>
      </c>
      <c r="F44" s="848" t="s">
        <v>9033</v>
      </c>
      <c r="G44" s="1654" t="str">
        <f>IF('3C'!D20="","##BLANK",'3C'!D20)</f>
        <v>##BLANK</v>
      </c>
    </row>
    <row r="45" spans="1:7">
      <c r="A45" s="1650" t="str">
        <f>INDEX(Lists!$C$4:$C$26,MATCH(Validation!$B$3,Lists!$B$4:$B$26,0))</f>
        <v>YKY</v>
      </c>
      <c r="B45" s="848" t="str">
        <f>INDEX(Lists!$C$4:$C$26,MATCH(Validation!$B$3,Lists!$B$4:$B$26,0))&amp;"_AIM17"</f>
        <v>YKY_AIM17</v>
      </c>
      <c r="C45" s="848" t="s">
        <v>2388</v>
      </c>
      <c r="D45" s="848" t="s">
        <v>2312</v>
      </c>
      <c r="E45" s="848" t="s">
        <v>766</v>
      </c>
      <c r="F45" s="848" t="s">
        <v>9033</v>
      </c>
      <c r="G45" s="1654" t="str">
        <f>IF('3C'!D21="","##BLANK",'3C'!D21)</f>
        <v>##BLANK</v>
      </c>
    </row>
    <row r="46" spans="1:7">
      <c r="A46" s="1650" t="str">
        <f>INDEX(Lists!$C$4:$C$26,MATCH(Validation!$B$3,Lists!$B$4:$B$26,0))</f>
        <v>YKY</v>
      </c>
      <c r="B46" s="848" t="str">
        <f>INDEX(Lists!$C$4:$C$26,MATCH(Validation!$B$3,Lists!$B$4:$B$26,0))&amp;"_AIM18"</f>
        <v>YKY_AIM18</v>
      </c>
      <c r="C46" s="848" t="s">
        <v>2388</v>
      </c>
      <c r="D46" s="848" t="s">
        <v>2312</v>
      </c>
      <c r="E46" s="848" t="s">
        <v>766</v>
      </c>
      <c r="F46" s="848" t="s">
        <v>9033</v>
      </c>
      <c r="G46" s="1654" t="str">
        <f>IF('3C'!D22="","##BLANK",'3C'!D22)</f>
        <v>##BLANK</v>
      </c>
    </row>
    <row r="47" spans="1:7">
      <c r="A47" s="1650" t="str">
        <f>INDEX(Lists!$C$4:$C$26,MATCH(Validation!$B$3,Lists!$B$4:$B$26,0))</f>
        <v>YKY</v>
      </c>
      <c r="B47" s="848" t="str">
        <f>INDEX(Lists!$C$4:$C$26,MATCH(Validation!$B$3,Lists!$B$4:$B$26,0))&amp;"_AIM19"</f>
        <v>YKY_AIM19</v>
      </c>
      <c r="C47" s="848" t="s">
        <v>2388</v>
      </c>
      <c r="D47" s="848" t="s">
        <v>2312</v>
      </c>
      <c r="E47" s="848" t="s">
        <v>766</v>
      </c>
      <c r="F47" s="848" t="s">
        <v>9033</v>
      </c>
      <c r="G47" s="1654" t="str">
        <f>IF('3C'!D23="","##BLANK",'3C'!D23)</f>
        <v>##BLANK</v>
      </c>
    </row>
    <row r="48" spans="1:7">
      <c r="A48" s="1650" t="str">
        <f>INDEX(Lists!$C$4:$C$26,MATCH(Validation!$B$3,Lists!$B$4:$B$26,0))</f>
        <v>YKY</v>
      </c>
      <c r="B48" s="848" t="str">
        <f>INDEX(Lists!$C$4:$C$26,MATCH(Validation!$B$3,Lists!$B$4:$B$26,0))&amp;"_AIM20"</f>
        <v>YKY_AIM20</v>
      </c>
      <c r="C48" s="848" t="s">
        <v>2388</v>
      </c>
      <c r="D48" s="848" t="s">
        <v>2312</v>
      </c>
      <c r="E48" s="848" t="s">
        <v>766</v>
      </c>
      <c r="F48" s="848" t="s">
        <v>9033</v>
      </c>
      <c r="G48" s="1654" t="str">
        <f>IF('3C'!D24="","##BLANK",'3C'!D24)</f>
        <v>##BLANK</v>
      </c>
    </row>
    <row r="49" spans="1:7">
      <c r="A49" s="1650" t="str">
        <f>INDEX(Lists!$C$4:$C$26,MATCH(Validation!$B$3,Lists!$B$4:$B$26,0))</f>
        <v>YKY</v>
      </c>
      <c r="B49" s="848" t="str">
        <f>INDEX(Lists!$C$4:$C$26,MATCH(Validation!$B$3,Lists!$B$4:$B$26,0))&amp;"_AIM21"</f>
        <v>YKY_AIM21</v>
      </c>
      <c r="C49" s="848" t="s">
        <v>2388</v>
      </c>
      <c r="D49" s="848" t="s">
        <v>2312</v>
      </c>
      <c r="E49" s="848" t="s">
        <v>766</v>
      </c>
      <c r="F49" s="848" t="s">
        <v>9033</v>
      </c>
      <c r="G49" s="1654" t="str">
        <f>IF('3C'!D25="","##BLANK",'3C'!D25)</f>
        <v>##BLANK</v>
      </c>
    </row>
    <row r="50" spans="1:7">
      <c r="A50" s="1650" t="str">
        <f>INDEX(Lists!$C$4:$C$26,MATCH(Validation!$B$3,Lists!$B$4:$B$26,0))</f>
        <v>YKY</v>
      </c>
      <c r="B50" s="848" t="str">
        <f>INDEX(Lists!$C$4:$C$26,MATCH(Validation!$B$3,Lists!$B$4:$B$26,0))&amp;"_AIM22"</f>
        <v>YKY_AIM22</v>
      </c>
      <c r="C50" s="848" t="s">
        <v>2388</v>
      </c>
      <c r="D50" s="848" t="s">
        <v>2312</v>
      </c>
      <c r="E50" s="848" t="s">
        <v>766</v>
      </c>
      <c r="F50" s="848" t="s">
        <v>9033</v>
      </c>
      <c r="G50" s="1654" t="str">
        <f>IF('3C'!D26="","##BLANK",'3C'!D26)</f>
        <v>##BLANK</v>
      </c>
    </row>
    <row r="51" spans="1:7">
      <c r="A51" s="1650" t="str">
        <f>INDEX(Lists!$C$4:$C$26,MATCH(Validation!$B$3,Lists!$B$4:$B$26,0))</f>
        <v>YKY</v>
      </c>
      <c r="B51" s="848" t="str">
        <f>INDEX(Lists!$C$4:$C$26,MATCH(Validation!$B$3,Lists!$B$4:$B$26,0))&amp;"_AIM23"</f>
        <v>YKY_AIM23</v>
      </c>
      <c r="C51" s="848" t="s">
        <v>2388</v>
      </c>
      <c r="D51" s="848" t="s">
        <v>2312</v>
      </c>
      <c r="E51" s="848" t="s">
        <v>766</v>
      </c>
      <c r="F51" s="848" t="s">
        <v>9033</v>
      </c>
      <c r="G51" s="1654" t="str">
        <f>IF('3C'!D27="","##BLANK",'3C'!D27)</f>
        <v>##BLANK</v>
      </c>
    </row>
    <row r="52" spans="1:7">
      <c r="A52" s="1650" t="str">
        <f>INDEX(Lists!$C$4:$C$26,MATCH(Validation!$B$3,Lists!$B$4:$B$26,0))</f>
        <v>YKY</v>
      </c>
      <c r="B52" s="848" t="str">
        <f>INDEX(Lists!$C$4:$C$26,MATCH(Validation!$B$3,Lists!$B$4:$B$26,0))&amp;"_AIM24"</f>
        <v>YKY_AIM24</v>
      </c>
      <c r="C52" s="848" t="s">
        <v>2388</v>
      </c>
      <c r="D52" s="848" t="s">
        <v>2312</v>
      </c>
      <c r="E52" s="848" t="s">
        <v>766</v>
      </c>
      <c r="F52" s="848" t="s">
        <v>9033</v>
      </c>
      <c r="G52" s="1654" t="str">
        <f>IF('3C'!D28="","##BLANK",'3C'!D28)</f>
        <v>##BLANK</v>
      </c>
    </row>
    <row r="53" spans="1:7" ht="15" thickBot="1">
      <c r="A53" s="1651" t="str">
        <f>INDEX(Lists!$C$4:$C$26,MATCH(Validation!$B$3,Lists!$B$4:$B$26,0))</f>
        <v>YKY</v>
      </c>
      <c r="B53" s="1652" t="str">
        <f>INDEX(Lists!$C$4:$C$26,MATCH(Validation!$B$3,Lists!$B$4:$B$26,0))&amp;"_AIM25"</f>
        <v>YKY_AIM25</v>
      </c>
      <c r="C53" s="1652" t="s">
        <v>2388</v>
      </c>
      <c r="D53" s="1652" t="s">
        <v>2312</v>
      </c>
      <c r="E53" s="848" t="s">
        <v>766</v>
      </c>
      <c r="F53" s="1652" t="s">
        <v>9033</v>
      </c>
      <c r="G53" s="1654" t="str">
        <f>IF('3C'!D29="","##BLANK",'3C'!D29)</f>
        <v>##BLANK</v>
      </c>
    </row>
    <row r="54" spans="1:7">
      <c r="A54" s="1648" t="str">
        <f>INDEX(Lists!$C$4:$C$26,MATCH(Validation!$B$3,Lists!$B$4:$B$26,0))</f>
        <v>YKY</v>
      </c>
      <c r="B54" s="1649" t="str">
        <f>INDEX(Lists!$C$4:$C$26,MATCH(Validation!$B$3,Lists!$B$4:$B$26,0))&amp;"_AIM01"</f>
        <v>YKY_AIM01</v>
      </c>
      <c r="C54" s="1649" t="s">
        <v>2389</v>
      </c>
      <c r="D54" s="1649" t="s">
        <v>9036</v>
      </c>
      <c r="E54" s="1649" t="s">
        <v>3456</v>
      </c>
      <c r="F54" s="1649" t="s">
        <v>9033</v>
      </c>
      <c r="G54" s="1655">
        <f>IF('3C'!E5="","##BLANK",'3C'!E5)</f>
        <v>0</v>
      </c>
    </row>
    <row r="55" spans="1:7">
      <c r="A55" s="1650" t="str">
        <f>INDEX(Lists!$C$4:$C$26,MATCH(Validation!$B$3,Lists!$B$4:$B$26,0))</f>
        <v>YKY</v>
      </c>
      <c r="B55" s="848" t="str">
        <f>INDEX(Lists!$C$4:$C$26,MATCH(Validation!$B$3,Lists!$B$4:$B$26,0))&amp;"_AIM02"</f>
        <v>YKY_AIM02</v>
      </c>
      <c r="C55" s="848" t="s">
        <v>2389</v>
      </c>
      <c r="D55" s="848" t="s">
        <v>9036</v>
      </c>
      <c r="E55" s="848" t="s">
        <v>3456</v>
      </c>
      <c r="F55" s="848" t="s">
        <v>9033</v>
      </c>
      <c r="G55" s="1654" t="str">
        <f>IF('3C'!E6="","##BLANK",'3C'!E6)</f>
        <v>##BLANK</v>
      </c>
    </row>
    <row r="56" spans="1:7">
      <c r="A56" s="1650" t="str">
        <f>INDEX(Lists!$C$4:$C$26,MATCH(Validation!$B$3,Lists!$B$4:$B$26,0))</f>
        <v>YKY</v>
      </c>
      <c r="B56" s="848" t="str">
        <f>INDEX(Lists!$C$4:$C$26,MATCH(Validation!$B$3,Lists!$B$4:$B$26,0))&amp;"_AIM03"</f>
        <v>YKY_AIM03</v>
      </c>
      <c r="C56" s="848" t="s">
        <v>2389</v>
      </c>
      <c r="D56" s="848" t="s">
        <v>9036</v>
      </c>
      <c r="E56" s="848" t="s">
        <v>3456</v>
      </c>
      <c r="F56" s="848" t="s">
        <v>9033</v>
      </c>
      <c r="G56" s="1654" t="str">
        <f>IF('3C'!E7="","##BLANK",'3C'!E7)</f>
        <v>##BLANK</v>
      </c>
    </row>
    <row r="57" spans="1:7">
      <c r="A57" s="1650" t="str">
        <f>INDEX(Lists!$C$4:$C$26,MATCH(Validation!$B$3,Lists!$B$4:$B$26,0))</f>
        <v>YKY</v>
      </c>
      <c r="B57" s="848" t="str">
        <f>INDEX(Lists!$C$4:$C$26,MATCH(Validation!$B$3,Lists!$B$4:$B$26,0))&amp;"_AIM04"</f>
        <v>YKY_AIM04</v>
      </c>
      <c r="C57" s="848" t="s">
        <v>2389</v>
      </c>
      <c r="D57" s="848" t="s">
        <v>9036</v>
      </c>
      <c r="E57" s="848" t="s">
        <v>3456</v>
      </c>
      <c r="F57" s="848" t="s">
        <v>9033</v>
      </c>
      <c r="G57" s="1654" t="str">
        <f>IF('3C'!E8="","##BLANK",'3C'!E8)</f>
        <v>##BLANK</v>
      </c>
    </row>
    <row r="58" spans="1:7">
      <c r="A58" s="1650" t="str">
        <f>INDEX(Lists!$C$4:$C$26,MATCH(Validation!$B$3,Lists!$B$4:$B$26,0))</f>
        <v>YKY</v>
      </c>
      <c r="B58" s="848" t="str">
        <f>INDEX(Lists!$C$4:$C$26,MATCH(Validation!$B$3,Lists!$B$4:$B$26,0))&amp;"_AIM05"</f>
        <v>YKY_AIM05</v>
      </c>
      <c r="C58" s="848" t="s">
        <v>2389</v>
      </c>
      <c r="D58" s="848" t="s">
        <v>9036</v>
      </c>
      <c r="E58" s="848" t="s">
        <v>3456</v>
      </c>
      <c r="F58" s="848" t="s">
        <v>9033</v>
      </c>
      <c r="G58" s="1654" t="str">
        <f>IF('3C'!E9="","##BLANK",'3C'!E9)</f>
        <v>##BLANK</v>
      </c>
    </row>
    <row r="59" spans="1:7">
      <c r="A59" s="1650" t="str">
        <f>INDEX(Lists!$C$4:$C$26,MATCH(Validation!$B$3,Lists!$B$4:$B$26,0))</f>
        <v>YKY</v>
      </c>
      <c r="B59" s="848" t="str">
        <f>INDEX(Lists!$C$4:$C$26,MATCH(Validation!$B$3,Lists!$B$4:$B$26,0))&amp;"_AIM06"</f>
        <v>YKY_AIM06</v>
      </c>
      <c r="C59" s="848" t="s">
        <v>2389</v>
      </c>
      <c r="D59" s="848" t="s">
        <v>9036</v>
      </c>
      <c r="E59" s="848" t="s">
        <v>3456</v>
      </c>
      <c r="F59" s="848" t="s">
        <v>9033</v>
      </c>
      <c r="G59" s="1654" t="str">
        <f>IF('3C'!E10="","##BLANK",'3C'!E10)</f>
        <v>##BLANK</v>
      </c>
    </row>
    <row r="60" spans="1:7">
      <c r="A60" s="1650" t="str">
        <f>INDEX(Lists!$C$4:$C$26,MATCH(Validation!$B$3,Lists!$B$4:$B$26,0))</f>
        <v>YKY</v>
      </c>
      <c r="B60" s="848" t="str">
        <f>INDEX(Lists!$C$4:$C$26,MATCH(Validation!$B$3,Lists!$B$4:$B$26,0))&amp;"_AIM07"</f>
        <v>YKY_AIM07</v>
      </c>
      <c r="C60" s="848" t="s">
        <v>2389</v>
      </c>
      <c r="D60" s="848" t="s">
        <v>9036</v>
      </c>
      <c r="E60" s="848" t="s">
        <v>3456</v>
      </c>
      <c r="F60" s="848" t="s">
        <v>9033</v>
      </c>
      <c r="G60" s="1654" t="str">
        <f>IF('3C'!E11="","##BLANK",'3C'!E11)</f>
        <v>##BLANK</v>
      </c>
    </row>
    <row r="61" spans="1:7">
      <c r="A61" s="1650" t="str">
        <f>INDEX(Lists!$C$4:$C$26,MATCH(Validation!$B$3,Lists!$B$4:$B$26,0))</f>
        <v>YKY</v>
      </c>
      <c r="B61" s="848" t="str">
        <f>INDEX(Lists!$C$4:$C$26,MATCH(Validation!$B$3,Lists!$B$4:$B$26,0))&amp;"_AIM08"</f>
        <v>YKY_AIM08</v>
      </c>
      <c r="C61" s="848" t="s">
        <v>2389</v>
      </c>
      <c r="D61" s="848" t="s">
        <v>9036</v>
      </c>
      <c r="E61" s="848" t="s">
        <v>3456</v>
      </c>
      <c r="F61" s="848" t="s">
        <v>9033</v>
      </c>
      <c r="G61" s="1654" t="str">
        <f>IF('3C'!E12="","##BLANK",'3C'!E12)</f>
        <v>##BLANK</v>
      </c>
    </row>
    <row r="62" spans="1:7">
      <c r="A62" s="1650" t="str">
        <f>INDEX(Lists!$C$4:$C$26,MATCH(Validation!$B$3,Lists!$B$4:$B$26,0))</f>
        <v>YKY</v>
      </c>
      <c r="B62" s="848" t="str">
        <f>INDEX(Lists!$C$4:$C$26,MATCH(Validation!$B$3,Lists!$B$4:$B$26,0))&amp;"_AIM09"</f>
        <v>YKY_AIM09</v>
      </c>
      <c r="C62" s="848" t="s">
        <v>2389</v>
      </c>
      <c r="D62" s="848" t="s">
        <v>9036</v>
      </c>
      <c r="E62" s="848" t="s">
        <v>3456</v>
      </c>
      <c r="F62" s="848" t="s">
        <v>9033</v>
      </c>
      <c r="G62" s="1654" t="str">
        <f>IF('3C'!E13="","##BLANK",'3C'!E13)</f>
        <v>##BLANK</v>
      </c>
    </row>
    <row r="63" spans="1:7">
      <c r="A63" s="1650" t="str">
        <f>INDEX(Lists!$C$4:$C$26,MATCH(Validation!$B$3,Lists!$B$4:$B$26,0))</f>
        <v>YKY</v>
      </c>
      <c r="B63" s="848" t="str">
        <f>INDEX(Lists!$C$4:$C$26,MATCH(Validation!$B$3,Lists!$B$4:$B$26,0))&amp;"_AIM10"</f>
        <v>YKY_AIM10</v>
      </c>
      <c r="C63" s="848" t="s">
        <v>2389</v>
      </c>
      <c r="D63" s="848" t="s">
        <v>9036</v>
      </c>
      <c r="E63" s="848" t="s">
        <v>3456</v>
      </c>
      <c r="F63" s="848" t="s">
        <v>9033</v>
      </c>
      <c r="G63" s="1654" t="str">
        <f>IF('3C'!E14="","##BLANK",'3C'!E14)</f>
        <v>##BLANK</v>
      </c>
    </row>
    <row r="64" spans="1:7">
      <c r="A64" s="1650" t="str">
        <f>INDEX(Lists!$C$4:$C$26,MATCH(Validation!$B$3,Lists!$B$4:$B$26,0))</f>
        <v>YKY</v>
      </c>
      <c r="B64" s="848" t="str">
        <f>INDEX(Lists!$C$4:$C$26,MATCH(Validation!$B$3,Lists!$B$4:$B$26,0))&amp;"_AIM11"</f>
        <v>YKY_AIM11</v>
      </c>
      <c r="C64" s="848" t="s">
        <v>2389</v>
      </c>
      <c r="D64" s="848" t="s">
        <v>9036</v>
      </c>
      <c r="E64" s="848" t="s">
        <v>3456</v>
      </c>
      <c r="F64" s="848" t="s">
        <v>9033</v>
      </c>
      <c r="G64" s="1654" t="str">
        <f>IF('3C'!E15="","##BLANK",'3C'!E15)</f>
        <v>##BLANK</v>
      </c>
    </row>
    <row r="65" spans="1:7">
      <c r="A65" s="1650" t="str">
        <f>INDEX(Lists!$C$4:$C$26,MATCH(Validation!$B$3,Lists!$B$4:$B$26,0))</f>
        <v>YKY</v>
      </c>
      <c r="B65" s="848" t="str">
        <f>INDEX(Lists!$C$4:$C$26,MATCH(Validation!$B$3,Lists!$B$4:$B$26,0))&amp;"_AIM12"</f>
        <v>YKY_AIM12</v>
      </c>
      <c r="C65" s="848" t="s">
        <v>2389</v>
      </c>
      <c r="D65" s="848" t="s">
        <v>9036</v>
      </c>
      <c r="E65" s="848" t="s">
        <v>3456</v>
      </c>
      <c r="F65" s="848" t="s">
        <v>9033</v>
      </c>
      <c r="G65" s="1654" t="str">
        <f>IF('3C'!E16="","##BLANK",'3C'!E16)</f>
        <v>##BLANK</v>
      </c>
    </row>
    <row r="66" spans="1:7">
      <c r="A66" s="1650" t="str">
        <f>INDEX(Lists!$C$4:$C$26,MATCH(Validation!$B$3,Lists!$B$4:$B$26,0))</f>
        <v>YKY</v>
      </c>
      <c r="B66" s="848" t="str">
        <f>INDEX(Lists!$C$4:$C$26,MATCH(Validation!$B$3,Lists!$B$4:$B$26,0))&amp;"_AIM13"</f>
        <v>YKY_AIM13</v>
      </c>
      <c r="C66" s="848" t="s">
        <v>2389</v>
      </c>
      <c r="D66" s="848" t="s">
        <v>9036</v>
      </c>
      <c r="E66" s="848" t="s">
        <v>3456</v>
      </c>
      <c r="F66" s="848" t="s">
        <v>9033</v>
      </c>
      <c r="G66" s="1654" t="str">
        <f>IF('3C'!E17="","##BLANK",'3C'!E17)</f>
        <v>##BLANK</v>
      </c>
    </row>
    <row r="67" spans="1:7">
      <c r="A67" s="1650" t="str">
        <f>INDEX(Lists!$C$4:$C$26,MATCH(Validation!$B$3,Lists!$B$4:$B$26,0))</f>
        <v>YKY</v>
      </c>
      <c r="B67" s="848" t="str">
        <f>INDEX(Lists!$C$4:$C$26,MATCH(Validation!$B$3,Lists!$B$4:$B$26,0))&amp;"_AIM14"</f>
        <v>YKY_AIM14</v>
      </c>
      <c r="C67" s="848" t="s">
        <v>2389</v>
      </c>
      <c r="D67" s="848" t="s">
        <v>9036</v>
      </c>
      <c r="E67" s="848" t="s">
        <v>3456</v>
      </c>
      <c r="F67" s="848" t="s">
        <v>9033</v>
      </c>
      <c r="G67" s="1654" t="str">
        <f>IF('3C'!E18="","##BLANK",'3C'!E18)</f>
        <v>##BLANK</v>
      </c>
    </row>
    <row r="68" spans="1:7">
      <c r="A68" s="1650" t="str">
        <f>INDEX(Lists!$C$4:$C$26,MATCH(Validation!$B$3,Lists!$B$4:$B$26,0))</f>
        <v>YKY</v>
      </c>
      <c r="B68" s="848" t="str">
        <f>INDEX(Lists!$C$4:$C$26,MATCH(Validation!$B$3,Lists!$B$4:$B$26,0))&amp;"_AIM15"</f>
        <v>YKY_AIM15</v>
      </c>
      <c r="C68" s="848" t="s">
        <v>2389</v>
      </c>
      <c r="D68" s="848" t="s">
        <v>9036</v>
      </c>
      <c r="E68" s="848" t="s">
        <v>3456</v>
      </c>
      <c r="F68" s="848" t="s">
        <v>9033</v>
      </c>
      <c r="G68" s="1654" t="str">
        <f>IF('3C'!E19="","##BLANK",'3C'!E19)</f>
        <v>##BLANK</v>
      </c>
    </row>
    <row r="69" spans="1:7">
      <c r="A69" s="1650" t="str">
        <f>INDEX(Lists!$C$4:$C$26,MATCH(Validation!$B$3,Lists!$B$4:$B$26,0))</f>
        <v>YKY</v>
      </c>
      <c r="B69" s="848" t="str">
        <f>INDEX(Lists!$C$4:$C$26,MATCH(Validation!$B$3,Lists!$B$4:$B$26,0))&amp;"_AIM16"</f>
        <v>YKY_AIM16</v>
      </c>
      <c r="C69" s="848" t="s">
        <v>2389</v>
      </c>
      <c r="D69" s="848" t="s">
        <v>9036</v>
      </c>
      <c r="E69" s="848" t="s">
        <v>3456</v>
      </c>
      <c r="F69" s="848" t="s">
        <v>9033</v>
      </c>
      <c r="G69" s="1654" t="str">
        <f>IF('3C'!E20="","##BLANK",'3C'!E20)</f>
        <v>##BLANK</v>
      </c>
    </row>
    <row r="70" spans="1:7">
      <c r="A70" s="1650" t="str">
        <f>INDEX(Lists!$C$4:$C$26,MATCH(Validation!$B$3,Lists!$B$4:$B$26,0))</f>
        <v>YKY</v>
      </c>
      <c r="B70" s="848" t="str">
        <f>INDEX(Lists!$C$4:$C$26,MATCH(Validation!$B$3,Lists!$B$4:$B$26,0))&amp;"_AIM17"</f>
        <v>YKY_AIM17</v>
      </c>
      <c r="C70" s="848" t="s">
        <v>2389</v>
      </c>
      <c r="D70" s="848" t="s">
        <v>9036</v>
      </c>
      <c r="E70" s="848" t="s">
        <v>3456</v>
      </c>
      <c r="F70" s="848" t="s">
        <v>9033</v>
      </c>
      <c r="G70" s="1654" t="str">
        <f>IF('3C'!E21="","##BLANK",'3C'!E21)</f>
        <v>##BLANK</v>
      </c>
    </row>
    <row r="71" spans="1:7">
      <c r="A71" s="1650" t="str">
        <f>INDEX(Lists!$C$4:$C$26,MATCH(Validation!$B$3,Lists!$B$4:$B$26,0))</f>
        <v>YKY</v>
      </c>
      <c r="B71" s="848" t="str">
        <f>INDEX(Lists!$C$4:$C$26,MATCH(Validation!$B$3,Lists!$B$4:$B$26,0))&amp;"_AIM18"</f>
        <v>YKY_AIM18</v>
      </c>
      <c r="C71" s="848" t="s">
        <v>2389</v>
      </c>
      <c r="D71" s="848" t="s">
        <v>9036</v>
      </c>
      <c r="E71" s="848" t="s">
        <v>3456</v>
      </c>
      <c r="F71" s="848" t="s">
        <v>9033</v>
      </c>
      <c r="G71" s="1654" t="str">
        <f>IF('3C'!E22="","##BLANK",'3C'!E22)</f>
        <v>##BLANK</v>
      </c>
    </row>
    <row r="72" spans="1:7">
      <c r="A72" s="1650" t="str">
        <f>INDEX(Lists!$C$4:$C$26,MATCH(Validation!$B$3,Lists!$B$4:$B$26,0))</f>
        <v>YKY</v>
      </c>
      <c r="B72" s="848" t="str">
        <f>INDEX(Lists!$C$4:$C$26,MATCH(Validation!$B$3,Lists!$B$4:$B$26,0))&amp;"_AIM19"</f>
        <v>YKY_AIM19</v>
      </c>
      <c r="C72" s="848" t="s">
        <v>2389</v>
      </c>
      <c r="D72" s="848" t="s">
        <v>9036</v>
      </c>
      <c r="E72" s="848" t="s">
        <v>3456</v>
      </c>
      <c r="F72" s="848" t="s">
        <v>9033</v>
      </c>
      <c r="G72" s="1654" t="str">
        <f>IF('3C'!E23="","##BLANK",'3C'!E23)</f>
        <v>##BLANK</v>
      </c>
    </row>
    <row r="73" spans="1:7">
      <c r="A73" s="1650" t="str">
        <f>INDEX(Lists!$C$4:$C$26,MATCH(Validation!$B$3,Lists!$B$4:$B$26,0))</f>
        <v>YKY</v>
      </c>
      <c r="B73" s="848" t="str">
        <f>INDEX(Lists!$C$4:$C$26,MATCH(Validation!$B$3,Lists!$B$4:$B$26,0))&amp;"_AIM20"</f>
        <v>YKY_AIM20</v>
      </c>
      <c r="C73" s="848" t="s">
        <v>2389</v>
      </c>
      <c r="D73" s="848" t="s">
        <v>9036</v>
      </c>
      <c r="E73" s="848" t="s">
        <v>3456</v>
      </c>
      <c r="F73" s="848" t="s">
        <v>9033</v>
      </c>
      <c r="G73" s="1654" t="str">
        <f>IF('3C'!E24="","##BLANK",'3C'!E24)</f>
        <v>##BLANK</v>
      </c>
    </row>
    <row r="74" spans="1:7">
      <c r="A74" s="1650" t="str">
        <f>INDEX(Lists!$C$4:$C$26,MATCH(Validation!$B$3,Lists!$B$4:$B$26,0))</f>
        <v>YKY</v>
      </c>
      <c r="B74" s="848" t="str">
        <f>INDEX(Lists!$C$4:$C$26,MATCH(Validation!$B$3,Lists!$B$4:$B$26,0))&amp;"_AIM21"</f>
        <v>YKY_AIM21</v>
      </c>
      <c r="C74" s="848" t="s">
        <v>2389</v>
      </c>
      <c r="D74" s="848" t="s">
        <v>9036</v>
      </c>
      <c r="E74" s="848" t="s">
        <v>3456</v>
      </c>
      <c r="F74" s="848" t="s">
        <v>9033</v>
      </c>
      <c r="G74" s="1654" t="str">
        <f>IF('3C'!E25="","##BLANK",'3C'!E25)</f>
        <v>##BLANK</v>
      </c>
    </row>
    <row r="75" spans="1:7">
      <c r="A75" s="1650" t="str">
        <f>INDEX(Lists!$C$4:$C$26,MATCH(Validation!$B$3,Lists!$B$4:$B$26,0))</f>
        <v>YKY</v>
      </c>
      <c r="B75" s="848" t="str">
        <f>INDEX(Lists!$C$4:$C$26,MATCH(Validation!$B$3,Lists!$B$4:$B$26,0))&amp;"_AIM22"</f>
        <v>YKY_AIM22</v>
      </c>
      <c r="C75" s="848" t="s">
        <v>2389</v>
      </c>
      <c r="D75" s="848" t="s">
        <v>9036</v>
      </c>
      <c r="E75" s="848" t="s">
        <v>3456</v>
      </c>
      <c r="F75" s="848" t="s">
        <v>9033</v>
      </c>
      <c r="G75" s="1654" t="str">
        <f>IF('3C'!E26="","##BLANK",'3C'!E26)</f>
        <v>##BLANK</v>
      </c>
    </row>
    <row r="76" spans="1:7">
      <c r="A76" s="1650" t="str">
        <f>INDEX(Lists!$C$4:$C$26,MATCH(Validation!$B$3,Lists!$B$4:$B$26,0))</f>
        <v>YKY</v>
      </c>
      <c r="B76" s="848" t="str">
        <f>INDEX(Lists!$C$4:$C$26,MATCH(Validation!$B$3,Lists!$B$4:$B$26,0))&amp;"_AIM23"</f>
        <v>YKY_AIM23</v>
      </c>
      <c r="C76" s="848" t="s">
        <v>2389</v>
      </c>
      <c r="D76" s="848" t="s">
        <v>9036</v>
      </c>
      <c r="E76" s="848" t="s">
        <v>3456</v>
      </c>
      <c r="F76" s="848" t="s">
        <v>9033</v>
      </c>
      <c r="G76" s="1654" t="str">
        <f>IF('3C'!E27="","##BLANK",'3C'!E27)</f>
        <v>##BLANK</v>
      </c>
    </row>
    <row r="77" spans="1:7">
      <c r="A77" s="1650" t="str">
        <f>INDEX(Lists!$C$4:$C$26,MATCH(Validation!$B$3,Lists!$B$4:$B$26,0))</f>
        <v>YKY</v>
      </c>
      <c r="B77" s="848" t="str">
        <f>INDEX(Lists!$C$4:$C$26,MATCH(Validation!$B$3,Lists!$B$4:$B$26,0))&amp;"_AIM24"</f>
        <v>YKY_AIM24</v>
      </c>
      <c r="C77" s="848" t="s">
        <v>2389</v>
      </c>
      <c r="D77" s="848" t="s">
        <v>9036</v>
      </c>
      <c r="E77" s="848" t="s">
        <v>3456</v>
      </c>
      <c r="F77" s="848" t="s">
        <v>9033</v>
      </c>
      <c r="G77" s="1654" t="str">
        <f>IF('3C'!E28="","##BLANK",'3C'!E28)</f>
        <v>##BLANK</v>
      </c>
    </row>
    <row r="78" spans="1:7" ht="15" thickBot="1">
      <c r="A78" s="1651" t="str">
        <f>INDEX(Lists!$C$4:$C$26,MATCH(Validation!$B$3,Lists!$B$4:$B$26,0))</f>
        <v>YKY</v>
      </c>
      <c r="B78" s="1652" t="str">
        <f>INDEX(Lists!$C$4:$C$26,MATCH(Validation!$B$3,Lists!$B$4:$B$26,0))&amp;"_AIM25"</f>
        <v>YKY_AIM25</v>
      </c>
      <c r="C78" s="1652" t="s">
        <v>2389</v>
      </c>
      <c r="D78" s="1652" t="s">
        <v>9036</v>
      </c>
      <c r="E78" s="1652" t="s">
        <v>3456</v>
      </c>
      <c r="F78" s="1652" t="s">
        <v>9033</v>
      </c>
      <c r="G78" s="1656" t="str">
        <f>IF('3C'!E29="","##BLANK",'3C'!E29)</f>
        <v>##BLANK</v>
      </c>
    </row>
    <row r="79" spans="1:7">
      <c r="A79" s="1648" t="str">
        <f>INDEX(Lists!$C$4:$C$26,MATCH(Validation!$B$3,Lists!$B$4:$B$26,0))</f>
        <v>YKY</v>
      </c>
      <c r="B79" s="1649" t="str">
        <f>INDEX(Lists!$C$4:$C$26,MATCH(Validation!$B$3,Lists!$B$4:$B$26,0))&amp;"_AIM01"</f>
        <v>YKY_AIM01</v>
      </c>
      <c r="C79" s="1649" t="s">
        <v>2390</v>
      </c>
      <c r="D79" s="1649" t="s">
        <v>9037</v>
      </c>
      <c r="E79" s="1649" t="s">
        <v>766</v>
      </c>
      <c r="F79" s="1649" t="s">
        <v>9033</v>
      </c>
      <c r="G79" s="1655">
        <f>IF('3C'!F5="","##BLANK",'3C'!F5)</f>
        <v>0</v>
      </c>
    </row>
    <row r="80" spans="1:7">
      <c r="A80" s="1650" t="str">
        <f>INDEX(Lists!$C$4:$C$26,MATCH(Validation!$B$3,Lists!$B$4:$B$26,0))</f>
        <v>YKY</v>
      </c>
      <c r="B80" s="848" t="str">
        <f>INDEX(Lists!$C$4:$C$26,MATCH(Validation!$B$3,Lists!$B$4:$B$26,0))&amp;"_AIM02"</f>
        <v>YKY_AIM02</v>
      </c>
      <c r="C80" s="848" t="s">
        <v>2390</v>
      </c>
      <c r="D80" s="848" t="s">
        <v>9037</v>
      </c>
      <c r="E80" s="848" t="s">
        <v>766</v>
      </c>
      <c r="F80" s="848" t="s">
        <v>9033</v>
      </c>
      <c r="G80" s="1654" t="str">
        <f>IF('3C'!F6="","##BLANK",'3C'!F6)</f>
        <v>##BLANK</v>
      </c>
    </row>
    <row r="81" spans="1:7">
      <c r="A81" s="1650" t="str">
        <f>INDEX(Lists!$C$4:$C$26,MATCH(Validation!$B$3,Lists!$B$4:$B$26,0))</f>
        <v>YKY</v>
      </c>
      <c r="B81" s="848" t="str">
        <f>INDEX(Lists!$C$4:$C$26,MATCH(Validation!$B$3,Lists!$B$4:$B$26,0))&amp;"_AIM03"</f>
        <v>YKY_AIM03</v>
      </c>
      <c r="C81" s="848" t="s">
        <v>2390</v>
      </c>
      <c r="D81" s="848" t="s">
        <v>9037</v>
      </c>
      <c r="E81" s="848" t="s">
        <v>766</v>
      </c>
      <c r="F81" s="848" t="s">
        <v>9033</v>
      </c>
      <c r="G81" s="1654" t="str">
        <f>IF('3C'!F7="","##BLANK",'3C'!F7)</f>
        <v>##BLANK</v>
      </c>
    </row>
    <row r="82" spans="1:7">
      <c r="A82" s="1650" t="str">
        <f>INDEX(Lists!$C$4:$C$26,MATCH(Validation!$B$3,Lists!$B$4:$B$26,0))</f>
        <v>YKY</v>
      </c>
      <c r="B82" s="848" t="str">
        <f>INDEX(Lists!$C$4:$C$26,MATCH(Validation!$B$3,Lists!$B$4:$B$26,0))&amp;"_AIM04"</f>
        <v>YKY_AIM04</v>
      </c>
      <c r="C82" s="848" t="s">
        <v>2390</v>
      </c>
      <c r="D82" s="848" t="s">
        <v>9037</v>
      </c>
      <c r="E82" s="848" t="s">
        <v>766</v>
      </c>
      <c r="F82" s="848" t="s">
        <v>9033</v>
      </c>
      <c r="G82" s="1654" t="str">
        <f>IF('3C'!F8="","##BLANK",'3C'!F8)</f>
        <v>##BLANK</v>
      </c>
    </row>
    <row r="83" spans="1:7">
      <c r="A83" s="1650" t="str">
        <f>INDEX(Lists!$C$4:$C$26,MATCH(Validation!$B$3,Lists!$B$4:$B$26,0))</f>
        <v>YKY</v>
      </c>
      <c r="B83" s="848" t="str">
        <f>INDEX(Lists!$C$4:$C$26,MATCH(Validation!$B$3,Lists!$B$4:$B$26,0))&amp;"_AIM05"</f>
        <v>YKY_AIM05</v>
      </c>
      <c r="C83" s="848" t="s">
        <v>2390</v>
      </c>
      <c r="D83" s="848" t="s">
        <v>9037</v>
      </c>
      <c r="E83" s="848" t="s">
        <v>766</v>
      </c>
      <c r="F83" s="848" t="s">
        <v>9033</v>
      </c>
      <c r="G83" s="1654" t="str">
        <f>IF('3C'!F9="","##BLANK",'3C'!F9)</f>
        <v>##BLANK</v>
      </c>
    </row>
    <row r="84" spans="1:7">
      <c r="A84" s="1650" t="str">
        <f>INDEX(Lists!$C$4:$C$26,MATCH(Validation!$B$3,Lists!$B$4:$B$26,0))</f>
        <v>YKY</v>
      </c>
      <c r="B84" s="848" t="str">
        <f>INDEX(Lists!$C$4:$C$26,MATCH(Validation!$B$3,Lists!$B$4:$B$26,0))&amp;"_AIM06"</f>
        <v>YKY_AIM06</v>
      </c>
      <c r="C84" s="848" t="s">
        <v>2390</v>
      </c>
      <c r="D84" s="848" t="s">
        <v>9037</v>
      </c>
      <c r="E84" s="848" t="s">
        <v>766</v>
      </c>
      <c r="F84" s="848" t="s">
        <v>9033</v>
      </c>
      <c r="G84" s="1654" t="str">
        <f>IF('3C'!F10="","##BLANK",'3C'!F10)</f>
        <v>##BLANK</v>
      </c>
    </row>
    <row r="85" spans="1:7">
      <c r="A85" s="1650" t="str">
        <f>INDEX(Lists!$C$4:$C$26,MATCH(Validation!$B$3,Lists!$B$4:$B$26,0))</f>
        <v>YKY</v>
      </c>
      <c r="B85" s="848" t="str">
        <f>INDEX(Lists!$C$4:$C$26,MATCH(Validation!$B$3,Lists!$B$4:$B$26,0))&amp;"_AIM07"</f>
        <v>YKY_AIM07</v>
      </c>
      <c r="C85" s="848" t="s">
        <v>2390</v>
      </c>
      <c r="D85" s="848" t="s">
        <v>9037</v>
      </c>
      <c r="E85" s="848" t="s">
        <v>766</v>
      </c>
      <c r="F85" s="848" t="s">
        <v>9033</v>
      </c>
      <c r="G85" s="1654" t="str">
        <f>IF('3C'!F11="","##BLANK",'3C'!F11)</f>
        <v>##BLANK</v>
      </c>
    </row>
    <row r="86" spans="1:7">
      <c r="A86" s="1650" t="str">
        <f>INDEX(Lists!$C$4:$C$26,MATCH(Validation!$B$3,Lists!$B$4:$B$26,0))</f>
        <v>YKY</v>
      </c>
      <c r="B86" s="848" t="str">
        <f>INDEX(Lists!$C$4:$C$26,MATCH(Validation!$B$3,Lists!$B$4:$B$26,0))&amp;"_AIM08"</f>
        <v>YKY_AIM08</v>
      </c>
      <c r="C86" s="848" t="s">
        <v>2390</v>
      </c>
      <c r="D86" s="848" t="s">
        <v>9037</v>
      </c>
      <c r="E86" s="848" t="s">
        <v>766</v>
      </c>
      <c r="F86" s="848" t="s">
        <v>9033</v>
      </c>
      <c r="G86" s="1654" t="str">
        <f>IF('3C'!F12="","##BLANK",'3C'!F12)</f>
        <v>##BLANK</v>
      </c>
    </row>
    <row r="87" spans="1:7">
      <c r="A87" s="1650" t="str">
        <f>INDEX(Lists!$C$4:$C$26,MATCH(Validation!$B$3,Lists!$B$4:$B$26,0))</f>
        <v>YKY</v>
      </c>
      <c r="B87" s="848" t="str">
        <f>INDEX(Lists!$C$4:$C$26,MATCH(Validation!$B$3,Lists!$B$4:$B$26,0))&amp;"_AIM09"</f>
        <v>YKY_AIM09</v>
      </c>
      <c r="C87" s="848" t="s">
        <v>2390</v>
      </c>
      <c r="D87" s="848" t="s">
        <v>9037</v>
      </c>
      <c r="E87" s="848" t="s">
        <v>766</v>
      </c>
      <c r="F87" s="848" t="s">
        <v>9033</v>
      </c>
      <c r="G87" s="1654" t="str">
        <f>IF('3C'!F13="","##BLANK",'3C'!F13)</f>
        <v>##BLANK</v>
      </c>
    </row>
    <row r="88" spans="1:7">
      <c r="A88" s="1650" t="str">
        <f>INDEX(Lists!$C$4:$C$26,MATCH(Validation!$B$3,Lists!$B$4:$B$26,0))</f>
        <v>YKY</v>
      </c>
      <c r="B88" s="848" t="str">
        <f>INDEX(Lists!$C$4:$C$26,MATCH(Validation!$B$3,Lists!$B$4:$B$26,0))&amp;"_AIM10"</f>
        <v>YKY_AIM10</v>
      </c>
      <c r="C88" s="848" t="s">
        <v>2390</v>
      </c>
      <c r="D88" s="848" t="s">
        <v>9037</v>
      </c>
      <c r="E88" s="848" t="s">
        <v>766</v>
      </c>
      <c r="F88" s="848" t="s">
        <v>9033</v>
      </c>
      <c r="G88" s="1654" t="str">
        <f>IF('3C'!F14="","##BLANK",'3C'!F14)</f>
        <v>##BLANK</v>
      </c>
    </row>
    <row r="89" spans="1:7">
      <c r="A89" s="1650" t="str">
        <f>INDEX(Lists!$C$4:$C$26,MATCH(Validation!$B$3,Lists!$B$4:$B$26,0))</f>
        <v>YKY</v>
      </c>
      <c r="B89" s="848" t="str">
        <f>INDEX(Lists!$C$4:$C$26,MATCH(Validation!$B$3,Lists!$B$4:$B$26,0))&amp;"_AIM11"</f>
        <v>YKY_AIM11</v>
      </c>
      <c r="C89" s="848" t="s">
        <v>2390</v>
      </c>
      <c r="D89" s="848" t="s">
        <v>9037</v>
      </c>
      <c r="E89" s="848" t="s">
        <v>766</v>
      </c>
      <c r="F89" s="848" t="s">
        <v>9033</v>
      </c>
      <c r="G89" s="1654" t="str">
        <f>IF('3C'!F15="","##BLANK",'3C'!F15)</f>
        <v>##BLANK</v>
      </c>
    </row>
    <row r="90" spans="1:7">
      <c r="A90" s="1650" t="str">
        <f>INDEX(Lists!$C$4:$C$26,MATCH(Validation!$B$3,Lists!$B$4:$B$26,0))</f>
        <v>YKY</v>
      </c>
      <c r="B90" s="848" t="str">
        <f>INDEX(Lists!$C$4:$C$26,MATCH(Validation!$B$3,Lists!$B$4:$B$26,0))&amp;"_AIM12"</f>
        <v>YKY_AIM12</v>
      </c>
      <c r="C90" s="848" t="s">
        <v>2390</v>
      </c>
      <c r="D90" s="848" t="s">
        <v>9037</v>
      </c>
      <c r="E90" s="848" t="s">
        <v>766</v>
      </c>
      <c r="F90" s="848" t="s">
        <v>9033</v>
      </c>
      <c r="G90" s="1654" t="str">
        <f>IF('3C'!F16="","##BLANK",'3C'!F16)</f>
        <v>##BLANK</v>
      </c>
    </row>
    <row r="91" spans="1:7">
      <c r="A91" s="1650" t="str">
        <f>INDEX(Lists!$C$4:$C$26,MATCH(Validation!$B$3,Lists!$B$4:$B$26,0))</f>
        <v>YKY</v>
      </c>
      <c r="B91" s="848" t="str">
        <f>INDEX(Lists!$C$4:$C$26,MATCH(Validation!$B$3,Lists!$B$4:$B$26,0))&amp;"_AIM13"</f>
        <v>YKY_AIM13</v>
      </c>
      <c r="C91" s="848" t="s">
        <v>2390</v>
      </c>
      <c r="D91" s="848" t="s">
        <v>9037</v>
      </c>
      <c r="E91" s="848" t="s">
        <v>766</v>
      </c>
      <c r="F91" s="848" t="s">
        <v>9033</v>
      </c>
      <c r="G91" s="1654" t="str">
        <f>IF('3C'!F17="","##BLANK",'3C'!F17)</f>
        <v>##BLANK</v>
      </c>
    </row>
    <row r="92" spans="1:7">
      <c r="A92" s="1650" t="str">
        <f>INDEX(Lists!$C$4:$C$26,MATCH(Validation!$B$3,Lists!$B$4:$B$26,0))</f>
        <v>YKY</v>
      </c>
      <c r="B92" s="848" t="str">
        <f>INDEX(Lists!$C$4:$C$26,MATCH(Validation!$B$3,Lists!$B$4:$B$26,0))&amp;"_AIM14"</f>
        <v>YKY_AIM14</v>
      </c>
      <c r="C92" s="848" t="s">
        <v>2390</v>
      </c>
      <c r="D92" s="848" t="s">
        <v>9037</v>
      </c>
      <c r="E92" s="848" t="s">
        <v>766</v>
      </c>
      <c r="F92" s="848" t="s">
        <v>9033</v>
      </c>
      <c r="G92" s="1654" t="str">
        <f>IF('3C'!F18="","##BLANK",'3C'!F18)</f>
        <v>##BLANK</v>
      </c>
    </row>
    <row r="93" spans="1:7">
      <c r="A93" s="1650" t="str">
        <f>INDEX(Lists!$C$4:$C$26,MATCH(Validation!$B$3,Lists!$B$4:$B$26,0))</f>
        <v>YKY</v>
      </c>
      <c r="B93" s="848" t="str">
        <f>INDEX(Lists!$C$4:$C$26,MATCH(Validation!$B$3,Lists!$B$4:$B$26,0))&amp;"_AIM15"</f>
        <v>YKY_AIM15</v>
      </c>
      <c r="C93" s="848" t="s">
        <v>2390</v>
      </c>
      <c r="D93" s="848" t="s">
        <v>9037</v>
      </c>
      <c r="E93" s="848" t="s">
        <v>766</v>
      </c>
      <c r="F93" s="848" t="s">
        <v>9033</v>
      </c>
      <c r="G93" s="1654" t="str">
        <f>IF('3C'!F19="","##BLANK",'3C'!F19)</f>
        <v>##BLANK</v>
      </c>
    </row>
    <row r="94" spans="1:7">
      <c r="A94" s="1650" t="str">
        <f>INDEX(Lists!$C$4:$C$26,MATCH(Validation!$B$3,Lists!$B$4:$B$26,0))</f>
        <v>YKY</v>
      </c>
      <c r="B94" s="848" t="str">
        <f>INDEX(Lists!$C$4:$C$26,MATCH(Validation!$B$3,Lists!$B$4:$B$26,0))&amp;"_AIM16"</f>
        <v>YKY_AIM16</v>
      </c>
      <c r="C94" s="848" t="s">
        <v>2390</v>
      </c>
      <c r="D94" s="848" t="s">
        <v>9037</v>
      </c>
      <c r="E94" s="848" t="s">
        <v>766</v>
      </c>
      <c r="F94" s="848" t="s">
        <v>9033</v>
      </c>
      <c r="G94" s="1654" t="str">
        <f>IF('3C'!F20="","##BLANK",'3C'!F20)</f>
        <v>##BLANK</v>
      </c>
    </row>
    <row r="95" spans="1:7">
      <c r="A95" s="1650" t="str">
        <f>INDEX(Lists!$C$4:$C$26,MATCH(Validation!$B$3,Lists!$B$4:$B$26,0))</f>
        <v>YKY</v>
      </c>
      <c r="B95" s="848" t="str">
        <f>INDEX(Lists!$C$4:$C$26,MATCH(Validation!$B$3,Lists!$B$4:$B$26,0))&amp;"_AIM17"</f>
        <v>YKY_AIM17</v>
      </c>
      <c r="C95" s="848" t="s">
        <v>2390</v>
      </c>
      <c r="D95" s="848" t="s">
        <v>9037</v>
      </c>
      <c r="E95" s="848" t="s">
        <v>766</v>
      </c>
      <c r="F95" s="848" t="s">
        <v>9033</v>
      </c>
      <c r="G95" s="1654" t="str">
        <f>IF('3C'!F21="","##BLANK",'3C'!F21)</f>
        <v>##BLANK</v>
      </c>
    </row>
    <row r="96" spans="1:7">
      <c r="A96" s="1650" t="str">
        <f>INDEX(Lists!$C$4:$C$26,MATCH(Validation!$B$3,Lists!$B$4:$B$26,0))</f>
        <v>YKY</v>
      </c>
      <c r="B96" s="848" t="str">
        <f>INDEX(Lists!$C$4:$C$26,MATCH(Validation!$B$3,Lists!$B$4:$B$26,0))&amp;"_AIM18"</f>
        <v>YKY_AIM18</v>
      </c>
      <c r="C96" s="848" t="s">
        <v>2390</v>
      </c>
      <c r="D96" s="848" t="s">
        <v>9037</v>
      </c>
      <c r="E96" s="848" t="s">
        <v>766</v>
      </c>
      <c r="F96" s="848" t="s">
        <v>9033</v>
      </c>
      <c r="G96" s="1654" t="str">
        <f>IF('3C'!F22="","##BLANK",'3C'!F22)</f>
        <v>##BLANK</v>
      </c>
    </row>
    <row r="97" spans="1:7">
      <c r="A97" s="1650" t="str">
        <f>INDEX(Lists!$C$4:$C$26,MATCH(Validation!$B$3,Lists!$B$4:$B$26,0))</f>
        <v>YKY</v>
      </c>
      <c r="B97" s="848" t="str">
        <f>INDEX(Lists!$C$4:$C$26,MATCH(Validation!$B$3,Lists!$B$4:$B$26,0))&amp;"_AIM19"</f>
        <v>YKY_AIM19</v>
      </c>
      <c r="C97" s="848" t="s">
        <v>2390</v>
      </c>
      <c r="D97" s="848" t="s">
        <v>9037</v>
      </c>
      <c r="E97" s="848" t="s">
        <v>766</v>
      </c>
      <c r="F97" s="848" t="s">
        <v>9033</v>
      </c>
      <c r="G97" s="1654" t="str">
        <f>IF('3C'!F23="","##BLANK",'3C'!F23)</f>
        <v>##BLANK</v>
      </c>
    </row>
    <row r="98" spans="1:7">
      <c r="A98" s="1650" t="str">
        <f>INDEX(Lists!$C$4:$C$26,MATCH(Validation!$B$3,Lists!$B$4:$B$26,0))</f>
        <v>YKY</v>
      </c>
      <c r="B98" s="848" t="str">
        <f>INDEX(Lists!$C$4:$C$26,MATCH(Validation!$B$3,Lists!$B$4:$B$26,0))&amp;"_AIM20"</f>
        <v>YKY_AIM20</v>
      </c>
      <c r="C98" s="848" t="s">
        <v>2390</v>
      </c>
      <c r="D98" s="848" t="s">
        <v>9037</v>
      </c>
      <c r="E98" s="848" t="s">
        <v>766</v>
      </c>
      <c r="F98" s="848" t="s">
        <v>9033</v>
      </c>
      <c r="G98" s="1654" t="str">
        <f>IF('3C'!F24="","##BLANK",'3C'!F24)</f>
        <v>##BLANK</v>
      </c>
    </row>
    <row r="99" spans="1:7">
      <c r="A99" s="1650" t="str">
        <f>INDEX(Lists!$C$4:$C$26,MATCH(Validation!$B$3,Lists!$B$4:$B$26,0))</f>
        <v>YKY</v>
      </c>
      <c r="B99" s="848" t="str">
        <f>INDEX(Lists!$C$4:$C$26,MATCH(Validation!$B$3,Lists!$B$4:$B$26,0))&amp;"_AIM21"</f>
        <v>YKY_AIM21</v>
      </c>
      <c r="C99" s="848" t="s">
        <v>2390</v>
      </c>
      <c r="D99" s="848" t="s">
        <v>9037</v>
      </c>
      <c r="E99" s="848" t="s">
        <v>766</v>
      </c>
      <c r="F99" s="848" t="s">
        <v>9033</v>
      </c>
      <c r="G99" s="1654" t="str">
        <f>IF('3C'!F25="","##BLANK",'3C'!F25)</f>
        <v>##BLANK</v>
      </c>
    </row>
    <row r="100" spans="1:7">
      <c r="A100" s="1650" t="str">
        <f>INDEX(Lists!$C$4:$C$26,MATCH(Validation!$B$3,Lists!$B$4:$B$26,0))</f>
        <v>YKY</v>
      </c>
      <c r="B100" s="848" t="str">
        <f>INDEX(Lists!$C$4:$C$26,MATCH(Validation!$B$3,Lists!$B$4:$B$26,0))&amp;"_AIM22"</f>
        <v>YKY_AIM22</v>
      </c>
      <c r="C100" s="848" t="s">
        <v>2390</v>
      </c>
      <c r="D100" s="848" t="s">
        <v>9037</v>
      </c>
      <c r="E100" s="848" t="s">
        <v>766</v>
      </c>
      <c r="F100" s="848" t="s">
        <v>9033</v>
      </c>
      <c r="G100" s="1654" t="str">
        <f>IF('3C'!F26="","##BLANK",'3C'!F26)</f>
        <v>##BLANK</v>
      </c>
    </row>
    <row r="101" spans="1:7">
      <c r="A101" s="1650" t="str">
        <f>INDEX(Lists!$C$4:$C$26,MATCH(Validation!$B$3,Lists!$B$4:$B$26,0))</f>
        <v>YKY</v>
      </c>
      <c r="B101" s="848" t="str">
        <f>INDEX(Lists!$C$4:$C$26,MATCH(Validation!$B$3,Lists!$B$4:$B$26,0))&amp;"_AIM23"</f>
        <v>YKY_AIM23</v>
      </c>
      <c r="C101" s="848" t="s">
        <v>2390</v>
      </c>
      <c r="D101" s="848" t="s">
        <v>9037</v>
      </c>
      <c r="E101" s="848" t="s">
        <v>766</v>
      </c>
      <c r="F101" s="848" t="s">
        <v>9033</v>
      </c>
      <c r="G101" s="1654" t="str">
        <f>IF('3C'!F27="","##BLANK",'3C'!F27)</f>
        <v>##BLANK</v>
      </c>
    </row>
    <row r="102" spans="1:7">
      <c r="A102" s="1650" t="str">
        <f>INDEX(Lists!$C$4:$C$26,MATCH(Validation!$B$3,Lists!$B$4:$B$26,0))</f>
        <v>YKY</v>
      </c>
      <c r="B102" s="848" t="str">
        <f>INDEX(Lists!$C$4:$C$26,MATCH(Validation!$B$3,Lists!$B$4:$B$26,0))&amp;"_AIM24"</f>
        <v>YKY_AIM24</v>
      </c>
      <c r="C102" s="848" t="s">
        <v>2390</v>
      </c>
      <c r="D102" s="848" t="s">
        <v>9037</v>
      </c>
      <c r="E102" s="848" t="s">
        <v>766</v>
      </c>
      <c r="F102" s="848" t="s">
        <v>9033</v>
      </c>
      <c r="G102" s="1654" t="str">
        <f>IF('3C'!F28="","##BLANK",'3C'!F28)</f>
        <v>##BLANK</v>
      </c>
    </row>
    <row r="103" spans="1:7" ht="15" thickBot="1">
      <c r="A103" s="1651" t="str">
        <f>INDEX(Lists!$C$4:$C$26,MATCH(Validation!$B$3,Lists!$B$4:$B$26,0))</f>
        <v>YKY</v>
      </c>
      <c r="B103" s="1652" t="str">
        <f>INDEX(Lists!$C$4:$C$26,MATCH(Validation!$B$3,Lists!$B$4:$B$26,0))&amp;"_AIM25"</f>
        <v>YKY_AIM25</v>
      </c>
      <c r="C103" s="1652" t="s">
        <v>2390</v>
      </c>
      <c r="D103" s="1652" t="s">
        <v>9037</v>
      </c>
      <c r="E103" s="1652" t="s">
        <v>766</v>
      </c>
      <c r="F103" s="1652" t="s">
        <v>9033</v>
      </c>
      <c r="G103" s="1656" t="str">
        <f>IF('3C'!F29="","##BLANK",'3C'!F29)</f>
        <v>##BLANK</v>
      </c>
    </row>
    <row r="104" spans="1:7">
      <c r="A104" s="1648" t="str">
        <f>INDEX(Lists!$C$4:$C$26,MATCH(Validation!$B$3,Lists!$B$4:$B$26,0))</f>
        <v>YKY</v>
      </c>
      <c r="B104" s="1649" t="str">
        <f>INDEX(Lists!$C$4:$C$26,MATCH(Validation!$B$3,Lists!$B$4:$B$26,0))&amp;"_AIM01"</f>
        <v>YKY_AIM01</v>
      </c>
      <c r="C104" s="1649" t="s">
        <v>2391</v>
      </c>
      <c r="D104" s="1649" t="s">
        <v>9038</v>
      </c>
      <c r="E104" s="1649" t="s">
        <v>3456</v>
      </c>
      <c r="F104" s="1649" t="s">
        <v>9033</v>
      </c>
      <c r="G104" s="1655">
        <f>IF('3C'!G5="","##BLANK",'3C'!G5)</f>
        <v>0</v>
      </c>
    </row>
    <row r="105" spans="1:7">
      <c r="A105" s="1650" t="str">
        <f>INDEX(Lists!$C$4:$C$26,MATCH(Validation!$B$3,Lists!$B$4:$B$26,0))</f>
        <v>YKY</v>
      </c>
      <c r="B105" s="848" t="str">
        <f>INDEX(Lists!$C$4:$C$26,MATCH(Validation!$B$3,Lists!$B$4:$B$26,0))&amp;"_AIM02"</f>
        <v>YKY_AIM02</v>
      </c>
      <c r="C105" s="848" t="s">
        <v>2391</v>
      </c>
      <c r="D105" s="848" t="s">
        <v>9038</v>
      </c>
      <c r="E105" s="848" t="s">
        <v>3456</v>
      </c>
      <c r="F105" s="848" t="s">
        <v>9033</v>
      </c>
      <c r="G105" s="1654" t="str">
        <f>IF('3C'!G6="","##BLANK",'3C'!G6)</f>
        <v>##BLANK</v>
      </c>
    </row>
    <row r="106" spans="1:7">
      <c r="A106" s="1650" t="str">
        <f>INDEX(Lists!$C$4:$C$26,MATCH(Validation!$B$3,Lists!$B$4:$B$26,0))</f>
        <v>YKY</v>
      </c>
      <c r="B106" s="848" t="str">
        <f>INDEX(Lists!$C$4:$C$26,MATCH(Validation!$B$3,Lists!$B$4:$B$26,0))&amp;"_AIM03"</f>
        <v>YKY_AIM03</v>
      </c>
      <c r="C106" s="848" t="s">
        <v>2391</v>
      </c>
      <c r="D106" s="848" t="s">
        <v>9038</v>
      </c>
      <c r="E106" s="848" t="s">
        <v>3456</v>
      </c>
      <c r="F106" s="848" t="s">
        <v>9033</v>
      </c>
      <c r="G106" s="1654" t="str">
        <f>IF('3C'!G7="","##BLANK",'3C'!G7)</f>
        <v>##BLANK</v>
      </c>
    </row>
    <row r="107" spans="1:7">
      <c r="A107" s="1650" t="str">
        <f>INDEX(Lists!$C$4:$C$26,MATCH(Validation!$B$3,Lists!$B$4:$B$26,0))</f>
        <v>YKY</v>
      </c>
      <c r="B107" s="848" t="str">
        <f>INDEX(Lists!$C$4:$C$26,MATCH(Validation!$B$3,Lists!$B$4:$B$26,0))&amp;"_AIM04"</f>
        <v>YKY_AIM04</v>
      </c>
      <c r="C107" s="848" t="s">
        <v>2391</v>
      </c>
      <c r="D107" s="848" t="s">
        <v>9038</v>
      </c>
      <c r="E107" s="848" t="s">
        <v>3456</v>
      </c>
      <c r="F107" s="848" t="s">
        <v>9033</v>
      </c>
      <c r="G107" s="1654" t="str">
        <f>IF('3C'!G8="","##BLANK",'3C'!G8)</f>
        <v>##BLANK</v>
      </c>
    </row>
    <row r="108" spans="1:7">
      <c r="A108" s="1650" t="str">
        <f>INDEX(Lists!$C$4:$C$26,MATCH(Validation!$B$3,Lists!$B$4:$B$26,0))</f>
        <v>YKY</v>
      </c>
      <c r="B108" s="848" t="str">
        <f>INDEX(Lists!$C$4:$C$26,MATCH(Validation!$B$3,Lists!$B$4:$B$26,0))&amp;"_AIM05"</f>
        <v>YKY_AIM05</v>
      </c>
      <c r="C108" s="848" t="s">
        <v>2391</v>
      </c>
      <c r="D108" s="848" t="s">
        <v>9038</v>
      </c>
      <c r="E108" s="848" t="s">
        <v>3456</v>
      </c>
      <c r="F108" s="848" t="s">
        <v>9033</v>
      </c>
      <c r="G108" s="1654" t="str">
        <f>IF('3C'!G9="","##BLANK",'3C'!G9)</f>
        <v>##BLANK</v>
      </c>
    </row>
    <row r="109" spans="1:7">
      <c r="A109" s="1650" t="str">
        <f>INDEX(Lists!$C$4:$C$26,MATCH(Validation!$B$3,Lists!$B$4:$B$26,0))</f>
        <v>YKY</v>
      </c>
      <c r="B109" s="848" t="str">
        <f>INDEX(Lists!$C$4:$C$26,MATCH(Validation!$B$3,Lists!$B$4:$B$26,0))&amp;"_AIM06"</f>
        <v>YKY_AIM06</v>
      </c>
      <c r="C109" s="848" t="s">
        <v>2391</v>
      </c>
      <c r="D109" s="848" t="s">
        <v>9038</v>
      </c>
      <c r="E109" s="848" t="s">
        <v>3456</v>
      </c>
      <c r="F109" s="848" t="s">
        <v>9033</v>
      </c>
      <c r="G109" s="1654" t="str">
        <f>IF('3C'!G10="","##BLANK",'3C'!G10)</f>
        <v>##BLANK</v>
      </c>
    </row>
    <row r="110" spans="1:7">
      <c r="A110" s="1650" t="str">
        <f>INDEX(Lists!$C$4:$C$26,MATCH(Validation!$B$3,Lists!$B$4:$B$26,0))</f>
        <v>YKY</v>
      </c>
      <c r="B110" s="848" t="str">
        <f>INDEX(Lists!$C$4:$C$26,MATCH(Validation!$B$3,Lists!$B$4:$B$26,0))&amp;"_AIM07"</f>
        <v>YKY_AIM07</v>
      </c>
      <c r="C110" s="848" t="s">
        <v>2391</v>
      </c>
      <c r="D110" s="848" t="s">
        <v>9038</v>
      </c>
      <c r="E110" s="848" t="s">
        <v>3456</v>
      </c>
      <c r="F110" s="848" t="s">
        <v>9033</v>
      </c>
      <c r="G110" s="1654" t="str">
        <f>IF('3C'!G11="","##BLANK",'3C'!G11)</f>
        <v>##BLANK</v>
      </c>
    </row>
    <row r="111" spans="1:7">
      <c r="A111" s="1650" t="str">
        <f>INDEX(Lists!$C$4:$C$26,MATCH(Validation!$B$3,Lists!$B$4:$B$26,0))</f>
        <v>YKY</v>
      </c>
      <c r="B111" s="848" t="str">
        <f>INDEX(Lists!$C$4:$C$26,MATCH(Validation!$B$3,Lists!$B$4:$B$26,0))&amp;"_AIM08"</f>
        <v>YKY_AIM08</v>
      </c>
      <c r="C111" s="848" t="s">
        <v>2391</v>
      </c>
      <c r="D111" s="848" t="s">
        <v>9038</v>
      </c>
      <c r="E111" s="848" t="s">
        <v>3456</v>
      </c>
      <c r="F111" s="848" t="s">
        <v>9033</v>
      </c>
      <c r="G111" s="1654" t="str">
        <f>IF('3C'!G12="","##BLANK",'3C'!G12)</f>
        <v>##BLANK</v>
      </c>
    </row>
    <row r="112" spans="1:7">
      <c r="A112" s="1650" t="str">
        <f>INDEX(Lists!$C$4:$C$26,MATCH(Validation!$B$3,Lists!$B$4:$B$26,0))</f>
        <v>YKY</v>
      </c>
      <c r="B112" s="848" t="str">
        <f>INDEX(Lists!$C$4:$C$26,MATCH(Validation!$B$3,Lists!$B$4:$B$26,0))&amp;"_AIM09"</f>
        <v>YKY_AIM09</v>
      </c>
      <c r="C112" s="848" t="s">
        <v>2391</v>
      </c>
      <c r="D112" s="848" t="s">
        <v>9038</v>
      </c>
      <c r="E112" s="848" t="s">
        <v>3456</v>
      </c>
      <c r="F112" s="848" t="s">
        <v>9033</v>
      </c>
      <c r="G112" s="1654" t="str">
        <f>IF('3C'!G13="","##BLANK",'3C'!G13)</f>
        <v>##BLANK</v>
      </c>
    </row>
    <row r="113" spans="1:7">
      <c r="A113" s="1650" t="str">
        <f>INDEX(Lists!$C$4:$C$26,MATCH(Validation!$B$3,Lists!$B$4:$B$26,0))</f>
        <v>YKY</v>
      </c>
      <c r="B113" s="848" t="str">
        <f>INDEX(Lists!$C$4:$C$26,MATCH(Validation!$B$3,Lists!$B$4:$B$26,0))&amp;"_AIM10"</f>
        <v>YKY_AIM10</v>
      </c>
      <c r="C113" s="848" t="s">
        <v>2391</v>
      </c>
      <c r="D113" s="848" t="s">
        <v>9038</v>
      </c>
      <c r="E113" s="848" t="s">
        <v>3456</v>
      </c>
      <c r="F113" s="848" t="s">
        <v>9033</v>
      </c>
      <c r="G113" s="1654" t="str">
        <f>IF('3C'!G14="","##BLANK",'3C'!G14)</f>
        <v>##BLANK</v>
      </c>
    </row>
    <row r="114" spans="1:7">
      <c r="A114" s="1650" t="str">
        <f>INDEX(Lists!$C$4:$C$26,MATCH(Validation!$B$3,Lists!$B$4:$B$26,0))</f>
        <v>YKY</v>
      </c>
      <c r="B114" s="848" t="str">
        <f>INDEX(Lists!$C$4:$C$26,MATCH(Validation!$B$3,Lists!$B$4:$B$26,0))&amp;"_AIM11"</f>
        <v>YKY_AIM11</v>
      </c>
      <c r="C114" s="848" t="s">
        <v>2391</v>
      </c>
      <c r="D114" s="848" t="s">
        <v>9038</v>
      </c>
      <c r="E114" s="848" t="s">
        <v>3456</v>
      </c>
      <c r="F114" s="848" t="s">
        <v>9033</v>
      </c>
      <c r="G114" s="1654" t="str">
        <f>IF('3C'!G15="","##BLANK",'3C'!G15)</f>
        <v>##BLANK</v>
      </c>
    </row>
    <row r="115" spans="1:7">
      <c r="A115" s="1650" t="str">
        <f>INDEX(Lists!$C$4:$C$26,MATCH(Validation!$B$3,Lists!$B$4:$B$26,0))</f>
        <v>YKY</v>
      </c>
      <c r="B115" s="848" t="str">
        <f>INDEX(Lists!$C$4:$C$26,MATCH(Validation!$B$3,Lists!$B$4:$B$26,0))&amp;"_AIM12"</f>
        <v>YKY_AIM12</v>
      </c>
      <c r="C115" s="848" t="s">
        <v>2391</v>
      </c>
      <c r="D115" s="848" t="s">
        <v>9038</v>
      </c>
      <c r="E115" s="848" t="s">
        <v>3456</v>
      </c>
      <c r="F115" s="848" t="s">
        <v>9033</v>
      </c>
      <c r="G115" s="1654" t="str">
        <f>IF('3C'!G16="","##BLANK",'3C'!G16)</f>
        <v>##BLANK</v>
      </c>
    </row>
    <row r="116" spans="1:7">
      <c r="A116" s="1650" t="str">
        <f>INDEX(Lists!$C$4:$C$26,MATCH(Validation!$B$3,Lists!$B$4:$B$26,0))</f>
        <v>YKY</v>
      </c>
      <c r="B116" s="848" t="str">
        <f>INDEX(Lists!$C$4:$C$26,MATCH(Validation!$B$3,Lists!$B$4:$B$26,0))&amp;"_AIM13"</f>
        <v>YKY_AIM13</v>
      </c>
      <c r="C116" s="848" t="s">
        <v>2391</v>
      </c>
      <c r="D116" s="848" t="s">
        <v>9038</v>
      </c>
      <c r="E116" s="848" t="s">
        <v>3456</v>
      </c>
      <c r="F116" s="848" t="s">
        <v>9033</v>
      </c>
      <c r="G116" s="1654" t="str">
        <f>IF('3C'!G17="","##BLANK",'3C'!G17)</f>
        <v>##BLANK</v>
      </c>
    </row>
    <row r="117" spans="1:7">
      <c r="A117" s="1650" t="str">
        <f>INDEX(Lists!$C$4:$C$26,MATCH(Validation!$B$3,Lists!$B$4:$B$26,0))</f>
        <v>YKY</v>
      </c>
      <c r="B117" s="848" t="str">
        <f>INDEX(Lists!$C$4:$C$26,MATCH(Validation!$B$3,Lists!$B$4:$B$26,0))&amp;"_AIM14"</f>
        <v>YKY_AIM14</v>
      </c>
      <c r="C117" s="848" t="s">
        <v>2391</v>
      </c>
      <c r="D117" s="848" t="s">
        <v>9038</v>
      </c>
      <c r="E117" s="848" t="s">
        <v>3456</v>
      </c>
      <c r="F117" s="848" t="s">
        <v>9033</v>
      </c>
      <c r="G117" s="1654" t="str">
        <f>IF('3C'!G18="","##BLANK",'3C'!G18)</f>
        <v>##BLANK</v>
      </c>
    </row>
    <row r="118" spans="1:7">
      <c r="A118" s="1650" t="str">
        <f>INDEX(Lists!$C$4:$C$26,MATCH(Validation!$B$3,Lists!$B$4:$B$26,0))</f>
        <v>YKY</v>
      </c>
      <c r="B118" s="848" t="str">
        <f>INDEX(Lists!$C$4:$C$26,MATCH(Validation!$B$3,Lists!$B$4:$B$26,0))&amp;"_AIM15"</f>
        <v>YKY_AIM15</v>
      </c>
      <c r="C118" s="848" t="s">
        <v>2391</v>
      </c>
      <c r="D118" s="848" t="s">
        <v>9038</v>
      </c>
      <c r="E118" s="848" t="s">
        <v>3456</v>
      </c>
      <c r="F118" s="848" t="s">
        <v>9033</v>
      </c>
      <c r="G118" s="1654" t="str">
        <f>IF('3C'!G19="","##BLANK",'3C'!G19)</f>
        <v>##BLANK</v>
      </c>
    </row>
    <row r="119" spans="1:7">
      <c r="A119" s="1650" t="str">
        <f>INDEX(Lists!$C$4:$C$26,MATCH(Validation!$B$3,Lists!$B$4:$B$26,0))</f>
        <v>YKY</v>
      </c>
      <c r="B119" s="848" t="str">
        <f>INDEX(Lists!$C$4:$C$26,MATCH(Validation!$B$3,Lists!$B$4:$B$26,0))&amp;"_AIM16"</f>
        <v>YKY_AIM16</v>
      </c>
      <c r="C119" s="848" t="s">
        <v>2391</v>
      </c>
      <c r="D119" s="848" t="s">
        <v>9038</v>
      </c>
      <c r="E119" s="848" t="s">
        <v>3456</v>
      </c>
      <c r="F119" s="848" t="s">
        <v>9033</v>
      </c>
      <c r="G119" s="1654" t="str">
        <f>IF('3C'!G20="","##BLANK",'3C'!G20)</f>
        <v>##BLANK</v>
      </c>
    </row>
    <row r="120" spans="1:7">
      <c r="A120" s="1650" t="str">
        <f>INDEX(Lists!$C$4:$C$26,MATCH(Validation!$B$3,Lists!$B$4:$B$26,0))</f>
        <v>YKY</v>
      </c>
      <c r="B120" s="848" t="str">
        <f>INDEX(Lists!$C$4:$C$26,MATCH(Validation!$B$3,Lists!$B$4:$B$26,0))&amp;"_AIM17"</f>
        <v>YKY_AIM17</v>
      </c>
      <c r="C120" s="848" t="s">
        <v>2391</v>
      </c>
      <c r="D120" s="848" t="s">
        <v>9038</v>
      </c>
      <c r="E120" s="848" t="s">
        <v>3456</v>
      </c>
      <c r="F120" s="848" t="s">
        <v>9033</v>
      </c>
      <c r="G120" s="1654" t="str">
        <f>IF('3C'!G21="","##BLANK",'3C'!G21)</f>
        <v>##BLANK</v>
      </c>
    </row>
    <row r="121" spans="1:7">
      <c r="A121" s="1650" t="str">
        <f>INDEX(Lists!$C$4:$C$26,MATCH(Validation!$B$3,Lists!$B$4:$B$26,0))</f>
        <v>YKY</v>
      </c>
      <c r="B121" s="848" t="str">
        <f>INDEX(Lists!$C$4:$C$26,MATCH(Validation!$B$3,Lists!$B$4:$B$26,0))&amp;"_AIM18"</f>
        <v>YKY_AIM18</v>
      </c>
      <c r="C121" s="848" t="s">
        <v>2391</v>
      </c>
      <c r="D121" s="848" t="s">
        <v>9038</v>
      </c>
      <c r="E121" s="848" t="s">
        <v>3456</v>
      </c>
      <c r="F121" s="848" t="s">
        <v>9033</v>
      </c>
      <c r="G121" s="1654" t="str">
        <f>IF('3C'!G22="","##BLANK",'3C'!G22)</f>
        <v>##BLANK</v>
      </c>
    </row>
    <row r="122" spans="1:7">
      <c r="A122" s="1650" t="str">
        <f>INDEX(Lists!$C$4:$C$26,MATCH(Validation!$B$3,Lists!$B$4:$B$26,0))</f>
        <v>YKY</v>
      </c>
      <c r="B122" s="848" t="str">
        <f>INDEX(Lists!$C$4:$C$26,MATCH(Validation!$B$3,Lists!$B$4:$B$26,0))&amp;"_AIM19"</f>
        <v>YKY_AIM19</v>
      </c>
      <c r="C122" s="848" t="s">
        <v>2391</v>
      </c>
      <c r="D122" s="848" t="s">
        <v>9038</v>
      </c>
      <c r="E122" s="848" t="s">
        <v>3456</v>
      </c>
      <c r="F122" s="848" t="s">
        <v>9033</v>
      </c>
      <c r="G122" s="1654" t="str">
        <f>IF('3C'!G23="","##BLANK",'3C'!G23)</f>
        <v>##BLANK</v>
      </c>
    </row>
    <row r="123" spans="1:7">
      <c r="A123" s="1650" t="str">
        <f>INDEX(Lists!$C$4:$C$26,MATCH(Validation!$B$3,Lists!$B$4:$B$26,0))</f>
        <v>YKY</v>
      </c>
      <c r="B123" s="848" t="str">
        <f>INDEX(Lists!$C$4:$C$26,MATCH(Validation!$B$3,Lists!$B$4:$B$26,0))&amp;"_AIM20"</f>
        <v>YKY_AIM20</v>
      </c>
      <c r="C123" s="848" t="s">
        <v>2391</v>
      </c>
      <c r="D123" s="848" t="s">
        <v>9038</v>
      </c>
      <c r="E123" s="848" t="s">
        <v>3456</v>
      </c>
      <c r="F123" s="848" t="s">
        <v>9033</v>
      </c>
      <c r="G123" s="1654" t="str">
        <f>IF('3C'!G24="","##BLANK",'3C'!G24)</f>
        <v>##BLANK</v>
      </c>
    </row>
    <row r="124" spans="1:7">
      <c r="A124" s="1650" t="str">
        <f>INDEX(Lists!$C$4:$C$26,MATCH(Validation!$B$3,Lists!$B$4:$B$26,0))</f>
        <v>YKY</v>
      </c>
      <c r="B124" s="848" t="str">
        <f>INDEX(Lists!$C$4:$C$26,MATCH(Validation!$B$3,Lists!$B$4:$B$26,0))&amp;"_AIM21"</f>
        <v>YKY_AIM21</v>
      </c>
      <c r="C124" s="848" t="s">
        <v>2391</v>
      </c>
      <c r="D124" s="848" t="s">
        <v>9038</v>
      </c>
      <c r="E124" s="848" t="s">
        <v>3456</v>
      </c>
      <c r="F124" s="848" t="s">
        <v>9033</v>
      </c>
      <c r="G124" s="1654" t="str">
        <f>IF('3C'!G25="","##BLANK",'3C'!G25)</f>
        <v>##BLANK</v>
      </c>
    </row>
    <row r="125" spans="1:7">
      <c r="A125" s="1650" t="str">
        <f>INDEX(Lists!$C$4:$C$26,MATCH(Validation!$B$3,Lists!$B$4:$B$26,0))</f>
        <v>YKY</v>
      </c>
      <c r="B125" s="848" t="str">
        <f>INDEX(Lists!$C$4:$C$26,MATCH(Validation!$B$3,Lists!$B$4:$B$26,0))&amp;"_AIM22"</f>
        <v>YKY_AIM22</v>
      </c>
      <c r="C125" s="848" t="s">
        <v>2391</v>
      </c>
      <c r="D125" s="848" t="s">
        <v>9038</v>
      </c>
      <c r="E125" s="848" t="s">
        <v>3456</v>
      </c>
      <c r="F125" s="848" t="s">
        <v>9033</v>
      </c>
      <c r="G125" s="1654" t="str">
        <f>IF('3C'!G26="","##BLANK",'3C'!G26)</f>
        <v>##BLANK</v>
      </c>
    </row>
    <row r="126" spans="1:7">
      <c r="A126" s="1650" t="str">
        <f>INDEX(Lists!$C$4:$C$26,MATCH(Validation!$B$3,Lists!$B$4:$B$26,0))</f>
        <v>YKY</v>
      </c>
      <c r="B126" s="848" t="str">
        <f>INDEX(Lists!$C$4:$C$26,MATCH(Validation!$B$3,Lists!$B$4:$B$26,0))&amp;"_AIM23"</f>
        <v>YKY_AIM23</v>
      </c>
      <c r="C126" s="848" t="s">
        <v>2391</v>
      </c>
      <c r="D126" s="848" t="s">
        <v>9038</v>
      </c>
      <c r="E126" s="848" t="s">
        <v>3456</v>
      </c>
      <c r="F126" s="848" t="s">
        <v>9033</v>
      </c>
      <c r="G126" s="1654" t="str">
        <f>IF('3C'!G27="","##BLANK",'3C'!G27)</f>
        <v>##BLANK</v>
      </c>
    </row>
    <row r="127" spans="1:7">
      <c r="A127" s="1650" t="str">
        <f>INDEX(Lists!$C$4:$C$26,MATCH(Validation!$B$3,Lists!$B$4:$B$26,0))</f>
        <v>YKY</v>
      </c>
      <c r="B127" s="848" t="str">
        <f>INDEX(Lists!$C$4:$C$26,MATCH(Validation!$B$3,Lists!$B$4:$B$26,0))&amp;"_AIM24"</f>
        <v>YKY_AIM24</v>
      </c>
      <c r="C127" s="848" t="s">
        <v>2391</v>
      </c>
      <c r="D127" s="848" t="s">
        <v>9038</v>
      </c>
      <c r="E127" s="848" t="s">
        <v>3456</v>
      </c>
      <c r="F127" s="848" t="s">
        <v>9033</v>
      </c>
      <c r="G127" s="1654" t="str">
        <f>IF('3C'!G28="","##BLANK",'3C'!G28)</f>
        <v>##BLANK</v>
      </c>
    </row>
    <row r="128" spans="1:7" ht="15" thickBot="1">
      <c r="A128" s="1651" t="str">
        <f>INDEX(Lists!$C$4:$C$26,MATCH(Validation!$B$3,Lists!$B$4:$B$26,0))</f>
        <v>YKY</v>
      </c>
      <c r="B128" s="1652" t="str">
        <f>INDEX(Lists!$C$4:$C$26,MATCH(Validation!$B$3,Lists!$B$4:$B$26,0))&amp;"_AIM25"</f>
        <v>YKY_AIM25</v>
      </c>
      <c r="C128" s="1652" t="s">
        <v>2391</v>
      </c>
      <c r="D128" s="1652" t="s">
        <v>9038</v>
      </c>
      <c r="E128" s="1652" t="s">
        <v>3456</v>
      </c>
      <c r="F128" s="1652" t="s">
        <v>9033</v>
      </c>
      <c r="G128" s="1656" t="str">
        <f>IF('3C'!G29="","##BLANK",'3C'!G29)</f>
        <v>##BLANK</v>
      </c>
    </row>
    <row r="129" spans="1:7">
      <c r="A129" s="1648" t="str">
        <f>INDEX(Lists!$C$4:$C$26,MATCH(Validation!$B$3,Lists!$B$4:$B$26,0))</f>
        <v>YKY</v>
      </c>
      <c r="B129" s="1649" t="str">
        <f>INDEX(Lists!$C$4:$C$26,MATCH(Validation!$B$3,Lists!$B$4:$B$26,0))&amp;"_AIM01"</f>
        <v>YKY_AIM01</v>
      </c>
      <c r="C129" s="1649" t="s">
        <v>2392</v>
      </c>
      <c r="D129" s="1649" t="s">
        <v>9039</v>
      </c>
      <c r="E129" s="1649" t="s">
        <v>766</v>
      </c>
      <c r="F129" s="1649" t="s">
        <v>9033</v>
      </c>
      <c r="G129" s="1655">
        <f>IF('3C'!H5="","##BLANK",'3C'!H5)</f>
        <v>0</v>
      </c>
    </row>
    <row r="130" spans="1:7">
      <c r="A130" s="1650" t="str">
        <f>INDEX(Lists!$C$4:$C$26,MATCH(Validation!$B$3,Lists!$B$4:$B$26,0))</f>
        <v>YKY</v>
      </c>
      <c r="B130" s="848" t="str">
        <f>INDEX(Lists!$C$4:$C$26,MATCH(Validation!$B$3,Lists!$B$4:$B$26,0))&amp;"_AIM02"</f>
        <v>YKY_AIM02</v>
      </c>
      <c r="C130" s="848" t="s">
        <v>2392</v>
      </c>
      <c r="D130" s="848" t="s">
        <v>9039</v>
      </c>
      <c r="E130" s="848" t="s">
        <v>766</v>
      </c>
      <c r="F130" s="848" t="s">
        <v>9033</v>
      </c>
      <c r="G130" s="1654" t="str">
        <f>IF('3C'!H6="","##BLANK",'3C'!H6)</f>
        <v>##BLANK</v>
      </c>
    </row>
    <row r="131" spans="1:7">
      <c r="A131" s="1650" t="str">
        <f>INDEX(Lists!$C$4:$C$26,MATCH(Validation!$B$3,Lists!$B$4:$B$26,0))</f>
        <v>YKY</v>
      </c>
      <c r="B131" s="848" t="str">
        <f>INDEX(Lists!$C$4:$C$26,MATCH(Validation!$B$3,Lists!$B$4:$B$26,0))&amp;"_AIM03"</f>
        <v>YKY_AIM03</v>
      </c>
      <c r="C131" s="848" t="s">
        <v>2392</v>
      </c>
      <c r="D131" s="848" t="s">
        <v>9039</v>
      </c>
      <c r="E131" s="848" t="s">
        <v>766</v>
      </c>
      <c r="F131" s="848" t="s">
        <v>9033</v>
      </c>
      <c r="G131" s="1654" t="str">
        <f>IF('3C'!H7="","##BLANK",'3C'!H7)</f>
        <v>##BLANK</v>
      </c>
    </row>
    <row r="132" spans="1:7">
      <c r="A132" s="1650" t="str">
        <f>INDEX(Lists!$C$4:$C$26,MATCH(Validation!$B$3,Lists!$B$4:$B$26,0))</f>
        <v>YKY</v>
      </c>
      <c r="B132" s="848" t="str">
        <f>INDEX(Lists!$C$4:$C$26,MATCH(Validation!$B$3,Lists!$B$4:$B$26,0))&amp;"_AIM04"</f>
        <v>YKY_AIM04</v>
      </c>
      <c r="C132" s="848" t="s">
        <v>2392</v>
      </c>
      <c r="D132" s="848" t="s">
        <v>9039</v>
      </c>
      <c r="E132" s="848" t="s">
        <v>766</v>
      </c>
      <c r="F132" s="848" t="s">
        <v>9033</v>
      </c>
      <c r="G132" s="1654" t="str">
        <f>IF('3C'!H8="","##BLANK",'3C'!H8)</f>
        <v>##BLANK</v>
      </c>
    </row>
    <row r="133" spans="1:7">
      <c r="A133" s="1650" t="str">
        <f>INDEX(Lists!$C$4:$C$26,MATCH(Validation!$B$3,Lists!$B$4:$B$26,0))</f>
        <v>YKY</v>
      </c>
      <c r="B133" s="848" t="str">
        <f>INDEX(Lists!$C$4:$C$26,MATCH(Validation!$B$3,Lists!$B$4:$B$26,0))&amp;"_AIM05"</f>
        <v>YKY_AIM05</v>
      </c>
      <c r="C133" s="848" t="s">
        <v>2392</v>
      </c>
      <c r="D133" s="848" t="s">
        <v>9039</v>
      </c>
      <c r="E133" s="848" t="s">
        <v>766</v>
      </c>
      <c r="F133" s="848" t="s">
        <v>9033</v>
      </c>
      <c r="G133" s="1654" t="str">
        <f>IF('3C'!H9="","##BLANK",'3C'!H9)</f>
        <v>##BLANK</v>
      </c>
    </row>
    <row r="134" spans="1:7">
      <c r="A134" s="1650" t="str">
        <f>INDEX(Lists!$C$4:$C$26,MATCH(Validation!$B$3,Lists!$B$4:$B$26,0))</f>
        <v>YKY</v>
      </c>
      <c r="B134" s="848" t="str">
        <f>INDEX(Lists!$C$4:$C$26,MATCH(Validation!$B$3,Lists!$B$4:$B$26,0))&amp;"_AIM06"</f>
        <v>YKY_AIM06</v>
      </c>
      <c r="C134" s="848" t="s">
        <v>2392</v>
      </c>
      <c r="D134" s="848" t="s">
        <v>9039</v>
      </c>
      <c r="E134" s="848" t="s">
        <v>766</v>
      </c>
      <c r="F134" s="848" t="s">
        <v>9033</v>
      </c>
      <c r="G134" s="1654" t="str">
        <f>IF('3C'!H10="","##BLANK",'3C'!H10)</f>
        <v>##BLANK</v>
      </c>
    </row>
    <row r="135" spans="1:7">
      <c r="A135" s="1650" t="str">
        <f>INDEX(Lists!$C$4:$C$26,MATCH(Validation!$B$3,Lists!$B$4:$B$26,0))</f>
        <v>YKY</v>
      </c>
      <c r="B135" s="848" t="str">
        <f>INDEX(Lists!$C$4:$C$26,MATCH(Validation!$B$3,Lists!$B$4:$B$26,0))&amp;"_AIM07"</f>
        <v>YKY_AIM07</v>
      </c>
      <c r="C135" s="848" t="s">
        <v>2392</v>
      </c>
      <c r="D135" s="848" t="s">
        <v>9039</v>
      </c>
      <c r="E135" s="848" t="s">
        <v>766</v>
      </c>
      <c r="F135" s="848" t="s">
        <v>9033</v>
      </c>
      <c r="G135" s="1654" t="str">
        <f>IF('3C'!H11="","##BLANK",'3C'!H11)</f>
        <v>##BLANK</v>
      </c>
    </row>
    <row r="136" spans="1:7">
      <c r="A136" s="1650" t="str">
        <f>INDEX(Lists!$C$4:$C$26,MATCH(Validation!$B$3,Lists!$B$4:$B$26,0))</f>
        <v>YKY</v>
      </c>
      <c r="B136" s="848" t="str">
        <f>INDEX(Lists!$C$4:$C$26,MATCH(Validation!$B$3,Lists!$B$4:$B$26,0))&amp;"_AIM08"</f>
        <v>YKY_AIM08</v>
      </c>
      <c r="C136" s="848" t="s">
        <v>2392</v>
      </c>
      <c r="D136" s="848" t="s">
        <v>9039</v>
      </c>
      <c r="E136" s="848" t="s">
        <v>766</v>
      </c>
      <c r="F136" s="848" t="s">
        <v>9033</v>
      </c>
      <c r="G136" s="1654" t="str">
        <f>IF('3C'!H12="","##BLANK",'3C'!H12)</f>
        <v>##BLANK</v>
      </c>
    </row>
    <row r="137" spans="1:7">
      <c r="A137" s="1650" t="str">
        <f>INDEX(Lists!$C$4:$C$26,MATCH(Validation!$B$3,Lists!$B$4:$B$26,0))</f>
        <v>YKY</v>
      </c>
      <c r="B137" s="848" t="str">
        <f>INDEX(Lists!$C$4:$C$26,MATCH(Validation!$B$3,Lists!$B$4:$B$26,0))&amp;"_AIM09"</f>
        <v>YKY_AIM09</v>
      </c>
      <c r="C137" s="848" t="s">
        <v>2392</v>
      </c>
      <c r="D137" s="848" t="s">
        <v>9039</v>
      </c>
      <c r="E137" s="848" t="s">
        <v>766</v>
      </c>
      <c r="F137" s="848" t="s">
        <v>9033</v>
      </c>
      <c r="G137" s="1654" t="str">
        <f>IF('3C'!H13="","##BLANK",'3C'!H13)</f>
        <v>##BLANK</v>
      </c>
    </row>
    <row r="138" spans="1:7">
      <c r="A138" s="1650" t="str">
        <f>INDEX(Lists!$C$4:$C$26,MATCH(Validation!$B$3,Lists!$B$4:$B$26,0))</f>
        <v>YKY</v>
      </c>
      <c r="B138" s="848" t="str">
        <f>INDEX(Lists!$C$4:$C$26,MATCH(Validation!$B$3,Lists!$B$4:$B$26,0))&amp;"_AIM10"</f>
        <v>YKY_AIM10</v>
      </c>
      <c r="C138" s="848" t="s">
        <v>2392</v>
      </c>
      <c r="D138" s="848" t="s">
        <v>9039</v>
      </c>
      <c r="E138" s="848" t="s">
        <v>766</v>
      </c>
      <c r="F138" s="848" t="s">
        <v>9033</v>
      </c>
      <c r="G138" s="1654" t="str">
        <f>IF('3C'!H14="","##BLANK",'3C'!H14)</f>
        <v>##BLANK</v>
      </c>
    </row>
    <row r="139" spans="1:7">
      <c r="A139" s="1650" t="str">
        <f>INDEX(Lists!$C$4:$C$26,MATCH(Validation!$B$3,Lists!$B$4:$B$26,0))</f>
        <v>YKY</v>
      </c>
      <c r="B139" s="848" t="str">
        <f>INDEX(Lists!$C$4:$C$26,MATCH(Validation!$B$3,Lists!$B$4:$B$26,0))&amp;"_AIM11"</f>
        <v>YKY_AIM11</v>
      </c>
      <c r="C139" s="848" t="s">
        <v>2392</v>
      </c>
      <c r="D139" s="848" t="s">
        <v>9039</v>
      </c>
      <c r="E139" s="848" t="s">
        <v>766</v>
      </c>
      <c r="F139" s="848" t="s">
        <v>9033</v>
      </c>
      <c r="G139" s="1654" t="str">
        <f>IF('3C'!H15="","##BLANK",'3C'!H15)</f>
        <v>##BLANK</v>
      </c>
    </row>
    <row r="140" spans="1:7">
      <c r="A140" s="1650" t="str">
        <f>INDEX(Lists!$C$4:$C$26,MATCH(Validation!$B$3,Lists!$B$4:$B$26,0))</f>
        <v>YKY</v>
      </c>
      <c r="B140" s="848" t="str">
        <f>INDEX(Lists!$C$4:$C$26,MATCH(Validation!$B$3,Lists!$B$4:$B$26,0))&amp;"_AIM12"</f>
        <v>YKY_AIM12</v>
      </c>
      <c r="C140" s="848" t="s">
        <v>2392</v>
      </c>
      <c r="D140" s="848" t="s">
        <v>9039</v>
      </c>
      <c r="E140" s="848" t="s">
        <v>766</v>
      </c>
      <c r="F140" s="848" t="s">
        <v>9033</v>
      </c>
      <c r="G140" s="1654" t="str">
        <f>IF('3C'!H16="","##BLANK",'3C'!H16)</f>
        <v>##BLANK</v>
      </c>
    </row>
    <row r="141" spans="1:7">
      <c r="A141" s="1650" t="str">
        <f>INDEX(Lists!$C$4:$C$26,MATCH(Validation!$B$3,Lists!$B$4:$B$26,0))</f>
        <v>YKY</v>
      </c>
      <c r="B141" s="848" t="str">
        <f>INDEX(Lists!$C$4:$C$26,MATCH(Validation!$B$3,Lists!$B$4:$B$26,0))&amp;"_AIM13"</f>
        <v>YKY_AIM13</v>
      </c>
      <c r="C141" s="848" t="s">
        <v>2392</v>
      </c>
      <c r="D141" s="848" t="s">
        <v>9039</v>
      </c>
      <c r="E141" s="848" t="s">
        <v>766</v>
      </c>
      <c r="F141" s="848" t="s">
        <v>9033</v>
      </c>
      <c r="G141" s="1654" t="str">
        <f>IF('3C'!H17="","##BLANK",'3C'!H17)</f>
        <v>##BLANK</v>
      </c>
    </row>
    <row r="142" spans="1:7">
      <c r="A142" s="1650" t="str">
        <f>INDEX(Lists!$C$4:$C$26,MATCH(Validation!$B$3,Lists!$B$4:$B$26,0))</f>
        <v>YKY</v>
      </c>
      <c r="B142" s="848" t="str">
        <f>INDEX(Lists!$C$4:$C$26,MATCH(Validation!$B$3,Lists!$B$4:$B$26,0))&amp;"_AIM14"</f>
        <v>YKY_AIM14</v>
      </c>
      <c r="C142" s="848" t="s">
        <v>2392</v>
      </c>
      <c r="D142" s="848" t="s">
        <v>9039</v>
      </c>
      <c r="E142" s="848" t="s">
        <v>766</v>
      </c>
      <c r="F142" s="848" t="s">
        <v>9033</v>
      </c>
      <c r="G142" s="1654" t="str">
        <f>IF('3C'!H18="","##BLANK",'3C'!H18)</f>
        <v>##BLANK</v>
      </c>
    </row>
    <row r="143" spans="1:7">
      <c r="A143" s="1650" t="str">
        <f>INDEX(Lists!$C$4:$C$26,MATCH(Validation!$B$3,Lists!$B$4:$B$26,0))</f>
        <v>YKY</v>
      </c>
      <c r="B143" s="848" t="str">
        <f>INDEX(Lists!$C$4:$C$26,MATCH(Validation!$B$3,Lists!$B$4:$B$26,0))&amp;"_AIM15"</f>
        <v>YKY_AIM15</v>
      </c>
      <c r="C143" s="848" t="s">
        <v>2392</v>
      </c>
      <c r="D143" s="848" t="s">
        <v>9039</v>
      </c>
      <c r="E143" s="848" t="s">
        <v>766</v>
      </c>
      <c r="F143" s="848" t="s">
        <v>9033</v>
      </c>
      <c r="G143" s="1654" t="str">
        <f>IF('3C'!H19="","##BLANK",'3C'!H19)</f>
        <v>##BLANK</v>
      </c>
    </row>
    <row r="144" spans="1:7">
      <c r="A144" s="1650" t="str">
        <f>INDEX(Lists!$C$4:$C$26,MATCH(Validation!$B$3,Lists!$B$4:$B$26,0))</f>
        <v>YKY</v>
      </c>
      <c r="B144" s="848" t="str">
        <f>INDEX(Lists!$C$4:$C$26,MATCH(Validation!$B$3,Lists!$B$4:$B$26,0))&amp;"_AIM16"</f>
        <v>YKY_AIM16</v>
      </c>
      <c r="C144" s="848" t="s">
        <v>2392</v>
      </c>
      <c r="D144" s="848" t="s">
        <v>9039</v>
      </c>
      <c r="E144" s="848" t="s">
        <v>766</v>
      </c>
      <c r="F144" s="848" t="s">
        <v>9033</v>
      </c>
      <c r="G144" s="1654" t="str">
        <f>IF('3C'!H20="","##BLANK",'3C'!H20)</f>
        <v>##BLANK</v>
      </c>
    </row>
    <row r="145" spans="1:7">
      <c r="A145" s="1650" t="str">
        <f>INDEX(Lists!$C$4:$C$26,MATCH(Validation!$B$3,Lists!$B$4:$B$26,0))</f>
        <v>YKY</v>
      </c>
      <c r="B145" s="848" t="str">
        <f>INDEX(Lists!$C$4:$C$26,MATCH(Validation!$B$3,Lists!$B$4:$B$26,0))&amp;"_AIM17"</f>
        <v>YKY_AIM17</v>
      </c>
      <c r="C145" s="848" t="s">
        <v>2392</v>
      </c>
      <c r="D145" s="848" t="s">
        <v>9039</v>
      </c>
      <c r="E145" s="848" t="s">
        <v>766</v>
      </c>
      <c r="F145" s="848" t="s">
        <v>9033</v>
      </c>
      <c r="G145" s="1654" t="str">
        <f>IF('3C'!H21="","##BLANK",'3C'!H21)</f>
        <v>##BLANK</v>
      </c>
    </row>
    <row r="146" spans="1:7">
      <c r="A146" s="1650" t="str">
        <f>INDEX(Lists!$C$4:$C$26,MATCH(Validation!$B$3,Lists!$B$4:$B$26,0))</f>
        <v>YKY</v>
      </c>
      <c r="B146" s="848" t="str">
        <f>INDEX(Lists!$C$4:$C$26,MATCH(Validation!$B$3,Lists!$B$4:$B$26,0))&amp;"_AIM18"</f>
        <v>YKY_AIM18</v>
      </c>
      <c r="C146" s="848" t="s">
        <v>2392</v>
      </c>
      <c r="D146" s="848" t="s">
        <v>9039</v>
      </c>
      <c r="E146" s="848" t="s">
        <v>766</v>
      </c>
      <c r="F146" s="848" t="s">
        <v>9033</v>
      </c>
      <c r="G146" s="1654" t="str">
        <f>IF('3C'!H22="","##BLANK",'3C'!H22)</f>
        <v>##BLANK</v>
      </c>
    </row>
    <row r="147" spans="1:7">
      <c r="A147" s="1650" t="str">
        <f>INDEX(Lists!$C$4:$C$26,MATCH(Validation!$B$3,Lists!$B$4:$B$26,0))</f>
        <v>YKY</v>
      </c>
      <c r="B147" s="848" t="str">
        <f>INDEX(Lists!$C$4:$C$26,MATCH(Validation!$B$3,Lists!$B$4:$B$26,0))&amp;"_AIM19"</f>
        <v>YKY_AIM19</v>
      </c>
      <c r="C147" s="848" t="s">
        <v>2392</v>
      </c>
      <c r="D147" s="848" t="s">
        <v>9039</v>
      </c>
      <c r="E147" s="848" t="s">
        <v>766</v>
      </c>
      <c r="F147" s="848" t="s">
        <v>9033</v>
      </c>
      <c r="G147" s="1654" t="str">
        <f>IF('3C'!H23="","##BLANK",'3C'!H23)</f>
        <v>##BLANK</v>
      </c>
    </row>
    <row r="148" spans="1:7">
      <c r="A148" s="1650" t="str">
        <f>INDEX(Lists!$C$4:$C$26,MATCH(Validation!$B$3,Lists!$B$4:$B$26,0))</f>
        <v>YKY</v>
      </c>
      <c r="B148" s="848" t="str">
        <f>INDEX(Lists!$C$4:$C$26,MATCH(Validation!$B$3,Lists!$B$4:$B$26,0))&amp;"_AIM20"</f>
        <v>YKY_AIM20</v>
      </c>
      <c r="C148" s="848" t="s">
        <v>2392</v>
      </c>
      <c r="D148" s="848" t="s">
        <v>9039</v>
      </c>
      <c r="E148" s="848" t="s">
        <v>766</v>
      </c>
      <c r="F148" s="848" t="s">
        <v>9033</v>
      </c>
      <c r="G148" s="1654" t="str">
        <f>IF('3C'!H24="","##BLANK",'3C'!H24)</f>
        <v>##BLANK</v>
      </c>
    </row>
    <row r="149" spans="1:7">
      <c r="A149" s="1650" t="str">
        <f>INDEX(Lists!$C$4:$C$26,MATCH(Validation!$B$3,Lists!$B$4:$B$26,0))</f>
        <v>YKY</v>
      </c>
      <c r="B149" s="848" t="str">
        <f>INDEX(Lists!$C$4:$C$26,MATCH(Validation!$B$3,Lists!$B$4:$B$26,0))&amp;"_AIM21"</f>
        <v>YKY_AIM21</v>
      </c>
      <c r="C149" s="848" t="s">
        <v>2392</v>
      </c>
      <c r="D149" s="848" t="s">
        <v>9039</v>
      </c>
      <c r="E149" s="848" t="s">
        <v>766</v>
      </c>
      <c r="F149" s="848" t="s">
        <v>9033</v>
      </c>
      <c r="G149" s="1654" t="str">
        <f>IF('3C'!H25="","##BLANK",'3C'!H25)</f>
        <v>##BLANK</v>
      </c>
    </row>
    <row r="150" spans="1:7">
      <c r="A150" s="1650" t="str">
        <f>INDEX(Lists!$C$4:$C$26,MATCH(Validation!$B$3,Lists!$B$4:$B$26,0))</f>
        <v>YKY</v>
      </c>
      <c r="B150" s="848" t="str">
        <f>INDEX(Lists!$C$4:$C$26,MATCH(Validation!$B$3,Lists!$B$4:$B$26,0))&amp;"_AIM22"</f>
        <v>YKY_AIM22</v>
      </c>
      <c r="C150" s="848" t="s">
        <v>2392</v>
      </c>
      <c r="D150" s="848" t="s">
        <v>9039</v>
      </c>
      <c r="E150" s="848" t="s">
        <v>766</v>
      </c>
      <c r="F150" s="848" t="s">
        <v>9033</v>
      </c>
      <c r="G150" s="1654" t="str">
        <f>IF('3C'!H26="","##BLANK",'3C'!H26)</f>
        <v>##BLANK</v>
      </c>
    </row>
    <row r="151" spans="1:7">
      <c r="A151" s="1650" t="str">
        <f>INDEX(Lists!$C$4:$C$26,MATCH(Validation!$B$3,Lists!$B$4:$B$26,0))</f>
        <v>YKY</v>
      </c>
      <c r="B151" s="848" t="str">
        <f>INDEX(Lists!$C$4:$C$26,MATCH(Validation!$B$3,Lists!$B$4:$B$26,0))&amp;"_AIM23"</f>
        <v>YKY_AIM23</v>
      </c>
      <c r="C151" s="848" t="s">
        <v>2392</v>
      </c>
      <c r="D151" s="848" t="s">
        <v>9039</v>
      </c>
      <c r="E151" s="848" t="s">
        <v>766</v>
      </c>
      <c r="F151" s="848" t="s">
        <v>9033</v>
      </c>
      <c r="G151" s="1654" t="str">
        <f>IF('3C'!H27="","##BLANK",'3C'!H27)</f>
        <v>##BLANK</v>
      </c>
    </row>
    <row r="152" spans="1:7">
      <c r="A152" s="1650" t="str">
        <f>INDEX(Lists!$C$4:$C$26,MATCH(Validation!$B$3,Lists!$B$4:$B$26,0))</f>
        <v>YKY</v>
      </c>
      <c r="B152" s="848" t="str">
        <f>INDEX(Lists!$C$4:$C$26,MATCH(Validation!$B$3,Lists!$B$4:$B$26,0))&amp;"_AIM24"</f>
        <v>YKY_AIM24</v>
      </c>
      <c r="C152" s="848" t="s">
        <v>2392</v>
      </c>
      <c r="D152" s="848" t="s">
        <v>9039</v>
      </c>
      <c r="E152" s="848" t="s">
        <v>766</v>
      </c>
      <c r="F152" s="848" t="s">
        <v>9033</v>
      </c>
      <c r="G152" s="1654" t="str">
        <f>IF('3C'!H28="","##BLANK",'3C'!H28)</f>
        <v>##BLANK</v>
      </c>
    </row>
    <row r="153" spans="1:7" ht="15" thickBot="1">
      <c r="A153" s="1651" t="str">
        <f>INDEX(Lists!$C$4:$C$26,MATCH(Validation!$B$3,Lists!$B$4:$B$26,0))</f>
        <v>YKY</v>
      </c>
      <c r="B153" s="1652" t="str">
        <f>INDEX(Lists!$C$4:$C$26,MATCH(Validation!$B$3,Lists!$B$4:$B$26,0))&amp;"_AIM25"</f>
        <v>YKY_AIM25</v>
      </c>
      <c r="C153" s="1652" t="s">
        <v>2392</v>
      </c>
      <c r="D153" s="1652" t="s">
        <v>9039</v>
      </c>
      <c r="E153" s="1652" t="s">
        <v>766</v>
      </c>
      <c r="F153" s="1652" t="s">
        <v>9033</v>
      </c>
      <c r="G153" s="1656" t="str">
        <f>IF('3C'!H29="","##BLANK",'3C'!H29)</f>
        <v>##BLANK</v>
      </c>
    </row>
    <row r="154" spans="1:7">
      <c r="A154" s="1648" t="str">
        <f>INDEX(Lists!$C$4:$C$26,MATCH(Validation!$B$3,Lists!$B$4:$B$26,0))</f>
        <v>YKY</v>
      </c>
      <c r="B154" s="1649" t="str">
        <f>INDEX(Lists!$C$4:$C$26,MATCH(Validation!$B$3,Lists!$B$4:$B$26,0))&amp;"_AIM01"</f>
        <v>YKY_AIM01</v>
      </c>
      <c r="C154" s="1649" t="s">
        <v>2393</v>
      </c>
      <c r="D154" s="1649" t="s">
        <v>9040</v>
      </c>
      <c r="E154" s="1649" t="s">
        <v>4149</v>
      </c>
      <c r="F154" s="1649" t="s">
        <v>9033</v>
      </c>
      <c r="G154" s="1655" t="str">
        <f>IF('3C'!I5="","##BLANK",'3C'!I5)</f>
        <v>N/a</v>
      </c>
    </row>
    <row r="155" spans="1:7">
      <c r="A155" s="1650" t="str">
        <f>INDEX(Lists!$C$4:$C$26,MATCH(Validation!$B$3,Lists!$B$4:$B$26,0))</f>
        <v>YKY</v>
      </c>
      <c r="B155" s="848" t="str">
        <f>INDEX(Lists!$C$4:$C$26,MATCH(Validation!$B$3,Lists!$B$4:$B$26,0))&amp;"_AIM02"</f>
        <v>YKY_AIM02</v>
      </c>
      <c r="C155" s="848" t="s">
        <v>2393</v>
      </c>
      <c r="D155" s="848" t="s">
        <v>9040</v>
      </c>
      <c r="E155" s="848" t="s">
        <v>4149</v>
      </c>
      <c r="F155" s="848" t="s">
        <v>9033</v>
      </c>
      <c r="G155" s="1654" t="str">
        <f>IF('3C'!I6="","##BLANK",'3C'!I6)</f>
        <v>##BLANK</v>
      </c>
    </row>
    <row r="156" spans="1:7">
      <c r="A156" s="1650" t="str">
        <f>INDEX(Lists!$C$4:$C$26,MATCH(Validation!$B$3,Lists!$B$4:$B$26,0))</f>
        <v>YKY</v>
      </c>
      <c r="B156" s="848" t="str">
        <f>INDEX(Lists!$C$4:$C$26,MATCH(Validation!$B$3,Lists!$B$4:$B$26,0))&amp;"_AIM03"</f>
        <v>YKY_AIM03</v>
      </c>
      <c r="C156" s="848" t="s">
        <v>2393</v>
      </c>
      <c r="D156" s="848" t="s">
        <v>9040</v>
      </c>
      <c r="E156" s="848" t="s">
        <v>4149</v>
      </c>
      <c r="F156" s="848" t="s">
        <v>9033</v>
      </c>
      <c r="G156" s="1654" t="str">
        <f>IF('3C'!I7="","##BLANK",'3C'!I7)</f>
        <v>##BLANK</v>
      </c>
    </row>
    <row r="157" spans="1:7">
      <c r="A157" s="1650" t="str">
        <f>INDEX(Lists!$C$4:$C$26,MATCH(Validation!$B$3,Lists!$B$4:$B$26,0))</f>
        <v>YKY</v>
      </c>
      <c r="B157" s="848" t="str">
        <f>INDEX(Lists!$C$4:$C$26,MATCH(Validation!$B$3,Lists!$B$4:$B$26,0))&amp;"_AIM04"</f>
        <v>YKY_AIM04</v>
      </c>
      <c r="C157" s="848" t="s">
        <v>2393</v>
      </c>
      <c r="D157" s="848" t="s">
        <v>9040</v>
      </c>
      <c r="E157" s="848" t="s">
        <v>4149</v>
      </c>
      <c r="F157" s="848" t="s">
        <v>9033</v>
      </c>
      <c r="G157" s="1654" t="str">
        <f>IF('3C'!I8="","##BLANK",'3C'!I8)</f>
        <v>##BLANK</v>
      </c>
    </row>
    <row r="158" spans="1:7">
      <c r="A158" s="1650" t="str">
        <f>INDEX(Lists!$C$4:$C$26,MATCH(Validation!$B$3,Lists!$B$4:$B$26,0))</f>
        <v>YKY</v>
      </c>
      <c r="B158" s="848" t="str">
        <f>INDEX(Lists!$C$4:$C$26,MATCH(Validation!$B$3,Lists!$B$4:$B$26,0))&amp;"_AIM05"</f>
        <v>YKY_AIM05</v>
      </c>
      <c r="C158" s="848" t="s">
        <v>2393</v>
      </c>
      <c r="D158" s="848" t="s">
        <v>9040</v>
      </c>
      <c r="E158" s="848" t="s">
        <v>4149</v>
      </c>
      <c r="F158" s="848" t="s">
        <v>9033</v>
      </c>
      <c r="G158" s="1654" t="str">
        <f>IF('3C'!I9="","##BLANK",'3C'!I9)</f>
        <v>##BLANK</v>
      </c>
    </row>
    <row r="159" spans="1:7">
      <c r="A159" s="1650" t="str">
        <f>INDEX(Lists!$C$4:$C$26,MATCH(Validation!$B$3,Lists!$B$4:$B$26,0))</f>
        <v>YKY</v>
      </c>
      <c r="B159" s="848" t="str">
        <f>INDEX(Lists!$C$4:$C$26,MATCH(Validation!$B$3,Lists!$B$4:$B$26,0))&amp;"_AIM06"</f>
        <v>YKY_AIM06</v>
      </c>
      <c r="C159" s="848" t="s">
        <v>2393</v>
      </c>
      <c r="D159" s="848" t="s">
        <v>9040</v>
      </c>
      <c r="E159" s="848" t="s">
        <v>4149</v>
      </c>
      <c r="F159" s="848" t="s">
        <v>9033</v>
      </c>
      <c r="G159" s="1654" t="str">
        <f>IF('3C'!I10="","##BLANK",'3C'!I10)</f>
        <v>##BLANK</v>
      </c>
    </row>
    <row r="160" spans="1:7">
      <c r="A160" s="1650" t="str">
        <f>INDEX(Lists!$C$4:$C$26,MATCH(Validation!$B$3,Lists!$B$4:$B$26,0))</f>
        <v>YKY</v>
      </c>
      <c r="B160" s="848" t="str">
        <f>INDEX(Lists!$C$4:$C$26,MATCH(Validation!$B$3,Lists!$B$4:$B$26,0))&amp;"_AIM07"</f>
        <v>YKY_AIM07</v>
      </c>
      <c r="C160" s="848" t="s">
        <v>2393</v>
      </c>
      <c r="D160" s="848" t="s">
        <v>9040</v>
      </c>
      <c r="E160" s="848" t="s">
        <v>4149</v>
      </c>
      <c r="F160" s="848" t="s">
        <v>9033</v>
      </c>
      <c r="G160" s="1654" t="str">
        <f>IF('3C'!I11="","##BLANK",'3C'!I11)</f>
        <v>##BLANK</v>
      </c>
    </row>
    <row r="161" spans="1:7">
      <c r="A161" s="1650" t="str">
        <f>INDEX(Lists!$C$4:$C$26,MATCH(Validation!$B$3,Lists!$B$4:$B$26,0))</f>
        <v>YKY</v>
      </c>
      <c r="B161" s="848" t="str">
        <f>INDEX(Lists!$C$4:$C$26,MATCH(Validation!$B$3,Lists!$B$4:$B$26,0))&amp;"_AIM08"</f>
        <v>YKY_AIM08</v>
      </c>
      <c r="C161" s="848" t="s">
        <v>2393</v>
      </c>
      <c r="D161" s="848" t="s">
        <v>9040</v>
      </c>
      <c r="E161" s="848" t="s">
        <v>4149</v>
      </c>
      <c r="F161" s="848" t="s">
        <v>9033</v>
      </c>
      <c r="G161" s="1654" t="str">
        <f>IF('3C'!I12="","##BLANK",'3C'!I12)</f>
        <v>##BLANK</v>
      </c>
    </row>
    <row r="162" spans="1:7">
      <c r="A162" s="1650" t="str">
        <f>INDEX(Lists!$C$4:$C$26,MATCH(Validation!$B$3,Lists!$B$4:$B$26,0))</f>
        <v>YKY</v>
      </c>
      <c r="B162" s="848" t="str">
        <f>INDEX(Lists!$C$4:$C$26,MATCH(Validation!$B$3,Lists!$B$4:$B$26,0))&amp;"_AIM09"</f>
        <v>YKY_AIM09</v>
      </c>
      <c r="C162" s="848" t="s">
        <v>2393</v>
      </c>
      <c r="D162" s="848" t="s">
        <v>9040</v>
      </c>
      <c r="E162" s="848" t="s">
        <v>4149</v>
      </c>
      <c r="F162" s="848" t="s">
        <v>9033</v>
      </c>
      <c r="G162" s="1654" t="str">
        <f>IF('3C'!I13="","##BLANK",'3C'!I13)</f>
        <v>##BLANK</v>
      </c>
    </row>
    <row r="163" spans="1:7">
      <c r="A163" s="1650" t="str">
        <f>INDEX(Lists!$C$4:$C$26,MATCH(Validation!$B$3,Lists!$B$4:$B$26,0))</f>
        <v>YKY</v>
      </c>
      <c r="B163" s="848" t="str">
        <f>INDEX(Lists!$C$4:$C$26,MATCH(Validation!$B$3,Lists!$B$4:$B$26,0))&amp;"_AIM10"</f>
        <v>YKY_AIM10</v>
      </c>
      <c r="C163" s="848" t="s">
        <v>2393</v>
      </c>
      <c r="D163" s="848" t="s">
        <v>9040</v>
      </c>
      <c r="E163" s="848" t="s">
        <v>4149</v>
      </c>
      <c r="F163" s="848" t="s">
        <v>9033</v>
      </c>
      <c r="G163" s="1654" t="str">
        <f>IF('3C'!I14="","##BLANK",'3C'!I14)</f>
        <v>##BLANK</v>
      </c>
    </row>
    <row r="164" spans="1:7">
      <c r="A164" s="1650" t="str">
        <f>INDEX(Lists!$C$4:$C$26,MATCH(Validation!$B$3,Lists!$B$4:$B$26,0))</f>
        <v>YKY</v>
      </c>
      <c r="B164" s="848" t="str">
        <f>INDEX(Lists!$C$4:$C$26,MATCH(Validation!$B$3,Lists!$B$4:$B$26,0))&amp;"_AIM11"</f>
        <v>YKY_AIM11</v>
      </c>
      <c r="C164" s="848" t="s">
        <v>2393</v>
      </c>
      <c r="D164" s="848" t="s">
        <v>9040</v>
      </c>
      <c r="E164" s="848" t="s">
        <v>4149</v>
      </c>
      <c r="F164" s="848" t="s">
        <v>9033</v>
      </c>
      <c r="G164" s="1654" t="str">
        <f>IF('3C'!I15="","##BLANK",'3C'!I15)</f>
        <v>##BLANK</v>
      </c>
    </row>
    <row r="165" spans="1:7">
      <c r="A165" s="1650" t="str">
        <f>INDEX(Lists!$C$4:$C$26,MATCH(Validation!$B$3,Lists!$B$4:$B$26,0))</f>
        <v>YKY</v>
      </c>
      <c r="B165" s="848" t="str">
        <f>INDEX(Lists!$C$4:$C$26,MATCH(Validation!$B$3,Lists!$B$4:$B$26,0))&amp;"_AIM12"</f>
        <v>YKY_AIM12</v>
      </c>
      <c r="C165" s="848" t="s">
        <v>2393</v>
      </c>
      <c r="D165" s="848" t="s">
        <v>9040</v>
      </c>
      <c r="E165" s="848" t="s">
        <v>4149</v>
      </c>
      <c r="F165" s="848" t="s">
        <v>9033</v>
      </c>
      <c r="G165" s="1654" t="str">
        <f>IF('3C'!I16="","##BLANK",'3C'!I16)</f>
        <v>##BLANK</v>
      </c>
    </row>
    <row r="166" spans="1:7">
      <c r="A166" s="1650" t="str">
        <f>INDEX(Lists!$C$4:$C$26,MATCH(Validation!$B$3,Lists!$B$4:$B$26,0))</f>
        <v>YKY</v>
      </c>
      <c r="B166" s="848" t="str">
        <f>INDEX(Lists!$C$4:$C$26,MATCH(Validation!$B$3,Lists!$B$4:$B$26,0))&amp;"_AIM13"</f>
        <v>YKY_AIM13</v>
      </c>
      <c r="C166" s="848" t="s">
        <v>2393</v>
      </c>
      <c r="D166" s="848" t="s">
        <v>9040</v>
      </c>
      <c r="E166" s="848" t="s">
        <v>4149</v>
      </c>
      <c r="F166" s="848" t="s">
        <v>9033</v>
      </c>
      <c r="G166" s="1654" t="str">
        <f>IF('3C'!I17="","##BLANK",'3C'!I17)</f>
        <v>##BLANK</v>
      </c>
    </row>
    <row r="167" spans="1:7">
      <c r="A167" s="1650" t="str">
        <f>INDEX(Lists!$C$4:$C$26,MATCH(Validation!$B$3,Lists!$B$4:$B$26,0))</f>
        <v>YKY</v>
      </c>
      <c r="B167" s="848" t="str">
        <f>INDEX(Lists!$C$4:$C$26,MATCH(Validation!$B$3,Lists!$B$4:$B$26,0))&amp;"_AIM14"</f>
        <v>YKY_AIM14</v>
      </c>
      <c r="C167" s="848" t="s">
        <v>2393</v>
      </c>
      <c r="D167" s="848" t="s">
        <v>9040</v>
      </c>
      <c r="E167" s="848" t="s">
        <v>4149</v>
      </c>
      <c r="F167" s="848" t="s">
        <v>9033</v>
      </c>
      <c r="G167" s="1654" t="str">
        <f>IF('3C'!I18="","##BLANK",'3C'!I18)</f>
        <v>##BLANK</v>
      </c>
    </row>
    <row r="168" spans="1:7">
      <c r="A168" s="1650" t="str">
        <f>INDEX(Lists!$C$4:$C$26,MATCH(Validation!$B$3,Lists!$B$4:$B$26,0))</f>
        <v>YKY</v>
      </c>
      <c r="B168" s="848" t="str">
        <f>INDEX(Lists!$C$4:$C$26,MATCH(Validation!$B$3,Lists!$B$4:$B$26,0))&amp;"_AIM15"</f>
        <v>YKY_AIM15</v>
      </c>
      <c r="C168" s="848" t="s">
        <v>2393</v>
      </c>
      <c r="D168" s="848" t="s">
        <v>9040</v>
      </c>
      <c r="E168" s="848" t="s">
        <v>4149</v>
      </c>
      <c r="F168" s="848" t="s">
        <v>9033</v>
      </c>
      <c r="G168" s="1654" t="str">
        <f>IF('3C'!I19="","##BLANK",'3C'!I19)</f>
        <v>##BLANK</v>
      </c>
    </row>
    <row r="169" spans="1:7">
      <c r="A169" s="1650" t="str">
        <f>INDEX(Lists!$C$4:$C$26,MATCH(Validation!$B$3,Lists!$B$4:$B$26,0))</f>
        <v>YKY</v>
      </c>
      <c r="B169" s="848" t="str">
        <f>INDEX(Lists!$C$4:$C$26,MATCH(Validation!$B$3,Lists!$B$4:$B$26,0))&amp;"_AIM16"</f>
        <v>YKY_AIM16</v>
      </c>
      <c r="C169" s="848" t="s">
        <v>2393</v>
      </c>
      <c r="D169" s="848" t="s">
        <v>9040</v>
      </c>
      <c r="E169" s="848" t="s">
        <v>4149</v>
      </c>
      <c r="F169" s="848" t="s">
        <v>9033</v>
      </c>
      <c r="G169" s="1654" t="str">
        <f>IF('3C'!I20="","##BLANK",'3C'!I20)</f>
        <v>##BLANK</v>
      </c>
    </row>
    <row r="170" spans="1:7">
      <c r="A170" s="1650" t="str">
        <f>INDEX(Lists!$C$4:$C$26,MATCH(Validation!$B$3,Lists!$B$4:$B$26,0))</f>
        <v>YKY</v>
      </c>
      <c r="B170" s="848" t="str">
        <f>INDEX(Lists!$C$4:$C$26,MATCH(Validation!$B$3,Lists!$B$4:$B$26,0))&amp;"_AIM17"</f>
        <v>YKY_AIM17</v>
      </c>
      <c r="C170" s="848" t="s">
        <v>2393</v>
      </c>
      <c r="D170" s="848" t="s">
        <v>9040</v>
      </c>
      <c r="E170" s="848" t="s">
        <v>4149</v>
      </c>
      <c r="F170" s="848" t="s">
        <v>9033</v>
      </c>
      <c r="G170" s="1654" t="str">
        <f>IF('3C'!I21="","##BLANK",'3C'!I21)</f>
        <v>##BLANK</v>
      </c>
    </row>
    <row r="171" spans="1:7">
      <c r="A171" s="1650" t="str">
        <f>INDEX(Lists!$C$4:$C$26,MATCH(Validation!$B$3,Lists!$B$4:$B$26,0))</f>
        <v>YKY</v>
      </c>
      <c r="B171" s="848" t="str">
        <f>INDEX(Lists!$C$4:$C$26,MATCH(Validation!$B$3,Lists!$B$4:$B$26,0))&amp;"_AIM18"</f>
        <v>YKY_AIM18</v>
      </c>
      <c r="C171" s="848" t="s">
        <v>2393</v>
      </c>
      <c r="D171" s="848" t="s">
        <v>9040</v>
      </c>
      <c r="E171" s="848" t="s">
        <v>4149</v>
      </c>
      <c r="F171" s="848" t="s">
        <v>9033</v>
      </c>
      <c r="G171" s="1654" t="str">
        <f>IF('3C'!I22="","##BLANK",'3C'!I22)</f>
        <v>##BLANK</v>
      </c>
    </row>
    <row r="172" spans="1:7">
      <c r="A172" s="1650" t="str">
        <f>INDEX(Lists!$C$4:$C$26,MATCH(Validation!$B$3,Lists!$B$4:$B$26,0))</f>
        <v>YKY</v>
      </c>
      <c r="B172" s="848" t="str">
        <f>INDEX(Lists!$C$4:$C$26,MATCH(Validation!$B$3,Lists!$B$4:$B$26,0))&amp;"_AIM19"</f>
        <v>YKY_AIM19</v>
      </c>
      <c r="C172" s="848" t="s">
        <v>2393</v>
      </c>
      <c r="D172" s="848" t="s">
        <v>9040</v>
      </c>
      <c r="E172" s="848" t="s">
        <v>4149</v>
      </c>
      <c r="F172" s="848" t="s">
        <v>9033</v>
      </c>
      <c r="G172" s="1654" t="str">
        <f>IF('3C'!I23="","##BLANK",'3C'!I23)</f>
        <v>##BLANK</v>
      </c>
    </row>
    <row r="173" spans="1:7">
      <c r="A173" s="1650" t="str">
        <f>INDEX(Lists!$C$4:$C$26,MATCH(Validation!$B$3,Lists!$B$4:$B$26,0))</f>
        <v>YKY</v>
      </c>
      <c r="B173" s="848" t="str">
        <f>INDEX(Lists!$C$4:$C$26,MATCH(Validation!$B$3,Lists!$B$4:$B$26,0))&amp;"_AIM20"</f>
        <v>YKY_AIM20</v>
      </c>
      <c r="C173" s="848" t="s">
        <v>2393</v>
      </c>
      <c r="D173" s="848" t="s">
        <v>9040</v>
      </c>
      <c r="E173" s="848" t="s">
        <v>4149</v>
      </c>
      <c r="F173" s="848" t="s">
        <v>9033</v>
      </c>
      <c r="G173" s="1654" t="str">
        <f>IF('3C'!I24="","##BLANK",'3C'!I24)</f>
        <v>##BLANK</v>
      </c>
    </row>
    <row r="174" spans="1:7">
      <c r="A174" s="1650" t="str">
        <f>INDEX(Lists!$C$4:$C$26,MATCH(Validation!$B$3,Lists!$B$4:$B$26,0))</f>
        <v>YKY</v>
      </c>
      <c r="B174" s="848" t="str">
        <f>INDEX(Lists!$C$4:$C$26,MATCH(Validation!$B$3,Lists!$B$4:$B$26,0))&amp;"_AIM21"</f>
        <v>YKY_AIM21</v>
      </c>
      <c r="C174" s="848" t="s">
        <v>2393</v>
      </c>
      <c r="D174" s="848" t="s">
        <v>9040</v>
      </c>
      <c r="E174" s="848" t="s">
        <v>4149</v>
      </c>
      <c r="F174" s="848" t="s">
        <v>9033</v>
      </c>
      <c r="G174" s="1654" t="str">
        <f>IF('3C'!I25="","##BLANK",'3C'!I25)</f>
        <v>##BLANK</v>
      </c>
    </row>
    <row r="175" spans="1:7">
      <c r="A175" s="1650" t="str">
        <f>INDEX(Lists!$C$4:$C$26,MATCH(Validation!$B$3,Lists!$B$4:$B$26,0))</f>
        <v>YKY</v>
      </c>
      <c r="B175" s="848" t="str">
        <f>INDEX(Lists!$C$4:$C$26,MATCH(Validation!$B$3,Lists!$B$4:$B$26,0))&amp;"_AIM22"</f>
        <v>YKY_AIM22</v>
      </c>
      <c r="C175" s="848" t="s">
        <v>2393</v>
      </c>
      <c r="D175" s="848" t="s">
        <v>9040</v>
      </c>
      <c r="E175" s="848" t="s">
        <v>4149</v>
      </c>
      <c r="F175" s="848" t="s">
        <v>9033</v>
      </c>
      <c r="G175" s="1654" t="str">
        <f>IF('3C'!I26="","##BLANK",'3C'!I26)</f>
        <v>##BLANK</v>
      </c>
    </row>
    <row r="176" spans="1:7">
      <c r="A176" s="1650" t="str">
        <f>INDEX(Lists!$C$4:$C$26,MATCH(Validation!$B$3,Lists!$B$4:$B$26,0))</f>
        <v>YKY</v>
      </c>
      <c r="B176" s="848" t="str">
        <f>INDEX(Lists!$C$4:$C$26,MATCH(Validation!$B$3,Lists!$B$4:$B$26,0))&amp;"_AIM23"</f>
        <v>YKY_AIM23</v>
      </c>
      <c r="C176" s="848" t="s">
        <v>2393</v>
      </c>
      <c r="D176" s="848" t="s">
        <v>9040</v>
      </c>
      <c r="E176" s="848" t="s">
        <v>4149</v>
      </c>
      <c r="F176" s="848" t="s">
        <v>9033</v>
      </c>
      <c r="G176" s="1654" t="str">
        <f>IF('3C'!I27="","##BLANK",'3C'!I27)</f>
        <v>##BLANK</v>
      </c>
    </row>
    <row r="177" spans="1:7">
      <c r="A177" s="1650" t="str">
        <f>INDEX(Lists!$C$4:$C$26,MATCH(Validation!$B$3,Lists!$B$4:$B$26,0))</f>
        <v>YKY</v>
      </c>
      <c r="B177" s="848" t="str">
        <f>INDEX(Lists!$C$4:$C$26,MATCH(Validation!$B$3,Lists!$B$4:$B$26,0))&amp;"_AIM24"</f>
        <v>YKY_AIM24</v>
      </c>
      <c r="C177" s="848" t="s">
        <v>2393</v>
      </c>
      <c r="D177" s="848" t="s">
        <v>9040</v>
      </c>
      <c r="E177" s="848" t="s">
        <v>4149</v>
      </c>
      <c r="F177" s="848" t="s">
        <v>9033</v>
      </c>
      <c r="G177" s="1654" t="str">
        <f>IF('3C'!I28="","##BLANK",'3C'!I28)</f>
        <v>##BLANK</v>
      </c>
    </row>
    <row r="178" spans="1:7" ht="15" thickBot="1">
      <c r="A178" s="1651" t="str">
        <f>INDEX(Lists!$C$4:$C$26,MATCH(Validation!$B$3,Lists!$B$4:$B$26,0))</f>
        <v>YKY</v>
      </c>
      <c r="B178" s="1652" t="str">
        <f>INDEX(Lists!$C$4:$C$26,MATCH(Validation!$B$3,Lists!$B$4:$B$26,0))&amp;"_AIM25"</f>
        <v>YKY_AIM25</v>
      </c>
      <c r="C178" s="1652" t="s">
        <v>2393</v>
      </c>
      <c r="D178" s="1652" t="s">
        <v>9040</v>
      </c>
      <c r="E178" s="1652" t="s">
        <v>4149</v>
      </c>
      <c r="F178" s="1652" t="s">
        <v>9033</v>
      </c>
      <c r="G178" s="1656" t="str">
        <f>IF('3C'!I29="","##BLANK",'3C'!I29)</f>
        <v>##BLANK</v>
      </c>
    </row>
  </sheetData>
  <sheetProtection algorithmName="SHA-512" hashValue="t1+uONpKj9QYBLaJjrLzAFJjFqVc1pZy2gjMVlnIMLaTDvAuSC9Xcaij3ITY1IXzp+sCXsyt0ZDn+/gJ9/VbkQ==" saltValue="XGniV4/aHPYMGD/460346w=="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J26"/>
  <sheetViews>
    <sheetView workbookViewId="0">
      <selection activeCell="B24" sqref="B24"/>
    </sheetView>
  </sheetViews>
  <sheetFormatPr defaultColWidth="8.875" defaultRowHeight="14.25"/>
  <cols>
    <col min="1" max="1" width="36.5" bestFit="1" customWidth="1"/>
    <col min="2" max="2" width="36.125" customWidth="1"/>
    <col min="3" max="4" width="8.5" customWidth="1"/>
    <col min="5" max="5" width="2.5" customWidth="1"/>
    <col min="6" max="8" width="10" customWidth="1"/>
  </cols>
  <sheetData>
    <row r="1" spans="1:10" ht="20.25">
      <c r="A1" s="1" t="s">
        <v>9041</v>
      </c>
      <c r="B1" s="1"/>
      <c r="C1" s="1"/>
      <c r="D1" s="1"/>
      <c r="E1" s="1"/>
      <c r="F1" s="1"/>
      <c r="G1" s="1"/>
      <c r="H1" s="1"/>
      <c r="I1" s="1"/>
      <c r="J1" s="1"/>
    </row>
    <row r="2" spans="1:10">
      <c r="A2" s="49"/>
      <c r="B2" s="49"/>
      <c r="C2" s="2004"/>
      <c r="D2" s="2004"/>
      <c r="E2" s="49"/>
      <c r="F2" s="2004"/>
      <c r="G2" s="2004"/>
      <c r="H2" s="2004"/>
      <c r="I2" s="2004"/>
      <c r="J2" s="2004"/>
    </row>
    <row r="3" spans="1:10" s="26" customFormat="1" ht="27">
      <c r="A3" s="50" t="s">
        <v>9042</v>
      </c>
      <c r="B3" s="50" t="s">
        <v>9043</v>
      </c>
      <c r="C3" s="50" t="s">
        <v>9029</v>
      </c>
      <c r="D3" s="50" t="s">
        <v>9044</v>
      </c>
      <c r="F3" s="51" t="s">
        <v>9045</v>
      </c>
      <c r="G3" s="50"/>
      <c r="H3" s="50"/>
    </row>
    <row r="4" spans="1:10">
      <c r="A4" s="49"/>
      <c r="B4" s="49" t="s">
        <v>9046</v>
      </c>
      <c r="C4" s="49"/>
      <c r="D4" s="49" t="s">
        <v>9047</v>
      </c>
      <c r="E4" s="2004"/>
      <c r="F4" s="2004"/>
      <c r="G4" s="2004"/>
      <c r="H4" s="2004"/>
      <c r="I4" s="2004"/>
      <c r="J4" s="2004"/>
    </row>
    <row r="5" spans="1:10">
      <c r="A5" s="49" t="s">
        <v>9048</v>
      </c>
      <c r="B5" s="49" t="s">
        <v>9049</v>
      </c>
      <c r="C5" s="49" t="s">
        <v>9050</v>
      </c>
      <c r="D5" s="49" t="s">
        <v>9047</v>
      </c>
      <c r="E5" s="2004"/>
      <c r="F5" s="51" t="s">
        <v>9051</v>
      </c>
      <c r="G5" s="2004"/>
      <c r="H5" s="2004"/>
      <c r="I5" s="2004"/>
      <c r="J5" s="2004"/>
    </row>
    <row r="6" spans="1:10">
      <c r="A6" s="49" t="s">
        <v>9052</v>
      </c>
      <c r="B6" s="49" t="s">
        <v>9053</v>
      </c>
      <c r="C6" s="49" t="s">
        <v>9054</v>
      </c>
      <c r="D6" s="49" t="s">
        <v>9047</v>
      </c>
      <c r="E6" s="2004"/>
      <c r="F6" s="49" t="s">
        <v>2337</v>
      </c>
      <c r="G6" s="2004"/>
      <c r="H6" s="2004"/>
      <c r="I6" s="2004"/>
      <c r="J6" s="2004"/>
    </row>
    <row r="7" spans="1:10">
      <c r="A7" s="49" t="s">
        <v>9055</v>
      </c>
      <c r="B7" s="49" t="s">
        <v>9056</v>
      </c>
      <c r="C7" s="49" t="s">
        <v>9057</v>
      </c>
      <c r="D7" s="49" t="s">
        <v>9047</v>
      </c>
      <c r="E7" s="2004"/>
      <c r="F7" s="49" t="s">
        <v>2334</v>
      </c>
      <c r="G7" s="2004"/>
      <c r="H7" s="2004"/>
      <c r="I7" s="2004"/>
      <c r="J7" s="2004"/>
    </row>
    <row r="8" spans="1:10">
      <c r="A8" s="49" t="s">
        <v>9058</v>
      </c>
      <c r="B8" s="49" t="s">
        <v>9059</v>
      </c>
      <c r="C8" s="49" t="s">
        <v>9060</v>
      </c>
      <c r="D8" s="49" t="s">
        <v>9047</v>
      </c>
      <c r="E8" s="2004"/>
      <c r="F8" s="49" t="s">
        <v>2335</v>
      </c>
      <c r="G8" s="2004"/>
      <c r="H8" s="2004"/>
      <c r="I8" s="2004"/>
      <c r="J8" s="2004"/>
    </row>
    <row r="9" spans="1:10">
      <c r="A9" s="49" t="s">
        <v>9061</v>
      </c>
      <c r="B9" s="49" t="s">
        <v>9062</v>
      </c>
      <c r="C9" s="49" t="s">
        <v>9063</v>
      </c>
      <c r="D9" s="49" t="s">
        <v>9047</v>
      </c>
      <c r="E9" s="2004"/>
      <c r="F9" s="2004"/>
      <c r="G9" s="2004"/>
      <c r="H9" s="2004"/>
      <c r="I9" s="2004"/>
      <c r="J9" s="2004"/>
    </row>
    <row r="10" spans="1:10">
      <c r="A10" s="49" t="s">
        <v>9064</v>
      </c>
      <c r="B10" s="49" t="s">
        <v>9065</v>
      </c>
      <c r="C10" s="49" t="s">
        <v>9066</v>
      </c>
      <c r="D10" s="49" t="s">
        <v>9047</v>
      </c>
      <c r="E10" s="2004"/>
      <c r="F10" s="51" t="s">
        <v>9067</v>
      </c>
      <c r="G10" s="2004"/>
      <c r="H10" s="2004"/>
      <c r="I10" s="2004"/>
      <c r="J10" s="2004"/>
    </row>
    <row r="11" spans="1:10">
      <c r="A11" s="49" t="s">
        <v>9068</v>
      </c>
      <c r="B11" s="49" t="s">
        <v>9069</v>
      </c>
      <c r="C11" s="49" t="s">
        <v>9070</v>
      </c>
      <c r="D11" s="49" t="s">
        <v>9047</v>
      </c>
      <c r="E11" s="2004"/>
      <c r="F11" s="49" t="s">
        <v>2339</v>
      </c>
      <c r="G11" s="2004"/>
      <c r="H11" s="2004"/>
      <c r="I11" s="2004"/>
      <c r="J11" s="2004"/>
    </row>
    <row r="12" spans="1:10">
      <c r="A12" s="49" t="s">
        <v>9071</v>
      </c>
      <c r="B12" s="49" t="s">
        <v>9072</v>
      </c>
      <c r="C12" s="49" t="s">
        <v>9073</v>
      </c>
      <c r="D12" s="49" t="s">
        <v>9047</v>
      </c>
      <c r="E12" s="2004"/>
      <c r="F12" s="49" t="s">
        <v>9074</v>
      </c>
      <c r="G12" s="2004"/>
      <c r="H12" s="2004"/>
      <c r="I12" s="2004"/>
      <c r="J12" s="2004"/>
    </row>
    <row r="13" spans="1:10">
      <c r="A13" s="49" t="s">
        <v>9075</v>
      </c>
      <c r="B13" s="49" t="s">
        <v>9076</v>
      </c>
      <c r="C13" s="49" t="s">
        <v>9077</v>
      </c>
      <c r="D13" s="49" t="s">
        <v>9047</v>
      </c>
      <c r="E13" s="2004"/>
      <c r="F13" s="49" t="s">
        <v>2336</v>
      </c>
      <c r="G13" s="2004"/>
      <c r="H13" s="2004"/>
      <c r="I13" s="2004"/>
      <c r="J13" s="2004"/>
    </row>
    <row r="14" spans="1:10">
      <c r="A14" s="49" t="s">
        <v>9078</v>
      </c>
      <c r="B14" s="49" t="s">
        <v>9079</v>
      </c>
      <c r="C14" s="49" t="s">
        <v>9080</v>
      </c>
      <c r="D14" s="49" t="s">
        <v>9047</v>
      </c>
      <c r="E14" s="2004"/>
      <c r="F14" s="49" t="s">
        <v>2340</v>
      </c>
      <c r="G14" s="2004"/>
      <c r="H14" s="2004"/>
      <c r="I14" s="2004"/>
      <c r="J14" s="2004"/>
    </row>
    <row r="15" spans="1:10">
      <c r="A15" s="49" t="s">
        <v>9081</v>
      </c>
      <c r="B15" s="49" t="s">
        <v>21</v>
      </c>
      <c r="C15" s="49" t="s">
        <v>9082</v>
      </c>
      <c r="D15" s="49" t="s">
        <v>9047</v>
      </c>
      <c r="E15" s="2004"/>
      <c r="F15" s="49" t="s">
        <v>2335</v>
      </c>
      <c r="G15" s="2004"/>
      <c r="H15" s="2004"/>
      <c r="I15" s="2004"/>
      <c r="J15" s="2004"/>
    </row>
    <row r="16" spans="1:10">
      <c r="A16" s="49" t="s">
        <v>9083</v>
      </c>
      <c r="B16" s="49" t="s">
        <v>9083</v>
      </c>
      <c r="C16" s="49" t="s">
        <v>9084</v>
      </c>
      <c r="D16" s="49" t="s">
        <v>9085</v>
      </c>
      <c r="E16" s="2004"/>
      <c r="F16" s="49"/>
      <c r="G16" s="2004"/>
      <c r="H16" s="2004"/>
      <c r="I16" s="2004"/>
      <c r="J16" s="2004"/>
    </row>
    <row r="17" spans="1:6">
      <c r="A17" s="49" t="s">
        <v>9086</v>
      </c>
      <c r="B17" s="49" t="s">
        <v>9087</v>
      </c>
      <c r="C17" s="49" t="s">
        <v>9088</v>
      </c>
      <c r="D17" s="49" t="s">
        <v>9085</v>
      </c>
      <c r="E17" s="2004"/>
      <c r="F17" s="49"/>
    </row>
    <row r="18" spans="1:6">
      <c r="A18" s="49" t="s">
        <v>9089</v>
      </c>
      <c r="B18" s="49" t="s">
        <v>9090</v>
      </c>
      <c r="C18" s="49" t="s">
        <v>9091</v>
      </c>
      <c r="D18" s="49" t="s">
        <v>9085</v>
      </c>
      <c r="E18" s="2004"/>
      <c r="F18" s="49" t="s">
        <v>9092</v>
      </c>
    </row>
    <row r="19" spans="1:6">
      <c r="A19" s="49" t="s">
        <v>9093</v>
      </c>
      <c r="B19" s="49" t="s">
        <v>9094</v>
      </c>
      <c r="C19" s="49" t="s">
        <v>9095</v>
      </c>
      <c r="D19" s="49" t="s">
        <v>9085</v>
      </c>
      <c r="E19" s="2004"/>
      <c r="F19" s="2004"/>
    </row>
    <row r="20" spans="1:6">
      <c r="A20" s="49" t="s">
        <v>9096</v>
      </c>
      <c r="B20" s="49" t="s">
        <v>9097</v>
      </c>
      <c r="C20" s="49" t="s">
        <v>9098</v>
      </c>
      <c r="D20" s="49" t="s">
        <v>9085</v>
      </c>
      <c r="E20" s="2004"/>
      <c r="F20" s="2004"/>
    </row>
    <row r="21" spans="1:6">
      <c r="A21" s="49" t="s">
        <v>9099</v>
      </c>
      <c r="B21" s="49" t="s">
        <v>9100</v>
      </c>
      <c r="C21" s="49" t="s">
        <v>9101</v>
      </c>
      <c r="D21" s="49" t="s">
        <v>9085</v>
      </c>
      <c r="E21" s="2004"/>
      <c r="F21" s="2004"/>
    </row>
    <row r="22" spans="1:6">
      <c r="A22" s="49" t="s">
        <v>9102</v>
      </c>
      <c r="B22" s="49" t="s">
        <v>9103</v>
      </c>
      <c r="C22" s="49" t="s">
        <v>9104</v>
      </c>
      <c r="D22" s="49" t="s">
        <v>9085</v>
      </c>
      <c r="E22" s="2004"/>
      <c r="F22" s="2004"/>
    </row>
    <row r="23" spans="1:6">
      <c r="A23" s="49" t="s">
        <v>9105</v>
      </c>
      <c r="B23" s="49" t="s">
        <v>9106</v>
      </c>
      <c r="C23" s="49" t="s">
        <v>9107</v>
      </c>
      <c r="D23" s="49" t="s">
        <v>9085</v>
      </c>
      <c r="E23" s="2004"/>
      <c r="F23" s="2004"/>
    </row>
    <row r="24" spans="1:6" s="2004" customFormat="1">
      <c r="A24" s="49" t="s">
        <v>9108</v>
      </c>
      <c r="B24" s="49" t="s">
        <v>9109</v>
      </c>
      <c r="C24" s="49" t="s">
        <v>913</v>
      </c>
      <c r="D24" s="49" t="s">
        <v>9047</v>
      </c>
    </row>
    <row r="25" spans="1:6" s="2004" customFormat="1">
      <c r="A25" s="49" t="s">
        <v>9110</v>
      </c>
      <c r="B25" s="49" t="s">
        <v>9111</v>
      </c>
      <c r="C25" s="49" t="s">
        <v>9112</v>
      </c>
      <c r="D25" s="49" t="s">
        <v>9047</v>
      </c>
    </row>
    <row r="26" spans="1:6">
      <c r="A26" s="49" t="s">
        <v>9113</v>
      </c>
      <c r="B26" s="49" t="s">
        <v>9114</v>
      </c>
      <c r="C26" s="49" t="s">
        <v>9115</v>
      </c>
      <c r="D26" s="49" t="s">
        <v>9047</v>
      </c>
      <c r="E26" s="2004"/>
      <c r="F26" s="2004"/>
    </row>
  </sheetData>
  <sheetProtection algorithmName="SHA-512" hashValue="wxjbMWx5UxZoLchgWp4D/lop/32zHcEYiWPBHmfKcVUfxQZAJtrDtkWBJ1iAdkuA+br1a4ipPOwbc6HiU9gksQ==" saltValue="RQpXjC68DkF7rINS88X2D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customProperties>
    <customPr name="_pios_id" r:id="rId2"/>
    <customPr name="EpmWorksheetKeyString_GUID" r:id="rId3"/>
  </customProperties>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CP728"/>
  <sheetViews>
    <sheetView workbookViewId="0"/>
  </sheetViews>
  <sheetFormatPr defaultColWidth="8.875" defaultRowHeight="14.25"/>
  <cols>
    <col min="2" max="2" width="21.125" bestFit="1" customWidth="1"/>
    <col min="17" max="17" width="9" style="516"/>
    <col min="68" max="68" width="9" style="516"/>
    <col min="81" max="85" width="9" style="2004"/>
    <col min="87" max="92" width="9" style="2004"/>
    <col min="93" max="93" width="3.5" style="644" customWidth="1"/>
    <col min="94" max="94" width="11" customWidth="1"/>
  </cols>
  <sheetData>
    <row r="1" spans="1:94" s="2190" customFormat="1" ht="89.45" customHeight="1">
      <c r="Q1" s="2191"/>
      <c r="T1" s="2190" t="s">
        <v>9116</v>
      </c>
      <c r="Y1" s="2190" t="s">
        <v>9117</v>
      </c>
      <c r="AI1" s="2190" t="s">
        <v>9118</v>
      </c>
      <c r="AN1" s="2190" t="s">
        <v>9119</v>
      </c>
      <c r="AS1" s="2190" t="s">
        <v>9120</v>
      </c>
      <c r="AX1" s="2190" t="s">
        <v>9074</v>
      </c>
      <c r="BC1" s="2190" t="s">
        <v>9121</v>
      </c>
      <c r="BH1" s="2190" t="s">
        <v>9122</v>
      </c>
      <c r="BI1" s="2190" t="s">
        <v>9123</v>
      </c>
      <c r="BJ1" s="2190" t="s">
        <v>9124</v>
      </c>
      <c r="BK1" s="2190" t="s">
        <v>9125</v>
      </c>
      <c r="BL1" s="2190" t="s">
        <v>9126</v>
      </c>
      <c r="BM1" s="2190" t="s">
        <v>9127</v>
      </c>
      <c r="BP1" s="2199" t="s">
        <v>9128</v>
      </c>
      <c r="BQ1" s="2195"/>
      <c r="BR1" s="2195"/>
      <c r="BS1" s="2195"/>
      <c r="BT1" s="2195"/>
      <c r="BU1" s="2195"/>
      <c r="BV1" s="2195"/>
      <c r="BW1" s="2198" t="s">
        <v>9129</v>
      </c>
      <c r="BX1" s="2194"/>
      <c r="BY1" s="2194"/>
      <c r="BZ1" s="2194"/>
      <c r="CA1" s="2194"/>
      <c r="CB1" s="2194"/>
      <c r="CC1" s="2197" t="s">
        <v>9130</v>
      </c>
      <c r="CD1" s="2196"/>
      <c r="CE1" s="2196"/>
      <c r="CF1" s="2196"/>
      <c r="CG1" s="2196"/>
      <c r="CH1" s="2196"/>
      <c r="CI1" s="2938" t="s">
        <v>9131</v>
      </c>
      <c r="CJ1" s="2939"/>
      <c r="CK1" s="2939"/>
      <c r="CL1" s="2939"/>
      <c r="CM1" s="2939"/>
      <c r="CN1" s="2939"/>
      <c r="CO1" s="2200"/>
    </row>
    <row r="2" spans="1:94" s="2188" customFormat="1" ht="123.75">
      <c r="A2" s="2188" t="s">
        <v>9132</v>
      </c>
      <c r="B2" s="2188" t="s">
        <v>2308</v>
      </c>
      <c r="C2" s="2188" t="s">
        <v>9133</v>
      </c>
      <c r="D2" s="2188" t="s">
        <v>9134</v>
      </c>
      <c r="E2" s="2188" t="s">
        <v>9135</v>
      </c>
      <c r="F2" s="2188" t="s">
        <v>9136</v>
      </c>
      <c r="G2" s="2188" t="s">
        <v>9137</v>
      </c>
      <c r="H2" s="2188" t="s">
        <v>9138</v>
      </c>
      <c r="I2" s="2188" t="s">
        <v>2309</v>
      </c>
      <c r="J2" s="2188" t="s">
        <v>9139</v>
      </c>
      <c r="K2" s="2188" t="s">
        <v>9140</v>
      </c>
      <c r="L2" s="2188" t="s">
        <v>9141</v>
      </c>
      <c r="M2" s="2188" t="s">
        <v>9142</v>
      </c>
      <c r="N2" s="2188" t="s">
        <v>9143</v>
      </c>
      <c r="O2" s="2188" t="s">
        <v>9144</v>
      </c>
      <c r="P2" s="2188" t="s">
        <v>9145</v>
      </c>
      <c r="Q2" s="2189" t="s">
        <v>2312</v>
      </c>
      <c r="R2" s="2188" t="s">
        <v>9146</v>
      </c>
      <c r="S2" s="2188" t="s">
        <v>9147</v>
      </c>
      <c r="T2" s="2188" t="s">
        <v>9148</v>
      </c>
      <c r="U2" s="2188" t="s">
        <v>9149</v>
      </c>
      <c r="V2" s="2188" t="s">
        <v>9150</v>
      </c>
      <c r="W2" s="2188" t="s">
        <v>9151</v>
      </c>
      <c r="X2" s="2188" t="s">
        <v>9152</v>
      </c>
      <c r="Y2" s="2188" t="s">
        <v>9153</v>
      </c>
      <c r="Z2" s="2188" t="s">
        <v>9154</v>
      </c>
      <c r="AA2" s="2188" t="s">
        <v>9155</v>
      </c>
      <c r="AB2" s="2188" t="s">
        <v>9156</v>
      </c>
      <c r="AC2" s="2188" t="s">
        <v>9157</v>
      </c>
      <c r="AD2" s="2188" t="s">
        <v>9158</v>
      </c>
      <c r="AE2" s="2188" t="s">
        <v>9159</v>
      </c>
      <c r="AF2" s="2188" t="s">
        <v>9160</v>
      </c>
      <c r="AG2" s="2188" t="s">
        <v>9161</v>
      </c>
      <c r="AH2" s="2188" t="s">
        <v>9162</v>
      </c>
      <c r="AI2" s="2188" t="s">
        <v>9163</v>
      </c>
      <c r="AJ2" s="2188" t="s">
        <v>2928</v>
      </c>
      <c r="AK2" s="2188" t="s">
        <v>2929</v>
      </c>
      <c r="AL2" s="2188" t="s">
        <v>2930</v>
      </c>
      <c r="AM2" s="2188" t="s">
        <v>2931</v>
      </c>
      <c r="AN2" s="2188" t="s">
        <v>9163</v>
      </c>
      <c r="AO2" s="2188" t="s">
        <v>2928</v>
      </c>
      <c r="AP2" s="2188" t="s">
        <v>2929</v>
      </c>
      <c r="AQ2" s="2188" t="s">
        <v>2930</v>
      </c>
      <c r="AR2" s="2188" t="s">
        <v>2931</v>
      </c>
      <c r="AS2" s="2188" t="s">
        <v>9163</v>
      </c>
      <c r="AT2" s="2188" t="s">
        <v>2928</v>
      </c>
      <c r="AU2" s="2188" t="s">
        <v>2929</v>
      </c>
      <c r="AV2" s="2188" t="s">
        <v>2930</v>
      </c>
      <c r="AW2" s="2188" t="s">
        <v>2931</v>
      </c>
      <c r="AX2" s="2188" t="s">
        <v>9163</v>
      </c>
      <c r="AY2" s="2188" t="s">
        <v>2928</v>
      </c>
      <c r="AZ2" s="2188" t="s">
        <v>2929</v>
      </c>
      <c r="BA2" s="2188" t="s">
        <v>2930</v>
      </c>
      <c r="BB2" s="2188" t="s">
        <v>2931</v>
      </c>
      <c r="BC2" s="2188" t="s">
        <v>9163</v>
      </c>
      <c r="BD2" s="2188" t="s">
        <v>2928</v>
      </c>
      <c r="BE2" s="2188" t="s">
        <v>2929</v>
      </c>
      <c r="BF2" s="2188" t="s">
        <v>2930</v>
      </c>
      <c r="BG2" s="2188" t="s">
        <v>2931</v>
      </c>
      <c r="BH2" s="2188" t="s">
        <v>9164</v>
      </c>
      <c r="BI2" s="2188" t="s">
        <v>9164</v>
      </c>
      <c r="BJ2" s="2188" t="s">
        <v>9164</v>
      </c>
      <c r="BK2" s="2188" t="s">
        <v>9164</v>
      </c>
      <c r="BL2" s="2188" t="s">
        <v>9164</v>
      </c>
      <c r="BM2" s="2188" t="s">
        <v>9164</v>
      </c>
      <c r="BN2" s="2188" t="s">
        <v>9165</v>
      </c>
      <c r="BO2" s="2188" t="s">
        <v>9166</v>
      </c>
      <c r="BP2" s="2201" t="s">
        <v>9167</v>
      </c>
      <c r="BQ2" s="2202" t="s">
        <v>9168</v>
      </c>
      <c r="BR2" s="2202" t="s">
        <v>9169</v>
      </c>
      <c r="BS2" s="2202" t="s">
        <v>9170</v>
      </c>
      <c r="BT2" s="2202" t="s">
        <v>9171</v>
      </c>
      <c r="BU2" s="2202" t="s">
        <v>9172</v>
      </c>
      <c r="BV2" s="2202" t="s">
        <v>9173</v>
      </c>
      <c r="BW2" s="2203" t="s">
        <v>9174</v>
      </c>
      <c r="BX2" s="2203" t="s">
        <v>9175</v>
      </c>
      <c r="BY2" s="2203" t="s">
        <v>9176</v>
      </c>
      <c r="BZ2" s="2203" t="s">
        <v>9177</v>
      </c>
      <c r="CA2" s="2203" t="s">
        <v>9178</v>
      </c>
      <c r="CB2" s="2203" t="s">
        <v>9179</v>
      </c>
      <c r="CC2" s="2204" t="s">
        <v>9180</v>
      </c>
      <c r="CD2" s="2204" t="s">
        <v>9181</v>
      </c>
      <c r="CE2" s="2204" t="s">
        <v>9182</v>
      </c>
      <c r="CF2" s="2204" t="s">
        <v>9183</v>
      </c>
      <c r="CG2" s="2204" t="s">
        <v>9184</v>
      </c>
      <c r="CH2" s="2204" t="s">
        <v>9185</v>
      </c>
      <c r="CI2" s="2940" t="s">
        <v>9186</v>
      </c>
      <c r="CJ2" s="2940" t="s">
        <v>9187</v>
      </c>
      <c r="CK2" s="2940" t="s">
        <v>9188</v>
      </c>
      <c r="CL2" s="2940" t="s">
        <v>9189</v>
      </c>
      <c r="CM2" s="2940" t="s">
        <v>9190</v>
      </c>
      <c r="CN2" s="2940" t="s">
        <v>9191</v>
      </c>
      <c r="CO2" s="2205"/>
      <c r="CP2" s="2188" t="s">
        <v>2309</v>
      </c>
    </row>
    <row r="3" spans="1:94">
      <c r="A3" s="2004" t="s">
        <v>9192</v>
      </c>
      <c r="B3" s="2004" t="s">
        <v>9193</v>
      </c>
      <c r="C3" s="2004" t="s">
        <v>9085</v>
      </c>
      <c r="D3" s="2004" t="s">
        <v>1628</v>
      </c>
      <c r="E3" s="2004" t="s">
        <v>9194</v>
      </c>
      <c r="F3" s="2004" t="s">
        <v>9195</v>
      </c>
      <c r="G3" s="2004" t="s">
        <v>9196</v>
      </c>
      <c r="H3" s="2004" t="s">
        <v>9197</v>
      </c>
      <c r="I3" s="2004" t="s">
        <v>9198</v>
      </c>
      <c r="J3" s="2004" t="s">
        <v>9199</v>
      </c>
      <c r="K3" s="2004" t="s">
        <v>9200</v>
      </c>
      <c r="L3" s="2004"/>
      <c r="M3" s="2004" t="s">
        <v>2334</v>
      </c>
      <c r="N3" s="2004" t="s">
        <v>2927</v>
      </c>
      <c r="O3" s="2004" t="s">
        <v>766</v>
      </c>
      <c r="P3" s="2004" t="s">
        <v>9201</v>
      </c>
      <c r="Q3" s="516">
        <v>1</v>
      </c>
      <c r="R3" s="2004" t="s">
        <v>9202</v>
      </c>
      <c r="S3" s="2004">
        <v>189.3</v>
      </c>
      <c r="T3" s="2004">
        <v>183.9</v>
      </c>
      <c r="U3" s="2004">
        <v>178.5</v>
      </c>
      <c r="V3" s="2004">
        <v>173.1</v>
      </c>
      <c r="W3" s="2004">
        <v>167.7</v>
      </c>
      <c r="X3" s="2004">
        <v>162.19999999999999</v>
      </c>
      <c r="Y3" s="2004"/>
      <c r="Z3" s="2004"/>
      <c r="AA3" s="2004"/>
      <c r="AB3" s="2004"/>
      <c r="AC3" s="2004"/>
      <c r="AD3" s="2004"/>
      <c r="AE3" s="2004" t="s">
        <v>2337</v>
      </c>
      <c r="AF3" s="2004"/>
      <c r="AG3" s="2004"/>
      <c r="AH3" s="2004">
        <v>0</v>
      </c>
      <c r="AI3" s="2004" t="s">
        <v>2337</v>
      </c>
      <c r="AJ3" s="2004" t="s">
        <v>2337</v>
      </c>
      <c r="AK3" s="2004" t="s">
        <v>2337</v>
      </c>
      <c r="AL3" s="2004" t="s">
        <v>2337</v>
      </c>
      <c r="AM3" s="2004" t="s">
        <v>2337</v>
      </c>
      <c r="AN3" s="2004">
        <v>211.9</v>
      </c>
      <c r="AO3" s="2004">
        <v>206.5</v>
      </c>
      <c r="AP3" s="2004">
        <v>201.1</v>
      </c>
      <c r="AQ3" s="2004">
        <v>195.7</v>
      </c>
      <c r="AR3" s="2004">
        <v>190.3</v>
      </c>
      <c r="AS3" s="2004">
        <v>183.9</v>
      </c>
      <c r="AT3" s="2004">
        <v>178.5</v>
      </c>
      <c r="AU3" s="2004">
        <v>173.1</v>
      </c>
      <c r="AV3" s="2004">
        <v>167.7</v>
      </c>
      <c r="AW3" s="2004">
        <v>162.19999999999999</v>
      </c>
      <c r="AX3" s="2004">
        <v>170.2</v>
      </c>
      <c r="AY3" s="2004">
        <v>170.2</v>
      </c>
      <c r="AZ3" s="2004">
        <v>170.2</v>
      </c>
      <c r="BA3" s="2004">
        <v>167.7</v>
      </c>
      <c r="BB3" s="2004">
        <v>162.19999999999999</v>
      </c>
      <c r="BC3" s="2004">
        <v>155.9</v>
      </c>
      <c r="BD3" s="2004">
        <v>150.5</v>
      </c>
      <c r="BE3" s="2004">
        <v>145.1</v>
      </c>
      <c r="BF3" s="2004">
        <v>139.69999999999999</v>
      </c>
      <c r="BG3" s="2004">
        <v>134.30000000000001</v>
      </c>
      <c r="BH3" s="2004">
        <v>0.249</v>
      </c>
      <c r="BI3" s="2004"/>
      <c r="BJ3" s="2004"/>
      <c r="BK3" s="2004"/>
      <c r="BL3" s="2004">
        <v>8.4000000000000005E-2</v>
      </c>
      <c r="BM3" s="2004">
        <v>0.126</v>
      </c>
      <c r="BN3" s="2004">
        <v>1</v>
      </c>
      <c r="BO3" s="2004" t="s">
        <v>9203</v>
      </c>
      <c r="BP3" s="516">
        <v>183.49</v>
      </c>
      <c r="BQ3" s="686">
        <v>180.89</v>
      </c>
      <c r="BR3" s="2004" t="s">
        <v>2337</v>
      </c>
      <c r="BS3" s="2004" t="s">
        <v>9204</v>
      </c>
      <c r="BT3" s="2004">
        <v>0</v>
      </c>
      <c r="BU3" s="2004" t="s">
        <v>9074</v>
      </c>
      <c r="BV3" s="2004">
        <v>0</v>
      </c>
      <c r="BW3" s="2004">
        <v>172.99</v>
      </c>
      <c r="BX3" s="2004" t="s">
        <v>2337</v>
      </c>
      <c r="BY3" s="2004">
        <v>0</v>
      </c>
      <c r="BZ3" s="2004">
        <v>0</v>
      </c>
      <c r="CA3" s="2004" t="s">
        <v>9074</v>
      </c>
      <c r="CB3" s="2004">
        <v>0</v>
      </c>
      <c r="CC3" s="2004">
        <v>172.67</v>
      </c>
      <c r="CD3" s="2004" t="s">
        <v>2337</v>
      </c>
      <c r="CE3" s="2004">
        <v>0</v>
      </c>
      <c r="CF3" s="2004">
        <v>0</v>
      </c>
      <c r="CG3" s="2004">
        <v>0</v>
      </c>
      <c r="CH3" s="2004">
        <v>0</v>
      </c>
      <c r="CI3" s="2004">
        <v>196.1</v>
      </c>
      <c r="CJ3" s="2004" t="s">
        <v>2334</v>
      </c>
      <c r="CK3" s="2004">
        <v>0</v>
      </c>
      <c r="CL3" s="2004">
        <v>0</v>
      </c>
      <c r="CM3" s="2004" t="s">
        <v>2336</v>
      </c>
      <c r="CN3" s="2004">
        <v>-6.9720000000000004</v>
      </c>
      <c r="CP3" s="2004" t="s">
        <v>9205</v>
      </c>
    </row>
    <row r="4" spans="1:94">
      <c r="A4" s="2004" t="s">
        <v>9192</v>
      </c>
      <c r="B4" s="2004" t="s">
        <v>9206</v>
      </c>
      <c r="C4" s="2004" t="s">
        <v>9085</v>
      </c>
      <c r="D4" s="2004" t="s">
        <v>1628</v>
      </c>
      <c r="E4" s="2004" t="s">
        <v>9194</v>
      </c>
      <c r="F4" s="2004" t="s">
        <v>9195</v>
      </c>
      <c r="G4" s="2004" t="s">
        <v>9207</v>
      </c>
      <c r="H4" s="2004" t="s">
        <v>9208</v>
      </c>
      <c r="I4" s="2004" t="s">
        <v>9209</v>
      </c>
      <c r="J4" s="2004" t="s">
        <v>9210</v>
      </c>
      <c r="K4" s="2004" t="s">
        <v>9200</v>
      </c>
      <c r="L4" s="2004"/>
      <c r="M4" s="2004" t="s">
        <v>2334</v>
      </c>
      <c r="N4" s="2004" t="s">
        <v>9211</v>
      </c>
      <c r="O4" s="2004" t="s">
        <v>766</v>
      </c>
      <c r="P4" s="2004" t="s">
        <v>9212</v>
      </c>
      <c r="Q4" s="516">
        <v>1</v>
      </c>
      <c r="R4" s="2004" t="s">
        <v>9202</v>
      </c>
      <c r="S4" s="2004">
        <v>158.4</v>
      </c>
      <c r="T4" s="2004">
        <v>156.30000000000001</v>
      </c>
      <c r="U4" s="2004">
        <v>155.6</v>
      </c>
      <c r="V4" s="2004">
        <v>153.30000000000001</v>
      </c>
      <c r="W4" s="2004">
        <v>150.30000000000001</v>
      </c>
      <c r="X4" s="2004">
        <v>147.4</v>
      </c>
      <c r="Y4" s="2004"/>
      <c r="Z4" s="2004"/>
      <c r="AA4" s="2004"/>
      <c r="AB4" s="2004"/>
      <c r="AC4" s="2004"/>
      <c r="AD4" s="2004"/>
      <c r="AE4" s="2004"/>
      <c r="AF4" s="2004"/>
      <c r="AG4" s="2004"/>
      <c r="AH4" s="2004">
        <v>0</v>
      </c>
      <c r="AI4" s="2004"/>
      <c r="AJ4" s="2004"/>
      <c r="AK4" s="2004" t="s">
        <v>2337</v>
      </c>
      <c r="AL4" s="2004"/>
      <c r="AM4" s="2004" t="s">
        <v>2337</v>
      </c>
      <c r="AN4" s="2004"/>
      <c r="AO4" s="2004"/>
      <c r="AP4" s="2004"/>
      <c r="AQ4" s="2004"/>
      <c r="AR4" s="2004"/>
      <c r="AS4" s="2004"/>
      <c r="AT4" s="2004"/>
      <c r="AU4" s="2004"/>
      <c r="AV4" s="2004"/>
      <c r="AW4" s="2004"/>
      <c r="AX4" s="2004"/>
      <c r="AY4" s="2004"/>
      <c r="AZ4" s="2004"/>
      <c r="BA4" s="2004"/>
      <c r="BB4" s="2004"/>
      <c r="BC4" s="2004"/>
      <c r="BD4" s="2004"/>
      <c r="BE4" s="2004"/>
      <c r="BF4" s="2004"/>
      <c r="BG4" s="2004"/>
      <c r="BH4" s="2004">
        <v>0.75</v>
      </c>
      <c r="BI4" s="2004">
        <v>1.75</v>
      </c>
      <c r="BJ4" s="2004"/>
      <c r="BK4" s="2004"/>
      <c r="BL4" s="2004"/>
      <c r="BM4" s="2004"/>
      <c r="BN4" s="2004">
        <v>1</v>
      </c>
      <c r="BO4" s="2004" t="s">
        <v>9203</v>
      </c>
      <c r="BP4" s="516">
        <v>154.9</v>
      </c>
      <c r="BQ4" s="686">
        <v>154.4</v>
      </c>
      <c r="BR4" s="2004" t="s">
        <v>2337</v>
      </c>
      <c r="BS4" s="2004" t="s">
        <v>9204</v>
      </c>
      <c r="BT4" s="2004">
        <v>0</v>
      </c>
      <c r="BU4" s="2004" t="s">
        <v>9204</v>
      </c>
      <c r="BV4" s="2004">
        <v>0</v>
      </c>
      <c r="BW4" s="2004">
        <v>159.69</v>
      </c>
      <c r="BX4" s="2004" t="s">
        <v>2334</v>
      </c>
      <c r="BY4" s="2004">
        <v>0</v>
      </c>
      <c r="BZ4" s="2004">
        <v>0</v>
      </c>
      <c r="CA4" s="2004">
        <v>0</v>
      </c>
      <c r="CB4" s="2004">
        <v>0</v>
      </c>
      <c r="CC4" s="2004">
        <v>151.68543751188128</v>
      </c>
      <c r="CD4" s="2004" t="s">
        <v>2337</v>
      </c>
      <c r="CE4" s="2004">
        <v>0</v>
      </c>
      <c r="CF4" s="2004">
        <v>0</v>
      </c>
      <c r="CG4" s="2004">
        <v>0</v>
      </c>
      <c r="CH4" s="2004">
        <v>0</v>
      </c>
      <c r="CI4" s="2004">
        <v>149.19999999999999</v>
      </c>
      <c r="CJ4" s="2004" t="s">
        <v>2337</v>
      </c>
      <c r="CK4" s="2004">
        <v>0</v>
      </c>
      <c r="CL4" s="2004">
        <v>0</v>
      </c>
      <c r="CM4" s="2004">
        <v>0</v>
      </c>
      <c r="CN4" s="2004">
        <v>0</v>
      </c>
      <c r="CP4" s="2004" t="s">
        <v>9213</v>
      </c>
    </row>
    <row r="5" spans="1:94">
      <c r="A5" s="2004" t="s">
        <v>9192</v>
      </c>
      <c r="B5" s="2004" t="s">
        <v>9214</v>
      </c>
      <c r="C5" s="2004" t="s">
        <v>9085</v>
      </c>
      <c r="D5" s="2004" t="s">
        <v>1628</v>
      </c>
      <c r="E5" s="2004" t="s">
        <v>9194</v>
      </c>
      <c r="F5" s="2004" t="s">
        <v>9195</v>
      </c>
      <c r="G5" s="2004" t="s">
        <v>9215</v>
      </c>
      <c r="H5" s="2004" t="s">
        <v>9216</v>
      </c>
      <c r="I5" s="2004" t="s">
        <v>9217</v>
      </c>
      <c r="J5" s="2004" t="s">
        <v>9210</v>
      </c>
      <c r="K5" s="2004" t="s">
        <v>9200</v>
      </c>
      <c r="L5" s="2004"/>
      <c r="M5" s="2004" t="s">
        <v>2334</v>
      </c>
      <c r="N5" s="2004" t="s">
        <v>9218</v>
      </c>
      <c r="O5" s="2004" t="s">
        <v>766</v>
      </c>
      <c r="P5" s="2004" t="s">
        <v>9201</v>
      </c>
      <c r="Q5" s="516">
        <v>1</v>
      </c>
      <c r="R5" s="2004" t="s">
        <v>9202</v>
      </c>
      <c r="S5" s="2004">
        <v>1114.7</v>
      </c>
      <c r="T5" s="2004">
        <v>1110.4000000000001</v>
      </c>
      <c r="U5" s="2004">
        <v>1103.5</v>
      </c>
      <c r="V5" s="2004">
        <v>1100.8</v>
      </c>
      <c r="W5" s="2004">
        <v>1068.0999999999999</v>
      </c>
      <c r="X5" s="2004">
        <v>1067</v>
      </c>
      <c r="Y5" s="2004"/>
      <c r="Z5" s="2004"/>
      <c r="AA5" s="2004"/>
      <c r="AB5" s="2004"/>
      <c r="AC5" s="2004"/>
      <c r="AD5" s="2004"/>
      <c r="AE5" s="2004"/>
      <c r="AF5" s="2004"/>
      <c r="AG5" s="2004"/>
      <c r="AH5" s="2004">
        <v>0</v>
      </c>
      <c r="AI5" s="2004"/>
      <c r="AJ5" s="2004"/>
      <c r="AK5" s="2004" t="s">
        <v>2337</v>
      </c>
      <c r="AL5" s="2004"/>
      <c r="AM5" s="2004" t="s">
        <v>2337</v>
      </c>
      <c r="AN5" s="2004"/>
      <c r="AO5" s="2004"/>
      <c r="AP5" s="2004"/>
      <c r="AQ5" s="2004"/>
      <c r="AR5" s="2004"/>
      <c r="AS5" s="2004"/>
      <c r="AT5" s="2004"/>
      <c r="AU5" s="2004"/>
      <c r="AV5" s="2004"/>
      <c r="AW5" s="2004"/>
      <c r="AX5" s="2004"/>
      <c r="AY5" s="2004"/>
      <c r="AZ5" s="2004"/>
      <c r="BA5" s="2004"/>
      <c r="BB5" s="2004"/>
      <c r="BC5" s="2004"/>
      <c r="BD5" s="2004"/>
      <c r="BE5" s="2004"/>
      <c r="BF5" s="2004"/>
      <c r="BG5" s="2004"/>
      <c r="BH5" s="2004">
        <v>0.59</v>
      </c>
      <c r="BI5" s="2004">
        <v>1.91</v>
      </c>
      <c r="BJ5" s="2004"/>
      <c r="BK5" s="2004"/>
      <c r="BL5" s="2004"/>
      <c r="BM5" s="2004"/>
      <c r="BN5" s="2004">
        <v>1</v>
      </c>
      <c r="BO5" s="2004" t="s">
        <v>9203</v>
      </c>
      <c r="BP5" s="516">
        <v>1151.93</v>
      </c>
      <c r="BQ5" s="686">
        <v>1139.08</v>
      </c>
      <c r="BR5" s="2004" t="s">
        <v>2337</v>
      </c>
      <c r="BS5" s="2004" t="s">
        <v>9204</v>
      </c>
      <c r="BT5" s="2004">
        <v>0</v>
      </c>
      <c r="BU5" s="2004" t="s">
        <v>9204</v>
      </c>
      <c r="BV5" s="2004">
        <v>0</v>
      </c>
      <c r="BW5" s="2004">
        <v>1153.02</v>
      </c>
      <c r="BX5" s="2004" t="s">
        <v>2337</v>
      </c>
      <c r="BY5" s="2004">
        <v>0</v>
      </c>
      <c r="BZ5" s="2004">
        <v>0</v>
      </c>
      <c r="CA5" s="2004">
        <v>0</v>
      </c>
      <c r="CB5" s="2004">
        <v>0</v>
      </c>
      <c r="CC5" s="2004">
        <v>1135.5530304347826</v>
      </c>
      <c r="CD5" s="2004" t="s">
        <v>2337</v>
      </c>
      <c r="CE5" s="2004">
        <v>0</v>
      </c>
      <c r="CF5" s="2004">
        <v>0</v>
      </c>
      <c r="CG5" s="2004">
        <v>0</v>
      </c>
      <c r="CH5" s="2004">
        <v>0</v>
      </c>
      <c r="CI5" s="2004">
        <v>1105.3</v>
      </c>
      <c r="CJ5" s="2004" t="s">
        <v>2337</v>
      </c>
      <c r="CK5" s="2004">
        <v>0</v>
      </c>
      <c r="CL5" s="2004">
        <v>0</v>
      </c>
      <c r="CM5" s="2004">
        <v>0</v>
      </c>
      <c r="CN5" s="2004">
        <v>0</v>
      </c>
      <c r="CP5" s="2004" t="s">
        <v>9219</v>
      </c>
    </row>
    <row r="6" spans="1:94">
      <c r="A6" s="2004" t="s">
        <v>9192</v>
      </c>
      <c r="B6" s="2004" t="s">
        <v>9220</v>
      </c>
      <c r="C6" s="2004" t="s">
        <v>9085</v>
      </c>
      <c r="D6" s="2004" t="s">
        <v>1628</v>
      </c>
      <c r="E6" s="2004" t="s">
        <v>9194</v>
      </c>
      <c r="F6" s="2004" t="s">
        <v>9195</v>
      </c>
      <c r="G6" s="2004" t="s">
        <v>9221</v>
      </c>
      <c r="H6" s="2004" t="s">
        <v>9222</v>
      </c>
      <c r="I6" s="2004" t="s">
        <v>9223</v>
      </c>
      <c r="J6" s="2004" t="s">
        <v>9199</v>
      </c>
      <c r="K6" s="2004" t="s">
        <v>9200</v>
      </c>
      <c r="L6" s="2004"/>
      <c r="M6" s="2004"/>
      <c r="N6" s="2004" t="s">
        <v>9224</v>
      </c>
      <c r="O6" s="2004" t="s">
        <v>766</v>
      </c>
      <c r="P6" s="2004" t="s">
        <v>9201</v>
      </c>
      <c r="Q6" s="516">
        <v>1</v>
      </c>
      <c r="R6" s="2004" t="s">
        <v>9202</v>
      </c>
      <c r="S6" s="2004">
        <v>0</v>
      </c>
      <c r="T6" s="2004">
        <v>-6.7</v>
      </c>
      <c r="U6" s="2004">
        <v>-12.5</v>
      </c>
      <c r="V6" s="2004">
        <v>-14.1</v>
      </c>
      <c r="W6" s="2004">
        <v>-42.1</v>
      </c>
      <c r="X6" s="2004">
        <v>-42.1</v>
      </c>
      <c r="Y6" s="2004"/>
      <c r="Z6" s="2004"/>
      <c r="AA6" s="2004"/>
      <c r="AB6" s="2004"/>
      <c r="AC6" s="2004"/>
      <c r="AD6" s="2004"/>
      <c r="AE6" s="2004"/>
      <c r="AF6" s="2004" t="s">
        <v>2337</v>
      </c>
      <c r="AG6" s="2004"/>
      <c r="AH6" s="2004">
        <v>0</v>
      </c>
      <c r="AI6" s="2004" t="s">
        <v>2337</v>
      </c>
      <c r="AJ6" s="2004" t="s">
        <v>2337</v>
      </c>
      <c r="AK6" s="2004" t="s">
        <v>2337</v>
      </c>
      <c r="AL6" s="2004" t="s">
        <v>2337</v>
      </c>
      <c r="AM6" s="2004" t="s">
        <v>2337</v>
      </c>
      <c r="AN6" s="2004">
        <v>0</v>
      </c>
      <c r="AO6" s="2004">
        <v>0</v>
      </c>
      <c r="AP6" s="2004">
        <v>0</v>
      </c>
      <c r="AQ6" s="2004">
        <v>0</v>
      </c>
      <c r="AR6" s="2004">
        <v>0</v>
      </c>
      <c r="AS6" s="2004">
        <v>-6.7</v>
      </c>
      <c r="AT6" s="2004">
        <v>-12.5</v>
      </c>
      <c r="AU6" s="2004">
        <v>-14.1</v>
      </c>
      <c r="AV6" s="2004">
        <v>-42.1</v>
      </c>
      <c r="AW6" s="2004">
        <v>-42.1</v>
      </c>
      <c r="AX6" s="2004">
        <v>-6.7</v>
      </c>
      <c r="AY6" s="2004">
        <v>-12.5</v>
      </c>
      <c r="AZ6" s="2004">
        <v>-14.1</v>
      </c>
      <c r="BA6" s="2004">
        <v>-42.1</v>
      </c>
      <c r="BB6" s="2004">
        <v>-42.1</v>
      </c>
      <c r="BC6" s="2004">
        <v>-6.7</v>
      </c>
      <c r="BD6" s="2004">
        <v>-15.5</v>
      </c>
      <c r="BE6" s="2004">
        <v>-35.700000000000003</v>
      </c>
      <c r="BF6" s="2004">
        <v>-42.1</v>
      </c>
      <c r="BG6" s="2004">
        <v>-42.1</v>
      </c>
      <c r="BH6" s="2004">
        <v>6.8000000000000005E-2</v>
      </c>
      <c r="BI6" s="2004"/>
      <c r="BJ6" s="2004"/>
      <c r="BK6" s="2004"/>
      <c r="BL6" s="2004">
        <v>6.8000000000000005E-2</v>
      </c>
      <c r="BM6" s="2004"/>
      <c r="BN6" s="2004">
        <v>1</v>
      </c>
      <c r="BO6" s="2004" t="s">
        <v>9203</v>
      </c>
      <c r="BP6" s="516">
        <v>0</v>
      </c>
      <c r="BQ6" s="686">
        <v>-6.7</v>
      </c>
      <c r="BR6" s="2004" t="s">
        <v>2337</v>
      </c>
      <c r="BS6" s="2004" t="s">
        <v>9204</v>
      </c>
      <c r="BT6" s="2004">
        <v>0</v>
      </c>
      <c r="BU6" s="2004" t="s">
        <v>9204</v>
      </c>
      <c r="BV6" s="2004">
        <v>0</v>
      </c>
      <c r="BW6" s="2004">
        <v>-12.5</v>
      </c>
      <c r="BX6" s="2004" t="s">
        <v>2337</v>
      </c>
      <c r="BY6" s="2004">
        <v>0</v>
      </c>
      <c r="BZ6" s="2004">
        <v>0</v>
      </c>
      <c r="CA6" s="2004">
        <v>0</v>
      </c>
      <c r="CB6" s="2004">
        <v>0</v>
      </c>
      <c r="CC6" s="2004">
        <v>-32.700000000000003</v>
      </c>
      <c r="CD6" s="2004" t="s">
        <v>2337</v>
      </c>
      <c r="CE6" s="2004">
        <v>0</v>
      </c>
      <c r="CF6" s="2004">
        <v>0</v>
      </c>
      <c r="CG6" s="2004" t="s">
        <v>2339</v>
      </c>
      <c r="CH6" s="2004">
        <v>1.2648000000000001</v>
      </c>
      <c r="CI6" s="2004">
        <v>-42.1</v>
      </c>
      <c r="CJ6" s="2004" t="s">
        <v>2337</v>
      </c>
      <c r="CK6" s="2004">
        <v>0</v>
      </c>
      <c r="CL6" s="2004">
        <v>0</v>
      </c>
      <c r="CM6" s="2004">
        <v>0</v>
      </c>
      <c r="CN6" s="2004">
        <v>0</v>
      </c>
      <c r="CP6" s="2004" t="s">
        <v>9225</v>
      </c>
    </row>
    <row r="7" spans="1:94">
      <c r="A7" s="2004" t="s">
        <v>9192</v>
      </c>
      <c r="B7" s="2004" t="s">
        <v>9226</v>
      </c>
      <c r="C7" s="2004" t="s">
        <v>9085</v>
      </c>
      <c r="D7" s="2004" t="s">
        <v>1628</v>
      </c>
      <c r="E7" s="2004" t="s">
        <v>9194</v>
      </c>
      <c r="F7" s="2004" t="s">
        <v>9195</v>
      </c>
      <c r="G7" s="2004" t="s">
        <v>9227</v>
      </c>
      <c r="H7" s="2004" t="s">
        <v>9228</v>
      </c>
      <c r="I7" s="2004" t="s">
        <v>9229</v>
      </c>
      <c r="J7" s="2004" t="s">
        <v>9230</v>
      </c>
      <c r="K7" s="2004"/>
      <c r="L7" s="2004"/>
      <c r="M7" s="2004"/>
      <c r="N7" s="2004" t="s">
        <v>9224</v>
      </c>
      <c r="O7" s="2004" t="s">
        <v>9231</v>
      </c>
      <c r="P7" s="2004" t="s">
        <v>9231</v>
      </c>
      <c r="Q7" s="516" t="s">
        <v>9231</v>
      </c>
      <c r="R7" s="2004"/>
      <c r="S7" s="2004" t="s">
        <v>9231</v>
      </c>
      <c r="T7" s="2004" t="s">
        <v>9231</v>
      </c>
      <c r="U7" s="2004" t="s">
        <v>9231</v>
      </c>
      <c r="V7" s="2004" t="s">
        <v>9231</v>
      </c>
      <c r="W7" s="2004" t="s">
        <v>9231</v>
      </c>
      <c r="X7" s="2004" t="s">
        <v>9231</v>
      </c>
      <c r="Y7" s="2004"/>
      <c r="Z7" s="2004"/>
      <c r="AA7" s="2004"/>
      <c r="AB7" s="2004"/>
      <c r="AC7" s="2004"/>
      <c r="AD7" s="2004"/>
      <c r="AE7" s="2004"/>
      <c r="AF7" s="2004"/>
      <c r="AG7" s="2004" t="s">
        <v>2337</v>
      </c>
      <c r="AH7" s="2004">
        <v>0</v>
      </c>
      <c r="AI7" s="2004"/>
      <c r="AJ7" s="2004"/>
      <c r="AK7" s="2004"/>
      <c r="AL7" s="2004"/>
      <c r="AM7" s="2004"/>
      <c r="AN7" s="2004"/>
      <c r="AO7" s="2004"/>
      <c r="AP7" s="2004"/>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516" t="s">
        <v>9204</v>
      </c>
      <c r="BQ7" s="687" t="s">
        <v>9204</v>
      </c>
      <c r="BR7" s="2004" t="s">
        <v>9204</v>
      </c>
      <c r="BS7" s="2004" t="s">
        <v>9204</v>
      </c>
      <c r="BT7" s="2004">
        <v>0</v>
      </c>
      <c r="BU7" s="2004" t="s">
        <v>9204</v>
      </c>
      <c r="BV7" s="2004">
        <v>0</v>
      </c>
      <c r="BW7" s="2004">
        <v>-2.5499999999999998</v>
      </c>
      <c r="BX7" s="2004" t="s">
        <v>2335</v>
      </c>
      <c r="BY7" s="2004">
        <v>0</v>
      </c>
      <c r="BZ7" s="2004">
        <v>0</v>
      </c>
      <c r="CA7" s="2004">
        <v>0</v>
      </c>
      <c r="CB7" s="2004">
        <v>0</v>
      </c>
      <c r="CC7" s="2004">
        <v>-5.1060000000000008</v>
      </c>
      <c r="CD7" s="2004" t="s">
        <v>2335</v>
      </c>
      <c r="CE7" s="2004">
        <v>0</v>
      </c>
      <c r="CF7" s="2004">
        <v>0</v>
      </c>
      <c r="CG7" s="2004">
        <v>0</v>
      </c>
      <c r="CH7" s="2004">
        <v>0</v>
      </c>
      <c r="CI7" s="2004">
        <v>-4.1500000000000004</v>
      </c>
      <c r="CJ7" s="2004" t="s">
        <v>2335</v>
      </c>
      <c r="CK7" s="2004">
        <v>0</v>
      </c>
      <c r="CL7" s="2004">
        <v>0</v>
      </c>
      <c r="CM7" s="2004">
        <v>0</v>
      </c>
      <c r="CN7" s="2004">
        <v>0</v>
      </c>
      <c r="CP7" s="2004" t="s">
        <v>9232</v>
      </c>
    </row>
    <row r="8" spans="1:94">
      <c r="A8" s="2004" t="s">
        <v>9192</v>
      </c>
      <c r="B8" s="2004" t="s">
        <v>9233</v>
      </c>
      <c r="C8" s="2004" t="s">
        <v>9085</v>
      </c>
      <c r="D8" s="2004" t="s">
        <v>1628</v>
      </c>
      <c r="E8" s="2004" t="s">
        <v>9194</v>
      </c>
      <c r="F8" s="2004" t="s">
        <v>9234</v>
      </c>
      <c r="G8" s="2004" t="s">
        <v>9235</v>
      </c>
      <c r="H8" s="2004" t="s">
        <v>9236</v>
      </c>
      <c r="I8" s="2004" t="s">
        <v>9237</v>
      </c>
      <c r="J8" s="2004" t="s">
        <v>9210</v>
      </c>
      <c r="K8" s="2004" t="s">
        <v>9200</v>
      </c>
      <c r="L8" s="2004"/>
      <c r="M8" s="2004" t="s">
        <v>2334</v>
      </c>
      <c r="N8" s="2004" t="s">
        <v>9238</v>
      </c>
      <c r="O8" s="2004" t="s">
        <v>734</v>
      </c>
      <c r="P8" s="2004" t="s">
        <v>9239</v>
      </c>
      <c r="Q8" s="516">
        <v>2</v>
      </c>
      <c r="R8" s="2004" t="s">
        <v>9240</v>
      </c>
      <c r="S8" s="2004">
        <v>99.95</v>
      </c>
      <c r="T8" s="2004">
        <v>99.95</v>
      </c>
      <c r="U8" s="2004">
        <v>99.95</v>
      </c>
      <c r="V8" s="2004">
        <v>99.95</v>
      </c>
      <c r="W8" s="2004">
        <v>99.95</v>
      </c>
      <c r="X8" s="2004">
        <v>99.95</v>
      </c>
      <c r="Y8" s="2004" t="s">
        <v>2337</v>
      </c>
      <c r="Z8" s="2004"/>
      <c r="AA8" s="2004"/>
      <c r="AB8" s="2004"/>
      <c r="AC8" s="2004"/>
      <c r="AD8" s="2004"/>
      <c r="AE8" s="2004" t="s">
        <v>2337</v>
      </c>
      <c r="AF8" s="2004"/>
      <c r="AG8" s="2004"/>
      <c r="AH8" s="2004">
        <v>0</v>
      </c>
      <c r="AI8" s="2004" t="s">
        <v>2337</v>
      </c>
      <c r="AJ8" s="2004" t="s">
        <v>2337</v>
      </c>
      <c r="AK8" s="2004" t="s">
        <v>2337</v>
      </c>
      <c r="AL8" s="2004" t="s">
        <v>2337</v>
      </c>
      <c r="AM8" s="2004" t="s">
        <v>2337</v>
      </c>
      <c r="AN8" s="2004"/>
      <c r="AO8" s="2004"/>
      <c r="AP8" s="2004"/>
      <c r="AQ8" s="2004"/>
      <c r="AR8" s="2004"/>
      <c r="AS8" s="2004"/>
      <c r="AT8" s="2004"/>
      <c r="AU8" s="2004"/>
      <c r="AV8" s="2004"/>
      <c r="AW8" s="2004"/>
      <c r="AX8" s="2004"/>
      <c r="AY8" s="2004"/>
      <c r="AZ8" s="2004"/>
      <c r="BA8" s="2004"/>
      <c r="BB8" s="2004"/>
      <c r="BC8" s="2004"/>
      <c r="BD8" s="2004"/>
      <c r="BE8" s="2004"/>
      <c r="BF8" s="2004"/>
      <c r="BG8" s="2004"/>
      <c r="BH8" s="2004">
        <v>0.72</v>
      </c>
      <c r="BI8" s="2004"/>
      <c r="BJ8" s="2004"/>
      <c r="BK8" s="2004"/>
      <c r="BL8" s="2004"/>
      <c r="BM8" s="2004"/>
      <c r="BN8" s="2004">
        <v>1</v>
      </c>
      <c r="BO8" s="2004" t="s">
        <v>9203</v>
      </c>
      <c r="BP8" s="516">
        <v>99.97</v>
      </c>
      <c r="BQ8" s="688">
        <v>99.99</v>
      </c>
      <c r="BR8" s="2004" t="s">
        <v>2337</v>
      </c>
      <c r="BS8" s="2004" t="s">
        <v>9204</v>
      </c>
      <c r="BT8" s="2004">
        <v>0</v>
      </c>
      <c r="BU8" s="2004" t="s">
        <v>9204</v>
      </c>
      <c r="BV8" s="2004">
        <v>0</v>
      </c>
      <c r="BW8" s="2004">
        <v>99.96</v>
      </c>
      <c r="BX8" s="2004" t="s">
        <v>2337</v>
      </c>
      <c r="BY8" s="2004">
        <v>0</v>
      </c>
      <c r="BZ8" s="2004">
        <v>0</v>
      </c>
      <c r="CA8" s="2004">
        <v>0</v>
      </c>
      <c r="CB8" s="2004">
        <v>0</v>
      </c>
      <c r="CC8" s="2004">
        <v>99.96</v>
      </c>
      <c r="CD8" s="2004" t="s">
        <v>2337</v>
      </c>
      <c r="CE8" s="2004">
        <v>0</v>
      </c>
      <c r="CF8" s="2004">
        <v>0</v>
      </c>
      <c r="CG8" s="2004">
        <v>0</v>
      </c>
      <c r="CH8" s="2004">
        <v>0</v>
      </c>
      <c r="CI8" s="2004">
        <v>99.96</v>
      </c>
      <c r="CJ8" s="2004" t="s">
        <v>2337</v>
      </c>
      <c r="CK8" s="2004">
        <v>0</v>
      </c>
      <c r="CL8" s="2004">
        <v>0</v>
      </c>
      <c r="CM8" s="2004">
        <v>0</v>
      </c>
      <c r="CN8" s="2004">
        <v>0</v>
      </c>
      <c r="CP8" s="2004" t="s">
        <v>9241</v>
      </c>
    </row>
    <row r="9" spans="1:94">
      <c r="A9" s="2004" t="s">
        <v>9192</v>
      </c>
      <c r="B9" s="2004" t="s">
        <v>9242</v>
      </c>
      <c r="C9" s="2004" t="s">
        <v>9085</v>
      </c>
      <c r="D9" s="2004" t="s">
        <v>1628</v>
      </c>
      <c r="E9" s="2004" t="s">
        <v>9194</v>
      </c>
      <c r="F9" s="2004" t="s">
        <v>9234</v>
      </c>
      <c r="G9" s="2004" t="s">
        <v>9243</v>
      </c>
      <c r="H9" s="2004" t="s">
        <v>9244</v>
      </c>
      <c r="I9" s="2004" t="s">
        <v>9245</v>
      </c>
      <c r="J9" s="2004" t="s">
        <v>9210</v>
      </c>
      <c r="K9" s="2004" t="s">
        <v>9200</v>
      </c>
      <c r="L9" s="2004"/>
      <c r="M9" s="2004"/>
      <c r="N9" s="2004" t="s">
        <v>9154</v>
      </c>
      <c r="O9" s="2004" t="s">
        <v>766</v>
      </c>
      <c r="P9" s="2004" t="s">
        <v>9246</v>
      </c>
      <c r="Q9" s="516">
        <v>2</v>
      </c>
      <c r="R9" s="2004" t="s">
        <v>9202</v>
      </c>
      <c r="S9" s="2004">
        <v>0.66</v>
      </c>
      <c r="T9" s="2004">
        <v>0.66</v>
      </c>
      <c r="U9" s="2004">
        <v>0.66</v>
      </c>
      <c r="V9" s="2004">
        <v>0.66</v>
      </c>
      <c r="W9" s="2004">
        <v>0.66</v>
      </c>
      <c r="X9" s="2004">
        <v>0.66</v>
      </c>
      <c r="Y9" s="2004"/>
      <c r="Z9" s="2004" t="s">
        <v>2337</v>
      </c>
      <c r="AA9" s="2004"/>
      <c r="AB9" s="2004"/>
      <c r="AC9" s="2004"/>
      <c r="AD9" s="2004"/>
      <c r="AE9" s="2004" t="s">
        <v>2337</v>
      </c>
      <c r="AF9" s="2004"/>
      <c r="AG9" s="2004"/>
      <c r="AH9" s="2004">
        <v>0</v>
      </c>
      <c r="AI9" s="2004" t="s">
        <v>2337</v>
      </c>
      <c r="AJ9" s="2004" t="s">
        <v>2337</v>
      </c>
      <c r="AK9" s="2004" t="s">
        <v>2337</v>
      </c>
      <c r="AL9" s="2004" t="s">
        <v>2337</v>
      </c>
      <c r="AM9" s="2004" t="s">
        <v>2337</v>
      </c>
      <c r="AN9" s="2004">
        <v>1.3</v>
      </c>
      <c r="AO9" s="2004">
        <v>1.3</v>
      </c>
      <c r="AP9" s="2004">
        <v>1.3</v>
      </c>
      <c r="AQ9" s="2004">
        <v>1.3</v>
      </c>
      <c r="AR9" s="2004">
        <v>1.3</v>
      </c>
      <c r="AS9" s="2004">
        <v>0.66</v>
      </c>
      <c r="AT9" s="2004">
        <v>0.66</v>
      </c>
      <c r="AU9" s="2004">
        <v>0.66</v>
      </c>
      <c r="AV9" s="2004">
        <v>0.66</v>
      </c>
      <c r="AW9" s="2004">
        <v>0.66</v>
      </c>
      <c r="AX9" s="2004"/>
      <c r="AY9" s="2004"/>
      <c r="AZ9" s="2004"/>
      <c r="BA9" s="2004"/>
      <c r="BB9" s="2004"/>
      <c r="BC9" s="2004"/>
      <c r="BD9" s="2004"/>
      <c r="BE9" s="2004"/>
      <c r="BF9" s="2004"/>
      <c r="BG9" s="2004"/>
      <c r="BH9" s="2004">
        <v>0.438</v>
      </c>
      <c r="BI9" s="2004"/>
      <c r="BJ9" s="2004"/>
      <c r="BK9" s="2004"/>
      <c r="BL9" s="2004"/>
      <c r="BM9" s="2004"/>
      <c r="BN9" s="2004">
        <v>1</v>
      </c>
      <c r="BO9" s="2004" t="s">
        <v>9203</v>
      </c>
      <c r="BP9" s="516">
        <v>0.34</v>
      </c>
      <c r="BQ9" s="688">
        <v>0.31</v>
      </c>
      <c r="BR9" s="2004" t="s">
        <v>2337</v>
      </c>
      <c r="BS9" s="2004" t="s">
        <v>9204</v>
      </c>
      <c r="BT9" s="2004">
        <v>0</v>
      </c>
      <c r="BU9" s="2004" t="s">
        <v>9204</v>
      </c>
      <c r="BV9" s="2004">
        <v>0</v>
      </c>
      <c r="BW9" s="2004">
        <v>0.28000000000000003</v>
      </c>
      <c r="BX9" s="2004" t="s">
        <v>2337</v>
      </c>
      <c r="BY9" s="2004">
        <v>0</v>
      </c>
      <c r="BZ9" s="2004">
        <v>0</v>
      </c>
      <c r="CA9" s="2004">
        <v>0</v>
      </c>
      <c r="CB9" s="2004">
        <v>0</v>
      </c>
      <c r="CC9" s="2004">
        <v>0.27</v>
      </c>
      <c r="CD9" s="2004" t="s">
        <v>2337</v>
      </c>
      <c r="CE9" s="2004">
        <v>0</v>
      </c>
      <c r="CF9" s="2004">
        <v>0</v>
      </c>
      <c r="CG9" s="2004">
        <v>0</v>
      </c>
      <c r="CH9" s="2004">
        <v>0</v>
      </c>
      <c r="CI9" s="2004">
        <v>0.23</v>
      </c>
      <c r="CJ9" s="2004" t="s">
        <v>2337</v>
      </c>
      <c r="CK9" s="2004">
        <v>0</v>
      </c>
      <c r="CL9" s="2004">
        <v>0</v>
      </c>
      <c r="CM9" s="2004">
        <v>0</v>
      </c>
      <c r="CN9" s="2004">
        <v>0</v>
      </c>
      <c r="CP9" s="2004" t="s">
        <v>9247</v>
      </c>
    </row>
    <row r="10" spans="1:94">
      <c r="A10" s="2004" t="s">
        <v>9192</v>
      </c>
      <c r="B10" s="2004" t="s">
        <v>9248</v>
      </c>
      <c r="C10" s="2004" t="s">
        <v>9085</v>
      </c>
      <c r="D10" s="2004" t="s">
        <v>1628</v>
      </c>
      <c r="E10" s="2004" t="s">
        <v>9194</v>
      </c>
      <c r="F10" s="2004" t="s">
        <v>9249</v>
      </c>
      <c r="G10" s="2004" t="s">
        <v>9250</v>
      </c>
      <c r="H10" s="2004" t="s">
        <v>9251</v>
      </c>
      <c r="I10" s="2004" t="s">
        <v>9252</v>
      </c>
      <c r="J10" s="2004" t="s">
        <v>9199</v>
      </c>
      <c r="K10" s="2004" t="s">
        <v>9200</v>
      </c>
      <c r="L10" s="2004"/>
      <c r="M10" s="2004"/>
      <c r="N10" s="2004" t="s">
        <v>2951</v>
      </c>
      <c r="O10" s="2004" t="s">
        <v>766</v>
      </c>
      <c r="P10" s="2004" t="s">
        <v>9253</v>
      </c>
      <c r="Q10" s="516">
        <v>0</v>
      </c>
      <c r="R10" s="2004" t="s">
        <v>9202</v>
      </c>
      <c r="S10" s="2004">
        <v>320</v>
      </c>
      <c r="T10" s="2004">
        <v>320</v>
      </c>
      <c r="U10" s="2004">
        <v>320</v>
      </c>
      <c r="V10" s="2004">
        <v>320</v>
      </c>
      <c r="W10" s="2004">
        <v>320</v>
      </c>
      <c r="X10" s="2004">
        <v>320</v>
      </c>
      <c r="Y10" s="2004"/>
      <c r="Z10" s="2004"/>
      <c r="AA10" s="2004"/>
      <c r="AB10" s="2004"/>
      <c r="AC10" s="2004"/>
      <c r="AD10" s="2004"/>
      <c r="AE10" s="2004" t="s">
        <v>2337</v>
      </c>
      <c r="AF10" s="2004"/>
      <c r="AG10" s="2004"/>
      <c r="AH10" s="2004">
        <v>0</v>
      </c>
      <c r="AI10" s="2004" t="s">
        <v>2337</v>
      </c>
      <c r="AJ10" s="2004" t="s">
        <v>2337</v>
      </c>
      <c r="AK10" s="2004" t="s">
        <v>2337</v>
      </c>
      <c r="AL10" s="2004" t="s">
        <v>2337</v>
      </c>
      <c r="AM10" s="2004" t="s">
        <v>2337</v>
      </c>
      <c r="AN10" s="2004">
        <v>775</v>
      </c>
      <c r="AO10" s="2004">
        <v>775</v>
      </c>
      <c r="AP10" s="2004">
        <v>775</v>
      </c>
      <c r="AQ10" s="2004">
        <v>775</v>
      </c>
      <c r="AR10" s="2004">
        <v>775</v>
      </c>
      <c r="AS10" s="2004">
        <v>505</v>
      </c>
      <c r="AT10" s="2004">
        <v>505</v>
      </c>
      <c r="AU10" s="2004">
        <v>505</v>
      </c>
      <c r="AV10" s="2004">
        <v>505</v>
      </c>
      <c r="AW10" s="2004">
        <v>505</v>
      </c>
      <c r="AX10" s="2004">
        <v>135</v>
      </c>
      <c r="AY10" s="2004">
        <v>135</v>
      </c>
      <c r="AZ10" s="2004">
        <v>135</v>
      </c>
      <c r="BA10" s="2004">
        <v>135</v>
      </c>
      <c r="BB10" s="2004">
        <v>135</v>
      </c>
      <c r="BC10" s="2004">
        <v>0</v>
      </c>
      <c r="BD10" s="2004">
        <v>0</v>
      </c>
      <c r="BE10" s="2004">
        <v>0</v>
      </c>
      <c r="BF10" s="2004">
        <v>0</v>
      </c>
      <c r="BG10" s="2004">
        <v>0</v>
      </c>
      <c r="BH10" s="2004">
        <v>6.0650000000000001E-3</v>
      </c>
      <c r="BI10" s="2004"/>
      <c r="BJ10" s="2004"/>
      <c r="BK10" s="2004"/>
      <c r="BL10" s="2004">
        <v>1.093E-3</v>
      </c>
      <c r="BM10" s="2004"/>
      <c r="BN10" s="2004">
        <v>1</v>
      </c>
      <c r="BO10" s="2004" t="s">
        <v>9203</v>
      </c>
      <c r="BP10" s="516">
        <v>1687</v>
      </c>
      <c r="BQ10" s="688">
        <v>1771</v>
      </c>
      <c r="BR10" s="2004" t="s">
        <v>2334</v>
      </c>
      <c r="BS10" s="2004" t="s">
        <v>9204</v>
      </c>
      <c r="BT10" s="2004">
        <v>0</v>
      </c>
      <c r="BU10" s="2004" t="s">
        <v>9254</v>
      </c>
      <c r="BV10" s="2004">
        <v>-1.6375500000000001</v>
      </c>
      <c r="BW10" s="2004">
        <v>1840</v>
      </c>
      <c r="BX10" s="2004" t="s">
        <v>2334</v>
      </c>
      <c r="BY10" s="2004">
        <v>0</v>
      </c>
      <c r="BZ10" s="2004">
        <v>0</v>
      </c>
      <c r="CA10" s="2004" t="s">
        <v>9254</v>
      </c>
      <c r="CB10" s="2004">
        <v>-1.6375999999999999</v>
      </c>
      <c r="CC10" s="2004">
        <v>7890</v>
      </c>
      <c r="CD10" s="2004" t="s">
        <v>2334</v>
      </c>
      <c r="CE10" s="2004">
        <v>0</v>
      </c>
      <c r="CF10" s="2004">
        <v>0</v>
      </c>
      <c r="CG10" s="2004" t="s">
        <v>2336</v>
      </c>
      <c r="CH10" s="2004">
        <v>-1.6375999999999999</v>
      </c>
      <c r="CI10" s="2004">
        <v>309</v>
      </c>
      <c r="CJ10" s="2004" t="s">
        <v>2337</v>
      </c>
      <c r="CK10" s="2004">
        <v>0</v>
      </c>
      <c r="CL10" s="2004">
        <v>0</v>
      </c>
      <c r="CM10" s="2004">
        <v>0</v>
      </c>
      <c r="CN10" s="2004">
        <v>0</v>
      </c>
      <c r="CP10" s="2004" t="s">
        <v>9255</v>
      </c>
    </row>
    <row r="11" spans="1:94">
      <c r="A11" s="2004" t="s">
        <v>9192</v>
      </c>
      <c r="B11" s="2004" t="s">
        <v>9256</v>
      </c>
      <c r="C11" s="2004" t="s">
        <v>9085</v>
      </c>
      <c r="D11" s="2004" t="s">
        <v>1628</v>
      </c>
      <c r="E11" s="2004" t="s">
        <v>9194</v>
      </c>
      <c r="F11" s="2004" t="s">
        <v>9249</v>
      </c>
      <c r="G11" s="2004" t="s">
        <v>9257</v>
      </c>
      <c r="H11" s="2004" t="s">
        <v>9258</v>
      </c>
      <c r="I11" s="2004" t="s">
        <v>9259</v>
      </c>
      <c r="J11" s="2004" t="s">
        <v>9210</v>
      </c>
      <c r="K11" s="2004" t="s">
        <v>9200</v>
      </c>
      <c r="L11" s="2004"/>
      <c r="M11" s="2004"/>
      <c r="N11" s="2004" t="s">
        <v>9260</v>
      </c>
      <c r="O11" s="2004" t="s">
        <v>766</v>
      </c>
      <c r="P11" s="2004" t="s">
        <v>9261</v>
      </c>
      <c r="Q11" s="516">
        <v>0</v>
      </c>
      <c r="R11" s="2004" t="s">
        <v>9202</v>
      </c>
      <c r="S11" s="2004">
        <v>3100</v>
      </c>
      <c r="T11" s="2004">
        <v>3100</v>
      </c>
      <c r="U11" s="2004">
        <v>3100</v>
      </c>
      <c r="V11" s="2004">
        <v>3100</v>
      </c>
      <c r="W11" s="2004">
        <v>3100</v>
      </c>
      <c r="X11" s="2004">
        <v>3100</v>
      </c>
      <c r="Y11" s="2004"/>
      <c r="Z11" s="2004"/>
      <c r="AA11" s="2004"/>
      <c r="AB11" s="2004"/>
      <c r="AC11" s="2004"/>
      <c r="AD11" s="2004"/>
      <c r="AE11" s="2004" t="s">
        <v>2337</v>
      </c>
      <c r="AF11" s="2004"/>
      <c r="AG11" s="2004"/>
      <c r="AH11" s="2004">
        <v>0</v>
      </c>
      <c r="AI11" s="2004" t="s">
        <v>2337</v>
      </c>
      <c r="AJ11" s="2004" t="s">
        <v>2337</v>
      </c>
      <c r="AK11" s="2004" t="s">
        <v>2337</v>
      </c>
      <c r="AL11" s="2004" t="s">
        <v>2337</v>
      </c>
      <c r="AM11" s="2004" t="s">
        <v>2337</v>
      </c>
      <c r="AN11" s="2004">
        <v>4350</v>
      </c>
      <c r="AO11" s="2004">
        <v>4350</v>
      </c>
      <c r="AP11" s="2004">
        <v>4350</v>
      </c>
      <c r="AQ11" s="2004">
        <v>4350</v>
      </c>
      <c r="AR11" s="2004">
        <v>4350</v>
      </c>
      <c r="AS11" s="2004">
        <v>3500</v>
      </c>
      <c r="AT11" s="2004">
        <v>3500</v>
      </c>
      <c r="AU11" s="2004">
        <v>3500</v>
      </c>
      <c r="AV11" s="2004">
        <v>3500</v>
      </c>
      <c r="AW11" s="2004">
        <v>3500</v>
      </c>
      <c r="AX11" s="2004"/>
      <c r="AY11" s="2004"/>
      <c r="AZ11" s="2004"/>
      <c r="BA11" s="2004"/>
      <c r="BB11" s="2004"/>
      <c r="BC11" s="2004"/>
      <c r="BD11" s="2004"/>
      <c r="BE11" s="2004"/>
      <c r="BF11" s="2004"/>
      <c r="BG11" s="2004"/>
      <c r="BH11" s="2004">
        <v>2.6649999999999998E-3</v>
      </c>
      <c r="BI11" s="2004"/>
      <c r="BJ11" s="2004"/>
      <c r="BK11" s="2004"/>
      <c r="BL11" s="2004"/>
      <c r="BM11" s="2004"/>
      <c r="BN11" s="2004">
        <v>1</v>
      </c>
      <c r="BO11" s="2004" t="s">
        <v>9203</v>
      </c>
      <c r="BP11" s="516">
        <v>2414</v>
      </c>
      <c r="BQ11" s="689">
        <v>2201</v>
      </c>
      <c r="BR11" s="2004" t="s">
        <v>2337</v>
      </c>
      <c r="BS11" s="2004" t="s">
        <v>9204</v>
      </c>
      <c r="BT11" s="2004">
        <v>0</v>
      </c>
      <c r="BU11" s="2004" t="s">
        <v>9204</v>
      </c>
      <c r="BV11" s="2004">
        <v>0</v>
      </c>
      <c r="BW11" s="2004">
        <v>3077</v>
      </c>
      <c r="BX11" s="2004" t="s">
        <v>2337</v>
      </c>
      <c r="BY11" s="2004">
        <v>0</v>
      </c>
      <c r="BZ11" s="2004">
        <v>0</v>
      </c>
      <c r="CA11" s="2004">
        <v>0</v>
      </c>
      <c r="CB11" s="2004">
        <v>0</v>
      </c>
      <c r="CC11" s="2004">
        <v>2923</v>
      </c>
      <c r="CD11" s="2004" t="s">
        <v>2337</v>
      </c>
      <c r="CE11" s="2004">
        <v>0</v>
      </c>
      <c r="CF11" s="2004">
        <v>0</v>
      </c>
      <c r="CG11" s="2004">
        <v>0</v>
      </c>
      <c r="CH11" s="2004">
        <v>0</v>
      </c>
      <c r="CI11" s="2004">
        <v>2530</v>
      </c>
      <c r="CJ11" s="2004" t="s">
        <v>2337</v>
      </c>
      <c r="CK11" s="2004">
        <v>0</v>
      </c>
      <c r="CL11" s="2004">
        <v>0</v>
      </c>
      <c r="CM11" s="2004">
        <v>0</v>
      </c>
      <c r="CN11" s="2004">
        <v>0</v>
      </c>
      <c r="CP11" s="2004" t="s">
        <v>9262</v>
      </c>
    </row>
    <row r="12" spans="1:94">
      <c r="A12" s="2004" t="s">
        <v>9192</v>
      </c>
      <c r="B12" s="2004" t="s">
        <v>9263</v>
      </c>
      <c r="C12" s="2004" t="s">
        <v>9085</v>
      </c>
      <c r="D12" s="2004" t="s">
        <v>1628</v>
      </c>
      <c r="E12" s="2004" t="s">
        <v>9194</v>
      </c>
      <c r="F12" s="2004" t="s">
        <v>9249</v>
      </c>
      <c r="G12" s="2004" t="s">
        <v>9264</v>
      </c>
      <c r="H12" s="2004" t="s">
        <v>9265</v>
      </c>
      <c r="I12" s="2004" t="s">
        <v>9266</v>
      </c>
      <c r="J12" s="2004" t="s">
        <v>9230</v>
      </c>
      <c r="K12" s="2004"/>
      <c r="L12" s="2004"/>
      <c r="M12" s="2004"/>
      <c r="N12" s="2004" t="s">
        <v>2951</v>
      </c>
      <c r="O12" s="2004" t="s">
        <v>766</v>
      </c>
      <c r="P12" s="2004" t="s">
        <v>9267</v>
      </c>
      <c r="Q12" s="516">
        <v>0</v>
      </c>
      <c r="R12" s="2004" t="s">
        <v>9202</v>
      </c>
      <c r="S12" s="2004">
        <v>110</v>
      </c>
      <c r="T12" s="2004">
        <v>110</v>
      </c>
      <c r="U12" s="2004">
        <v>110</v>
      </c>
      <c r="V12" s="2004">
        <v>110</v>
      </c>
      <c r="W12" s="2004">
        <v>110</v>
      </c>
      <c r="X12" s="2004">
        <v>110</v>
      </c>
      <c r="Y12" s="2004"/>
      <c r="Z12" s="2004"/>
      <c r="AA12" s="2004"/>
      <c r="AB12" s="2004"/>
      <c r="AC12" s="2004"/>
      <c r="AD12" s="2004"/>
      <c r="AE12" s="2004" t="s">
        <v>2337</v>
      </c>
      <c r="AF12" s="2004"/>
      <c r="AG12" s="2004"/>
      <c r="AH12" s="2004">
        <v>0</v>
      </c>
      <c r="AI12" s="2004"/>
      <c r="AJ12" s="2004"/>
      <c r="AK12" s="2004"/>
      <c r="AL12" s="2004"/>
      <c r="AM12" s="2004"/>
      <c r="AN12" s="2004"/>
      <c r="AO12" s="2004"/>
      <c r="AP12" s="2004"/>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516">
        <v>378</v>
      </c>
      <c r="BQ12" s="688">
        <v>400</v>
      </c>
      <c r="BR12" s="2004" t="s">
        <v>2334</v>
      </c>
      <c r="BS12" s="2004" t="s">
        <v>9204</v>
      </c>
      <c r="BT12" s="2004">
        <v>0</v>
      </c>
      <c r="BU12" s="2004" t="s">
        <v>9204</v>
      </c>
      <c r="BV12" s="2004">
        <v>0</v>
      </c>
      <c r="BW12" s="2004">
        <v>111</v>
      </c>
      <c r="BX12" s="2004" t="s">
        <v>2334</v>
      </c>
      <c r="BY12" s="2004">
        <v>0</v>
      </c>
      <c r="BZ12" s="2004">
        <v>0</v>
      </c>
      <c r="CA12" s="2004">
        <v>0</v>
      </c>
      <c r="CB12" s="2004">
        <v>0</v>
      </c>
      <c r="CC12" s="2004">
        <v>282</v>
      </c>
      <c r="CD12" s="2004" t="s">
        <v>2334</v>
      </c>
      <c r="CE12" s="2004">
        <v>0</v>
      </c>
      <c r="CF12" s="2004">
        <v>0</v>
      </c>
      <c r="CG12" s="2004">
        <v>0</v>
      </c>
      <c r="CH12" s="2004">
        <v>0</v>
      </c>
      <c r="CI12" s="2004">
        <v>68</v>
      </c>
      <c r="CJ12" s="2004" t="s">
        <v>2337</v>
      </c>
      <c r="CK12" s="2004">
        <v>0</v>
      </c>
      <c r="CL12" s="2004">
        <v>0</v>
      </c>
      <c r="CM12" s="2004">
        <v>0</v>
      </c>
      <c r="CN12" s="2004">
        <v>0</v>
      </c>
      <c r="CP12" s="2004" t="s">
        <v>9268</v>
      </c>
    </row>
    <row r="13" spans="1:94">
      <c r="A13" s="2004" t="s">
        <v>9192</v>
      </c>
      <c r="B13" s="2004" t="s">
        <v>9269</v>
      </c>
      <c r="C13" s="2004" t="s">
        <v>9085</v>
      </c>
      <c r="D13" s="2004" t="s">
        <v>1628</v>
      </c>
      <c r="E13" s="2004" t="s">
        <v>9194</v>
      </c>
      <c r="F13" s="2004" t="s">
        <v>9249</v>
      </c>
      <c r="G13" s="2004" t="s">
        <v>9270</v>
      </c>
      <c r="H13" s="2004" t="s">
        <v>9271</v>
      </c>
      <c r="I13" s="2004" t="s">
        <v>9272</v>
      </c>
      <c r="J13" s="2004" t="s">
        <v>9230</v>
      </c>
      <c r="K13" s="2004"/>
      <c r="L13" s="2004"/>
      <c r="M13" s="2004"/>
      <c r="N13" s="2004" t="s">
        <v>2951</v>
      </c>
      <c r="O13" s="2004" t="s">
        <v>766</v>
      </c>
      <c r="P13" s="2004" t="s">
        <v>9267</v>
      </c>
      <c r="Q13" s="516">
        <v>0</v>
      </c>
      <c r="R13" s="2004" t="s">
        <v>9202</v>
      </c>
      <c r="S13" s="2004">
        <v>550</v>
      </c>
      <c r="T13" s="2004">
        <v>550</v>
      </c>
      <c r="U13" s="2004">
        <v>550</v>
      </c>
      <c r="V13" s="2004">
        <v>550</v>
      </c>
      <c r="W13" s="2004">
        <v>550</v>
      </c>
      <c r="X13" s="2004">
        <v>550</v>
      </c>
      <c r="Y13" s="2004"/>
      <c r="Z13" s="2004"/>
      <c r="AA13" s="2004"/>
      <c r="AB13" s="2004"/>
      <c r="AC13" s="2004"/>
      <c r="AD13" s="2004"/>
      <c r="AE13" s="2004" t="s">
        <v>2337</v>
      </c>
      <c r="AF13" s="2004"/>
      <c r="AG13" s="2004"/>
      <c r="AH13" s="2004">
        <v>0</v>
      </c>
      <c r="AI13" s="2004"/>
      <c r="AJ13" s="2004"/>
      <c r="AK13" s="2004"/>
      <c r="AL13" s="2004"/>
      <c r="AM13" s="2004"/>
      <c r="AN13" s="2004"/>
      <c r="AO13" s="2004"/>
      <c r="AP13" s="2004"/>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516">
        <v>495</v>
      </c>
      <c r="BQ13" s="688">
        <v>266</v>
      </c>
      <c r="BR13" s="2004" t="s">
        <v>2337</v>
      </c>
      <c r="BS13" s="2004" t="s">
        <v>9204</v>
      </c>
      <c r="BT13" s="2004">
        <v>0</v>
      </c>
      <c r="BU13" s="2004" t="s">
        <v>9204</v>
      </c>
      <c r="BV13" s="2004">
        <v>0</v>
      </c>
      <c r="BW13" s="2004">
        <v>436</v>
      </c>
      <c r="BX13" s="2004" t="s">
        <v>2337</v>
      </c>
      <c r="BY13" s="2004">
        <v>0</v>
      </c>
      <c r="BZ13" s="2004">
        <v>0</v>
      </c>
      <c r="CA13" s="2004">
        <v>0</v>
      </c>
      <c r="CB13" s="2004">
        <v>0</v>
      </c>
      <c r="CC13" s="2004">
        <v>484</v>
      </c>
      <c r="CD13" s="2004" t="s">
        <v>2337</v>
      </c>
      <c r="CE13" s="2004">
        <v>0</v>
      </c>
      <c r="CF13" s="2004">
        <v>0</v>
      </c>
      <c r="CG13" s="2004">
        <v>0</v>
      </c>
      <c r="CH13" s="2004">
        <v>0</v>
      </c>
      <c r="CI13" s="2004">
        <v>477</v>
      </c>
      <c r="CJ13" s="2004" t="s">
        <v>2337</v>
      </c>
      <c r="CK13" s="2004">
        <v>0</v>
      </c>
      <c r="CL13" s="2004">
        <v>0</v>
      </c>
      <c r="CM13" s="2004">
        <v>0</v>
      </c>
      <c r="CN13" s="2004">
        <v>0</v>
      </c>
      <c r="CP13" s="2004" t="s">
        <v>9273</v>
      </c>
    </row>
    <row r="14" spans="1:94">
      <c r="A14" s="2004" t="s">
        <v>9192</v>
      </c>
      <c r="B14" s="2004" t="s">
        <v>9274</v>
      </c>
      <c r="C14" s="2004" t="s">
        <v>9085</v>
      </c>
      <c r="D14" s="2004" t="s">
        <v>9275</v>
      </c>
      <c r="E14" s="2004" t="s">
        <v>9276</v>
      </c>
      <c r="F14" s="2004" t="s">
        <v>9277</v>
      </c>
      <c r="G14" s="2004" t="s">
        <v>9278</v>
      </c>
      <c r="H14" s="2004" t="s">
        <v>9279</v>
      </c>
      <c r="I14" s="2004" t="s">
        <v>9280</v>
      </c>
      <c r="J14" s="2004" t="s">
        <v>9199</v>
      </c>
      <c r="K14" s="2004" t="s">
        <v>9200</v>
      </c>
      <c r="L14" s="2004"/>
      <c r="M14" s="2004" t="s">
        <v>2334</v>
      </c>
      <c r="N14" s="2004" t="s">
        <v>9281</v>
      </c>
      <c r="O14" s="2004" t="s">
        <v>9282</v>
      </c>
      <c r="P14" s="2004" t="s">
        <v>9283</v>
      </c>
      <c r="Q14" s="516">
        <v>2</v>
      </c>
      <c r="R14" s="2004" t="s">
        <v>9240</v>
      </c>
      <c r="S14" s="2004" t="s">
        <v>9231</v>
      </c>
      <c r="T14" s="2004" t="s">
        <v>9231</v>
      </c>
      <c r="U14" s="2004" t="s">
        <v>9231</v>
      </c>
      <c r="V14" s="2004" t="s">
        <v>9231</v>
      </c>
      <c r="W14" s="2004" t="s">
        <v>9231</v>
      </c>
      <c r="X14" s="2004" t="s">
        <v>9231</v>
      </c>
      <c r="Y14" s="2004"/>
      <c r="Z14" s="2004"/>
      <c r="AA14" s="2004"/>
      <c r="AB14" s="2004"/>
      <c r="AC14" s="2004"/>
      <c r="AD14" s="2004"/>
      <c r="AE14" s="2004"/>
      <c r="AF14" s="2004"/>
      <c r="AG14" s="2004"/>
      <c r="AH14" s="2004">
        <v>0</v>
      </c>
      <c r="AI14" s="2004" t="s">
        <v>2337</v>
      </c>
      <c r="AJ14" s="2004" t="s">
        <v>2337</v>
      </c>
      <c r="AK14" s="2004" t="s">
        <v>2337</v>
      </c>
      <c r="AL14" s="2004" t="s">
        <v>2337</v>
      </c>
      <c r="AM14" s="2004" t="s">
        <v>2337</v>
      </c>
      <c r="AN14" s="2004" t="s">
        <v>9284</v>
      </c>
      <c r="AO14" s="2004" t="s">
        <v>9284</v>
      </c>
      <c r="AP14" s="2004" t="s">
        <v>9284</v>
      </c>
      <c r="AQ14" s="2004" t="s">
        <v>9284</v>
      </c>
      <c r="AR14" s="2004" t="s">
        <v>9284</v>
      </c>
      <c r="AS14" s="2004" t="s">
        <v>9284</v>
      </c>
      <c r="AT14" s="2004" t="s">
        <v>9284</v>
      </c>
      <c r="AU14" s="2004" t="s">
        <v>9284</v>
      </c>
      <c r="AV14" s="2004" t="s">
        <v>9284</v>
      </c>
      <c r="AW14" s="2004" t="s">
        <v>9284</v>
      </c>
      <c r="AX14" s="2004" t="s">
        <v>9284</v>
      </c>
      <c r="AY14" s="2004" t="s">
        <v>9284</v>
      </c>
      <c r="AZ14" s="2004" t="s">
        <v>9284</v>
      </c>
      <c r="BA14" s="2004" t="s">
        <v>9284</v>
      </c>
      <c r="BB14" s="2004" t="s">
        <v>9284</v>
      </c>
      <c r="BC14" s="2004" t="s">
        <v>9284</v>
      </c>
      <c r="BD14" s="2004" t="s">
        <v>9284</v>
      </c>
      <c r="BE14" s="2004" t="s">
        <v>9284</v>
      </c>
      <c r="BF14" s="2004" t="s">
        <v>9284</v>
      </c>
      <c r="BG14" s="2004" t="s">
        <v>9284</v>
      </c>
      <c r="BH14" s="2004" t="s">
        <v>9284</v>
      </c>
      <c r="BI14" s="2004"/>
      <c r="BJ14" s="2004"/>
      <c r="BK14" s="2004"/>
      <c r="BL14" s="2004" t="s">
        <v>9284</v>
      </c>
      <c r="BM14" s="2004"/>
      <c r="BN14" s="2004">
        <v>1</v>
      </c>
      <c r="BO14" s="2004" t="s">
        <v>9203</v>
      </c>
      <c r="BP14" s="516" t="s">
        <v>9204</v>
      </c>
      <c r="BQ14" s="687">
        <v>76.7</v>
      </c>
      <c r="BR14" s="2004" t="s">
        <v>9204</v>
      </c>
      <c r="BS14" s="2004" t="s">
        <v>9204</v>
      </c>
      <c r="BT14" s="2004">
        <v>0</v>
      </c>
      <c r="BU14" s="2004" t="s">
        <v>9204</v>
      </c>
      <c r="BV14" s="2004">
        <v>0</v>
      </c>
      <c r="BW14" s="2004">
        <v>78.510000000000005</v>
      </c>
      <c r="BX14" s="2004" t="s">
        <v>2335</v>
      </c>
      <c r="BY14" s="2004">
        <v>0</v>
      </c>
      <c r="BZ14" s="2004">
        <v>0</v>
      </c>
      <c r="CA14" s="2004">
        <v>0</v>
      </c>
      <c r="CB14" s="2004">
        <v>0</v>
      </c>
      <c r="CC14" s="2004">
        <v>80.909102903993897</v>
      </c>
      <c r="CD14" s="2004" t="s">
        <v>2335</v>
      </c>
      <c r="CE14" s="2004">
        <v>0</v>
      </c>
      <c r="CF14" s="2004">
        <v>0</v>
      </c>
      <c r="CG14" s="2004">
        <v>0</v>
      </c>
      <c r="CH14" s="2004">
        <v>0</v>
      </c>
      <c r="CI14" s="2004">
        <v>81.2</v>
      </c>
      <c r="CJ14" s="2004" t="s">
        <v>2335</v>
      </c>
      <c r="CK14" s="2004">
        <v>0</v>
      </c>
      <c r="CL14" s="2004">
        <v>0</v>
      </c>
      <c r="CM14" s="2004">
        <v>0</v>
      </c>
      <c r="CN14" s="2004">
        <v>0</v>
      </c>
      <c r="CP14" s="2004" t="s">
        <v>9285</v>
      </c>
    </row>
    <row r="15" spans="1:94">
      <c r="A15" s="2004" t="s">
        <v>9192</v>
      </c>
      <c r="B15" s="2004" t="s">
        <v>9286</v>
      </c>
      <c r="C15" s="2004" t="s">
        <v>9085</v>
      </c>
      <c r="D15" s="2004" t="s">
        <v>9275</v>
      </c>
      <c r="E15" s="2004" t="s">
        <v>9276</v>
      </c>
      <c r="F15" s="2004" t="s">
        <v>9277</v>
      </c>
      <c r="G15" s="2004" t="s">
        <v>9287</v>
      </c>
      <c r="H15" s="2004" t="s">
        <v>9288</v>
      </c>
      <c r="I15" s="2004" t="s">
        <v>9289</v>
      </c>
      <c r="J15" s="2004" t="s">
        <v>9230</v>
      </c>
      <c r="K15" s="2004"/>
      <c r="L15" s="2004"/>
      <c r="M15" s="2004"/>
      <c r="N15" s="2004" t="s">
        <v>9290</v>
      </c>
      <c r="O15" s="2004" t="s">
        <v>9282</v>
      </c>
      <c r="P15" s="2004" t="s">
        <v>9291</v>
      </c>
      <c r="Q15" s="516">
        <v>1</v>
      </c>
      <c r="R15" s="2004" t="s">
        <v>9240</v>
      </c>
      <c r="S15" s="2004" t="s">
        <v>9231</v>
      </c>
      <c r="T15" s="2004" t="s">
        <v>9231</v>
      </c>
      <c r="U15" s="2004" t="s">
        <v>9231</v>
      </c>
      <c r="V15" s="2004" t="s">
        <v>9231</v>
      </c>
      <c r="W15" s="2004" t="s">
        <v>9231</v>
      </c>
      <c r="X15" s="2004" t="s">
        <v>9231</v>
      </c>
      <c r="Y15" s="2004"/>
      <c r="Z15" s="2004"/>
      <c r="AA15" s="2004"/>
      <c r="AB15" s="2004"/>
      <c r="AC15" s="2004"/>
      <c r="AD15" s="2004"/>
      <c r="AE15" s="2004"/>
      <c r="AF15" s="2004"/>
      <c r="AG15" s="2004"/>
      <c r="AH15" s="2004">
        <v>0</v>
      </c>
      <c r="AI15" s="2004"/>
      <c r="AJ15" s="2004"/>
      <c r="AK15" s="2004"/>
      <c r="AL15" s="2004"/>
      <c r="AM15" s="2004"/>
      <c r="AN15" s="2004"/>
      <c r="AO15" s="2004"/>
      <c r="AP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516" t="s">
        <v>9204</v>
      </c>
      <c r="BQ15" s="687" t="s">
        <v>9292</v>
      </c>
      <c r="BR15" s="2004" t="s">
        <v>9204</v>
      </c>
      <c r="BS15" s="2004" t="s">
        <v>9204</v>
      </c>
      <c r="BT15" s="2004">
        <v>0</v>
      </c>
      <c r="BU15" s="2004" t="s">
        <v>9204</v>
      </c>
      <c r="BV15" s="2004">
        <v>0</v>
      </c>
      <c r="BW15" s="2004">
        <v>69.599999999999994</v>
      </c>
      <c r="BX15" s="2004" t="s">
        <v>2335</v>
      </c>
      <c r="BY15" s="2004">
        <v>0</v>
      </c>
      <c r="BZ15" s="2004">
        <v>0</v>
      </c>
      <c r="CA15" s="2004">
        <v>0</v>
      </c>
      <c r="CB15" s="2004">
        <v>0</v>
      </c>
      <c r="CC15" s="2004">
        <v>67.7</v>
      </c>
      <c r="CD15" s="2004" t="s">
        <v>2335</v>
      </c>
      <c r="CE15" s="2004">
        <v>0</v>
      </c>
      <c r="CF15" s="2004">
        <v>0</v>
      </c>
      <c r="CG15" s="2004">
        <v>0</v>
      </c>
      <c r="CH15" s="2004">
        <v>0</v>
      </c>
      <c r="CI15" s="2004">
        <v>68.3</v>
      </c>
      <c r="CJ15" s="2004" t="s">
        <v>2335</v>
      </c>
      <c r="CK15" s="2004">
        <v>0</v>
      </c>
      <c r="CL15" s="2004">
        <v>0</v>
      </c>
      <c r="CM15" s="2004">
        <v>0</v>
      </c>
      <c r="CN15" s="2004">
        <v>0</v>
      </c>
      <c r="CP15" s="2004" t="s">
        <v>9293</v>
      </c>
    </row>
    <row r="16" spans="1:94">
      <c r="A16" s="2004" t="s">
        <v>9050</v>
      </c>
      <c r="B16" s="2004" t="s">
        <v>9294</v>
      </c>
      <c r="C16" s="2004" t="s">
        <v>9047</v>
      </c>
      <c r="D16" s="2004" t="s">
        <v>1628</v>
      </c>
      <c r="E16" s="2004" t="s">
        <v>9194</v>
      </c>
      <c r="F16" s="2004" t="s">
        <v>9295</v>
      </c>
      <c r="G16" s="2004" t="s">
        <v>9207</v>
      </c>
      <c r="H16" s="2004" t="s">
        <v>9296</v>
      </c>
      <c r="I16" s="2004" t="s">
        <v>9297</v>
      </c>
      <c r="J16" s="2004" t="s">
        <v>9199</v>
      </c>
      <c r="K16" s="2004" t="s">
        <v>9200</v>
      </c>
      <c r="L16" s="2004"/>
      <c r="M16" s="2004"/>
      <c r="N16" s="2004" t="s">
        <v>2951</v>
      </c>
      <c r="O16" s="2004" t="s">
        <v>9298</v>
      </c>
      <c r="P16" s="2004" t="s">
        <v>9299</v>
      </c>
      <c r="Q16" s="516">
        <v>2</v>
      </c>
      <c r="R16" s="2004" t="s">
        <v>9202</v>
      </c>
      <c r="S16" s="2004">
        <v>19.36</v>
      </c>
      <c r="T16" s="2004">
        <v>16.899999999999999</v>
      </c>
      <c r="U16" s="2004">
        <v>14.5</v>
      </c>
      <c r="V16" s="2004">
        <v>12</v>
      </c>
      <c r="W16" s="2004">
        <v>12</v>
      </c>
      <c r="X16" s="2004">
        <v>12</v>
      </c>
      <c r="Y16" s="2004"/>
      <c r="Z16" s="2004"/>
      <c r="AA16" s="2004" t="s">
        <v>2337</v>
      </c>
      <c r="AB16" s="2004"/>
      <c r="AC16" s="2004"/>
      <c r="AD16" s="2004"/>
      <c r="AE16" s="2004" t="s">
        <v>2337</v>
      </c>
      <c r="AF16" s="2004"/>
      <c r="AG16" s="2004"/>
      <c r="AH16" s="2004">
        <v>0</v>
      </c>
      <c r="AI16" s="2004" t="s">
        <v>2337</v>
      </c>
      <c r="AJ16" s="2004" t="s">
        <v>2337</v>
      </c>
      <c r="AK16" s="2004" t="s">
        <v>2337</v>
      </c>
      <c r="AL16" s="2004" t="s">
        <v>2337</v>
      </c>
      <c r="AM16" s="2004" t="s">
        <v>2337</v>
      </c>
      <c r="AN16" s="2004">
        <v>20.86</v>
      </c>
      <c r="AO16" s="2004">
        <v>20.86</v>
      </c>
      <c r="AP16" s="2004">
        <v>13.5</v>
      </c>
      <c r="AQ16" s="2004">
        <v>13.5</v>
      </c>
      <c r="AR16" s="2004">
        <v>13.5</v>
      </c>
      <c r="AS16" s="2004">
        <v>19.36</v>
      </c>
      <c r="AT16" s="2004">
        <v>19.36</v>
      </c>
      <c r="AU16" s="2004">
        <v>12</v>
      </c>
      <c r="AV16" s="2004">
        <v>12</v>
      </c>
      <c r="AW16" s="2004">
        <v>12</v>
      </c>
      <c r="AX16" s="2004">
        <v>12</v>
      </c>
      <c r="AY16" s="2004">
        <v>12</v>
      </c>
      <c r="AZ16" s="2004">
        <v>12</v>
      </c>
      <c r="BA16" s="2004">
        <v>12</v>
      </c>
      <c r="BB16" s="2004">
        <v>12</v>
      </c>
      <c r="BC16" s="2004">
        <v>10</v>
      </c>
      <c r="BD16" s="2004">
        <v>10</v>
      </c>
      <c r="BE16" s="2004">
        <v>10</v>
      </c>
      <c r="BF16" s="2004">
        <v>10</v>
      </c>
      <c r="BG16" s="2004">
        <v>10</v>
      </c>
      <c r="BH16" s="2004">
        <v>5.7080000000000002</v>
      </c>
      <c r="BI16" s="2004"/>
      <c r="BJ16" s="2004"/>
      <c r="BK16" s="2004"/>
      <c r="BL16" s="2004">
        <v>2.8359999999999999</v>
      </c>
      <c r="BM16" s="2004"/>
      <c r="BN16" s="2004">
        <v>1</v>
      </c>
      <c r="BO16" s="2004" t="s">
        <v>9203</v>
      </c>
      <c r="BP16" s="516">
        <v>19.167000000000002</v>
      </c>
      <c r="BQ16" s="690">
        <v>8.1999999999999993</v>
      </c>
      <c r="BR16" s="2004" t="s">
        <v>2337</v>
      </c>
      <c r="BS16" s="2004" t="s">
        <v>9204</v>
      </c>
      <c r="BT16" s="2004">
        <v>0</v>
      </c>
      <c r="BU16" s="2004" t="s">
        <v>2339</v>
      </c>
      <c r="BV16" s="2004">
        <v>5.6719999999999997</v>
      </c>
      <c r="BW16" s="2004">
        <v>11.72</v>
      </c>
      <c r="BX16" s="2004" t="s">
        <v>2337</v>
      </c>
      <c r="BY16" s="2004">
        <v>0</v>
      </c>
      <c r="BZ16" s="2004">
        <v>0</v>
      </c>
      <c r="CA16" s="2004" t="s">
        <v>2339</v>
      </c>
      <c r="CB16" s="2004">
        <v>0.79410000000000003</v>
      </c>
      <c r="CC16" s="2004">
        <v>7.4</v>
      </c>
      <c r="CD16" s="2004" t="s">
        <v>2337</v>
      </c>
      <c r="CE16" s="2004">
        <v>0</v>
      </c>
      <c r="CF16" s="2004">
        <v>0</v>
      </c>
      <c r="CG16" s="2004" t="s">
        <v>2339</v>
      </c>
      <c r="CH16" s="2004">
        <v>5.6719999999999997</v>
      </c>
      <c r="CI16" s="2004">
        <v>8.73</v>
      </c>
      <c r="CJ16" s="2004" t="s">
        <v>2337</v>
      </c>
      <c r="CK16" s="2004">
        <v>0</v>
      </c>
      <c r="CL16" s="2004">
        <v>0</v>
      </c>
      <c r="CM16" s="2004" t="s">
        <v>2339</v>
      </c>
      <c r="CN16" s="2004">
        <v>5.6719999999999997</v>
      </c>
      <c r="CP16" s="2004" t="s">
        <v>9300</v>
      </c>
    </row>
    <row r="17" spans="1:94">
      <c r="A17" s="2004" t="s">
        <v>9050</v>
      </c>
      <c r="B17" s="2004" t="s">
        <v>9301</v>
      </c>
      <c r="C17" s="2004" t="s">
        <v>9047</v>
      </c>
      <c r="D17" s="2004" t="s">
        <v>1628</v>
      </c>
      <c r="E17" s="2004" t="s">
        <v>9194</v>
      </c>
      <c r="F17" s="2004" t="s">
        <v>9295</v>
      </c>
      <c r="G17" s="2004" t="s">
        <v>9215</v>
      </c>
      <c r="H17" s="2004" t="s">
        <v>9302</v>
      </c>
      <c r="I17" s="2004" t="s">
        <v>9303</v>
      </c>
      <c r="J17" s="2004" t="s">
        <v>9199</v>
      </c>
      <c r="K17" s="2004" t="s">
        <v>9200</v>
      </c>
      <c r="L17" s="2004"/>
      <c r="M17" s="2004" t="s">
        <v>2334</v>
      </c>
      <c r="N17" s="2004" t="s">
        <v>9304</v>
      </c>
      <c r="O17" s="2004" t="s">
        <v>766</v>
      </c>
      <c r="P17" s="2004" t="s">
        <v>9253</v>
      </c>
      <c r="Q17" s="516">
        <v>0</v>
      </c>
      <c r="R17" s="2004" t="s">
        <v>9202</v>
      </c>
      <c r="S17" s="2004">
        <v>517</v>
      </c>
      <c r="T17" s="2004"/>
      <c r="U17" s="2004"/>
      <c r="V17" s="2004">
        <v>361</v>
      </c>
      <c r="W17" s="2004"/>
      <c r="X17" s="2004">
        <v>257</v>
      </c>
      <c r="Y17" s="2004"/>
      <c r="Z17" s="2004"/>
      <c r="AA17" s="2004"/>
      <c r="AB17" s="2004"/>
      <c r="AC17" s="2004"/>
      <c r="AD17" s="2004"/>
      <c r="AE17" s="2004" t="s">
        <v>2337</v>
      </c>
      <c r="AF17" s="2004"/>
      <c r="AG17" s="2004"/>
      <c r="AH17" s="2004">
        <v>0</v>
      </c>
      <c r="AI17" s="2004"/>
      <c r="AJ17" s="2004"/>
      <c r="AK17" s="2004" t="s">
        <v>2337</v>
      </c>
      <c r="AL17" s="2004"/>
      <c r="AM17" s="2004" t="s">
        <v>2337</v>
      </c>
      <c r="AN17" s="2004"/>
      <c r="AO17" s="2004"/>
      <c r="AP17" s="2004">
        <v>441</v>
      </c>
      <c r="AQ17" s="2004"/>
      <c r="AR17" s="2004">
        <v>337</v>
      </c>
      <c r="AS17" s="2004"/>
      <c r="AT17" s="2004"/>
      <c r="AU17" s="2004">
        <v>366</v>
      </c>
      <c r="AV17" s="2004"/>
      <c r="AW17" s="2004">
        <v>262</v>
      </c>
      <c r="AX17" s="2004"/>
      <c r="AY17" s="2004"/>
      <c r="AZ17" s="2004"/>
      <c r="BA17" s="2004"/>
      <c r="BB17" s="2004">
        <v>230</v>
      </c>
      <c r="BC17" s="2004"/>
      <c r="BD17" s="2004"/>
      <c r="BE17" s="2004"/>
      <c r="BF17" s="2004"/>
      <c r="BG17" s="2004">
        <v>150</v>
      </c>
      <c r="BH17" s="2004">
        <v>0.03</v>
      </c>
      <c r="BI17" s="2004"/>
      <c r="BJ17" s="2004"/>
      <c r="BK17" s="2004"/>
      <c r="BL17" s="2004">
        <v>1.4999999999999999E-2</v>
      </c>
      <c r="BM17" s="2004"/>
      <c r="BN17" s="2004">
        <v>1</v>
      </c>
      <c r="BO17" s="2004" t="s">
        <v>9203</v>
      </c>
      <c r="BP17" s="516">
        <v>505</v>
      </c>
      <c r="BQ17" s="691">
        <v>462</v>
      </c>
      <c r="BR17" s="2004" t="s">
        <v>9204</v>
      </c>
      <c r="BS17" s="2004" t="s">
        <v>9204</v>
      </c>
      <c r="BT17" s="2004">
        <v>0</v>
      </c>
      <c r="BU17" s="2004" t="s">
        <v>9204</v>
      </c>
      <c r="BV17" s="2004">
        <v>0</v>
      </c>
      <c r="BW17" s="2004">
        <v>460</v>
      </c>
      <c r="BX17" s="2004" t="s">
        <v>2335</v>
      </c>
      <c r="BY17" s="2004">
        <v>0</v>
      </c>
      <c r="BZ17" s="2004">
        <v>0</v>
      </c>
      <c r="CA17" s="2004">
        <v>0</v>
      </c>
      <c r="CB17" s="2004">
        <v>0</v>
      </c>
      <c r="CC17" s="2004">
        <v>297</v>
      </c>
      <c r="CD17" s="2004" t="s">
        <v>2337</v>
      </c>
      <c r="CE17" s="2004">
        <v>0</v>
      </c>
      <c r="CF17" s="2004">
        <v>0</v>
      </c>
      <c r="CG17" s="2004">
        <v>0</v>
      </c>
      <c r="CH17" s="2004">
        <v>0</v>
      </c>
      <c r="CI17" s="2004">
        <v>287</v>
      </c>
      <c r="CJ17" s="2004" t="s">
        <v>2335</v>
      </c>
      <c r="CK17" s="2004">
        <v>0</v>
      </c>
      <c r="CL17" s="2004">
        <v>0</v>
      </c>
      <c r="CM17" s="2004">
        <v>0</v>
      </c>
      <c r="CN17" s="2004">
        <v>0</v>
      </c>
      <c r="CP17" s="2004" t="s">
        <v>9305</v>
      </c>
    </row>
    <row r="18" spans="1:94">
      <c r="A18" s="2004" t="s">
        <v>9050</v>
      </c>
      <c r="B18" s="2004" t="s">
        <v>9306</v>
      </c>
      <c r="C18" s="2004" t="s">
        <v>9047</v>
      </c>
      <c r="D18" s="2004" t="s">
        <v>1628</v>
      </c>
      <c r="E18" s="2004" t="s">
        <v>9194</v>
      </c>
      <c r="F18" s="2004" t="s">
        <v>9295</v>
      </c>
      <c r="G18" s="2004" t="s">
        <v>9221</v>
      </c>
      <c r="H18" s="2004" t="s">
        <v>9307</v>
      </c>
      <c r="I18" s="2004" t="s">
        <v>9308</v>
      </c>
      <c r="J18" s="2004" t="s">
        <v>9199</v>
      </c>
      <c r="K18" s="2004" t="s">
        <v>9200</v>
      </c>
      <c r="L18" s="2004"/>
      <c r="M18" s="2004"/>
      <c r="N18" s="2004" t="s">
        <v>9154</v>
      </c>
      <c r="O18" s="2004" t="s">
        <v>766</v>
      </c>
      <c r="P18" s="2004" t="s">
        <v>9246</v>
      </c>
      <c r="Q18" s="516">
        <v>2</v>
      </c>
      <c r="R18" s="2004" t="s">
        <v>9202</v>
      </c>
      <c r="S18" s="2004">
        <v>1.51</v>
      </c>
      <c r="T18" s="2004">
        <v>1.42</v>
      </c>
      <c r="U18" s="2004">
        <v>1.32</v>
      </c>
      <c r="V18" s="2004">
        <v>1.23</v>
      </c>
      <c r="W18" s="2004">
        <v>1.23</v>
      </c>
      <c r="X18" s="2004">
        <v>1.23</v>
      </c>
      <c r="Y18" s="2004"/>
      <c r="Z18" s="2004" t="s">
        <v>2337</v>
      </c>
      <c r="AA18" s="2004"/>
      <c r="AB18" s="2004"/>
      <c r="AC18" s="2004"/>
      <c r="AD18" s="2004"/>
      <c r="AE18" s="2004" t="s">
        <v>2337</v>
      </c>
      <c r="AF18" s="2004"/>
      <c r="AG18" s="2004"/>
      <c r="AH18" s="2004">
        <v>0</v>
      </c>
      <c r="AI18" s="2004" t="s">
        <v>2337</v>
      </c>
      <c r="AJ18" s="2004" t="s">
        <v>2337</v>
      </c>
      <c r="AK18" s="2004" t="s">
        <v>2337</v>
      </c>
      <c r="AL18" s="2004" t="s">
        <v>2337</v>
      </c>
      <c r="AM18" s="2004" t="s">
        <v>2337</v>
      </c>
      <c r="AN18" s="2004">
        <v>2.74</v>
      </c>
      <c r="AO18" s="2004">
        <v>2.74</v>
      </c>
      <c r="AP18" s="2004">
        <v>2.46</v>
      </c>
      <c r="AQ18" s="2004">
        <v>2.46</v>
      </c>
      <c r="AR18" s="2004">
        <v>2.46</v>
      </c>
      <c r="AS18" s="2004">
        <v>1.51</v>
      </c>
      <c r="AT18" s="2004">
        <v>1.51</v>
      </c>
      <c r="AU18" s="2004">
        <v>1.23</v>
      </c>
      <c r="AV18" s="2004">
        <v>1.23</v>
      </c>
      <c r="AW18" s="2004">
        <v>1.23</v>
      </c>
      <c r="AX18" s="2004">
        <v>1.23</v>
      </c>
      <c r="AY18" s="2004">
        <v>1.23</v>
      </c>
      <c r="AZ18" s="2004">
        <v>1.23</v>
      </c>
      <c r="BA18" s="2004">
        <v>1.23</v>
      </c>
      <c r="BB18" s="2004">
        <v>1.23</v>
      </c>
      <c r="BC18" s="2004">
        <v>0</v>
      </c>
      <c r="BD18" s="2004">
        <v>0</v>
      </c>
      <c r="BE18" s="2004">
        <v>0</v>
      </c>
      <c r="BF18" s="2004">
        <v>0</v>
      </c>
      <c r="BG18" s="2004">
        <v>0</v>
      </c>
      <c r="BH18" s="2004">
        <v>1.5720000000000001</v>
      </c>
      <c r="BI18" s="2004"/>
      <c r="BJ18" s="2004"/>
      <c r="BK18" s="2004"/>
      <c r="BL18" s="2004">
        <v>1.1779999999999999</v>
      </c>
      <c r="BM18" s="2004"/>
      <c r="BN18" s="2004">
        <v>1</v>
      </c>
      <c r="BO18" s="2004" t="s">
        <v>9203</v>
      </c>
      <c r="BP18" s="516">
        <v>1.48</v>
      </c>
      <c r="BQ18" s="692">
        <v>1.38</v>
      </c>
      <c r="BR18" s="2004" t="s">
        <v>2337</v>
      </c>
      <c r="BS18" s="2004" t="s">
        <v>9204</v>
      </c>
      <c r="BT18" s="2004">
        <v>0</v>
      </c>
      <c r="BU18" s="2004" t="s">
        <v>9074</v>
      </c>
      <c r="BV18" s="2004">
        <v>0</v>
      </c>
      <c r="BW18" s="2004">
        <v>1.38</v>
      </c>
      <c r="BX18" s="2004" t="s">
        <v>2334</v>
      </c>
      <c r="BY18" s="2004">
        <v>0</v>
      </c>
      <c r="BZ18" s="2004">
        <v>0</v>
      </c>
      <c r="CA18" s="2004" t="s">
        <v>9120</v>
      </c>
      <c r="CB18" s="2004">
        <v>0</v>
      </c>
      <c r="CC18" s="2004">
        <v>1.23</v>
      </c>
      <c r="CD18" s="2004" t="s">
        <v>2337</v>
      </c>
      <c r="CE18" s="2004">
        <v>0</v>
      </c>
      <c r="CF18" s="2004">
        <v>0</v>
      </c>
      <c r="CG18" s="2004">
        <v>0</v>
      </c>
      <c r="CH18" s="2004">
        <v>0</v>
      </c>
      <c r="CI18" s="2004">
        <v>1.18</v>
      </c>
      <c r="CJ18" s="2004" t="s">
        <v>2337</v>
      </c>
      <c r="CK18" s="2004">
        <v>0</v>
      </c>
      <c r="CL18" s="2004">
        <v>0</v>
      </c>
      <c r="CM18" s="2004" t="s">
        <v>2339</v>
      </c>
      <c r="CN18" s="2004">
        <v>5.8900000000000001E-2</v>
      </c>
      <c r="CP18" s="2004" t="s">
        <v>9309</v>
      </c>
    </row>
    <row r="19" spans="1:94">
      <c r="A19" s="2004" t="s">
        <v>9050</v>
      </c>
      <c r="B19" s="2004" t="s">
        <v>9310</v>
      </c>
      <c r="C19" s="2004" t="s">
        <v>9047</v>
      </c>
      <c r="D19" s="2004" t="s">
        <v>1628</v>
      </c>
      <c r="E19" s="2004" t="s">
        <v>9194</v>
      </c>
      <c r="F19" s="2004" t="s">
        <v>9311</v>
      </c>
      <c r="G19" s="2004" t="s">
        <v>9235</v>
      </c>
      <c r="H19" s="2004" t="s">
        <v>9312</v>
      </c>
      <c r="I19" s="2004" t="s">
        <v>9313</v>
      </c>
      <c r="J19" s="2004" t="s">
        <v>9199</v>
      </c>
      <c r="K19" s="2004" t="s">
        <v>9200</v>
      </c>
      <c r="L19" s="2004"/>
      <c r="M19" s="2004"/>
      <c r="N19" s="2004" t="s">
        <v>9290</v>
      </c>
      <c r="O19" s="2004" t="s">
        <v>734</v>
      </c>
      <c r="P19" s="2004" t="s">
        <v>9314</v>
      </c>
      <c r="Q19" s="516">
        <v>0</v>
      </c>
      <c r="R19" s="2004" t="s">
        <v>9240</v>
      </c>
      <c r="S19" s="2004">
        <v>0</v>
      </c>
      <c r="T19" s="2004">
        <v>0</v>
      </c>
      <c r="U19" s="2004">
        <v>0</v>
      </c>
      <c r="V19" s="2004">
        <v>0</v>
      </c>
      <c r="W19" s="2004">
        <v>0</v>
      </c>
      <c r="X19" s="2004">
        <v>0</v>
      </c>
      <c r="Y19" s="2004"/>
      <c r="Z19" s="2004"/>
      <c r="AA19" s="2004"/>
      <c r="AB19" s="2004"/>
      <c r="AC19" s="2004"/>
      <c r="AD19" s="2004"/>
      <c r="AE19" s="2004"/>
      <c r="AF19" s="2004"/>
      <c r="AG19" s="2004"/>
      <c r="AH19" s="2004">
        <v>0</v>
      </c>
      <c r="AI19" s="2004" t="s">
        <v>2337</v>
      </c>
      <c r="AJ19" s="2004" t="s">
        <v>2337</v>
      </c>
      <c r="AK19" s="2004" t="s">
        <v>2337</v>
      </c>
      <c r="AL19" s="2004" t="s">
        <v>2337</v>
      </c>
      <c r="AM19" s="2004" t="s">
        <v>2337</v>
      </c>
      <c r="AN19" s="2004">
        <v>-20</v>
      </c>
      <c r="AO19" s="2004">
        <v>-20</v>
      </c>
      <c r="AP19" s="2004">
        <v>-20</v>
      </c>
      <c r="AQ19" s="2004">
        <v>-20</v>
      </c>
      <c r="AR19" s="2004">
        <v>-20</v>
      </c>
      <c r="AS19" s="2004">
        <v>0</v>
      </c>
      <c r="AT19" s="2004">
        <v>0</v>
      </c>
      <c r="AU19" s="2004">
        <v>0</v>
      </c>
      <c r="AV19" s="2004">
        <v>0</v>
      </c>
      <c r="AW19" s="2004">
        <v>0</v>
      </c>
      <c r="AX19" s="2004">
        <v>0</v>
      </c>
      <c r="AY19" s="2004">
        <v>0</v>
      </c>
      <c r="AZ19" s="2004">
        <v>0</v>
      </c>
      <c r="BA19" s="2004">
        <v>0</v>
      </c>
      <c r="BB19" s="2004">
        <v>0</v>
      </c>
      <c r="BC19" s="2004">
        <v>20</v>
      </c>
      <c r="BD19" s="2004">
        <v>20</v>
      </c>
      <c r="BE19" s="2004">
        <v>20</v>
      </c>
      <c r="BF19" s="2004">
        <v>20</v>
      </c>
      <c r="BG19" s="2004">
        <v>20</v>
      </c>
      <c r="BH19" s="2004">
        <v>2.5000000000000001E-2</v>
      </c>
      <c r="BI19" s="2004"/>
      <c r="BJ19" s="2004"/>
      <c r="BK19" s="2004"/>
      <c r="BL19" s="2004">
        <v>2.5000000000000001E-2</v>
      </c>
      <c r="BM19" s="2004"/>
      <c r="BN19" s="2004">
        <v>1</v>
      </c>
      <c r="BO19" s="2004" t="s">
        <v>9203</v>
      </c>
      <c r="BP19" s="516">
        <v>1</v>
      </c>
      <c r="BQ19" s="691">
        <v>3</v>
      </c>
      <c r="BR19" s="2004" t="s">
        <v>2337</v>
      </c>
      <c r="BS19" s="2004" t="s">
        <v>9204</v>
      </c>
      <c r="BT19" s="2004">
        <v>0</v>
      </c>
      <c r="BU19" s="2004" t="s">
        <v>2339</v>
      </c>
      <c r="BV19" s="2004">
        <v>7.4999999999999997E-2</v>
      </c>
      <c r="BW19" s="2004">
        <v>0</v>
      </c>
      <c r="BX19" s="2004" t="s">
        <v>2337</v>
      </c>
      <c r="BY19" s="2004">
        <v>0</v>
      </c>
      <c r="BZ19" s="2004">
        <v>0</v>
      </c>
      <c r="CA19" s="2004">
        <v>0</v>
      </c>
      <c r="CB19" s="2004">
        <v>0</v>
      </c>
      <c r="CC19" s="2004">
        <v>8</v>
      </c>
      <c r="CD19" s="2004" t="s">
        <v>2337</v>
      </c>
      <c r="CE19" s="2004">
        <v>0</v>
      </c>
      <c r="CF19" s="2004">
        <v>0</v>
      </c>
      <c r="CG19" s="2004" t="s">
        <v>2339</v>
      </c>
      <c r="CH19" s="2004">
        <v>0.2</v>
      </c>
      <c r="CI19" s="2004">
        <v>1</v>
      </c>
      <c r="CJ19" s="2004" t="s">
        <v>2337</v>
      </c>
      <c r="CK19" s="2004">
        <v>0</v>
      </c>
      <c r="CL19" s="2004">
        <v>0</v>
      </c>
      <c r="CM19" s="2004" t="s">
        <v>2339</v>
      </c>
      <c r="CN19" s="2004">
        <v>2.5000000000000001E-2</v>
      </c>
      <c r="CP19" s="2004" t="s">
        <v>9315</v>
      </c>
    </row>
    <row r="20" spans="1:94">
      <c r="A20" s="2004" t="s">
        <v>9050</v>
      </c>
      <c r="B20" s="2004" t="s">
        <v>9316</v>
      </c>
      <c r="C20" s="2004" t="s">
        <v>9047</v>
      </c>
      <c r="D20" s="2004" t="s">
        <v>1628</v>
      </c>
      <c r="E20" s="2004" t="s">
        <v>9194</v>
      </c>
      <c r="F20" s="2004" t="s">
        <v>9317</v>
      </c>
      <c r="G20" s="2004" t="s">
        <v>9250</v>
      </c>
      <c r="H20" s="2004" t="s">
        <v>9318</v>
      </c>
      <c r="I20" s="2004" t="s">
        <v>9319</v>
      </c>
      <c r="J20" s="2004" t="s">
        <v>9210</v>
      </c>
      <c r="K20" s="2004" t="s">
        <v>9200</v>
      </c>
      <c r="L20" s="2004"/>
      <c r="M20" s="2004"/>
      <c r="N20" s="2004" t="s">
        <v>5533</v>
      </c>
      <c r="O20" s="2004" t="s">
        <v>734</v>
      </c>
      <c r="P20" s="2004" t="s">
        <v>9320</v>
      </c>
      <c r="Q20" s="516">
        <v>1</v>
      </c>
      <c r="R20" s="2004" t="s">
        <v>9202</v>
      </c>
      <c r="S20" s="2004">
        <v>27.5</v>
      </c>
      <c r="T20" s="2004"/>
      <c r="U20" s="2004"/>
      <c r="V20" s="2004"/>
      <c r="W20" s="2004"/>
      <c r="X20" s="2004">
        <v>24.7</v>
      </c>
      <c r="Y20" s="2004"/>
      <c r="Z20" s="2004"/>
      <c r="AA20" s="2004"/>
      <c r="AB20" s="2004"/>
      <c r="AC20" s="2004"/>
      <c r="AD20" s="2004"/>
      <c r="AE20" s="2004" t="s">
        <v>2337</v>
      </c>
      <c r="AF20" s="2004"/>
      <c r="AG20" s="2004"/>
      <c r="AH20" s="2004">
        <v>0</v>
      </c>
      <c r="AI20" s="2004"/>
      <c r="AJ20" s="2004"/>
      <c r="AK20" s="2004"/>
      <c r="AL20" s="2004"/>
      <c r="AM20" s="2004" t="s">
        <v>2337</v>
      </c>
      <c r="AN20" s="2004"/>
      <c r="AO20" s="2004"/>
      <c r="AP20" s="2004"/>
      <c r="AQ20" s="2004"/>
      <c r="AR20" s="2004">
        <v>27.5</v>
      </c>
      <c r="AS20" s="2004"/>
      <c r="AT20" s="2004"/>
      <c r="AU20" s="2004"/>
      <c r="AV20" s="2004"/>
      <c r="AW20" s="2004">
        <v>24.7</v>
      </c>
      <c r="AX20" s="2004"/>
      <c r="AY20" s="2004"/>
      <c r="AZ20" s="2004"/>
      <c r="BA20" s="2004"/>
      <c r="BB20" s="2004"/>
      <c r="BC20" s="2004"/>
      <c r="BD20" s="2004"/>
      <c r="BE20" s="2004"/>
      <c r="BF20" s="2004"/>
      <c r="BG20" s="2004"/>
      <c r="BH20" s="2004">
        <v>8.6999999999999994E-2</v>
      </c>
      <c r="BI20" s="2004"/>
      <c r="BJ20" s="2004"/>
      <c r="BK20" s="2004"/>
      <c r="BL20" s="2004"/>
      <c r="BM20" s="2004"/>
      <c r="BN20" s="2004">
        <v>5</v>
      </c>
      <c r="BO20" s="2004" t="s">
        <v>9321</v>
      </c>
      <c r="BP20" s="516">
        <v>46.9</v>
      </c>
      <c r="BQ20" s="693">
        <v>46.3</v>
      </c>
      <c r="BR20" s="2004" t="s">
        <v>9204</v>
      </c>
      <c r="BS20" s="2004" t="s">
        <v>9204</v>
      </c>
      <c r="BT20" s="2004">
        <v>0</v>
      </c>
      <c r="BU20" s="2004" t="s">
        <v>9204</v>
      </c>
      <c r="BV20" s="2004">
        <v>0</v>
      </c>
      <c r="BW20" s="2004">
        <v>46.3</v>
      </c>
      <c r="BX20" s="2004" t="s">
        <v>2335</v>
      </c>
      <c r="BY20" s="2004">
        <v>0</v>
      </c>
      <c r="BZ20" s="2004">
        <v>0</v>
      </c>
      <c r="CA20" s="2004">
        <v>0</v>
      </c>
      <c r="CB20" s="2004">
        <v>0</v>
      </c>
      <c r="CC20" s="2004">
        <v>45.3</v>
      </c>
      <c r="CD20" s="2004" t="s">
        <v>2335</v>
      </c>
      <c r="CE20" s="2004">
        <v>0</v>
      </c>
      <c r="CF20" s="2004">
        <v>0</v>
      </c>
      <c r="CG20" s="2004">
        <v>0</v>
      </c>
      <c r="CH20" s="2004">
        <v>0</v>
      </c>
      <c r="CI20" s="2004">
        <v>44.9</v>
      </c>
      <c r="CJ20" s="2004" t="s">
        <v>2335</v>
      </c>
      <c r="CK20" s="2004">
        <v>0</v>
      </c>
      <c r="CL20" s="2004">
        <v>0</v>
      </c>
      <c r="CM20" s="2004">
        <v>0</v>
      </c>
      <c r="CN20" s="2004">
        <v>0</v>
      </c>
      <c r="CP20" s="2004" t="s">
        <v>9322</v>
      </c>
    </row>
    <row r="21" spans="1:94">
      <c r="A21" s="2004" t="s">
        <v>9050</v>
      </c>
      <c r="B21" s="2004" t="s">
        <v>9323</v>
      </c>
      <c r="C21" s="2004" t="s">
        <v>9047</v>
      </c>
      <c r="D21" s="2004" t="s">
        <v>1628</v>
      </c>
      <c r="E21" s="2004" t="s">
        <v>9194</v>
      </c>
      <c r="F21" s="2004" t="s">
        <v>9317</v>
      </c>
      <c r="G21" s="2004" t="s">
        <v>9257</v>
      </c>
      <c r="H21" s="2004" t="s">
        <v>9324</v>
      </c>
      <c r="I21" s="2004" t="s">
        <v>9325</v>
      </c>
      <c r="J21" s="2004" t="s">
        <v>9230</v>
      </c>
      <c r="K21" s="2004"/>
      <c r="L21" s="2004"/>
      <c r="M21" s="2004"/>
      <c r="N21" s="2004" t="s">
        <v>9326</v>
      </c>
      <c r="O21" s="2004" t="s">
        <v>766</v>
      </c>
      <c r="P21" s="2004" t="s">
        <v>9327</v>
      </c>
      <c r="Q21" s="516">
        <v>0</v>
      </c>
      <c r="R21" s="2004" t="s">
        <v>9202</v>
      </c>
      <c r="S21" s="2004">
        <v>1</v>
      </c>
      <c r="T21" s="2004"/>
      <c r="U21" s="2004"/>
      <c r="V21" s="2004"/>
      <c r="W21" s="2004"/>
      <c r="X21" s="2004">
        <v>1</v>
      </c>
      <c r="Y21" s="2004"/>
      <c r="Z21" s="2004"/>
      <c r="AA21" s="2004"/>
      <c r="AB21" s="2004"/>
      <c r="AC21" s="2004"/>
      <c r="AD21" s="2004"/>
      <c r="AE21" s="2004"/>
      <c r="AF21" s="2004"/>
      <c r="AG21" s="2004"/>
      <c r="AH21" s="2004">
        <v>0</v>
      </c>
      <c r="AI21" s="2004"/>
      <c r="AJ21" s="2004"/>
      <c r="AK21" s="2004"/>
      <c r="AL21" s="2004"/>
      <c r="AM21" s="2004"/>
      <c r="AN21" s="2004"/>
      <c r="AO21" s="2004"/>
      <c r="AP21" s="2004"/>
      <c r="AQ21" s="2004"/>
      <c r="AR21" s="2004"/>
      <c r="AS21" s="2004"/>
      <c r="AT21" s="2004"/>
      <c r="AU21" s="2004"/>
      <c r="AV21" s="2004"/>
      <c r="AW21" s="2004"/>
      <c r="AX21" s="2004"/>
      <c r="AY21" s="2004"/>
      <c r="AZ21" s="2004"/>
      <c r="BA21" s="2004"/>
      <c r="BB21" s="2004"/>
      <c r="BC21" s="2004"/>
      <c r="BD21" s="2004"/>
      <c r="BE21" s="2004"/>
      <c r="BF21" s="2004"/>
      <c r="BG21" s="2004"/>
      <c r="BH21" s="2004"/>
      <c r="BI21" s="2004"/>
      <c r="BJ21" s="2004"/>
      <c r="BK21" s="2004"/>
      <c r="BL21" s="2004"/>
      <c r="BM21" s="2004"/>
      <c r="BN21" s="2004"/>
      <c r="BO21" s="2004"/>
      <c r="BP21" s="516">
        <v>1</v>
      </c>
      <c r="BQ21" s="691">
        <v>1</v>
      </c>
      <c r="BR21" s="2004" t="s">
        <v>9204</v>
      </c>
      <c r="BS21" s="2004" t="s">
        <v>9204</v>
      </c>
      <c r="BT21" s="2004">
        <v>0</v>
      </c>
      <c r="BU21" s="2004" t="s">
        <v>9204</v>
      </c>
      <c r="BV21" s="2004">
        <v>0</v>
      </c>
      <c r="BW21" s="2004">
        <v>1</v>
      </c>
      <c r="BX21" s="2004" t="s">
        <v>2335</v>
      </c>
      <c r="BY21" s="2004">
        <v>0</v>
      </c>
      <c r="BZ21" s="2004">
        <v>0</v>
      </c>
      <c r="CA21" s="2004">
        <v>0</v>
      </c>
      <c r="CB21" s="2004">
        <v>0</v>
      </c>
      <c r="CC21" s="2004">
        <v>1</v>
      </c>
      <c r="CD21" s="2004" t="s">
        <v>2335</v>
      </c>
      <c r="CE21" s="2004">
        <v>0</v>
      </c>
      <c r="CF21" s="2004">
        <v>0</v>
      </c>
      <c r="CG21" s="2004">
        <v>0</v>
      </c>
      <c r="CH21" s="2004">
        <v>0</v>
      </c>
      <c r="CI21" s="2004">
        <v>1</v>
      </c>
      <c r="CJ21" s="2004" t="s">
        <v>2335</v>
      </c>
      <c r="CK21" s="2004">
        <v>0</v>
      </c>
      <c r="CL21" s="2004">
        <v>0</v>
      </c>
      <c r="CM21" s="2004">
        <v>0</v>
      </c>
      <c r="CN21" s="2004">
        <v>0</v>
      </c>
      <c r="CP21" s="2004" t="s">
        <v>9328</v>
      </c>
    </row>
    <row r="22" spans="1:94">
      <c r="A22" s="2004" t="s">
        <v>9050</v>
      </c>
      <c r="B22" s="2004" t="s">
        <v>9329</v>
      </c>
      <c r="C22" s="2004" t="s">
        <v>9047</v>
      </c>
      <c r="D22" s="2004" t="s">
        <v>1628</v>
      </c>
      <c r="E22" s="2004" t="s">
        <v>9194</v>
      </c>
      <c r="F22" s="2004" t="s">
        <v>9330</v>
      </c>
      <c r="G22" s="2004" t="s">
        <v>9331</v>
      </c>
      <c r="H22" s="2004" t="s">
        <v>9332</v>
      </c>
      <c r="I22" s="2004" t="s">
        <v>9333</v>
      </c>
      <c r="J22" s="2004" t="s">
        <v>9230</v>
      </c>
      <c r="K22" s="2004"/>
      <c r="L22" s="2004"/>
      <c r="M22" s="2004"/>
      <c r="N22" s="2004" t="s">
        <v>9218</v>
      </c>
      <c r="O22" s="2004" t="s">
        <v>9282</v>
      </c>
      <c r="P22" s="2004" t="s">
        <v>9334</v>
      </c>
      <c r="Q22" s="516">
        <v>0</v>
      </c>
      <c r="R22" s="2004" t="s">
        <v>9240</v>
      </c>
      <c r="S22" s="2004">
        <v>100</v>
      </c>
      <c r="T22" s="2004"/>
      <c r="U22" s="2004"/>
      <c r="V22" s="2004"/>
      <c r="W22" s="2004"/>
      <c r="X22" s="2004">
        <v>100</v>
      </c>
      <c r="Y22" s="2004"/>
      <c r="Z22" s="2004"/>
      <c r="AA22" s="2004"/>
      <c r="AB22" s="2004"/>
      <c r="AC22" s="2004"/>
      <c r="AD22" s="2004"/>
      <c r="AE22" s="2004"/>
      <c r="AF22" s="2004"/>
      <c r="AG22" s="2004"/>
      <c r="AH22" s="2004">
        <v>0</v>
      </c>
      <c r="AI22" s="2004"/>
      <c r="AJ22" s="2004"/>
      <c r="AK22" s="2004"/>
      <c r="AL22" s="2004"/>
      <c r="AM22" s="2004"/>
      <c r="AN22" s="2004"/>
      <c r="AO22" s="2004"/>
      <c r="AP22" s="2004"/>
      <c r="AQ22" s="2004"/>
      <c r="AR22" s="2004"/>
      <c r="AS22" s="2004"/>
      <c r="AT22" s="2004"/>
      <c r="AU22" s="2004"/>
      <c r="AV22" s="2004"/>
      <c r="AW22" s="2004"/>
      <c r="AX22" s="2004"/>
      <c r="AY22" s="2004"/>
      <c r="AZ22" s="2004"/>
      <c r="BA22" s="2004"/>
      <c r="BB22" s="2004"/>
      <c r="BC22" s="2004"/>
      <c r="BD22" s="2004"/>
      <c r="BE22" s="2004"/>
      <c r="BF22" s="2004"/>
      <c r="BG22" s="2004"/>
      <c r="BH22" s="2004"/>
      <c r="BI22" s="2004"/>
      <c r="BJ22" s="2004"/>
      <c r="BK22" s="2004"/>
      <c r="BL22" s="2004"/>
      <c r="BM22" s="2004"/>
      <c r="BN22" s="2004"/>
      <c r="BO22" s="2004"/>
      <c r="BP22" s="516">
        <v>100</v>
      </c>
      <c r="BQ22" s="691">
        <v>100</v>
      </c>
      <c r="BR22" s="2004" t="s">
        <v>9204</v>
      </c>
      <c r="BS22" s="2004" t="s">
        <v>9204</v>
      </c>
      <c r="BT22" s="2004">
        <v>0</v>
      </c>
      <c r="BU22" s="2004" t="s">
        <v>9204</v>
      </c>
      <c r="BV22" s="2004">
        <v>0</v>
      </c>
      <c r="BW22" s="2004">
        <v>100</v>
      </c>
      <c r="BX22" s="2004" t="s">
        <v>2335</v>
      </c>
      <c r="BY22" s="2004">
        <v>0</v>
      </c>
      <c r="BZ22" s="2004">
        <v>0</v>
      </c>
      <c r="CA22" s="2004">
        <v>0</v>
      </c>
      <c r="CB22" s="2004">
        <v>0</v>
      </c>
      <c r="CC22" s="2004">
        <v>100</v>
      </c>
      <c r="CD22" s="2004" t="s">
        <v>2335</v>
      </c>
      <c r="CE22" s="2004">
        <v>0</v>
      </c>
      <c r="CF22" s="2004">
        <v>0</v>
      </c>
      <c r="CG22" s="2004">
        <v>0</v>
      </c>
      <c r="CH22" s="2004">
        <v>0</v>
      </c>
      <c r="CI22" s="2004">
        <v>100</v>
      </c>
      <c r="CJ22" s="2004" t="s">
        <v>2335</v>
      </c>
      <c r="CK22" s="2004">
        <v>0</v>
      </c>
      <c r="CL22" s="2004">
        <v>0</v>
      </c>
      <c r="CM22" s="2004">
        <v>0</v>
      </c>
      <c r="CN22" s="2004">
        <v>0</v>
      </c>
      <c r="CP22" s="2004" t="s">
        <v>9335</v>
      </c>
    </row>
    <row r="23" spans="1:94">
      <c r="A23" s="2004" t="s">
        <v>9050</v>
      </c>
      <c r="B23" s="2004" t="s">
        <v>9336</v>
      </c>
      <c r="C23" s="2004" t="s">
        <v>9047</v>
      </c>
      <c r="D23" s="2004" t="s">
        <v>1628</v>
      </c>
      <c r="E23" s="2004" t="s">
        <v>9194</v>
      </c>
      <c r="F23" s="2004" t="s">
        <v>9330</v>
      </c>
      <c r="G23" s="2004" t="s">
        <v>9337</v>
      </c>
      <c r="H23" s="2004" t="s">
        <v>9338</v>
      </c>
      <c r="I23" s="2004" t="s">
        <v>9339</v>
      </c>
      <c r="J23" s="2004" t="s">
        <v>9230</v>
      </c>
      <c r="K23" s="2004"/>
      <c r="L23" s="2004"/>
      <c r="M23" s="2004"/>
      <c r="N23" s="2004" t="s">
        <v>9218</v>
      </c>
      <c r="O23" s="2004" t="s">
        <v>9282</v>
      </c>
      <c r="P23" s="2004" t="s">
        <v>9334</v>
      </c>
      <c r="Q23" s="516">
        <v>0</v>
      </c>
      <c r="R23" s="2004" t="s">
        <v>9240</v>
      </c>
      <c r="S23" s="2004">
        <v>100</v>
      </c>
      <c r="T23" s="2004"/>
      <c r="U23" s="2004"/>
      <c r="V23" s="2004"/>
      <c r="W23" s="2004"/>
      <c r="X23" s="2004">
        <v>100</v>
      </c>
      <c r="Y23" s="2004"/>
      <c r="Z23" s="2004"/>
      <c r="AA23" s="2004"/>
      <c r="AB23" s="2004"/>
      <c r="AC23" s="2004"/>
      <c r="AD23" s="2004"/>
      <c r="AE23" s="2004"/>
      <c r="AF23" s="2004"/>
      <c r="AG23" s="2004"/>
      <c r="AH23" s="2004">
        <v>0</v>
      </c>
      <c r="AI23" s="2004"/>
      <c r="AJ23" s="2004"/>
      <c r="AK23" s="2004"/>
      <c r="AL23" s="2004"/>
      <c r="AM23" s="2004"/>
      <c r="AN23" s="2004"/>
      <c r="AO23" s="2004"/>
      <c r="AP23" s="2004"/>
      <c r="AQ23" s="2004"/>
      <c r="AR23" s="2004"/>
      <c r="AS23" s="2004"/>
      <c r="AT23" s="2004"/>
      <c r="AU23" s="2004"/>
      <c r="AV23" s="2004"/>
      <c r="AW23" s="2004"/>
      <c r="AX23" s="2004"/>
      <c r="AY23" s="2004"/>
      <c r="AZ23" s="2004"/>
      <c r="BA23" s="2004"/>
      <c r="BB23" s="2004"/>
      <c r="BC23" s="2004"/>
      <c r="BD23" s="2004"/>
      <c r="BE23" s="2004"/>
      <c r="BF23" s="2004"/>
      <c r="BG23" s="2004"/>
      <c r="BH23" s="2004"/>
      <c r="BI23" s="2004"/>
      <c r="BJ23" s="2004"/>
      <c r="BK23" s="2004"/>
      <c r="BL23" s="2004"/>
      <c r="BM23" s="2004"/>
      <c r="BN23" s="2004"/>
      <c r="BO23" s="2004"/>
      <c r="BP23" s="516">
        <v>100</v>
      </c>
      <c r="BQ23" s="691">
        <v>100</v>
      </c>
      <c r="BR23" s="2004" t="s">
        <v>9204</v>
      </c>
      <c r="BS23" s="2004" t="s">
        <v>9204</v>
      </c>
      <c r="BT23" s="2004">
        <v>0</v>
      </c>
      <c r="BU23" s="2004" t="s">
        <v>9204</v>
      </c>
      <c r="BV23" s="2004">
        <v>0</v>
      </c>
      <c r="BW23" s="2004">
        <v>100</v>
      </c>
      <c r="BX23" s="2004" t="s">
        <v>2335</v>
      </c>
      <c r="BY23" s="2004">
        <v>0</v>
      </c>
      <c r="BZ23" s="2004">
        <v>0</v>
      </c>
      <c r="CA23" s="2004">
        <v>0</v>
      </c>
      <c r="CB23" s="2004">
        <v>0</v>
      </c>
      <c r="CC23" s="2004">
        <v>100</v>
      </c>
      <c r="CD23" s="2004" t="s">
        <v>2335</v>
      </c>
      <c r="CE23" s="2004">
        <v>0</v>
      </c>
      <c r="CF23" s="2004">
        <v>0</v>
      </c>
      <c r="CG23" s="2004">
        <v>0</v>
      </c>
      <c r="CH23" s="2004">
        <v>0</v>
      </c>
      <c r="CI23" s="2004">
        <v>100</v>
      </c>
      <c r="CJ23" s="2004" t="s">
        <v>2335</v>
      </c>
      <c r="CK23" s="2004">
        <v>0</v>
      </c>
      <c r="CL23" s="2004">
        <v>0</v>
      </c>
      <c r="CM23" s="2004">
        <v>0</v>
      </c>
      <c r="CN23" s="2004">
        <v>0</v>
      </c>
      <c r="CP23" s="2004" t="s">
        <v>9340</v>
      </c>
    </row>
    <row r="24" spans="1:94">
      <c r="A24" s="2004" t="s">
        <v>9050</v>
      </c>
      <c r="B24" s="2004" t="s">
        <v>9341</v>
      </c>
      <c r="C24" s="2004" t="s">
        <v>9047</v>
      </c>
      <c r="D24" s="2004" t="s">
        <v>1628</v>
      </c>
      <c r="E24" s="2004" t="s">
        <v>9194</v>
      </c>
      <c r="F24" s="2004" t="s">
        <v>9330</v>
      </c>
      <c r="G24" s="2004" t="s">
        <v>9342</v>
      </c>
      <c r="H24" s="2004" t="s">
        <v>9343</v>
      </c>
      <c r="I24" s="2004" t="s">
        <v>9344</v>
      </c>
      <c r="J24" s="2004" t="s">
        <v>9210</v>
      </c>
      <c r="K24" s="2004" t="s">
        <v>9200</v>
      </c>
      <c r="L24" s="2004"/>
      <c r="M24" s="2004"/>
      <c r="N24" s="2004" t="s">
        <v>9211</v>
      </c>
      <c r="O24" s="2004" t="s">
        <v>766</v>
      </c>
      <c r="P24" s="2004" t="s">
        <v>9345</v>
      </c>
      <c r="Q24" s="516">
        <v>0</v>
      </c>
      <c r="R24" s="2004" t="s">
        <v>9240</v>
      </c>
      <c r="S24" s="2004">
        <v>0</v>
      </c>
      <c r="T24" s="2004"/>
      <c r="U24" s="2004"/>
      <c r="V24" s="2004"/>
      <c r="W24" s="2004"/>
      <c r="X24" s="2004">
        <v>7</v>
      </c>
      <c r="Y24" s="2004"/>
      <c r="Z24" s="2004"/>
      <c r="AA24" s="2004"/>
      <c r="AB24" s="2004"/>
      <c r="AC24" s="2004"/>
      <c r="AD24" s="2004"/>
      <c r="AE24" s="2004"/>
      <c r="AF24" s="2004"/>
      <c r="AG24" s="2004"/>
      <c r="AH24" s="2004">
        <v>0</v>
      </c>
      <c r="AI24" s="2004"/>
      <c r="AJ24" s="2004"/>
      <c r="AK24" s="2004"/>
      <c r="AL24" s="2004"/>
      <c r="AM24" s="2004" t="s">
        <v>2337</v>
      </c>
      <c r="AN24" s="2004"/>
      <c r="AO24" s="2004"/>
      <c r="AP24" s="2004"/>
      <c r="AQ24" s="2004"/>
      <c r="AR24" s="2004">
        <v>0</v>
      </c>
      <c r="AS24" s="2004"/>
      <c r="AT24" s="2004"/>
      <c r="AU24" s="2004"/>
      <c r="AV24" s="2004"/>
      <c r="AW24" s="2004">
        <v>7</v>
      </c>
      <c r="AX24" s="2004"/>
      <c r="AY24" s="2004"/>
      <c r="AZ24" s="2004"/>
      <c r="BA24" s="2004"/>
      <c r="BB24" s="2004"/>
      <c r="BC24" s="2004"/>
      <c r="BD24" s="2004"/>
      <c r="BE24" s="2004"/>
      <c r="BF24" s="2004"/>
      <c r="BG24" s="2004"/>
      <c r="BH24" s="2004">
        <v>0.222</v>
      </c>
      <c r="BI24" s="2004"/>
      <c r="BJ24" s="2004"/>
      <c r="BK24" s="2004"/>
      <c r="BL24" s="2004"/>
      <c r="BM24" s="2004"/>
      <c r="BN24" s="2004">
        <v>5</v>
      </c>
      <c r="BO24" s="2004" t="s">
        <v>9321</v>
      </c>
      <c r="BP24" s="516">
        <v>0</v>
      </c>
      <c r="BQ24" s="691">
        <v>-2</v>
      </c>
      <c r="BR24" s="2004" t="s">
        <v>9204</v>
      </c>
      <c r="BS24" s="2004" t="s">
        <v>9204</v>
      </c>
      <c r="BT24" s="2004">
        <v>0</v>
      </c>
      <c r="BU24" s="2004" t="s">
        <v>9204</v>
      </c>
      <c r="BV24" s="2004">
        <v>0</v>
      </c>
      <c r="BW24" s="2004">
        <v>-2</v>
      </c>
      <c r="BX24" s="2004" t="s">
        <v>2335</v>
      </c>
      <c r="BY24" s="2004">
        <v>0</v>
      </c>
      <c r="BZ24" s="2004">
        <v>0</v>
      </c>
      <c r="CA24" s="2004">
        <v>0</v>
      </c>
      <c r="CB24" s="2004">
        <v>0</v>
      </c>
      <c r="CC24" s="2004">
        <v>-4</v>
      </c>
      <c r="CD24" s="2004" t="s">
        <v>2335</v>
      </c>
      <c r="CE24" s="2004">
        <v>0</v>
      </c>
      <c r="CF24" s="2004">
        <v>0</v>
      </c>
      <c r="CG24" s="2004">
        <v>0</v>
      </c>
      <c r="CH24" s="2004">
        <v>0</v>
      </c>
      <c r="CI24" s="2004">
        <v>-11</v>
      </c>
      <c r="CJ24" s="2004" t="s">
        <v>2335</v>
      </c>
      <c r="CK24" s="2004">
        <v>0</v>
      </c>
      <c r="CL24" s="2004">
        <v>0</v>
      </c>
      <c r="CM24" s="2004">
        <v>0</v>
      </c>
      <c r="CN24" s="2004">
        <v>0</v>
      </c>
      <c r="CP24" s="2004" t="s">
        <v>9346</v>
      </c>
    </row>
    <row r="25" spans="1:94">
      <c r="A25" s="2004" t="s">
        <v>9050</v>
      </c>
      <c r="B25" s="2004" t="s">
        <v>9347</v>
      </c>
      <c r="C25" s="2004" t="s">
        <v>9047</v>
      </c>
      <c r="D25" s="2004" t="s">
        <v>1628</v>
      </c>
      <c r="E25" s="2004" t="s">
        <v>9194</v>
      </c>
      <c r="F25" s="2004" t="s">
        <v>9330</v>
      </c>
      <c r="G25" s="2004" t="s">
        <v>9348</v>
      </c>
      <c r="H25" s="2004" t="s">
        <v>9349</v>
      </c>
      <c r="I25" s="2004" t="s">
        <v>9350</v>
      </c>
      <c r="J25" s="2004" t="s">
        <v>9199</v>
      </c>
      <c r="K25" s="2004" t="s">
        <v>9200</v>
      </c>
      <c r="L25" s="2004" t="s">
        <v>2337</v>
      </c>
      <c r="M25" s="2004" t="s">
        <v>2334</v>
      </c>
      <c r="N25" s="2004" t="s">
        <v>2927</v>
      </c>
      <c r="O25" s="2004" t="s">
        <v>766</v>
      </c>
      <c r="P25" s="2004" t="s">
        <v>9201</v>
      </c>
      <c r="Q25" s="516">
        <v>0</v>
      </c>
      <c r="R25" s="2004" t="s">
        <v>9202</v>
      </c>
      <c r="S25" s="2004">
        <v>192</v>
      </c>
      <c r="T25" s="2004">
        <v>192</v>
      </c>
      <c r="U25" s="2004">
        <v>192</v>
      </c>
      <c r="V25" s="2004">
        <v>192</v>
      </c>
      <c r="W25" s="2004">
        <v>192</v>
      </c>
      <c r="X25" s="2004">
        <v>192</v>
      </c>
      <c r="Y25" s="2004"/>
      <c r="Z25" s="2004"/>
      <c r="AA25" s="2004"/>
      <c r="AB25" s="2004"/>
      <c r="AC25" s="2004"/>
      <c r="AD25" s="2004"/>
      <c r="AE25" s="2004" t="s">
        <v>2337</v>
      </c>
      <c r="AF25" s="2004"/>
      <c r="AG25" s="2004"/>
      <c r="AH25" s="2004">
        <v>0</v>
      </c>
      <c r="AI25" s="2004" t="s">
        <v>2337</v>
      </c>
      <c r="AJ25" s="2004" t="s">
        <v>2337</v>
      </c>
      <c r="AK25" s="2004" t="s">
        <v>2337</v>
      </c>
      <c r="AL25" s="2004" t="s">
        <v>2337</v>
      </c>
      <c r="AM25" s="2004" t="s">
        <v>2337</v>
      </c>
      <c r="AN25" s="2004">
        <v>211</v>
      </c>
      <c r="AO25" s="2004">
        <v>211</v>
      </c>
      <c r="AP25" s="2004">
        <v>211</v>
      </c>
      <c r="AQ25" s="2004">
        <v>211</v>
      </c>
      <c r="AR25" s="2004">
        <v>211</v>
      </c>
      <c r="AS25" s="2004">
        <v>192</v>
      </c>
      <c r="AT25" s="2004">
        <v>192</v>
      </c>
      <c r="AU25" s="2004">
        <v>192</v>
      </c>
      <c r="AV25" s="2004">
        <v>192</v>
      </c>
      <c r="AW25" s="2004">
        <v>192</v>
      </c>
      <c r="AX25" s="2004">
        <v>192</v>
      </c>
      <c r="AY25" s="2004">
        <v>192</v>
      </c>
      <c r="AZ25" s="2004">
        <v>192</v>
      </c>
      <c r="BA25" s="2004">
        <v>192</v>
      </c>
      <c r="BB25" s="2004">
        <v>192</v>
      </c>
      <c r="BC25" s="2004">
        <v>191</v>
      </c>
      <c r="BD25" s="2004">
        <v>187</v>
      </c>
      <c r="BE25" s="2004">
        <v>182</v>
      </c>
      <c r="BF25" s="2004">
        <v>177</v>
      </c>
      <c r="BG25" s="2004">
        <v>172</v>
      </c>
      <c r="BH25" s="2004">
        <v>0.4</v>
      </c>
      <c r="BI25" s="2004"/>
      <c r="BJ25" s="2004"/>
      <c r="BK25" s="2004"/>
      <c r="BL25" s="2004">
        <v>0.51500000000000001</v>
      </c>
      <c r="BM25" s="2004">
        <v>0.51500000000000001</v>
      </c>
      <c r="BN25" s="2004">
        <v>1</v>
      </c>
      <c r="BO25" s="2004" t="s">
        <v>9203</v>
      </c>
      <c r="BP25" s="516">
        <v>191</v>
      </c>
      <c r="BQ25" s="691">
        <v>189</v>
      </c>
      <c r="BR25" s="2004" t="s">
        <v>2337</v>
      </c>
      <c r="BS25" s="2004" t="s">
        <v>2339</v>
      </c>
      <c r="BT25" s="2004">
        <v>0.51500000000000001</v>
      </c>
      <c r="BU25" s="2004" t="s">
        <v>9204</v>
      </c>
      <c r="BV25" s="2004">
        <v>0</v>
      </c>
      <c r="BW25" s="2004">
        <v>186</v>
      </c>
      <c r="BX25" s="2004" t="s">
        <v>2337</v>
      </c>
      <c r="BY25" s="2004" t="s">
        <v>2339</v>
      </c>
      <c r="BZ25" s="2004">
        <v>2.5750000000000002</v>
      </c>
      <c r="CA25" s="2004">
        <v>0</v>
      </c>
      <c r="CB25" s="2004">
        <v>0</v>
      </c>
      <c r="CC25" s="2004">
        <v>183.3</v>
      </c>
      <c r="CD25" s="2004" t="s">
        <v>2337</v>
      </c>
      <c r="CE25" s="2004" t="s">
        <v>2339</v>
      </c>
      <c r="CF25" s="2004">
        <v>4.6349999999999998</v>
      </c>
      <c r="CG25" s="2004">
        <v>0</v>
      </c>
      <c r="CH25" s="2004">
        <v>0</v>
      </c>
      <c r="CI25" s="2004">
        <v>186</v>
      </c>
      <c r="CJ25" s="2004" t="s">
        <v>2337</v>
      </c>
      <c r="CK25" s="2004" t="s">
        <v>2339</v>
      </c>
      <c r="CL25" s="2004">
        <v>3.09</v>
      </c>
      <c r="CM25" s="2004">
        <v>0</v>
      </c>
      <c r="CN25" s="2004">
        <v>0</v>
      </c>
      <c r="CP25" s="2004" t="s">
        <v>9351</v>
      </c>
    </row>
    <row r="26" spans="1:94">
      <c r="A26" s="2004" t="s">
        <v>9050</v>
      </c>
      <c r="B26" s="2004" t="s">
        <v>9352</v>
      </c>
      <c r="C26" s="2004" t="s">
        <v>9047</v>
      </c>
      <c r="D26" s="2004" t="s">
        <v>1628</v>
      </c>
      <c r="E26" s="2004" t="s">
        <v>9194</v>
      </c>
      <c r="F26" s="2004" t="s">
        <v>9353</v>
      </c>
      <c r="G26" s="2004" t="s">
        <v>9354</v>
      </c>
      <c r="H26" s="2004" t="s">
        <v>9355</v>
      </c>
      <c r="I26" s="2004" t="s">
        <v>9356</v>
      </c>
      <c r="J26" s="2004" t="s">
        <v>9230</v>
      </c>
      <c r="K26" s="2004"/>
      <c r="L26" s="2004"/>
      <c r="M26" s="2004"/>
      <c r="N26" s="2004" t="s">
        <v>9357</v>
      </c>
      <c r="O26" s="2004" t="s">
        <v>734</v>
      </c>
      <c r="P26" s="2004" t="s">
        <v>9358</v>
      </c>
      <c r="Q26" s="516">
        <v>0</v>
      </c>
      <c r="R26" s="2004" t="s">
        <v>9240</v>
      </c>
      <c r="S26" s="2004">
        <v>49</v>
      </c>
      <c r="T26" s="2004"/>
      <c r="U26" s="2004"/>
      <c r="V26" s="2004"/>
      <c r="W26" s="2004"/>
      <c r="X26" s="2004">
        <v>50</v>
      </c>
      <c r="Y26" s="2004"/>
      <c r="Z26" s="2004"/>
      <c r="AA26" s="2004"/>
      <c r="AB26" s="2004"/>
      <c r="AC26" s="2004"/>
      <c r="AD26" s="2004"/>
      <c r="AE26" s="2004"/>
      <c r="AF26" s="2004" t="s">
        <v>2337</v>
      </c>
      <c r="AG26" s="2004"/>
      <c r="AH26" s="2004">
        <v>0</v>
      </c>
      <c r="AI26" s="2004"/>
      <c r="AJ26" s="2004"/>
      <c r="AK26" s="2004"/>
      <c r="AL26" s="2004"/>
      <c r="AM26" s="2004"/>
      <c r="AN26" s="2004"/>
      <c r="AO26" s="2004"/>
      <c r="AP26" s="2004"/>
      <c r="AQ26" s="2004"/>
      <c r="AR26" s="2004"/>
      <c r="AS26" s="2004"/>
      <c r="AT26" s="2004"/>
      <c r="AU26" s="2004"/>
      <c r="AV26" s="2004"/>
      <c r="AW26" s="2004"/>
      <c r="AX26" s="2004"/>
      <c r="AY26" s="2004"/>
      <c r="AZ26" s="2004"/>
      <c r="BA26" s="2004"/>
      <c r="BB26" s="2004"/>
      <c r="BC26" s="2004"/>
      <c r="BD26" s="2004"/>
      <c r="BE26" s="2004"/>
      <c r="BF26" s="2004"/>
      <c r="BG26" s="2004"/>
      <c r="BH26" s="2004"/>
      <c r="BI26" s="2004"/>
      <c r="BJ26" s="2004"/>
      <c r="BK26" s="2004"/>
      <c r="BL26" s="2004"/>
      <c r="BM26" s="2004"/>
      <c r="BN26" s="2004"/>
      <c r="BO26" s="2004"/>
      <c r="BP26" s="516">
        <v>49</v>
      </c>
      <c r="BQ26" s="691">
        <v>98.85</v>
      </c>
      <c r="BR26" s="2004" t="s">
        <v>9204</v>
      </c>
      <c r="BS26" s="2004" t="s">
        <v>9204</v>
      </c>
      <c r="BT26" s="2004">
        <v>0</v>
      </c>
      <c r="BU26" s="2004" t="s">
        <v>9204</v>
      </c>
      <c r="BV26" s="2004">
        <v>0</v>
      </c>
      <c r="BW26" s="2004">
        <v>98.83</v>
      </c>
      <c r="BX26" s="2004" t="s">
        <v>2335</v>
      </c>
      <c r="BY26" s="2004">
        <v>0</v>
      </c>
      <c r="BZ26" s="2004">
        <v>0</v>
      </c>
      <c r="CA26" s="2004">
        <v>0</v>
      </c>
      <c r="CB26" s="2004">
        <v>0</v>
      </c>
      <c r="CC26" s="2004">
        <v>98.832999999999998</v>
      </c>
      <c r="CD26" s="2004" t="s">
        <v>2335</v>
      </c>
      <c r="CE26" s="2004">
        <v>0</v>
      </c>
      <c r="CF26" s="2004">
        <v>0</v>
      </c>
      <c r="CG26" s="2004">
        <v>0</v>
      </c>
      <c r="CH26" s="2004">
        <v>0</v>
      </c>
      <c r="CI26" s="2004">
        <v>99</v>
      </c>
      <c r="CJ26" s="2004" t="s">
        <v>2335</v>
      </c>
      <c r="CK26" s="2004">
        <v>0</v>
      </c>
      <c r="CL26" s="2004">
        <v>0</v>
      </c>
      <c r="CM26" s="2004">
        <v>0</v>
      </c>
      <c r="CN26" s="2004">
        <v>0</v>
      </c>
      <c r="CP26" s="2004" t="s">
        <v>9359</v>
      </c>
    </row>
    <row r="27" spans="1:94">
      <c r="A27" s="2004" t="s">
        <v>9050</v>
      </c>
      <c r="B27" s="2004" t="s">
        <v>9360</v>
      </c>
      <c r="C27" s="2004" t="s">
        <v>9047</v>
      </c>
      <c r="D27" s="2004" t="s">
        <v>1628</v>
      </c>
      <c r="E27" s="2004" t="s">
        <v>9194</v>
      </c>
      <c r="F27" s="2004" t="s">
        <v>9353</v>
      </c>
      <c r="G27" s="2004" t="s">
        <v>9361</v>
      </c>
      <c r="H27" s="2004" t="s">
        <v>9362</v>
      </c>
      <c r="I27" s="2004" t="s">
        <v>9363</v>
      </c>
      <c r="J27" s="2004" t="s">
        <v>9210</v>
      </c>
      <c r="K27" s="2004" t="s">
        <v>9200</v>
      </c>
      <c r="L27" s="2004"/>
      <c r="M27" s="2004"/>
      <c r="N27" s="2004" t="s">
        <v>9364</v>
      </c>
      <c r="O27" s="2004" t="s">
        <v>766</v>
      </c>
      <c r="P27" s="2004" t="s">
        <v>9365</v>
      </c>
      <c r="Q27" s="516">
        <v>0</v>
      </c>
      <c r="R27" s="2004" t="s">
        <v>9240</v>
      </c>
      <c r="S27" s="2004">
        <v>0</v>
      </c>
      <c r="T27" s="2004"/>
      <c r="U27" s="2004"/>
      <c r="V27" s="2004"/>
      <c r="W27" s="2004"/>
      <c r="X27" s="2004">
        <v>16</v>
      </c>
      <c r="Y27" s="2004"/>
      <c r="Z27" s="2004"/>
      <c r="AA27" s="2004"/>
      <c r="AB27" s="2004"/>
      <c r="AC27" s="2004"/>
      <c r="AD27" s="2004"/>
      <c r="AE27" s="2004"/>
      <c r="AF27" s="2004" t="s">
        <v>2337</v>
      </c>
      <c r="AG27" s="2004"/>
      <c r="AH27" s="2004">
        <v>0</v>
      </c>
      <c r="AI27" s="2004"/>
      <c r="AJ27" s="2004"/>
      <c r="AK27" s="2004"/>
      <c r="AL27" s="2004"/>
      <c r="AM27" s="2004" t="s">
        <v>2337</v>
      </c>
      <c r="AN27" s="2004"/>
      <c r="AO27" s="2004"/>
      <c r="AP27" s="2004"/>
      <c r="AQ27" s="2004"/>
      <c r="AR27" s="2004">
        <v>0</v>
      </c>
      <c r="AS27" s="2004"/>
      <c r="AT27" s="2004"/>
      <c r="AU27" s="2004"/>
      <c r="AV27" s="2004"/>
      <c r="AW27" s="2004">
        <v>16</v>
      </c>
      <c r="AX27" s="2004"/>
      <c r="AY27" s="2004"/>
      <c r="AZ27" s="2004"/>
      <c r="BA27" s="2004"/>
      <c r="BB27" s="2004"/>
      <c r="BC27" s="2004"/>
      <c r="BD27" s="2004"/>
      <c r="BE27" s="2004"/>
      <c r="BF27" s="2004"/>
      <c r="BG27" s="2004"/>
      <c r="BH27" s="2004">
        <v>0.156</v>
      </c>
      <c r="BI27" s="2004"/>
      <c r="BJ27" s="2004"/>
      <c r="BK27" s="2004"/>
      <c r="BL27" s="2004"/>
      <c r="BM27" s="2004"/>
      <c r="BN27" s="2004">
        <v>5</v>
      </c>
      <c r="BO27" s="2004" t="s">
        <v>9321</v>
      </c>
      <c r="BP27" s="516">
        <v>0</v>
      </c>
      <c r="BQ27" s="691">
        <v>0</v>
      </c>
      <c r="BR27" s="2004" t="s">
        <v>9204</v>
      </c>
      <c r="BS27" s="2004" t="s">
        <v>9204</v>
      </c>
      <c r="BT27" s="2004">
        <v>0</v>
      </c>
      <c r="BU27" s="2004" t="s">
        <v>9204</v>
      </c>
      <c r="BV27" s="2004">
        <v>0</v>
      </c>
      <c r="BW27" s="2004">
        <v>2</v>
      </c>
      <c r="BX27" s="2004" t="s">
        <v>2335</v>
      </c>
      <c r="BY27" s="2004">
        <v>0</v>
      </c>
      <c r="BZ27" s="2004">
        <v>0</v>
      </c>
      <c r="CA27" s="2004">
        <v>0</v>
      </c>
      <c r="CB27" s="2004">
        <v>0</v>
      </c>
      <c r="CC27" s="2004">
        <v>4</v>
      </c>
      <c r="CD27" s="2004" t="s">
        <v>2335</v>
      </c>
      <c r="CE27" s="2004">
        <v>0</v>
      </c>
      <c r="CF27" s="2004">
        <v>0</v>
      </c>
      <c r="CG27" s="2004">
        <v>0</v>
      </c>
      <c r="CH27" s="2004">
        <v>0</v>
      </c>
      <c r="CI27" s="2004">
        <v>5</v>
      </c>
      <c r="CJ27" s="2004" t="s">
        <v>2335</v>
      </c>
      <c r="CK27" s="2004">
        <v>0</v>
      </c>
      <c r="CL27" s="2004">
        <v>0</v>
      </c>
      <c r="CM27" s="2004">
        <v>0</v>
      </c>
      <c r="CN27" s="2004">
        <v>0</v>
      </c>
      <c r="CP27" s="2004" t="s">
        <v>9366</v>
      </c>
    </row>
    <row r="28" spans="1:94">
      <c r="A28" s="2004" t="s">
        <v>9050</v>
      </c>
      <c r="B28" s="2004" t="s">
        <v>9367</v>
      </c>
      <c r="C28" s="2004" t="s">
        <v>9047</v>
      </c>
      <c r="D28" s="2004" t="s">
        <v>1628</v>
      </c>
      <c r="E28" s="2004" t="s">
        <v>9194</v>
      </c>
      <c r="F28" s="2004" t="s">
        <v>9368</v>
      </c>
      <c r="G28" s="2004" t="s">
        <v>9369</v>
      </c>
      <c r="H28" s="2004" t="s">
        <v>9370</v>
      </c>
      <c r="I28" s="2004" t="s">
        <v>9371</v>
      </c>
      <c r="J28" s="2004" t="s">
        <v>9230</v>
      </c>
      <c r="K28" s="2004"/>
      <c r="L28" s="2004"/>
      <c r="M28" s="2004"/>
      <c r="N28" s="2004" t="s">
        <v>9372</v>
      </c>
      <c r="O28" s="2004" t="s">
        <v>734</v>
      </c>
      <c r="P28" s="2004" t="s">
        <v>9373</v>
      </c>
      <c r="Q28" s="516">
        <v>0</v>
      </c>
      <c r="R28" s="2004" t="s">
        <v>9240</v>
      </c>
      <c r="S28" s="2004">
        <v>0</v>
      </c>
      <c r="T28" s="2004"/>
      <c r="U28" s="2004"/>
      <c r="V28" s="2004"/>
      <c r="W28" s="2004"/>
      <c r="X28" s="2004">
        <v>7</v>
      </c>
      <c r="Y28" s="2004"/>
      <c r="Z28" s="2004"/>
      <c r="AA28" s="2004"/>
      <c r="AB28" s="2004"/>
      <c r="AC28" s="2004"/>
      <c r="AD28" s="2004"/>
      <c r="AE28" s="2004"/>
      <c r="AF28" s="2004"/>
      <c r="AG28" s="2004"/>
      <c r="AH28" s="2004">
        <v>0</v>
      </c>
      <c r="AI28" s="2004"/>
      <c r="AJ28" s="2004"/>
      <c r="AK28" s="2004"/>
      <c r="AL28" s="2004"/>
      <c r="AM28" s="2004"/>
      <c r="AN28" s="2004"/>
      <c r="AO28" s="2004"/>
      <c r="AP28" s="2004"/>
      <c r="AQ28" s="2004"/>
      <c r="AR28" s="2004"/>
      <c r="AS28" s="2004"/>
      <c r="AT28" s="2004"/>
      <c r="AU28" s="2004"/>
      <c r="AV28" s="2004"/>
      <c r="AW28" s="2004"/>
      <c r="AX28" s="2004"/>
      <c r="AY28" s="2004"/>
      <c r="AZ28" s="2004"/>
      <c r="BA28" s="2004"/>
      <c r="BB28" s="2004"/>
      <c r="BC28" s="2004"/>
      <c r="BD28" s="2004"/>
      <c r="BE28" s="2004"/>
      <c r="BF28" s="2004"/>
      <c r="BG28" s="2004"/>
      <c r="BH28" s="2004"/>
      <c r="BI28" s="2004"/>
      <c r="BJ28" s="2004"/>
      <c r="BK28" s="2004"/>
      <c r="BL28" s="2004"/>
      <c r="BM28" s="2004"/>
      <c r="BN28" s="2004"/>
      <c r="BO28" s="2004"/>
      <c r="BP28" s="516">
        <v>0</v>
      </c>
      <c r="BQ28" s="691">
        <v>5</v>
      </c>
      <c r="BR28" s="2004" t="s">
        <v>9204</v>
      </c>
      <c r="BS28" s="2004" t="s">
        <v>9204</v>
      </c>
      <c r="BT28" s="2004">
        <v>0</v>
      </c>
      <c r="BU28" s="2004" t="s">
        <v>9204</v>
      </c>
      <c r="BV28" s="2004">
        <v>0</v>
      </c>
      <c r="BW28" s="2004">
        <v>11</v>
      </c>
      <c r="BX28" s="2004" t="s">
        <v>2335</v>
      </c>
      <c r="BY28" s="2004">
        <v>0</v>
      </c>
      <c r="BZ28" s="2004">
        <v>0</v>
      </c>
      <c r="CA28" s="2004">
        <v>0</v>
      </c>
      <c r="CB28" s="2004">
        <v>0</v>
      </c>
      <c r="CC28" s="2004">
        <v>19.600000000000001</v>
      </c>
      <c r="CD28" s="2004" t="s">
        <v>2335</v>
      </c>
      <c r="CE28" s="2004">
        <v>0</v>
      </c>
      <c r="CF28" s="2004">
        <v>0</v>
      </c>
      <c r="CG28" s="2004">
        <v>0</v>
      </c>
      <c r="CH28" s="2004">
        <v>0</v>
      </c>
      <c r="CI28" s="2004">
        <v>29</v>
      </c>
      <c r="CJ28" s="2004" t="s">
        <v>2335</v>
      </c>
      <c r="CK28" s="2004">
        <v>0</v>
      </c>
      <c r="CL28" s="2004">
        <v>0</v>
      </c>
      <c r="CM28" s="2004">
        <v>0</v>
      </c>
      <c r="CN28" s="2004">
        <v>0</v>
      </c>
      <c r="CP28" s="2004" t="s">
        <v>9374</v>
      </c>
    </row>
    <row r="29" spans="1:94">
      <c r="A29" s="2004" t="s">
        <v>9050</v>
      </c>
      <c r="B29" s="2004" t="s">
        <v>9375</v>
      </c>
      <c r="C29" s="2004" t="s">
        <v>9047</v>
      </c>
      <c r="D29" s="2004" t="s">
        <v>1628</v>
      </c>
      <c r="E29" s="2004" t="s">
        <v>9194</v>
      </c>
      <c r="F29" s="2004" t="s">
        <v>9368</v>
      </c>
      <c r="G29" s="2004" t="s">
        <v>9376</v>
      </c>
      <c r="H29" s="2004" t="s">
        <v>9377</v>
      </c>
      <c r="I29" s="2004" t="s">
        <v>9378</v>
      </c>
      <c r="J29" s="2004" t="s">
        <v>9230</v>
      </c>
      <c r="K29" s="2004"/>
      <c r="L29" s="2004"/>
      <c r="M29" s="2004"/>
      <c r="N29" s="2004" t="s">
        <v>9372</v>
      </c>
      <c r="O29" s="2004" t="s">
        <v>734</v>
      </c>
      <c r="P29" s="2004" t="s">
        <v>9379</v>
      </c>
      <c r="Q29" s="516">
        <v>0</v>
      </c>
      <c r="R29" s="2004" t="s">
        <v>9240</v>
      </c>
      <c r="S29" s="2004">
        <v>50</v>
      </c>
      <c r="T29" s="2004"/>
      <c r="U29" s="2004"/>
      <c r="V29" s="2004"/>
      <c r="W29" s="2004"/>
      <c r="X29" s="2004">
        <v>60</v>
      </c>
      <c r="Y29" s="2004"/>
      <c r="Z29" s="2004"/>
      <c r="AA29" s="2004"/>
      <c r="AB29" s="2004"/>
      <c r="AC29" s="2004"/>
      <c r="AD29" s="2004"/>
      <c r="AE29" s="2004"/>
      <c r="AF29" s="2004"/>
      <c r="AG29" s="2004"/>
      <c r="AH29" s="2004">
        <v>0</v>
      </c>
      <c r="AI29" s="2004"/>
      <c r="AJ29" s="2004"/>
      <c r="AK29" s="2004"/>
      <c r="AL29" s="2004"/>
      <c r="AM29" s="2004"/>
      <c r="AN29" s="2004"/>
      <c r="AO29" s="2004"/>
      <c r="AP29" s="2004"/>
      <c r="AQ29" s="2004"/>
      <c r="AR29" s="2004"/>
      <c r="AS29" s="2004"/>
      <c r="AT29" s="2004"/>
      <c r="AU29" s="2004"/>
      <c r="AV29" s="2004"/>
      <c r="AW29" s="2004"/>
      <c r="AX29" s="2004"/>
      <c r="AY29" s="2004"/>
      <c r="AZ29" s="2004"/>
      <c r="BA29" s="2004"/>
      <c r="BB29" s="2004"/>
      <c r="BC29" s="2004"/>
      <c r="BD29" s="2004"/>
      <c r="BE29" s="2004"/>
      <c r="BF29" s="2004"/>
      <c r="BG29" s="2004"/>
      <c r="BH29" s="2004"/>
      <c r="BI29" s="2004"/>
      <c r="BJ29" s="2004"/>
      <c r="BK29" s="2004"/>
      <c r="BL29" s="2004"/>
      <c r="BM29" s="2004"/>
      <c r="BN29" s="2004"/>
      <c r="BO29" s="2004"/>
      <c r="BP29" s="516">
        <v>54</v>
      </c>
      <c r="BQ29" s="691">
        <v>53</v>
      </c>
      <c r="BR29" s="2004" t="s">
        <v>9204</v>
      </c>
      <c r="BS29" s="2004" t="s">
        <v>9204</v>
      </c>
      <c r="BT29" s="2004">
        <v>0</v>
      </c>
      <c r="BU29" s="2004" t="s">
        <v>9204</v>
      </c>
      <c r="BV29" s="2004">
        <v>0</v>
      </c>
      <c r="BW29" s="2004">
        <v>55</v>
      </c>
      <c r="BX29" s="2004" t="s">
        <v>2335</v>
      </c>
      <c r="BY29" s="2004">
        <v>0</v>
      </c>
      <c r="BZ29" s="2004">
        <v>0</v>
      </c>
      <c r="CA29" s="2004">
        <v>0</v>
      </c>
      <c r="CB29" s="2004">
        <v>0</v>
      </c>
      <c r="CC29" s="2004">
        <v>57</v>
      </c>
      <c r="CD29" s="2004" t="s">
        <v>2335</v>
      </c>
      <c r="CE29" s="2004">
        <v>0</v>
      </c>
      <c r="CF29" s="2004">
        <v>0</v>
      </c>
      <c r="CG29" s="2004">
        <v>0</v>
      </c>
      <c r="CH29" s="2004">
        <v>0</v>
      </c>
      <c r="CI29" s="2004">
        <v>58</v>
      </c>
      <c r="CJ29" s="2004" t="s">
        <v>2335</v>
      </c>
      <c r="CK29" s="2004">
        <v>0</v>
      </c>
      <c r="CL29" s="2004">
        <v>0</v>
      </c>
      <c r="CM29" s="2004">
        <v>0</v>
      </c>
      <c r="CN29" s="2004">
        <v>0</v>
      </c>
      <c r="CP29" s="2004" t="s">
        <v>9380</v>
      </c>
    </row>
    <row r="30" spans="1:94">
      <c r="A30" s="2004" t="s">
        <v>9050</v>
      </c>
      <c r="B30" s="2004" t="s">
        <v>9381</v>
      </c>
      <c r="C30" s="2004" t="s">
        <v>9047</v>
      </c>
      <c r="D30" s="2004" t="s">
        <v>1628</v>
      </c>
      <c r="E30" s="2004" t="s">
        <v>9194</v>
      </c>
      <c r="F30" s="2004" t="s">
        <v>9382</v>
      </c>
      <c r="G30" s="2004" t="s">
        <v>9383</v>
      </c>
      <c r="H30" s="2004" t="s">
        <v>9384</v>
      </c>
      <c r="I30" s="2004" t="s">
        <v>9385</v>
      </c>
      <c r="J30" s="2004" t="s">
        <v>9230</v>
      </c>
      <c r="K30" s="2004"/>
      <c r="L30" s="2004"/>
      <c r="M30" s="2004"/>
      <c r="N30" s="2004" t="s">
        <v>9386</v>
      </c>
      <c r="O30" s="2004" t="s">
        <v>734</v>
      </c>
      <c r="P30" s="2004" t="s">
        <v>9387</v>
      </c>
      <c r="Q30" s="516" t="s">
        <v>9203</v>
      </c>
      <c r="R30" s="2004" t="s">
        <v>9240</v>
      </c>
      <c r="S30" s="2004">
        <v>56</v>
      </c>
      <c r="T30" s="2004"/>
      <c r="U30" s="2004"/>
      <c r="V30" s="2004"/>
      <c r="W30" s="2004"/>
      <c r="X30" s="2004">
        <v>60</v>
      </c>
      <c r="Y30" s="2004"/>
      <c r="Z30" s="2004"/>
      <c r="AA30" s="2004"/>
      <c r="AB30" s="2004"/>
      <c r="AC30" s="2004"/>
      <c r="AD30" s="2004"/>
      <c r="AE30" s="2004"/>
      <c r="AF30" s="2004"/>
      <c r="AG30" s="2004"/>
      <c r="AH30" s="2004">
        <v>0</v>
      </c>
      <c r="AI30" s="2004"/>
      <c r="AJ30" s="2004"/>
      <c r="AK30" s="2004"/>
      <c r="AL30" s="2004"/>
      <c r="AM30" s="2004"/>
      <c r="AN30" s="2004"/>
      <c r="AO30" s="2004"/>
      <c r="AP30" s="2004"/>
      <c r="AQ30" s="2004"/>
      <c r="AR30" s="2004"/>
      <c r="AS30" s="2004"/>
      <c r="AT30" s="2004"/>
      <c r="AU30" s="2004"/>
      <c r="AV30" s="2004"/>
      <c r="AW30" s="2004"/>
      <c r="AX30" s="2004"/>
      <c r="AY30" s="2004"/>
      <c r="AZ30" s="2004"/>
      <c r="BA30" s="2004"/>
      <c r="BB30" s="2004"/>
      <c r="BC30" s="2004"/>
      <c r="BD30" s="2004"/>
      <c r="BE30" s="2004"/>
      <c r="BF30" s="2004"/>
      <c r="BG30" s="2004"/>
      <c r="BH30" s="2004"/>
      <c r="BI30" s="2004"/>
      <c r="BJ30" s="2004"/>
      <c r="BK30" s="2004"/>
      <c r="BL30" s="2004"/>
      <c r="BM30" s="2004"/>
      <c r="BN30" s="2004"/>
      <c r="BO30" s="2004"/>
      <c r="BP30" s="516" t="s">
        <v>9388</v>
      </c>
      <c r="BQ30" s="694">
        <v>56</v>
      </c>
      <c r="BR30" s="2004" t="s">
        <v>9204</v>
      </c>
      <c r="BS30" s="2004" t="s">
        <v>9204</v>
      </c>
      <c r="BT30" s="2004">
        <v>0</v>
      </c>
      <c r="BU30" s="2004" t="s">
        <v>9204</v>
      </c>
      <c r="BV30" s="2004">
        <v>0</v>
      </c>
      <c r="BW30" s="2004">
        <v>52</v>
      </c>
      <c r="BX30" s="2004" t="s">
        <v>2335</v>
      </c>
      <c r="BY30" s="2004">
        <v>0</v>
      </c>
      <c r="BZ30" s="2004">
        <v>0</v>
      </c>
      <c r="CA30" s="2004">
        <v>0</v>
      </c>
      <c r="CB30" s="2004">
        <v>0</v>
      </c>
      <c r="CC30" s="2004">
        <v>55</v>
      </c>
      <c r="CD30" s="2004" t="s">
        <v>2335</v>
      </c>
      <c r="CE30" s="2004">
        <v>0</v>
      </c>
      <c r="CF30" s="2004">
        <v>0</v>
      </c>
      <c r="CG30" s="2004">
        <v>0</v>
      </c>
      <c r="CH30" s="2004">
        <v>0</v>
      </c>
      <c r="CI30" s="2004">
        <v>57</v>
      </c>
      <c r="CJ30" s="2004" t="s">
        <v>2335</v>
      </c>
      <c r="CK30" s="2004">
        <v>0</v>
      </c>
      <c r="CL30" s="2004">
        <v>0</v>
      </c>
      <c r="CM30" s="2004">
        <v>0</v>
      </c>
      <c r="CN30" s="2004">
        <v>0</v>
      </c>
      <c r="CP30" s="2004" t="s">
        <v>9389</v>
      </c>
    </row>
    <row r="31" spans="1:94">
      <c r="A31" s="2004" t="s">
        <v>9050</v>
      </c>
      <c r="B31" s="2004" t="s">
        <v>9390</v>
      </c>
      <c r="C31" s="2004" t="s">
        <v>9047</v>
      </c>
      <c r="D31" s="2004" t="s">
        <v>1628</v>
      </c>
      <c r="E31" s="2004" t="s">
        <v>9194</v>
      </c>
      <c r="F31" s="2004" t="s">
        <v>9391</v>
      </c>
      <c r="G31" s="2004" t="s">
        <v>9392</v>
      </c>
      <c r="H31" s="2004" t="s">
        <v>9393</v>
      </c>
      <c r="I31" s="2004" t="s">
        <v>9394</v>
      </c>
      <c r="J31" s="2004" t="s">
        <v>9210</v>
      </c>
      <c r="K31" s="2004" t="s">
        <v>9200</v>
      </c>
      <c r="L31" s="2004"/>
      <c r="M31" s="2004" t="s">
        <v>2334</v>
      </c>
      <c r="N31" s="2004" t="s">
        <v>9260</v>
      </c>
      <c r="O31" s="2004" t="s">
        <v>9395</v>
      </c>
      <c r="P31" s="2004" t="s">
        <v>9396</v>
      </c>
      <c r="Q31" s="516" t="s">
        <v>9203</v>
      </c>
      <c r="R31" s="2004"/>
      <c r="S31" s="2004" t="s">
        <v>2338</v>
      </c>
      <c r="T31" s="2004" t="s">
        <v>2934</v>
      </c>
      <c r="U31" s="2004" t="s">
        <v>2934</v>
      </c>
      <c r="V31" s="2004" t="s">
        <v>2934</v>
      </c>
      <c r="W31" s="2004" t="s">
        <v>2934</v>
      </c>
      <c r="X31" s="2004" t="s">
        <v>2934</v>
      </c>
      <c r="Y31" s="2004"/>
      <c r="Z31" s="2004"/>
      <c r="AA31" s="2004"/>
      <c r="AB31" s="2004"/>
      <c r="AC31" s="2004"/>
      <c r="AD31" s="2004"/>
      <c r="AE31" s="2004" t="s">
        <v>2337</v>
      </c>
      <c r="AF31" s="2004"/>
      <c r="AG31" s="2004"/>
      <c r="AH31" s="2004">
        <v>4</v>
      </c>
      <c r="AI31" s="2004" t="s">
        <v>2337</v>
      </c>
      <c r="AJ31" s="2004" t="s">
        <v>2337</v>
      </c>
      <c r="AK31" s="2004" t="s">
        <v>2337</v>
      </c>
      <c r="AL31" s="2004" t="s">
        <v>2337</v>
      </c>
      <c r="AM31" s="2004" t="s">
        <v>2337</v>
      </c>
      <c r="AN31" s="2004"/>
      <c r="AO31" s="2004"/>
      <c r="AP31" s="2004"/>
      <c r="AQ31" s="2004"/>
      <c r="AR31" s="2004"/>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004">
        <v>1</v>
      </c>
      <c r="BO31" s="2004" t="s">
        <v>9203</v>
      </c>
      <c r="BP31" s="516" t="s">
        <v>2338</v>
      </c>
      <c r="BQ31" s="693" t="s">
        <v>2934</v>
      </c>
      <c r="BR31" s="2004" t="s">
        <v>2337</v>
      </c>
      <c r="BS31" s="2004" t="s">
        <v>9204</v>
      </c>
      <c r="BT31" s="2004">
        <v>0</v>
      </c>
      <c r="BU31" s="2004" t="s">
        <v>9204</v>
      </c>
      <c r="BV31" s="2004">
        <v>0</v>
      </c>
      <c r="BW31" s="2004" t="s">
        <v>2935</v>
      </c>
      <c r="BX31" s="2004" t="s">
        <v>2334</v>
      </c>
      <c r="BY31" s="2004">
        <v>0</v>
      </c>
      <c r="BZ31" s="2004">
        <v>0</v>
      </c>
      <c r="CA31" s="2004" t="s">
        <v>9254</v>
      </c>
      <c r="CB31" s="2004">
        <v>-0.55800000000000005</v>
      </c>
      <c r="CC31" s="2004" t="s">
        <v>2934</v>
      </c>
      <c r="CD31" s="2004" t="s">
        <v>2337</v>
      </c>
      <c r="CE31" s="2004">
        <v>0</v>
      </c>
      <c r="CF31" s="2004">
        <v>0</v>
      </c>
      <c r="CG31" s="2004">
        <v>0</v>
      </c>
      <c r="CH31" s="2004">
        <v>0</v>
      </c>
      <c r="CI31" s="2004" t="s">
        <v>2934</v>
      </c>
      <c r="CJ31" s="2004" t="s">
        <v>2337</v>
      </c>
      <c r="CK31" s="2004">
        <v>0</v>
      </c>
      <c r="CL31" s="2004">
        <v>0</v>
      </c>
      <c r="CM31" s="2004">
        <v>0</v>
      </c>
      <c r="CN31" s="2004">
        <v>0</v>
      </c>
      <c r="CP31" s="2004" t="s">
        <v>9397</v>
      </c>
    </row>
    <row r="32" spans="1:94">
      <c r="A32" s="2004" t="s">
        <v>9050</v>
      </c>
      <c r="B32" s="2004" t="s">
        <v>9398</v>
      </c>
      <c r="C32" s="2004" t="s">
        <v>9047</v>
      </c>
      <c r="D32" s="2004" t="s">
        <v>1628</v>
      </c>
      <c r="E32" s="2004" t="s">
        <v>9194</v>
      </c>
      <c r="F32" s="2004" t="s">
        <v>9391</v>
      </c>
      <c r="G32" s="2004" t="s">
        <v>9399</v>
      </c>
      <c r="H32" s="2004" t="s">
        <v>9400</v>
      </c>
      <c r="I32" s="2004" t="s">
        <v>9401</v>
      </c>
      <c r="J32" s="2004" t="s">
        <v>9210</v>
      </c>
      <c r="K32" s="2004" t="s">
        <v>9200</v>
      </c>
      <c r="L32" s="2004"/>
      <c r="M32" s="2004" t="s">
        <v>2334</v>
      </c>
      <c r="N32" s="2004" t="s">
        <v>9260</v>
      </c>
      <c r="O32" s="2004" t="s">
        <v>9395</v>
      </c>
      <c r="P32" s="2004" t="s">
        <v>9396</v>
      </c>
      <c r="Q32" s="516" t="s">
        <v>9203</v>
      </c>
      <c r="R32" s="2004"/>
      <c r="S32" s="2004" t="s">
        <v>2338</v>
      </c>
      <c r="T32" s="2004" t="s">
        <v>2934</v>
      </c>
      <c r="U32" s="2004" t="s">
        <v>2934</v>
      </c>
      <c r="V32" s="2004" t="s">
        <v>2934</v>
      </c>
      <c r="W32" s="2004" t="s">
        <v>2934</v>
      </c>
      <c r="X32" s="2004" t="s">
        <v>2934</v>
      </c>
      <c r="Y32" s="2004"/>
      <c r="Z32" s="2004"/>
      <c r="AA32" s="2004"/>
      <c r="AB32" s="2004"/>
      <c r="AC32" s="2004"/>
      <c r="AD32" s="2004"/>
      <c r="AE32" s="2004" t="s">
        <v>2337</v>
      </c>
      <c r="AF32" s="2004"/>
      <c r="AG32" s="2004"/>
      <c r="AH32" s="2004">
        <v>3</v>
      </c>
      <c r="AI32" s="2004" t="s">
        <v>2337</v>
      </c>
      <c r="AJ32" s="2004" t="s">
        <v>2337</v>
      </c>
      <c r="AK32" s="2004" t="s">
        <v>2337</v>
      </c>
      <c r="AL32" s="2004" t="s">
        <v>2337</v>
      </c>
      <c r="AM32" s="2004" t="s">
        <v>2337</v>
      </c>
      <c r="AN32" s="2004"/>
      <c r="AO32" s="2004"/>
      <c r="AP32" s="2004"/>
      <c r="AQ32" s="2004"/>
      <c r="AR32" s="2004"/>
      <c r="AS32" s="2004"/>
      <c r="AT32" s="2004"/>
      <c r="AU32" s="2004"/>
      <c r="AV32" s="2004"/>
      <c r="AW32" s="2004"/>
      <c r="AX32" s="2004"/>
      <c r="AY32" s="2004"/>
      <c r="AZ32" s="2004"/>
      <c r="BA32" s="2004"/>
      <c r="BB32" s="2004"/>
      <c r="BC32" s="2004"/>
      <c r="BD32" s="2004"/>
      <c r="BE32" s="2004"/>
      <c r="BF32" s="2004"/>
      <c r="BG32" s="2004"/>
      <c r="BH32" s="2004"/>
      <c r="BI32" s="2004"/>
      <c r="BJ32" s="2004"/>
      <c r="BK32" s="2004"/>
      <c r="BL32" s="2004"/>
      <c r="BM32" s="2004"/>
      <c r="BN32" s="2004">
        <v>1</v>
      </c>
      <c r="BO32" s="2004" t="s">
        <v>9203</v>
      </c>
      <c r="BP32" s="516" t="s">
        <v>2338</v>
      </c>
      <c r="BQ32" s="693" t="s">
        <v>2934</v>
      </c>
      <c r="BR32" s="2004" t="s">
        <v>2337</v>
      </c>
      <c r="BS32" s="2004" t="s">
        <v>9204</v>
      </c>
      <c r="BT32" s="2004">
        <v>0</v>
      </c>
      <c r="BU32" s="2004" t="s">
        <v>9204</v>
      </c>
      <c r="BV32" s="2004">
        <v>0</v>
      </c>
      <c r="BW32" s="2004" t="s">
        <v>2934</v>
      </c>
      <c r="BX32" s="2004" t="s">
        <v>2337</v>
      </c>
      <c r="BY32" s="2004">
        <v>0</v>
      </c>
      <c r="BZ32" s="2004">
        <v>0</v>
      </c>
      <c r="CA32" s="2004">
        <v>0</v>
      </c>
      <c r="CB32" s="2004">
        <v>0</v>
      </c>
      <c r="CC32" s="2004" t="s">
        <v>2934</v>
      </c>
      <c r="CD32" s="2004" t="s">
        <v>2337</v>
      </c>
      <c r="CE32" s="2004">
        <v>0</v>
      </c>
      <c r="CF32" s="2004">
        <v>0</v>
      </c>
      <c r="CG32" s="2004">
        <v>0</v>
      </c>
      <c r="CH32" s="2004">
        <v>0</v>
      </c>
      <c r="CI32" s="2004" t="s">
        <v>2934</v>
      </c>
      <c r="CJ32" s="2004" t="s">
        <v>2337</v>
      </c>
      <c r="CK32" s="2004">
        <v>0</v>
      </c>
      <c r="CL32" s="2004">
        <v>0</v>
      </c>
      <c r="CM32" s="2004">
        <v>0</v>
      </c>
      <c r="CN32" s="2004">
        <v>0</v>
      </c>
      <c r="CP32" s="2004" t="s">
        <v>9402</v>
      </c>
    </row>
    <row r="33" spans="1:94">
      <c r="A33" s="2004" t="s">
        <v>9050</v>
      </c>
      <c r="B33" s="2004" t="s">
        <v>9403</v>
      </c>
      <c r="C33" s="2004" t="s">
        <v>9047</v>
      </c>
      <c r="D33" s="2004" t="s">
        <v>1628</v>
      </c>
      <c r="E33" s="2004" t="s">
        <v>9194</v>
      </c>
      <c r="F33" s="2004" t="s">
        <v>9404</v>
      </c>
      <c r="G33" s="2004" t="s">
        <v>9405</v>
      </c>
      <c r="H33" s="2004" t="s">
        <v>9406</v>
      </c>
      <c r="I33" s="2004" t="s">
        <v>9407</v>
      </c>
      <c r="J33" s="2004" t="s">
        <v>9210</v>
      </c>
      <c r="K33" s="2004" t="s">
        <v>9200</v>
      </c>
      <c r="L33" s="2004"/>
      <c r="M33" s="2004" t="s">
        <v>2334</v>
      </c>
      <c r="N33" s="2004" t="s">
        <v>9238</v>
      </c>
      <c r="O33" s="2004" t="s">
        <v>734</v>
      </c>
      <c r="P33" s="2004" t="s">
        <v>9239</v>
      </c>
      <c r="Q33" s="516">
        <v>2</v>
      </c>
      <c r="R33" s="2004" t="s">
        <v>9240</v>
      </c>
      <c r="S33" s="2004">
        <v>99.96</v>
      </c>
      <c r="T33" s="2004">
        <v>99.96</v>
      </c>
      <c r="U33" s="2004">
        <v>99.96</v>
      </c>
      <c r="V33" s="2004">
        <v>100</v>
      </c>
      <c r="W33" s="2004">
        <v>100</v>
      </c>
      <c r="X33" s="2004">
        <v>100</v>
      </c>
      <c r="Y33" s="2004" t="s">
        <v>2337</v>
      </c>
      <c r="Z33" s="2004"/>
      <c r="AA33" s="2004"/>
      <c r="AB33" s="2004"/>
      <c r="AC33" s="2004"/>
      <c r="AD33" s="2004"/>
      <c r="AE33" s="2004" t="s">
        <v>2337</v>
      </c>
      <c r="AF33" s="2004"/>
      <c r="AG33" s="2004"/>
      <c r="AH33" s="2004">
        <v>0</v>
      </c>
      <c r="AI33" s="2004"/>
      <c r="AJ33" s="2004"/>
      <c r="AK33" s="2004" t="s">
        <v>2337</v>
      </c>
      <c r="AL33" s="2004" t="s">
        <v>2337</v>
      </c>
      <c r="AM33" s="2004" t="s">
        <v>2337</v>
      </c>
      <c r="AN33" s="2004"/>
      <c r="AO33" s="2004"/>
      <c r="AP33" s="2004">
        <v>99.89</v>
      </c>
      <c r="AQ33" s="2004">
        <v>99.89</v>
      </c>
      <c r="AR33" s="2004">
        <v>99.89</v>
      </c>
      <c r="AS33" s="2004"/>
      <c r="AT33" s="2004"/>
      <c r="AU33" s="2004">
        <v>99.95</v>
      </c>
      <c r="AV33" s="2004">
        <v>99.95</v>
      </c>
      <c r="AW33" s="2004">
        <v>99.95</v>
      </c>
      <c r="AX33" s="2004"/>
      <c r="AY33" s="2004"/>
      <c r="AZ33" s="2004"/>
      <c r="BA33" s="2004"/>
      <c r="BB33" s="2004"/>
      <c r="BC33" s="2004"/>
      <c r="BD33" s="2004"/>
      <c r="BE33" s="2004"/>
      <c r="BF33" s="2004"/>
      <c r="BG33" s="2004"/>
      <c r="BH33" s="2004">
        <v>17.412500000000001</v>
      </c>
      <c r="BI33" s="2004"/>
      <c r="BJ33" s="2004"/>
      <c r="BK33" s="2004"/>
      <c r="BL33" s="2004"/>
      <c r="BM33" s="2004"/>
      <c r="BN33" s="2004">
        <v>1</v>
      </c>
      <c r="BO33" s="2004" t="s">
        <v>9203</v>
      </c>
      <c r="BP33" s="516">
        <v>99.95</v>
      </c>
      <c r="BQ33" s="692">
        <v>99.97</v>
      </c>
      <c r="BR33" s="2004" t="s">
        <v>2337</v>
      </c>
      <c r="BS33" s="2004" t="s">
        <v>9204</v>
      </c>
      <c r="BT33" s="2004">
        <v>0</v>
      </c>
      <c r="BU33" s="2004" t="s">
        <v>9204</v>
      </c>
      <c r="BV33" s="2004">
        <v>0</v>
      </c>
      <c r="BW33" s="2004">
        <v>99.97</v>
      </c>
      <c r="BX33" s="2004" t="s">
        <v>2337</v>
      </c>
      <c r="BY33" s="2004">
        <v>0</v>
      </c>
      <c r="BZ33" s="2004">
        <v>0</v>
      </c>
      <c r="CA33" s="2004">
        <v>0</v>
      </c>
      <c r="CB33" s="2004">
        <v>0</v>
      </c>
      <c r="CC33" s="2004">
        <v>99.96</v>
      </c>
      <c r="CD33" s="2004" t="s">
        <v>2334</v>
      </c>
      <c r="CE33" s="2004">
        <v>0</v>
      </c>
      <c r="CF33" s="2004">
        <v>0</v>
      </c>
      <c r="CG33" s="2004" t="s">
        <v>2340</v>
      </c>
      <c r="CH33" s="2004">
        <v>0</v>
      </c>
      <c r="CI33" s="2004">
        <v>99.95</v>
      </c>
      <c r="CJ33" s="2004" t="s">
        <v>2334</v>
      </c>
      <c r="CK33" s="2004">
        <v>0</v>
      </c>
      <c r="CL33" s="2004">
        <v>0</v>
      </c>
      <c r="CM33" s="2004" t="s">
        <v>2340</v>
      </c>
      <c r="CN33" s="2004">
        <v>0</v>
      </c>
      <c r="CP33" s="2004" t="s">
        <v>9408</v>
      </c>
    </row>
    <row r="34" spans="1:94">
      <c r="A34" s="2004" t="s">
        <v>9050</v>
      </c>
      <c r="B34" s="2004" t="s">
        <v>9409</v>
      </c>
      <c r="C34" s="2004" t="s">
        <v>9047</v>
      </c>
      <c r="D34" s="2004" t="s">
        <v>1629</v>
      </c>
      <c r="E34" s="2004" t="s">
        <v>9410</v>
      </c>
      <c r="F34" s="2004" t="s">
        <v>9295</v>
      </c>
      <c r="G34" s="2004" t="s">
        <v>9411</v>
      </c>
      <c r="H34" s="2004" t="s">
        <v>9412</v>
      </c>
      <c r="I34" s="2004" t="s">
        <v>9413</v>
      </c>
      <c r="J34" s="2004" t="s">
        <v>9199</v>
      </c>
      <c r="K34" s="2004" t="s">
        <v>9200</v>
      </c>
      <c r="L34" s="2004"/>
      <c r="M34" s="2004"/>
      <c r="N34" s="2004" t="s">
        <v>9414</v>
      </c>
      <c r="O34" s="2004" t="s">
        <v>766</v>
      </c>
      <c r="P34" s="2004" t="s">
        <v>9415</v>
      </c>
      <c r="Q34" s="516">
        <v>0</v>
      </c>
      <c r="R34" s="2004" t="s">
        <v>9240</v>
      </c>
      <c r="S34" s="2004">
        <v>0</v>
      </c>
      <c r="T34" s="2004"/>
      <c r="U34" s="2004"/>
      <c r="V34" s="2004"/>
      <c r="W34" s="2004"/>
      <c r="X34" s="2004">
        <v>27</v>
      </c>
      <c r="Y34" s="2004"/>
      <c r="Z34" s="2004"/>
      <c r="AA34" s="2004"/>
      <c r="AB34" s="2004"/>
      <c r="AC34" s="2004" t="s">
        <v>2337</v>
      </c>
      <c r="AD34" s="2004"/>
      <c r="AE34" s="2004" t="s">
        <v>2337</v>
      </c>
      <c r="AF34" s="2004"/>
      <c r="AG34" s="2004"/>
      <c r="AH34" s="2004">
        <v>0</v>
      </c>
      <c r="AI34" s="2004"/>
      <c r="AJ34" s="2004"/>
      <c r="AK34" s="2004"/>
      <c r="AL34" s="2004"/>
      <c r="AM34" s="2004" t="s">
        <v>2337</v>
      </c>
      <c r="AN34" s="2004"/>
      <c r="AO34" s="2004"/>
      <c r="AP34" s="2004"/>
      <c r="AQ34" s="2004"/>
      <c r="AR34" s="2004">
        <v>-24</v>
      </c>
      <c r="AS34" s="2004"/>
      <c r="AT34" s="2004"/>
      <c r="AU34" s="2004"/>
      <c r="AV34" s="2004"/>
      <c r="AW34" s="2004">
        <v>24</v>
      </c>
      <c r="AX34" s="2004"/>
      <c r="AY34" s="2004"/>
      <c r="AZ34" s="2004"/>
      <c r="BA34" s="2004"/>
      <c r="BB34" s="2004">
        <v>30</v>
      </c>
      <c r="BC34" s="2004"/>
      <c r="BD34" s="2004"/>
      <c r="BE34" s="2004"/>
      <c r="BF34" s="2004"/>
      <c r="BG34" s="2004">
        <v>78</v>
      </c>
      <c r="BH34" s="2004">
        <v>4.2000000000000003E-2</v>
      </c>
      <c r="BI34" s="2004"/>
      <c r="BJ34" s="2004"/>
      <c r="BK34" s="2004"/>
      <c r="BL34" s="2004">
        <v>3.5999999999999997E-2</v>
      </c>
      <c r="BM34" s="2004"/>
      <c r="BN34" s="2004">
        <v>5</v>
      </c>
      <c r="BO34" s="2004" t="s">
        <v>9321</v>
      </c>
      <c r="BP34" s="516">
        <v>0</v>
      </c>
      <c r="BQ34" s="691">
        <v>61</v>
      </c>
      <c r="BR34" s="2004" t="s">
        <v>9204</v>
      </c>
      <c r="BS34" s="2004" t="s">
        <v>9204</v>
      </c>
      <c r="BT34" s="2004">
        <v>0</v>
      </c>
      <c r="BU34" s="2004" t="s">
        <v>9204</v>
      </c>
      <c r="BV34" s="2004">
        <v>0</v>
      </c>
      <c r="BW34" s="2004">
        <v>45</v>
      </c>
      <c r="BX34" s="2004" t="s">
        <v>2335</v>
      </c>
      <c r="BY34" s="2004">
        <v>0</v>
      </c>
      <c r="BZ34" s="2004">
        <v>0</v>
      </c>
      <c r="CA34" s="2004">
        <v>0</v>
      </c>
      <c r="CB34" s="2004">
        <v>0</v>
      </c>
      <c r="CC34" s="2004">
        <v>79</v>
      </c>
      <c r="CD34" s="2004" t="s">
        <v>2335</v>
      </c>
      <c r="CE34" s="2004">
        <v>0</v>
      </c>
      <c r="CF34" s="2004">
        <v>0</v>
      </c>
      <c r="CG34" s="2004">
        <v>0</v>
      </c>
      <c r="CH34" s="2004">
        <v>0</v>
      </c>
      <c r="CI34" s="2004">
        <v>133</v>
      </c>
      <c r="CJ34" s="2004" t="s">
        <v>2335</v>
      </c>
      <c r="CK34" s="2004">
        <v>0</v>
      </c>
      <c r="CL34" s="2004">
        <v>0</v>
      </c>
      <c r="CM34" s="2004">
        <v>0</v>
      </c>
      <c r="CN34" s="2004">
        <v>0</v>
      </c>
      <c r="CP34" s="2004" t="s">
        <v>9416</v>
      </c>
    </row>
    <row r="35" spans="1:94">
      <c r="A35" s="2004" t="s">
        <v>9050</v>
      </c>
      <c r="B35" s="2004" t="s">
        <v>9417</v>
      </c>
      <c r="C35" s="2004" t="s">
        <v>9047</v>
      </c>
      <c r="D35" s="2004" t="s">
        <v>1629</v>
      </c>
      <c r="E35" s="2004" t="s">
        <v>9410</v>
      </c>
      <c r="F35" s="2004" t="s">
        <v>9295</v>
      </c>
      <c r="G35" s="2004" t="s">
        <v>9418</v>
      </c>
      <c r="H35" s="2004" t="s">
        <v>9419</v>
      </c>
      <c r="I35" s="2004" t="s">
        <v>9420</v>
      </c>
      <c r="J35" s="2004" t="s">
        <v>9210</v>
      </c>
      <c r="K35" s="2004" t="s">
        <v>9200</v>
      </c>
      <c r="L35" s="2004"/>
      <c r="M35" s="2004"/>
      <c r="N35" s="2004" t="s">
        <v>9414</v>
      </c>
      <c r="O35" s="2004" t="s">
        <v>766</v>
      </c>
      <c r="P35" s="2004" t="s">
        <v>9421</v>
      </c>
      <c r="Q35" s="516">
        <v>0</v>
      </c>
      <c r="R35" s="2004" t="s">
        <v>9240</v>
      </c>
      <c r="S35" s="2004">
        <v>0</v>
      </c>
      <c r="T35" s="2004"/>
      <c r="U35" s="2004"/>
      <c r="V35" s="2004"/>
      <c r="W35" s="2004"/>
      <c r="X35" s="2004">
        <v>22</v>
      </c>
      <c r="Y35" s="2004"/>
      <c r="Z35" s="2004"/>
      <c r="AA35" s="2004"/>
      <c r="AB35" s="2004"/>
      <c r="AC35" s="2004"/>
      <c r="AD35" s="2004"/>
      <c r="AE35" s="2004" t="s">
        <v>2337</v>
      </c>
      <c r="AF35" s="2004"/>
      <c r="AG35" s="2004"/>
      <c r="AH35" s="2004">
        <v>0</v>
      </c>
      <c r="AI35" s="2004"/>
      <c r="AJ35" s="2004"/>
      <c r="AK35" s="2004"/>
      <c r="AL35" s="2004"/>
      <c r="AM35" s="2004" t="s">
        <v>2337</v>
      </c>
      <c r="AN35" s="2004"/>
      <c r="AO35" s="2004"/>
      <c r="AP35" s="2004"/>
      <c r="AQ35" s="2004"/>
      <c r="AR35" s="2004">
        <v>-66</v>
      </c>
      <c r="AS35" s="2004"/>
      <c r="AT35" s="2004"/>
      <c r="AU35" s="2004"/>
      <c r="AV35" s="2004"/>
      <c r="AW35" s="2004">
        <v>21</v>
      </c>
      <c r="AX35" s="2004"/>
      <c r="AY35" s="2004"/>
      <c r="AZ35" s="2004"/>
      <c r="BA35" s="2004"/>
      <c r="BB35" s="2004"/>
      <c r="BC35" s="2004"/>
      <c r="BD35" s="2004"/>
      <c r="BE35" s="2004"/>
      <c r="BF35" s="2004"/>
      <c r="BG35" s="2004"/>
      <c r="BH35" s="2004">
        <v>2.3E-2</v>
      </c>
      <c r="BI35" s="2004"/>
      <c r="BJ35" s="2004"/>
      <c r="BK35" s="2004"/>
      <c r="BL35" s="2004"/>
      <c r="BM35" s="2004"/>
      <c r="BN35" s="2004">
        <v>5</v>
      </c>
      <c r="BO35" s="2004" t="s">
        <v>9321</v>
      </c>
      <c r="BP35" s="516">
        <v>0</v>
      </c>
      <c r="BQ35" s="691">
        <v>536</v>
      </c>
      <c r="BR35" s="2004" t="s">
        <v>9204</v>
      </c>
      <c r="BS35" s="2004" t="s">
        <v>9204</v>
      </c>
      <c r="BT35" s="2004">
        <v>0</v>
      </c>
      <c r="BU35" s="2004" t="s">
        <v>9204</v>
      </c>
      <c r="BV35" s="2004">
        <v>0</v>
      </c>
      <c r="BW35" s="2004">
        <v>717</v>
      </c>
      <c r="BX35" s="2004" t="s">
        <v>2335</v>
      </c>
      <c r="BY35" s="2004">
        <v>0</v>
      </c>
      <c r="BZ35" s="2004">
        <v>0</v>
      </c>
      <c r="CA35" s="2004">
        <v>0</v>
      </c>
      <c r="CB35" s="2004">
        <v>0</v>
      </c>
      <c r="CC35" s="2004">
        <v>1357</v>
      </c>
      <c r="CD35" s="2004" t="s">
        <v>2335</v>
      </c>
      <c r="CE35" s="2004">
        <v>0</v>
      </c>
      <c r="CF35" s="2004">
        <v>0</v>
      </c>
      <c r="CG35" s="2004">
        <v>0</v>
      </c>
      <c r="CH35" s="2004">
        <v>0</v>
      </c>
      <c r="CI35" s="2004">
        <v>2033</v>
      </c>
      <c r="CJ35" s="2004" t="s">
        <v>2335</v>
      </c>
      <c r="CK35" s="2004">
        <v>0</v>
      </c>
      <c r="CL35" s="2004">
        <v>0</v>
      </c>
      <c r="CM35" s="2004">
        <v>0</v>
      </c>
      <c r="CN35" s="2004">
        <v>0</v>
      </c>
      <c r="CP35" s="2004" t="s">
        <v>9422</v>
      </c>
    </row>
    <row r="36" spans="1:94">
      <c r="A36" s="2004" t="s">
        <v>9050</v>
      </c>
      <c r="B36" s="2004" t="s">
        <v>9423</v>
      </c>
      <c r="C36" s="2004" t="s">
        <v>9047</v>
      </c>
      <c r="D36" s="2004" t="s">
        <v>1629</v>
      </c>
      <c r="E36" s="2004" t="s">
        <v>9410</v>
      </c>
      <c r="F36" s="2004" t="s">
        <v>9295</v>
      </c>
      <c r="G36" s="2004" t="s">
        <v>9424</v>
      </c>
      <c r="H36" s="2004" t="s">
        <v>9425</v>
      </c>
      <c r="I36" s="2004" t="s">
        <v>9426</v>
      </c>
      <c r="J36" s="2004" t="s">
        <v>9230</v>
      </c>
      <c r="K36" s="2004"/>
      <c r="L36" s="2004"/>
      <c r="M36" s="2004"/>
      <c r="N36" s="2004" t="s">
        <v>9427</v>
      </c>
      <c r="O36" s="2004" t="s">
        <v>734</v>
      </c>
      <c r="P36" s="2004" t="s">
        <v>9428</v>
      </c>
      <c r="Q36" s="516">
        <v>0</v>
      </c>
      <c r="R36" s="2004" t="s">
        <v>9240</v>
      </c>
      <c r="S36" s="2004"/>
      <c r="T36" s="2004"/>
      <c r="U36" s="2004"/>
      <c r="V36" s="2004"/>
      <c r="W36" s="2004"/>
      <c r="X36" s="2004">
        <v>25</v>
      </c>
      <c r="Y36" s="2004"/>
      <c r="Z36" s="2004"/>
      <c r="AA36" s="2004"/>
      <c r="AB36" s="2004"/>
      <c r="AC36" s="2004"/>
      <c r="AD36" s="2004"/>
      <c r="AE36" s="2004"/>
      <c r="AF36" s="2004"/>
      <c r="AG36" s="2004"/>
      <c r="AH36" s="2004">
        <v>0</v>
      </c>
      <c r="AI36" s="2004"/>
      <c r="AJ36" s="2004"/>
      <c r="AK36" s="2004"/>
      <c r="AL36" s="2004"/>
      <c r="AM36" s="2004"/>
      <c r="AN36" s="2004"/>
      <c r="AO36" s="2004"/>
      <c r="AP36" s="2004"/>
      <c r="AQ36" s="2004"/>
      <c r="AR36" s="2004"/>
      <c r="AS36" s="2004"/>
      <c r="AT36" s="2004"/>
      <c r="AU36" s="2004"/>
      <c r="AV36" s="2004"/>
      <c r="AW36" s="2004"/>
      <c r="AX36" s="2004"/>
      <c r="AY36" s="2004"/>
      <c r="AZ36" s="2004"/>
      <c r="BA36" s="2004"/>
      <c r="BB36" s="2004"/>
      <c r="BC36" s="2004"/>
      <c r="BD36" s="2004"/>
      <c r="BE36" s="2004"/>
      <c r="BF36" s="2004"/>
      <c r="BG36" s="2004"/>
      <c r="BH36" s="2004"/>
      <c r="BI36" s="2004"/>
      <c r="BJ36" s="2004"/>
      <c r="BK36" s="2004"/>
      <c r="BL36" s="2004"/>
      <c r="BM36" s="2004"/>
      <c r="BN36" s="2004"/>
      <c r="BO36" s="2004"/>
      <c r="BP36" s="516">
        <v>0</v>
      </c>
      <c r="BQ36" s="691">
        <v>4</v>
      </c>
      <c r="BR36" s="2004" t="s">
        <v>9204</v>
      </c>
      <c r="BS36" s="2004" t="s">
        <v>9204</v>
      </c>
      <c r="BT36" s="2004">
        <v>0</v>
      </c>
      <c r="BU36" s="2004" t="s">
        <v>9204</v>
      </c>
      <c r="BV36" s="2004">
        <v>0</v>
      </c>
      <c r="BW36" s="2004">
        <v>25</v>
      </c>
      <c r="BX36" s="2004" t="s">
        <v>2335</v>
      </c>
      <c r="BY36" s="2004">
        <v>0</v>
      </c>
      <c r="BZ36" s="2004">
        <v>0</v>
      </c>
      <c r="CA36" s="2004">
        <v>0</v>
      </c>
      <c r="CB36" s="2004">
        <v>0</v>
      </c>
      <c r="CC36" s="2004">
        <v>46</v>
      </c>
      <c r="CD36" s="2004" t="s">
        <v>2335</v>
      </c>
      <c r="CE36" s="2004">
        <v>0</v>
      </c>
      <c r="CF36" s="2004">
        <v>0</v>
      </c>
      <c r="CG36" s="2004">
        <v>0</v>
      </c>
      <c r="CH36" s="2004">
        <v>0</v>
      </c>
      <c r="CI36" s="2004">
        <v>41</v>
      </c>
      <c r="CJ36" s="2004" t="s">
        <v>2335</v>
      </c>
      <c r="CK36" s="2004">
        <v>0</v>
      </c>
      <c r="CL36" s="2004">
        <v>0</v>
      </c>
      <c r="CM36" s="2004">
        <v>0</v>
      </c>
      <c r="CN36" s="2004">
        <v>0</v>
      </c>
      <c r="CP36" s="2004" t="s">
        <v>9429</v>
      </c>
    </row>
    <row r="37" spans="1:94">
      <c r="A37" s="2004" t="s">
        <v>9050</v>
      </c>
      <c r="B37" s="2004" t="s">
        <v>9430</v>
      </c>
      <c r="C37" s="2004" t="s">
        <v>9047</v>
      </c>
      <c r="D37" s="2004" t="s">
        <v>1629</v>
      </c>
      <c r="E37" s="2004" t="s">
        <v>9410</v>
      </c>
      <c r="F37" s="2004" t="s">
        <v>9311</v>
      </c>
      <c r="G37" s="2004" t="s">
        <v>9431</v>
      </c>
      <c r="H37" s="2004" t="s">
        <v>9432</v>
      </c>
      <c r="I37" s="2004" t="s">
        <v>9433</v>
      </c>
      <c r="J37" s="2004" t="s">
        <v>9199</v>
      </c>
      <c r="K37" s="2004" t="s">
        <v>9200</v>
      </c>
      <c r="L37" s="2004"/>
      <c r="M37" s="2004"/>
      <c r="N37" s="2004" t="s">
        <v>9290</v>
      </c>
      <c r="O37" s="2004" t="s">
        <v>734</v>
      </c>
      <c r="P37" s="2004" t="s">
        <v>9314</v>
      </c>
      <c r="Q37" s="516">
        <v>0</v>
      </c>
      <c r="R37" s="2004" t="s">
        <v>9240</v>
      </c>
      <c r="S37" s="2004">
        <v>0</v>
      </c>
      <c r="T37" s="2004">
        <v>0</v>
      </c>
      <c r="U37" s="2004">
        <v>0</v>
      </c>
      <c r="V37" s="2004">
        <v>0</v>
      </c>
      <c r="W37" s="2004">
        <v>0</v>
      </c>
      <c r="X37" s="2004">
        <v>0</v>
      </c>
      <c r="Y37" s="2004"/>
      <c r="Z37" s="2004"/>
      <c r="AA37" s="2004"/>
      <c r="AB37" s="2004"/>
      <c r="AC37" s="2004"/>
      <c r="AD37" s="2004"/>
      <c r="AE37" s="2004"/>
      <c r="AF37" s="2004"/>
      <c r="AG37" s="2004"/>
      <c r="AH37" s="2004">
        <v>0</v>
      </c>
      <c r="AI37" s="2004" t="s">
        <v>2337</v>
      </c>
      <c r="AJ37" s="2004" t="s">
        <v>2337</v>
      </c>
      <c r="AK37" s="2004" t="s">
        <v>2337</v>
      </c>
      <c r="AL37" s="2004" t="s">
        <v>2337</v>
      </c>
      <c r="AM37" s="2004" t="s">
        <v>2337</v>
      </c>
      <c r="AN37" s="2004">
        <v>-20</v>
      </c>
      <c r="AO37" s="2004">
        <v>-20</v>
      </c>
      <c r="AP37" s="2004">
        <v>-20</v>
      </c>
      <c r="AQ37" s="2004">
        <v>-20</v>
      </c>
      <c r="AR37" s="2004">
        <v>-20</v>
      </c>
      <c r="AS37" s="2004">
        <v>0</v>
      </c>
      <c r="AT37" s="2004">
        <v>0</v>
      </c>
      <c r="AU37" s="2004">
        <v>0</v>
      </c>
      <c r="AV37" s="2004">
        <v>0</v>
      </c>
      <c r="AW37" s="2004">
        <v>0</v>
      </c>
      <c r="AX37" s="2004">
        <v>0</v>
      </c>
      <c r="AY37" s="2004">
        <v>0</v>
      </c>
      <c r="AZ37" s="2004">
        <v>0</v>
      </c>
      <c r="BA37" s="2004">
        <v>0</v>
      </c>
      <c r="BB37" s="2004">
        <v>0</v>
      </c>
      <c r="BC37" s="2004">
        <v>20</v>
      </c>
      <c r="BD37" s="2004">
        <v>20</v>
      </c>
      <c r="BE37" s="2004">
        <v>20</v>
      </c>
      <c r="BF37" s="2004">
        <v>20</v>
      </c>
      <c r="BG37" s="2004">
        <v>20</v>
      </c>
      <c r="BH37" s="2004">
        <v>2.5000000000000001E-2</v>
      </c>
      <c r="BI37" s="2004"/>
      <c r="BJ37" s="2004"/>
      <c r="BK37" s="2004"/>
      <c r="BL37" s="2004">
        <v>2.5000000000000001E-2</v>
      </c>
      <c r="BM37" s="2004"/>
      <c r="BN37" s="2004">
        <v>1</v>
      </c>
      <c r="BO37" s="2004" t="s">
        <v>9203</v>
      </c>
      <c r="BP37" s="516">
        <v>1</v>
      </c>
      <c r="BQ37" s="691">
        <v>4</v>
      </c>
      <c r="BR37" s="2004" t="s">
        <v>2337</v>
      </c>
      <c r="BS37" s="2004" t="s">
        <v>9204</v>
      </c>
      <c r="BT37" s="2004">
        <v>0</v>
      </c>
      <c r="BU37" s="2004" t="s">
        <v>2339</v>
      </c>
      <c r="BV37" s="2004">
        <v>0.1</v>
      </c>
      <c r="BW37" s="2004">
        <v>1</v>
      </c>
      <c r="BX37" s="2004" t="s">
        <v>2337</v>
      </c>
      <c r="BY37" s="2004">
        <v>0</v>
      </c>
      <c r="BZ37" s="2004">
        <v>0</v>
      </c>
      <c r="CA37" s="2004" t="s">
        <v>2339</v>
      </c>
      <c r="CB37" s="2004">
        <v>2.5000000000000001E-2</v>
      </c>
      <c r="CC37" s="2004">
        <v>5</v>
      </c>
      <c r="CD37" s="2004" t="s">
        <v>2337</v>
      </c>
      <c r="CE37" s="2004">
        <v>0</v>
      </c>
      <c r="CF37" s="2004">
        <v>0</v>
      </c>
      <c r="CG37" s="2004" t="s">
        <v>2339</v>
      </c>
      <c r="CH37" s="2004">
        <v>0.125</v>
      </c>
      <c r="CI37" s="2004">
        <v>1</v>
      </c>
      <c r="CJ37" s="2004" t="s">
        <v>2337</v>
      </c>
      <c r="CK37" s="2004">
        <v>0</v>
      </c>
      <c r="CL37" s="2004">
        <v>0</v>
      </c>
      <c r="CM37" s="2004" t="s">
        <v>2339</v>
      </c>
      <c r="CN37" s="2004">
        <v>2.5000000000000001E-2</v>
      </c>
      <c r="CP37" s="2004" t="s">
        <v>9434</v>
      </c>
    </row>
    <row r="38" spans="1:94">
      <c r="A38" s="2004" t="s">
        <v>9050</v>
      </c>
      <c r="B38" s="2004" t="s">
        <v>9435</v>
      </c>
      <c r="C38" s="2004" t="s">
        <v>9047</v>
      </c>
      <c r="D38" s="2004" t="s">
        <v>1629</v>
      </c>
      <c r="E38" s="2004" t="s">
        <v>9410</v>
      </c>
      <c r="F38" s="2004" t="s">
        <v>9353</v>
      </c>
      <c r="G38" s="2004" t="s">
        <v>9436</v>
      </c>
      <c r="H38" s="2004" t="s">
        <v>9437</v>
      </c>
      <c r="I38" s="2004" t="s">
        <v>9438</v>
      </c>
      <c r="J38" s="2004" t="s">
        <v>9199</v>
      </c>
      <c r="K38" s="2004" t="s">
        <v>9200</v>
      </c>
      <c r="L38" s="2004"/>
      <c r="M38" s="2004"/>
      <c r="N38" s="2004" t="s">
        <v>9364</v>
      </c>
      <c r="O38" s="2004" t="s">
        <v>734</v>
      </c>
      <c r="P38" s="2004" t="s">
        <v>9439</v>
      </c>
      <c r="Q38" s="516">
        <v>0</v>
      </c>
      <c r="R38" s="2004" t="s">
        <v>9240</v>
      </c>
      <c r="S38" s="2004">
        <v>58</v>
      </c>
      <c r="T38" s="2004"/>
      <c r="U38" s="2004"/>
      <c r="V38" s="2004"/>
      <c r="W38" s="2004"/>
      <c r="X38" s="2004">
        <v>67</v>
      </c>
      <c r="Y38" s="2004"/>
      <c r="Z38" s="2004"/>
      <c r="AA38" s="2004"/>
      <c r="AB38" s="2004"/>
      <c r="AC38" s="2004"/>
      <c r="AD38" s="2004"/>
      <c r="AE38" s="2004"/>
      <c r="AF38" s="2004" t="s">
        <v>2337</v>
      </c>
      <c r="AG38" s="2004"/>
      <c r="AH38" s="2004">
        <v>0</v>
      </c>
      <c r="AI38" s="2004"/>
      <c r="AJ38" s="2004"/>
      <c r="AK38" s="2004"/>
      <c r="AL38" s="2004"/>
      <c r="AM38" s="2004" t="s">
        <v>2337</v>
      </c>
      <c r="AN38" s="2004"/>
      <c r="AO38" s="2004"/>
      <c r="AP38" s="2004"/>
      <c r="AQ38" s="2004"/>
      <c r="AR38" s="2004">
        <v>58</v>
      </c>
      <c r="AS38" s="2004"/>
      <c r="AT38" s="2004"/>
      <c r="AU38" s="2004"/>
      <c r="AV38" s="2004"/>
      <c r="AW38" s="2004">
        <v>67</v>
      </c>
      <c r="AX38" s="2004"/>
      <c r="AY38" s="2004"/>
      <c r="AZ38" s="2004"/>
      <c r="BA38" s="2004"/>
      <c r="BB38" s="2004">
        <v>67</v>
      </c>
      <c r="BC38" s="2004"/>
      <c r="BD38" s="2004"/>
      <c r="BE38" s="2004"/>
      <c r="BF38" s="2004"/>
      <c r="BG38" s="2004">
        <v>75</v>
      </c>
      <c r="BH38" s="2004">
        <v>0.373</v>
      </c>
      <c r="BI38" s="2004"/>
      <c r="BJ38" s="2004"/>
      <c r="BK38" s="2004"/>
      <c r="BL38" s="2004">
        <v>0.373</v>
      </c>
      <c r="BM38" s="2004"/>
      <c r="BN38" s="2004">
        <v>5</v>
      </c>
      <c r="BO38" s="2004" t="s">
        <v>9321</v>
      </c>
      <c r="BP38" s="516">
        <v>71</v>
      </c>
      <c r="BQ38" s="691">
        <v>71</v>
      </c>
      <c r="BR38" s="2004" t="s">
        <v>9204</v>
      </c>
      <c r="BS38" s="2004" t="s">
        <v>9204</v>
      </c>
      <c r="BT38" s="2004">
        <v>0</v>
      </c>
      <c r="BU38" s="2004" t="s">
        <v>9204</v>
      </c>
      <c r="BV38" s="2004">
        <v>0</v>
      </c>
      <c r="BW38" s="2004">
        <v>65</v>
      </c>
      <c r="BX38" s="2004" t="s">
        <v>2335</v>
      </c>
      <c r="BY38" s="2004">
        <v>0</v>
      </c>
      <c r="BZ38" s="2004">
        <v>0</v>
      </c>
      <c r="CA38" s="2004">
        <v>0</v>
      </c>
      <c r="CB38" s="2004">
        <v>0</v>
      </c>
      <c r="CC38" s="2004">
        <v>63.3</v>
      </c>
      <c r="CD38" s="2004" t="s">
        <v>2335</v>
      </c>
      <c r="CE38" s="2004">
        <v>0</v>
      </c>
      <c r="CF38" s="2004">
        <v>0</v>
      </c>
      <c r="CG38" s="2004">
        <v>0</v>
      </c>
      <c r="CH38" s="2004">
        <v>0</v>
      </c>
      <c r="CI38" s="2004">
        <v>65.3</v>
      </c>
      <c r="CJ38" s="2004" t="s">
        <v>2335</v>
      </c>
      <c r="CK38" s="2004">
        <v>0</v>
      </c>
      <c r="CL38" s="2004">
        <v>0</v>
      </c>
      <c r="CM38" s="2004">
        <v>0</v>
      </c>
      <c r="CN38" s="2004">
        <v>0</v>
      </c>
      <c r="CP38" s="2004" t="s">
        <v>9440</v>
      </c>
    </row>
    <row r="39" spans="1:94">
      <c r="A39" s="2004" t="s">
        <v>9050</v>
      </c>
      <c r="B39" s="2004" t="s">
        <v>9441</v>
      </c>
      <c r="C39" s="2004" t="s">
        <v>9047</v>
      </c>
      <c r="D39" s="2004" t="s">
        <v>1629</v>
      </c>
      <c r="E39" s="2004" t="s">
        <v>9410</v>
      </c>
      <c r="F39" s="2004" t="s">
        <v>9353</v>
      </c>
      <c r="G39" s="2004" t="s">
        <v>9442</v>
      </c>
      <c r="H39" s="2004" t="s">
        <v>9443</v>
      </c>
      <c r="I39" s="2004" t="s">
        <v>9444</v>
      </c>
      <c r="J39" s="2004" t="s">
        <v>9230</v>
      </c>
      <c r="K39" s="2004"/>
      <c r="L39" s="2004"/>
      <c r="M39" s="2004"/>
      <c r="N39" s="2004" t="s">
        <v>9357</v>
      </c>
      <c r="O39" s="2004" t="s">
        <v>734</v>
      </c>
      <c r="P39" s="2004" t="s">
        <v>9358</v>
      </c>
      <c r="Q39" s="516">
        <v>0</v>
      </c>
      <c r="R39" s="2004" t="s">
        <v>9240</v>
      </c>
      <c r="S39" s="2004">
        <v>49</v>
      </c>
      <c r="T39" s="2004"/>
      <c r="U39" s="2004"/>
      <c r="V39" s="2004"/>
      <c r="W39" s="2004"/>
      <c r="X39" s="2004">
        <v>50</v>
      </c>
      <c r="Y39" s="2004"/>
      <c r="Z39" s="2004"/>
      <c r="AA39" s="2004"/>
      <c r="AB39" s="2004"/>
      <c r="AC39" s="2004"/>
      <c r="AD39" s="2004"/>
      <c r="AE39" s="2004"/>
      <c r="AF39" s="2004" t="s">
        <v>2337</v>
      </c>
      <c r="AG39" s="2004"/>
      <c r="AH39" s="2004">
        <v>0</v>
      </c>
      <c r="AI39" s="2004"/>
      <c r="AJ39" s="2004"/>
      <c r="AK39" s="2004"/>
      <c r="AL39" s="2004"/>
      <c r="AM39" s="2004"/>
      <c r="AN39" s="2004"/>
      <c r="AO39" s="2004"/>
      <c r="AP39" s="2004"/>
      <c r="AQ39" s="2004"/>
      <c r="AR39" s="2004"/>
      <c r="AS39" s="2004"/>
      <c r="AT39" s="2004"/>
      <c r="AU39" s="2004"/>
      <c r="AV39" s="2004"/>
      <c r="AW39" s="2004"/>
      <c r="AX39" s="2004"/>
      <c r="AY39" s="2004"/>
      <c r="AZ39" s="2004"/>
      <c r="BA39" s="2004"/>
      <c r="BB39" s="2004"/>
      <c r="BC39" s="2004"/>
      <c r="BD39" s="2004"/>
      <c r="BE39" s="2004"/>
      <c r="BF39" s="2004"/>
      <c r="BG39" s="2004"/>
      <c r="BH39" s="2004"/>
      <c r="BI39" s="2004"/>
      <c r="BJ39" s="2004"/>
      <c r="BK39" s="2004"/>
      <c r="BL39" s="2004"/>
      <c r="BM39" s="2004"/>
      <c r="BN39" s="2004"/>
      <c r="BO39" s="2004"/>
      <c r="BP39" s="516">
        <v>49</v>
      </c>
      <c r="BQ39" s="691">
        <v>98.85</v>
      </c>
      <c r="BR39" s="2004" t="s">
        <v>9204</v>
      </c>
      <c r="BS39" s="2004" t="s">
        <v>9204</v>
      </c>
      <c r="BT39" s="2004">
        <v>0</v>
      </c>
      <c r="BU39" s="2004" t="s">
        <v>9204</v>
      </c>
      <c r="BV39" s="2004">
        <v>0</v>
      </c>
      <c r="BW39" s="2004">
        <v>98.83</v>
      </c>
      <c r="BX39" s="2004" t="s">
        <v>2335</v>
      </c>
      <c r="BY39" s="2004">
        <v>0</v>
      </c>
      <c r="BZ39" s="2004">
        <v>0</v>
      </c>
      <c r="CA39" s="2004">
        <v>0</v>
      </c>
      <c r="CB39" s="2004">
        <v>0</v>
      </c>
      <c r="CC39" s="2004">
        <v>98.832999999999998</v>
      </c>
      <c r="CD39" s="2004" t="s">
        <v>2335</v>
      </c>
      <c r="CE39" s="2004">
        <v>0</v>
      </c>
      <c r="CF39" s="2004">
        <v>0</v>
      </c>
      <c r="CG39" s="2004">
        <v>0</v>
      </c>
      <c r="CH39" s="2004">
        <v>0</v>
      </c>
      <c r="CI39" s="2004">
        <v>99</v>
      </c>
      <c r="CJ39" s="2004" t="s">
        <v>2335</v>
      </c>
      <c r="CK39" s="2004">
        <v>0</v>
      </c>
      <c r="CL39" s="2004">
        <v>0</v>
      </c>
      <c r="CM39" s="2004">
        <v>0</v>
      </c>
      <c r="CN39" s="2004">
        <v>0</v>
      </c>
      <c r="CP39" s="2004" t="s">
        <v>9445</v>
      </c>
    </row>
    <row r="40" spans="1:94">
      <c r="A40" s="2004" t="s">
        <v>9050</v>
      </c>
      <c r="B40" s="2004" t="s">
        <v>9446</v>
      </c>
      <c r="C40" s="2004" t="s">
        <v>9047</v>
      </c>
      <c r="D40" s="2004" t="s">
        <v>1629</v>
      </c>
      <c r="E40" s="2004" t="s">
        <v>9410</v>
      </c>
      <c r="F40" s="2004" t="s">
        <v>9353</v>
      </c>
      <c r="G40" s="2004" t="s">
        <v>9447</v>
      </c>
      <c r="H40" s="2004" t="s">
        <v>9448</v>
      </c>
      <c r="I40" s="2004" t="s">
        <v>9449</v>
      </c>
      <c r="J40" s="2004" t="s">
        <v>9199</v>
      </c>
      <c r="K40" s="2004" t="s">
        <v>9200</v>
      </c>
      <c r="L40" s="2004"/>
      <c r="M40" s="2004"/>
      <c r="N40" s="2004" t="s">
        <v>9450</v>
      </c>
      <c r="O40" s="2004" t="s">
        <v>766</v>
      </c>
      <c r="P40" s="2004" t="s">
        <v>9451</v>
      </c>
      <c r="Q40" s="516">
        <v>0</v>
      </c>
      <c r="R40" s="2004" t="s">
        <v>9202</v>
      </c>
      <c r="S40" s="2004">
        <v>408</v>
      </c>
      <c r="T40" s="2004">
        <v>371</v>
      </c>
      <c r="U40" s="2004">
        <v>335</v>
      </c>
      <c r="V40" s="2004">
        <v>298</v>
      </c>
      <c r="W40" s="2004">
        <v>298</v>
      </c>
      <c r="X40" s="2004">
        <v>298</v>
      </c>
      <c r="Y40" s="2004"/>
      <c r="Z40" s="2004"/>
      <c r="AA40" s="2004"/>
      <c r="AB40" s="2004" t="s">
        <v>2337</v>
      </c>
      <c r="AC40" s="2004"/>
      <c r="AD40" s="2004"/>
      <c r="AE40" s="2004" t="s">
        <v>2337</v>
      </c>
      <c r="AF40" s="2004"/>
      <c r="AG40" s="2004"/>
      <c r="AH40" s="2004">
        <v>0</v>
      </c>
      <c r="AI40" s="2004" t="s">
        <v>2337</v>
      </c>
      <c r="AJ40" s="2004" t="s">
        <v>2337</v>
      </c>
      <c r="AK40" s="2004" t="s">
        <v>2337</v>
      </c>
      <c r="AL40" s="2004" t="s">
        <v>2337</v>
      </c>
      <c r="AM40" s="2004" t="s">
        <v>2337</v>
      </c>
      <c r="AN40" s="2004">
        <v>505</v>
      </c>
      <c r="AO40" s="2004">
        <v>505</v>
      </c>
      <c r="AP40" s="2004">
        <v>505</v>
      </c>
      <c r="AQ40" s="2004">
        <v>505</v>
      </c>
      <c r="AR40" s="2004">
        <v>505</v>
      </c>
      <c r="AS40" s="2004">
        <v>408</v>
      </c>
      <c r="AT40" s="2004">
        <v>408</v>
      </c>
      <c r="AU40" s="2004">
        <v>298</v>
      </c>
      <c r="AV40" s="2004">
        <v>298</v>
      </c>
      <c r="AW40" s="2004">
        <v>298</v>
      </c>
      <c r="AX40" s="2004">
        <v>298</v>
      </c>
      <c r="AY40" s="2004">
        <v>298</v>
      </c>
      <c r="AZ40" s="2004">
        <v>298</v>
      </c>
      <c r="BA40" s="2004">
        <v>298</v>
      </c>
      <c r="BB40" s="2004">
        <v>298</v>
      </c>
      <c r="BC40" s="2004">
        <v>140</v>
      </c>
      <c r="BD40" s="2004">
        <v>140</v>
      </c>
      <c r="BE40" s="2004">
        <v>140</v>
      </c>
      <c r="BF40" s="2004">
        <v>140</v>
      </c>
      <c r="BG40" s="2004">
        <v>140</v>
      </c>
      <c r="BH40" s="2004">
        <v>2.8500000000000001E-2</v>
      </c>
      <c r="BI40" s="2004"/>
      <c r="BJ40" s="2004"/>
      <c r="BK40" s="2004"/>
      <c r="BL40" s="2004">
        <v>2.8500000000000001E-2</v>
      </c>
      <c r="BM40" s="2004"/>
      <c r="BN40" s="2004">
        <v>1</v>
      </c>
      <c r="BO40" s="2004" t="s">
        <v>9203</v>
      </c>
      <c r="BP40" s="516">
        <v>390</v>
      </c>
      <c r="BQ40" s="691">
        <v>144</v>
      </c>
      <c r="BR40" s="2004" t="s">
        <v>2337</v>
      </c>
      <c r="BS40" s="2004" t="s">
        <v>9204</v>
      </c>
      <c r="BT40" s="2004">
        <v>0</v>
      </c>
      <c r="BU40" s="2004" t="s">
        <v>2339</v>
      </c>
      <c r="BV40" s="2004">
        <v>4.3890000000000002</v>
      </c>
      <c r="BW40" s="2004">
        <v>217</v>
      </c>
      <c r="BX40" s="2004" t="s">
        <v>2337</v>
      </c>
      <c r="BY40" s="2004">
        <v>0</v>
      </c>
      <c r="BZ40" s="2004">
        <v>0</v>
      </c>
      <c r="CA40" s="2004" t="s">
        <v>2339</v>
      </c>
      <c r="CB40" s="2004">
        <v>2.3085</v>
      </c>
      <c r="CC40" s="2004">
        <v>219</v>
      </c>
      <c r="CD40" s="2004" t="s">
        <v>2337</v>
      </c>
      <c r="CE40" s="2004">
        <v>0</v>
      </c>
      <c r="CF40" s="2004">
        <v>0</v>
      </c>
      <c r="CG40" s="2004" t="s">
        <v>2339</v>
      </c>
      <c r="CH40" s="2004">
        <v>2.2519999999999998</v>
      </c>
      <c r="CI40" s="2004">
        <v>185</v>
      </c>
      <c r="CJ40" s="2004" t="s">
        <v>2337</v>
      </c>
      <c r="CK40" s="2004">
        <v>0</v>
      </c>
      <c r="CL40" s="2004">
        <v>0</v>
      </c>
      <c r="CM40" s="2004" t="s">
        <v>2339</v>
      </c>
      <c r="CN40" s="2004">
        <v>3.2204999999999999</v>
      </c>
      <c r="CP40" s="2004" t="s">
        <v>9452</v>
      </c>
    </row>
    <row r="41" spans="1:94">
      <c r="A41" s="2004" t="s">
        <v>9050</v>
      </c>
      <c r="B41" s="2004" t="s">
        <v>9453</v>
      </c>
      <c r="C41" s="2004" t="s">
        <v>9047</v>
      </c>
      <c r="D41" s="2004" t="s">
        <v>1629</v>
      </c>
      <c r="E41" s="2004" t="s">
        <v>9410</v>
      </c>
      <c r="F41" s="2004" t="s">
        <v>9353</v>
      </c>
      <c r="G41" s="2004" t="s">
        <v>9454</v>
      </c>
      <c r="H41" s="2004" t="s">
        <v>9455</v>
      </c>
      <c r="I41" s="2004" t="s">
        <v>9456</v>
      </c>
      <c r="J41" s="2004" t="s">
        <v>9210</v>
      </c>
      <c r="K41" s="2004" t="s">
        <v>9200</v>
      </c>
      <c r="L41" s="2004"/>
      <c r="M41" s="2004"/>
      <c r="N41" s="2004" t="s">
        <v>9364</v>
      </c>
      <c r="O41" s="2004" t="s">
        <v>766</v>
      </c>
      <c r="P41" s="2004" t="s">
        <v>9365</v>
      </c>
      <c r="Q41" s="516">
        <v>0</v>
      </c>
      <c r="R41" s="2004" t="s">
        <v>9240</v>
      </c>
      <c r="S41" s="2004">
        <v>0</v>
      </c>
      <c r="T41" s="2004"/>
      <c r="U41" s="2004"/>
      <c r="V41" s="2004"/>
      <c r="W41" s="2004"/>
      <c r="X41" s="2004">
        <v>81</v>
      </c>
      <c r="Y41" s="2004"/>
      <c r="Z41" s="2004"/>
      <c r="AA41" s="2004"/>
      <c r="AB41" s="2004"/>
      <c r="AC41" s="2004"/>
      <c r="AD41" s="2004"/>
      <c r="AE41" s="2004"/>
      <c r="AF41" s="2004" t="s">
        <v>2337</v>
      </c>
      <c r="AG41" s="2004"/>
      <c r="AH41" s="2004">
        <v>0</v>
      </c>
      <c r="AI41" s="2004"/>
      <c r="AJ41" s="2004"/>
      <c r="AK41" s="2004"/>
      <c r="AL41" s="2004"/>
      <c r="AM41" s="2004" t="s">
        <v>2337</v>
      </c>
      <c r="AN41" s="2004"/>
      <c r="AO41" s="2004"/>
      <c r="AP41" s="2004"/>
      <c r="AQ41" s="2004"/>
      <c r="AR41" s="2004">
        <v>0</v>
      </c>
      <c r="AS41" s="2004"/>
      <c r="AT41" s="2004"/>
      <c r="AU41" s="2004"/>
      <c r="AV41" s="2004"/>
      <c r="AW41" s="2004">
        <v>81</v>
      </c>
      <c r="AX41" s="2004"/>
      <c r="AY41" s="2004"/>
      <c r="AZ41" s="2004"/>
      <c r="BA41" s="2004"/>
      <c r="BB41" s="2004"/>
      <c r="BC41" s="2004"/>
      <c r="BD41" s="2004"/>
      <c r="BE41" s="2004"/>
      <c r="BF41" s="2004"/>
      <c r="BG41" s="2004"/>
      <c r="BH41" s="2004">
        <v>0.62</v>
      </c>
      <c r="BI41" s="2004"/>
      <c r="BJ41" s="2004"/>
      <c r="BK41" s="2004"/>
      <c r="BL41" s="2004"/>
      <c r="BM41" s="2004"/>
      <c r="BN41" s="2004">
        <v>1</v>
      </c>
      <c r="BO41" s="2004" t="s">
        <v>9203</v>
      </c>
      <c r="BP41" s="516">
        <v>0</v>
      </c>
      <c r="BQ41" s="691">
        <v>0</v>
      </c>
      <c r="BR41" s="2004" t="s">
        <v>9204</v>
      </c>
      <c r="BS41" s="2004" t="s">
        <v>9204</v>
      </c>
      <c r="BT41" s="2004">
        <v>0</v>
      </c>
      <c r="BU41" s="2004" t="s">
        <v>9204</v>
      </c>
      <c r="BV41" s="2004">
        <v>0</v>
      </c>
      <c r="BW41" s="2004">
        <v>3</v>
      </c>
      <c r="BX41" s="2004" t="s">
        <v>2335</v>
      </c>
      <c r="BY41" s="2004">
        <v>0</v>
      </c>
      <c r="BZ41" s="2004">
        <v>0</v>
      </c>
      <c r="CA41" s="2004">
        <v>0</v>
      </c>
      <c r="CB41" s="2004">
        <v>0</v>
      </c>
      <c r="CC41" s="2004">
        <v>36</v>
      </c>
      <c r="CD41" s="2004" t="s">
        <v>2335</v>
      </c>
      <c r="CE41" s="2004">
        <v>0</v>
      </c>
      <c r="CF41" s="2004">
        <v>0</v>
      </c>
      <c r="CG41" s="2004">
        <v>0</v>
      </c>
      <c r="CH41" s="2004">
        <v>0</v>
      </c>
      <c r="CI41" s="2004">
        <v>39</v>
      </c>
      <c r="CJ41" s="2004" t="s">
        <v>2335</v>
      </c>
      <c r="CK41" s="2004">
        <v>0</v>
      </c>
      <c r="CL41" s="2004">
        <v>0</v>
      </c>
      <c r="CM41" s="2004">
        <v>0</v>
      </c>
      <c r="CN41" s="2004">
        <v>0</v>
      </c>
      <c r="CP41" s="2004" t="s">
        <v>9457</v>
      </c>
    </row>
    <row r="42" spans="1:94">
      <c r="A42" s="2004" t="s">
        <v>9050</v>
      </c>
      <c r="B42" s="2004" t="s">
        <v>9458</v>
      </c>
      <c r="C42" s="2004" t="s">
        <v>9047</v>
      </c>
      <c r="D42" s="2004" t="s">
        <v>1629</v>
      </c>
      <c r="E42" s="2004" t="s">
        <v>9410</v>
      </c>
      <c r="F42" s="2004" t="s">
        <v>9368</v>
      </c>
      <c r="G42" s="2004" t="s">
        <v>9459</v>
      </c>
      <c r="H42" s="2004" t="s">
        <v>9460</v>
      </c>
      <c r="I42" s="2004" t="s">
        <v>9461</v>
      </c>
      <c r="J42" s="2004" t="s">
        <v>9230</v>
      </c>
      <c r="K42" s="2004"/>
      <c r="L42" s="2004"/>
      <c r="M42" s="2004"/>
      <c r="N42" s="2004" t="s">
        <v>9372</v>
      </c>
      <c r="O42" s="2004" t="s">
        <v>734</v>
      </c>
      <c r="P42" s="2004" t="s">
        <v>9373</v>
      </c>
      <c r="Q42" s="516">
        <v>0</v>
      </c>
      <c r="R42" s="2004" t="s">
        <v>9240</v>
      </c>
      <c r="S42" s="2004">
        <v>0</v>
      </c>
      <c r="T42" s="2004"/>
      <c r="U42" s="2004"/>
      <c r="V42" s="2004"/>
      <c r="W42" s="2004"/>
      <c r="X42" s="2004">
        <v>7</v>
      </c>
      <c r="Y42" s="2004"/>
      <c r="Z42" s="2004"/>
      <c r="AA42" s="2004"/>
      <c r="AB42" s="2004"/>
      <c r="AC42" s="2004"/>
      <c r="AD42" s="2004"/>
      <c r="AE42" s="2004"/>
      <c r="AF42" s="2004"/>
      <c r="AG42" s="2004"/>
      <c r="AH42" s="2004">
        <v>0</v>
      </c>
      <c r="AI42" s="2004"/>
      <c r="AJ42" s="2004"/>
      <c r="AK42" s="2004"/>
      <c r="AL42" s="2004"/>
      <c r="AM42" s="2004"/>
      <c r="AN42" s="2004"/>
      <c r="AO42" s="2004"/>
      <c r="AP42" s="2004"/>
      <c r="AQ42" s="2004"/>
      <c r="AR42" s="2004"/>
      <c r="AS42" s="2004"/>
      <c r="AT42" s="2004"/>
      <c r="AU42" s="2004"/>
      <c r="AV42" s="2004"/>
      <c r="AW42" s="2004"/>
      <c r="AX42" s="2004"/>
      <c r="AY42" s="2004"/>
      <c r="AZ42" s="2004"/>
      <c r="BA42" s="2004"/>
      <c r="BB42" s="2004"/>
      <c r="BC42" s="2004"/>
      <c r="BD42" s="2004"/>
      <c r="BE42" s="2004"/>
      <c r="BF42" s="2004"/>
      <c r="BG42" s="2004"/>
      <c r="BH42" s="2004"/>
      <c r="BI42" s="2004"/>
      <c r="BJ42" s="2004"/>
      <c r="BK42" s="2004"/>
      <c r="BL42" s="2004"/>
      <c r="BM42" s="2004"/>
      <c r="BN42" s="2004"/>
      <c r="BO42" s="2004"/>
      <c r="BP42" s="516">
        <v>0</v>
      </c>
      <c r="BQ42" s="691">
        <v>5</v>
      </c>
      <c r="BR42" s="2004" t="s">
        <v>9204</v>
      </c>
      <c r="BS42" s="2004" t="s">
        <v>9204</v>
      </c>
      <c r="BT42" s="2004">
        <v>0</v>
      </c>
      <c r="BU42" s="2004" t="s">
        <v>9204</v>
      </c>
      <c r="BV42" s="2004">
        <v>0</v>
      </c>
      <c r="BW42" s="2004">
        <v>11</v>
      </c>
      <c r="BX42" s="2004" t="s">
        <v>2335</v>
      </c>
      <c r="BY42" s="2004">
        <v>0</v>
      </c>
      <c r="BZ42" s="2004">
        <v>0</v>
      </c>
      <c r="CA42" s="2004">
        <v>0</v>
      </c>
      <c r="CB42" s="2004">
        <v>0</v>
      </c>
      <c r="CC42" s="2004">
        <v>19.600000000000001</v>
      </c>
      <c r="CD42" s="2004" t="s">
        <v>2335</v>
      </c>
      <c r="CE42" s="2004">
        <v>0</v>
      </c>
      <c r="CF42" s="2004">
        <v>0</v>
      </c>
      <c r="CG42" s="2004">
        <v>0</v>
      </c>
      <c r="CH42" s="2004">
        <v>0</v>
      </c>
      <c r="CI42" s="2004">
        <v>29</v>
      </c>
      <c r="CJ42" s="2004" t="s">
        <v>2335</v>
      </c>
      <c r="CK42" s="2004">
        <v>0</v>
      </c>
      <c r="CL42" s="2004">
        <v>0</v>
      </c>
      <c r="CM42" s="2004">
        <v>0</v>
      </c>
      <c r="CN42" s="2004">
        <v>0</v>
      </c>
      <c r="CP42" s="2004" t="s">
        <v>9462</v>
      </c>
    </row>
    <row r="43" spans="1:94">
      <c r="A43" s="2004" t="s">
        <v>9050</v>
      </c>
      <c r="B43" s="2004" t="s">
        <v>9463</v>
      </c>
      <c r="C43" s="2004" t="s">
        <v>9047</v>
      </c>
      <c r="D43" s="2004" t="s">
        <v>1629</v>
      </c>
      <c r="E43" s="2004" t="s">
        <v>9410</v>
      </c>
      <c r="F43" s="2004" t="s">
        <v>9368</v>
      </c>
      <c r="G43" s="2004" t="s">
        <v>9464</v>
      </c>
      <c r="H43" s="2004" t="s">
        <v>9465</v>
      </c>
      <c r="I43" s="2004" t="s">
        <v>9466</v>
      </c>
      <c r="J43" s="2004" t="s">
        <v>9230</v>
      </c>
      <c r="K43" s="2004"/>
      <c r="L43" s="2004"/>
      <c r="M43" s="2004"/>
      <c r="N43" s="2004" t="s">
        <v>9372</v>
      </c>
      <c r="O43" s="2004" t="s">
        <v>734</v>
      </c>
      <c r="P43" s="2004" t="s">
        <v>9379</v>
      </c>
      <c r="Q43" s="516">
        <v>0</v>
      </c>
      <c r="R43" s="2004" t="s">
        <v>9240</v>
      </c>
      <c r="S43" s="2004">
        <v>50</v>
      </c>
      <c r="T43" s="2004"/>
      <c r="U43" s="2004"/>
      <c r="V43" s="2004"/>
      <c r="W43" s="2004"/>
      <c r="X43" s="2004">
        <v>60</v>
      </c>
      <c r="Y43" s="2004"/>
      <c r="Z43" s="2004"/>
      <c r="AA43" s="2004"/>
      <c r="AB43" s="2004"/>
      <c r="AC43" s="2004"/>
      <c r="AD43" s="2004"/>
      <c r="AE43" s="2004"/>
      <c r="AF43" s="2004"/>
      <c r="AG43" s="2004"/>
      <c r="AH43" s="2004">
        <v>0</v>
      </c>
      <c r="AI43" s="2004"/>
      <c r="AJ43" s="2004"/>
      <c r="AK43" s="2004"/>
      <c r="AL43" s="2004"/>
      <c r="AM43" s="2004"/>
      <c r="AN43" s="2004"/>
      <c r="AO43" s="2004"/>
      <c r="AP43" s="2004"/>
      <c r="AQ43" s="2004"/>
      <c r="AR43" s="2004"/>
      <c r="AS43" s="2004"/>
      <c r="AT43" s="2004"/>
      <c r="AU43" s="2004"/>
      <c r="AV43" s="2004"/>
      <c r="AW43" s="2004"/>
      <c r="AX43" s="2004"/>
      <c r="AY43" s="2004"/>
      <c r="AZ43" s="2004"/>
      <c r="BA43" s="2004"/>
      <c r="BB43" s="2004"/>
      <c r="BC43" s="2004"/>
      <c r="BD43" s="2004"/>
      <c r="BE43" s="2004"/>
      <c r="BF43" s="2004"/>
      <c r="BG43" s="2004"/>
      <c r="BH43" s="2004"/>
      <c r="BI43" s="2004"/>
      <c r="BJ43" s="2004"/>
      <c r="BK43" s="2004"/>
      <c r="BL43" s="2004"/>
      <c r="BM43" s="2004"/>
      <c r="BN43" s="2004"/>
      <c r="BO43" s="2004"/>
      <c r="BP43" s="516">
        <v>54</v>
      </c>
      <c r="BQ43" s="691">
        <v>53</v>
      </c>
      <c r="BR43" s="2004" t="s">
        <v>9204</v>
      </c>
      <c r="BS43" s="2004" t="s">
        <v>9204</v>
      </c>
      <c r="BT43" s="2004">
        <v>0</v>
      </c>
      <c r="BU43" s="2004" t="s">
        <v>9204</v>
      </c>
      <c r="BV43" s="2004">
        <v>0</v>
      </c>
      <c r="BW43" s="2004">
        <v>55</v>
      </c>
      <c r="BX43" s="2004" t="s">
        <v>2335</v>
      </c>
      <c r="BY43" s="2004">
        <v>0</v>
      </c>
      <c r="BZ43" s="2004">
        <v>0</v>
      </c>
      <c r="CA43" s="2004">
        <v>0</v>
      </c>
      <c r="CB43" s="2004">
        <v>0</v>
      </c>
      <c r="CC43" s="2004">
        <v>57</v>
      </c>
      <c r="CD43" s="2004" t="s">
        <v>2335</v>
      </c>
      <c r="CE43" s="2004">
        <v>0</v>
      </c>
      <c r="CF43" s="2004">
        <v>0</v>
      </c>
      <c r="CG43" s="2004">
        <v>0</v>
      </c>
      <c r="CH43" s="2004">
        <v>0</v>
      </c>
      <c r="CI43" s="2004">
        <v>58</v>
      </c>
      <c r="CJ43" s="2004" t="s">
        <v>2335</v>
      </c>
      <c r="CK43" s="2004">
        <v>0</v>
      </c>
      <c r="CL43" s="2004">
        <v>0</v>
      </c>
      <c r="CM43" s="2004">
        <v>0</v>
      </c>
      <c r="CN43" s="2004">
        <v>0</v>
      </c>
      <c r="CP43" s="2004" t="s">
        <v>9467</v>
      </c>
    </row>
    <row r="44" spans="1:94">
      <c r="A44" s="2004" t="s">
        <v>9050</v>
      </c>
      <c r="B44" s="2004" t="s">
        <v>9468</v>
      </c>
      <c r="C44" s="2004" t="s">
        <v>9047</v>
      </c>
      <c r="D44" s="2004" t="s">
        <v>1629</v>
      </c>
      <c r="E44" s="2004" t="s">
        <v>9410</v>
      </c>
      <c r="F44" s="2004" t="s">
        <v>9382</v>
      </c>
      <c r="G44" s="2004" t="s">
        <v>9469</v>
      </c>
      <c r="H44" s="2004" t="s">
        <v>9470</v>
      </c>
      <c r="I44" s="2004" t="s">
        <v>9471</v>
      </c>
      <c r="J44" s="2004" t="s">
        <v>9230</v>
      </c>
      <c r="K44" s="2004"/>
      <c r="L44" s="2004"/>
      <c r="M44" s="2004"/>
      <c r="N44" s="2004" t="s">
        <v>9386</v>
      </c>
      <c r="O44" s="2004" t="s">
        <v>734</v>
      </c>
      <c r="P44" s="2004" t="s">
        <v>9387</v>
      </c>
      <c r="Q44" s="516" t="s">
        <v>9203</v>
      </c>
      <c r="R44" s="2004" t="s">
        <v>9240</v>
      </c>
      <c r="S44" s="2004">
        <v>56</v>
      </c>
      <c r="T44" s="2004"/>
      <c r="U44" s="2004"/>
      <c r="V44" s="2004"/>
      <c r="W44" s="2004"/>
      <c r="X44" s="2004">
        <v>60</v>
      </c>
      <c r="Y44" s="2004"/>
      <c r="Z44" s="2004"/>
      <c r="AA44" s="2004"/>
      <c r="AB44" s="2004"/>
      <c r="AC44" s="2004"/>
      <c r="AD44" s="2004"/>
      <c r="AE44" s="2004"/>
      <c r="AF44" s="2004"/>
      <c r="AG44" s="2004"/>
      <c r="AH44" s="2004">
        <v>0</v>
      </c>
      <c r="AI44" s="2004"/>
      <c r="AJ44" s="2004"/>
      <c r="AK44" s="2004"/>
      <c r="AL44" s="2004"/>
      <c r="AM44" s="2004"/>
      <c r="AN44" s="2004"/>
      <c r="AO44" s="2004"/>
      <c r="AP44" s="2004"/>
      <c r="AQ44" s="2004"/>
      <c r="AR44" s="2004"/>
      <c r="AS44" s="2004"/>
      <c r="AT44" s="2004"/>
      <c r="AU44" s="2004"/>
      <c r="AV44" s="2004"/>
      <c r="AW44" s="2004"/>
      <c r="AX44" s="2004"/>
      <c r="AY44" s="2004"/>
      <c r="AZ44" s="2004"/>
      <c r="BA44" s="2004"/>
      <c r="BB44" s="2004"/>
      <c r="BC44" s="2004"/>
      <c r="BD44" s="2004"/>
      <c r="BE44" s="2004"/>
      <c r="BF44" s="2004"/>
      <c r="BG44" s="2004"/>
      <c r="BH44" s="2004"/>
      <c r="BI44" s="2004"/>
      <c r="BJ44" s="2004"/>
      <c r="BK44" s="2004"/>
      <c r="BL44" s="2004"/>
      <c r="BM44" s="2004"/>
      <c r="BN44" s="2004"/>
      <c r="BO44" s="2004"/>
      <c r="BP44" s="516" t="s">
        <v>9388</v>
      </c>
      <c r="BQ44" s="693">
        <v>56</v>
      </c>
      <c r="BR44" s="2004" t="s">
        <v>9204</v>
      </c>
      <c r="BS44" s="2004" t="s">
        <v>9204</v>
      </c>
      <c r="BT44" s="2004">
        <v>0</v>
      </c>
      <c r="BU44" s="2004" t="s">
        <v>9204</v>
      </c>
      <c r="BV44" s="2004">
        <v>0</v>
      </c>
      <c r="BW44" s="2004">
        <v>52</v>
      </c>
      <c r="BX44" s="2004" t="s">
        <v>2335</v>
      </c>
      <c r="BY44" s="2004">
        <v>0</v>
      </c>
      <c r="BZ44" s="2004">
        <v>0</v>
      </c>
      <c r="CA44" s="2004">
        <v>0</v>
      </c>
      <c r="CB44" s="2004">
        <v>0</v>
      </c>
      <c r="CC44" s="2004">
        <v>55</v>
      </c>
      <c r="CD44" s="2004" t="s">
        <v>2335</v>
      </c>
      <c r="CE44" s="2004">
        <v>0</v>
      </c>
      <c r="CF44" s="2004">
        <v>0</v>
      </c>
      <c r="CG44" s="2004">
        <v>0</v>
      </c>
      <c r="CH44" s="2004">
        <v>0</v>
      </c>
      <c r="CI44" s="2004">
        <v>57</v>
      </c>
      <c r="CJ44" s="2004" t="s">
        <v>2335</v>
      </c>
      <c r="CK44" s="2004">
        <v>0</v>
      </c>
      <c r="CL44" s="2004">
        <v>0</v>
      </c>
      <c r="CM44" s="2004">
        <v>0</v>
      </c>
      <c r="CN44" s="2004">
        <v>0</v>
      </c>
      <c r="CP44" s="2004" t="s">
        <v>9472</v>
      </c>
    </row>
    <row r="45" spans="1:94">
      <c r="A45" s="2004" t="s">
        <v>9050</v>
      </c>
      <c r="B45" s="2004" t="s">
        <v>9473</v>
      </c>
      <c r="C45" s="2004" t="s">
        <v>9047</v>
      </c>
      <c r="D45" s="2004" t="s">
        <v>1629</v>
      </c>
      <c r="E45" s="2004" t="s">
        <v>9410</v>
      </c>
      <c r="F45" s="2004" t="s">
        <v>9391</v>
      </c>
      <c r="G45" s="2004" t="s">
        <v>9474</v>
      </c>
      <c r="H45" s="2004" t="s">
        <v>9475</v>
      </c>
      <c r="I45" s="2004" t="s">
        <v>9476</v>
      </c>
      <c r="J45" s="2004" t="s">
        <v>9210</v>
      </c>
      <c r="K45" s="2004" t="s">
        <v>9200</v>
      </c>
      <c r="L45" s="2004"/>
      <c r="M45" s="2004" t="s">
        <v>2334</v>
      </c>
      <c r="N45" s="2004" t="s">
        <v>9477</v>
      </c>
      <c r="O45" s="2004" t="s">
        <v>9395</v>
      </c>
      <c r="P45" s="2004" t="s">
        <v>9396</v>
      </c>
      <c r="Q45" s="516" t="s">
        <v>9203</v>
      </c>
      <c r="R45" s="2004"/>
      <c r="S45" s="2004" t="s">
        <v>2338</v>
      </c>
      <c r="T45" s="2004" t="s">
        <v>2934</v>
      </c>
      <c r="U45" s="2004" t="s">
        <v>2934</v>
      </c>
      <c r="V45" s="2004" t="s">
        <v>2934</v>
      </c>
      <c r="W45" s="2004" t="s">
        <v>2934</v>
      </c>
      <c r="X45" s="2004" t="s">
        <v>2934</v>
      </c>
      <c r="Y45" s="2004"/>
      <c r="Z45" s="2004"/>
      <c r="AA45" s="2004"/>
      <c r="AB45" s="2004"/>
      <c r="AC45" s="2004"/>
      <c r="AD45" s="2004"/>
      <c r="AE45" s="2004" t="s">
        <v>2337</v>
      </c>
      <c r="AF45" s="2004"/>
      <c r="AG45" s="2004"/>
      <c r="AH45" s="2004">
        <v>4</v>
      </c>
      <c r="AI45" s="2004" t="s">
        <v>2337</v>
      </c>
      <c r="AJ45" s="2004" t="s">
        <v>2337</v>
      </c>
      <c r="AK45" s="2004" t="s">
        <v>2337</v>
      </c>
      <c r="AL45" s="2004" t="s">
        <v>2337</v>
      </c>
      <c r="AM45" s="2004" t="s">
        <v>2337</v>
      </c>
      <c r="AN45" s="2004"/>
      <c r="AO45" s="2004"/>
      <c r="AP45" s="2004"/>
      <c r="AQ45" s="2004"/>
      <c r="AR45" s="2004"/>
      <c r="AS45" s="2004"/>
      <c r="AT45" s="2004"/>
      <c r="AU45" s="2004"/>
      <c r="AV45" s="2004"/>
      <c r="AW45" s="2004"/>
      <c r="AX45" s="2004"/>
      <c r="AY45" s="2004"/>
      <c r="AZ45" s="2004"/>
      <c r="BA45" s="2004"/>
      <c r="BB45" s="2004"/>
      <c r="BC45" s="2004"/>
      <c r="BD45" s="2004"/>
      <c r="BE45" s="2004"/>
      <c r="BF45" s="2004"/>
      <c r="BG45" s="2004"/>
      <c r="BH45" s="2004"/>
      <c r="BI45" s="2004"/>
      <c r="BJ45" s="2004"/>
      <c r="BK45" s="2004"/>
      <c r="BL45" s="2004"/>
      <c r="BM45" s="2004"/>
      <c r="BN45" s="2004">
        <v>1</v>
      </c>
      <c r="BO45" s="2004" t="s">
        <v>9203</v>
      </c>
      <c r="BP45" s="516" t="s">
        <v>2338</v>
      </c>
      <c r="BQ45" s="693" t="s">
        <v>2934</v>
      </c>
      <c r="BR45" s="2004" t="s">
        <v>2337</v>
      </c>
      <c r="BS45" s="2004" t="s">
        <v>9204</v>
      </c>
      <c r="BT45" s="2004">
        <v>0</v>
      </c>
      <c r="BU45" s="2004" t="s">
        <v>9204</v>
      </c>
      <c r="BV45" s="2004">
        <v>0</v>
      </c>
      <c r="BW45" s="2004" t="s">
        <v>2934</v>
      </c>
      <c r="BX45" s="2004" t="s">
        <v>2337</v>
      </c>
      <c r="BY45" s="2004">
        <v>0</v>
      </c>
      <c r="BZ45" s="2004">
        <v>0</v>
      </c>
      <c r="CA45" s="2004">
        <v>0</v>
      </c>
      <c r="CB45" s="2004">
        <v>0</v>
      </c>
      <c r="CC45" s="2004" t="s">
        <v>2934</v>
      </c>
      <c r="CD45" s="2004" t="s">
        <v>2337</v>
      </c>
      <c r="CE45" s="2004">
        <v>0</v>
      </c>
      <c r="CF45" s="2004">
        <v>0</v>
      </c>
      <c r="CG45" s="2004">
        <v>0</v>
      </c>
      <c r="CH45" s="2004">
        <v>0</v>
      </c>
      <c r="CI45" s="2004" t="s">
        <v>2934</v>
      </c>
      <c r="CJ45" s="2004" t="s">
        <v>2337</v>
      </c>
      <c r="CK45" s="2004">
        <v>0</v>
      </c>
      <c r="CL45" s="2004">
        <v>0</v>
      </c>
      <c r="CM45" s="2004">
        <v>0</v>
      </c>
      <c r="CN45" s="2004">
        <v>0</v>
      </c>
      <c r="CP45" s="2004" t="s">
        <v>9478</v>
      </c>
    </row>
    <row r="46" spans="1:94">
      <c r="A46" s="2004" t="s">
        <v>9050</v>
      </c>
      <c r="B46" s="2004" t="s">
        <v>9479</v>
      </c>
      <c r="C46" s="2004" t="s">
        <v>9047</v>
      </c>
      <c r="D46" s="2004" t="s">
        <v>1629</v>
      </c>
      <c r="E46" s="2004" t="s">
        <v>9410</v>
      </c>
      <c r="F46" s="2004" t="s">
        <v>9391</v>
      </c>
      <c r="G46" s="2004" t="s">
        <v>9480</v>
      </c>
      <c r="H46" s="2004" t="s">
        <v>9481</v>
      </c>
      <c r="I46" s="2004" t="s">
        <v>9482</v>
      </c>
      <c r="J46" s="2004" t="s">
        <v>9210</v>
      </c>
      <c r="K46" s="2004" t="s">
        <v>9200</v>
      </c>
      <c r="L46" s="2004"/>
      <c r="M46" s="2004" t="s">
        <v>2334</v>
      </c>
      <c r="N46" s="2004" t="s">
        <v>9477</v>
      </c>
      <c r="O46" s="2004" t="s">
        <v>9395</v>
      </c>
      <c r="P46" s="2004" t="s">
        <v>9396</v>
      </c>
      <c r="Q46" s="516" t="s">
        <v>9203</v>
      </c>
      <c r="R46" s="2004"/>
      <c r="S46" s="2004" t="s">
        <v>2338</v>
      </c>
      <c r="T46" s="2004" t="s">
        <v>2934</v>
      </c>
      <c r="U46" s="2004" t="s">
        <v>2934</v>
      </c>
      <c r="V46" s="2004" t="s">
        <v>2934</v>
      </c>
      <c r="W46" s="2004" t="s">
        <v>2934</v>
      </c>
      <c r="X46" s="2004" t="s">
        <v>2934</v>
      </c>
      <c r="Y46" s="2004"/>
      <c r="Z46" s="2004"/>
      <c r="AA46" s="2004"/>
      <c r="AB46" s="2004"/>
      <c r="AC46" s="2004"/>
      <c r="AD46" s="2004"/>
      <c r="AE46" s="2004" t="s">
        <v>2337</v>
      </c>
      <c r="AF46" s="2004"/>
      <c r="AG46" s="2004"/>
      <c r="AH46" s="2004">
        <v>2</v>
      </c>
      <c r="AI46" s="2004" t="s">
        <v>2337</v>
      </c>
      <c r="AJ46" s="2004" t="s">
        <v>2337</v>
      </c>
      <c r="AK46" s="2004" t="s">
        <v>2337</v>
      </c>
      <c r="AL46" s="2004" t="s">
        <v>2337</v>
      </c>
      <c r="AM46" s="2004" t="s">
        <v>2337</v>
      </c>
      <c r="AN46" s="2004"/>
      <c r="AO46" s="2004"/>
      <c r="AP46" s="2004"/>
      <c r="AQ46" s="2004"/>
      <c r="AR46" s="2004"/>
      <c r="AS46" s="2004"/>
      <c r="AT46" s="2004"/>
      <c r="AU46" s="2004"/>
      <c r="AV46" s="2004"/>
      <c r="AW46" s="2004"/>
      <c r="AX46" s="2004"/>
      <c r="AY46" s="2004"/>
      <c r="AZ46" s="2004"/>
      <c r="BA46" s="2004"/>
      <c r="BB46" s="2004"/>
      <c r="BC46" s="2004"/>
      <c r="BD46" s="2004"/>
      <c r="BE46" s="2004"/>
      <c r="BF46" s="2004"/>
      <c r="BG46" s="2004"/>
      <c r="BH46" s="2004"/>
      <c r="BI46" s="2004"/>
      <c r="BJ46" s="2004"/>
      <c r="BK46" s="2004"/>
      <c r="BL46" s="2004"/>
      <c r="BM46" s="2004"/>
      <c r="BN46" s="2004">
        <v>1</v>
      </c>
      <c r="BO46" s="2004" t="s">
        <v>9203</v>
      </c>
      <c r="BP46" s="516" t="s">
        <v>2338</v>
      </c>
      <c r="BQ46" s="693" t="s">
        <v>2934</v>
      </c>
      <c r="BR46" s="2004" t="s">
        <v>2337</v>
      </c>
      <c r="BS46" s="2004" t="s">
        <v>9204</v>
      </c>
      <c r="BT46" s="2004">
        <v>0</v>
      </c>
      <c r="BU46" s="2004" t="s">
        <v>9204</v>
      </c>
      <c r="BV46" s="2004">
        <v>0</v>
      </c>
      <c r="BW46" s="2004" t="s">
        <v>2934</v>
      </c>
      <c r="BX46" s="2004" t="s">
        <v>2337</v>
      </c>
      <c r="BY46" s="2004">
        <v>0</v>
      </c>
      <c r="BZ46" s="2004">
        <v>0</v>
      </c>
      <c r="CA46" s="2004">
        <v>0</v>
      </c>
      <c r="CB46" s="2004">
        <v>0</v>
      </c>
      <c r="CC46" s="2004" t="s">
        <v>2934</v>
      </c>
      <c r="CD46" s="2004" t="s">
        <v>2337</v>
      </c>
      <c r="CE46" s="2004">
        <v>0</v>
      </c>
      <c r="CF46" s="2004">
        <v>0</v>
      </c>
      <c r="CG46" s="2004">
        <v>0</v>
      </c>
      <c r="CH46" s="2004">
        <v>0</v>
      </c>
      <c r="CI46" s="2004" t="s">
        <v>2934</v>
      </c>
      <c r="CJ46" s="2004" t="s">
        <v>2337</v>
      </c>
      <c r="CK46" s="2004">
        <v>0</v>
      </c>
      <c r="CL46" s="2004">
        <v>0</v>
      </c>
      <c r="CM46" s="2004">
        <v>0</v>
      </c>
      <c r="CN46" s="2004">
        <v>0</v>
      </c>
      <c r="CP46" s="2004" t="s">
        <v>9483</v>
      </c>
    </row>
    <row r="47" spans="1:94" ht="19.5">
      <c r="A47" s="2004" t="s">
        <v>9050</v>
      </c>
      <c r="B47" s="2004" t="s">
        <v>9484</v>
      </c>
      <c r="C47" s="2004" t="s">
        <v>9047</v>
      </c>
      <c r="D47" s="2004" t="s">
        <v>9275</v>
      </c>
      <c r="E47" s="2004" t="s">
        <v>9276</v>
      </c>
      <c r="F47" s="2004" t="s">
        <v>9295</v>
      </c>
      <c r="G47" s="2004" t="s">
        <v>9278</v>
      </c>
      <c r="H47" s="2004" t="s">
        <v>9485</v>
      </c>
      <c r="I47" s="2004" t="s">
        <v>9486</v>
      </c>
      <c r="J47" s="2004" t="s">
        <v>9230</v>
      </c>
      <c r="K47" s="2004"/>
      <c r="L47" s="2004"/>
      <c r="M47" s="2004"/>
      <c r="N47" s="2004" t="s">
        <v>9281</v>
      </c>
      <c r="O47" s="2004" t="s">
        <v>9487</v>
      </c>
      <c r="P47" s="2004" t="s">
        <v>9488</v>
      </c>
      <c r="Q47" s="516" t="s">
        <v>9203</v>
      </c>
      <c r="R47" s="2004"/>
      <c r="S47" s="2004" t="s">
        <v>9489</v>
      </c>
      <c r="T47" s="2004" t="s">
        <v>9489</v>
      </c>
      <c r="U47" s="2004" t="s">
        <v>9489</v>
      </c>
      <c r="V47" s="2004" t="s">
        <v>9489</v>
      </c>
      <c r="W47" s="2004" t="s">
        <v>9489</v>
      </c>
      <c r="X47" s="2004" t="s">
        <v>9489</v>
      </c>
      <c r="Y47" s="2004"/>
      <c r="Z47" s="2004"/>
      <c r="AA47" s="2004"/>
      <c r="AB47" s="2004"/>
      <c r="AC47" s="2004"/>
      <c r="AD47" s="2004"/>
      <c r="AE47" s="2004"/>
      <c r="AF47" s="2004"/>
      <c r="AG47" s="2004"/>
      <c r="AH47" s="2004">
        <v>0</v>
      </c>
      <c r="AI47" s="2004"/>
      <c r="AJ47" s="2004"/>
      <c r="AK47" s="2004"/>
      <c r="AL47" s="2004"/>
      <c r="AM47" s="2004"/>
      <c r="AN47" s="2004"/>
      <c r="AO47" s="2004"/>
      <c r="AP47" s="2004"/>
      <c r="AQ47" s="2004"/>
      <c r="AR47" s="2004"/>
      <c r="AS47" s="2004"/>
      <c r="AT47" s="2004"/>
      <c r="AU47" s="2004"/>
      <c r="AV47" s="2004"/>
      <c r="AW47" s="2004"/>
      <c r="AX47" s="2004"/>
      <c r="AY47" s="2004"/>
      <c r="AZ47" s="2004"/>
      <c r="BA47" s="2004"/>
      <c r="BB47" s="2004"/>
      <c r="BC47" s="2004"/>
      <c r="BD47" s="2004"/>
      <c r="BE47" s="2004"/>
      <c r="BF47" s="2004"/>
      <c r="BG47" s="2004"/>
      <c r="BH47" s="2004"/>
      <c r="BI47" s="2004"/>
      <c r="BJ47" s="2004"/>
      <c r="BK47" s="2004"/>
      <c r="BL47" s="2004"/>
      <c r="BM47" s="2004"/>
      <c r="BN47" s="2004"/>
      <c r="BO47" s="2004"/>
      <c r="BP47" s="516" t="s">
        <v>4150</v>
      </c>
      <c r="BQ47" s="695" t="s">
        <v>9490</v>
      </c>
      <c r="BR47" s="2004" t="s">
        <v>2337</v>
      </c>
      <c r="BS47" s="2004" t="s">
        <v>9204</v>
      </c>
      <c r="BT47" s="2004">
        <v>0</v>
      </c>
      <c r="BU47" s="2004" t="s">
        <v>9204</v>
      </c>
      <c r="BV47" s="2004">
        <v>0</v>
      </c>
      <c r="BW47" s="2004" t="s">
        <v>9491</v>
      </c>
      <c r="BX47" s="2004" t="s">
        <v>2334</v>
      </c>
      <c r="BY47" s="2004">
        <v>0</v>
      </c>
      <c r="BZ47" s="2004">
        <v>0</v>
      </c>
      <c r="CA47" s="2004">
        <v>0</v>
      </c>
      <c r="CB47" s="2004">
        <v>0</v>
      </c>
      <c r="CC47" s="2004" t="s">
        <v>9492</v>
      </c>
      <c r="CD47" s="2004" t="s">
        <v>2337</v>
      </c>
      <c r="CE47" s="2004">
        <v>0</v>
      </c>
      <c r="CF47" s="2004">
        <v>0</v>
      </c>
      <c r="CG47" s="2004">
        <v>0</v>
      </c>
      <c r="CH47" s="2004">
        <v>0</v>
      </c>
      <c r="CI47" s="2004" t="s">
        <v>9492</v>
      </c>
      <c r="CJ47" s="2004" t="s">
        <v>2337</v>
      </c>
      <c r="CK47" s="2004">
        <v>0</v>
      </c>
      <c r="CL47" s="2004">
        <v>0</v>
      </c>
      <c r="CM47" s="2004">
        <v>0</v>
      </c>
      <c r="CN47" s="2004">
        <v>0</v>
      </c>
      <c r="CP47" s="2004" t="s">
        <v>9493</v>
      </c>
    </row>
    <row r="48" spans="1:94">
      <c r="A48" s="2004" t="s">
        <v>9050</v>
      </c>
      <c r="B48" s="2004" t="s">
        <v>9494</v>
      </c>
      <c r="C48" s="2004" t="s">
        <v>9047</v>
      </c>
      <c r="D48" s="2004" t="s">
        <v>9275</v>
      </c>
      <c r="E48" s="2004" t="s">
        <v>9276</v>
      </c>
      <c r="F48" s="2004" t="s">
        <v>9295</v>
      </c>
      <c r="G48" s="2004" t="s">
        <v>9287</v>
      </c>
      <c r="H48" s="2004" t="s">
        <v>9495</v>
      </c>
      <c r="I48" s="2004" t="s">
        <v>9496</v>
      </c>
      <c r="J48" s="2004" t="s">
        <v>9199</v>
      </c>
      <c r="K48" s="2004" t="s">
        <v>9200</v>
      </c>
      <c r="L48" s="2004"/>
      <c r="M48" s="2004" t="s">
        <v>2334</v>
      </c>
      <c r="N48" s="2004" t="s">
        <v>9281</v>
      </c>
      <c r="O48" s="2004" t="s">
        <v>9282</v>
      </c>
      <c r="P48" s="2004" t="s">
        <v>9283</v>
      </c>
      <c r="Q48" s="516">
        <v>0</v>
      </c>
      <c r="R48" s="2004" t="s">
        <v>9240</v>
      </c>
      <c r="S48" s="2004">
        <v>85</v>
      </c>
      <c r="T48" s="2004" t="s">
        <v>9284</v>
      </c>
      <c r="U48" s="2004" t="s">
        <v>9284</v>
      </c>
      <c r="V48" s="2004" t="s">
        <v>9284</v>
      </c>
      <c r="W48" s="2004" t="s">
        <v>9284</v>
      </c>
      <c r="X48" s="2004" t="s">
        <v>9284</v>
      </c>
      <c r="Y48" s="2004"/>
      <c r="Z48" s="2004"/>
      <c r="AA48" s="2004"/>
      <c r="AB48" s="2004"/>
      <c r="AC48" s="2004"/>
      <c r="AD48" s="2004"/>
      <c r="AE48" s="2004"/>
      <c r="AF48" s="2004"/>
      <c r="AG48" s="2004"/>
      <c r="AH48" s="2004">
        <v>0</v>
      </c>
      <c r="AI48" s="2004" t="s">
        <v>2337</v>
      </c>
      <c r="AJ48" s="2004" t="s">
        <v>2337</v>
      </c>
      <c r="AK48" s="2004" t="s">
        <v>2337</v>
      </c>
      <c r="AL48" s="2004" t="s">
        <v>2337</v>
      </c>
      <c r="AM48" s="2004" t="s">
        <v>2337</v>
      </c>
      <c r="AN48" s="2004" t="s">
        <v>9284</v>
      </c>
      <c r="AO48" s="2004" t="s">
        <v>9284</v>
      </c>
      <c r="AP48" s="2004" t="s">
        <v>9284</v>
      </c>
      <c r="AQ48" s="2004" t="s">
        <v>9284</v>
      </c>
      <c r="AR48" s="2004" t="s">
        <v>9284</v>
      </c>
      <c r="AS48" s="2004" t="s">
        <v>9284</v>
      </c>
      <c r="AT48" s="2004" t="s">
        <v>9284</v>
      </c>
      <c r="AU48" s="2004" t="s">
        <v>9284</v>
      </c>
      <c r="AV48" s="2004" t="s">
        <v>9284</v>
      </c>
      <c r="AW48" s="2004" t="s">
        <v>9284</v>
      </c>
      <c r="AX48" s="2004" t="s">
        <v>9284</v>
      </c>
      <c r="AY48" s="2004" t="s">
        <v>9284</v>
      </c>
      <c r="AZ48" s="2004" t="s">
        <v>9284</v>
      </c>
      <c r="BA48" s="2004" t="s">
        <v>9284</v>
      </c>
      <c r="BB48" s="2004" t="s">
        <v>9284</v>
      </c>
      <c r="BC48" s="2004" t="s">
        <v>9284</v>
      </c>
      <c r="BD48" s="2004" t="s">
        <v>9284</v>
      </c>
      <c r="BE48" s="2004" t="s">
        <v>9284</v>
      </c>
      <c r="BF48" s="2004" t="s">
        <v>9284</v>
      </c>
      <c r="BG48" s="2004" t="s">
        <v>9284</v>
      </c>
      <c r="BH48" s="2004" t="s">
        <v>9284</v>
      </c>
      <c r="BI48" s="2004"/>
      <c r="BJ48" s="2004"/>
      <c r="BK48" s="2004"/>
      <c r="BL48" s="2004" t="s">
        <v>9284</v>
      </c>
      <c r="BM48" s="2004"/>
      <c r="BN48" s="2004">
        <v>1</v>
      </c>
      <c r="BO48" s="2004" t="s">
        <v>9203</v>
      </c>
      <c r="BP48" s="516" t="s">
        <v>4150</v>
      </c>
      <c r="BQ48" s="693">
        <v>85</v>
      </c>
      <c r="BR48" s="2004" t="s">
        <v>9204</v>
      </c>
      <c r="BS48" s="2004" t="s">
        <v>9204</v>
      </c>
      <c r="BT48" s="2004">
        <v>0</v>
      </c>
      <c r="BU48" s="2004" t="s">
        <v>9204</v>
      </c>
      <c r="BV48" s="2004">
        <v>0</v>
      </c>
      <c r="BW48" s="2004">
        <v>86</v>
      </c>
      <c r="BX48" s="2004" t="s">
        <v>2335</v>
      </c>
      <c r="BY48" s="2004">
        <v>0</v>
      </c>
      <c r="BZ48" s="2004">
        <v>0</v>
      </c>
      <c r="CA48" s="2004">
        <v>0</v>
      </c>
      <c r="CB48" s="2004">
        <v>0</v>
      </c>
      <c r="CC48" s="2004">
        <v>88</v>
      </c>
      <c r="CD48" s="2004" t="s">
        <v>2335</v>
      </c>
      <c r="CE48" s="2004">
        <v>0</v>
      </c>
      <c r="CF48" s="2004">
        <v>0</v>
      </c>
      <c r="CG48" s="2004">
        <v>0</v>
      </c>
      <c r="CH48" s="2004">
        <v>0</v>
      </c>
      <c r="CI48" s="2004">
        <v>90</v>
      </c>
      <c r="CJ48" s="2004" t="s">
        <v>2335</v>
      </c>
      <c r="CK48" s="2004">
        <v>0</v>
      </c>
      <c r="CL48" s="2004">
        <v>0</v>
      </c>
      <c r="CM48" s="2004">
        <v>0</v>
      </c>
      <c r="CN48" s="2004">
        <v>0</v>
      </c>
      <c r="CP48" s="2004" t="s">
        <v>9497</v>
      </c>
    </row>
    <row r="49" spans="1:94">
      <c r="A49" s="2004" t="s">
        <v>9050</v>
      </c>
      <c r="B49" s="2004" t="s">
        <v>9498</v>
      </c>
      <c r="C49" s="2004" t="s">
        <v>9047</v>
      </c>
      <c r="D49" s="2004" t="s">
        <v>9275</v>
      </c>
      <c r="E49" s="2004" t="s">
        <v>9276</v>
      </c>
      <c r="F49" s="2004" t="s">
        <v>9295</v>
      </c>
      <c r="G49" s="2004" t="s">
        <v>9499</v>
      </c>
      <c r="H49" s="2004" t="s">
        <v>9500</v>
      </c>
      <c r="I49" s="2004" t="s">
        <v>9501</v>
      </c>
      <c r="J49" s="2004" t="s">
        <v>9230</v>
      </c>
      <c r="K49" s="2004"/>
      <c r="L49" s="2004"/>
      <c r="M49" s="2004"/>
      <c r="N49" s="2004" t="s">
        <v>9386</v>
      </c>
      <c r="O49" s="2004" t="s">
        <v>9502</v>
      </c>
      <c r="P49" s="2004" t="s">
        <v>9503</v>
      </c>
      <c r="Q49" s="516" t="s">
        <v>9203</v>
      </c>
      <c r="R49" s="2004"/>
      <c r="S49" s="2004" t="s">
        <v>9504</v>
      </c>
      <c r="T49" s="2004"/>
      <c r="U49" s="2004"/>
      <c r="V49" s="2004"/>
      <c r="W49" s="2004"/>
      <c r="X49" s="2004" t="s">
        <v>9505</v>
      </c>
      <c r="Y49" s="2004"/>
      <c r="Z49" s="2004"/>
      <c r="AA49" s="2004"/>
      <c r="AB49" s="2004"/>
      <c r="AC49" s="2004"/>
      <c r="AD49" s="2004"/>
      <c r="AE49" s="2004"/>
      <c r="AF49" s="2004"/>
      <c r="AG49" s="2004"/>
      <c r="AH49" s="2004">
        <v>0</v>
      </c>
      <c r="AI49" s="2004"/>
      <c r="AJ49" s="2004"/>
      <c r="AK49" s="2004"/>
      <c r="AL49" s="2004"/>
      <c r="AM49" s="2004"/>
      <c r="AN49" s="2004"/>
      <c r="AO49" s="2004"/>
      <c r="AP49" s="2004"/>
      <c r="AQ49" s="2004"/>
      <c r="AR49" s="2004"/>
      <c r="AS49" s="2004"/>
      <c r="AT49" s="2004"/>
      <c r="AU49" s="2004"/>
      <c r="AV49" s="2004"/>
      <c r="AW49" s="2004"/>
      <c r="AX49" s="2004"/>
      <c r="AY49" s="2004"/>
      <c r="AZ49" s="2004"/>
      <c r="BA49" s="2004"/>
      <c r="BB49" s="2004"/>
      <c r="BC49" s="2004"/>
      <c r="BD49" s="2004"/>
      <c r="BE49" s="2004"/>
      <c r="BF49" s="2004"/>
      <c r="BG49" s="2004"/>
      <c r="BH49" s="2004"/>
      <c r="BI49" s="2004"/>
      <c r="BJ49" s="2004"/>
      <c r="BK49" s="2004"/>
      <c r="BL49" s="2004"/>
      <c r="BM49" s="2004"/>
      <c r="BN49" s="2004"/>
      <c r="BO49" s="2004"/>
      <c r="BP49" s="516" t="s">
        <v>9504</v>
      </c>
      <c r="BQ49" s="696" t="s">
        <v>9506</v>
      </c>
      <c r="BR49" s="2004" t="s">
        <v>9204</v>
      </c>
      <c r="BS49" s="2004" t="s">
        <v>9204</v>
      </c>
      <c r="BT49" s="2004">
        <v>0</v>
      </c>
      <c r="BU49" s="2004" t="s">
        <v>9204</v>
      </c>
      <c r="BV49" s="2004">
        <v>0</v>
      </c>
      <c r="BW49" s="2004" t="s">
        <v>9507</v>
      </c>
      <c r="BX49" s="2004" t="s">
        <v>2335</v>
      </c>
      <c r="BY49" s="2004">
        <v>0</v>
      </c>
      <c r="BZ49" s="2004">
        <v>0</v>
      </c>
      <c r="CA49" s="2004">
        <v>0</v>
      </c>
      <c r="CB49" s="2004">
        <v>0</v>
      </c>
      <c r="CC49" s="2004" t="s">
        <v>9508</v>
      </c>
      <c r="CD49" s="2004" t="s">
        <v>2335</v>
      </c>
      <c r="CE49" s="2004">
        <v>0</v>
      </c>
      <c r="CF49" s="2004">
        <v>0</v>
      </c>
      <c r="CG49" s="2004">
        <v>0</v>
      </c>
      <c r="CH49" s="2004">
        <v>0</v>
      </c>
      <c r="CI49" s="2004" t="s">
        <v>9509</v>
      </c>
      <c r="CJ49" s="2004" t="s">
        <v>2335</v>
      </c>
      <c r="CK49" s="2004">
        <v>0</v>
      </c>
      <c r="CL49" s="2004">
        <v>0</v>
      </c>
      <c r="CM49" s="2004">
        <v>0</v>
      </c>
      <c r="CN49" s="2004">
        <v>0</v>
      </c>
      <c r="CP49" s="2004" t="s">
        <v>9510</v>
      </c>
    </row>
    <row r="50" spans="1:94">
      <c r="A50" s="2004" t="s">
        <v>9050</v>
      </c>
      <c r="B50" s="2004" t="s">
        <v>9511</v>
      </c>
      <c r="C50" s="2004" t="s">
        <v>9047</v>
      </c>
      <c r="D50" s="2004" t="s">
        <v>9275</v>
      </c>
      <c r="E50" s="2004" t="s">
        <v>9276</v>
      </c>
      <c r="F50" s="2004" t="s">
        <v>9311</v>
      </c>
      <c r="G50" s="2004" t="s">
        <v>9512</v>
      </c>
      <c r="H50" s="2004" t="s">
        <v>9513</v>
      </c>
      <c r="I50" s="2004" t="s">
        <v>9514</v>
      </c>
      <c r="J50" s="2004" t="s">
        <v>9199</v>
      </c>
      <c r="K50" s="2004" t="s">
        <v>9200</v>
      </c>
      <c r="L50" s="2004"/>
      <c r="M50" s="2004"/>
      <c r="N50" s="2004" t="s">
        <v>9290</v>
      </c>
      <c r="O50" s="2004" t="s">
        <v>734</v>
      </c>
      <c r="P50" s="2004" t="s">
        <v>9314</v>
      </c>
      <c r="Q50" s="516">
        <v>0</v>
      </c>
      <c r="R50" s="2004" t="s">
        <v>9240</v>
      </c>
      <c r="S50" s="2004">
        <v>0</v>
      </c>
      <c r="T50" s="2004">
        <v>0</v>
      </c>
      <c r="U50" s="2004">
        <v>0</v>
      </c>
      <c r="V50" s="2004">
        <v>0</v>
      </c>
      <c r="W50" s="2004">
        <v>0</v>
      </c>
      <c r="X50" s="2004">
        <v>0</v>
      </c>
      <c r="Y50" s="2004"/>
      <c r="Z50" s="2004"/>
      <c r="AA50" s="2004"/>
      <c r="AB50" s="2004"/>
      <c r="AC50" s="2004"/>
      <c r="AD50" s="2004"/>
      <c r="AE50" s="2004"/>
      <c r="AF50" s="2004"/>
      <c r="AG50" s="2004"/>
      <c r="AH50" s="2004">
        <v>0</v>
      </c>
      <c r="AI50" s="2004" t="s">
        <v>2337</v>
      </c>
      <c r="AJ50" s="2004" t="s">
        <v>2337</v>
      </c>
      <c r="AK50" s="2004" t="s">
        <v>2337</v>
      </c>
      <c r="AL50" s="2004" t="s">
        <v>2337</v>
      </c>
      <c r="AM50" s="2004" t="s">
        <v>2337</v>
      </c>
      <c r="AN50" s="2004">
        <v>-20</v>
      </c>
      <c r="AO50" s="2004">
        <v>-20</v>
      </c>
      <c r="AP50" s="2004">
        <v>-20</v>
      </c>
      <c r="AQ50" s="2004">
        <v>-20</v>
      </c>
      <c r="AR50" s="2004">
        <v>-20</v>
      </c>
      <c r="AS50" s="2004">
        <v>0</v>
      </c>
      <c r="AT50" s="2004">
        <v>0</v>
      </c>
      <c r="AU50" s="2004">
        <v>0</v>
      </c>
      <c r="AV50" s="2004">
        <v>0</v>
      </c>
      <c r="AW50" s="2004">
        <v>0</v>
      </c>
      <c r="AX50" s="2004">
        <v>0</v>
      </c>
      <c r="AY50" s="2004">
        <v>0</v>
      </c>
      <c r="AZ50" s="2004">
        <v>0</v>
      </c>
      <c r="BA50" s="2004">
        <v>0</v>
      </c>
      <c r="BB50" s="2004">
        <v>0</v>
      </c>
      <c r="BC50" s="2004">
        <v>20</v>
      </c>
      <c r="BD50" s="2004">
        <v>20</v>
      </c>
      <c r="BE50" s="2004">
        <v>20</v>
      </c>
      <c r="BF50" s="2004">
        <v>20</v>
      </c>
      <c r="BG50" s="2004">
        <v>20</v>
      </c>
      <c r="BH50" s="2004">
        <v>2.5000000000000001E-2</v>
      </c>
      <c r="BI50" s="2004"/>
      <c r="BJ50" s="2004"/>
      <c r="BK50" s="2004"/>
      <c r="BL50" s="2004">
        <v>2.5000000000000001E-2</v>
      </c>
      <c r="BM50" s="2004"/>
      <c r="BN50" s="2004">
        <v>1</v>
      </c>
      <c r="BO50" s="2004" t="s">
        <v>9203</v>
      </c>
      <c r="BP50" s="516">
        <v>3</v>
      </c>
      <c r="BQ50" s="691">
        <v>5</v>
      </c>
      <c r="BR50" s="2004" t="s">
        <v>2337</v>
      </c>
      <c r="BS50" s="2004" t="s">
        <v>9204</v>
      </c>
      <c r="BT50" s="2004">
        <v>0</v>
      </c>
      <c r="BU50" s="2004" t="s">
        <v>2339</v>
      </c>
      <c r="BV50" s="2004">
        <v>0.125</v>
      </c>
      <c r="BW50" s="2004">
        <v>3</v>
      </c>
      <c r="BX50" s="2004" t="s">
        <v>2337</v>
      </c>
      <c r="BY50" s="2004">
        <v>0</v>
      </c>
      <c r="BZ50" s="2004">
        <v>0</v>
      </c>
      <c r="CA50" s="2004" t="s">
        <v>2339</v>
      </c>
      <c r="CB50" s="2004">
        <v>7.4999999999999997E-2</v>
      </c>
      <c r="CC50" s="2004">
        <v>9</v>
      </c>
      <c r="CD50" s="2004" t="s">
        <v>2337</v>
      </c>
      <c r="CE50" s="2004">
        <v>0</v>
      </c>
      <c r="CF50" s="2004">
        <v>0</v>
      </c>
      <c r="CG50" s="2004" t="s">
        <v>2339</v>
      </c>
      <c r="CH50" s="2004">
        <v>0.22500000000000001</v>
      </c>
      <c r="CI50" s="2004">
        <v>2</v>
      </c>
      <c r="CJ50" s="2004" t="s">
        <v>2337</v>
      </c>
      <c r="CK50" s="2004">
        <v>0</v>
      </c>
      <c r="CL50" s="2004">
        <v>0</v>
      </c>
      <c r="CM50" s="2004" t="s">
        <v>2339</v>
      </c>
      <c r="CN50" s="2004">
        <v>0.05</v>
      </c>
      <c r="CP50" s="2004" t="s">
        <v>9515</v>
      </c>
    </row>
    <row r="51" spans="1:94">
      <c r="A51" s="2004" t="s">
        <v>9050</v>
      </c>
      <c r="B51" s="2004" t="s">
        <v>9516</v>
      </c>
      <c r="C51" s="2004" t="s">
        <v>9047</v>
      </c>
      <c r="D51" s="2004" t="s">
        <v>9275</v>
      </c>
      <c r="E51" s="2004" t="s">
        <v>9276</v>
      </c>
      <c r="F51" s="2004" t="s">
        <v>9311</v>
      </c>
      <c r="G51" s="2004" t="s">
        <v>9517</v>
      </c>
      <c r="H51" s="2004" t="s">
        <v>9518</v>
      </c>
      <c r="I51" s="2004" t="s">
        <v>9519</v>
      </c>
      <c r="J51" s="2004" t="s">
        <v>9199</v>
      </c>
      <c r="K51" s="2004" t="s">
        <v>9200</v>
      </c>
      <c r="L51" s="2004"/>
      <c r="M51" s="2004"/>
      <c r="N51" s="2004" t="s">
        <v>9290</v>
      </c>
      <c r="O51" s="2004" t="s">
        <v>734</v>
      </c>
      <c r="P51" s="2004" t="s">
        <v>9314</v>
      </c>
      <c r="Q51" s="516">
        <v>0</v>
      </c>
      <c r="R51" s="2004" t="s">
        <v>9240</v>
      </c>
      <c r="S51" s="2004">
        <v>0</v>
      </c>
      <c r="T51" s="2004">
        <v>0</v>
      </c>
      <c r="U51" s="2004">
        <v>0</v>
      </c>
      <c r="V51" s="2004">
        <v>0</v>
      </c>
      <c r="W51" s="2004">
        <v>0</v>
      </c>
      <c r="X51" s="2004">
        <v>0</v>
      </c>
      <c r="Y51" s="2004"/>
      <c r="Z51" s="2004"/>
      <c r="AA51" s="2004"/>
      <c r="AB51" s="2004"/>
      <c r="AC51" s="2004"/>
      <c r="AD51" s="2004"/>
      <c r="AE51" s="2004"/>
      <c r="AF51" s="2004"/>
      <c r="AG51" s="2004"/>
      <c r="AH51" s="2004">
        <v>0</v>
      </c>
      <c r="AI51" s="2004" t="s">
        <v>2337</v>
      </c>
      <c r="AJ51" s="2004" t="s">
        <v>2337</v>
      </c>
      <c r="AK51" s="2004" t="s">
        <v>2337</v>
      </c>
      <c r="AL51" s="2004" t="s">
        <v>2337</v>
      </c>
      <c r="AM51" s="2004" t="s">
        <v>2337</v>
      </c>
      <c r="AN51" s="2004">
        <v>-20</v>
      </c>
      <c r="AO51" s="2004">
        <v>-20</v>
      </c>
      <c r="AP51" s="2004">
        <v>-20</v>
      </c>
      <c r="AQ51" s="2004">
        <v>-20</v>
      </c>
      <c r="AR51" s="2004">
        <v>-20</v>
      </c>
      <c r="AS51" s="2004">
        <v>0</v>
      </c>
      <c r="AT51" s="2004">
        <v>0</v>
      </c>
      <c r="AU51" s="2004">
        <v>0</v>
      </c>
      <c r="AV51" s="2004">
        <v>0</v>
      </c>
      <c r="AW51" s="2004">
        <v>0</v>
      </c>
      <c r="AX51" s="2004">
        <v>0</v>
      </c>
      <c r="AY51" s="2004">
        <v>0</v>
      </c>
      <c r="AZ51" s="2004">
        <v>0</v>
      </c>
      <c r="BA51" s="2004">
        <v>0</v>
      </c>
      <c r="BB51" s="2004">
        <v>0</v>
      </c>
      <c r="BC51" s="2004">
        <v>20</v>
      </c>
      <c r="BD51" s="2004">
        <v>20</v>
      </c>
      <c r="BE51" s="2004">
        <v>20</v>
      </c>
      <c r="BF51" s="2004">
        <v>20</v>
      </c>
      <c r="BG51" s="2004">
        <v>20</v>
      </c>
      <c r="BH51" s="2004">
        <v>2.5000000000000001E-2</v>
      </c>
      <c r="BI51" s="2004"/>
      <c r="BJ51" s="2004"/>
      <c r="BK51" s="2004"/>
      <c r="BL51" s="2004">
        <v>2.5000000000000001E-2</v>
      </c>
      <c r="BM51" s="2004"/>
      <c r="BN51" s="2004">
        <v>1</v>
      </c>
      <c r="BO51" s="2004" t="s">
        <v>9203</v>
      </c>
      <c r="BP51" s="516">
        <v>4</v>
      </c>
      <c r="BQ51" s="691">
        <v>6</v>
      </c>
      <c r="BR51" s="2004" t="s">
        <v>2337</v>
      </c>
      <c r="BS51" s="2004" t="s">
        <v>9204</v>
      </c>
      <c r="BT51" s="2004">
        <v>0</v>
      </c>
      <c r="BU51" s="2004" t="s">
        <v>2339</v>
      </c>
      <c r="BV51" s="2004">
        <v>0.15</v>
      </c>
      <c r="BW51" s="2004">
        <v>4</v>
      </c>
      <c r="BX51" s="2004" t="s">
        <v>2337</v>
      </c>
      <c r="BY51" s="2004">
        <v>0</v>
      </c>
      <c r="BZ51" s="2004">
        <v>0</v>
      </c>
      <c r="CA51" s="2004" t="s">
        <v>2339</v>
      </c>
      <c r="CB51" s="2004">
        <v>0.1</v>
      </c>
      <c r="CC51" s="2004">
        <v>10</v>
      </c>
      <c r="CD51" s="2004" t="s">
        <v>2337</v>
      </c>
      <c r="CE51" s="2004">
        <v>0</v>
      </c>
      <c r="CF51" s="2004">
        <v>0</v>
      </c>
      <c r="CG51" s="2004" t="s">
        <v>2339</v>
      </c>
      <c r="CH51" s="2004">
        <v>0.25</v>
      </c>
      <c r="CI51" s="2004">
        <v>2</v>
      </c>
      <c r="CJ51" s="2004" t="s">
        <v>2337</v>
      </c>
      <c r="CK51" s="2004">
        <v>0</v>
      </c>
      <c r="CL51" s="2004">
        <v>0</v>
      </c>
      <c r="CM51" s="2004" t="s">
        <v>2339</v>
      </c>
      <c r="CN51" s="2004">
        <v>0.05</v>
      </c>
      <c r="CP51" s="2004" t="s">
        <v>9520</v>
      </c>
    </row>
    <row r="52" spans="1:94">
      <c r="A52" s="2004" t="s">
        <v>9050</v>
      </c>
      <c r="B52" s="2004" t="s">
        <v>9521</v>
      </c>
      <c r="C52" s="2004" t="s">
        <v>9047</v>
      </c>
      <c r="D52" s="2004" t="s">
        <v>9275</v>
      </c>
      <c r="E52" s="2004" t="s">
        <v>9276</v>
      </c>
      <c r="F52" s="2004" t="s">
        <v>9368</v>
      </c>
      <c r="G52" s="2004" t="s">
        <v>9522</v>
      </c>
      <c r="H52" s="2004" t="s">
        <v>9523</v>
      </c>
      <c r="I52" s="2004" t="s">
        <v>9524</v>
      </c>
      <c r="J52" s="2004" t="s">
        <v>9230</v>
      </c>
      <c r="K52" s="2004"/>
      <c r="L52" s="2004"/>
      <c r="M52" s="2004"/>
      <c r="N52" s="2004" t="s">
        <v>9372</v>
      </c>
      <c r="O52" s="2004" t="s">
        <v>734</v>
      </c>
      <c r="P52" s="2004" t="s">
        <v>9373</v>
      </c>
      <c r="Q52" s="516">
        <v>0</v>
      </c>
      <c r="R52" s="2004" t="s">
        <v>9240</v>
      </c>
      <c r="S52" s="2004">
        <v>0</v>
      </c>
      <c r="T52" s="2004"/>
      <c r="U52" s="2004"/>
      <c r="V52" s="2004"/>
      <c r="W52" s="2004"/>
      <c r="X52" s="2004">
        <v>7</v>
      </c>
      <c r="Y52" s="2004"/>
      <c r="Z52" s="2004"/>
      <c r="AA52" s="2004"/>
      <c r="AB52" s="2004"/>
      <c r="AC52" s="2004"/>
      <c r="AD52" s="2004"/>
      <c r="AE52" s="2004"/>
      <c r="AF52" s="2004"/>
      <c r="AG52" s="2004"/>
      <c r="AH52" s="2004">
        <v>0</v>
      </c>
      <c r="AI52" s="2004"/>
      <c r="AJ52" s="2004"/>
      <c r="AK52" s="2004"/>
      <c r="AL52" s="2004"/>
      <c r="AM52" s="2004"/>
      <c r="AN52" s="2004"/>
      <c r="AO52" s="2004"/>
      <c r="AP52" s="2004"/>
      <c r="AQ52" s="2004"/>
      <c r="AR52" s="2004"/>
      <c r="AS52" s="2004"/>
      <c r="AT52" s="2004"/>
      <c r="AU52" s="2004"/>
      <c r="AV52" s="2004"/>
      <c r="AW52" s="2004"/>
      <c r="AX52" s="2004"/>
      <c r="AY52" s="2004"/>
      <c r="AZ52" s="2004"/>
      <c r="BA52" s="2004"/>
      <c r="BB52" s="2004"/>
      <c r="BC52" s="2004"/>
      <c r="BD52" s="2004"/>
      <c r="BE52" s="2004"/>
      <c r="BF52" s="2004"/>
      <c r="BG52" s="2004"/>
      <c r="BH52" s="2004"/>
      <c r="BI52" s="2004"/>
      <c r="BJ52" s="2004"/>
      <c r="BK52" s="2004"/>
      <c r="BL52" s="2004"/>
      <c r="BM52" s="2004"/>
      <c r="BN52" s="2004"/>
      <c r="BO52" s="2004"/>
      <c r="BP52" s="516">
        <v>0</v>
      </c>
      <c r="BQ52" s="691">
        <v>5</v>
      </c>
      <c r="BR52" s="2004" t="s">
        <v>9204</v>
      </c>
      <c r="BS52" s="2004" t="s">
        <v>9204</v>
      </c>
      <c r="BT52" s="2004">
        <v>0</v>
      </c>
      <c r="BU52" s="2004" t="s">
        <v>9204</v>
      </c>
      <c r="BV52" s="2004">
        <v>0</v>
      </c>
      <c r="BW52" s="2004">
        <v>11</v>
      </c>
      <c r="BX52" s="2004" t="s">
        <v>2335</v>
      </c>
      <c r="BY52" s="2004">
        <v>0</v>
      </c>
      <c r="BZ52" s="2004">
        <v>0</v>
      </c>
      <c r="CA52" s="2004">
        <v>0</v>
      </c>
      <c r="CB52" s="2004">
        <v>0</v>
      </c>
      <c r="CC52" s="2004">
        <v>19.600000000000001</v>
      </c>
      <c r="CD52" s="2004" t="s">
        <v>2335</v>
      </c>
      <c r="CE52" s="2004">
        <v>0</v>
      </c>
      <c r="CF52" s="2004">
        <v>0</v>
      </c>
      <c r="CG52" s="2004">
        <v>0</v>
      </c>
      <c r="CH52" s="2004">
        <v>0</v>
      </c>
      <c r="CI52" s="2004">
        <v>29</v>
      </c>
      <c r="CJ52" s="2004" t="s">
        <v>2335</v>
      </c>
      <c r="CK52" s="2004">
        <v>0</v>
      </c>
      <c r="CL52" s="2004">
        <v>0</v>
      </c>
      <c r="CM52" s="2004">
        <v>0</v>
      </c>
      <c r="CN52" s="2004">
        <v>0</v>
      </c>
      <c r="CP52" s="2004" t="s">
        <v>9525</v>
      </c>
    </row>
    <row r="53" spans="1:94">
      <c r="A53" s="2004" t="s">
        <v>9050</v>
      </c>
      <c r="B53" s="2004" t="s">
        <v>9526</v>
      </c>
      <c r="C53" s="2004" t="s">
        <v>9047</v>
      </c>
      <c r="D53" s="2004" t="s">
        <v>9275</v>
      </c>
      <c r="E53" s="2004" t="s">
        <v>9276</v>
      </c>
      <c r="F53" s="2004" t="s">
        <v>9368</v>
      </c>
      <c r="G53" s="2004" t="s">
        <v>9527</v>
      </c>
      <c r="H53" s="2004" t="s">
        <v>9528</v>
      </c>
      <c r="I53" s="2004" t="s">
        <v>9529</v>
      </c>
      <c r="J53" s="2004" t="s">
        <v>9230</v>
      </c>
      <c r="K53" s="2004"/>
      <c r="L53" s="2004"/>
      <c r="M53" s="2004"/>
      <c r="N53" s="2004" t="s">
        <v>9372</v>
      </c>
      <c r="O53" s="2004" t="s">
        <v>734</v>
      </c>
      <c r="P53" s="2004" t="s">
        <v>9379</v>
      </c>
      <c r="Q53" s="516">
        <v>0</v>
      </c>
      <c r="R53" s="2004" t="s">
        <v>9240</v>
      </c>
      <c r="S53" s="2004">
        <v>50</v>
      </c>
      <c r="T53" s="2004"/>
      <c r="U53" s="2004"/>
      <c r="V53" s="2004"/>
      <c r="W53" s="2004"/>
      <c r="X53" s="2004">
        <v>60</v>
      </c>
      <c r="Y53" s="2004"/>
      <c r="Z53" s="2004"/>
      <c r="AA53" s="2004"/>
      <c r="AB53" s="2004"/>
      <c r="AC53" s="2004"/>
      <c r="AD53" s="2004"/>
      <c r="AE53" s="2004"/>
      <c r="AF53" s="2004"/>
      <c r="AG53" s="2004"/>
      <c r="AH53" s="2004">
        <v>0</v>
      </c>
      <c r="AI53" s="2004"/>
      <c r="AJ53" s="2004"/>
      <c r="AK53" s="2004"/>
      <c r="AL53" s="2004"/>
      <c r="AM53" s="2004"/>
      <c r="AN53" s="2004"/>
      <c r="AO53" s="2004"/>
      <c r="AP53" s="2004"/>
      <c r="AQ53" s="2004"/>
      <c r="AR53" s="2004"/>
      <c r="AS53" s="2004"/>
      <c r="AT53" s="2004"/>
      <c r="AU53" s="2004"/>
      <c r="AV53" s="2004"/>
      <c r="AW53" s="2004"/>
      <c r="AX53" s="2004"/>
      <c r="AY53" s="2004"/>
      <c r="AZ53" s="2004"/>
      <c r="BA53" s="2004"/>
      <c r="BB53" s="2004"/>
      <c r="BC53" s="2004"/>
      <c r="BD53" s="2004"/>
      <c r="BE53" s="2004"/>
      <c r="BF53" s="2004"/>
      <c r="BG53" s="2004"/>
      <c r="BH53" s="2004"/>
      <c r="BI53" s="2004"/>
      <c r="BJ53" s="2004"/>
      <c r="BK53" s="2004"/>
      <c r="BL53" s="2004"/>
      <c r="BM53" s="2004"/>
      <c r="BN53" s="2004"/>
      <c r="BO53" s="2004"/>
      <c r="BP53" s="516">
        <v>54</v>
      </c>
      <c r="BQ53" s="691">
        <v>53</v>
      </c>
      <c r="BR53" s="2004" t="s">
        <v>9204</v>
      </c>
      <c r="BS53" s="2004" t="s">
        <v>9204</v>
      </c>
      <c r="BT53" s="2004">
        <v>0</v>
      </c>
      <c r="BU53" s="2004" t="s">
        <v>9204</v>
      </c>
      <c r="BV53" s="2004">
        <v>0</v>
      </c>
      <c r="BW53" s="2004">
        <v>55</v>
      </c>
      <c r="BX53" s="2004" t="s">
        <v>2335</v>
      </c>
      <c r="BY53" s="2004">
        <v>0</v>
      </c>
      <c r="BZ53" s="2004">
        <v>0</v>
      </c>
      <c r="CA53" s="2004">
        <v>0</v>
      </c>
      <c r="CB53" s="2004">
        <v>0</v>
      </c>
      <c r="CC53" s="2004">
        <v>57</v>
      </c>
      <c r="CD53" s="2004" t="s">
        <v>2335</v>
      </c>
      <c r="CE53" s="2004">
        <v>0</v>
      </c>
      <c r="CF53" s="2004">
        <v>0</v>
      </c>
      <c r="CG53" s="2004">
        <v>0</v>
      </c>
      <c r="CH53" s="2004">
        <v>0</v>
      </c>
      <c r="CI53" s="2004">
        <v>58</v>
      </c>
      <c r="CJ53" s="2004" t="s">
        <v>2335</v>
      </c>
      <c r="CK53" s="2004">
        <v>0</v>
      </c>
      <c r="CL53" s="2004">
        <v>0</v>
      </c>
      <c r="CM53" s="2004">
        <v>0</v>
      </c>
      <c r="CN53" s="2004">
        <v>0</v>
      </c>
      <c r="CP53" s="2004" t="s">
        <v>9530</v>
      </c>
    </row>
    <row r="54" spans="1:94">
      <c r="A54" s="2004" t="s">
        <v>9050</v>
      </c>
      <c r="B54" s="2004" t="s">
        <v>9531</v>
      </c>
      <c r="C54" s="2004" t="s">
        <v>9047</v>
      </c>
      <c r="D54" s="2004" t="s">
        <v>9275</v>
      </c>
      <c r="E54" s="2004" t="s">
        <v>9276</v>
      </c>
      <c r="F54" s="2004" t="s">
        <v>9382</v>
      </c>
      <c r="G54" s="2004" t="s">
        <v>9532</v>
      </c>
      <c r="H54" s="2004" t="s">
        <v>9533</v>
      </c>
      <c r="I54" s="2004" t="s">
        <v>9534</v>
      </c>
      <c r="J54" s="2004" t="s">
        <v>9230</v>
      </c>
      <c r="K54" s="2004"/>
      <c r="L54" s="2004"/>
      <c r="M54" s="2004"/>
      <c r="N54" s="2004" t="s">
        <v>9386</v>
      </c>
      <c r="O54" s="2004" t="s">
        <v>734</v>
      </c>
      <c r="P54" s="2004" t="s">
        <v>9387</v>
      </c>
      <c r="Q54" s="516" t="s">
        <v>9203</v>
      </c>
      <c r="R54" s="2004" t="s">
        <v>9240</v>
      </c>
      <c r="S54" s="2004">
        <v>56</v>
      </c>
      <c r="T54" s="2004"/>
      <c r="U54" s="2004"/>
      <c r="V54" s="2004"/>
      <c r="W54" s="2004"/>
      <c r="X54" s="2004">
        <v>60</v>
      </c>
      <c r="Y54" s="2004"/>
      <c r="Z54" s="2004"/>
      <c r="AA54" s="2004"/>
      <c r="AB54" s="2004"/>
      <c r="AC54" s="2004"/>
      <c r="AD54" s="2004"/>
      <c r="AE54" s="2004"/>
      <c r="AF54" s="2004"/>
      <c r="AG54" s="2004"/>
      <c r="AH54" s="2004">
        <v>0</v>
      </c>
      <c r="AI54" s="2004"/>
      <c r="AJ54" s="2004"/>
      <c r="AK54" s="2004"/>
      <c r="AL54" s="2004"/>
      <c r="AM54" s="2004"/>
      <c r="AN54" s="2004"/>
      <c r="AO54" s="2004"/>
      <c r="AP54" s="2004"/>
      <c r="AQ54" s="2004"/>
      <c r="AR54" s="2004"/>
      <c r="AS54" s="2004"/>
      <c r="AT54" s="2004"/>
      <c r="AU54" s="2004"/>
      <c r="AV54" s="2004"/>
      <c r="AW54" s="2004"/>
      <c r="AX54" s="2004"/>
      <c r="AY54" s="2004"/>
      <c r="AZ54" s="2004"/>
      <c r="BA54" s="2004"/>
      <c r="BB54" s="2004"/>
      <c r="BC54" s="2004"/>
      <c r="BD54" s="2004"/>
      <c r="BE54" s="2004"/>
      <c r="BF54" s="2004"/>
      <c r="BG54" s="2004"/>
      <c r="BH54" s="2004"/>
      <c r="BI54" s="2004"/>
      <c r="BJ54" s="2004"/>
      <c r="BK54" s="2004"/>
      <c r="BL54" s="2004"/>
      <c r="BM54" s="2004"/>
      <c r="BN54" s="2004"/>
      <c r="BO54" s="2004"/>
      <c r="BP54" s="516" t="s">
        <v>9388</v>
      </c>
      <c r="BQ54" s="693">
        <v>56</v>
      </c>
      <c r="BR54" s="2004" t="s">
        <v>9204</v>
      </c>
      <c r="BS54" s="2004" t="s">
        <v>9204</v>
      </c>
      <c r="BT54" s="2004">
        <v>0</v>
      </c>
      <c r="BU54" s="2004" t="s">
        <v>9204</v>
      </c>
      <c r="BV54" s="2004">
        <v>0</v>
      </c>
      <c r="BW54" s="2004">
        <v>52</v>
      </c>
      <c r="BX54" s="2004" t="s">
        <v>2335</v>
      </c>
      <c r="BY54" s="2004">
        <v>0</v>
      </c>
      <c r="BZ54" s="2004">
        <v>0</v>
      </c>
      <c r="CA54" s="2004">
        <v>0</v>
      </c>
      <c r="CB54" s="2004">
        <v>0</v>
      </c>
      <c r="CC54" s="2004">
        <v>55</v>
      </c>
      <c r="CD54" s="2004" t="s">
        <v>2335</v>
      </c>
      <c r="CE54" s="2004">
        <v>0</v>
      </c>
      <c r="CF54" s="2004">
        <v>0</v>
      </c>
      <c r="CG54" s="2004">
        <v>0</v>
      </c>
      <c r="CH54" s="2004">
        <v>0</v>
      </c>
      <c r="CI54" s="2004">
        <v>57</v>
      </c>
      <c r="CJ54" s="2004" t="s">
        <v>2335</v>
      </c>
      <c r="CK54" s="2004">
        <v>0</v>
      </c>
      <c r="CL54" s="2004">
        <v>0</v>
      </c>
      <c r="CM54" s="2004">
        <v>0</v>
      </c>
      <c r="CN54" s="2004">
        <v>0</v>
      </c>
      <c r="CP54" s="2004" t="s">
        <v>9535</v>
      </c>
    </row>
    <row r="55" spans="1:94">
      <c r="A55" s="2004" t="s">
        <v>9536</v>
      </c>
      <c r="B55" s="2004" t="s">
        <v>9537</v>
      </c>
      <c r="C55" s="2004" t="s">
        <v>9085</v>
      </c>
      <c r="D55" s="2004" t="s">
        <v>1628</v>
      </c>
      <c r="E55" s="2004" t="s">
        <v>9194</v>
      </c>
      <c r="F55" s="2004" t="s">
        <v>9538</v>
      </c>
      <c r="G55" s="2004" t="s">
        <v>7928</v>
      </c>
      <c r="H55" s="2004" t="s">
        <v>9539</v>
      </c>
      <c r="I55" s="2004" t="s">
        <v>9540</v>
      </c>
      <c r="J55" s="2004" t="s">
        <v>9199</v>
      </c>
      <c r="K55" s="2004" t="s">
        <v>9200</v>
      </c>
      <c r="L55" s="2004"/>
      <c r="M55" s="2004"/>
      <c r="N55" s="2004" t="s">
        <v>2951</v>
      </c>
      <c r="O55" s="2004" t="s">
        <v>9298</v>
      </c>
      <c r="P55" s="2004" t="s">
        <v>9299</v>
      </c>
      <c r="Q55" s="516">
        <v>1</v>
      </c>
      <c r="R55" s="2004" t="s">
        <v>9202</v>
      </c>
      <c r="S55" s="2004">
        <v>13.7</v>
      </c>
      <c r="T55" s="2004">
        <v>13.4</v>
      </c>
      <c r="U55" s="2004">
        <v>13.1</v>
      </c>
      <c r="V55" s="2004">
        <v>12.8</v>
      </c>
      <c r="W55" s="2004">
        <v>12.5</v>
      </c>
      <c r="X55" s="2004">
        <v>12.2</v>
      </c>
      <c r="Y55" s="2004"/>
      <c r="Z55" s="2004"/>
      <c r="AA55" s="2004" t="s">
        <v>2337</v>
      </c>
      <c r="AB55" s="2004"/>
      <c r="AC55" s="2004"/>
      <c r="AD55" s="2004"/>
      <c r="AE55" s="2004" t="s">
        <v>2337</v>
      </c>
      <c r="AF55" s="2004"/>
      <c r="AG55" s="2004"/>
      <c r="AH55" s="2004">
        <v>0</v>
      </c>
      <c r="AI55" s="2004" t="s">
        <v>2337</v>
      </c>
      <c r="AJ55" s="2004" t="s">
        <v>2337</v>
      </c>
      <c r="AK55" s="2004" t="s">
        <v>2337</v>
      </c>
      <c r="AL55" s="2004" t="s">
        <v>2337</v>
      </c>
      <c r="AM55" s="2004" t="s">
        <v>2337</v>
      </c>
      <c r="AN55" s="2004">
        <v>15.4</v>
      </c>
      <c r="AO55" s="2004">
        <v>15.1</v>
      </c>
      <c r="AP55" s="2004">
        <v>14.8</v>
      </c>
      <c r="AQ55" s="2004">
        <v>14.5</v>
      </c>
      <c r="AR55" s="2004">
        <v>14.2</v>
      </c>
      <c r="AS55" s="2004">
        <v>14.4</v>
      </c>
      <c r="AT55" s="2004">
        <v>14.1</v>
      </c>
      <c r="AU55" s="2004">
        <v>13.8</v>
      </c>
      <c r="AV55" s="2004">
        <v>13.5</v>
      </c>
      <c r="AW55" s="2004">
        <v>13.2</v>
      </c>
      <c r="AX55" s="2004">
        <v>10.199999999999999</v>
      </c>
      <c r="AY55" s="2004">
        <v>10.199999999999999</v>
      </c>
      <c r="AZ55" s="2004">
        <v>10.199999999999999</v>
      </c>
      <c r="BA55" s="2004">
        <v>10.199999999999999</v>
      </c>
      <c r="BB55" s="2004">
        <v>10.199999999999999</v>
      </c>
      <c r="BC55" s="2004">
        <v>8.9</v>
      </c>
      <c r="BD55" s="2004">
        <v>8.9</v>
      </c>
      <c r="BE55" s="2004">
        <v>8.9</v>
      </c>
      <c r="BF55" s="2004">
        <v>8.9</v>
      </c>
      <c r="BG55" s="2004">
        <v>8.9</v>
      </c>
      <c r="BH55" s="2004">
        <v>0.7389</v>
      </c>
      <c r="BI55" s="2004"/>
      <c r="BJ55" s="2004"/>
      <c r="BK55" s="2004"/>
      <c r="BL55" s="2004">
        <v>0.50970000000000004</v>
      </c>
      <c r="BM55" s="2004"/>
      <c r="BN55" s="2004">
        <v>1</v>
      </c>
      <c r="BO55" s="2004" t="s">
        <v>9203</v>
      </c>
      <c r="BP55" s="516">
        <v>152.4</v>
      </c>
      <c r="BQ55" s="692">
        <v>15.49</v>
      </c>
      <c r="BR55" s="2004" t="s">
        <v>2334</v>
      </c>
      <c r="BS55" s="2004" t="s">
        <v>9204</v>
      </c>
      <c r="BT55" s="2004">
        <v>0</v>
      </c>
      <c r="BU55" s="2004" t="s">
        <v>9254</v>
      </c>
      <c r="BV55" s="2004">
        <v>-0.7389</v>
      </c>
      <c r="BW55" s="2004">
        <v>13.12</v>
      </c>
      <c r="BX55" s="2004" t="s">
        <v>2337</v>
      </c>
      <c r="BY55" s="2004">
        <v>0</v>
      </c>
      <c r="BZ55" s="2004">
        <v>0</v>
      </c>
      <c r="CA55" s="2004">
        <v>0</v>
      </c>
      <c r="CB55" s="2004">
        <v>0</v>
      </c>
      <c r="CC55" s="2004">
        <v>73.7</v>
      </c>
      <c r="CD55" s="2004" t="s">
        <v>2334</v>
      </c>
      <c r="CE55" s="2004">
        <v>0</v>
      </c>
      <c r="CF55" s="2004">
        <v>0</v>
      </c>
      <c r="CG55" s="2004" t="s">
        <v>2336</v>
      </c>
      <c r="CH55" s="2004">
        <v>-0.7389</v>
      </c>
      <c r="CI55" s="2004">
        <v>14.67</v>
      </c>
      <c r="CJ55" s="2004" t="s">
        <v>2334</v>
      </c>
      <c r="CK55" s="2004">
        <v>0</v>
      </c>
      <c r="CL55" s="2004">
        <v>0</v>
      </c>
      <c r="CM55" s="2004" t="s">
        <v>2336</v>
      </c>
      <c r="CN55" s="2004">
        <v>-0.7389</v>
      </c>
      <c r="CP55" s="2004" t="s">
        <v>9541</v>
      </c>
    </row>
    <row r="56" spans="1:94">
      <c r="A56" s="2004" t="s">
        <v>9536</v>
      </c>
      <c r="B56" s="2004" t="s">
        <v>9542</v>
      </c>
      <c r="C56" s="2004" t="s">
        <v>9085</v>
      </c>
      <c r="D56" s="2004" t="s">
        <v>1628</v>
      </c>
      <c r="E56" s="2004" t="s">
        <v>9194</v>
      </c>
      <c r="F56" s="2004" t="s">
        <v>9538</v>
      </c>
      <c r="G56" s="2004" t="s">
        <v>7929</v>
      </c>
      <c r="H56" s="2004" t="s">
        <v>9543</v>
      </c>
      <c r="I56" s="2004" t="s">
        <v>9544</v>
      </c>
      <c r="J56" s="2004" t="s">
        <v>9210</v>
      </c>
      <c r="K56" s="2004" t="s">
        <v>9545</v>
      </c>
      <c r="L56" s="2004"/>
      <c r="M56" s="2004" t="s">
        <v>2334</v>
      </c>
      <c r="N56" s="2004" t="s">
        <v>9260</v>
      </c>
      <c r="O56" s="2004" t="s">
        <v>9395</v>
      </c>
      <c r="P56" s="2004" t="s">
        <v>9546</v>
      </c>
      <c r="Q56" s="516" t="s">
        <v>9203</v>
      </c>
      <c r="R56" s="2004"/>
      <c r="S56" s="2004" t="s">
        <v>2338</v>
      </c>
      <c r="T56" s="2004" t="s">
        <v>2338</v>
      </c>
      <c r="U56" s="2004" t="s">
        <v>2338</v>
      </c>
      <c r="V56" s="2004" t="s">
        <v>2338</v>
      </c>
      <c r="W56" s="2004" t="s">
        <v>2338</v>
      </c>
      <c r="X56" s="2004" t="s">
        <v>2338</v>
      </c>
      <c r="Y56" s="2004"/>
      <c r="Z56" s="2004"/>
      <c r="AA56" s="2004"/>
      <c r="AB56" s="2004"/>
      <c r="AC56" s="2004"/>
      <c r="AD56" s="2004"/>
      <c r="AE56" s="2004" t="s">
        <v>2337</v>
      </c>
      <c r="AF56" s="2004"/>
      <c r="AG56" s="2004"/>
      <c r="AH56" s="2004">
        <v>2</v>
      </c>
      <c r="AI56" s="2004" t="s">
        <v>2337</v>
      </c>
      <c r="AJ56" s="2004" t="s">
        <v>2337</v>
      </c>
      <c r="AK56" s="2004" t="s">
        <v>2337</v>
      </c>
      <c r="AL56" s="2004" t="s">
        <v>2337</v>
      </c>
      <c r="AM56" s="2004" t="s">
        <v>2337</v>
      </c>
      <c r="AN56" s="2004" t="s">
        <v>9547</v>
      </c>
      <c r="AO56" s="2004" t="s">
        <v>9547</v>
      </c>
      <c r="AP56" s="2004" t="s">
        <v>9547</v>
      </c>
      <c r="AQ56" s="2004" t="s">
        <v>9547</v>
      </c>
      <c r="AR56" s="2004" t="s">
        <v>9547</v>
      </c>
      <c r="AS56" s="2004" t="s">
        <v>9548</v>
      </c>
      <c r="AT56" s="2004" t="s">
        <v>9548</v>
      </c>
      <c r="AU56" s="2004" t="s">
        <v>9548</v>
      </c>
      <c r="AV56" s="2004" t="s">
        <v>9548</v>
      </c>
      <c r="AW56" s="2004" t="s">
        <v>9548</v>
      </c>
      <c r="AX56" s="2004"/>
      <c r="AY56" s="2004"/>
      <c r="AZ56" s="2004"/>
      <c r="BA56" s="2004"/>
      <c r="BB56" s="2004"/>
      <c r="BC56" s="2004"/>
      <c r="BD56" s="2004"/>
      <c r="BE56" s="2004"/>
      <c r="BF56" s="2004"/>
      <c r="BG56" s="2004"/>
      <c r="BH56" s="2004">
        <v>2.0539999999999998</v>
      </c>
      <c r="BI56" s="2004">
        <v>0.68500000000000005</v>
      </c>
      <c r="BJ56" s="2004"/>
      <c r="BK56" s="2004"/>
      <c r="BL56" s="2004"/>
      <c r="BM56" s="2004"/>
      <c r="BN56" s="2004">
        <v>1</v>
      </c>
      <c r="BO56" s="2004" t="s">
        <v>9203</v>
      </c>
      <c r="BP56" s="516" t="s">
        <v>2338</v>
      </c>
      <c r="BQ56" s="693" t="s">
        <v>2338</v>
      </c>
      <c r="BR56" s="2004" t="s">
        <v>2337</v>
      </c>
      <c r="BS56" s="2004" t="s">
        <v>9204</v>
      </c>
      <c r="BT56" s="2004">
        <v>0</v>
      </c>
      <c r="BU56" s="2004" t="s">
        <v>9204</v>
      </c>
      <c r="BV56" s="2004">
        <v>0</v>
      </c>
      <c r="BW56" s="2004" t="s">
        <v>2338</v>
      </c>
      <c r="BX56" s="2004" t="s">
        <v>2337</v>
      </c>
      <c r="BY56" s="2004">
        <v>0</v>
      </c>
      <c r="BZ56" s="2004">
        <v>0</v>
      </c>
      <c r="CA56" s="2004">
        <v>0</v>
      </c>
      <c r="CB56" s="2004">
        <v>0</v>
      </c>
      <c r="CC56" s="2004" t="s">
        <v>9548</v>
      </c>
      <c r="CD56" s="2004" t="s">
        <v>2334</v>
      </c>
      <c r="CE56" s="2004">
        <v>0</v>
      </c>
      <c r="CF56" s="2004">
        <v>0</v>
      </c>
      <c r="CG56" s="2004" t="s">
        <v>2340</v>
      </c>
      <c r="CH56" s="2004">
        <v>0</v>
      </c>
      <c r="CI56" s="2004" t="s">
        <v>9548</v>
      </c>
      <c r="CJ56" s="2004" t="s">
        <v>2334</v>
      </c>
      <c r="CK56" s="2004">
        <v>0</v>
      </c>
      <c r="CL56" s="2004">
        <v>0</v>
      </c>
      <c r="CM56" s="2004" t="s">
        <v>2336</v>
      </c>
      <c r="CN56" s="2004">
        <v>-0.68500000000000005</v>
      </c>
      <c r="CP56" s="2004" t="s">
        <v>9549</v>
      </c>
    </row>
    <row r="57" spans="1:94">
      <c r="A57" s="2004" t="s">
        <v>9536</v>
      </c>
      <c r="B57" s="2004" t="s">
        <v>9550</v>
      </c>
      <c r="C57" s="2004" t="s">
        <v>9085</v>
      </c>
      <c r="D57" s="2004" t="s">
        <v>1628</v>
      </c>
      <c r="E57" s="2004" t="s">
        <v>9194</v>
      </c>
      <c r="F57" s="2004" t="s">
        <v>9538</v>
      </c>
      <c r="G57" s="2004" t="s">
        <v>8928</v>
      </c>
      <c r="H57" s="2004" t="s">
        <v>9551</v>
      </c>
      <c r="I57" s="2004" t="s">
        <v>9552</v>
      </c>
      <c r="J57" s="2004" t="s">
        <v>9210</v>
      </c>
      <c r="K57" s="2004" t="s">
        <v>9545</v>
      </c>
      <c r="L57" s="2004"/>
      <c r="M57" s="2004" t="s">
        <v>2334</v>
      </c>
      <c r="N57" s="2004" t="s">
        <v>9260</v>
      </c>
      <c r="O57" s="2004" t="s">
        <v>9395</v>
      </c>
      <c r="P57" s="2004" t="s">
        <v>9546</v>
      </c>
      <c r="Q57" s="516" t="s">
        <v>9203</v>
      </c>
      <c r="R57" s="2004"/>
      <c r="S57" s="2004" t="s">
        <v>2338</v>
      </c>
      <c r="T57" s="2004" t="s">
        <v>2338</v>
      </c>
      <c r="U57" s="2004" t="s">
        <v>2338</v>
      </c>
      <c r="V57" s="2004" t="s">
        <v>2338</v>
      </c>
      <c r="W57" s="2004" t="s">
        <v>2338</v>
      </c>
      <c r="X57" s="2004" t="s">
        <v>2338</v>
      </c>
      <c r="Y57" s="2004"/>
      <c r="Z57" s="2004"/>
      <c r="AA57" s="2004"/>
      <c r="AB57" s="2004"/>
      <c r="AC57" s="2004"/>
      <c r="AD57" s="2004"/>
      <c r="AE57" s="2004" t="s">
        <v>2337</v>
      </c>
      <c r="AF57" s="2004"/>
      <c r="AG57" s="2004"/>
      <c r="AH57" s="2004">
        <v>2</v>
      </c>
      <c r="AI57" s="2004" t="s">
        <v>2337</v>
      </c>
      <c r="AJ57" s="2004" t="s">
        <v>2337</v>
      </c>
      <c r="AK57" s="2004" t="s">
        <v>2337</v>
      </c>
      <c r="AL57" s="2004" t="s">
        <v>2337</v>
      </c>
      <c r="AM57" s="2004" t="s">
        <v>2337</v>
      </c>
      <c r="AN57" s="2004" t="s">
        <v>9547</v>
      </c>
      <c r="AO57" s="2004" t="s">
        <v>9547</v>
      </c>
      <c r="AP57" s="2004" t="s">
        <v>9547</v>
      </c>
      <c r="AQ57" s="2004" t="s">
        <v>9547</v>
      </c>
      <c r="AR57" s="2004" t="s">
        <v>9547</v>
      </c>
      <c r="AS57" s="2004" t="s">
        <v>9548</v>
      </c>
      <c r="AT57" s="2004" t="s">
        <v>9548</v>
      </c>
      <c r="AU57" s="2004" t="s">
        <v>9548</v>
      </c>
      <c r="AV57" s="2004" t="s">
        <v>9548</v>
      </c>
      <c r="AW57" s="2004" t="s">
        <v>9548</v>
      </c>
      <c r="AX57" s="2004"/>
      <c r="AY57" s="2004"/>
      <c r="AZ57" s="2004"/>
      <c r="BA57" s="2004"/>
      <c r="BB57" s="2004"/>
      <c r="BC57" s="2004"/>
      <c r="BD57" s="2004"/>
      <c r="BE57" s="2004"/>
      <c r="BF57" s="2004"/>
      <c r="BG57" s="2004"/>
      <c r="BH57" s="2004">
        <v>2.1190000000000002</v>
      </c>
      <c r="BI57" s="2004">
        <v>0.70599999999999996</v>
      </c>
      <c r="BJ57" s="2004"/>
      <c r="BK57" s="2004"/>
      <c r="BL57" s="2004"/>
      <c r="BM57" s="2004"/>
      <c r="BN57" s="2004">
        <v>1</v>
      </c>
      <c r="BO57" s="2004" t="s">
        <v>9203</v>
      </c>
      <c r="BP57" s="516" t="s">
        <v>2338</v>
      </c>
      <c r="BQ57" s="693" t="s">
        <v>2338</v>
      </c>
      <c r="BR57" s="2004" t="s">
        <v>2337</v>
      </c>
      <c r="BS57" s="2004" t="s">
        <v>9204</v>
      </c>
      <c r="BT57" s="2004">
        <v>0</v>
      </c>
      <c r="BU57" s="2004" t="s">
        <v>9204</v>
      </c>
      <c r="BV57" s="2004">
        <v>0</v>
      </c>
      <c r="BW57" s="2004" t="s">
        <v>2338</v>
      </c>
      <c r="BX57" s="2004" t="s">
        <v>2337</v>
      </c>
      <c r="BY57" s="2004">
        <v>0</v>
      </c>
      <c r="BZ57" s="2004">
        <v>0</v>
      </c>
      <c r="CA57" s="2004">
        <v>0</v>
      </c>
      <c r="CB57" s="2004">
        <v>0</v>
      </c>
      <c r="CC57" s="2004" t="s">
        <v>2338</v>
      </c>
      <c r="CD57" s="2004" t="s">
        <v>2337</v>
      </c>
      <c r="CE57" s="2004">
        <v>0</v>
      </c>
      <c r="CF57" s="2004">
        <v>0</v>
      </c>
      <c r="CG57" s="2004">
        <v>0</v>
      </c>
      <c r="CH57" s="2004">
        <v>0</v>
      </c>
      <c r="CI57" s="2004" t="s">
        <v>2338</v>
      </c>
      <c r="CJ57" s="2004" t="s">
        <v>2337</v>
      </c>
      <c r="CK57" s="2004">
        <v>0</v>
      </c>
      <c r="CL57" s="2004">
        <v>0</v>
      </c>
      <c r="CM57" s="2004">
        <v>0</v>
      </c>
      <c r="CN57" s="2004">
        <v>0</v>
      </c>
      <c r="CP57" s="2004" t="s">
        <v>9553</v>
      </c>
    </row>
    <row r="58" spans="1:94">
      <c r="A58" s="2004" t="s">
        <v>9536</v>
      </c>
      <c r="B58" s="2004" t="s">
        <v>9554</v>
      </c>
      <c r="C58" s="2004" t="s">
        <v>9085</v>
      </c>
      <c r="D58" s="2004" t="s">
        <v>1628</v>
      </c>
      <c r="E58" s="2004" t="s">
        <v>9194</v>
      </c>
      <c r="F58" s="2004" t="s">
        <v>9555</v>
      </c>
      <c r="G58" s="2004" t="s">
        <v>7930</v>
      </c>
      <c r="H58" s="2004" t="s">
        <v>9556</v>
      </c>
      <c r="I58" s="2004" t="s">
        <v>9557</v>
      </c>
      <c r="J58" s="2004" t="s">
        <v>9199</v>
      </c>
      <c r="K58" s="2004" t="s">
        <v>9200</v>
      </c>
      <c r="L58" s="2004"/>
      <c r="M58" s="2004"/>
      <c r="N58" s="2004" t="s">
        <v>5533</v>
      </c>
      <c r="O58" s="2004" t="s">
        <v>766</v>
      </c>
      <c r="P58" s="2004" t="s">
        <v>9558</v>
      </c>
      <c r="Q58" s="516">
        <v>0</v>
      </c>
      <c r="R58" s="2004" t="s">
        <v>9202</v>
      </c>
      <c r="S58" s="2004">
        <v>288589</v>
      </c>
      <c r="T58" s="2004">
        <v>288589</v>
      </c>
      <c r="U58" s="2004">
        <v>288589</v>
      </c>
      <c r="V58" s="2004">
        <v>9063</v>
      </c>
      <c r="W58" s="2004">
        <v>9063</v>
      </c>
      <c r="X58" s="2004">
        <v>9063</v>
      </c>
      <c r="Y58" s="2004"/>
      <c r="Z58" s="2004"/>
      <c r="AA58" s="2004"/>
      <c r="AB58" s="2004"/>
      <c r="AC58" s="2004"/>
      <c r="AD58" s="2004" t="s">
        <v>2337</v>
      </c>
      <c r="AE58" s="2004" t="s">
        <v>2337</v>
      </c>
      <c r="AF58" s="2004"/>
      <c r="AG58" s="2004"/>
      <c r="AH58" s="2004">
        <v>0</v>
      </c>
      <c r="AI58" s="2004" t="s">
        <v>2337</v>
      </c>
      <c r="AJ58" s="2004" t="s">
        <v>2337</v>
      </c>
      <c r="AK58" s="2004" t="s">
        <v>2337</v>
      </c>
      <c r="AL58" s="2004" t="s">
        <v>2337</v>
      </c>
      <c r="AM58" s="2004" t="s">
        <v>2337</v>
      </c>
      <c r="AN58" s="2004">
        <v>308589</v>
      </c>
      <c r="AO58" s="2004">
        <v>308589</v>
      </c>
      <c r="AP58" s="2004">
        <v>69063</v>
      </c>
      <c r="AQ58" s="2004">
        <v>69063</v>
      </c>
      <c r="AR58" s="2004">
        <v>69063</v>
      </c>
      <c r="AS58" s="2004">
        <v>288589</v>
      </c>
      <c r="AT58" s="2004">
        <v>288589</v>
      </c>
      <c r="AU58" s="2004">
        <v>9063</v>
      </c>
      <c r="AV58" s="2004">
        <v>9063</v>
      </c>
      <c r="AW58" s="2004">
        <v>9063</v>
      </c>
      <c r="AX58" s="2004">
        <v>288589</v>
      </c>
      <c r="AY58" s="2004">
        <v>288589</v>
      </c>
      <c r="AZ58" s="2004">
        <v>9063</v>
      </c>
      <c r="BA58" s="2004">
        <v>9063</v>
      </c>
      <c r="BB58" s="2004">
        <v>9063</v>
      </c>
      <c r="BC58" s="2004">
        <v>268589</v>
      </c>
      <c r="BD58" s="2004">
        <v>268589</v>
      </c>
      <c r="BE58" s="2004">
        <v>0</v>
      </c>
      <c r="BF58" s="2004">
        <v>0</v>
      </c>
      <c r="BG58" s="2004">
        <v>0</v>
      </c>
      <c r="BH58" s="2004">
        <v>4.0599999999999998E-5</v>
      </c>
      <c r="BI58" s="2004"/>
      <c r="BJ58" s="2004"/>
      <c r="BK58" s="2004"/>
      <c r="BL58" s="2004">
        <v>2.1209999999999999E-5</v>
      </c>
      <c r="BM58" s="2004"/>
      <c r="BN58" s="2004">
        <v>1</v>
      </c>
      <c r="BO58" s="2004" t="s">
        <v>9203</v>
      </c>
      <c r="BP58" s="516">
        <v>288589</v>
      </c>
      <c r="BQ58" s="691">
        <v>288589</v>
      </c>
      <c r="BR58" s="2004" t="s">
        <v>2337</v>
      </c>
      <c r="BS58" s="2004" t="s">
        <v>9204</v>
      </c>
      <c r="BT58" s="2004">
        <v>0</v>
      </c>
      <c r="BU58" s="2004" t="s">
        <v>9204</v>
      </c>
      <c r="BV58" s="2004">
        <v>0</v>
      </c>
      <c r="BW58" s="2004">
        <v>288589</v>
      </c>
      <c r="BX58" s="2004" t="s">
        <v>2337</v>
      </c>
      <c r="BY58" s="2004">
        <v>0</v>
      </c>
      <c r="BZ58" s="2004">
        <v>0</v>
      </c>
      <c r="CA58" s="2004">
        <v>0</v>
      </c>
      <c r="CB58" s="2004">
        <v>0</v>
      </c>
      <c r="CC58" s="2004">
        <v>9063</v>
      </c>
      <c r="CD58" s="2004" t="s">
        <v>2337</v>
      </c>
      <c r="CE58" s="2004">
        <v>0</v>
      </c>
      <c r="CF58" s="2004">
        <v>0</v>
      </c>
      <c r="CG58" s="2004">
        <v>0</v>
      </c>
      <c r="CH58" s="2004">
        <v>0</v>
      </c>
      <c r="CI58" s="2004">
        <v>9063</v>
      </c>
      <c r="CJ58" s="2004" t="s">
        <v>2337</v>
      </c>
      <c r="CK58" s="2004">
        <v>0</v>
      </c>
      <c r="CL58" s="2004">
        <v>0</v>
      </c>
      <c r="CM58" s="2004">
        <v>0</v>
      </c>
      <c r="CN58" s="2004">
        <v>0</v>
      </c>
      <c r="CP58" s="2004" t="s">
        <v>9559</v>
      </c>
    </row>
    <row r="59" spans="1:94">
      <c r="A59" s="2004" t="s">
        <v>9536</v>
      </c>
      <c r="B59" s="2004" t="s">
        <v>9560</v>
      </c>
      <c r="C59" s="2004" t="s">
        <v>9085</v>
      </c>
      <c r="D59" s="2004" t="s">
        <v>1628</v>
      </c>
      <c r="E59" s="2004" t="s">
        <v>9194</v>
      </c>
      <c r="F59" s="2004" t="s">
        <v>9561</v>
      </c>
      <c r="G59" s="2004" t="s">
        <v>8948</v>
      </c>
      <c r="H59" s="2004" t="s">
        <v>9562</v>
      </c>
      <c r="I59" s="2004" t="s">
        <v>9563</v>
      </c>
      <c r="J59" s="2004" t="s">
        <v>9230</v>
      </c>
      <c r="K59" s="2004"/>
      <c r="L59" s="2004"/>
      <c r="M59" s="2004"/>
      <c r="N59" s="2004" t="s">
        <v>9218</v>
      </c>
      <c r="O59" s="2004" t="s">
        <v>9282</v>
      </c>
      <c r="P59" s="2004" t="s">
        <v>9334</v>
      </c>
      <c r="Q59" s="516">
        <v>0</v>
      </c>
      <c r="R59" s="2004" t="s">
        <v>9240</v>
      </c>
      <c r="S59" s="2004">
        <v>100</v>
      </c>
      <c r="T59" s="2004">
        <v>100</v>
      </c>
      <c r="U59" s="2004">
        <v>100</v>
      </c>
      <c r="V59" s="2004">
        <v>100</v>
      </c>
      <c r="W59" s="2004">
        <v>100</v>
      </c>
      <c r="X59" s="2004">
        <v>100</v>
      </c>
      <c r="Y59" s="2004"/>
      <c r="Z59" s="2004"/>
      <c r="AA59" s="2004"/>
      <c r="AB59" s="2004"/>
      <c r="AC59" s="2004"/>
      <c r="AD59" s="2004"/>
      <c r="AE59" s="2004"/>
      <c r="AF59" s="2004"/>
      <c r="AG59" s="2004"/>
      <c r="AH59" s="2004">
        <v>0</v>
      </c>
      <c r="AI59" s="2004"/>
      <c r="AJ59" s="2004"/>
      <c r="AK59" s="2004"/>
      <c r="AL59" s="2004"/>
      <c r="AM59" s="2004"/>
      <c r="AN59" s="2004"/>
      <c r="AO59" s="2004"/>
      <c r="AP59" s="2004"/>
      <c r="AQ59" s="2004"/>
      <c r="AR59" s="2004"/>
      <c r="AS59" s="2004"/>
      <c r="AT59" s="2004"/>
      <c r="AU59" s="2004"/>
      <c r="AV59" s="2004"/>
      <c r="AW59" s="2004"/>
      <c r="AX59" s="2004"/>
      <c r="AY59" s="2004"/>
      <c r="AZ59" s="2004"/>
      <c r="BA59" s="2004"/>
      <c r="BB59" s="2004"/>
      <c r="BC59" s="2004"/>
      <c r="BD59" s="2004"/>
      <c r="BE59" s="2004"/>
      <c r="BF59" s="2004"/>
      <c r="BG59" s="2004"/>
      <c r="BH59" s="2004"/>
      <c r="BI59" s="2004"/>
      <c r="BJ59" s="2004"/>
      <c r="BK59" s="2004"/>
      <c r="BL59" s="2004"/>
      <c r="BM59" s="2004"/>
      <c r="BN59" s="2004"/>
      <c r="BO59" s="2004"/>
      <c r="BP59" s="516">
        <v>100</v>
      </c>
      <c r="BQ59" s="691">
        <v>100</v>
      </c>
      <c r="BR59" s="2004" t="s">
        <v>2337</v>
      </c>
      <c r="BS59" s="2004" t="s">
        <v>9204</v>
      </c>
      <c r="BT59" s="2004">
        <v>0</v>
      </c>
      <c r="BU59" s="2004" t="s">
        <v>9204</v>
      </c>
      <c r="BV59" s="2004">
        <v>0</v>
      </c>
      <c r="BW59" s="2004">
        <v>100</v>
      </c>
      <c r="BX59" s="2004" t="s">
        <v>2337</v>
      </c>
      <c r="BY59" s="2004">
        <v>0</v>
      </c>
      <c r="BZ59" s="2004">
        <v>0</v>
      </c>
      <c r="CA59" s="2004">
        <v>0</v>
      </c>
      <c r="CB59" s="2004">
        <v>0</v>
      </c>
      <c r="CC59" s="2004">
        <v>100</v>
      </c>
      <c r="CD59" s="2004" t="s">
        <v>2337</v>
      </c>
      <c r="CE59" s="2004">
        <v>0</v>
      </c>
      <c r="CF59" s="2004">
        <v>0</v>
      </c>
      <c r="CG59" s="2004">
        <v>0</v>
      </c>
      <c r="CH59" s="2004">
        <v>0</v>
      </c>
      <c r="CI59" s="2004">
        <v>100</v>
      </c>
      <c r="CJ59" s="2004" t="s">
        <v>2337</v>
      </c>
      <c r="CK59" s="2004">
        <v>0</v>
      </c>
      <c r="CL59" s="2004">
        <v>0</v>
      </c>
      <c r="CM59" s="2004">
        <v>0</v>
      </c>
      <c r="CN59" s="2004">
        <v>0</v>
      </c>
      <c r="CP59" s="2004" t="s">
        <v>9564</v>
      </c>
    </row>
    <row r="60" spans="1:94">
      <c r="A60" s="2004" t="s">
        <v>9536</v>
      </c>
      <c r="B60" s="2004" t="s">
        <v>9565</v>
      </c>
      <c r="C60" s="2004" t="s">
        <v>9085</v>
      </c>
      <c r="D60" s="2004" t="s">
        <v>1628</v>
      </c>
      <c r="E60" s="2004" t="s">
        <v>9194</v>
      </c>
      <c r="F60" s="2004" t="s">
        <v>9561</v>
      </c>
      <c r="G60" s="2004" t="s">
        <v>8951</v>
      </c>
      <c r="H60" s="2004" t="s">
        <v>9566</v>
      </c>
      <c r="I60" s="2004" t="s">
        <v>9567</v>
      </c>
      <c r="J60" s="2004" t="s">
        <v>9210</v>
      </c>
      <c r="K60" s="2004" t="s">
        <v>9200</v>
      </c>
      <c r="L60" s="2004"/>
      <c r="M60" s="2004"/>
      <c r="N60" s="2004" t="s">
        <v>9326</v>
      </c>
      <c r="O60" s="2004" t="s">
        <v>766</v>
      </c>
      <c r="P60" s="2004" t="s">
        <v>9568</v>
      </c>
      <c r="Q60" s="516">
        <v>1</v>
      </c>
      <c r="R60" s="2004" t="s">
        <v>9202</v>
      </c>
      <c r="S60" s="2004">
        <v>0</v>
      </c>
      <c r="T60" s="2004">
        <v>10.199999999999999</v>
      </c>
      <c r="U60" s="2004">
        <v>10.199999999999999</v>
      </c>
      <c r="V60" s="2004">
        <v>10.199999999999999</v>
      </c>
      <c r="W60" s="2004">
        <v>10.199999999999999</v>
      </c>
      <c r="X60" s="2004">
        <v>10.199999999999999</v>
      </c>
      <c r="Y60" s="2004"/>
      <c r="Z60" s="2004"/>
      <c r="AA60" s="2004"/>
      <c r="AB60" s="2004"/>
      <c r="AC60" s="2004"/>
      <c r="AD60" s="2004"/>
      <c r="AE60" s="2004"/>
      <c r="AF60" s="2004"/>
      <c r="AG60" s="2004"/>
      <c r="AH60" s="2004">
        <v>0</v>
      </c>
      <c r="AI60" s="2004" t="s">
        <v>2337</v>
      </c>
      <c r="AJ60" s="2004" t="s">
        <v>2337</v>
      </c>
      <c r="AK60" s="2004" t="s">
        <v>2337</v>
      </c>
      <c r="AL60" s="2004" t="s">
        <v>2337</v>
      </c>
      <c r="AM60" s="2004" t="s">
        <v>2337</v>
      </c>
      <c r="AN60" s="2004">
        <v>15.2</v>
      </c>
      <c r="AO60" s="2004">
        <v>15.2</v>
      </c>
      <c r="AP60" s="2004">
        <v>15.2</v>
      </c>
      <c r="AQ60" s="2004">
        <v>15.2</v>
      </c>
      <c r="AR60" s="2004">
        <v>15.2</v>
      </c>
      <c r="AS60" s="2004">
        <v>10.199999999999999</v>
      </c>
      <c r="AT60" s="2004">
        <v>10.199999999999999</v>
      </c>
      <c r="AU60" s="2004">
        <v>10.199999999999999</v>
      </c>
      <c r="AV60" s="2004">
        <v>10.199999999999999</v>
      </c>
      <c r="AW60" s="2004">
        <v>10.199999999999999</v>
      </c>
      <c r="AX60" s="2004"/>
      <c r="AY60" s="2004"/>
      <c r="AZ60" s="2004"/>
      <c r="BA60" s="2004"/>
      <c r="BB60" s="2004"/>
      <c r="BC60" s="2004"/>
      <c r="BD60" s="2004"/>
      <c r="BE60" s="2004"/>
      <c r="BF60" s="2004"/>
      <c r="BG60" s="2004"/>
      <c r="BH60" s="2004">
        <v>4.2999999999999997E-2</v>
      </c>
      <c r="BI60" s="2004"/>
      <c r="BJ60" s="2004"/>
      <c r="BK60" s="2004"/>
      <c r="BL60" s="2004"/>
      <c r="BM60" s="2004"/>
      <c r="BN60" s="2004">
        <v>1</v>
      </c>
      <c r="BO60" s="2004" t="s">
        <v>9203</v>
      </c>
      <c r="BP60" s="516">
        <v>10.199999999999999</v>
      </c>
      <c r="BQ60" s="697">
        <v>1.54</v>
      </c>
      <c r="BR60" s="2004" t="s">
        <v>2337</v>
      </c>
      <c r="BS60" s="2004" t="s">
        <v>9204</v>
      </c>
      <c r="BT60" s="2004">
        <v>0</v>
      </c>
      <c r="BU60" s="2004" t="s">
        <v>9204</v>
      </c>
      <c r="BV60" s="2004">
        <v>0</v>
      </c>
      <c r="BW60" s="2004">
        <v>3.09</v>
      </c>
      <c r="BX60" s="2004" t="s">
        <v>2337</v>
      </c>
      <c r="BY60" s="2004">
        <v>0</v>
      </c>
      <c r="BZ60" s="2004">
        <v>0</v>
      </c>
      <c r="CA60" s="2004">
        <v>0</v>
      </c>
      <c r="CB60" s="2004">
        <v>0</v>
      </c>
      <c r="CC60" s="2004">
        <v>3.09</v>
      </c>
      <c r="CD60" s="2004" t="s">
        <v>2337</v>
      </c>
      <c r="CE60" s="2004">
        <v>0</v>
      </c>
      <c r="CF60" s="2004">
        <v>0</v>
      </c>
      <c r="CG60" s="2004">
        <v>0</v>
      </c>
      <c r="CH60" s="2004">
        <v>0</v>
      </c>
      <c r="CI60" s="2004">
        <v>3.09</v>
      </c>
      <c r="CJ60" s="2004" t="s">
        <v>2337</v>
      </c>
      <c r="CK60" s="2004">
        <v>0</v>
      </c>
      <c r="CL60" s="2004">
        <v>0</v>
      </c>
      <c r="CM60" s="2004">
        <v>0</v>
      </c>
      <c r="CN60" s="2004">
        <v>0</v>
      </c>
      <c r="CP60" s="2004" t="s">
        <v>9569</v>
      </c>
    </row>
    <row r="61" spans="1:94">
      <c r="A61" s="2004" t="s">
        <v>9536</v>
      </c>
      <c r="B61" s="2004" t="s">
        <v>9570</v>
      </c>
      <c r="C61" s="2004" t="s">
        <v>9085</v>
      </c>
      <c r="D61" s="2004" t="s">
        <v>1628</v>
      </c>
      <c r="E61" s="2004" t="s">
        <v>9194</v>
      </c>
      <c r="F61" s="2004" t="s">
        <v>9571</v>
      </c>
      <c r="G61" s="2004" t="s">
        <v>8955</v>
      </c>
      <c r="H61" s="2004" t="s">
        <v>9572</v>
      </c>
      <c r="I61" s="2004" t="s">
        <v>9573</v>
      </c>
      <c r="J61" s="2004" t="s">
        <v>9210</v>
      </c>
      <c r="K61" s="2004" t="s">
        <v>9200</v>
      </c>
      <c r="L61" s="2004"/>
      <c r="M61" s="2004"/>
      <c r="N61" s="2004" t="s">
        <v>9238</v>
      </c>
      <c r="O61" s="2004" t="s">
        <v>734</v>
      </c>
      <c r="P61" s="2004" t="s">
        <v>9239</v>
      </c>
      <c r="Q61" s="516">
        <v>2</v>
      </c>
      <c r="R61" s="2004" t="s">
        <v>9240</v>
      </c>
      <c r="S61" s="2004">
        <v>99.96</v>
      </c>
      <c r="T61" s="2004">
        <v>99.96</v>
      </c>
      <c r="U61" s="2004">
        <v>99.96</v>
      </c>
      <c r="V61" s="2004">
        <v>100</v>
      </c>
      <c r="W61" s="2004">
        <v>100</v>
      </c>
      <c r="X61" s="2004">
        <v>100</v>
      </c>
      <c r="Y61" s="2004" t="s">
        <v>2337</v>
      </c>
      <c r="Z61" s="2004"/>
      <c r="AA61" s="2004"/>
      <c r="AB61" s="2004"/>
      <c r="AC61" s="2004"/>
      <c r="AD61" s="2004"/>
      <c r="AE61" s="2004" t="s">
        <v>2337</v>
      </c>
      <c r="AF61" s="2004"/>
      <c r="AG61" s="2004"/>
      <c r="AH61" s="2004">
        <v>0</v>
      </c>
      <c r="AI61" s="2004" t="s">
        <v>2337</v>
      </c>
      <c r="AJ61" s="2004" t="s">
        <v>2337</v>
      </c>
      <c r="AK61" s="2004" t="s">
        <v>2337</v>
      </c>
      <c r="AL61" s="2004" t="s">
        <v>2337</v>
      </c>
      <c r="AM61" s="2004" t="s">
        <v>2337</v>
      </c>
      <c r="AN61" s="2004">
        <v>99.94</v>
      </c>
      <c r="AO61" s="2004">
        <v>99.94</v>
      </c>
      <c r="AP61" s="2004">
        <v>99.94</v>
      </c>
      <c r="AQ61" s="2004">
        <v>99.94</v>
      </c>
      <c r="AR61" s="2004">
        <v>99.94</v>
      </c>
      <c r="AS61" s="2004">
        <v>99.95</v>
      </c>
      <c r="AT61" s="2004">
        <v>99.95</v>
      </c>
      <c r="AU61" s="2004">
        <v>99.95</v>
      </c>
      <c r="AV61" s="2004">
        <v>99.95</v>
      </c>
      <c r="AW61" s="2004">
        <v>99.95</v>
      </c>
      <c r="AX61" s="2004"/>
      <c r="AY61" s="2004"/>
      <c r="AZ61" s="2004"/>
      <c r="BA61" s="2004"/>
      <c r="BB61" s="2004"/>
      <c r="BC61" s="2004"/>
      <c r="BD61" s="2004"/>
      <c r="BE61" s="2004"/>
      <c r="BF61" s="2004"/>
      <c r="BG61" s="2004"/>
      <c r="BH61" s="2004">
        <v>0.28399999999999997</v>
      </c>
      <c r="BI61" s="2004"/>
      <c r="BJ61" s="2004"/>
      <c r="BK61" s="2004"/>
      <c r="BL61" s="2004"/>
      <c r="BM61" s="2004"/>
      <c r="BN61" s="2004">
        <v>100</v>
      </c>
      <c r="BO61" s="2004" t="s">
        <v>9574</v>
      </c>
      <c r="BP61" s="516">
        <v>99.92</v>
      </c>
      <c r="BQ61" s="692">
        <v>99.93</v>
      </c>
      <c r="BR61" s="2004" t="s">
        <v>2334</v>
      </c>
      <c r="BS61" s="2004" t="s">
        <v>9204</v>
      </c>
      <c r="BT61" s="2004">
        <v>0</v>
      </c>
      <c r="BU61" s="2004" t="s">
        <v>9254</v>
      </c>
      <c r="BV61" s="2004">
        <v>-0.28399999999999997</v>
      </c>
      <c r="BW61" s="2004">
        <v>99.97</v>
      </c>
      <c r="BX61" s="2004" t="s">
        <v>2337</v>
      </c>
      <c r="BY61" s="2004">
        <v>0</v>
      </c>
      <c r="BZ61" s="2004">
        <v>0</v>
      </c>
      <c r="CA61" s="2004">
        <v>0</v>
      </c>
      <c r="CB61" s="2004">
        <v>0</v>
      </c>
      <c r="CC61" s="2004">
        <v>99.93</v>
      </c>
      <c r="CD61" s="2004" t="s">
        <v>2334</v>
      </c>
      <c r="CE61" s="2004">
        <v>0</v>
      </c>
      <c r="CF61" s="2004">
        <v>0</v>
      </c>
      <c r="CG61" s="2004" t="s">
        <v>2336</v>
      </c>
      <c r="CH61" s="2004">
        <v>-0.28399999999999997</v>
      </c>
      <c r="CI61" s="2004">
        <v>99.99</v>
      </c>
      <c r="CJ61" s="2004" t="s">
        <v>2334</v>
      </c>
      <c r="CK61" s="2004">
        <v>0</v>
      </c>
      <c r="CL61" s="2004">
        <v>0</v>
      </c>
      <c r="CM61" s="2004" t="s">
        <v>2340</v>
      </c>
      <c r="CN61" s="2004">
        <v>0</v>
      </c>
      <c r="CP61" s="2004" t="s">
        <v>9575</v>
      </c>
    </row>
    <row r="62" spans="1:94">
      <c r="A62" s="2004" t="s">
        <v>9536</v>
      </c>
      <c r="B62" s="2004" t="s">
        <v>9576</v>
      </c>
      <c r="C62" s="2004" t="s">
        <v>9085</v>
      </c>
      <c r="D62" s="2004" t="s">
        <v>1628</v>
      </c>
      <c r="E62" s="2004" t="s">
        <v>9194</v>
      </c>
      <c r="F62" s="2004" t="s">
        <v>9577</v>
      </c>
      <c r="G62" s="2004" t="s">
        <v>8971</v>
      </c>
      <c r="H62" s="2004" t="s">
        <v>9578</v>
      </c>
      <c r="I62" s="2004" t="s">
        <v>9579</v>
      </c>
      <c r="J62" s="2004" t="s">
        <v>9199</v>
      </c>
      <c r="K62" s="2004" t="s">
        <v>9200</v>
      </c>
      <c r="L62" s="2004"/>
      <c r="M62" s="2004"/>
      <c r="N62" s="2004" t="s">
        <v>9154</v>
      </c>
      <c r="O62" s="2004" t="s">
        <v>766</v>
      </c>
      <c r="P62" s="2004" t="s">
        <v>9580</v>
      </c>
      <c r="Q62" s="516">
        <v>0</v>
      </c>
      <c r="R62" s="2004" t="s">
        <v>9202</v>
      </c>
      <c r="S62" s="2004">
        <v>2450</v>
      </c>
      <c r="T62" s="2004">
        <v>2422</v>
      </c>
      <c r="U62" s="2004">
        <v>2409</v>
      </c>
      <c r="V62" s="2004">
        <v>2322</v>
      </c>
      <c r="W62" s="2004">
        <v>2275</v>
      </c>
      <c r="X62" s="2004">
        <v>2221</v>
      </c>
      <c r="Y62" s="2004"/>
      <c r="Z62" s="2004" t="s">
        <v>2337</v>
      </c>
      <c r="AA62" s="2004"/>
      <c r="AB62" s="2004"/>
      <c r="AC62" s="2004"/>
      <c r="AD62" s="2004"/>
      <c r="AE62" s="2004" t="s">
        <v>2337</v>
      </c>
      <c r="AF62" s="2004"/>
      <c r="AG62" s="2004"/>
      <c r="AH62" s="2004">
        <v>0</v>
      </c>
      <c r="AI62" s="2004" t="s">
        <v>2337</v>
      </c>
      <c r="AJ62" s="2004" t="s">
        <v>2337</v>
      </c>
      <c r="AK62" s="2004" t="s">
        <v>2337</v>
      </c>
      <c r="AL62" s="2004" t="s">
        <v>2337</v>
      </c>
      <c r="AM62" s="2004" t="s">
        <v>2337</v>
      </c>
      <c r="AN62" s="2004">
        <v>2477</v>
      </c>
      <c r="AO62" s="2004">
        <v>2464</v>
      </c>
      <c r="AP62" s="2004">
        <v>2377</v>
      </c>
      <c r="AQ62" s="2004">
        <v>2330</v>
      </c>
      <c r="AR62" s="2004">
        <v>2276</v>
      </c>
      <c r="AS62" s="2004">
        <v>2422</v>
      </c>
      <c r="AT62" s="2004">
        <v>2409</v>
      </c>
      <c r="AU62" s="2004">
        <v>2322</v>
      </c>
      <c r="AV62" s="2004">
        <v>2275</v>
      </c>
      <c r="AW62" s="2004">
        <v>2221</v>
      </c>
      <c r="AX62" s="2004">
        <v>1439</v>
      </c>
      <c r="AY62" s="2004">
        <v>1439</v>
      </c>
      <c r="AZ62" s="2004">
        <v>1439</v>
      </c>
      <c r="BA62" s="2004">
        <v>1439</v>
      </c>
      <c r="BB62" s="2004">
        <v>1439</v>
      </c>
      <c r="BC62" s="2004">
        <v>1276</v>
      </c>
      <c r="BD62" s="2004">
        <v>1276</v>
      </c>
      <c r="BE62" s="2004">
        <v>1276</v>
      </c>
      <c r="BF62" s="2004">
        <v>1276</v>
      </c>
      <c r="BG62" s="2004">
        <v>1276</v>
      </c>
      <c r="BH62" s="2004">
        <v>5.8950000000000001E-3</v>
      </c>
      <c r="BI62" s="2004"/>
      <c r="BJ62" s="2004"/>
      <c r="BK62" s="2004"/>
      <c r="BL62" s="2004">
        <v>1.23E-3</v>
      </c>
      <c r="BM62" s="2004"/>
      <c r="BN62" s="2004">
        <v>1</v>
      </c>
      <c r="BO62" s="2004" t="s">
        <v>9203</v>
      </c>
      <c r="BP62" s="516">
        <v>2576</v>
      </c>
      <c r="BQ62" s="691">
        <v>2329</v>
      </c>
      <c r="BR62" s="2004" t="s">
        <v>2337</v>
      </c>
      <c r="BS62" s="2004" t="s">
        <v>9204</v>
      </c>
      <c r="BT62" s="2004">
        <v>0</v>
      </c>
      <c r="BU62" s="2004" t="s">
        <v>9074</v>
      </c>
      <c r="BV62" s="2004">
        <v>0</v>
      </c>
      <c r="BW62" s="2004">
        <v>2162</v>
      </c>
      <c r="BX62" s="2004" t="s">
        <v>2337</v>
      </c>
      <c r="BY62" s="2004">
        <v>0</v>
      </c>
      <c r="BZ62" s="2004">
        <v>0</v>
      </c>
      <c r="CA62" s="2004" t="s">
        <v>9074</v>
      </c>
      <c r="CB62" s="2004">
        <v>0</v>
      </c>
      <c r="CC62" s="2004">
        <v>1711</v>
      </c>
      <c r="CD62" s="2004" t="s">
        <v>2337</v>
      </c>
      <c r="CE62" s="2004">
        <v>0</v>
      </c>
      <c r="CF62" s="2004">
        <v>0</v>
      </c>
      <c r="CG62" s="2004" t="s">
        <v>9074</v>
      </c>
      <c r="CH62" s="2004">
        <v>0</v>
      </c>
      <c r="CI62" s="2004">
        <v>1934</v>
      </c>
      <c r="CJ62" s="2004" t="s">
        <v>2337</v>
      </c>
      <c r="CK62" s="2004">
        <v>0</v>
      </c>
      <c r="CL62" s="2004">
        <v>0</v>
      </c>
      <c r="CM62" s="2004" t="s">
        <v>9074</v>
      </c>
      <c r="CN62" s="2004">
        <v>0</v>
      </c>
      <c r="CP62" s="2004" t="s">
        <v>9581</v>
      </c>
    </row>
    <row r="63" spans="1:94">
      <c r="A63" s="2004" t="s">
        <v>9536</v>
      </c>
      <c r="B63" s="2004" t="s">
        <v>9582</v>
      </c>
      <c r="C63" s="2004" t="s">
        <v>9085</v>
      </c>
      <c r="D63" s="2004" t="s">
        <v>1628</v>
      </c>
      <c r="E63" s="2004" t="s">
        <v>9194</v>
      </c>
      <c r="F63" s="2004" t="s">
        <v>9583</v>
      </c>
      <c r="G63" s="2004" t="s">
        <v>8987</v>
      </c>
      <c r="H63" s="2004" t="s">
        <v>9584</v>
      </c>
      <c r="I63" s="2004" t="s">
        <v>9585</v>
      </c>
      <c r="J63" s="2004" t="s">
        <v>9199</v>
      </c>
      <c r="K63" s="2004" t="s">
        <v>9200</v>
      </c>
      <c r="L63" s="2004"/>
      <c r="M63" s="2004" t="s">
        <v>2334</v>
      </c>
      <c r="N63" s="2004" t="s">
        <v>2927</v>
      </c>
      <c r="O63" s="2004" t="s">
        <v>766</v>
      </c>
      <c r="P63" s="2004" t="s">
        <v>9201</v>
      </c>
      <c r="Q63" s="516">
        <v>1</v>
      </c>
      <c r="R63" s="2004" t="s">
        <v>9202</v>
      </c>
      <c r="S63" s="2004">
        <v>48</v>
      </c>
      <c r="T63" s="2004">
        <v>48</v>
      </c>
      <c r="U63" s="2004">
        <v>47</v>
      </c>
      <c r="V63" s="2004">
        <v>45</v>
      </c>
      <c r="W63" s="2004">
        <v>44</v>
      </c>
      <c r="X63" s="2004">
        <v>43</v>
      </c>
      <c r="Y63" s="2004"/>
      <c r="Z63" s="2004"/>
      <c r="AA63" s="2004"/>
      <c r="AB63" s="2004"/>
      <c r="AC63" s="2004"/>
      <c r="AD63" s="2004"/>
      <c r="AE63" s="2004" t="s">
        <v>2337</v>
      </c>
      <c r="AF63" s="2004"/>
      <c r="AG63" s="2004"/>
      <c r="AH63" s="2004">
        <v>0</v>
      </c>
      <c r="AI63" s="2004" t="s">
        <v>2337</v>
      </c>
      <c r="AJ63" s="2004" t="s">
        <v>2337</v>
      </c>
      <c r="AK63" s="2004" t="s">
        <v>2337</v>
      </c>
      <c r="AL63" s="2004" t="s">
        <v>2337</v>
      </c>
      <c r="AM63" s="2004" t="s">
        <v>2337</v>
      </c>
      <c r="AN63" s="2004">
        <v>50</v>
      </c>
      <c r="AO63" s="2004">
        <v>49</v>
      </c>
      <c r="AP63" s="2004">
        <v>47</v>
      </c>
      <c r="AQ63" s="2004">
        <v>46</v>
      </c>
      <c r="AR63" s="2004">
        <v>45</v>
      </c>
      <c r="AS63" s="2004">
        <v>48</v>
      </c>
      <c r="AT63" s="2004">
        <v>47</v>
      </c>
      <c r="AU63" s="2004">
        <v>45</v>
      </c>
      <c r="AV63" s="2004">
        <v>44</v>
      </c>
      <c r="AW63" s="2004">
        <v>43</v>
      </c>
      <c r="AX63" s="2004">
        <v>44</v>
      </c>
      <c r="AY63" s="2004">
        <v>44</v>
      </c>
      <c r="AZ63" s="2004">
        <v>44</v>
      </c>
      <c r="BA63" s="2004">
        <v>44</v>
      </c>
      <c r="BB63" s="2004">
        <v>43</v>
      </c>
      <c r="BC63" s="2004">
        <v>42</v>
      </c>
      <c r="BD63" s="2004">
        <v>42</v>
      </c>
      <c r="BE63" s="2004">
        <v>42</v>
      </c>
      <c r="BF63" s="2004">
        <v>42</v>
      </c>
      <c r="BG63" s="2004">
        <v>41</v>
      </c>
      <c r="BH63" s="2004">
        <v>0.90200000000000002</v>
      </c>
      <c r="BI63" s="2004"/>
      <c r="BJ63" s="2004"/>
      <c r="BK63" s="2004"/>
      <c r="BL63" s="2004">
        <v>0.48599999999999999</v>
      </c>
      <c r="BM63" s="2004"/>
      <c r="BN63" s="2004">
        <v>1</v>
      </c>
      <c r="BO63" s="2004" t="s">
        <v>9203</v>
      </c>
      <c r="BP63" s="516">
        <v>45.1</v>
      </c>
      <c r="BQ63" s="691">
        <v>44.2</v>
      </c>
      <c r="BR63" s="2004" t="s">
        <v>2337</v>
      </c>
      <c r="BS63" s="2004" t="s">
        <v>9204</v>
      </c>
      <c r="BT63" s="2004">
        <v>0</v>
      </c>
      <c r="BU63" s="2004" t="s">
        <v>9074</v>
      </c>
      <c r="BV63" s="2004">
        <v>0</v>
      </c>
      <c r="BW63" s="2004">
        <v>47.4</v>
      </c>
      <c r="BX63" s="2004" t="s">
        <v>2334</v>
      </c>
      <c r="BY63" s="2004">
        <v>0</v>
      </c>
      <c r="BZ63" s="2004">
        <v>0</v>
      </c>
      <c r="CA63" s="2004" t="s">
        <v>9254</v>
      </c>
      <c r="CB63" s="2004">
        <v>0</v>
      </c>
      <c r="CC63" s="2004">
        <v>49.58</v>
      </c>
      <c r="CD63" s="2004" t="s">
        <v>2334</v>
      </c>
      <c r="CE63" s="2004">
        <v>0</v>
      </c>
      <c r="CF63" s="2004">
        <v>0</v>
      </c>
      <c r="CG63" s="2004" t="s">
        <v>2336</v>
      </c>
      <c r="CH63" s="2004">
        <v>-1.0824</v>
      </c>
      <c r="CI63" s="2004">
        <v>45.83</v>
      </c>
      <c r="CJ63" s="2004" t="s">
        <v>2334</v>
      </c>
      <c r="CK63" s="2004">
        <v>0</v>
      </c>
      <c r="CL63" s="2004">
        <v>0</v>
      </c>
      <c r="CM63" s="2004" t="s">
        <v>2336</v>
      </c>
      <c r="CN63" s="2004">
        <v>-1.804</v>
      </c>
      <c r="CP63" s="2004" t="s">
        <v>9586</v>
      </c>
    </row>
    <row r="64" spans="1:94">
      <c r="A64" s="2004" t="s">
        <v>9536</v>
      </c>
      <c r="B64" s="2004" t="s">
        <v>9587</v>
      </c>
      <c r="C64" s="2004" t="s">
        <v>9085</v>
      </c>
      <c r="D64" s="2004" t="s">
        <v>1628</v>
      </c>
      <c r="E64" s="2004" t="s">
        <v>9194</v>
      </c>
      <c r="F64" s="2004" t="s">
        <v>9588</v>
      </c>
      <c r="G64" s="2004" t="s">
        <v>9589</v>
      </c>
      <c r="H64" s="2004" t="s">
        <v>9590</v>
      </c>
      <c r="I64" s="2004" t="s">
        <v>9591</v>
      </c>
      <c r="J64" s="2004" t="s">
        <v>9199</v>
      </c>
      <c r="K64" s="2004" t="s">
        <v>9200</v>
      </c>
      <c r="L64" s="2004"/>
      <c r="M64" s="2004"/>
      <c r="N64" s="2004" t="s">
        <v>9592</v>
      </c>
      <c r="O64" s="2004" t="s">
        <v>734</v>
      </c>
      <c r="P64" s="2004" t="s">
        <v>9593</v>
      </c>
      <c r="Q64" s="516">
        <v>1</v>
      </c>
      <c r="R64" s="2004" t="s">
        <v>9240</v>
      </c>
      <c r="S64" s="2004">
        <v>45.6</v>
      </c>
      <c r="T64" s="2004">
        <v>50.4</v>
      </c>
      <c r="U64" s="2004">
        <v>54.8</v>
      </c>
      <c r="V64" s="2004">
        <v>58.8</v>
      </c>
      <c r="W64" s="2004">
        <v>62.5</v>
      </c>
      <c r="X64" s="2004">
        <v>65.900000000000006</v>
      </c>
      <c r="Y64" s="2004"/>
      <c r="Z64" s="2004"/>
      <c r="AA64" s="2004"/>
      <c r="AB64" s="2004"/>
      <c r="AC64" s="2004"/>
      <c r="AD64" s="2004"/>
      <c r="AE64" s="2004"/>
      <c r="AF64" s="2004"/>
      <c r="AG64" s="2004"/>
      <c r="AH64" s="2004">
        <v>0</v>
      </c>
      <c r="AI64" s="2004" t="s">
        <v>2337</v>
      </c>
      <c r="AJ64" s="2004" t="s">
        <v>2337</v>
      </c>
      <c r="AK64" s="2004" t="s">
        <v>2337</v>
      </c>
      <c r="AL64" s="2004" t="s">
        <v>2337</v>
      </c>
      <c r="AM64" s="2004" t="s">
        <v>2337</v>
      </c>
      <c r="AN64" s="2004">
        <v>46.4</v>
      </c>
      <c r="AO64" s="2004">
        <v>50.8</v>
      </c>
      <c r="AP64" s="2004">
        <v>54.8</v>
      </c>
      <c r="AQ64" s="2004">
        <v>58.5</v>
      </c>
      <c r="AR64" s="2004">
        <v>61.9</v>
      </c>
      <c r="AS64" s="2004">
        <v>50.4</v>
      </c>
      <c r="AT64" s="2004">
        <v>54.8</v>
      </c>
      <c r="AU64" s="2004">
        <v>58.8</v>
      </c>
      <c r="AV64" s="2004">
        <v>62.5</v>
      </c>
      <c r="AW64" s="2004">
        <v>65.900000000000006</v>
      </c>
      <c r="AX64" s="2004">
        <v>50.4</v>
      </c>
      <c r="AY64" s="2004">
        <v>54.8</v>
      </c>
      <c r="AZ64" s="2004">
        <v>58.8</v>
      </c>
      <c r="BA64" s="2004">
        <v>62.5</v>
      </c>
      <c r="BB64" s="2004">
        <v>65.900000000000006</v>
      </c>
      <c r="BC64" s="2004">
        <v>54.4</v>
      </c>
      <c r="BD64" s="2004">
        <v>58.8</v>
      </c>
      <c r="BE64" s="2004">
        <v>62.8</v>
      </c>
      <c r="BF64" s="2004">
        <v>66.5</v>
      </c>
      <c r="BG64" s="2004">
        <v>69.900000000000006</v>
      </c>
      <c r="BH64" s="2004">
        <v>3.7999999999999999E-2</v>
      </c>
      <c r="BI64" s="2004"/>
      <c r="BJ64" s="2004"/>
      <c r="BK64" s="2004"/>
      <c r="BL64" s="2004">
        <v>3.5999999999999997E-2</v>
      </c>
      <c r="BM64" s="2004"/>
      <c r="BN64" s="2004">
        <v>1</v>
      </c>
      <c r="BO64" s="2004" t="s">
        <v>9203</v>
      </c>
      <c r="BP64" s="516">
        <v>45.8</v>
      </c>
      <c r="BQ64" s="697">
        <v>47.3</v>
      </c>
      <c r="BR64" s="2004" t="s">
        <v>2334</v>
      </c>
      <c r="BS64" s="2004" t="s">
        <v>9204</v>
      </c>
      <c r="BT64" s="2004">
        <v>0</v>
      </c>
      <c r="BU64" s="2004" t="s">
        <v>9254</v>
      </c>
      <c r="BV64" s="2004">
        <v>-0.1178</v>
      </c>
      <c r="BW64" s="2004">
        <v>49.6</v>
      </c>
      <c r="BX64" s="2004" t="s">
        <v>2334</v>
      </c>
      <c r="BY64" s="2004">
        <v>0</v>
      </c>
      <c r="BZ64" s="2004">
        <v>0</v>
      </c>
      <c r="CA64" s="2004" t="s">
        <v>9254</v>
      </c>
      <c r="CB64" s="2004">
        <v>-0.152</v>
      </c>
      <c r="CC64" s="2004">
        <v>52.67</v>
      </c>
      <c r="CD64" s="2004" t="s">
        <v>2334</v>
      </c>
      <c r="CE64" s="2004">
        <v>0</v>
      </c>
      <c r="CF64" s="2004">
        <v>0</v>
      </c>
      <c r="CG64" s="2004" t="s">
        <v>2336</v>
      </c>
      <c r="CH64" s="2004">
        <v>-0.152</v>
      </c>
      <c r="CI64" s="2004">
        <v>56</v>
      </c>
      <c r="CJ64" s="2004" t="s">
        <v>2334</v>
      </c>
      <c r="CK64" s="2004">
        <v>0</v>
      </c>
      <c r="CL64" s="2004">
        <v>0</v>
      </c>
      <c r="CM64" s="2004" t="s">
        <v>2336</v>
      </c>
      <c r="CN64" s="2004">
        <v>-0.152</v>
      </c>
      <c r="CP64" s="2004" t="s">
        <v>9594</v>
      </c>
    </row>
    <row r="65" spans="1:94">
      <c r="A65" s="2004" t="s">
        <v>9536</v>
      </c>
      <c r="B65" s="2004" t="s">
        <v>9595</v>
      </c>
      <c r="C65" s="2004" t="s">
        <v>9085</v>
      </c>
      <c r="D65" s="2004" t="s">
        <v>1628</v>
      </c>
      <c r="E65" s="2004" t="s">
        <v>9194</v>
      </c>
      <c r="F65" s="2004" t="s">
        <v>9596</v>
      </c>
      <c r="G65" s="2004" t="s">
        <v>9597</v>
      </c>
      <c r="H65" s="2004" t="s">
        <v>9598</v>
      </c>
      <c r="I65" s="2004" t="s">
        <v>9599</v>
      </c>
      <c r="J65" s="2004" t="s">
        <v>9230</v>
      </c>
      <c r="K65" s="2004"/>
      <c r="L65" s="2004"/>
      <c r="M65" s="2004"/>
      <c r="N65" s="2004" t="s">
        <v>9372</v>
      </c>
      <c r="O65" s="2004" t="s">
        <v>766</v>
      </c>
      <c r="P65" s="2004" t="s">
        <v>9600</v>
      </c>
      <c r="Q65" s="516">
        <v>0</v>
      </c>
      <c r="R65" s="2004" t="s">
        <v>9202</v>
      </c>
      <c r="S65" s="2004">
        <v>40</v>
      </c>
      <c r="T65" s="2004">
        <v>32</v>
      </c>
      <c r="U65" s="2004">
        <v>25</v>
      </c>
      <c r="V65" s="2004">
        <v>23</v>
      </c>
      <c r="W65" s="2004">
        <v>22</v>
      </c>
      <c r="X65" s="2004">
        <v>20</v>
      </c>
      <c r="Y65" s="2004"/>
      <c r="Z65" s="2004"/>
      <c r="AA65" s="2004"/>
      <c r="AB65" s="2004"/>
      <c r="AC65" s="2004"/>
      <c r="AD65" s="2004"/>
      <c r="AE65" s="2004"/>
      <c r="AF65" s="2004"/>
      <c r="AG65" s="2004"/>
      <c r="AH65" s="2004">
        <v>0</v>
      </c>
      <c r="AI65" s="2004"/>
      <c r="AJ65" s="2004"/>
      <c r="AK65" s="2004"/>
      <c r="AL65" s="2004"/>
      <c r="AM65" s="2004"/>
      <c r="AN65" s="2004"/>
      <c r="AO65" s="2004"/>
      <c r="AP65" s="2004"/>
      <c r="AQ65" s="2004"/>
      <c r="AR65" s="2004"/>
      <c r="AS65" s="2004"/>
      <c r="AT65" s="2004"/>
      <c r="AU65" s="2004"/>
      <c r="AV65" s="2004"/>
      <c r="AW65" s="2004"/>
      <c r="AX65" s="2004"/>
      <c r="AY65" s="2004"/>
      <c r="AZ65" s="2004"/>
      <c r="BA65" s="2004"/>
      <c r="BB65" s="2004"/>
      <c r="BC65" s="2004"/>
      <c r="BD65" s="2004"/>
      <c r="BE65" s="2004"/>
      <c r="BF65" s="2004"/>
      <c r="BG65" s="2004"/>
      <c r="BH65" s="2004"/>
      <c r="BI65" s="2004"/>
      <c r="BJ65" s="2004"/>
      <c r="BK65" s="2004"/>
      <c r="BL65" s="2004"/>
      <c r="BM65" s="2004"/>
      <c r="BN65" s="2004"/>
      <c r="BO65" s="2004"/>
      <c r="BP65" s="516">
        <v>38.5</v>
      </c>
      <c r="BQ65" s="691">
        <v>35.26</v>
      </c>
      <c r="BR65" s="2004" t="s">
        <v>2334</v>
      </c>
      <c r="BS65" s="2004" t="s">
        <v>9204</v>
      </c>
      <c r="BT65" s="2004">
        <v>0</v>
      </c>
      <c r="BU65" s="2004" t="s">
        <v>9204</v>
      </c>
      <c r="BV65" s="2004">
        <v>0</v>
      </c>
      <c r="BW65" s="2004">
        <v>31.8</v>
      </c>
      <c r="BX65" s="2004" t="s">
        <v>2334</v>
      </c>
      <c r="BY65" s="2004">
        <v>0</v>
      </c>
      <c r="BZ65" s="2004">
        <v>0</v>
      </c>
      <c r="CA65" s="2004">
        <v>0</v>
      </c>
      <c r="CB65" s="2004">
        <v>0</v>
      </c>
      <c r="CC65" s="2004">
        <v>28.35</v>
      </c>
      <c r="CD65" s="2004" t="s">
        <v>2334</v>
      </c>
      <c r="CE65" s="2004">
        <v>0</v>
      </c>
      <c r="CF65" s="2004">
        <v>0</v>
      </c>
      <c r="CG65" s="2004">
        <v>0</v>
      </c>
      <c r="CH65" s="2004">
        <v>0</v>
      </c>
      <c r="CI65" s="2004">
        <v>22.81</v>
      </c>
      <c r="CJ65" s="2004" t="s">
        <v>2334</v>
      </c>
      <c r="CK65" s="2004">
        <v>0</v>
      </c>
      <c r="CL65" s="2004">
        <v>0</v>
      </c>
      <c r="CM65" s="2004">
        <v>0</v>
      </c>
      <c r="CN65" s="2004">
        <v>0</v>
      </c>
      <c r="CP65" s="2004" t="s">
        <v>9601</v>
      </c>
    </row>
    <row r="66" spans="1:94" ht="25.5">
      <c r="A66" s="2004" t="s">
        <v>9536</v>
      </c>
      <c r="B66" s="2004" t="s">
        <v>9602</v>
      </c>
      <c r="C66" s="2004" t="s">
        <v>9085</v>
      </c>
      <c r="D66" s="2004" t="s">
        <v>1628</v>
      </c>
      <c r="E66" s="2004" t="s">
        <v>9194</v>
      </c>
      <c r="F66" s="2004" t="s">
        <v>9596</v>
      </c>
      <c r="G66" s="2004" t="s">
        <v>9603</v>
      </c>
      <c r="H66" s="2004" t="s">
        <v>9604</v>
      </c>
      <c r="I66" s="2004" t="s">
        <v>9605</v>
      </c>
      <c r="J66" s="2004" t="s">
        <v>9230</v>
      </c>
      <c r="K66" s="2004"/>
      <c r="L66" s="2004"/>
      <c r="M66" s="2004"/>
      <c r="N66" s="2004" t="s">
        <v>9224</v>
      </c>
      <c r="O66" s="2004" t="s">
        <v>9395</v>
      </c>
      <c r="P66" s="2004" t="s">
        <v>9606</v>
      </c>
      <c r="Q66" s="516">
        <v>0</v>
      </c>
      <c r="R66" s="2004"/>
      <c r="S66" s="2004" t="s">
        <v>9547</v>
      </c>
      <c r="T66" s="2004" t="s">
        <v>9547</v>
      </c>
      <c r="U66" s="2004" t="s">
        <v>9547</v>
      </c>
      <c r="V66" s="2004" t="s">
        <v>9548</v>
      </c>
      <c r="W66" s="2004" t="s">
        <v>9548</v>
      </c>
      <c r="X66" s="2004" t="s">
        <v>2338</v>
      </c>
      <c r="Y66" s="2004"/>
      <c r="Z66" s="2004"/>
      <c r="AA66" s="2004"/>
      <c r="AB66" s="2004"/>
      <c r="AC66" s="2004"/>
      <c r="AD66" s="2004"/>
      <c r="AE66" s="2004"/>
      <c r="AF66" s="2004" t="s">
        <v>2337</v>
      </c>
      <c r="AG66" s="2004"/>
      <c r="AH66" s="2004">
        <v>0</v>
      </c>
      <c r="AI66" s="2004"/>
      <c r="AJ66" s="2004"/>
      <c r="AK66" s="2004"/>
      <c r="AL66" s="2004"/>
      <c r="AM66" s="2004"/>
      <c r="AN66" s="2004"/>
      <c r="AO66" s="2004"/>
      <c r="AP66" s="2004"/>
      <c r="AQ66" s="2004"/>
      <c r="AR66" s="2004"/>
      <c r="AS66" s="2004"/>
      <c r="AT66" s="2004"/>
      <c r="AU66" s="2004"/>
      <c r="AV66" s="2004"/>
      <c r="AW66" s="2004"/>
      <c r="AX66" s="2004"/>
      <c r="AY66" s="2004"/>
      <c r="AZ66" s="2004"/>
      <c r="BA66" s="2004"/>
      <c r="BB66" s="2004"/>
      <c r="BC66" s="2004"/>
      <c r="BD66" s="2004"/>
      <c r="BE66" s="2004"/>
      <c r="BF66" s="2004"/>
      <c r="BG66" s="2004"/>
      <c r="BH66" s="2004"/>
      <c r="BI66" s="2004"/>
      <c r="BJ66" s="2004"/>
      <c r="BK66" s="2004"/>
      <c r="BL66" s="2004"/>
      <c r="BM66" s="2004"/>
      <c r="BN66" s="2004"/>
      <c r="BO66" s="2004"/>
      <c r="BP66" s="516" t="s">
        <v>9547</v>
      </c>
      <c r="BQ66" s="693" t="s">
        <v>9547</v>
      </c>
      <c r="BR66" s="2004" t="s">
        <v>2337</v>
      </c>
      <c r="BS66" s="2004" t="s">
        <v>9204</v>
      </c>
      <c r="BT66" s="2004">
        <v>0</v>
      </c>
      <c r="BU66" s="2004" t="s">
        <v>9204</v>
      </c>
      <c r="BV66" s="2004">
        <v>0</v>
      </c>
      <c r="BW66" s="2004" t="s">
        <v>9547</v>
      </c>
      <c r="BX66" s="2004" t="s">
        <v>2337</v>
      </c>
      <c r="BY66" s="2004">
        <v>0</v>
      </c>
      <c r="BZ66" s="2004">
        <v>0</v>
      </c>
      <c r="CA66" s="2004">
        <v>0</v>
      </c>
      <c r="CB66" s="2004">
        <v>0</v>
      </c>
      <c r="CC66" s="2004">
        <v>-1</v>
      </c>
      <c r="CD66" s="2004" t="s">
        <v>2337</v>
      </c>
      <c r="CE66" s="2004">
        <v>0</v>
      </c>
      <c r="CF66" s="2004">
        <v>0</v>
      </c>
      <c r="CG66" s="2004">
        <v>0</v>
      </c>
      <c r="CH66" s="2004">
        <v>0</v>
      </c>
      <c r="CI66" s="2004">
        <v>-14</v>
      </c>
      <c r="CJ66" s="2004" t="s">
        <v>2337</v>
      </c>
      <c r="CK66" s="2004">
        <v>0</v>
      </c>
      <c r="CL66" s="2004">
        <v>0</v>
      </c>
      <c r="CM66" s="2004">
        <v>0</v>
      </c>
      <c r="CN66" s="2004">
        <v>0</v>
      </c>
      <c r="CP66" s="2004" t="s">
        <v>9607</v>
      </c>
    </row>
    <row r="67" spans="1:94">
      <c r="A67" s="2004" t="s">
        <v>9536</v>
      </c>
      <c r="B67" s="2004" t="s">
        <v>9608</v>
      </c>
      <c r="C67" s="2004" t="s">
        <v>9085</v>
      </c>
      <c r="D67" s="2004" t="s">
        <v>1628</v>
      </c>
      <c r="E67" s="2004" t="s">
        <v>9194</v>
      </c>
      <c r="F67" s="2004" t="s">
        <v>9596</v>
      </c>
      <c r="G67" s="2004" t="s">
        <v>9609</v>
      </c>
      <c r="H67" s="2004" t="s">
        <v>9610</v>
      </c>
      <c r="I67" s="2004" t="s">
        <v>9611</v>
      </c>
      <c r="J67" s="2004" t="s">
        <v>9230</v>
      </c>
      <c r="K67" s="2004"/>
      <c r="L67" s="2004"/>
      <c r="M67" s="2004"/>
      <c r="N67" s="2004" t="s">
        <v>9357</v>
      </c>
      <c r="O67" s="2004" t="s">
        <v>9282</v>
      </c>
      <c r="P67" s="2004" t="s">
        <v>9612</v>
      </c>
      <c r="Q67" s="516">
        <v>0</v>
      </c>
      <c r="R67" s="2004" t="s">
        <v>9240</v>
      </c>
      <c r="S67" s="2004" t="s">
        <v>9613</v>
      </c>
      <c r="T67" s="2004" t="s">
        <v>9614</v>
      </c>
      <c r="U67" s="2004" t="s">
        <v>9614</v>
      </c>
      <c r="V67" s="2004" t="s">
        <v>9614</v>
      </c>
      <c r="W67" s="2004" t="s">
        <v>9614</v>
      </c>
      <c r="X67" s="2004" t="s">
        <v>9614</v>
      </c>
      <c r="Y67" s="2004"/>
      <c r="Z67" s="2004"/>
      <c r="AA67" s="2004"/>
      <c r="AB67" s="2004"/>
      <c r="AC67" s="2004"/>
      <c r="AD67" s="2004"/>
      <c r="AE67" s="2004"/>
      <c r="AF67" s="2004" t="s">
        <v>2337</v>
      </c>
      <c r="AG67" s="2004"/>
      <c r="AH67" s="2004">
        <v>0</v>
      </c>
      <c r="AI67" s="2004"/>
      <c r="AJ67" s="2004"/>
      <c r="AK67" s="2004"/>
      <c r="AL67" s="2004"/>
      <c r="AM67" s="2004"/>
      <c r="AN67" s="2004"/>
      <c r="AO67" s="2004"/>
      <c r="AP67" s="2004"/>
      <c r="AQ67" s="2004"/>
      <c r="AR67" s="2004"/>
      <c r="AS67" s="2004"/>
      <c r="AT67" s="2004"/>
      <c r="AU67" s="2004"/>
      <c r="AV67" s="2004"/>
      <c r="AW67" s="2004"/>
      <c r="AX67" s="2004"/>
      <c r="AY67" s="2004"/>
      <c r="AZ67" s="2004"/>
      <c r="BA67" s="2004"/>
      <c r="BB67" s="2004"/>
      <c r="BC67" s="2004"/>
      <c r="BD67" s="2004"/>
      <c r="BE67" s="2004"/>
      <c r="BF67" s="2004"/>
      <c r="BG67" s="2004"/>
      <c r="BH67" s="2004"/>
      <c r="BI67" s="2004"/>
      <c r="BJ67" s="2004"/>
      <c r="BK67" s="2004"/>
      <c r="BL67" s="2004"/>
      <c r="BM67" s="2004"/>
      <c r="BN67" s="2004"/>
      <c r="BO67" s="2004"/>
      <c r="BP67" s="516">
        <v>17596</v>
      </c>
      <c r="BQ67" s="698" t="s">
        <v>9615</v>
      </c>
      <c r="BR67" s="2004" t="s">
        <v>2337</v>
      </c>
      <c r="BS67" s="2004" t="s">
        <v>9204</v>
      </c>
      <c r="BT67" s="2004">
        <v>0</v>
      </c>
      <c r="BU67" s="2004" t="s">
        <v>9204</v>
      </c>
      <c r="BV67" s="2004">
        <v>0</v>
      </c>
      <c r="BW67" s="2004" t="s">
        <v>9615</v>
      </c>
      <c r="BX67" s="2004" t="s">
        <v>2337</v>
      </c>
      <c r="BY67" s="2004">
        <v>0</v>
      </c>
      <c r="BZ67" s="2004">
        <v>0</v>
      </c>
      <c r="CA67" s="2004">
        <v>0</v>
      </c>
      <c r="CB67" s="2004">
        <v>0</v>
      </c>
      <c r="CC67" s="2004">
        <v>17657.490000000002</v>
      </c>
      <c r="CD67" s="2004" t="s">
        <v>2337</v>
      </c>
      <c r="CE67" s="2004">
        <v>0</v>
      </c>
      <c r="CF67" s="2004">
        <v>0</v>
      </c>
      <c r="CG67" s="2004">
        <v>0</v>
      </c>
      <c r="CH67" s="2004">
        <v>0</v>
      </c>
      <c r="CI67" s="2004">
        <v>17668</v>
      </c>
      <c r="CJ67" s="2004" t="s">
        <v>2337</v>
      </c>
      <c r="CK67" s="2004">
        <v>0</v>
      </c>
      <c r="CL67" s="2004">
        <v>0</v>
      </c>
      <c r="CM67" s="2004">
        <v>0</v>
      </c>
      <c r="CN67" s="2004">
        <v>0</v>
      </c>
      <c r="CP67" s="2004" t="s">
        <v>9616</v>
      </c>
    </row>
    <row r="68" spans="1:94">
      <c r="A68" s="2004" t="s">
        <v>9536</v>
      </c>
      <c r="B68" s="2004" t="s">
        <v>9617</v>
      </c>
      <c r="C68" s="2004" t="s">
        <v>9085</v>
      </c>
      <c r="D68" s="2004" t="s">
        <v>1628</v>
      </c>
      <c r="E68" s="2004" t="s">
        <v>9194</v>
      </c>
      <c r="F68" s="2004" t="s">
        <v>9596</v>
      </c>
      <c r="G68" s="2004" t="s">
        <v>9618</v>
      </c>
      <c r="H68" s="2004" t="s">
        <v>9619</v>
      </c>
      <c r="I68" s="2004" t="s">
        <v>9620</v>
      </c>
      <c r="J68" s="2004" t="s">
        <v>9230</v>
      </c>
      <c r="K68" s="2004"/>
      <c r="L68" s="2004"/>
      <c r="M68" s="2004"/>
      <c r="N68" s="2004" t="s">
        <v>9621</v>
      </c>
      <c r="O68" s="2004" t="s">
        <v>734</v>
      </c>
      <c r="P68" s="2004" t="s">
        <v>9622</v>
      </c>
      <c r="Q68" s="516">
        <v>0</v>
      </c>
      <c r="R68" s="2004" t="s">
        <v>9240</v>
      </c>
      <c r="S68" s="2004">
        <v>97</v>
      </c>
      <c r="T68" s="2004">
        <v>100</v>
      </c>
      <c r="U68" s="2004">
        <v>100</v>
      </c>
      <c r="V68" s="2004">
        <v>100</v>
      </c>
      <c r="W68" s="2004">
        <v>100</v>
      </c>
      <c r="X68" s="2004">
        <v>100</v>
      </c>
      <c r="Y68" s="2004"/>
      <c r="Z68" s="2004"/>
      <c r="AA68" s="2004"/>
      <c r="AB68" s="2004"/>
      <c r="AC68" s="2004"/>
      <c r="AD68" s="2004"/>
      <c r="AE68" s="2004"/>
      <c r="AF68" s="2004"/>
      <c r="AG68" s="2004"/>
      <c r="AH68" s="2004">
        <v>0</v>
      </c>
      <c r="AI68" s="2004"/>
      <c r="AJ68" s="2004"/>
      <c r="AK68" s="2004"/>
      <c r="AL68" s="2004"/>
      <c r="AM68" s="2004"/>
      <c r="AN68" s="2004"/>
      <c r="AO68" s="2004"/>
      <c r="AP68" s="2004"/>
      <c r="AQ68" s="2004"/>
      <c r="AR68" s="2004"/>
      <c r="AS68" s="2004"/>
      <c r="AT68" s="2004"/>
      <c r="AU68" s="2004"/>
      <c r="AV68" s="2004"/>
      <c r="AW68" s="2004"/>
      <c r="AX68" s="2004"/>
      <c r="AY68" s="2004"/>
      <c r="AZ68" s="2004"/>
      <c r="BA68" s="2004"/>
      <c r="BB68" s="2004"/>
      <c r="BC68" s="2004"/>
      <c r="BD68" s="2004"/>
      <c r="BE68" s="2004"/>
      <c r="BF68" s="2004"/>
      <c r="BG68" s="2004"/>
      <c r="BH68" s="2004"/>
      <c r="BI68" s="2004"/>
      <c r="BJ68" s="2004"/>
      <c r="BK68" s="2004"/>
      <c r="BL68" s="2004"/>
      <c r="BM68" s="2004"/>
      <c r="BN68" s="2004"/>
      <c r="BO68" s="2004"/>
      <c r="BP68" s="516">
        <v>99</v>
      </c>
      <c r="BQ68" s="691">
        <v>96.1</v>
      </c>
      <c r="BR68" s="2004" t="s">
        <v>2334</v>
      </c>
      <c r="BS68" s="2004" t="s">
        <v>9204</v>
      </c>
      <c r="BT68" s="2004">
        <v>0</v>
      </c>
      <c r="BU68" s="2004" t="s">
        <v>9204</v>
      </c>
      <c r="BV68" s="2004">
        <v>0</v>
      </c>
      <c r="BW68" s="2004">
        <v>95.83</v>
      </c>
      <c r="BX68" s="2004" t="s">
        <v>2334</v>
      </c>
      <c r="BY68" s="2004">
        <v>0</v>
      </c>
      <c r="BZ68" s="2004">
        <v>0</v>
      </c>
      <c r="CA68" s="2004">
        <v>0</v>
      </c>
      <c r="CB68" s="2004">
        <v>0</v>
      </c>
      <c r="CC68" s="2004">
        <v>98.08</v>
      </c>
      <c r="CD68" s="2004" t="s">
        <v>2334</v>
      </c>
      <c r="CE68" s="2004">
        <v>0</v>
      </c>
      <c r="CF68" s="2004">
        <v>0</v>
      </c>
      <c r="CG68" s="2004">
        <v>0</v>
      </c>
      <c r="CH68" s="2004">
        <v>0</v>
      </c>
      <c r="CI68" s="2004">
        <v>97.93</v>
      </c>
      <c r="CJ68" s="2004" t="s">
        <v>2334</v>
      </c>
      <c r="CK68" s="2004">
        <v>0</v>
      </c>
      <c r="CL68" s="2004">
        <v>0</v>
      </c>
      <c r="CM68" s="2004">
        <v>0</v>
      </c>
      <c r="CN68" s="2004">
        <v>0</v>
      </c>
      <c r="CP68" s="2004" t="s">
        <v>9623</v>
      </c>
    </row>
    <row r="69" spans="1:94">
      <c r="A69" s="2004" t="s">
        <v>9536</v>
      </c>
      <c r="B69" s="2004" t="s">
        <v>9624</v>
      </c>
      <c r="C69" s="2004" t="s">
        <v>9085</v>
      </c>
      <c r="D69" s="2004" t="s">
        <v>9275</v>
      </c>
      <c r="E69" s="2004" t="s">
        <v>9276</v>
      </c>
      <c r="F69" s="2004" t="s">
        <v>9588</v>
      </c>
      <c r="G69" s="2004" t="s">
        <v>9625</v>
      </c>
      <c r="H69" s="2004" t="s">
        <v>9626</v>
      </c>
      <c r="I69" s="2004" t="s">
        <v>9627</v>
      </c>
      <c r="J69" s="2004" t="s">
        <v>9230</v>
      </c>
      <c r="K69" s="2004"/>
      <c r="L69" s="2004"/>
      <c r="M69" s="2004"/>
      <c r="N69" s="2004" t="s">
        <v>9211</v>
      </c>
      <c r="O69" s="2004" t="s">
        <v>766</v>
      </c>
      <c r="P69" s="2004" t="s">
        <v>9628</v>
      </c>
      <c r="Q69" s="516">
        <v>1</v>
      </c>
      <c r="R69" s="2004" t="s">
        <v>9202</v>
      </c>
      <c r="S69" s="2004">
        <v>145.6</v>
      </c>
      <c r="T69" s="2004">
        <v>145.4</v>
      </c>
      <c r="U69" s="2004">
        <v>144.5</v>
      </c>
      <c r="V69" s="2004">
        <v>143.6</v>
      </c>
      <c r="W69" s="2004">
        <v>142.80000000000001</v>
      </c>
      <c r="X69" s="2004">
        <v>142</v>
      </c>
      <c r="Y69" s="2004"/>
      <c r="Z69" s="2004"/>
      <c r="AA69" s="2004"/>
      <c r="AB69" s="2004"/>
      <c r="AC69" s="2004"/>
      <c r="AD69" s="2004"/>
      <c r="AE69" s="2004"/>
      <c r="AF69" s="2004"/>
      <c r="AG69" s="2004"/>
      <c r="AH69" s="2004">
        <v>0</v>
      </c>
      <c r="AI69" s="2004"/>
      <c r="AJ69" s="2004"/>
      <c r="AK69" s="2004"/>
      <c r="AL69" s="2004"/>
      <c r="AM69" s="2004"/>
      <c r="AN69" s="2004"/>
      <c r="AO69" s="2004"/>
      <c r="AP69" s="2004"/>
      <c r="AQ69" s="2004"/>
      <c r="AR69" s="2004"/>
      <c r="AS69" s="2004"/>
      <c r="AT69" s="2004"/>
      <c r="AU69" s="2004"/>
      <c r="AV69" s="2004"/>
      <c r="AW69" s="2004"/>
      <c r="AX69" s="2004"/>
      <c r="AY69" s="2004"/>
      <c r="AZ69" s="2004"/>
      <c r="BA69" s="2004"/>
      <c r="BB69" s="2004"/>
      <c r="BC69" s="2004"/>
      <c r="BD69" s="2004"/>
      <c r="BE69" s="2004"/>
      <c r="BF69" s="2004"/>
      <c r="BG69" s="2004"/>
      <c r="BH69" s="2004"/>
      <c r="BI69" s="2004"/>
      <c r="BJ69" s="2004"/>
      <c r="BK69" s="2004"/>
      <c r="BL69" s="2004"/>
      <c r="BM69" s="2004"/>
      <c r="BN69" s="2004"/>
      <c r="BO69" s="2004"/>
      <c r="BP69" s="516">
        <v>143</v>
      </c>
      <c r="BQ69" s="697">
        <v>141.1</v>
      </c>
      <c r="BR69" s="2004" t="s">
        <v>2337</v>
      </c>
      <c r="BS69" s="2004" t="s">
        <v>9204</v>
      </c>
      <c r="BT69" s="2004">
        <v>0</v>
      </c>
      <c r="BU69" s="2004" t="s">
        <v>9204</v>
      </c>
      <c r="BV69" s="2004">
        <v>0</v>
      </c>
      <c r="BW69" s="2004">
        <v>144.1</v>
      </c>
      <c r="BX69" s="2004" t="s">
        <v>2337</v>
      </c>
      <c r="BY69" s="2004">
        <v>0</v>
      </c>
      <c r="BZ69" s="2004">
        <v>0</v>
      </c>
      <c r="CA69" s="2004">
        <v>0</v>
      </c>
      <c r="CB69" s="2004">
        <v>0</v>
      </c>
      <c r="CC69" s="2004">
        <v>144.5</v>
      </c>
      <c r="CD69" s="2004" t="s">
        <v>2334</v>
      </c>
      <c r="CE69" s="2004">
        <v>0</v>
      </c>
      <c r="CF69" s="2004">
        <v>0</v>
      </c>
      <c r="CG69" s="2004">
        <v>0</v>
      </c>
      <c r="CH69" s="2004">
        <v>0</v>
      </c>
      <c r="CI69" s="2004">
        <v>148.30000000000001</v>
      </c>
      <c r="CJ69" s="2004" t="s">
        <v>2334</v>
      </c>
      <c r="CK69" s="2004">
        <v>0</v>
      </c>
      <c r="CL69" s="2004">
        <v>0</v>
      </c>
      <c r="CM69" s="2004">
        <v>0</v>
      </c>
      <c r="CN69" s="2004">
        <v>0</v>
      </c>
      <c r="CP69" s="2004" t="s">
        <v>9629</v>
      </c>
    </row>
    <row r="70" spans="1:94">
      <c r="A70" s="2004" t="s">
        <v>9536</v>
      </c>
      <c r="B70" s="2004" t="s">
        <v>9630</v>
      </c>
      <c r="C70" s="2004" t="s">
        <v>9085</v>
      </c>
      <c r="D70" s="2004" t="s">
        <v>9275</v>
      </c>
      <c r="E70" s="2004" t="s">
        <v>9276</v>
      </c>
      <c r="F70" s="2004" t="s">
        <v>9631</v>
      </c>
      <c r="G70" s="2004" t="s">
        <v>9632</v>
      </c>
      <c r="H70" s="2004" t="s">
        <v>9633</v>
      </c>
      <c r="I70" s="2004" t="s">
        <v>9634</v>
      </c>
      <c r="J70" s="2004" t="s">
        <v>9230</v>
      </c>
      <c r="K70" s="2004"/>
      <c r="L70" s="2004"/>
      <c r="M70" s="2004"/>
      <c r="N70" s="2004" t="s">
        <v>9290</v>
      </c>
      <c r="O70" s="2004" t="s">
        <v>734</v>
      </c>
      <c r="P70" s="2004" t="s">
        <v>9635</v>
      </c>
      <c r="Q70" s="516">
        <v>1</v>
      </c>
      <c r="R70" s="2004" t="s">
        <v>9202</v>
      </c>
      <c r="S70" s="2004">
        <v>2.1</v>
      </c>
      <c r="T70" s="2004">
        <v>2</v>
      </c>
      <c r="U70" s="2004">
        <v>2</v>
      </c>
      <c r="V70" s="2004">
        <v>1.9</v>
      </c>
      <c r="W70" s="2004">
        <v>1.9</v>
      </c>
      <c r="X70" s="2004">
        <v>1.8</v>
      </c>
      <c r="Y70" s="2004"/>
      <c r="Z70" s="2004"/>
      <c r="AA70" s="2004"/>
      <c r="AB70" s="2004"/>
      <c r="AC70" s="2004"/>
      <c r="AD70" s="2004"/>
      <c r="AE70" s="2004"/>
      <c r="AF70" s="2004"/>
      <c r="AG70" s="2004"/>
      <c r="AH70" s="2004">
        <v>0</v>
      </c>
      <c r="AI70" s="2004"/>
      <c r="AJ70" s="2004"/>
      <c r="AK70" s="2004"/>
      <c r="AL70" s="2004"/>
      <c r="AM70" s="2004"/>
      <c r="AN70" s="2004"/>
      <c r="AO70" s="2004"/>
      <c r="AP70" s="2004"/>
      <c r="AQ70" s="2004"/>
      <c r="AR70" s="2004"/>
      <c r="AS70" s="2004"/>
      <c r="AT70" s="2004"/>
      <c r="AU70" s="2004"/>
      <c r="AV70" s="2004"/>
      <c r="AW70" s="2004"/>
      <c r="AX70" s="2004"/>
      <c r="AY70" s="2004"/>
      <c r="AZ70" s="2004"/>
      <c r="BA70" s="2004"/>
      <c r="BB70" s="2004"/>
      <c r="BC70" s="2004"/>
      <c r="BD70" s="2004"/>
      <c r="BE70" s="2004"/>
      <c r="BF70" s="2004"/>
      <c r="BG70" s="2004"/>
      <c r="BH70" s="2004"/>
      <c r="BI70" s="2004"/>
      <c r="BJ70" s="2004"/>
      <c r="BK70" s="2004"/>
      <c r="BL70" s="2004"/>
      <c r="BM70" s="2004"/>
      <c r="BN70" s="2004"/>
      <c r="BO70" s="2004"/>
      <c r="BP70" s="516">
        <v>2.5</v>
      </c>
      <c r="BQ70" s="697">
        <v>0.37</v>
      </c>
      <c r="BR70" s="2004" t="s">
        <v>2337</v>
      </c>
      <c r="BS70" s="2004" t="s">
        <v>9204</v>
      </c>
      <c r="BT70" s="2004">
        <v>0</v>
      </c>
      <c r="BU70" s="2004" t="s">
        <v>9204</v>
      </c>
      <c r="BV70" s="2004">
        <v>0</v>
      </c>
      <c r="BW70" s="2004">
        <v>0.94</v>
      </c>
      <c r="BX70" s="2004" t="s">
        <v>2337</v>
      </c>
      <c r="BY70" s="2004">
        <v>0</v>
      </c>
      <c r="BZ70" s="2004">
        <v>0</v>
      </c>
      <c r="CA70" s="2004">
        <v>0</v>
      </c>
      <c r="CB70" s="2004">
        <v>0</v>
      </c>
      <c r="CC70" s="2004">
        <v>0</v>
      </c>
      <c r="CD70" s="2004" t="s">
        <v>2337</v>
      </c>
      <c r="CE70" s="2004">
        <v>0</v>
      </c>
      <c r="CF70" s="2004">
        <v>0</v>
      </c>
      <c r="CG70" s="2004">
        <v>0</v>
      </c>
      <c r="CH70" s="2004">
        <v>0</v>
      </c>
      <c r="CI70" s="2004">
        <v>0</v>
      </c>
      <c r="CJ70" s="2004" t="s">
        <v>2337</v>
      </c>
      <c r="CK70" s="2004">
        <v>0</v>
      </c>
      <c r="CL70" s="2004">
        <v>0</v>
      </c>
      <c r="CM70" s="2004">
        <v>0</v>
      </c>
      <c r="CN70" s="2004">
        <v>0</v>
      </c>
      <c r="CP70" s="2004" t="s">
        <v>9636</v>
      </c>
    </row>
    <row r="71" spans="1:94">
      <c r="A71" s="2004" t="s">
        <v>9536</v>
      </c>
      <c r="B71" s="2004" t="s">
        <v>9637</v>
      </c>
      <c r="C71" s="2004" t="s">
        <v>9085</v>
      </c>
      <c r="D71" s="2004" t="s">
        <v>9275</v>
      </c>
      <c r="E71" s="2004" t="s">
        <v>9276</v>
      </c>
      <c r="F71" s="2004" t="s">
        <v>9295</v>
      </c>
      <c r="G71" s="2004" t="s">
        <v>9638</v>
      </c>
      <c r="H71" s="2004" t="s">
        <v>9639</v>
      </c>
      <c r="I71" s="2004" t="s">
        <v>9640</v>
      </c>
      <c r="J71" s="2004" t="s">
        <v>9199</v>
      </c>
      <c r="K71" s="2004" t="s">
        <v>9200</v>
      </c>
      <c r="L71" s="2004"/>
      <c r="M71" s="2004" t="s">
        <v>2334</v>
      </c>
      <c r="N71" s="2004" t="s">
        <v>9281</v>
      </c>
      <c r="O71" s="2004" t="s">
        <v>9502</v>
      </c>
      <c r="P71" s="2004" t="s">
        <v>9641</v>
      </c>
      <c r="Q71" s="516" t="s">
        <v>9203</v>
      </c>
      <c r="R71" s="2004" t="s">
        <v>9240</v>
      </c>
      <c r="S71" s="2004">
        <v>85.3</v>
      </c>
      <c r="T71" s="2004" t="s">
        <v>9642</v>
      </c>
      <c r="U71" s="2004" t="s">
        <v>9642</v>
      </c>
      <c r="V71" s="2004" t="s">
        <v>9642</v>
      </c>
      <c r="W71" s="2004" t="s">
        <v>9642</v>
      </c>
      <c r="X71" s="2004" t="s">
        <v>9642</v>
      </c>
      <c r="Y71" s="2004"/>
      <c r="Z71" s="2004"/>
      <c r="AA71" s="2004"/>
      <c r="AB71" s="2004"/>
      <c r="AC71" s="2004"/>
      <c r="AD71" s="2004"/>
      <c r="AE71" s="2004"/>
      <c r="AF71" s="2004"/>
      <c r="AG71" s="2004"/>
      <c r="AH71" s="2004">
        <v>0</v>
      </c>
      <c r="AI71" s="2004" t="s">
        <v>2337</v>
      </c>
      <c r="AJ71" s="2004" t="s">
        <v>2337</v>
      </c>
      <c r="AK71" s="2004" t="s">
        <v>2337</v>
      </c>
      <c r="AL71" s="2004" t="s">
        <v>2337</v>
      </c>
      <c r="AM71" s="2004" t="s">
        <v>2337</v>
      </c>
      <c r="AN71" s="2004" t="s">
        <v>9284</v>
      </c>
      <c r="AO71" s="2004" t="s">
        <v>9284</v>
      </c>
      <c r="AP71" s="2004" t="s">
        <v>9284</v>
      </c>
      <c r="AQ71" s="2004" t="s">
        <v>9284</v>
      </c>
      <c r="AR71" s="2004" t="s">
        <v>9284</v>
      </c>
      <c r="AS71" s="2004" t="s">
        <v>9284</v>
      </c>
      <c r="AT71" s="2004" t="s">
        <v>9284</v>
      </c>
      <c r="AU71" s="2004" t="s">
        <v>9284</v>
      </c>
      <c r="AV71" s="2004" t="s">
        <v>9284</v>
      </c>
      <c r="AW71" s="2004" t="s">
        <v>9284</v>
      </c>
      <c r="AX71" s="2004" t="s">
        <v>9284</v>
      </c>
      <c r="AY71" s="2004" t="s">
        <v>9284</v>
      </c>
      <c r="AZ71" s="2004" t="s">
        <v>9284</v>
      </c>
      <c r="BA71" s="2004" t="s">
        <v>9284</v>
      </c>
      <c r="BB71" s="2004" t="s">
        <v>9284</v>
      </c>
      <c r="BC71" s="2004" t="s">
        <v>9284</v>
      </c>
      <c r="BD71" s="2004" t="s">
        <v>9284</v>
      </c>
      <c r="BE71" s="2004" t="s">
        <v>9284</v>
      </c>
      <c r="BF71" s="2004" t="s">
        <v>9284</v>
      </c>
      <c r="BG71" s="2004" t="s">
        <v>9284</v>
      </c>
      <c r="BH71" s="2004" t="s">
        <v>9284</v>
      </c>
      <c r="BI71" s="2004"/>
      <c r="BJ71" s="2004"/>
      <c r="BK71" s="2004"/>
      <c r="BL71" s="2004" t="s">
        <v>9284</v>
      </c>
      <c r="BM71" s="2004"/>
      <c r="BN71" s="2004">
        <v>1</v>
      </c>
      <c r="BO71" s="2004" t="s">
        <v>9203</v>
      </c>
      <c r="BP71" s="516">
        <v>80</v>
      </c>
      <c r="BQ71" s="696">
        <v>85.1</v>
      </c>
      <c r="BR71" s="2004" t="s">
        <v>2337</v>
      </c>
      <c r="BS71" s="2004" t="s">
        <v>9204</v>
      </c>
      <c r="BT71" s="2004">
        <v>0</v>
      </c>
      <c r="BU71" s="2004" t="s">
        <v>9204</v>
      </c>
      <c r="BV71" s="2004">
        <v>0</v>
      </c>
      <c r="BW71" s="2004">
        <v>85.9</v>
      </c>
      <c r="BX71" s="2004" t="s">
        <v>2334</v>
      </c>
      <c r="BY71" s="2004">
        <v>0</v>
      </c>
      <c r="BZ71" s="2004">
        <v>0</v>
      </c>
      <c r="CA71" s="2004">
        <v>0</v>
      </c>
      <c r="CB71" s="2004">
        <v>0</v>
      </c>
      <c r="CC71" s="2004">
        <v>83.38</v>
      </c>
      <c r="CD71" s="2004" t="s">
        <v>2334</v>
      </c>
      <c r="CE71" s="2004">
        <v>0</v>
      </c>
      <c r="CF71" s="2004">
        <v>0</v>
      </c>
      <c r="CG71" s="2004">
        <v>0</v>
      </c>
      <c r="CH71" s="2004">
        <v>0</v>
      </c>
      <c r="CI71" s="2004">
        <v>84.71</v>
      </c>
      <c r="CJ71" s="2004" t="s">
        <v>2334</v>
      </c>
      <c r="CK71" s="2004">
        <v>0</v>
      </c>
      <c r="CL71" s="2004">
        <v>0</v>
      </c>
      <c r="CM71" s="2004">
        <v>0</v>
      </c>
      <c r="CN71" s="2004">
        <v>0</v>
      </c>
      <c r="CP71" s="2004" t="s">
        <v>9643</v>
      </c>
    </row>
    <row r="72" spans="1:94">
      <c r="A72" s="2004" t="s">
        <v>9536</v>
      </c>
      <c r="B72" s="2004" t="s">
        <v>9644</v>
      </c>
      <c r="C72" s="2004" t="s">
        <v>9085</v>
      </c>
      <c r="D72" s="2004" t="s">
        <v>9275</v>
      </c>
      <c r="E72" s="2004" t="s">
        <v>9276</v>
      </c>
      <c r="F72" s="2004" t="s">
        <v>9295</v>
      </c>
      <c r="G72" s="2004" t="s">
        <v>9645</v>
      </c>
      <c r="H72" s="2004" t="s">
        <v>9646</v>
      </c>
      <c r="I72" s="2004" t="s">
        <v>9647</v>
      </c>
      <c r="J72" s="2004" t="s">
        <v>9230</v>
      </c>
      <c r="K72" s="2004"/>
      <c r="L72" s="2004"/>
      <c r="M72" s="2004"/>
      <c r="N72" s="2004" t="s">
        <v>9386</v>
      </c>
      <c r="O72" s="2004" t="s">
        <v>734</v>
      </c>
      <c r="P72" s="2004" t="s">
        <v>9387</v>
      </c>
      <c r="Q72" s="516">
        <v>0</v>
      </c>
      <c r="R72" s="2004" t="s">
        <v>9240</v>
      </c>
      <c r="S72" s="2004">
        <v>93</v>
      </c>
      <c r="T72" s="2004">
        <v>93</v>
      </c>
      <c r="U72" s="2004">
        <v>93</v>
      </c>
      <c r="V72" s="2004">
        <v>93</v>
      </c>
      <c r="W72" s="2004">
        <v>93</v>
      </c>
      <c r="X72" s="2004" t="s">
        <v>9648</v>
      </c>
      <c r="Y72" s="2004"/>
      <c r="Z72" s="2004"/>
      <c r="AA72" s="2004"/>
      <c r="AB72" s="2004"/>
      <c r="AC72" s="2004"/>
      <c r="AD72" s="2004"/>
      <c r="AE72" s="2004"/>
      <c r="AF72" s="2004"/>
      <c r="AG72" s="2004"/>
      <c r="AH72" s="2004">
        <v>0</v>
      </c>
      <c r="AI72" s="2004"/>
      <c r="AJ72" s="2004"/>
      <c r="AK72" s="2004"/>
      <c r="AL72" s="2004"/>
      <c r="AM72" s="2004"/>
      <c r="AN72" s="2004"/>
      <c r="AO72" s="2004"/>
      <c r="AP72" s="2004"/>
      <c r="AQ72" s="2004"/>
      <c r="AR72" s="2004"/>
      <c r="AS72" s="2004"/>
      <c r="AT72" s="2004"/>
      <c r="AU72" s="2004"/>
      <c r="AV72" s="2004"/>
      <c r="AW72" s="2004"/>
      <c r="AX72" s="2004"/>
      <c r="AY72" s="2004"/>
      <c r="AZ72" s="2004"/>
      <c r="BA72" s="2004"/>
      <c r="BB72" s="2004"/>
      <c r="BC72" s="2004"/>
      <c r="BD72" s="2004"/>
      <c r="BE72" s="2004"/>
      <c r="BF72" s="2004"/>
      <c r="BG72" s="2004"/>
      <c r="BH72" s="2004"/>
      <c r="BI72" s="2004"/>
      <c r="BJ72" s="2004"/>
      <c r="BK72" s="2004"/>
      <c r="BL72" s="2004"/>
      <c r="BM72" s="2004"/>
      <c r="BN72" s="2004"/>
      <c r="BO72" s="2004"/>
      <c r="BP72" s="516">
        <v>69</v>
      </c>
      <c r="BQ72" s="691">
        <v>83</v>
      </c>
      <c r="BR72" s="2004" t="s">
        <v>2334</v>
      </c>
      <c r="BS72" s="2004" t="s">
        <v>9204</v>
      </c>
      <c r="BT72" s="2004">
        <v>0</v>
      </c>
      <c r="BU72" s="2004" t="s">
        <v>9204</v>
      </c>
      <c r="BV72" s="2004">
        <v>0</v>
      </c>
      <c r="BW72" s="2004">
        <v>86</v>
      </c>
      <c r="BX72" s="2004" t="s">
        <v>2334</v>
      </c>
      <c r="BY72" s="2004">
        <v>0</v>
      </c>
      <c r="BZ72" s="2004">
        <v>0</v>
      </c>
      <c r="CA72" s="2004">
        <v>0</v>
      </c>
      <c r="CB72" s="2004">
        <v>0</v>
      </c>
      <c r="CC72" s="2004">
        <v>87</v>
      </c>
      <c r="CD72" s="2004" t="s">
        <v>2334</v>
      </c>
      <c r="CE72" s="2004">
        <v>0</v>
      </c>
      <c r="CF72" s="2004">
        <v>0</v>
      </c>
      <c r="CG72" s="2004">
        <v>0</v>
      </c>
      <c r="CH72" s="2004">
        <v>0</v>
      </c>
      <c r="CI72" s="2004">
        <v>89</v>
      </c>
      <c r="CJ72" s="2004" t="s">
        <v>2334</v>
      </c>
      <c r="CK72" s="2004">
        <v>0</v>
      </c>
      <c r="CL72" s="2004">
        <v>0</v>
      </c>
      <c r="CM72" s="2004">
        <v>0</v>
      </c>
      <c r="CN72" s="2004">
        <v>0</v>
      </c>
      <c r="CP72" s="2004" t="s">
        <v>9649</v>
      </c>
    </row>
    <row r="73" spans="1:94">
      <c r="A73" s="2004" t="s">
        <v>9536</v>
      </c>
      <c r="B73" s="2004" t="s">
        <v>9650</v>
      </c>
      <c r="C73" s="2004" t="s">
        <v>9085</v>
      </c>
      <c r="D73" s="2004" t="s">
        <v>9275</v>
      </c>
      <c r="E73" s="2004" t="s">
        <v>9276</v>
      </c>
      <c r="F73" s="2004" t="s">
        <v>9295</v>
      </c>
      <c r="G73" s="2004" t="s">
        <v>9651</v>
      </c>
      <c r="H73" s="2004" t="s">
        <v>9652</v>
      </c>
      <c r="I73" s="2004" t="s">
        <v>9653</v>
      </c>
      <c r="J73" s="2004" t="s">
        <v>9230</v>
      </c>
      <c r="K73" s="2004"/>
      <c r="L73" s="2004"/>
      <c r="M73" s="2004"/>
      <c r="N73" s="2004" t="s">
        <v>9290</v>
      </c>
      <c r="O73" s="2004" t="s">
        <v>734</v>
      </c>
      <c r="P73" s="2004" t="s">
        <v>9387</v>
      </c>
      <c r="Q73" s="516">
        <v>0</v>
      </c>
      <c r="R73" s="2004" t="s">
        <v>9240</v>
      </c>
      <c r="S73" s="2004">
        <v>70</v>
      </c>
      <c r="T73" s="2004">
        <v>71</v>
      </c>
      <c r="U73" s="2004">
        <v>71</v>
      </c>
      <c r="V73" s="2004">
        <v>72</v>
      </c>
      <c r="W73" s="2004">
        <v>72</v>
      </c>
      <c r="X73" s="2004">
        <v>72</v>
      </c>
      <c r="Y73" s="2004"/>
      <c r="Z73" s="2004"/>
      <c r="AA73" s="2004"/>
      <c r="AB73" s="2004"/>
      <c r="AC73" s="2004"/>
      <c r="AD73" s="2004"/>
      <c r="AE73" s="2004"/>
      <c r="AF73" s="2004"/>
      <c r="AG73" s="2004"/>
      <c r="AH73" s="2004">
        <v>0</v>
      </c>
      <c r="AI73" s="2004"/>
      <c r="AJ73" s="2004"/>
      <c r="AK73" s="2004"/>
      <c r="AL73" s="2004"/>
      <c r="AM73" s="2004"/>
      <c r="AN73" s="2004"/>
      <c r="AO73" s="2004"/>
      <c r="AP73" s="2004"/>
      <c r="AQ73" s="2004"/>
      <c r="AR73" s="2004"/>
      <c r="AS73" s="2004"/>
      <c r="AT73" s="2004"/>
      <c r="AU73" s="2004"/>
      <c r="AV73" s="2004"/>
      <c r="AW73" s="2004"/>
      <c r="AX73" s="2004"/>
      <c r="AY73" s="2004"/>
      <c r="AZ73" s="2004"/>
      <c r="BA73" s="2004"/>
      <c r="BB73" s="2004"/>
      <c r="BC73" s="2004"/>
      <c r="BD73" s="2004"/>
      <c r="BE73" s="2004"/>
      <c r="BF73" s="2004"/>
      <c r="BG73" s="2004"/>
      <c r="BH73" s="2004"/>
      <c r="BI73" s="2004"/>
      <c r="BJ73" s="2004"/>
      <c r="BK73" s="2004"/>
      <c r="BL73" s="2004"/>
      <c r="BM73" s="2004"/>
      <c r="BN73" s="2004"/>
      <c r="BO73" s="2004"/>
      <c r="BP73" s="516">
        <v>73</v>
      </c>
      <c r="BQ73" s="691">
        <v>70</v>
      </c>
      <c r="BR73" s="2004" t="s">
        <v>2334</v>
      </c>
      <c r="BS73" s="2004" t="s">
        <v>9204</v>
      </c>
      <c r="BT73" s="2004">
        <v>0</v>
      </c>
      <c r="BU73" s="2004" t="s">
        <v>9204</v>
      </c>
      <c r="BV73" s="2004">
        <v>0</v>
      </c>
      <c r="BW73" s="2004">
        <v>72</v>
      </c>
      <c r="BX73" s="2004" t="s">
        <v>2337</v>
      </c>
      <c r="BY73" s="2004">
        <v>0</v>
      </c>
      <c r="BZ73" s="2004">
        <v>0</v>
      </c>
      <c r="CA73" s="2004">
        <v>0</v>
      </c>
      <c r="CB73" s="2004">
        <v>0</v>
      </c>
      <c r="CC73" s="2004">
        <v>68.900000000000006</v>
      </c>
      <c r="CD73" s="2004" t="s">
        <v>2334</v>
      </c>
      <c r="CE73" s="2004">
        <v>0</v>
      </c>
      <c r="CF73" s="2004">
        <v>0</v>
      </c>
      <c r="CG73" s="2004">
        <v>0</v>
      </c>
      <c r="CH73" s="2004">
        <v>0</v>
      </c>
      <c r="CI73" s="2004">
        <v>67.599999999999994</v>
      </c>
      <c r="CJ73" s="2004" t="s">
        <v>2334</v>
      </c>
      <c r="CK73" s="2004">
        <v>0</v>
      </c>
      <c r="CL73" s="2004">
        <v>0</v>
      </c>
      <c r="CM73" s="2004">
        <v>0</v>
      </c>
      <c r="CN73" s="2004">
        <v>0</v>
      </c>
      <c r="CP73" s="2004" t="s">
        <v>9654</v>
      </c>
    </row>
    <row r="74" spans="1:94">
      <c r="A74" s="2004" t="s">
        <v>9536</v>
      </c>
      <c r="B74" s="2004" t="s">
        <v>9655</v>
      </c>
      <c r="C74" s="2004" t="s">
        <v>9085</v>
      </c>
      <c r="D74" s="2004" t="s">
        <v>9275</v>
      </c>
      <c r="E74" s="2004" t="s">
        <v>9276</v>
      </c>
      <c r="F74" s="2004" t="s">
        <v>9656</v>
      </c>
      <c r="G74" s="2004" t="s">
        <v>9657</v>
      </c>
      <c r="H74" s="2004" t="s">
        <v>9658</v>
      </c>
      <c r="I74" s="2004" t="s">
        <v>9659</v>
      </c>
      <c r="J74" s="2004" t="s">
        <v>9230</v>
      </c>
      <c r="K74" s="2004"/>
      <c r="L74" s="2004"/>
      <c r="M74" s="2004"/>
      <c r="N74" s="2004" t="s">
        <v>9386</v>
      </c>
      <c r="O74" s="2004" t="s">
        <v>734</v>
      </c>
      <c r="P74" s="2004" t="s">
        <v>9387</v>
      </c>
      <c r="Q74" s="516">
        <v>1</v>
      </c>
      <c r="R74" s="2004" t="s">
        <v>9240</v>
      </c>
      <c r="S74" s="2004">
        <v>96.2</v>
      </c>
      <c r="T74" s="2004">
        <v>96.3</v>
      </c>
      <c r="U74" s="2004">
        <v>96.4</v>
      </c>
      <c r="V74" s="2004">
        <v>96.5</v>
      </c>
      <c r="W74" s="2004" t="s">
        <v>9660</v>
      </c>
      <c r="X74" s="2004" t="s">
        <v>9660</v>
      </c>
      <c r="Y74" s="2004"/>
      <c r="Z74" s="2004"/>
      <c r="AA74" s="2004"/>
      <c r="AB74" s="2004"/>
      <c r="AC74" s="2004"/>
      <c r="AD74" s="2004"/>
      <c r="AE74" s="2004"/>
      <c r="AF74" s="2004"/>
      <c r="AG74" s="2004"/>
      <c r="AH74" s="2004">
        <v>0</v>
      </c>
      <c r="AI74" s="2004"/>
      <c r="AJ74" s="2004"/>
      <c r="AK74" s="2004"/>
      <c r="AL74" s="2004"/>
      <c r="AM74" s="2004"/>
      <c r="AN74" s="2004"/>
      <c r="AO74" s="2004"/>
      <c r="AP74" s="2004"/>
      <c r="AQ74" s="2004"/>
      <c r="AR74" s="2004"/>
      <c r="AS74" s="2004"/>
      <c r="AT74" s="2004"/>
      <c r="AU74" s="2004"/>
      <c r="AV74" s="2004"/>
      <c r="AW74" s="2004"/>
      <c r="AX74" s="2004"/>
      <c r="AY74" s="2004"/>
      <c r="AZ74" s="2004"/>
      <c r="BA74" s="2004"/>
      <c r="BB74" s="2004"/>
      <c r="BC74" s="2004"/>
      <c r="BD74" s="2004"/>
      <c r="BE74" s="2004"/>
      <c r="BF74" s="2004"/>
      <c r="BG74" s="2004"/>
      <c r="BH74" s="2004"/>
      <c r="BI74" s="2004"/>
      <c r="BJ74" s="2004"/>
      <c r="BK74" s="2004"/>
      <c r="BL74" s="2004"/>
      <c r="BM74" s="2004"/>
      <c r="BN74" s="2004"/>
      <c r="BO74" s="2004"/>
      <c r="BP74" s="516">
        <v>95.2</v>
      </c>
      <c r="BQ74" s="697">
        <v>94.8</v>
      </c>
      <c r="BR74" s="2004" t="s">
        <v>2334</v>
      </c>
      <c r="BS74" s="2004" t="s">
        <v>9204</v>
      </c>
      <c r="BT74" s="2004">
        <v>0</v>
      </c>
      <c r="BU74" s="2004" t="s">
        <v>9204</v>
      </c>
      <c r="BV74" s="2004">
        <v>0</v>
      </c>
      <c r="BW74" s="2004">
        <v>94.4</v>
      </c>
      <c r="BX74" s="2004" t="s">
        <v>2334</v>
      </c>
      <c r="BY74" s="2004">
        <v>0</v>
      </c>
      <c r="BZ74" s="2004">
        <v>0</v>
      </c>
      <c r="CA74" s="2004">
        <v>0</v>
      </c>
      <c r="CB74" s="2004">
        <v>0</v>
      </c>
      <c r="CC74" s="2004">
        <v>93.1</v>
      </c>
      <c r="CD74" s="2004" t="s">
        <v>2334</v>
      </c>
      <c r="CE74" s="2004">
        <v>0</v>
      </c>
      <c r="CF74" s="2004">
        <v>0</v>
      </c>
      <c r="CG74" s="2004">
        <v>0</v>
      </c>
      <c r="CH74" s="2004">
        <v>0</v>
      </c>
      <c r="CI74" s="2004">
        <v>91.4</v>
      </c>
      <c r="CJ74" s="2004" t="s">
        <v>2334</v>
      </c>
      <c r="CK74" s="2004">
        <v>0</v>
      </c>
      <c r="CL74" s="2004">
        <v>0</v>
      </c>
      <c r="CM74" s="2004">
        <v>0</v>
      </c>
      <c r="CN74" s="2004">
        <v>0</v>
      </c>
      <c r="CP74" s="2004" t="s">
        <v>9661</v>
      </c>
    </row>
    <row r="75" spans="1:94">
      <c r="A75" s="2004" t="s">
        <v>9536</v>
      </c>
      <c r="B75" s="2004" t="s">
        <v>9662</v>
      </c>
      <c r="C75" s="2004" t="s">
        <v>9085</v>
      </c>
      <c r="D75" s="2004" t="s">
        <v>9275</v>
      </c>
      <c r="E75" s="2004" t="s">
        <v>9276</v>
      </c>
      <c r="F75" s="2004" t="s">
        <v>9663</v>
      </c>
      <c r="G75" s="2004" t="s">
        <v>9664</v>
      </c>
      <c r="H75" s="2004" t="s">
        <v>9665</v>
      </c>
      <c r="I75" s="2004" t="s">
        <v>9666</v>
      </c>
      <c r="J75" s="2004" t="s">
        <v>9230</v>
      </c>
      <c r="K75" s="2004"/>
      <c r="L75" s="2004"/>
      <c r="M75" s="2004"/>
      <c r="N75" s="2004" t="s">
        <v>9290</v>
      </c>
      <c r="O75" s="2004" t="s">
        <v>766</v>
      </c>
      <c r="P75" s="2004" t="s">
        <v>9580</v>
      </c>
      <c r="Q75" s="516">
        <v>0</v>
      </c>
      <c r="R75" s="2004" t="s">
        <v>9202</v>
      </c>
      <c r="S75" s="2004">
        <v>2570</v>
      </c>
      <c r="T75" s="2004">
        <v>2480</v>
      </c>
      <c r="U75" s="2004">
        <v>2395</v>
      </c>
      <c r="V75" s="2004">
        <v>2315</v>
      </c>
      <c r="W75" s="2004">
        <v>2240</v>
      </c>
      <c r="X75" s="2004">
        <v>2170</v>
      </c>
      <c r="Y75" s="2004"/>
      <c r="Z75" s="2004"/>
      <c r="AA75" s="2004"/>
      <c r="AB75" s="2004"/>
      <c r="AC75" s="2004"/>
      <c r="AD75" s="2004"/>
      <c r="AE75" s="2004"/>
      <c r="AF75" s="2004"/>
      <c r="AG75" s="2004"/>
      <c r="AH75" s="2004">
        <v>0</v>
      </c>
      <c r="AI75" s="2004"/>
      <c r="AJ75" s="2004"/>
      <c r="AK75" s="2004"/>
      <c r="AL75" s="2004"/>
      <c r="AM75" s="2004"/>
      <c r="AN75" s="2004"/>
      <c r="AO75" s="2004"/>
      <c r="AP75" s="2004"/>
      <c r="AQ75" s="2004"/>
      <c r="AR75" s="2004"/>
      <c r="AS75" s="2004"/>
      <c r="AT75" s="2004"/>
      <c r="AU75" s="2004"/>
      <c r="AV75" s="2004"/>
      <c r="AW75" s="2004"/>
      <c r="AX75" s="2004"/>
      <c r="AY75" s="2004"/>
      <c r="AZ75" s="2004"/>
      <c r="BA75" s="2004"/>
      <c r="BB75" s="2004"/>
      <c r="BC75" s="2004"/>
      <c r="BD75" s="2004"/>
      <c r="BE75" s="2004"/>
      <c r="BF75" s="2004"/>
      <c r="BG75" s="2004"/>
      <c r="BH75" s="2004"/>
      <c r="BI75" s="2004"/>
      <c r="BJ75" s="2004"/>
      <c r="BK75" s="2004"/>
      <c r="BL75" s="2004"/>
      <c r="BM75" s="2004"/>
      <c r="BN75" s="2004"/>
      <c r="BO75" s="2004"/>
      <c r="BP75" s="516">
        <v>2612</v>
      </c>
      <c r="BQ75" s="691">
        <v>2301</v>
      </c>
      <c r="BR75" s="2004" t="s">
        <v>2337</v>
      </c>
      <c r="BS75" s="2004" t="s">
        <v>9204</v>
      </c>
      <c r="BT75" s="2004">
        <v>0</v>
      </c>
      <c r="BU75" s="2004" t="s">
        <v>9204</v>
      </c>
      <c r="BV75" s="2004">
        <v>0</v>
      </c>
      <c r="BW75" s="2004">
        <v>3096</v>
      </c>
      <c r="BX75" s="2004" t="s">
        <v>2334</v>
      </c>
      <c r="BY75" s="2004">
        <v>0</v>
      </c>
      <c r="BZ75" s="2004">
        <v>0</v>
      </c>
      <c r="CA75" s="2004">
        <v>0</v>
      </c>
      <c r="CB75" s="2004">
        <v>0</v>
      </c>
      <c r="CC75" s="2004">
        <v>2300</v>
      </c>
      <c r="CD75" s="2004" t="s">
        <v>2337</v>
      </c>
      <c r="CE75" s="2004">
        <v>0</v>
      </c>
      <c r="CF75" s="2004">
        <v>0</v>
      </c>
      <c r="CG75" s="2004">
        <v>0</v>
      </c>
      <c r="CH75" s="2004">
        <v>0</v>
      </c>
      <c r="CI75" s="2004">
        <v>1595</v>
      </c>
      <c r="CJ75" s="2004" t="s">
        <v>2337</v>
      </c>
      <c r="CK75" s="2004">
        <v>0</v>
      </c>
      <c r="CL75" s="2004">
        <v>0</v>
      </c>
      <c r="CM75" s="2004">
        <v>0</v>
      </c>
      <c r="CN75" s="2004">
        <v>0</v>
      </c>
      <c r="CP75" s="2004" t="s">
        <v>9667</v>
      </c>
    </row>
    <row r="76" spans="1:94">
      <c r="A76" s="2004" t="s">
        <v>9668</v>
      </c>
      <c r="B76" s="2004" t="s">
        <v>9669</v>
      </c>
      <c r="C76" s="2004" t="s">
        <v>9085</v>
      </c>
      <c r="D76" s="2004" t="s">
        <v>1628</v>
      </c>
      <c r="E76" s="2004" t="s">
        <v>9194</v>
      </c>
      <c r="F76" s="2004" t="s">
        <v>9670</v>
      </c>
      <c r="G76" s="2004" t="s">
        <v>7928</v>
      </c>
      <c r="H76" s="2004" t="s">
        <v>9671</v>
      </c>
      <c r="I76" s="2004" t="s">
        <v>9672</v>
      </c>
      <c r="J76" s="2004" t="s">
        <v>9199</v>
      </c>
      <c r="K76" s="2004" t="s">
        <v>9200</v>
      </c>
      <c r="L76" s="2004"/>
      <c r="M76" s="2004"/>
      <c r="N76" s="2004" t="s">
        <v>9154</v>
      </c>
      <c r="O76" s="2004" t="s">
        <v>766</v>
      </c>
      <c r="P76" s="2004" t="s">
        <v>9246</v>
      </c>
      <c r="Q76" s="516">
        <v>2</v>
      </c>
      <c r="R76" s="2004" t="s">
        <v>9202</v>
      </c>
      <c r="S76" s="2004">
        <v>3.69</v>
      </c>
      <c r="T76" s="2004">
        <v>2.8</v>
      </c>
      <c r="U76" s="2004">
        <v>1.9</v>
      </c>
      <c r="V76" s="2004">
        <v>1.01</v>
      </c>
      <c r="W76" s="2004">
        <v>1.01</v>
      </c>
      <c r="X76" s="2004">
        <v>1.01</v>
      </c>
      <c r="Y76" s="2004"/>
      <c r="Z76" s="2004" t="s">
        <v>2337</v>
      </c>
      <c r="AA76" s="2004"/>
      <c r="AB76" s="2004"/>
      <c r="AC76" s="2004"/>
      <c r="AD76" s="2004"/>
      <c r="AE76" s="2004" t="s">
        <v>2337</v>
      </c>
      <c r="AF76" s="2004"/>
      <c r="AG76" s="2004"/>
      <c r="AH76" s="2004">
        <v>0</v>
      </c>
      <c r="AI76" s="2004" t="s">
        <v>2337</v>
      </c>
      <c r="AJ76" s="2004" t="s">
        <v>2337</v>
      </c>
      <c r="AK76" s="2004" t="s">
        <v>2337</v>
      </c>
      <c r="AL76" s="2004" t="s">
        <v>2337</v>
      </c>
      <c r="AM76" s="2004" t="s">
        <v>2337</v>
      </c>
      <c r="AN76" s="2004">
        <v>4.9400000000000004</v>
      </c>
      <c r="AO76" s="2004">
        <v>4.9400000000000004</v>
      </c>
      <c r="AP76" s="2004">
        <v>4.9400000000000004</v>
      </c>
      <c r="AQ76" s="2004">
        <v>4.9400000000000004</v>
      </c>
      <c r="AR76" s="2004">
        <v>4.9400000000000004</v>
      </c>
      <c r="AS76" s="2004">
        <v>3.69</v>
      </c>
      <c r="AT76" s="2004">
        <v>3.69</v>
      </c>
      <c r="AU76" s="2004">
        <v>1.01</v>
      </c>
      <c r="AV76" s="2004">
        <v>1.01</v>
      </c>
      <c r="AW76" s="2004">
        <v>1.01</v>
      </c>
      <c r="AX76" s="2004">
        <v>1.01</v>
      </c>
      <c r="AY76" s="2004">
        <v>1.01</v>
      </c>
      <c r="AZ76" s="2004">
        <v>1.01</v>
      </c>
      <c r="BA76" s="2004">
        <v>1.01</v>
      </c>
      <c r="BB76" s="2004">
        <v>1.01</v>
      </c>
      <c r="BC76" s="2004">
        <v>0</v>
      </c>
      <c r="BD76" s="2004">
        <v>0</v>
      </c>
      <c r="BE76" s="2004">
        <v>0</v>
      </c>
      <c r="BF76" s="2004">
        <v>0</v>
      </c>
      <c r="BG76" s="2004">
        <v>0</v>
      </c>
      <c r="BH76" s="2004">
        <v>3.0585999999999999E-2</v>
      </c>
      <c r="BI76" s="2004"/>
      <c r="BJ76" s="2004"/>
      <c r="BK76" s="2004"/>
      <c r="BL76" s="2004">
        <v>2.4934000000000001E-2</v>
      </c>
      <c r="BM76" s="2004"/>
      <c r="BN76" s="2004">
        <v>1</v>
      </c>
      <c r="BO76" s="2004" t="s">
        <v>9203</v>
      </c>
      <c r="BP76" s="516">
        <v>2.2799999999999998</v>
      </c>
      <c r="BQ76" s="690">
        <v>1.32</v>
      </c>
      <c r="BR76" s="2004" t="s">
        <v>2337</v>
      </c>
      <c r="BS76" s="2004" t="s">
        <v>9204</v>
      </c>
      <c r="BT76" s="2004">
        <v>0</v>
      </c>
      <c r="BU76" s="2004" t="s">
        <v>9074</v>
      </c>
      <c r="BV76" s="2004">
        <v>0</v>
      </c>
      <c r="BW76" s="2004">
        <v>1.07</v>
      </c>
      <c r="BX76" s="2004" t="s">
        <v>2337</v>
      </c>
      <c r="BY76" s="2004">
        <v>0</v>
      </c>
      <c r="BZ76" s="2004">
        <v>0</v>
      </c>
      <c r="CA76" s="2004" t="s">
        <v>9074</v>
      </c>
      <c r="CB76" s="2004">
        <v>0</v>
      </c>
      <c r="CC76" s="2004">
        <v>0.91</v>
      </c>
      <c r="CD76" s="2004" t="s">
        <v>2337</v>
      </c>
      <c r="CE76" s="2004">
        <v>0</v>
      </c>
      <c r="CF76" s="2004">
        <v>0</v>
      </c>
      <c r="CG76" s="2004" t="s">
        <v>2339</v>
      </c>
      <c r="CH76" s="2004">
        <v>2.5000000000000001E-3</v>
      </c>
      <c r="CI76" s="2004" t="s">
        <v>9204</v>
      </c>
      <c r="CJ76" s="2004" t="s">
        <v>9204</v>
      </c>
      <c r="CK76" s="2004" t="s">
        <v>9204</v>
      </c>
      <c r="CL76" s="2004">
        <v>0</v>
      </c>
      <c r="CM76" s="2004" t="s">
        <v>9204</v>
      </c>
      <c r="CN76" s="2004">
        <v>0</v>
      </c>
      <c r="CP76" s="2004" t="s">
        <v>9673</v>
      </c>
    </row>
    <row r="77" spans="1:94">
      <c r="A77" s="2004" t="s">
        <v>9668</v>
      </c>
      <c r="B77" s="2004" t="s">
        <v>9674</v>
      </c>
      <c r="C77" s="2004" t="s">
        <v>9085</v>
      </c>
      <c r="D77" s="2004" t="s">
        <v>1628</v>
      </c>
      <c r="E77" s="2004" t="s">
        <v>9194</v>
      </c>
      <c r="F77" s="2004" t="s">
        <v>9670</v>
      </c>
      <c r="G77" s="2004" t="s">
        <v>7929</v>
      </c>
      <c r="H77" s="2004" t="s">
        <v>9675</v>
      </c>
      <c r="I77" s="2004" t="s">
        <v>9676</v>
      </c>
      <c r="J77" s="2004" t="s">
        <v>9210</v>
      </c>
      <c r="K77" s="2004" t="s">
        <v>9200</v>
      </c>
      <c r="L77" s="2004"/>
      <c r="M77" s="2004"/>
      <c r="N77" s="2004" t="s">
        <v>9238</v>
      </c>
      <c r="O77" s="2004" t="s">
        <v>734</v>
      </c>
      <c r="P77" s="2004" t="s">
        <v>9239</v>
      </c>
      <c r="Q77" s="516">
        <v>2</v>
      </c>
      <c r="R77" s="2004" t="s">
        <v>9240</v>
      </c>
      <c r="S77" s="2004">
        <v>99.96</v>
      </c>
      <c r="T77" s="2004">
        <v>100</v>
      </c>
      <c r="U77" s="2004">
        <v>100</v>
      </c>
      <c r="V77" s="2004">
        <v>100</v>
      </c>
      <c r="W77" s="2004">
        <v>100</v>
      </c>
      <c r="X77" s="2004">
        <v>100</v>
      </c>
      <c r="Y77" s="2004" t="s">
        <v>2337</v>
      </c>
      <c r="Z77" s="2004"/>
      <c r="AA77" s="2004"/>
      <c r="AB77" s="2004"/>
      <c r="AC77" s="2004"/>
      <c r="AD77" s="2004"/>
      <c r="AE77" s="2004" t="s">
        <v>2337</v>
      </c>
      <c r="AF77" s="2004"/>
      <c r="AG77" s="2004"/>
      <c r="AH77" s="2004">
        <v>0</v>
      </c>
      <c r="AI77" s="2004" t="s">
        <v>2337</v>
      </c>
      <c r="AJ77" s="2004" t="s">
        <v>2337</v>
      </c>
      <c r="AK77" s="2004" t="s">
        <v>2337</v>
      </c>
      <c r="AL77" s="2004" t="s">
        <v>2337</v>
      </c>
      <c r="AM77" s="2004" t="s">
        <v>2337</v>
      </c>
      <c r="AN77" s="2004">
        <v>99.92</v>
      </c>
      <c r="AO77" s="2004">
        <v>99.92</v>
      </c>
      <c r="AP77" s="2004">
        <v>99.94</v>
      </c>
      <c r="AQ77" s="2004">
        <v>99.94</v>
      </c>
      <c r="AR77" s="2004">
        <v>99.94</v>
      </c>
      <c r="AS77" s="2004">
        <v>99.93</v>
      </c>
      <c r="AT77" s="2004">
        <v>99.93</v>
      </c>
      <c r="AU77" s="2004">
        <v>99.95</v>
      </c>
      <c r="AV77" s="2004">
        <v>99.95</v>
      </c>
      <c r="AW77" s="2004">
        <v>99.95</v>
      </c>
      <c r="AX77" s="2004"/>
      <c r="AY77" s="2004"/>
      <c r="AZ77" s="2004"/>
      <c r="BA77" s="2004"/>
      <c r="BB77" s="2004"/>
      <c r="BC77" s="2004"/>
      <c r="BD77" s="2004"/>
      <c r="BE77" s="2004"/>
      <c r="BF77" s="2004"/>
      <c r="BG77" s="2004"/>
      <c r="BH77" s="2004">
        <v>4.7399999999999998E-2</v>
      </c>
      <c r="BI77" s="2004"/>
      <c r="BJ77" s="2004"/>
      <c r="BK77" s="2004"/>
      <c r="BL77" s="2004"/>
      <c r="BM77" s="2004"/>
      <c r="BN77" s="2004">
        <v>1</v>
      </c>
      <c r="BO77" s="2004" t="s">
        <v>9203</v>
      </c>
      <c r="BP77" s="516">
        <v>99.88</v>
      </c>
      <c r="BQ77" s="690">
        <v>99.95</v>
      </c>
      <c r="BR77" s="2004" t="s">
        <v>2334</v>
      </c>
      <c r="BS77" s="2004" t="s">
        <v>9204</v>
      </c>
      <c r="BT77" s="2004">
        <v>0</v>
      </c>
      <c r="BU77" s="2004" t="s">
        <v>9120</v>
      </c>
      <c r="BV77" s="2004">
        <v>0</v>
      </c>
      <c r="BW77" s="2004">
        <v>99.99</v>
      </c>
      <c r="BX77" s="2004" t="s">
        <v>2334</v>
      </c>
      <c r="BY77" s="2004">
        <v>0</v>
      </c>
      <c r="BZ77" s="2004">
        <v>0</v>
      </c>
      <c r="CA77" s="2004" t="s">
        <v>9120</v>
      </c>
      <c r="CB77" s="2004">
        <v>0</v>
      </c>
      <c r="CC77" s="2004">
        <v>99.97</v>
      </c>
      <c r="CD77" s="2004" t="s">
        <v>2334</v>
      </c>
      <c r="CE77" s="2004">
        <v>0</v>
      </c>
      <c r="CF77" s="2004">
        <v>0</v>
      </c>
      <c r="CG77" s="2004" t="s">
        <v>2340</v>
      </c>
      <c r="CH77" s="2004">
        <v>0</v>
      </c>
      <c r="CI77" s="2004" t="s">
        <v>9204</v>
      </c>
      <c r="CJ77" s="2004" t="s">
        <v>9204</v>
      </c>
      <c r="CK77" s="2004" t="s">
        <v>9204</v>
      </c>
      <c r="CL77" s="2004">
        <v>0</v>
      </c>
      <c r="CM77" s="2004" t="s">
        <v>9204</v>
      </c>
      <c r="CN77" s="2004">
        <v>0</v>
      </c>
      <c r="CP77" s="2004" t="s">
        <v>9677</v>
      </c>
    </row>
    <row r="78" spans="1:94">
      <c r="A78" s="2004" t="s">
        <v>9668</v>
      </c>
      <c r="B78" s="2004" t="s">
        <v>9678</v>
      </c>
      <c r="C78" s="2004" t="s">
        <v>9085</v>
      </c>
      <c r="D78" s="2004" t="s">
        <v>1628</v>
      </c>
      <c r="E78" s="2004" t="s">
        <v>9194</v>
      </c>
      <c r="F78" s="2004" t="s">
        <v>9670</v>
      </c>
      <c r="G78" s="2004" t="s">
        <v>8928</v>
      </c>
      <c r="H78" s="2004" t="s">
        <v>9679</v>
      </c>
      <c r="I78" s="2004" t="s">
        <v>9680</v>
      </c>
      <c r="J78" s="2004" t="s">
        <v>9210</v>
      </c>
      <c r="K78" s="2004" t="s">
        <v>9545</v>
      </c>
      <c r="L78" s="2004"/>
      <c r="M78" s="2004" t="s">
        <v>2334</v>
      </c>
      <c r="N78" s="2004" t="s">
        <v>9238</v>
      </c>
      <c r="O78" s="2004" t="s">
        <v>9487</v>
      </c>
      <c r="P78" s="2004" t="s">
        <v>9681</v>
      </c>
      <c r="Q78" s="516" t="s">
        <v>9203</v>
      </c>
      <c r="R78" s="2004"/>
      <c r="S78" s="2004"/>
      <c r="T78" s="2004"/>
      <c r="U78" s="2004"/>
      <c r="V78" s="2004" t="s">
        <v>9682</v>
      </c>
      <c r="W78" s="2004"/>
      <c r="X78" s="2004"/>
      <c r="Y78" s="2004"/>
      <c r="Z78" s="2004"/>
      <c r="AA78" s="2004"/>
      <c r="AB78" s="2004"/>
      <c r="AC78" s="2004"/>
      <c r="AD78" s="2004" t="s">
        <v>2337</v>
      </c>
      <c r="AE78" s="2004" t="s">
        <v>2337</v>
      </c>
      <c r="AF78" s="2004"/>
      <c r="AG78" s="2004"/>
      <c r="AH78" s="2004">
        <v>0</v>
      </c>
      <c r="AI78" s="2004"/>
      <c r="AJ78" s="2004"/>
      <c r="AK78" s="2004" t="s">
        <v>2337</v>
      </c>
      <c r="AL78" s="2004" t="s">
        <v>2337</v>
      </c>
      <c r="AM78" s="2004" t="s">
        <v>2337</v>
      </c>
      <c r="AN78" s="2004"/>
      <c r="AO78" s="2004"/>
      <c r="AP78" s="2004"/>
      <c r="AQ78" s="2004"/>
      <c r="AR78" s="2004"/>
      <c r="AS78" s="2004"/>
      <c r="AT78" s="2004"/>
      <c r="AU78" s="2004"/>
      <c r="AV78" s="2004"/>
      <c r="AW78" s="2004"/>
      <c r="AX78" s="2004"/>
      <c r="AY78" s="2004"/>
      <c r="AZ78" s="2004"/>
      <c r="BA78" s="2004"/>
      <c r="BB78" s="2004"/>
      <c r="BC78" s="2004"/>
      <c r="BD78" s="2004"/>
      <c r="BE78" s="2004"/>
      <c r="BF78" s="2004"/>
      <c r="BG78" s="2004"/>
      <c r="BH78" s="2004">
        <v>0.51</v>
      </c>
      <c r="BI78" s="2004">
        <v>19</v>
      </c>
      <c r="BJ78" s="2004"/>
      <c r="BK78" s="2004"/>
      <c r="BL78" s="2004"/>
      <c r="BM78" s="2004"/>
      <c r="BN78" s="2004">
        <v>1</v>
      </c>
      <c r="BO78" s="2004" t="s">
        <v>9203</v>
      </c>
      <c r="BP78" s="516" t="s">
        <v>4140</v>
      </c>
      <c r="BQ78" s="688" t="s">
        <v>9683</v>
      </c>
      <c r="BR78" s="2004" t="s">
        <v>9204</v>
      </c>
      <c r="BS78" s="2004" t="s">
        <v>9204</v>
      </c>
      <c r="BT78" s="2004">
        <v>0</v>
      </c>
      <c r="BU78" s="2004" t="s">
        <v>9204</v>
      </c>
      <c r="BV78" s="2004">
        <v>0</v>
      </c>
      <c r="BW78" s="2004" t="s">
        <v>9683</v>
      </c>
      <c r="BX78" s="2004" t="s">
        <v>2337</v>
      </c>
      <c r="BY78" s="2004">
        <v>0</v>
      </c>
      <c r="BZ78" s="2004">
        <v>0</v>
      </c>
      <c r="CA78" s="2004">
        <v>0</v>
      </c>
      <c r="CB78" s="2004">
        <v>0</v>
      </c>
      <c r="CC78" s="2004" t="s">
        <v>9682</v>
      </c>
      <c r="CD78" s="2004" t="s">
        <v>2337</v>
      </c>
      <c r="CE78" s="2004">
        <v>0</v>
      </c>
      <c r="CF78" s="2004">
        <v>0</v>
      </c>
      <c r="CG78" s="2004">
        <v>0</v>
      </c>
      <c r="CH78" s="2004">
        <v>0</v>
      </c>
      <c r="CI78" s="2004" t="s">
        <v>9204</v>
      </c>
      <c r="CJ78" s="2004" t="s">
        <v>9204</v>
      </c>
      <c r="CK78" s="2004" t="s">
        <v>9204</v>
      </c>
      <c r="CL78" s="2004">
        <v>0</v>
      </c>
      <c r="CM78" s="2004" t="s">
        <v>9204</v>
      </c>
      <c r="CN78" s="2004">
        <v>0</v>
      </c>
      <c r="CP78" s="2004" t="s">
        <v>9684</v>
      </c>
    </row>
    <row r="79" spans="1:94">
      <c r="A79" s="2004" t="s">
        <v>9668</v>
      </c>
      <c r="B79" s="2004" t="s">
        <v>9685</v>
      </c>
      <c r="C79" s="2004" t="s">
        <v>9085</v>
      </c>
      <c r="D79" s="2004" t="s">
        <v>1628</v>
      </c>
      <c r="E79" s="2004" t="s">
        <v>9194</v>
      </c>
      <c r="F79" s="2004" t="s">
        <v>9670</v>
      </c>
      <c r="G79" s="2004" t="s">
        <v>8931</v>
      </c>
      <c r="H79" s="2004" t="s">
        <v>9686</v>
      </c>
      <c r="I79" s="2004" t="s">
        <v>9687</v>
      </c>
      <c r="J79" s="2004" t="s">
        <v>9210</v>
      </c>
      <c r="K79" s="2004" t="s">
        <v>9545</v>
      </c>
      <c r="L79" s="2004"/>
      <c r="M79" s="2004" t="s">
        <v>2334</v>
      </c>
      <c r="N79" s="2004" t="s">
        <v>9238</v>
      </c>
      <c r="O79" s="2004" t="s">
        <v>9487</v>
      </c>
      <c r="P79" s="2004" t="s">
        <v>9688</v>
      </c>
      <c r="Q79" s="516" t="s">
        <v>9203</v>
      </c>
      <c r="R79" s="2004"/>
      <c r="S79" s="2004"/>
      <c r="T79" s="2004"/>
      <c r="U79" s="2004"/>
      <c r="V79" s="2004"/>
      <c r="W79" s="2004" t="s">
        <v>9689</v>
      </c>
      <c r="X79" s="2004" t="s">
        <v>9690</v>
      </c>
      <c r="Y79" s="2004"/>
      <c r="Z79" s="2004"/>
      <c r="AA79" s="2004"/>
      <c r="AB79" s="2004"/>
      <c r="AC79" s="2004"/>
      <c r="AD79" s="2004" t="s">
        <v>2337</v>
      </c>
      <c r="AE79" s="2004" t="s">
        <v>2337</v>
      </c>
      <c r="AF79" s="2004"/>
      <c r="AG79" s="2004"/>
      <c r="AH79" s="2004">
        <v>0</v>
      </c>
      <c r="AI79" s="2004"/>
      <c r="AJ79" s="2004"/>
      <c r="AK79" s="2004"/>
      <c r="AL79" s="2004" t="s">
        <v>2337</v>
      </c>
      <c r="AM79" s="2004" t="s">
        <v>2337</v>
      </c>
      <c r="AN79" s="2004"/>
      <c r="AO79" s="2004"/>
      <c r="AP79" s="2004"/>
      <c r="AQ79" s="2004"/>
      <c r="AR79" s="2004"/>
      <c r="AS79" s="2004"/>
      <c r="AT79" s="2004"/>
      <c r="AU79" s="2004"/>
      <c r="AV79" s="2004"/>
      <c r="AW79" s="2004"/>
      <c r="AX79" s="2004"/>
      <c r="AY79" s="2004"/>
      <c r="AZ79" s="2004"/>
      <c r="BA79" s="2004"/>
      <c r="BB79" s="2004"/>
      <c r="BC79" s="2004"/>
      <c r="BD79" s="2004"/>
      <c r="BE79" s="2004"/>
      <c r="BF79" s="2004"/>
      <c r="BG79" s="2004"/>
      <c r="BH79" s="2004">
        <v>1</v>
      </c>
      <c r="BI79" s="2004">
        <v>1</v>
      </c>
      <c r="BJ79" s="2004">
        <v>5.5</v>
      </c>
      <c r="BK79" s="2004">
        <v>1.5</v>
      </c>
      <c r="BL79" s="2004"/>
      <c r="BM79" s="2004"/>
      <c r="BN79" s="2004">
        <v>1</v>
      </c>
      <c r="BO79" s="2004" t="s">
        <v>9203</v>
      </c>
      <c r="BP79" s="516" t="s">
        <v>4140</v>
      </c>
      <c r="BQ79" s="688" t="s">
        <v>9683</v>
      </c>
      <c r="BR79" s="2004" t="s">
        <v>9204</v>
      </c>
      <c r="BS79" s="2004" t="s">
        <v>9204</v>
      </c>
      <c r="BT79" s="2004">
        <v>0</v>
      </c>
      <c r="BU79" s="2004" t="s">
        <v>9204</v>
      </c>
      <c r="BV79" s="2004">
        <v>0</v>
      </c>
      <c r="BW79" s="2004" t="s">
        <v>9683</v>
      </c>
      <c r="BX79" s="2004" t="s">
        <v>2337</v>
      </c>
      <c r="BY79" s="2004">
        <v>0</v>
      </c>
      <c r="BZ79" s="2004">
        <v>0</v>
      </c>
      <c r="CA79" s="2004">
        <v>0</v>
      </c>
      <c r="CB79" s="2004">
        <v>0</v>
      </c>
      <c r="CC79" s="2004" t="s">
        <v>9683</v>
      </c>
      <c r="CD79" s="2004" t="s">
        <v>2335</v>
      </c>
      <c r="CE79" s="2004">
        <v>0</v>
      </c>
      <c r="CF79" s="2004">
        <v>0</v>
      </c>
      <c r="CG79" s="2004">
        <v>0</v>
      </c>
      <c r="CH79" s="2004">
        <v>0</v>
      </c>
      <c r="CI79" s="2004" t="s">
        <v>9204</v>
      </c>
      <c r="CJ79" s="2004" t="s">
        <v>9204</v>
      </c>
      <c r="CK79" s="2004" t="s">
        <v>9204</v>
      </c>
      <c r="CL79" s="2004">
        <v>0</v>
      </c>
      <c r="CM79" s="2004" t="s">
        <v>9204</v>
      </c>
      <c r="CN79" s="2004">
        <v>0</v>
      </c>
      <c r="CP79" s="2004" t="s">
        <v>9691</v>
      </c>
    </row>
    <row r="80" spans="1:94">
      <c r="A80" s="2004" t="s">
        <v>9668</v>
      </c>
      <c r="B80" s="2004" t="s">
        <v>9692</v>
      </c>
      <c r="C80" s="2004" t="s">
        <v>9085</v>
      </c>
      <c r="D80" s="2004" t="s">
        <v>1628</v>
      </c>
      <c r="E80" s="2004" t="s">
        <v>9194</v>
      </c>
      <c r="F80" s="2004" t="s">
        <v>9693</v>
      </c>
      <c r="G80" s="2004" t="s">
        <v>7930</v>
      </c>
      <c r="H80" s="2004" t="s">
        <v>9694</v>
      </c>
      <c r="I80" s="2004" t="s">
        <v>9695</v>
      </c>
      <c r="J80" s="2004" t="s">
        <v>9199</v>
      </c>
      <c r="K80" s="2004" t="s">
        <v>9200</v>
      </c>
      <c r="L80" s="2004"/>
      <c r="M80" s="2004"/>
      <c r="N80" s="2004" t="s">
        <v>2951</v>
      </c>
      <c r="O80" s="2004" t="s">
        <v>9298</v>
      </c>
      <c r="P80" s="2004" t="s">
        <v>9696</v>
      </c>
      <c r="Q80" s="516">
        <v>2</v>
      </c>
      <c r="R80" s="2004" t="s">
        <v>9202</v>
      </c>
      <c r="S80" s="2004">
        <v>0.33</v>
      </c>
      <c r="T80" s="2004">
        <v>0.28999999999999998</v>
      </c>
      <c r="U80" s="2004">
        <v>0.24</v>
      </c>
      <c r="V80" s="2004">
        <v>0.2</v>
      </c>
      <c r="W80" s="2004">
        <v>0.2</v>
      </c>
      <c r="X80" s="2004">
        <v>0.2</v>
      </c>
      <c r="Y80" s="2004"/>
      <c r="Z80" s="2004"/>
      <c r="AA80" s="2004" t="s">
        <v>2337</v>
      </c>
      <c r="AB80" s="2004"/>
      <c r="AC80" s="2004"/>
      <c r="AD80" s="2004"/>
      <c r="AE80" s="2004" t="s">
        <v>2337</v>
      </c>
      <c r="AF80" s="2004"/>
      <c r="AG80" s="2004"/>
      <c r="AH80" s="2004">
        <v>0</v>
      </c>
      <c r="AI80" s="2004" t="s">
        <v>2337</v>
      </c>
      <c r="AJ80" s="2004" t="s">
        <v>2337</v>
      </c>
      <c r="AK80" s="2004" t="s">
        <v>2337</v>
      </c>
      <c r="AL80" s="2004" t="s">
        <v>2337</v>
      </c>
      <c r="AM80" s="2004" t="s">
        <v>2337</v>
      </c>
      <c r="AN80" s="2004">
        <v>0.53</v>
      </c>
      <c r="AO80" s="2004">
        <v>0.53</v>
      </c>
      <c r="AP80" s="2004">
        <v>0.4</v>
      </c>
      <c r="AQ80" s="2004">
        <v>0.4</v>
      </c>
      <c r="AR80" s="2004">
        <v>0.4</v>
      </c>
      <c r="AS80" s="2004">
        <v>0.33</v>
      </c>
      <c r="AT80" s="2004">
        <v>0.33</v>
      </c>
      <c r="AU80" s="2004">
        <v>0.2</v>
      </c>
      <c r="AV80" s="2004">
        <v>0.2</v>
      </c>
      <c r="AW80" s="2004">
        <v>0.2</v>
      </c>
      <c r="AX80" s="2004">
        <v>0.2</v>
      </c>
      <c r="AY80" s="2004">
        <v>0.2</v>
      </c>
      <c r="AZ80" s="2004">
        <v>0.2</v>
      </c>
      <c r="BA80" s="2004">
        <v>0.2</v>
      </c>
      <c r="BB80" s="2004">
        <v>0.2</v>
      </c>
      <c r="BC80" s="2004">
        <v>0.1</v>
      </c>
      <c r="BD80" s="2004">
        <v>0.1</v>
      </c>
      <c r="BE80" s="2004">
        <v>0.1</v>
      </c>
      <c r="BF80" s="2004">
        <v>0.1</v>
      </c>
      <c r="BG80" s="2004">
        <v>0.1</v>
      </c>
      <c r="BH80" s="2004">
        <v>4.1783599999999999E-3</v>
      </c>
      <c r="BI80" s="2004"/>
      <c r="BJ80" s="2004"/>
      <c r="BK80" s="2004"/>
      <c r="BL80" s="2004">
        <v>2.0870400000000001E-3</v>
      </c>
      <c r="BM80" s="2004"/>
      <c r="BN80" s="2004">
        <v>100</v>
      </c>
      <c r="BO80" s="2004" t="s">
        <v>9697</v>
      </c>
      <c r="BP80" s="516">
        <v>0.17</v>
      </c>
      <c r="BQ80" s="690">
        <v>8.6999999999999994E-2</v>
      </c>
      <c r="BR80" s="2004" t="s">
        <v>2337</v>
      </c>
      <c r="BS80" s="2004" t="s">
        <v>9204</v>
      </c>
      <c r="BT80" s="2004">
        <v>0</v>
      </c>
      <c r="BU80" s="2004" t="s">
        <v>2339</v>
      </c>
      <c r="BV80" s="2004">
        <v>2.0870400000000001E-2</v>
      </c>
      <c r="BW80" s="2004">
        <v>0.35</v>
      </c>
      <c r="BX80" s="2004" t="s">
        <v>2334</v>
      </c>
      <c r="BY80" s="2004">
        <v>0</v>
      </c>
      <c r="BZ80" s="2004">
        <v>0</v>
      </c>
      <c r="CA80" s="2004" t="s">
        <v>9254</v>
      </c>
      <c r="CB80" s="2004">
        <v>-8.3567199999999998E-3</v>
      </c>
      <c r="CC80" s="2004">
        <v>7.0000000000000007E-2</v>
      </c>
      <c r="CD80" s="2004" t="s">
        <v>2337</v>
      </c>
      <c r="CE80" s="2004">
        <v>0</v>
      </c>
      <c r="CF80" s="2004">
        <v>0</v>
      </c>
      <c r="CG80" s="2004" t="s">
        <v>2339</v>
      </c>
      <c r="CH80" s="2004">
        <v>2.0899999999999998E-2</v>
      </c>
      <c r="CI80" s="2004" t="s">
        <v>9204</v>
      </c>
      <c r="CJ80" s="2004" t="s">
        <v>9204</v>
      </c>
      <c r="CK80" s="2004" t="s">
        <v>9204</v>
      </c>
      <c r="CL80" s="2004">
        <v>0</v>
      </c>
      <c r="CM80" s="2004" t="s">
        <v>9204</v>
      </c>
      <c r="CN80" s="2004">
        <v>0</v>
      </c>
      <c r="CP80" s="2004" t="s">
        <v>9698</v>
      </c>
    </row>
    <row r="81" spans="1:94">
      <c r="A81" s="2004" t="s">
        <v>9668</v>
      </c>
      <c r="B81" s="2004" t="s">
        <v>9699</v>
      </c>
      <c r="C81" s="2004" t="s">
        <v>9085</v>
      </c>
      <c r="D81" s="2004" t="s">
        <v>1628</v>
      </c>
      <c r="E81" s="2004" t="s">
        <v>9194</v>
      </c>
      <c r="F81" s="2004" t="s">
        <v>9693</v>
      </c>
      <c r="G81" s="2004" t="s">
        <v>7931</v>
      </c>
      <c r="H81" s="2004" t="s">
        <v>9700</v>
      </c>
      <c r="I81" s="2004" t="s">
        <v>9701</v>
      </c>
      <c r="J81" s="2004" t="s">
        <v>9199</v>
      </c>
      <c r="K81" s="2004" t="s">
        <v>9200</v>
      </c>
      <c r="L81" s="2004"/>
      <c r="M81" s="2004"/>
      <c r="N81" s="2004" t="s">
        <v>2927</v>
      </c>
      <c r="O81" s="2004" t="s">
        <v>766</v>
      </c>
      <c r="P81" s="2004" t="s">
        <v>9702</v>
      </c>
      <c r="Q81" s="516">
        <v>1</v>
      </c>
      <c r="R81" s="2004" t="s">
        <v>9202</v>
      </c>
      <c r="S81" s="2004">
        <v>90.8</v>
      </c>
      <c r="T81" s="2004">
        <v>90.8</v>
      </c>
      <c r="U81" s="2004">
        <v>90.8</v>
      </c>
      <c r="V81" s="2004">
        <v>90.8</v>
      </c>
      <c r="W81" s="2004">
        <v>90.8</v>
      </c>
      <c r="X81" s="2004">
        <v>90.8</v>
      </c>
      <c r="Y81" s="2004"/>
      <c r="Z81" s="2004"/>
      <c r="AA81" s="2004"/>
      <c r="AB81" s="2004"/>
      <c r="AC81" s="2004"/>
      <c r="AD81" s="2004"/>
      <c r="AE81" s="2004" t="s">
        <v>2337</v>
      </c>
      <c r="AF81" s="2004"/>
      <c r="AG81" s="2004"/>
      <c r="AH81" s="2004">
        <v>0</v>
      </c>
      <c r="AI81" s="2004" t="s">
        <v>2337</v>
      </c>
      <c r="AJ81" s="2004" t="s">
        <v>2337</v>
      </c>
      <c r="AK81" s="2004" t="s">
        <v>2337</v>
      </c>
      <c r="AL81" s="2004" t="s">
        <v>2337</v>
      </c>
      <c r="AM81" s="2004" t="s">
        <v>2337</v>
      </c>
      <c r="AN81" s="2004">
        <v>121.6</v>
      </c>
      <c r="AO81" s="2004">
        <v>121.6</v>
      </c>
      <c r="AP81" s="2004">
        <v>121.6</v>
      </c>
      <c r="AQ81" s="2004">
        <v>121.6</v>
      </c>
      <c r="AR81" s="2004">
        <v>121.6</v>
      </c>
      <c r="AS81" s="2004">
        <v>90.8</v>
      </c>
      <c r="AT81" s="2004">
        <v>90.8</v>
      </c>
      <c r="AU81" s="2004">
        <v>90.8</v>
      </c>
      <c r="AV81" s="2004">
        <v>90.8</v>
      </c>
      <c r="AW81" s="2004">
        <v>90.8</v>
      </c>
      <c r="AX81" s="2004">
        <v>76.099999999999994</v>
      </c>
      <c r="AY81" s="2004">
        <v>76.099999999999994</v>
      </c>
      <c r="AZ81" s="2004">
        <v>76.099999999999994</v>
      </c>
      <c r="BA81" s="2004">
        <v>76.099999999999994</v>
      </c>
      <c r="BB81" s="2004">
        <v>76.099999999999994</v>
      </c>
      <c r="BC81" s="2004">
        <v>60</v>
      </c>
      <c r="BD81" s="2004">
        <v>60</v>
      </c>
      <c r="BE81" s="2004">
        <v>60</v>
      </c>
      <c r="BF81" s="2004">
        <v>60</v>
      </c>
      <c r="BG81" s="2004">
        <v>60</v>
      </c>
      <c r="BH81" s="2004">
        <v>5.1504300000000001E-3</v>
      </c>
      <c r="BI81" s="2004"/>
      <c r="BJ81" s="2004"/>
      <c r="BK81" s="2004"/>
      <c r="BL81" s="2004">
        <v>1.9763799999999998E-3</v>
      </c>
      <c r="BM81" s="2004"/>
      <c r="BN81" s="2004">
        <v>1</v>
      </c>
      <c r="BO81" s="2004" t="s">
        <v>9203</v>
      </c>
      <c r="BP81" s="516">
        <v>77.89</v>
      </c>
      <c r="BQ81" s="686">
        <v>78.400000000000006</v>
      </c>
      <c r="BR81" s="2004" t="s">
        <v>2337</v>
      </c>
      <c r="BS81" s="2004" t="s">
        <v>9204</v>
      </c>
      <c r="BT81" s="2004">
        <v>0</v>
      </c>
      <c r="BU81" s="2004" t="s">
        <v>9074</v>
      </c>
      <c r="BV81" s="2004">
        <v>0</v>
      </c>
      <c r="BW81" s="2004">
        <v>88.96</v>
      </c>
      <c r="BX81" s="2004" t="s">
        <v>2337</v>
      </c>
      <c r="BY81" s="2004">
        <v>0</v>
      </c>
      <c r="BZ81" s="2004">
        <v>0</v>
      </c>
      <c r="CA81" s="2004" t="s">
        <v>9074</v>
      </c>
      <c r="CB81" s="2004">
        <v>0</v>
      </c>
      <c r="CC81" s="2004">
        <v>92.5</v>
      </c>
      <c r="CD81" s="2004" t="s">
        <v>2334</v>
      </c>
      <c r="CE81" s="2004">
        <v>0</v>
      </c>
      <c r="CF81" s="2004">
        <v>0</v>
      </c>
      <c r="CG81" s="2004" t="s">
        <v>2336</v>
      </c>
      <c r="CH81" s="2004">
        <v>-8.7550000000000006E-3</v>
      </c>
      <c r="CI81" s="2004" t="s">
        <v>9204</v>
      </c>
      <c r="CJ81" s="2004" t="s">
        <v>9204</v>
      </c>
      <c r="CK81" s="2004" t="s">
        <v>9204</v>
      </c>
      <c r="CL81" s="2004">
        <v>0</v>
      </c>
      <c r="CM81" s="2004" t="s">
        <v>9204</v>
      </c>
      <c r="CN81" s="2004">
        <v>0</v>
      </c>
      <c r="CP81" s="2004" t="s">
        <v>9703</v>
      </c>
    </row>
    <row r="82" spans="1:94">
      <c r="A82" s="2004" t="s">
        <v>9668</v>
      </c>
      <c r="B82" s="2004" t="s">
        <v>9704</v>
      </c>
      <c r="C82" s="2004" t="s">
        <v>9085</v>
      </c>
      <c r="D82" s="2004" t="s">
        <v>1628</v>
      </c>
      <c r="E82" s="2004" t="s">
        <v>9194</v>
      </c>
      <c r="F82" s="2004" t="s">
        <v>9693</v>
      </c>
      <c r="G82" s="2004" t="s">
        <v>3020</v>
      </c>
      <c r="H82" s="2004" t="s">
        <v>9705</v>
      </c>
      <c r="I82" s="2004" t="s">
        <v>9706</v>
      </c>
      <c r="J82" s="2004" t="s">
        <v>9230</v>
      </c>
      <c r="K82" s="2004"/>
      <c r="L82" s="2004"/>
      <c r="M82" s="2004"/>
      <c r="N82" s="2004" t="s">
        <v>9218</v>
      </c>
      <c r="O82" s="2004" t="s">
        <v>9282</v>
      </c>
      <c r="P82" s="2004" t="s">
        <v>9334</v>
      </c>
      <c r="Q82" s="516">
        <v>0</v>
      </c>
      <c r="R82" s="2004" t="s">
        <v>9240</v>
      </c>
      <c r="S82" s="2004">
        <v>100</v>
      </c>
      <c r="T82" s="2004">
        <v>100</v>
      </c>
      <c r="U82" s="2004">
        <v>100</v>
      </c>
      <c r="V82" s="2004">
        <v>100</v>
      </c>
      <c r="W82" s="2004">
        <v>100</v>
      </c>
      <c r="X82" s="2004">
        <v>100</v>
      </c>
      <c r="Y82" s="2004"/>
      <c r="Z82" s="2004"/>
      <c r="AA82" s="2004"/>
      <c r="AB82" s="2004"/>
      <c r="AC82" s="2004"/>
      <c r="AD82" s="2004"/>
      <c r="AE82" s="2004"/>
      <c r="AF82" s="2004"/>
      <c r="AG82" s="2004"/>
      <c r="AH82" s="2004">
        <v>0</v>
      </c>
      <c r="AI82" s="2004"/>
      <c r="AJ82" s="2004"/>
      <c r="AK82" s="2004"/>
      <c r="AL82" s="2004"/>
      <c r="AM82" s="2004"/>
      <c r="AN82" s="2004"/>
      <c r="AO82" s="2004"/>
      <c r="AP82" s="2004"/>
      <c r="AQ82" s="2004"/>
      <c r="AR82" s="2004"/>
      <c r="AS82" s="2004"/>
      <c r="AT82" s="2004"/>
      <c r="AU82" s="2004"/>
      <c r="AV82" s="2004"/>
      <c r="AW82" s="2004"/>
      <c r="AX82" s="2004"/>
      <c r="AY82" s="2004"/>
      <c r="AZ82" s="2004"/>
      <c r="BA82" s="2004"/>
      <c r="BB82" s="2004"/>
      <c r="BC82" s="2004"/>
      <c r="BD82" s="2004"/>
      <c r="BE82" s="2004"/>
      <c r="BF82" s="2004"/>
      <c r="BG82" s="2004"/>
      <c r="BH82" s="2004"/>
      <c r="BI82" s="2004"/>
      <c r="BJ82" s="2004"/>
      <c r="BK82" s="2004"/>
      <c r="BL82" s="2004"/>
      <c r="BM82" s="2004"/>
      <c r="BN82" s="2004"/>
      <c r="BO82" s="2004"/>
      <c r="BP82" s="516">
        <v>100</v>
      </c>
      <c r="BQ82" s="689">
        <v>100</v>
      </c>
      <c r="BR82" s="2004" t="s">
        <v>2337</v>
      </c>
      <c r="BS82" s="2004" t="s">
        <v>9204</v>
      </c>
      <c r="BT82" s="2004">
        <v>0</v>
      </c>
      <c r="BU82" s="2004" t="s">
        <v>9204</v>
      </c>
      <c r="BV82" s="2004">
        <v>0</v>
      </c>
      <c r="BW82" s="2004">
        <v>100</v>
      </c>
      <c r="BX82" s="2004" t="s">
        <v>2337</v>
      </c>
      <c r="BY82" s="2004">
        <v>0</v>
      </c>
      <c r="BZ82" s="2004">
        <v>0</v>
      </c>
      <c r="CA82" s="2004">
        <v>0</v>
      </c>
      <c r="CB82" s="2004">
        <v>0</v>
      </c>
      <c r="CC82" s="2004">
        <v>100</v>
      </c>
      <c r="CD82" s="2004" t="s">
        <v>2337</v>
      </c>
      <c r="CE82" s="2004">
        <v>0</v>
      </c>
      <c r="CF82" s="2004">
        <v>0</v>
      </c>
      <c r="CG82" s="2004">
        <v>0</v>
      </c>
      <c r="CH82" s="2004">
        <v>0</v>
      </c>
      <c r="CI82" s="2004" t="s">
        <v>9204</v>
      </c>
      <c r="CJ82" s="2004" t="s">
        <v>9204</v>
      </c>
      <c r="CK82" s="2004" t="s">
        <v>9204</v>
      </c>
      <c r="CL82" s="2004">
        <v>0</v>
      </c>
      <c r="CM82" s="2004" t="s">
        <v>9204</v>
      </c>
      <c r="CN82" s="2004">
        <v>0</v>
      </c>
      <c r="CP82" s="2004" t="s">
        <v>9707</v>
      </c>
    </row>
    <row r="83" spans="1:94">
      <c r="A83" s="2004" t="s">
        <v>9668</v>
      </c>
      <c r="B83" s="2004" t="s">
        <v>9708</v>
      </c>
      <c r="C83" s="2004" t="s">
        <v>9085</v>
      </c>
      <c r="D83" s="2004" t="s">
        <v>1628</v>
      </c>
      <c r="E83" s="2004" t="s">
        <v>9194</v>
      </c>
      <c r="F83" s="2004" t="s">
        <v>9693</v>
      </c>
      <c r="G83" s="2004" t="s">
        <v>9709</v>
      </c>
      <c r="H83" s="2004" t="s">
        <v>9710</v>
      </c>
      <c r="I83" s="2004" t="s">
        <v>9711</v>
      </c>
      <c r="J83" s="2004" t="s">
        <v>9199</v>
      </c>
      <c r="K83" s="2004" t="s">
        <v>9200</v>
      </c>
      <c r="L83" s="2004"/>
      <c r="M83" s="2004"/>
      <c r="N83" s="2004" t="s">
        <v>9260</v>
      </c>
      <c r="O83" s="2004" t="s">
        <v>766</v>
      </c>
      <c r="P83" s="2004" t="s">
        <v>9261</v>
      </c>
      <c r="Q83" s="516">
        <v>0</v>
      </c>
      <c r="R83" s="2004" t="s">
        <v>9202</v>
      </c>
      <c r="S83" s="2004">
        <v>211</v>
      </c>
      <c r="T83" s="2004">
        <v>246</v>
      </c>
      <c r="U83" s="2004">
        <v>234</v>
      </c>
      <c r="V83" s="2004">
        <v>222</v>
      </c>
      <c r="W83" s="2004">
        <v>222</v>
      </c>
      <c r="X83" s="2004">
        <v>222</v>
      </c>
      <c r="Y83" s="2004"/>
      <c r="Z83" s="2004"/>
      <c r="AA83" s="2004"/>
      <c r="AB83" s="2004"/>
      <c r="AC83" s="2004"/>
      <c r="AD83" s="2004"/>
      <c r="AE83" s="2004" t="s">
        <v>2337</v>
      </c>
      <c r="AF83" s="2004"/>
      <c r="AG83" s="2004"/>
      <c r="AH83" s="2004">
        <v>0</v>
      </c>
      <c r="AI83" s="2004" t="s">
        <v>2337</v>
      </c>
      <c r="AJ83" s="2004" t="s">
        <v>2337</v>
      </c>
      <c r="AK83" s="2004" t="s">
        <v>2337</v>
      </c>
      <c r="AL83" s="2004" t="s">
        <v>2337</v>
      </c>
      <c r="AM83" s="2004" t="s">
        <v>2337</v>
      </c>
      <c r="AN83" s="2004">
        <v>538</v>
      </c>
      <c r="AO83" s="2004">
        <v>526</v>
      </c>
      <c r="AP83" s="2004">
        <v>514</v>
      </c>
      <c r="AQ83" s="2004">
        <v>514</v>
      </c>
      <c r="AR83" s="2004">
        <v>514</v>
      </c>
      <c r="AS83" s="2004">
        <v>316</v>
      </c>
      <c r="AT83" s="2004">
        <v>304</v>
      </c>
      <c r="AU83" s="2004">
        <v>292</v>
      </c>
      <c r="AV83" s="2004">
        <v>292</v>
      </c>
      <c r="AW83" s="2004">
        <v>292</v>
      </c>
      <c r="AX83" s="2004">
        <v>176</v>
      </c>
      <c r="AY83" s="2004">
        <v>164</v>
      </c>
      <c r="AZ83" s="2004">
        <v>152</v>
      </c>
      <c r="BA83" s="2004">
        <v>152</v>
      </c>
      <c r="BB83" s="2004">
        <v>152</v>
      </c>
      <c r="BC83" s="2004">
        <v>154</v>
      </c>
      <c r="BD83" s="2004">
        <v>142</v>
      </c>
      <c r="BE83" s="2004">
        <v>130</v>
      </c>
      <c r="BF83" s="2004">
        <v>130</v>
      </c>
      <c r="BG83" s="2004">
        <v>130</v>
      </c>
      <c r="BH83" s="2004">
        <v>1.3013600000000001E-3</v>
      </c>
      <c r="BI83" s="2004"/>
      <c r="BJ83" s="2004"/>
      <c r="BK83" s="2004"/>
      <c r="BL83" s="2004">
        <v>6.5068000000000005E-4</v>
      </c>
      <c r="BM83" s="2004"/>
      <c r="BN83" s="2004">
        <v>1</v>
      </c>
      <c r="BO83" s="2004" t="s">
        <v>9203</v>
      </c>
      <c r="BP83" s="516">
        <v>247</v>
      </c>
      <c r="BQ83" s="689">
        <v>169</v>
      </c>
      <c r="BR83" s="2004" t="s">
        <v>2337</v>
      </c>
      <c r="BS83" s="2004" t="s">
        <v>9204</v>
      </c>
      <c r="BT83" s="2004">
        <v>0</v>
      </c>
      <c r="BU83" s="2004" t="s">
        <v>2339</v>
      </c>
      <c r="BV83" s="2004">
        <v>4.5547599999999997E-3</v>
      </c>
      <c r="BW83" s="2004">
        <v>209</v>
      </c>
      <c r="BX83" s="2004" t="s">
        <v>2337</v>
      </c>
      <c r="BY83" s="2004">
        <v>0</v>
      </c>
      <c r="BZ83" s="2004">
        <v>0</v>
      </c>
      <c r="CA83" s="2004" t="s">
        <v>9074</v>
      </c>
      <c r="CB83" s="2004">
        <v>0</v>
      </c>
      <c r="CC83" s="2004">
        <v>243</v>
      </c>
      <c r="CD83" s="2004" t="s">
        <v>2334</v>
      </c>
      <c r="CE83" s="2004">
        <v>0</v>
      </c>
      <c r="CF83" s="2004">
        <v>0</v>
      </c>
      <c r="CG83" s="2004" t="s">
        <v>2340</v>
      </c>
      <c r="CH83" s="2004">
        <v>0</v>
      </c>
      <c r="CI83" s="2004" t="s">
        <v>9204</v>
      </c>
      <c r="CJ83" s="2004" t="s">
        <v>9204</v>
      </c>
      <c r="CK83" s="2004" t="s">
        <v>9204</v>
      </c>
      <c r="CL83" s="2004">
        <v>0</v>
      </c>
      <c r="CM83" s="2004" t="s">
        <v>9204</v>
      </c>
      <c r="CN83" s="2004">
        <v>0</v>
      </c>
      <c r="CP83" s="2004" t="s">
        <v>9712</v>
      </c>
    </row>
    <row r="84" spans="1:94">
      <c r="A84" s="2004" t="s">
        <v>9668</v>
      </c>
      <c r="B84" s="2004" t="s">
        <v>9713</v>
      </c>
      <c r="C84" s="2004" t="s">
        <v>9085</v>
      </c>
      <c r="D84" s="2004" t="s">
        <v>1628</v>
      </c>
      <c r="E84" s="2004" t="s">
        <v>9194</v>
      </c>
      <c r="F84" s="2004" t="s">
        <v>9714</v>
      </c>
      <c r="G84" s="2004" t="s">
        <v>8948</v>
      </c>
      <c r="H84" s="2004" t="s">
        <v>9715</v>
      </c>
      <c r="I84" s="2004" t="s">
        <v>9716</v>
      </c>
      <c r="J84" s="2004" t="s">
        <v>9230</v>
      </c>
      <c r="K84" s="2004"/>
      <c r="L84" s="2004"/>
      <c r="M84" s="2004"/>
      <c r="N84" s="2004" t="s">
        <v>9372</v>
      </c>
      <c r="O84" s="2004" t="s">
        <v>766</v>
      </c>
      <c r="P84" s="2004" t="s">
        <v>9717</v>
      </c>
      <c r="Q84" s="516">
        <v>0</v>
      </c>
      <c r="R84" s="2004" t="s">
        <v>9202</v>
      </c>
      <c r="S84" s="2004">
        <v>9889</v>
      </c>
      <c r="T84" s="2004">
        <v>9783</v>
      </c>
      <c r="U84" s="2004">
        <v>9762</v>
      </c>
      <c r="V84" s="2004">
        <v>9752</v>
      </c>
      <c r="W84" s="2004">
        <v>9740</v>
      </c>
      <c r="X84" s="2004">
        <v>9727</v>
      </c>
      <c r="Y84" s="2004"/>
      <c r="Z84" s="2004"/>
      <c r="AA84" s="2004"/>
      <c r="AB84" s="2004"/>
      <c r="AC84" s="2004"/>
      <c r="AD84" s="2004"/>
      <c r="AE84" s="2004"/>
      <c r="AF84" s="2004"/>
      <c r="AG84" s="2004"/>
      <c r="AH84" s="2004">
        <v>0</v>
      </c>
      <c r="AI84" s="2004"/>
      <c r="AJ84" s="2004"/>
      <c r="AK84" s="2004"/>
      <c r="AL84" s="2004"/>
      <c r="AM84" s="2004"/>
      <c r="AN84" s="2004"/>
      <c r="AO84" s="2004"/>
      <c r="AP84" s="2004"/>
      <c r="AQ84" s="2004"/>
      <c r="AR84" s="2004"/>
      <c r="AS84" s="2004"/>
      <c r="AT84" s="2004"/>
      <c r="AU84" s="2004"/>
      <c r="AV84" s="2004"/>
      <c r="AW84" s="2004"/>
      <c r="AX84" s="2004"/>
      <c r="AY84" s="2004"/>
      <c r="AZ84" s="2004"/>
      <c r="BA84" s="2004"/>
      <c r="BB84" s="2004"/>
      <c r="BC84" s="2004"/>
      <c r="BD84" s="2004"/>
      <c r="BE84" s="2004"/>
      <c r="BF84" s="2004"/>
      <c r="BG84" s="2004"/>
      <c r="BH84" s="2004"/>
      <c r="BI84" s="2004"/>
      <c r="BJ84" s="2004"/>
      <c r="BK84" s="2004"/>
      <c r="BL84" s="2004"/>
      <c r="BM84" s="2004"/>
      <c r="BN84" s="2004"/>
      <c r="BO84" s="2004"/>
      <c r="BP84" s="516">
        <v>9389</v>
      </c>
      <c r="BQ84" s="689">
        <v>9219</v>
      </c>
      <c r="BR84" s="2004" t="s">
        <v>2337</v>
      </c>
      <c r="BS84" s="2004" t="s">
        <v>9204</v>
      </c>
      <c r="BT84" s="2004">
        <v>0</v>
      </c>
      <c r="BU84" s="2004" t="s">
        <v>9204</v>
      </c>
      <c r="BV84" s="2004">
        <v>0</v>
      </c>
      <c r="BW84" s="2004">
        <v>8385</v>
      </c>
      <c r="BX84" s="2004" t="s">
        <v>2337</v>
      </c>
      <c r="BY84" s="2004">
        <v>0</v>
      </c>
      <c r="BZ84" s="2004">
        <v>0</v>
      </c>
      <c r="CA84" s="2004">
        <v>0</v>
      </c>
      <c r="CB84" s="2004">
        <v>0</v>
      </c>
      <c r="CC84" s="2004">
        <v>7709</v>
      </c>
      <c r="CD84" s="2004" t="s">
        <v>2337</v>
      </c>
      <c r="CE84" s="2004">
        <v>0</v>
      </c>
      <c r="CF84" s="2004">
        <v>0</v>
      </c>
      <c r="CG84" s="2004">
        <v>0</v>
      </c>
      <c r="CH84" s="2004">
        <v>0</v>
      </c>
      <c r="CI84" s="2004" t="s">
        <v>9204</v>
      </c>
      <c r="CJ84" s="2004" t="s">
        <v>9204</v>
      </c>
      <c r="CK84" s="2004" t="s">
        <v>9204</v>
      </c>
      <c r="CL84" s="2004">
        <v>0</v>
      </c>
      <c r="CM84" s="2004" t="s">
        <v>9204</v>
      </c>
      <c r="CN84" s="2004">
        <v>0</v>
      </c>
      <c r="CP84" s="2004" t="s">
        <v>9718</v>
      </c>
    </row>
    <row r="85" spans="1:94">
      <c r="A85" s="2004" t="s">
        <v>9668</v>
      </c>
      <c r="B85" s="2004" t="s">
        <v>9719</v>
      </c>
      <c r="C85" s="2004" t="s">
        <v>9085</v>
      </c>
      <c r="D85" s="2004" t="s">
        <v>1628</v>
      </c>
      <c r="E85" s="2004" t="s">
        <v>9194</v>
      </c>
      <c r="F85" s="2004" t="s">
        <v>9720</v>
      </c>
      <c r="G85" s="2004" t="s">
        <v>8955</v>
      </c>
      <c r="H85" s="2004" t="s">
        <v>9721</v>
      </c>
      <c r="I85" s="2004" t="s">
        <v>9722</v>
      </c>
      <c r="J85" s="2004" t="s">
        <v>9230</v>
      </c>
      <c r="K85" s="2004"/>
      <c r="L85" s="2004"/>
      <c r="M85" s="2004"/>
      <c r="N85" s="2004" t="s">
        <v>9386</v>
      </c>
      <c r="O85" s="2004" t="s">
        <v>734</v>
      </c>
      <c r="P85" s="2004" t="s">
        <v>9387</v>
      </c>
      <c r="Q85" s="516" t="s">
        <v>9203</v>
      </c>
      <c r="R85" s="2004" t="s">
        <v>9240</v>
      </c>
      <c r="S85" s="2004"/>
      <c r="T85" s="2004">
        <v>80</v>
      </c>
      <c r="U85" s="2004" t="s">
        <v>9723</v>
      </c>
      <c r="V85" s="2004" t="s">
        <v>9723</v>
      </c>
      <c r="W85" s="2004" t="s">
        <v>9723</v>
      </c>
      <c r="X85" s="2004" t="s">
        <v>9723</v>
      </c>
      <c r="Y85" s="2004"/>
      <c r="Z85" s="2004"/>
      <c r="AA85" s="2004"/>
      <c r="AB85" s="2004"/>
      <c r="AC85" s="2004"/>
      <c r="AD85" s="2004"/>
      <c r="AE85" s="2004"/>
      <c r="AF85" s="2004"/>
      <c r="AG85" s="2004"/>
      <c r="AH85" s="2004">
        <v>0</v>
      </c>
      <c r="AI85" s="2004"/>
      <c r="AJ85" s="2004"/>
      <c r="AK85" s="2004"/>
      <c r="AL85" s="2004"/>
      <c r="AM85" s="2004"/>
      <c r="AN85" s="2004"/>
      <c r="AO85" s="2004"/>
      <c r="AP85" s="2004"/>
      <c r="AQ85" s="2004"/>
      <c r="AR85" s="2004"/>
      <c r="AS85" s="2004"/>
      <c r="AT85" s="2004"/>
      <c r="AU85" s="2004"/>
      <c r="AV85" s="2004"/>
      <c r="AW85" s="2004"/>
      <c r="AX85" s="2004"/>
      <c r="AY85" s="2004"/>
      <c r="AZ85" s="2004"/>
      <c r="BA85" s="2004"/>
      <c r="BB85" s="2004"/>
      <c r="BC85" s="2004"/>
      <c r="BD85" s="2004"/>
      <c r="BE85" s="2004"/>
      <c r="BF85" s="2004"/>
      <c r="BG85" s="2004"/>
      <c r="BH85" s="2004"/>
      <c r="BI85" s="2004"/>
      <c r="BJ85" s="2004"/>
      <c r="BK85" s="2004"/>
      <c r="BL85" s="2004"/>
      <c r="BM85" s="2004"/>
      <c r="BN85" s="2004"/>
      <c r="BO85" s="2004"/>
      <c r="BP85" s="516" t="s">
        <v>4140</v>
      </c>
      <c r="BQ85" s="688">
        <v>80</v>
      </c>
      <c r="BR85" s="2004" t="s">
        <v>2337</v>
      </c>
      <c r="BS85" s="2004" t="s">
        <v>9204</v>
      </c>
      <c r="BT85" s="2004">
        <v>0</v>
      </c>
      <c r="BU85" s="2004" t="s">
        <v>9204</v>
      </c>
      <c r="BV85" s="2004">
        <v>0</v>
      </c>
      <c r="BW85" s="2004">
        <v>77</v>
      </c>
      <c r="BX85" s="2004" t="s">
        <v>2334</v>
      </c>
      <c r="BY85" s="2004">
        <v>0</v>
      </c>
      <c r="BZ85" s="2004">
        <v>0</v>
      </c>
      <c r="CA85" s="2004">
        <v>0</v>
      </c>
      <c r="CB85" s="2004">
        <v>0</v>
      </c>
      <c r="CC85" s="2004">
        <v>73</v>
      </c>
      <c r="CD85" s="2004" t="s">
        <v>2334</v>
      </c>
      <c r="CE85" s="2004">
        <v>0</v>
      </c>
      <c r="CF85" s="2004">
        <v>0</v>
      </c>
      <c r="CG85" s="2004">
        <v>0</v>
      </c>
      <c r="CH85" s="2004">
        <v>0</v>
      </c>
      <c r="CI85" s="2004" t="s">
        <v>9204</v>
      </c>
      <c r="CJ85" s="2004" t="s">
        <v>9204</v>
      </c>
      <c r="CK85" s="2004" t="s">
        <v>9204</v>
      </c>
      <c r="CL85" s="2004">
        <v>0</v>
      </c>
      <c r="CM85" s="2004" t="s">
        <v>9204</v>
      </c>
      <c r="CN85" s="2004">
        <v>0</v>
      </c>
      <c r="CP85" s="2004" t="s">
        <v>9724</v>
      </c>
    </row>
    <row r="86" spans="1:94">
      <c r="A86" s="2004" t="s">
        <v>9668</v>
      </c>
      <c r="B86" s="2004" t="s">
        <v>9725</v>
      </c>
      <c r="C86" s="2004" t="s">
        <v>9085</v>
      </c>
      <c r="D86" s="2004" t="s">
        <v>9726</v>
      </c>
      <c r="E86" s="2004" t="s">
        <v>9727</v>
      </c>
      <c r="F86" s="2004" t="s">
        <v>9728</v>
      </c>
      <c r="G86" s="2004" t="s">
        <v>8987</v>
      </c>
      <c r="H86" s="2004" t="s">
        <v>9729</v>
      </c>
      <c r="I86" s="2004" t="s">
        <v>9730</v>
      </c>
      <c r="J86" s="2004" t="s">
        <v>9199</v>
      </c>
      <c r="K86" s="2004" t="s">
        <v>9200</v>
      </c>
      <c r="L86" s="2004"/>
      <c r="M86" s="2004" t="s">
        <v>2334</v>
      </c>
      <c r="N86" s="2004" t="s">
        <v>9281</v>
      </c>
      <c r="O86" s="2004" t="s">
        <v>9282</v>
      </c>
      <c r="P86" s="2004" t="s">
        <v>9283</v>
      </c>
      <c r="Q86" s="516">
        <v>1</v>
      </c>
      <c r="R86" s="2004" t="s">
        <v>9240</v>
      </c>
      <c r="S86" s="2004">
        <v>80</v>
      </c>
      <c r="T86" s="2004">
        <v>80</v>
      </c>
      <c r="U86" s="2004">
        <v>80</v>
      </c>
      <c r="V86" s="2004">
        <v>80</v>
      </c>
      <c r="W86" s="2004">
        <v>80</v>
      </c>
      <c r="X86" s="2004">
        <v>80</v>
      </c>
      <c r="Y86" s="2004"/>
      <c r="Z86" s="2004"/>
      <c r="AA86" s="2004"/>
      <c r="AB86" s="2004"/>
      <c r="AC86" s="2004"/>
      <c r="AD86" s="2004"/>
      <c r="AE86" s="2004"/>
      <c r="AF86" s="2004"/>
      <c r="AG86" s="2004"/>
      <c r="AH86" s="2004">
        <v>0</v>
      </c>
      <c r="AI86" s="2004" t="s">
        <v>2337</v>
      </c>
      <c r="AJ86" s="2004" t="s">
        <v>2337</v>
      </c>
      <c r="AK86" s="2004" t="s">
        <v>2337</v>
      </c>
      <c r="AL86" s="2004" t="s">
        <v>2337</v>
      </c>
      <c r="AM86" s="2004" t="s">
        <v>2337</v>
      </c>
      <c r="AN86" s="2004" t="s">
        <v>9284</v>
      </c>
      <c r="AO86" s="2004" t="s">
        <v>9284</v>
      </c>
      <c r="AP86" s="2004" t="s">
        <v>9284</v>
      </c>
      <c r="AQ86" s="2004" t="s">
        <v>9284</v>
      </c>
      <c r="AR86" s="2004" t="s">
        <v>9284</v>
      </c>
      <c r="AS86" s="2004" t="s">
        <v>9284</v>
      </c>
      <c r="AT86" s="2004" t="s">
        <v>9284</v>
      </c>
      <c r="AU86" s="2004" t="s">
        <v>9284</v>
      </c>
      <c r="AV86" s="2004" t="s">
        <v>9284</v>
      </c>
      <c r="AW86" s="2004" t="s">
        <v>9284</v>
      </c>
      <c r="AX86" s="2004" t="s">
        <v>9284</v>
      </c>
      <c r="AY86" s="2004" t="s">
        <v>9284</v>
      </c>
      <c r="AZ86" s="2004" t="s">
        <v>9284</v>
      </c>
      <c r="BA86" s="2004" t="s">
        <v>9284</v>
      </c>
      <c r="BB86" s="2004" t="s">
        <v>9284</v>
      </c>
      <c r="BC86" s="2004" t="s">
        <v>9284</v>
      </c>
      <c r="BD86" s="2004" t="s">
        <v>9284</v>
      </c>
      <c r="BE86" s="2004" t="s">
        <v>9284</v>
      </c>
      <c r="BF86" s="2004" t="s">
        <v>9284</v>
      </c>
      <c r="BG86" s="2004" t="s">
        <v>9284</v>
      </c>
      <c r="BH86" s="2004" t="s">
        <v>9284</v>
      </c>
      <c r="BI86" s="2004"/>
      <c r="BJ86" s="2004"/>
      <c r="BK86" s="2004"/>
      <c r="BL86" s="2004" t="s">
        <v>9284</v>
      </c>
      <c r="BM86" s="2004"/>
      <c r="BN86" s="2004">
        <v>1</v>
      </c>
      <c r="BO86" s="2004" t="s">
        <v>9203</v>
      </c>
      <c r="BP86" s="516" t="s">
        <v>4140</v>
      </c>
      <c r="BQ86" s="686">
        <v>88.51</v>
      </c>
      <c r="BR86" s="2004" t="s">
        <v>2337</v>
      </c>
      <c r="BS86" s="2004" t="s">
        <v>9204</v>
      </c>
      <c r="BT86" s="2004">
        <v>0</v>
      </c>
      <c r="BU86" s="2004" t="s">
        <v>9204</v>
      </c>
      <c r="BV86" s="2004">
        <v>0</v>
      </c>
      <c r="BW86" s="2004">
        <v>90.43</v>
      </c>
      <c r="BX86" s="2004" t="s">
        <v>2337</v>
      </c>
      <c r="BY86" s="2004">
        <v>0</v>
      </c>
      <c r="BZ86" s="2004">
        <v>0</v>
      </c>
      <c r="CA86" s="2004">
        <v>0</v>
      </c>
      <c r="CB86" s="2004">
        <v>0</v>
      </c>
      <c r="CC86" s="2004">
        <v>94</v>
      </c>
      <c r="CD86" s="2004" t="s">
        <v>2337</v>
      </c>
      <c r="CE86" s="2004">
        <v>0</v>
      </c>
      <c r="CF86" s="2004">
        <v>0</v>
      </c>
      <c r="CG86" s="2004">
        <v>0</v>
      </c>
      <c r="CH86" s="2004">
        <v>0</v>
      </c>
      <c r="CI86" s="2004" t="s">
        <v>9204</v>
      </c>
      <c r="CJ86" s="2004" t="s">
        <v>9204</v>
      </c>
      <c r="CK86" s="2004" t="s">
        <v>9204</v>
      </c>
      <c r="CL86" s="2004">
        <v>0</v>
      </c>
      <c r="CM86" s="2004" t="s">
        <v>9204</v>
      </c>
      <c r="CN86" s="2004">
        <v>0</v>
      </c>
      <c r="CP86" s="2004" t="s">
        <v>9731</v>
      </c>
    </row>
    <row r="87" spans="1:94">
      <c r="A87" s="2004" t="s">
        <v>9668</v>
      </c>
      <c r="B87" s="2004" t="s">
        <v>9732</v>
      </c>
      <c r="C87" s="2004" t="s">
        <v>9085</v>
      </c>
      <c r="D87" s="2004" t="s">
        <v>9275</v>
      </c>
      <c r="E87" s="2004" t="s">
        <v>9276</v>
      </c>
      <c r="F87" s="2004" t="s">
        <v>9733</v>
      </c>
      <c r="G87" s="2004" t="s">
        <v>8971</v>
      </c>
      <c r="H87" s="2004" t="s">
        <v>9734</v>
      </c>
      <c r="I87" s="2004" t="s">
        <v>9735</v>
      </c>
      <c r="J87" s="2004" t="s">
        <v>9230</v>
      </c>
      <c r="K87" s="2004"/>
      <c r="L87" s="2004"/>
      <c r="M87" s="2004"/>
      <c r="N87" s="2004" t="s">
        <v>9211</v>
      </c>
      <c r="O87" s="2004" t="s">
        <v>766</v>
      </c>
      <c r="P87" s="2004" t="s">
        <v>9736</v>
      </c>
      <c r="Q87" s="516">
        <v>2</v>
      </c>
      <c r="R87" s="2004" t="s">
        <v>9202</v>
      </c>
      <c r="S87" s="2004">
        <v>132.38999999999999</v>
      </c>
      <c r="T87" s="2004">
        <v>131.44</v>
      </c>
      <c r="U87" s="2004">
        <v>130.44999999999999</v>
      </c>
      <c r="V87" s="2004">
        <v>129.44</v>
      </c>
      <c r="W87" s="2004">
        <v>128.37</v>
      </c>
      <c r="X87" s="2004">
        <v>127.28</v>
      </c>
      <c r="Y87" s="2004"/>
      <c r="Z87" s="2004"/>
      <c r="AA87" s="2004"/>
      <c r="AB87" s="2004"/>
      <c r="AC87" s="2004"/>
      <c r="AD87" s="2004"/>
      <c r="AE87" s="2004"/>
      <c r="AF87" s="2004"/>
      <c r="AG87" s="2004"/>
      <c r="AH87" s="2004">
        <v>0</v>
      </c>
      <c r="AI87" s="2004"/>
      <c r="AJ87" s="2004"/>
      <c r="AK87" s="2004"/>
      <c r="AL87" s="2004"/>
      <c r="AM87" s="2004"/>
      <c r="AN87" s="2004"/>
      <c r="AO87" s="2004"/>
      <c r="AP87" s="2004"/>
      <c r="AQ87" s="2004"/>
      <c r="AR87" s="2004"/>
      <c r="AS87" s="2004"/>
      <c r="AT87" s="2004"/>
      <c r="AU87" s="2004"/>
      <c r="AV87" s="2004"/>
      <c r="AW87" s="2004"/>
      <c r="AX87" s="2004"/>
      <c r="AY87" s="2004"/>
      <c r="AZ87" s="2004"/>
      <c r="BA87" s="2004"/>
      <c r="BB87" s="2004"/>
      <c r="BC87" s="2004"/>
      <c r="BD87" s="2004"/>
      <c r="BE87" s="2004"/>
      <c r="BF87" s="2004"/>
      <c r="BG87" s="2004"/>
      <c r="BH87" s="2004"/>
      <c r="BI87" s="2004"/>
      <c r="BJ87" s="2004"/>
      <c r="BK87" s="2004"/>
      <c r="BL87" s="2004"/>
      <c r="BM87" s="2004"/>
      <c r="BN87" s="2004"/>
      <c r="BO87" s="2004"/>
      <c r="BP87" s="516">
        <v>129.53</v>
      </c>
      <c r="BQ87" s="690">
        <v>134.87</v>
      </c>
      <c r="BR87" s="2004" t="s">
        <v>2334</v>
      </c>
      <c r="BS87" s="2004" t="s">
        <v>9204</v>
      </c>
      <c r="BT87" s="2004">
        <v>0</v>
      </c>
      <c r="BU87" s="2004" t="s">
        <v>9204</v>
      </c>
      <c r="BV87" s="2004">
        <v>0</v>
      </c>
      <c r="BW87" s="2004">
        <v>135.21</v>
      </c>
      <c r="BX87" s="2004" t="s">
        <v>2334</v>
      </c>
      <c r="BY87" s="2004">
        <v>0</v>
      </c>
      <c r="BZ87" s="2004">
        <v>0</v>
      </c>
      <c r="CA87" s="2004">
        <v>0</v>
      </c>
      <c r="CB87" s="2004">
        <v>0</v>
      </c>
      <c r="CC87" s="2004">
        <v>136.57</v>
      </c>
      <c r="CD87" s="2004" t="s">
        <v>2334</v>
      </c>
      <c r="CE87" s="2004">
        <v>0</v>
      </c>
      <c r="CF87" s="2004">
        <v>0</v>
      </c>
      <c r="CG87" s="2004">
        <v>0</v>
      </c>
      <c r="CH87" s="2004">
        <v>0</v>
      </c>
      <c r="CI87" s="2004" t="s">
        <v>9204</v>
      </c>
      <c r="CJ87" s="2004" t="s">
        <v>9204</v>
      </c>
      <c r="CK87" s="2004" t="s">
        <v>9204</v>
      </c>
      <c r="CL87" s="2004">
        <v>0</v>
      </c>
      <c r="CM87" s="2004" t="s">
        <v>9204</v>
      </c>
      <c r="CN87" s="2004">
        <v>0</v>
      </c>
      <c r="CP87" s="2004" t="s">
        <v>9737</v>
      </c>
    </row>
    <row r="88" spans="1:94">
      <c r="A88" s="2004" t="s">
        <v>9668</v>
      </c>
      <c r="B88" s="2004" t="s">
        <v>9738</v>
      </c>
      <c r="C88" s="2004" t="s">
        <v>9085</v>
      </c>
      <c r="D88" s="2004" t="s">
        <v>9275</v>
      </c>
      <c r="E88" s="2004" t="s">
        <v>9276</v>
      </c>
      <c r="F88" s="2004" t="s">
        <v>9733</v>
      </c>
      <c r="G88" s="2004" t="s">
        <v>8974</v>
      </c>
      <c r="H88" s="2004" t="s">
        <v>9739</v>
      </c>
      <c r="I88" s="2004" t="s">
        <v>9740</v>
      </c>
      <c r="J88" s="2004" t="s">
        <v>9199</v>
      </c>
      <c r="K88" s="2004" t="s">
        <v>9200</v>
      </c>
      <c r="L88" s="2004"/>
      <c r="M88" s="2004" t="s">
        <v>2334</v>
      </c>
      <c r="N88" s="2004" t="s">
        <v>9281</v>
      </c>
      <c r="O88" s="2004" t="s">
        <v>9282</v>
      </c>
      <c r="P88" s="2004" t="s">
        <v>9283</v>
      </c>
      <c r="Q88" s="516">
        <v>1</v>
      </c>
      <c r="R88" s="2004" t="s">
        <v>9240</v>
      </c>
      <c r="S88" s="2004">
        <v>80</v>
      </c>
      <c r="T88" s="2004">
        <v>80</v>
      </c>
      <c r="U88" s="2004">
        <v>80</v>
      </c>
      <c r="V88" s="2004">
        <v>80</v>
      </c>
      <c r="W88" s="2004">
        <v>80</v>
      </c>
      <c r="X88" s="2004">
        <v>80</v>
      </c>
      <c r="Y88" s="2004"/>
      <c r="Z88" s="2004"/>
      <c r="AA88" s="2004"/>
      <c r="AB88" s="2004"/>
      <c r="AC88" s="2004"/>
      <c r="AD88" s="2004"/>
      <c r="AE88" s="2004"/>
      <c r="AF88" s="2004"/>
      <c r="AG88" s="2004"/>
      <c r="AH88" s="2004">
        <v>0</v>
      </c>
      <c r="AI88" s="2004" t="s">
        <v>2337</v>
      </c>
      <c r="AJ88" s="2004" t="s">
        <v>2337</v>
      </c>
      <c r="AK88" s="2004" t="s">
        <v>2337</v>
      </c>
      <c r="AL88" s="2004" t="s">
        <v>2337</v>
      </c>
      <c r="AM88" s="2004" t="s">
        <v>2337</v>
      </c>
      <c r="AN88" s="2004" t="s">
        <v>9284</v>
      </c>
      <c r="AO88" s="2004" t="s">
        <v>9284</v>
      </c>
      <c r="AP88" s="2004" t="s">
        <v>9284</v>
      </c>
      <c r="AQ88" s="2004" t="s">
        <v>9284</v>
      </c>
      <c r="AR88" s="2004" t="s">
        <v>9284</v>
      </c>
      <c r="AS88" s="2004" t="s">
        <v>9284</v>
      </c>
      <c r="AT88" s="2004" t="s">
        <v>9284</v>
      </c>
      <c r="AU88" s="2004" t="s">
        <v>9284</v>
      </c>
      <c r="AV88" s="2004" t="s">
        <v>9284</v>
      </c>
      <c r="AW88" s="2004" t="s">
        <v>9284</v>
      </c>
      <c r="AX88" s="2004" t="s">
        <v>9284</v>
      </c>
      <c r="AY88" s="2004" t="s">
        <v>9284</v>
      </c>
      <c r="AZ88" s="2004" t="s">
        <v>9284</v>
      </c>
      <c r="BA88" s="2004" t="s">
        <v>9284</v>
      </c>
      <c r="BB88" s="2004" t="s">
        <v>9284</v>
      </c>
      <c r="BC88" s="2004" t="s">
        <v>9284</v>
      </c>
      <c r="BD88" s="2004" t="s">
        <v>9284</v>
      </c>
      <c r="BE88" s="2004" t="s">
        <v>9284</v>
      </c>
      <c r="BF88" s="2004" t="s">
        <v>9284</v>
      </c>
      <c r="BG88" s="2004" t="s">
        <v>9284</v>
      </c>
      <c r="BH88" s="2004" t="s">
        <v>9284</v>
      </c>
      <c r="BI88" s="2004"/>
      <c r="BJ88" s="2004"/>
      <c r="BK88" s="2004"/>
      <c r="BL88" s="2004" t="s">
        <v>9284</v>
      </c>
      <c r="BM88" s="2004"/>
      <c r="BN88" s="2004">
        <v>1</v>
      </c>
      <c r="BO88" s="2004" t="s">
        <v>9203</v>
      </c>
      <c r="BP88" s="516">
        <v>77.900000000000006</v>
      </c>
      <c r="BQ88" s="686">
        <v>83.42</v>
      </c>
      <c r="BR88" s="2004" t="s">
        <v>2337</v>
      </c>
      <c r="BS88" s="2004" t="s">
        <v>9204</v>
      </c>
      <c r="BT88" s="2004">
        <v>0</v>
      </c>
      <c r="BU88" s="2004" t="s">
        <v>9204</v>
      </c>
      <c r="BV88" s="2004">
        <v>0</v>
      </c>
      <c r="BW88" s="2004">
        <v>85.98</v>
      </c>
      <c r="BX88" s="2004" t="s">
        <v>2337</v>
      </c>
      <c r="BY88" s="2004">
        <v>0</v>
      </c>
      <c r="BZ88" s="2004">
        <v>0</v>
      </c>
      <c r="CA88" s="2004">
        <v>0</v>
      </c>
      <c r="CB88" s="2004">
        <v>0</v>
      </c>
      <c r="CC88" s="2004">
        <v>86.5</v>
      </c>
      <c r="CD88" s="2004" t="s">
        <v>2337</v>
      </c>
      <c r="CE88" s="2004">
        <v>0</v>
      </c>
      <c r="CF88" s="2004">
        <v>0</v>
      </c>
      <c r="CG88" s="2004">
        <v>0</v>
      </c>
      <c r="CH88" s="2004">
        <v>0</v>
      </c>
      <c r="CI88" s="2004" t="s">
        <v>9204</v>
      </c>
      <c r="CJ88" s="2004" t="s">
        <v>9204</v>
      </c>
      <c r="CK88" s="2004" t="s">
        <v>9204</v>
      </c>
      <c r="CL88" s="2004">
        <v>0</v>
      </c>
      <c r="CM88" s="2004" t="s">
        <v>9204</v>
      </c>
      <c r="CN88" s="2004">
        <v>0</v>
      </c>
      <c r="CP88" s="2004" t="s">
        <v>9741</v>
      </c>
    </row>
    <row r="89" spans="1:94">
      <c r="A89" s="2004" t="s">
        <v>9057</v>
      </c>
      <c r="B89" s="2004" t="s">
        <v>9742</v>
      </c>
      <c r="C89" s="2004" t="s">
        <v>9047</v>
      </c>
      <c r="D89" s="2004" t="s">
        <v>1628</v>
      </c>
      <c r="E89" s="2004" t="s">
        <v>9194</v>
      </c>
      <c r="F89" s="2004" t="s">
        <v>9743</v>
      </c>
      <c r="G89" s="2004" t="s">
        <v>9196</v>
      </c>
      <c r="H89" s="2004" t="s">
        <v>9744</v>
      </c>
      <c r="I89" s="2004" t="s">
        <v>9745</v>
      </c>
      <c r="J89" s="2004" t="s">
        <v>9230</v>
      </c>
      <c r="K89" s="2004"/>
      <c r="L89" s="2004"/>
      <c r="M89" s="2004"/>
      <c r="N89" s="2004" t="s">
        <v>9260</v>
      </c>
      <c r="O89" s="2004" t="s">
        <v>4140</v>
      </c>
      <c r="P89" s="2004" t="s">
        <v>9746</v>
      </c>
      <c r="Q89" s="516" t="s">
        <v>9203</v>
      </c>
      <c r="R89" s="2004"/>
      <c r="S89" s="2004" t="s">
        <v>4140</v>
      </c>
      <c r="T89" s="2004" t="s">
        <v>4140</v>
      </c>
      <c r="U89" s="2004" t="s">
        <v>4140</v>
      </c>
      <c r="V89" s="2004" t="s">
        <v>4140</v>
      </c>
      <c r="W89" s="2004" t="s">
        <v>4140</v>
      </c>
      <c r="X89" s="2004" t="s">
        <v>4140</v>
      </c>
      <c r="Y89" s="2004"/>
      <c r="Z89" s="2004"/>
      <c r="AA89" s="2004"/>
      <c r="AB89" s="2004"/>
      <c r="AC89" s="2004"/>
      <c r="AD89" s="2004"/>
      <c r="AE89" s="2004" t="s">
        <v>2337</v>
      </c>
      <c r="AF89" s="2004"/>
      <c r="AG89" s="2004"/>
      <c r="AH89" s="2004">
        <v>0</v>
      </c>
      <c r="AI89" s="2004"/>
      <c r="AJ89" s="2004"/>
      <c r="AK89" s="2004"/>
      <c r="AL89" s="2004"/>
      <c r="AM89" s="2004"/>
      <c r="AN89" s="2004"/>
      <c r="AO89" s="2004"/>
      <c r="AP89" s="2004"/>
      <c r="AQ89" s="2004"/>
      <c r="AR89" s="2004"/>
      <c r="AS89" s="2004"/>
      <c r="AT89" s="2004"/>
      <c r="AU89" s="2004"/>
      <c r="AV89" s="2004"/>
      <c r="AW89" s="2004"/>
      <c r="AX89" s="2004"/>
      <c r="AY89" s="2004"/>
      <c r="AZ89" s="2004"/>
      <c r="BA89" s="2004"/>
      <c r="BB89" s="2004"/>
      <c r="BC89" s="2004"/>
      <c r="BD89" s="2004"/>
      <c r="BE89" s="2004"/>
      <c r="BF89" s="2004"/>
      <c r="BG89" s="2004"/>
      <c r="BH89" s="2004"/>
      <c r="BI89" s="2004"/>
      <c r="BJ89" s="2004"/>
      <c r="BK89" s="2004"/>
      <c r="BL89" s="2004"/>
      <c r="BM89" s="2004"/>
      <c r="BN89" s="2004"/>
      <c r="BO89" s="2004"/>
      <c r="BP89" s="516" t="s">
        <v>4150</v>
      </c>
      <c r="BQ89" s="688" t="s">
        <v>4150</v>
      </c>
      <c r="BR89" s="2004" t="s">
        <v>9204</v>
      </c>
      <c r="BS89" s="2004" t="s">
        <v>9204</v>
      </c>
      <c r="BT89" s="2004">
        <v>0</v>
      </c>
      <c r="BU89" s="2004" t="s">
        <v>9204</v>
      </c>
      <c r="BV89" s="2004">
        <v>0</v>
      </c>
      <c r="BW89" s="2004" t="s">
        <v>4150</v>
      </c>
      <c r="BX89" s="2004" t="s">
        <v>2335</v>
      </c>
      <c r="BY89" s="2004">
        <v>0</v>
      </c>
      <c r="BZ89" s="2004">
        <v>0</v>
      </c>
      <c r="CA89" s="2004">
        <v>0</v>
      </c>
      <c r="CB89" s="2004">
        <v>0</v>
      </c>
      <c r="CC89" s="2004" t="s">
        <v>4150</v>
      </c>
      <c r="CD89" s="2004" t="s">
        <v>2335</v>
      </c>
      <c r="CE89" s="2004">
        <v>0</v>
      </c>
      <c r="CF89" s="2004">
        <v>0</v>
      </c>
      <c r="CG89" s="2004">
        <v>0</v>
      </c>
      <c r="CH89" s="2004">
        <v>0</v>
      </c>
      <c r="CI89" s="2004" t="s">
        <v>4150</v>
      </c>
      <c r="CJ89" s="2004" t="s">
        <v>2335</v>
      </c>
      <c r="CK89" s="2004">
        <v>0</v>
      </c>
      <c r="CL89" s="2004">
        <v>0</v>
      </c>
      <c r="CM89" s="2004">
        <v>0</v>
      </c>
      <c r="CN89" s="2004">
        <v>0</v>
      </c>
      <c r="CP89" s="2004" t="s">
        <v>9747</v>
      </c>
    </row>
    <row r="90" spans="1:94">
      <c r="A90" s="2004" t="s">
        <v>9057</v>
      </c>
      <c r="B90" s="2004" t="s">
        <v>9748</v>
      </c>
      <c r="C90" s="2004" t="s">
        <v>9047</v>
      </c>
      <c r="D90" s="2004" t="s">
        <v>1628</v>
      </c>
      <c r="E90" s="2004" t="s">
        <v>9194</v>
      </c>
      <c r="F90" s="2004" t="s">
        <v>9749</v>
      </c>
      <c r="G90" s="2004" t="s">
        <v>9235</v>
      </c>
      <c r="H90" s="2004" t="s">
        <v>9750</v>
      </c>
      <c r="I90" s="2004" t="s">
        <v>9751</v>
      </c>
      <c r="J90" s="2004" t="s">
        <v>9199</v>
      </c>
      <c r="K90" s="2004" t="s">
        <v>9545</v>
      </c>
      <c r="L90" s="2004"/>
      <c r="M90" s="2004"/>
      <c r="N90" s="2004" t="s">
        <v>9154</v>
      </c>
      <c r="O90" s="2004" t="s">
        <v>766</v>
      </c>
      <c r="P90" s="2004" t="s">
        <v>9752</v>
      </c>
      <c r="Q90" s="516">
        <v>0</v>
      </c>
      <c r="R90" s="2004" t="s">
        <v>9202</v>
      </c>
      <c r="S90" s="2004">
        <v>1402</v>
      </c>
      <c r="T90" s="2004">
        <v>1236</v>
      </c>
      <c r="U90" s="2004">
        <v>1069</v>
      </c>
      <c r="V90" s="2004">
        <v>903</v>
      </c>
      <c r="W90" s="2004">
        <v>903</v>
      </c>
      <c r="X90" s="2004">
        <v>903</v>
      </c>
      <c r="Y90" s="2004"/>
      <c r="Z90" s="2004" t="s">
        <v>2337</v>
      </c>
      <c r="AA90" s="2004"/>
      <c r="AB90" s="2004"/>
      <c r="AC90" s="2004"/>
      <c r="AD90" s="2004"/>
      <c r="AE90" s="2004" t="s">
        <v>2337</v>
      </c>
      <c r="AF90" s="2004"/>
      <c r="AG90" s="2004"/>
      <c r="AH90" s="2004">
        <v>0</v>
      </c>
      <c r="AI90" s="2004" t="s">
        <v>2337</v>
      </c>
      <c r="AJ90" s="2004" t="s">
        <v>2337</v>
      </c>
      <c r="AK90" s="2004" t="s">
        <v>2337</v>
      </c>
      <c r="AL90" s="2004" t="s">
        <v>2337</v>
      </c>
      <c r="AM90" s="2004" t="s">
        <v>2337</v>
      </c>
      <c r="AN90" s="2004" t="s">
        <v>9753</v>
      </c>
      <c r="AO90" s="2004" t="s">
        <v>9753</v>
      </c>
      <c r="AP90" s="2004" t="s">
        <v>9754</v>
      </c>
      <c r="AQ90" s="2004" t="s">
        <v>9754</v>
      </c>
      <c r="AR90" s="2004" t="s">
        <v>9754</v>
      </c>
      <c r="AS90" s="2004" t="s">
        <v>9755</v>
      </c>
      <c r="AT90" s="2004" t="s">
        <v>9755</v>
      </c>
      <c r="AU90" s="2004" t="s">
        <v>9756</v>
      </c>
      <c r="AV90" s="2004" t="s">
        <v>9756</v>
      </c>
      <c r="AW90" s="2004" t="s">
        <v>9756</v>
      </c>
      <c r="AX90" s="2004" t="s">
        <v>9757</v>
      </c>
      <c r="AY90" s="2004" t="s">
        <v>9757</v>
      </c>
      <c r="AZ90" s="2004" t="s">
        <v>9757</v>
      </c>
      <c r="BA90" s="2004" t="s">
        <v>9757</v>
      </c>
      <c r="BB90" s="2004" t="s">
        <v>9757</v>
      </c>
      <c r="BC90" s="2004" t="s">
        <v>9758</v>
      </c>
      <c r="BD90" s="2004" t="s">
        <v>9759</v>
      </c>
      <c r="BE90" s="2004" t="s">
        <v>9758</v>
      </c>
      <c r="BF90" s="2004" t="s">
        <v>9758</v>
      </c>
      <c r="BG90" s="2004" t="s">
        <v>9758</v>
      </c>
      <c r="BH90" s="2004">
        <v>2.3E-2</v>
      </c>
      <c r="BI90" s="2004"/>
      <c r="BJ90" s="2004"/>
      <c r="BK90" s="2004"/>
      <c r="BL90" s="2004">
        <v>1.0999999999999999E-2</v>
      </c>
      <c r="BM90" s="2004"/>
      <c r="BN90" s="2004">
        <v>1</v>
      </c>
      <c r="BO90" s="2004" t="s">
        <v>9203</v>
      </c>
      <c r="BP90" s="516">
        <v>1405</v>
      </c>
      <c r="BQ90" s="689">
        <v>1225</v>
      </c>
      <c r="BR90" s="2004" t="s">
        <v>2337</v>
      </c>
      <c r="BS90" s="2004" t="s">
        <v>9204</v>
      </c>
      <c r="BT90" s="2004">
        <v>0</v>
      </c>
      <c r="BU90" s="2004" t="s">
        <v>9074</v>
      </c>
      <c r="BV90" s="2004">
        <v>0</v>
      </c>
      <c r="BW90" s="2004">
        <v>1229</v>
      </c>
      <c r="BX90" s="2004" t="s">
        <v>2334</v>
      </c>
      <c r="BY90" s="2004">
        <v>0</v>
      </c>
      <c r="BZ90" s="2004">
        <v>0</v>
      </c>
      <c r="CA90" s="2004" t="s">
        <v>9120</v>
      </c>
      <c r="CB90" s="2004">
        <v>0</v>
      </c>
      <c r="CC90" s="2004">
        <v>978</v>
      </c>
      <c r="CD90" s="2004" t="s">
        <v>2337</v>
      </c>
      <c r="CE90" s="2004">
        <v>0</v>
      </c>
      <c r="CF90" s="2004">
        <v>0</v>
      </c>
      <c r="CG90" s="2004" t="s">
        <v>2339</v>
      </c>
      <c r="CH90" s="2004">
        <v>9.9000000000000005E-2</v>
      </c>
      <c r="CI90" s="2004">
        <v>1060</v>
      </c>
      <c r="CJ90" s="2004" t="s">
        <v>2334</v>
      </c>
      <c r="CK90" s="2004">
        <v>0</v>
      </c>
      <c r="CL90" s="2004">
        <v>0</v>
      </c>
      <c r="CM90" s="2004" t="s">
        <v>2336</v>
      </c>
      <c r="CN90" s="2004">
        <v>-1.679</v>
      </c>
      <c r="CP90" s="2004" t="s">
        <v>9760</v>
      </c>
    </row>
    <row r="91" spans="1:94">
      <c r="A91" s="2004" t="s">
        <v>9057</v>
      </c>
      <c r="B91" s="2004" t="s">
        <v>9761</v>
      </c>
      <c r="C91" s="2004" t="s">
        <v>9047</v>
      </c>
      <c r="D91" s="2004" t="s">
        <v>1628</v>
      </c>
      <c r="E91" s="2004" t="s">
        <v>9194</v>
      </c>
      <c r="F91" s="2004" t="s">
        <v>9749</v>
      </c>
      <c r="G91" s="2004" t="s">
        <v>9243</v>
      </c>
      <c r="H91" s="2004" t="s">
        <v>9762</v>
      </c>
      <c r="I91" s="2004" t="s">
        <v>9763</v>
      </c>
      <c r="J91" s="2004" t="s">
        <v>9210</v>
      </c>
      <c r="K91" s="2004" t="s">
        <v>9545</v>
      </c>
      <c r="L91" s="2004"/>
      <c r="M91" s="2004" t="s">
        <v>2334</v>
      </c>
      <c r="N91" s="2004" t="s">
        <v>9238</v>
      </c>
      <c r="O91" s="2004" t="s">
        <v>734</v>
      </c>
      <c r="P91" s="2004" t="s">
        <v>9239</v>
      </c>
      <c r="Q91" s="516">
        <v>3</v>
      </c>
      <c r="R91" s="2004" t="s">
        <v>9240</v>
      </c>
      <c r="S91" s="2004">
        <v>99.94</v>
      </c>
      <c r="T91" s="2004" t="s">
        <v>9764</v>
      </c>
      <c r="U91" s="2004" t="s">
        <v>9764</v>
      </c>
      <c r="V91" s="2004">
        <v>100</v>
      </c>
      <c r="W91" s="2004">
        <v>100</v>
      </c>
      <c r="X91" s="2004">
        <v>100</v>
      </c>
      <c r="Y91" s="2004" t="s">
        <v>2337</v>
      </c>
      <c r="Z91" s="2004"/>
      <c r="AA91" s="2004"/>
      <c r="AB91" s="2004"/>
      <c r="AC91" s="2004"/>
      <c r="AD91" s="2004"/>
      <c r="AE91" s="2004" t="s">
        <v>2337</v>
      </c>
      <c r="AF91" s="2004"/>
      <c r="AG91" s="2004"/>
      <c r="AH91" s="2004">
        <v>0</v>
      </c>
      <c r="AI91" s="2004"/>
      <c r="AJ91" s="2004"/>
      <c r="AK91" s="2004" t="s">
        <v>2337</v>
      </c>
      <c r="AL91" s="2004" t="s">
        <v>2337</v>
      </c>
      <c r="AM91" s="2004" t="s">
        <v>2337</v>
      </c>
      <c r="AN91" s="2004" t="s">
        <v>9765</v>
      </c>
      <c r="AO91" s="2004" t="s">
        <v>9765</v>
      </c>
      <c r="AP91" s="2004" t="s">
        <v>9766</v>
      </c>
      <c r="AQ91" s="2004" t="s">
        <v>9767</v>
      </c>
      <c r="AR91" s="2004" t="s">
        <v>9768</v>
      </c>
      <c r="AS91" s="2004" t="s">
        <v>9769</v>
      </c>
      <c r="AT91" s="2004" t="s">
        <v>9769</v>
      </c>
      <c r="AU91" s="2004" t="s">
        <v>9770</v>
      </c>
      <c r="AV91" s="2004" t="s">
        <v>9771</v>
      </c>
      <c r="AW91" s="2004" t="s">
        <v>9772</v>
      </c>
      <c r="AX91" s="2004"/>
      <c r="AY91" s="2004"/>
      <c r="AZ91" s="2004"/>
      <c r="BA91" s="2004"/>
      <c r="BB91" s="2004"/>
      <c r="BC91" s="2004"/>
      <c r="BD91" s="2004"/>
      <c r="BE91" s="2004"/>
      <c r="BF91" s="2004"/>
      <c r="BG91" s="2004"/>
      <c r="BH91" s="2004">
        <v>3.98475</v>
      </c>
      <c r="BI91" s="2004">
        <v>3.98475</v>
      </c>
      <c r="BJ91" s="2004"/>
      <c r="BK91" s="2004"/>
      <c r="BL91" s="2004"/>
      <c r="BM91" s="2004"/>
      <c r="BN91" s="2004">
        <v>1</v>
      </c>
      <c r="BO91" s="2004" t="s">
        <v>9203</v>
      </c>
      <c r="BP91" s="516">
        <v>99.93</v>
      </c>
      <c r="BQ91" s="690">
        <v>99.936999999999998</v>
      </c>
      <c r="BR91" s="2004" t="s">
        <v>9204</v>
      </c>
      <c r="BS91" s="2004" t="s">
        <v>9204</v>
      </c>
      <c r="BT91" s="2004">
        <v>0</v>
      </c>
      <c r="BU91" s="2004" t="s">
        <v>9204</v>
      </c>
      <c r="BV91" s="2004">
        <v>0</v>
      </c>
      <c r="BW91" s="2004">
        <v>99.944000000000003</v>
      </c>
      <c r="BX91" s="2004" t="s">
        <v>2335</v>
      </c>
      <c r="BY91" s="2004">
        <v>0</v>
      </c>
      <c r="BZ91" s="2004">
        <v>0</v>
      </c>
      <c r="CA91" s="2004">
        <v>0</v>
      </c>
      <c r="CB91" s="2004">
        <v>0</v>
      </c>
      <c r="CC91" s="2004">
        <v>99.942999999999998</v>
      </c>
      <c r="CD91" s="2004" t="s">
        <v>2334</v>
      </c>
      <c r="CE91" s="2004">
        <v>0</v>
      </c>
      <c r="CF91" s="2004">
        <v>0</v>
      </c>
      <c r="CG91" s="2004" t="s">
        <v>2340</v>
      </c>
      <c r="CH91" s="2004">
        <v>0</v>
      </c>
      <c r="CI91" s="2004">
        <v>99.941000000000003</v>
      </c>
      <c r="CJ91" s="2004" t="s">
        <v>2334</v>
      </c>
      <c r="CK91" s="2004">
        <v>0</v>
      </c>
      <c r="CL91" s="2004">
        <v>0</v>
      </c>
      <c r="CM91" s="2004" t="s">
        <v>2336</v>
      </c>
      <c r="CN91" s="2004">
        <v>-3.9847999999999999</v>
      </c>
      <c r="CP91" s="2004" t="s">
        <v>9773</v>
      </c>
    </row>
    <row r="92" spans="1:94">
      <c r="A92" s="2004" t="s">
        <v>9057</v>
      </c>
      <c r="B92" s="2004" t="s">
        <v>9774</v>
      </c>
      <c r="C92" s="2004" t="s">
        <v>9047</v>
      </c>
      <c r="D92" s="2004" t="s">
        <v>1628</v>
      </c>
      <c r="E92" s="2004" t="s">
        <v>9194</v>
      </c>
      <c r="F92" s="2004" t="s">
        <v>9749</v>
      </c>
      <c r="G92" s="2004" t="s">
        <v>9775</v>
      </c>
      <c r="H92" s="2004" t="s">
        <v>9776</v>
      </c>
      <c r="I92" s="2004" t="s">
        <v>9777</v>
      </c>
      <c r="J92" s="2004" t="s">
        <v>9199</v>
      </c>
      <c r="K92" s="2004" t="s">
        <v>9545</v>
      </c>
      <c r="L92" s="2004"/>
      <c r="M92" s="2004" t="s">
        <v>2334</v>
      </c>
      <c r="N92" s="2004" t="s">
        <v>9154</v>
      </c>
      <c r="O92" s="2004" t="s">
        <v>766</v>
      </c>
      <c r="P92" s="2004" t="s">
        <v>9752</v>
      </c>
      <c r="Q92" s="516">
        <v>0</v>
      </c>
      <c r="R92" s="2004" t="s">
        <v>9202</v>
      </c>
      <c r="S92" s="2004">
        <v>4600</v>
      </c>
      <c r="T92" s="2004">
        <v>4054</v>
      </c>
      <c r="U92" s="2004">
        <v>3508</v>
      </c>
      <c r="V92" s="2004">
        <v>2962</v>
      </c>
      <c r="W92" s="2004">
        <v>2962</v>
      </c>
      <c r="X92" s="2004">
        <v>2962</v>
      </c>
      <c r="Y92" s="2004"/>
      <c r="Z92" s="2004" t="s">
        <v>2337</v>
      </c>
      <c r="AA92" s="2004"/>
      <c r="AB92" s="2004"/>
      <c r="AC92" s="2004"/>
      <c r="AD92" s="2004"/>
      <c r="AE92" s="2004" t="s">
        <v>2337</v>
      </c>
      <c r="AF92" s="2004"/>
      <c r="AG92" s="2004"/>
      <c r="AH92" s="2004">
        <v>0</v>
      </c>
      <c r="AI92" s="2004"/>
      <c r="AJ92" s="2004"/>
      <c r="AK92" s="2004" t="s">
        <v>2337</v>
      </c>
      <c r="AL92" s="2004" t="s">
        <v>2337</v>
      </c>
      <c r="AM92" s="2004" t="s">
        <v>2337</v>
      </c>
      <c r="AN92" s="2004" t="s">
        <v>9778</v>
      </c>
      <c r="AO92" s="2004" t="s">
        <v>9778</v>
      </c>
      <c r="AP92" s="2004" t="s">
        <v>9779</v>
      </c>
      <c r="AQ92" s="2004" t="s">
        <v>9780</v>
      </c>
      <c r="AR92" s="2004" t="s">
        <v>9781</v>
      </c>
      <c r="AS92" s="2004" t="s">
        <v>9782</v>
      </c>
      <c r="AT92" s="2004" t="s">
        <v>9782</v>
      </c>
      <c r="AU92" s="2004" t="s">
        <v>9783</v>
      </c>
      <c r="AV92" s="2004" t="s">
        <v>9784</v>
      </c>
      <c r="AW92" s="2004" t="s">
        <v>9785</v>
      </c>
      <c r="AX92" s="2004" t="s">
        <v>9786</v>
      </c>
      <c r="AY92" s="2004" t="s">
        <v>9786</v>
      </c>
      <c r="AZ92" s="2004" t="s">
        <v>9786</v>
      </c>
      <c r="BA92" s="2004" t="s">
        <v>9786</v>
      </c>
      <c r="BB92" s="2004" t="s">
        <v>9786</v>
      </c>
      <c r="BC92" s="2004" t="s">
        <v>9787</v>
      </c>
      <c r="BD92" s="2004" t="s">
        <v>9787</v>
      </c>
      <c r="BE92" s="2004" t="s">
        <v>9787</v>
      </c>
      <c r="BF92" s="2004" t="s">
        <v>9787</v>
      </c>
      <c r="BG92" s="2004" t="s">
        <v>9787</v>
      </c>
      <c r="BH92" s="2004">
        <v>3.98475</v>
      </c>
      <c r="BI92" s="2004">
        <v>3.98475</v>
      </c>
      <c r="BJ92" s="2004"/>
      <c r="BK92" s="2004"/>
      <c r="BL92" s="2004">
        <v>2E-3</v>
      </c>
      <c r="BM92" s="2004"/>
      <c r="BN92" s="2004">
        <v>1</v>
      </c>
      <c r="BO92" s="2004" t="s">
        <v>9203</v>
      </c>
      <c r="BP92" s="516">
        <v>4292</v>
      </c>
      <c r="BQ92" s="689">
        <v>3762</v>
      </c>
      <c r="BR92" s="2004" t="s">
        <v>9204</v>
      </c>
      <c r="BS92" s="2004" t="s">
        <v>9204</v>
      </c>
      <c r="BT92" s="2004">
        <v>0</v>
      </c>
      <c r="BU92" s="2004" t="s">
        <v>9204</v>
      </c>
      <c r="BV92" s="2004">
        <v>0</v>
      </c>
      <c r="BW92" s="2004">
        <v>3227</v>
      </c>
      <c r="BX92" s="2004" t="s">
        <v>2335</v>
      </c>
      <c r="BY92" s="2004">
        <v>0</v>
      </c>
      <c r="BZ92" s="2004">
        <v>0</v>
      </c>
      <c r="CA92" s="2004">
        <v>0</v>
      </c>
      <c r="CB92" s="2004">
        <v>0</v>
      </c>
      <c r="CC92" s="2004">
        <v>2776</v>
      </c>
      <c r="CD92" s="2004" t="s">
        <v>2337</v>
      </c>
      <c r="CE92" s="2004">
        <v>0</v>
      </c>
      <c r="CF92" s="2004">
        <v>0</v>
      </c>
      <c r="CG92" s="2004" t="s">
        <v>2339</v>
      </c>
      <c r="CH92" s="2004">
        <v>0.26329999999999998</v>
      </c>
      <c r="CI92" s="2004">
        <v>2667</v>
      </c>
      <c r="CJ92" s="2004" t="s">
        <v>2337</v>
      </c>
      <c r="CK92" s="2004">
        <v>0</v>
      </c>
      <c r="CL92" s="2004">
        <v>0</v>
      </c>
      <c r="CM92" s="2004" t="s">
        <v>2339</v>
      </c>
      <c r="CN92" s="2004">
        <v>0</v>
      </c>
      <c r="CP92" s="2004" t="s">
        <v>9788</v>
      </c>
    </row>
    <row r="93" spans="1:94">
      <c r="A93" s="2004" t="s">
        <v>9057</v>
      </c>
      <c r="B93" s="2004" t="s">
        <v>9789</v>
      </c>
      <c r="C93" s="2004" t="s">
        <v>9047</v>
      </c>
      <c r="D93" s="2004" t="s">
        <v>1628</v>
      </c>
      <c r="E93" s="2004" t="s">
        <v>9194</v>
      </c>
      <c r="F93" s="2004" t="s">
        <v>9790</v>
      </c>
      <c r="G93" s="2004" t="s">
        <v>9250</v>
      </c>
      <c r="H93" s="2004" t="s">
        <v>9791</v>
      </c>
      <c r="I93" s="2004" t="s">
        <v>9792</v>
      </c>
      <c r="J93" s="2004" t="s">
        <v>9199</v>
      </c>
      <c r="K93" s="2004" t="s">
        <v>9545</v>
      </c>
      <c r="L93" s="2004"/>
      <c r="M93" s="2004" t="s">
        <v>2334</v>
      </c>
      <c r="N93" s="2004" t="s">
        <v>2951</v>
      </c>
      <c r="O93" s="2004" t="s">
        <v>9298</v>
      </c>
      <c r="P93" s="2004" t="s">
        <v>9793</v>
      </c>
      <c r="Q93" s="516" t="s">
        <v>9794</v>
      </c>
      <c r="R93" s="2004" t="s">
        <v>9202</v>
      </c>
      <c r="S93" s="2004">
        <v>0.3034722222222222</v>
      </c>
      <c r="T93" s="2004">
        <v>0.28472222222222221</v>
      </c>
      <c r="U93" s="2004">
        <v>0.26597222222222222</v>
      </c>
      <c r="V93" s="2004">
        <v>0.24722222222222223</v>
      </c>
      <c r="W93" s="2004">
        <v>0.22847222222222222</v>
      </c>
      <c r="X93" s="2004">
        <v>0.20833333333333334</v>
      </c>
      <c r="Y93" s="2004"/>
      <c r="Z93" s="2004"/>
      <c r="AA93" s="2004" t="s">
        <v>2337</v>
      </c>
      <c r="AB93" s="2004"/>
      <c r="AC93" s="2004"/>
      <c r="AD93" s="2004"/>
      <c r="AE93" s="2004" t="s">
        <v>2337</v>
      </c>
      <c r="AF93" s="2004"/>
      <c r="AG93" s="2004"/>
      <c r="AH93" s="2004">
        <v>0</v>
      </c>
      <c r="AI93" s="2004" t="s">
        <v>2337</v>
      </c>
      <c r="AJ93" s="2004" t="s">
        <v>2337</v>
      </c>
      <c r="AK93" s="2004" t="s">
        <v>2337</v>
      </c>
      <c r="AL93" s="2004" t="s">
        <v>2337</v>
      </c>
      <c r="AM93" s="2004" t="s">
        <v>2337</v>
      </c>
      <c r="AN93" s="2004" t="s">
        <v>9795</v>
      </c>
      <c r="AO93" s="2004" t="s">
        <v>9796</v>
      </c>
      <c r="AP93" s="2004" t="s">
        <v>9797</v>
      </c>
      <c r="AQ93" s="2004" t="s">
        <v>9798</v>
      </c>
      <c r="AR93" s="2004" t="s">
        <v>9799</v>
      </c>
      <c r="AS93" s="2004" t="s">
        <v>9800</v>
      </c>
      <c r="AT93" s="2004" t="s">
        <v>9801</v>
      </c>
      <c r="AU93" s="2004" t="s">
        <v>9802</v>
      </c>
      <c r="AV93" s="2004" t="s">
        <v>9803</v>
      </c>
      <c r="AW93" s="2004" t="s">
        <v>9804</v>
      </c>
      <c r="AX93" s="2004" t="s">
        <v>9805</v>
      </c>
      <c r="AY93" s="2004" t="s">
        <v>9806</v>
      </c>
      <c r="AZ93" s="2004" t="s">
        <v>9807</v>
      </c>
      <c r="BA93" s="2004" t="s">
        <v>9808</v>
      </c>
      <c r="BB93" s="2004" t="s">
        <v>9809</v>
      </c>
      <c r="BC93" s="2004" t="s">
        <v>9810</v>
      </c>
      <c r="BD93" s="2004" t="s">
        <v>9810</v>
      </c>
      <c r="BE93" s="2004" t="s">
        <v>9810</v>
      </c>
      <c r="BF93" s="2004" t="s">
        <v>9810</v>
      </c>
      <c r="BG93" s="2004" t="s">
        <v>9810</v>
      </c>
      <c r="BH93" s="2004">
        <v>0.15</v>
      </c>
      <c r="BI93" s="2004"/>
      <c r="BJ93" s="2004"/>
      <c r="BK93" s="2004"/>
      <c r="BL93" s="2004">
        <v>1.7999999999999999E-2</v>
      </c>
      <c r="BM93" s="2004"/>
      <c r="BN93" s="2004">
        <v>1</v>
      </c>
      <c r="BO93" s="2004" t="s">
        <v>9203</v>
      </c>
      <c r="BP93" s="516">
        <v>0.16388888888888889</v>
      </c>
      <c r="BQ93" s="699">
        <v>0.1388888888888889</v>
      </c>
      <c r="BR93" s="2004" t="s">
        <v>2337</v>
      </c>
      <c r="BS93" s="2004" t="s">
        <v>9204</v>
      </c>
      <c r="BT93" s="2004">
        <v>0</v>
      </c>
      <c r="BU93" s="2004" t="s">
        <v>2339</v>
      </c>
      <c r="BV93" s="2004">
        <v>3.78</v>
      </c>
      <c r="BW93" s="1643" t="s">
        <v>9811</v>
      </c>
      <c r="BX93" s="2004" t="s">
        <v>2337</v>
      </c>
      <c r="BY93" s="2004">
        <v>0</v>
      </c>
      <c r="BZ93" s="2004">
        <v>0</v>
      </c>
      <c r="CA93" s="2004" t="s">
        <v>2339</v>
      </c>
      <c r="CB93" s="2004">
        <v>3.5639999999999996</v>
      </c>
      <c r="CC93" s="2004">
        <v>0.22430555555555556</v>
      </c>
      <c r="CD93" s="2004" t="s">
        <v>2337</v>
      </c>
      <c r="CE93" s="2004">
        <v>0</v>
      </c>
      <c r="CF93" s="2004">
        <v>0</v>
      </c>
      <c r="CG93" s="2004" t="s">
        <v>2339</v>
      </c>
      <c r="CH93" s="2004">
        <v>0.59399999999999997</v>
      </c>
      <c r="CI93" s="2004">
        <v>0.3833333333333333</v>
      </c>
      <c r="CJ93" s="2004" t="s">
        <v>2334</v>
      </c>
      <c r="CK93" s="2004">
        <v>0</v>
      </c>
      <c r="CL93" s="2004">
        <v>0</v>
      </c>
      <c r="CM93" s="2004" t="s">
        <v>2340</v>
      </c>
      <c r="CN93" s="2004">
        <v>0</v>
      </c>
      <c r="CP93" s="2004" t="s">
        <v>9812</v>
      </c>
    </row>
    <row r="94" spans="1:94">
      <c r="A94" s="2004" t="s">
        <v>9057</v>
      </c>
      <c r="B94" s="2004" t="s">
        <v>9813</v>
      </c>
      <c r="C94" s="2004" t="s">
        <v>9047</v>
      </c>
      <c r="D94" s="2004" t="s">
        <v>1628</v>
      </c>
      <c r="E94" s="2004" t="s">
        <v>9194</v>
      </c>
      <c r="F94" s="2004" t="s">
        <v>9790</v>
      </c>
      <c r="G94" s="2004" t="s">
        <v>9257</v>
      </c>
      <c r="H94" s="2004" t="s">
        <v>9814</v>
      </c>
      <c r="I94" s="2004" t="s">
        <v>9815</v>
      </c>
      <c r="J94" s="2004" t="s">
        <v>9199</v>
      </c>
      <c r="K94" s="2004" t="s">
        <v>9545</v>
      </c>
      <c r="L94" s="2004"/>
      <c r="M94" s="2004" t="s">
        <v>2334</v>
      </c>
      <c r="N94" s="2004" t="s">
        <v>9304</v>
      </c>
      <c r="O94" s="2004" t="s">
        <v>766</v>
      </c>
      <c r="P94" s="2004" t="s">
        <v>9253</v>
      </c>
      <c r="Q94" s="516">
        <v>0</v>
      </c>
      <c r="R94" s="2004" t="s">
        <v>9202</v>
      </c>
      <c r="S94" s="2004">
        <v>257</v>
      </c>
      <c r="T94" s="2004">
        <v>216</v>
      </c>
      <c r="U94" s="2004">
        <v>216</v>
      </c>
      <c r="V94" s="2004">
        <v>216</v>
      </c>
      <c r="W94" s="2004">
        <v>216</v>
      </c>
      <c r="X94" s="2004">
        <v>216</v>
      </c>
      <c r="Y94" s="2004"/>
      <c r="Z94" s="2004"/>
      <c r="AA94" s="2004"/>
      <c r="AB94" s="2004"/>
      <c r="AC94" s="2004"/>
      <c r="AD94" s="2004"/>
      <c r="AE94" s="2004" t="s">
        <v>2337</v>
      </c>
      <c r="AF94" s="2004"/>
      <c r="AG94" s="2004"/>
      <c r="AH94" s="2004">
        <v>0</v>
      </c>
      <c r="AI94" s="2004"/>
      <c r="AJ94" s="2004"/>
      <c r="AK94" s="2004" t="s">
        <v>2337</v>
      </c>
      <c r="AL94" s="2004" t="s">
        <v>2337</v>
      </c>
      <c r="AM94" s="2004" t="s">
        <v>2337</v>
      </c>
      <c r="AN94" s="2004" t="s">
        <v>9816</v>
      </c>
      <c r="AO94" s="2004" t="s">
        <v>9816</v>
      </c>
      <c r="AP94" s="2004" t="s">
        <v>9816</v>
      </c>
      <c r="AQ94" s="2004" t="s">
        <v>9816</v>
      </c>
      <c r="AR94" s="2004" t="s">
        <v>9816</v>
      </c>
      <c r="AS94" s="2004" t="s">
        <v>9817</v>
      </c>
      <c r="AT94" s="2004" t="s">
        <v>9817</v>
      </c>
      <c r="AU94" s="2004" t="s">
        <v>9817</v>
      </c>
      <c r="AV94" s="2004" t="s">
        <v>9817</v>
      </c>
      <c r="AW94" s="2004" t="s">
        <v>9817</v>
      </c>
      <c r="AX94" s="2004" t="s">
        <v>9818</v>
      </c>
      <c r="AY94" s="2004" t="s">
        <v>9818</v>
      </c>
      <c r="AZ94" s="2004" t="s">
        <v>9818</v>
      </c>
      <c r="BA94" s="2004" t="s">
        <v>9818</v>
      </c>
      <c r="BB94" s="2004" t="s">
        <v>9818</v>
      </c>
      <c r="BC94" s="2004">
        <v>0</v>
      </c>
      <c r="BD94" s="2004">
        <v>0</v>
      </c>
      <c r="BE94" s="2004">
        <v>0</v>
      </c>
      <c r="BF94" s="2004">
        <v>0</v>
      </c>
      <c r="BG94" s="2004">
        <v>0</v>
      </c>
      <c r="BH94" s="2004">
        <v>3.98475</v>
      </c>
      <c r="BI94" s="2004">
        <v>3.98475</v>
      </c>
      <c r="BJ94" s="2004"/>
      <c r="BK94" s="2004"/>
      <c r="BL94" s="2004">
        <v>1E-3</v>
      </c>
      <c r="BM94" s="2004"/>
      <c r="BN94" s="2004">
        <v>1</v>
      </c>
      <c r="BO94" s="2004" t="s">
        <v>9203</v>
      </c>
      <c r="BP94" s="516">
        <v>254</v>
      </c>
      <c r="BQ94" s="689">
        <v>238</v>
      </c>
      <c r="BR94" s="2004" t="s">
        <v>9204</v>
      </c>
      <c r="BS94" s="2004" t="s">
        <v>9204</v>
      </c>
      <c r="BT94" s="2004">
        <v>0</v>
      </c>
      <c r="BU94" s="2004" t="s">
        <v>9204</v>
      </c>
      <c r="BV94" s="2004">
        <v>0</v>
      </c>
      <c r="BW94" s="2004">
        <v>217</v>
      </c>
      <c r="BX94" s="2004" t="s">
        <v>2335</v>
      </c>
      <c r="BY94" s="2004">
        <v>0</v>
      </c>
      <c r="BZ94" s="2004">
        <v>0</v>
      </c>
      <c r="CA94" s="2004">
        <v>0</v>
      </c>
      <c r="CB94" s="2004">
        <v>0</v>
      </c>
      <c r="CC94" s="2004">
        <v>202</v>
      </c>
      <c r="CD94" s="2004" t="s">
        <v>2337</v>
      </c>
      <c r="CE94" s="2004">
        <v>0</v>
      </c>
      <c r="CF94" s="2004">
        <v>0</v>
      </c>
      <c r="CG94" s="2004" t="s">
        <v>9074</v>
      </c>
      <c r="CH94" s="2004">
        <v>0</v>
      </c>
      <c r="CI94" s="2004">
        <v>195</v>
      </c>
      <c r="CJ94" s="2004" t="s">
        <v>2337</v>
      </c>
      <c r="CK94" s="2004">
        <v>0</v>
      </c>
      <c r="CL94" s="2004">
        <v>0</v>
      </c>
      <c r="CM94" s="2004" t="s">
        <v>9074</v>
      </c>
      <c r="CN94" s="2004">
        <v>0</v>
      </c>
      <c r="CP94" s="2004" t="s">
        <v>9819</v>
      </c>
    </row>
    <row r="95" spans="1:94">
      <c r="A95" s="2004" t="s">
        <v>9057</v>
      </c>
      <c r="B95" s="2004" t="s">
        <v>9820</v>
      </c>
      <c r="C95" s="2004" t="s">
        <v>9047</v>
      </c>
      <c r="D95" s="2004" t="s">
        <v>1628</v>
      </c>
      <c r="E95" s="2004" t="s">
        <v>9194</v>
      </c>
      <c r="F95" s="2004" t="s">
        <v>9790</v>
      </c>
      <c r="G95" s="2004" t="s">
        <v>9264</v>
      </c>
      <c r="H95" s="2004" t="s">
        <v>9821</v>
      </c>
      <c r="I95" s="2004" t="s">
        <v>9822</v>
      </c>
      <c r="J95" s="2004" t="s">
        <v>9210</v>
      </c>
      <c r="K95" s="2004" t="s">
        <v>9545</v>
      </c>
      <c r="L95" s="2004"/>
      <c r="M95" s="2004" t="s">
        <v>2334</v>
      </c>
      <c r="N95" s="2004" t="s">
        <v>9260</v>
      </c>
      <c r="O95" s="2004" t="s">
        <v>766</v>
      </c>
      <c r="P95" s="2004" t="s">
        <v>9261</v>
      </c>
      <c r="Q95" s="516">
        <v>0</v>
      </c>
      <c r="R95" s="2004" t="s">
        <v>9202</v>
      </c>
      <c r="S95" s="2004">
        <v>4586</v>
      </c>
      <c r="T95" s="2004">
        <v>4586</v>
      </c>
      <c r="U95" s="2004">
        <v>4586</v>
      </c>
      <c r="V95" s="2004">
        <v>4586</v>
      </c>
      <c r="W95" s="2004">
        <v>4586</v>
      </c>
      <c r="X95" s="2004">
        <v>4586</v>
      </c>
      <c r="Y95" s="2004"/>
      <c r="Z95" s="2004"/>
      <c r="AA95" s="2004"/>
      <c r="AB95" s="2004"/>
      <c r="AC95" s="2004"/>
      <c r="AD95" s="2004"/>
      <c r="AE95" s="2004" t="s">
        <v>2337</v>
      </c>
      <c r="AF95" s="2004"/>
      <c r="AG95" s="2004"/>
      <c r="AH95" s="2004">
        <v>0</v>
      </c>
      <c r="AI95" s="2004"/>
      <c r="AJ95" s="2004"/>
      <c r="AK95" s="2004" t="s">
        <v>2337</v>
      </c>
      <c r="AL95" s="2004" t="s">
        <v>2337</v>
      </c>
      <c r="AM95" s="2004" t="s">
        <v>2337</v>
      </c>
      <c r="AN95" s="2004" t="s">
        <v>9823</v>
      </c>
      <c r="AO95" s="2004" t="s">
        <v>9823</v>
      </c>
      <c r="AP95" s="2004" t="s">
        <v>9823</v>
      </c>
      <c r="AQ95" s="2004" t="s">
        <v>9823</v>
      </c>
      <c r="AR95" s="2004" t="s">
        <v>9823</v>
      </c>
      <c r="AS95" s="2004" t="s">
        <v>9824</v>
      </c>
      <c r="AT95" s="2004" t="s">
        <v>9824</v>
      </c>
      <c r="AU95" s="2004" t="s">
        <v>9824</v>
      </c>
      <c r="AV95" s="2004" t="s">
        <v>9824</v>
      </c>
      <c r="AW95" s="2004" t="s">
        <v>9824</v>
      </c>
      <c r="AX95" s="2004"/>
      <c r="AY95" s="2004"/>
      <c r="AZ95" s="2004"/>
      <c r="BA95" s="2004"/>
      <c r="BB95" s="2004"/>
      <c r="BC95" s="2004"/>
      <c r="BD95" s="2004"/>
      <c r="BE95" s="2004"/>
      <c r="BF95" s="2004"/>
      <c r="BG95" s="2004"/>
      <c r="BH95" s="2004">
        <v>3.98475</v>
      </c>
      <c r="BI95" s="2004">
        <v>3.98475</v>
      </c>
      <c r="BJ95" s="2004"/>
      <c r="BK95" s="2004"/>
      <c r="BL95" s="2004"/>
      <c r="BM95" s="2004"/>
      <c r="BN95" s="2004">
        <v>1</v>
      </c>
      <c r="BO95" s="2004" t="s">
        <v>9203</v>
      </c>
      <c r="BP95" s="516">
        <v>3964</v>
      </c>
      <c r="BQ95" s="689">
        <v>3916</v>
      </c>
      <c r="BR95" s="2004" t="s">
        <v>9204</v>
      </c>
      <c r="BS95" s="2004" t="s">
        <v>9204</v>
      </c>
      <c r="BT95" s="2004">
        <v>0</v>
      </c>
      <c r="BU95" s="2004" t="s">
        <v>9204</v>
      </c>
      <c r="BV95" s="2004">
        <v>0</v>
      </c>
      <c r="BW95" s="2004">
        <v>4048</v>
      </c>
      <c r="BX95" s="2004" t="s">
        <v>2335</v>
      </c>
      <c r="BY95" s="2004">
        <v>0</v>
      </c>
      <c r="BZ95" s="2004">
        <v>0</v>
      </c>
      <c r="CA95" s="2004">
        <v>0</v>
      </c>
      <c r="CB95" s="2004">
        <v>0</v>
      </c>
      <c r="CC95" s="2004">
        <v>4102</v>
      </c>
      <c r="CD95" s="2004" t="s">
        <v>2337</v>
      </c>
      <c r="CE95" s="2004">
        <v>0</v>
      </c>
      <c r="CF95" s="2004">
        <v>0</v>
      </c>
      <c r="CG95" s="2004">
        <v>0</v>
      </c>
      <c r="CH95" s="2004">
        <v>0</v>
      </c>
      <c r="CI95" s="2004">
        <v>4113</v>
      </c>
      <c r="CJ95" s="2004" t="s">
        <v>2337</v>
      </c>
      <c r="CK95" s="2004">
        <v>0</v>
      </c>
      <c r="CL95" s="2004">
        <v>0</v>
      </c>
      <c r="CM95" s="2004">
        <v>0</v>
      </c>
      <c r="CN95" s="2004">
        <v>0</v>
      </c>
      <c r="CP95" s="2004" t="s">
        <v>9825</v>
      </c>
    </row>
    <row r="96" spans="1:94">
      <c r="A96" s="2004" t="s">
        <v>9057</v>
      </c>
      <c r="B96" s="2004" t="s">
        <v>9826</v>
      </c>
      <c r="C96" s="2004" t="s">
        <v>9047</v>
      </c>
      <c r="D96" s="2004" t="s">
        <v>1628</v>
      </c>
      <c r="E96" s="2004" t="s">
        <v>9194</v>
      </c>
      <c r="F96" s="2004" t="s">
        <v>9790</v>
      </c>
      <c r="G96" s="2004" t="s">
        <v>9270</v>
      </c>
      <c r="H96" s="2004" t="s">
        <v>9827</v>
      </c>
      <c r="I96" s="2004" t="s">
        <v>9828</v>
      </c>
      <c r="J96" s="2004" t="s">
        <v>9199</v>
      </c>
      <c r="K96" s="2004" t="s">
        <v>9545</v>
      </c>
      <c r="L96" s="2004"/>
      <c r="M96" s="2004"/>
      <c r="N96" s="2004" t="s">
        <v>2927</v>
      </c>
      <c r="O96" s="2004" t="s">
        <v>766</v>
      </c>
      <c r="P96" s="2004" t="s">
        <v>9201</v>
      </c>
      <c r="Q96" s="516">
        <v>2</v>
      </c>
      <c r="R96" s="2004" t="s">
        <v>9202</v>
      </c>
      <c r="S96" s="2004">
        <v>141</v>
      </c>
      <c r="T96" s="2004">
        <v>139</v>
      </c>
      <c r="U96" s="2004">
        <v>137</v>
      </c>
      <c r="V96" s="2004">
        <v>137</v>
      </c>
      <c r="W96" s="2004">
        <v>137</v>
      </c>
      <c r="X96" s="2004">
        <v>137</v>
      </c>
      <c r="Y96" s="2004"/>
      <c r="Z96" s="2004"/>
      <c r="AA96" s="2004"/>
      <c r="AB96" s="2004"/>
      <c r="AC96" s="2004"/>
      <c r="AD96" s="2004"/>
      <c r="AE96" s="2004" t="s">
        <v>2337</v>
      </c>
      <c r="AF96" s="2004"/>
      <c r="AG96" s="2004"/>
      <c r="AH96" s="2004">
        <v>0</v>
      </c>
      <c r="AI96" s="2004" t="s">
        <v>2337</v>
      </c>
      <c r="AJ96" s="2004" t="s">
        <v>2337</v>
      </c>
      <c r="AK96" s="2004" t="s">
        <v>2337</v>
      </c>
      <c r="AL96" s="2004" t="s">
        <v>2337</v>
      </c>
      <c r="AM96" s="2004" t="s">
        <v>2337</v>
      </c>
      <c r="AN96" s="2004" t="s">
        <v>9829</v>
      </c>
      <c r="AO96" s="2004" t="s">
        <v>9830</v>
      </c>
      <c r="AP96" s="2004" t="s">
        <v>9830</v>
      </c>
      <c r="AQ96" s="2004" t="s">
        <v>9830</v>
      </c>
      <c r="AR96" s="2004" t="s">
        <v>9830</v>
      </c>
      <c r="AS96" s="2004" t="s">
        <v>9831</v>
      </c>
      <c r="AT96" s="2004" t="s">
        <v>9832</v>
      </c>
      <c r="AU96" s="2004" t="s">
        <v>9832</v>
      </c>
      <c r="AV96" s="2004" t="s">
        <v>9832</v>
      </c>
      <c r="AW96" s="2004" t="s">
        <v>9832</v>
      </c>
      <c r="AX96" s="2004" t="s">
        <v>9833</v>
      </c>
      <c r="AY96" s="2004" t="s">
        <v>9833</v>
      </c>
      <c r="AZ96" s="2004" t="s">
        <v>9833</v>
      </c>
      <c r="BA96" s="2004" t="s">
        <v>9833</v>
      </c>
      <c r="BB96" s="2004" t="s">
        <v>9833</v>
      </c>
      <c r="BC96" s="2004" t="s">
        <v>9834</v>
      </c>
      <c r="BD96" s="2004" t="s">
        <v>9834</v>
      </c>
      <c r="BE96" s="2004" t="s">
        <v>9834</v>
      </c>
      <c r="BF96" s="2004" t="s">
        <v>9834</v>
      </c>
      <c r="BG96" s="2004" t="s">
        <v>9834</v>
      </c>
      <c r="BH96" s="2004">
        <v>0.115</v>
      </c>
      <c r="BI96" s="2004"/>
      <c r="BJ96" s="2004"/>
      <c r="BK96" s="2004"/>
      <c r="BL96" s="2004">
        <v>0.115</v>
      </c>
      <c r="BM96" s="2004"/>
      <c r="BN96" s="2004">
        <v>1</v>
      </c>
      <c r="BO96" s="2004" t="s">
        <v>9203</v>
      </c>
      <c r="BP96" s="516">
        <v>136.77000000000001</v>
      </c>
      <c r="BQ96" s="689">
        <v>134.66</v>
      </c>
      <c r="BR96" s="2004" t="s">
        <v>2337</v>
      </c>
      <c r="BS96" s="2004" t="s">
        <v>9204</v>
      </c>
      <c r="BT96" s="2004">
        <v>0</v>
      </c>
      <c r="BU96" s="2004" t="s">
        <v>9074</v>
      </c>
      <c r="BV96" s="2004">
        <v>0</v>
      </c>
      <c r="BW96" s="2004">
        <v>133.82</v>
      </c>
      <c r="BX96" s="2004" t="s">
        <v>2337</v>
      </c>
      <c r="BY96" s="2004">
        <v>0</v>
      </c>
      <c r="BZ96" s="2004">
        <v>0</v>
      </c>
      <c r="CA96" s="2004" t="s">
        <v>9074</v>
      </c>
      <c r="CB96" s="2004">
        <v>0</v>
      </c>
      <c r="CC96" s="2004">
        <v>137.05000000000001</v>
      </c>
      <c r="CD96" s="2004" t="s">
        <v>2334</v>
      </c>
      <c r="CE96" s="2004">
        <v>0</v>
      </c>
      <c r="CF96" s="2004">
        <v>0</v>
      </c>
      <c r="CG96" s="2004" t="s">
        <v>2340</v>
      </c>
      <c r="CH96" s="2004">
        <v>0</v>
      </c>
      <c r="CI96" s="2004">
        <v>136.26</v>
      </c>
      <c r="CJ96" s="2004" t="s">
        <v>2337</v>
      </c>
      <c r="CK96" s="2004">
        <v>0</v>
      </c>
      <c r="CL96" s="2004">
        <v>0</v>
      </c>
      <c r="CM96" s="2004" t="s">
        <v>9074</v>
      </c>
      <c r="CN96" s="2004">
        <v>0</v>
      </c>
      <c r="CP96" s="2004" t="s">
        <v>9835</v>
      </c>
    </row>
    <row r="97" spans="1:94">
      <c r="A97" s="2004" t="s">
        <v>9057</v>
      </c>
      <c r="B97" s="2004" t="s">
        <v>9836</v>
      </c>
      <c r="C97" s="2004" t="s">
        <v>9047</v>
      </c>
      <c r="D97" s="2004" t="s">
        <v>1628</v>
      </c>
      <c r="E97" s="2004" t="s">
        <v>9194</v>
      </c>
      <c r="F97" s="2004" t="s">
        <v>9790</v>
      </c>
      <c r="G97" s="2004" t="s">
        <v>9837</v>
      </c>
      <c r="H97" s="2004" t="s">
        <v>9838</v>
      </c>
      <c r="I97" s="2004" t="s">
        <v>9839</v>
      </c>
      <c r="J97" s="2004" t="s">
        <v>9199</v>
      </c>
      <c r="K97" s="2004" t="s">
        <v>9545</v>
      </c>
      <c r="L97" s="2004"/>
      <c r="M97" s="2004"/>
      <c r="N97" s="2004" t="s">
        <v>2927</v>
      </c>
      <c r="O97" s="2004" t="s">
        <v>766</v>
      </c>
      <c r="P97" s="2004" t="s">
        <v>9201</v>
      </c>
      <c r="Q97" s="516">
        <v>2</v>
      </c>
      <c r="R97" s="2004" t="s">
        <v>9202</v>
      </c>
      <c r="S97" s="2004">
        <v>66</v>
      </c>
      <c r="T97" s="2004">
        <v>66</v>
      </c>
      <c r="U97" s="2004">
        <v>66</v>
      </c>
      <c r="V97" s="2004">
        <v>66</v>
      </c>
      <c r="W97" s="2004">
        <v>66</v>
      </c>
      <c r="X97" s="2004">
        <v>66</v>
      </c>
      <c r="Y97" s="2004"/>
      <c r="Z97" s="2004"/>
      <c r="AA97" s="2004"/>
      <c r="AB97" s="2004"/>
      <c r="AC97" s="2004"/>
      <c r="AD97" s="2004"/>
      <c r="AE97" s="2004" t="s">
        <v>2337</v>
      </c>
      <c r="AF97" s="2004"/>
      <c r="AG97" s="2004"/>
      <c r="AH97" s="2004">
        <v>0</v>
      </c>
      <c r="AI97" s="2004" t="s">
        <v>2337</v>
      </c>
      <c r="AJ97" s="2004" t="s">
        <v>2337</v>
      </c>
      <c r="AK97" s="2004" t="s">
        <v>2337</v>
      </c>
      <c r="AL97" s="2004" t="s">
        <v>2337</v>
      </c>
      <c r="AM97" s="2004" t="s">
        <v>2337</v>
      </c>
      <c r="AN97" s="2004" t="s">
        <v>9840</v>
      </c>
      <c r="AO97" s="2004" t="s">
        <v>9840</v>
      </c>
      <c r="AP97" s="2004" t="s">
        <v>9840</v>
      </c>
      <c r="AQ97" s="2004" t="s">
        <v>9840</v>
      </c>
      <c r="AR97" s="2004" t="s">
        <v>9840</v>
      </c>
      <c r="AS97" s="2004" t="s">
        <v>9841</v>
      </c>
      <c r="AT97" s="2004" t="s">
        <v>9841</v>
      </c>
      <c r="AU97" s="2004" t="s">
        <v>9841</v>
      </c>
      <c r="AV97" s="2004" t="s">
        <v>9841</v>
      </c>
      <c r="AW97" s="2004" t="s">
        <v>9841</v>
      </c>
      <c r="AX97" s="2004" t="s">
        <v>9842</v>
      </c>
      <c r="AY97" s="2004" t="s">
        <v>9842</v>
      </c>
      <c r="AZ97" s="2004" t="s">
        <v>9842</v>
      </c>
      <c r="BA97" s="2004" t="s">
        <v>9842</v>
      </c>
      <c r="BB97" s="2004" t="s">
        <v>9842</v>
      </c>
      <c r="BC97" s="2004" t="s">
        <v>9843</v>
      </c>
      <c r="BD97" s="2004" t="s">
        <v>9843</v>
      </c>
      <c r="BE97" s="2004" t="s">
        <v>9843</v>
      </c>
      <c r="BF97" s="2004" t="s">
        <v>9843</v>
      </c>
      <c r="BG97" s="2004" t="s">
        <v>9843</v>
      </c>
      <c r="BH97" s="2004">
        <v>0.115</v>
      </c>
      <c r="BI97" s="2004"/>
      <c r="BJ97" s="2004"/>
      <c r="BK97" s="2004"/>
      <c r="BL97" s="2004">
        <v>0.115</v>
      </c>
      <c r="BM97" s="2004"/>
      <c r="BN97" s="2004">
        <v>1</v>
      </c>
      <c r="BO97" s="2004" t="s">
        <v>9203</v>
      </c>
      <c r="BP97" s="516">
        <v>60.86</v>
      </c>
      <c r="BQ97" s="689">
        <v>62.42</v>
      </c>
      <c r="BR97" s="2004" t="s">
        <v>2337</v>
      </c>
      <c r="BS97" s="2004" t="s">
        <v>9204</v>
      </c>
      <c r="BT97" s="2004">
        <v>0</v>
      </c>
      <c r="BU97" s="2004" t="s">
        <v>9074</v>
      </c>
      <c r="BV97" s="2004">
        <v>0</v>
      </c>
      <c r="BW97" s="2004">
        <v>68.08</v>
      </c>
      <c r="BX97" s="2004" t="s">
        <v>2334</v>
      </c>
      <c r="BY97" s="2004">
        <v>0</v>
      </c>
      <c r="BZ97" s="2004">
        <v>0</v>
      </c>
      <c r="CA97" s="2004" t="s">
        <v>9254</v>
      </c>
      <c r="CB97" s="2004">
        <v>-0.124</v>
      </c>
      <c r="CC97" s="2004">
        <v>66.17</v>
      </c>
      <c r="CD97" s="2004" t="s">
        <v>2334</v>
      </c>
      <c r="CE97" s="2004">
        <v>0</v>
      </c>
      <c r="CF97" s="2004">
        <v>0</v>
      </c>
      <c r="CG97" s="2004" t="s">
        <v>2340</v>
      </c>
      <c r="CH97" s="2004">
        <v>0</v>
      </c>
      <c r="CI97" s="2004">
        <v>64.180000000000007</v>
      </c>
      <c r="CJ97" s="2004" t="s">
        <v>2337</v>
      </c>
      <c r="CK97" s="2004">
        <v>0</v>
      </c>
      <c r="CL97" s="2004">
        <v>0</v>
      </c>
      <c r="CM97" s="2004" t="s">
        <v>9074</v>
      </c>
      <c r="CN97" s="2004">
        <v>0</v>
      </c>
      <c r="CP97" s="2004" t="s">
        <v>9844</v>
      </c>
    </row>
    <row r="98" spans="1:94">
      <c r="A98" s="2004" t="s">
        <v>9057</v>
      </c>
      <c r="B98" s="2004" t="s">
        <v>9845</v>
      </c>
      <c r="C98" s="2004" t="s">
        <v>9047</v>
      </c>
      <c r="D98" s="2004" t="s">
        <v>1628</v>
      </c>
      <c r="E98" s="2004" t="s">
        <v>9194</v>
      </c>
      <c r="F98" s="2004" t="s">
        <v>9846</v>
      </c>
      <c r="G98" s="2004" t="s">
        <v>9331</v>
      </c>
      <c r="H98" s="2004" t="s">
        <v>9847</v>
      </c>
      <c r="I98" s="2004" t="s">
        <v>9848</v>
      </c>
      <c r="J98" s="2004" t="s">
        <v>9230</v>
      </c>
      <c r="K98" s="2004"/>
      <c r="L98" s="2004"/>
      <c r="M98" s="2004"/>
      <c r="N98" s="2004" t="s">
        <v>9386</v>
      </c>
      <c r="O98" s="2004" t="s">
        <v>9282</v>
      </c>
      <c r="P98" s="2004" t="s">
        <v>9849</v>
      </c>
      <c r="Q98" s="516">
        <v>1</v>
      </c>
      <c r="R98" s="2004" t="s">
        <v>9240</v>
      </c>
      <c r="S98" s="2004">
        <v>8.1999999999999993</v>
      </c>
      <c r="T98" s="2004">
        <v>8.1999999999999993</v>
      </c>
      <c r="U98" s="2004">
        <v>8.1999999999999993</v>
      </c>
      <c r="V98" s="2004">
        <v>8.1999999999999993</v>
      </c>
      <c r="W98" s="2004">
        <v>8.1999999999999993</v>
      </c>
      <c r="X98" s="2004">
        <v>8.1999999999999993</v>
      </c>
      <c r="Y98" s="2004"/>
      <c r="Z98" s="2004"/>
      <c r="AA98" s="2004"/>
      <c r="AB98" s="2004"/>
      <c r="AC98" s="2004"/>
      <c r="AD98" s="2004"/>
      <c r="AE98" s="2004"/>
      <c r="AF98" s="2004"/>
      <c r="AG98" s="2004"/>
      <c r="AH98" s="2004">
        <v>0</v>
      </c>
      <c r="AI98" s="2004"/>
      <c r="AJ98" s="2004"/>
      <c r="AK98" s="2004"/>
      <c r="AL98" s="2004"/>
      <c r="AM98" s="2004"/>
      <c r="AN98" s="2004"/>
      <c r="AO98" s="2004"/>
      <c r="AP98" s="2004"/>
      <c r="AQ98" s="2004"/>
      <c r="AR98" s="2004"/>
      <c r="AS98" s="2004"/>
      <c r="AT98" s="2004"/>
      <c r="AU98" s="2004"/>
      <c r="AV98" s="2004"/>
      <c r="AW98" s="2004"/>
      <c r="AX98" s="2004"/>
      <c r="AY98" s="2004"/>
      <c r="AZ98" s="2004"/>
      <c r="BA98" s="2004"/>
      <c r="BB98" s="2004"/>
      <c r="BC98" s="2004"/>
      <c r="BD98" s="2004"/>
      <c r="BE98" s="2004"/>
      <c r="BF98" s="2004"/>
      <c r="BG98" s="2004"/>
      <c r="BH98" s="2004"/>
      <c r="BI98" s="2004"/>
      <c r="BJ98" s="2004"/>
      <c r="BK98" s="2004"/>
      <c r="BL98" s="2004"/>
      <c r="BM98" s="2004"/>
      <c r="BN98" s="2004"/>
      <c r="BO98" s="2004"/>
      <c r="BP98" s="516">
        <v>8.3000000000000007</v>
      </c>
      <c r="BQ98" s="686">
        <v>8.5</v>
      </c>
      <c r="BR98" s="2004" t="s">
        <v>2337</v>
      </c>
      <c r="BS98" s="2004" t="s">
        <v>9204</v>
      </c>
      <c r="BT98" s="2004">
        <v>0</v>
      </c>
      <c r="BU98" s="2004" t="s">
        <v>9204</v>
      </c>
      <c r="BV98" s="2004">
        <v>0</v>
      </c>
      <c r="BW98" s="2004">
        <v>8.5</v>
      </c>
      <c r="BX98" s="2004" t="s">
        <v>2337</v>
      </c>
      <c r="BY98" s="2004">
        <v>0</v>
      </c>
      <c r="BZ98" s="2004">
        <v>0</v>
      </c>
      <c r="CA98" s="2004">
        <v>0</v>
      </c>
      <c r="CB98" s="2004">
        <v>0</v>
      </c>
      <c r="CC98" s="2004">
        <v>8.6999999999999993</v>
      </c>
      <c r="CD98" s="2004" t="s">
        <v>2337</v>
      </c>
      <c r="CE98" s="2004">
        <v>0</v>
      </c>
      <c r="CF98" s="2004">
        <v>0</v>
      </c>
      <c r="CG98" s="2004">
        <v>0</v>
      </c>
      <c r="CH98" s="2004">
        <v>0</v>
      </c>
      <c r="CI98" s="2004">
        <v>8.6999999999999993</v>
      </c>
      <c r="CJ98" s="2004" t="s">
        <v>2337</v>
      </c>
      <c r="CK98" s="2004">
        <v>0</v>
      </c>
      <c r="CL98" s="2004">
        <v>0</v>
      </c>
      <c r="CM98" s="2004">
        <v>0</v>
      </c>
      <c r="CN98" s="2004">
        <v>0</v>
      </c>
      <c r="CP98" s="2004" t="s">
        <v>9850</v>
      </c>
    </row>
    <row r="99" spans="1:94">
      <c r="A99" s="2004" t="s">
        <v>9057</v>
      </c>
      <c r="B99" s="2004" t="s">
        <v>9851</v>
      </c>
      <c r="C99" s="2004" t="s">
        <v>9047</v>
      </c>
      <c r="D99" s="2004" t="s">
        <v>1628</v>
      </c>
      <c r="E99" s="2004" t="s">
        <v>9194</v>
      </c>
      <c r="F99" s="2004" t="s">
        <v>9846</v>
      </c>
      <c r="G99" s="2004" t="s">
        <v>9337</v>
      </c>
      <c r="H99" s="2004" t="s">
        <v>9852</v>
      </c>
      <c r="I99" s="2004" t="s">
        <v>9853</v>
      </c>
      <c r="J99" s="2004" t="s">
        <v>9199</v>
      </c>
      <c r="K99" s="2004" t="s">
        <v>9200</v>
      </c>
      <c r="L99" s="2004"/>
      <c r="M99" s="2004" t="s">
        <v>2334</v>
      </c>
      <c r="N99" s="2004" t="s">
        <v>9281</v>
      </c>
      <c r="O99" s="2004" t="s">
        <v>9282</v>
      </c>
      <c r="P99" s="2004" t="s">
        <v>9283</v>
      </c>
      <c r="Q99" s="516">
        <v>1</v>
      </c>
      <c r="R99" s="2004" t="s">
        <v>9240</v>
      </c>
      <c r="S99" s="2004">
        <v>89.4</v>
      </c>
      <c r="T99" s="2004">
        <v>90</v>
      </c>
      <c r="U99" s="2004">
        <v>90</v>
      </c>
      <c r="V99" s="2004">
        <v>90</v>
      </c>
      <c r="W99" s="2004">
        <v>90</v>
      </c>
      <c r="X99" s="2004">
        <v>90</v>
      </c>
      <c r="Y99" s="2004"/>
      <c r="Z99" s="2004"/>
      <c r="AA99" s="2004"/>
      <c r="AB99" s="2004"/>
      <c r="AC99" s="2004"/>
      <c r="AD99" s="2004"/>
      <c r="AE99" s="2004"/>
      <c r="AF99" s="2004"/>
      <c r="AG99" s="2004"/>
      <c r="AH99" s="2004">
        <v>0</v>
      </c>
      <c r="AI99" s="2004" t="s">
        <v>2337</v>
      </c>
      <c r="AJ99" s="2004" t="s">
        <v>2337</v>
      </c>
      <c r="AK99" s="2004" t="s">
        <v>2337</v>
      </c>
      <c r="AL99" s="2004" t="s">
        <v>2337</v>
      </c>
      <c r="AM99" s="2004" t="s">
        <v>2337</v>
      </c>
      <c r="AN99" s="2004" t="s">
        <v>9284</v>
      </c>
      <c r="AO99" s="2004" t="s">
        <v>9284</v>
      </c>
      <c r="AP99" s="2004" t="s">
        <v>9284</v>
      </c>
      <c r="AQ99" s="2004" t="s">
        <v>9284</v>
      </c>
      <c r="AR99" s="2004" t="s">
        <v>9284</v>
      </c>
      <c r="AS99" s="2004" t="s">
        <v>9284</v>
      </c>
      <c r="AT99" s="2004" t="s">
        <v>9284</v>
      </c>
      <c r="AU99" s="2004" t="s">
        <v>9284</v>
      </c>
      <c r="AV99" s="2004" t="s">
        <v>9284</v>
      </c>
      <c r="AW99" s="2004" t="s">
        <v>9284</v>
      </c>
      <c r="AX99" s="2004" t="s">
        <v>9284</v>
      </c>
      <c r="AY99" s="2004" t="s">
        <v>9284</v>
      </c>
      <c r="AZ99" s="2004" t="s">
        <v>9284</v>
      </c>
      <c r="BA99" s="2004" t="s">
        <v>9284</v>
      </c>
      <c r="BB99" s="2004" t="s">
        <v>9284</v>
      </c>
      <c r="BC99" s="2004" t="s">
        <v>9284</v>
      </c>
      <c r="BD99" s="2004" t="s">
        <v>9284</v>
      </c>
      <c r="BE99" s="2004" t="s">
        <v>9284</v>
      </c>
      <c r="BF99" s="2004" t="s">
        <v>9284</v>
      </c>
      <c r="BG99" s="2004" t="s">
        <v>9284</v>
      </c>
      <c r="BH99" s="2004" t="s">
        <v>9284</v>
      </c>
      <c r="BI99" s="2004"/>
      <c r="BJ99" s="2004"/>
      <c r="BK99" s="2004"/>
      <c r="BL99" s="2004" t="s">
        <v>9284</v>
      </c>
      <c r="BM99" s="2004"/>
      <c r="BN99" s="2004">
        <v>1</v>
      </c>
      <c r="BO99" s="2004" t="s">
        <v>9203</v>
      </c>
      <c r="BP99" s="516">
        <v>83.72</v>
      </c>
      <c r="BQ99" s="686">
        <v>83.64</v>
      </c>
      <c r="BR99" s="2004" t="s">
        <v>2334</v>
      </c>
      <c r="BS99" s="2004" t="s">
        <v>9204</v>
      </c>
      <c r="BT99" s="2004">
        <v>0</v>
      </c>
      <c r="BU99" s="2004" t="s">
        <v>9204</v>
      </c>
      <c r="BV99" s="2004">
        <v>0</v>
      </c>
      <c r="BW99" s="2004">
        <v>87.53</v>
      </c>
      <c r="BX99" s="2004" t="s">
        <v>2334</v>
      </c>
      <c r="BY99" s="2004">
        <v>0</v>
      </c>
      <c r="BZ99" s="2004">
        <v>0</v>
      </c>
      <c r="CA99" s="2004">
        <v>0</v>
      </c>
      <c r="CB99" s="2004">
        <v>0</v>
      </c>
      <c r="CC99" s="2004">
        <v>86.39</v>
      </c>
      <c r="CD99" s="2004" t="s">
        <v>2334</v>
      </c>
      <c r="CE99" s="2004">
        <v>0</v>
      </c>
      <c r="CF99" s="2004">
        <v>0</v>
      </c>
      <c r="CG99" s="2004">
        <v>0</v>
      </c>
      <c r="CH99" s="2004">
        <v>0</v>
      </c>
      <c r="CI99" s="2004">
        <v>85.9</v>
      </c>
      <c r="CJ99" s="2004" t="s">
        <v>2334</v>
      </c>
      <c r="CK99" s="2004">
        <v>0</v>
      </c>
      <c r="CL99" s="2004">
        <v>0</v>
      </c>
      <c r="CM99" s="2004">
        <v>0</v>
      </c>
      <c r="CN99" s="2004">
        <v>0</v>
      </c>
      <c r="CP99" s="2004" t="s">
        <v>9854</v>
      </c>
    </row>
    <row r="100" spans="1:94">
      <c r="A100" s="2004" t="s">
        <v>9057</v>
      </c>
      <c r="B100" s="2004" t="s">
        <v>9855</v>
      </c>
      <c r="C100" s="2004" t="s">
        <v>9047</v>
      </c>
      <c r="D100" s="2004" t="s">
        <v>1628</v>
      </c>
      <c r="E100" s="2004" t="s">
        <v>9194</v>
      </c>
      <c r="F100" s="2004" t="s">
        <v>9846</v>
      </c>
      <c r="G100" s="2004" t="s">
        <v>9342</v>
      </c>
      <c r="H100" s="2004" t="s">
        <v>9856</v>
      </c>
      <c r="I100" s="2004" t="s">
        <v>9857</v>
      </c>
      <c r="J100" s="2004" t="s">
        <v>9230</v>
      </c>
      <c r="K100" s="2004"/>
      <c r="L100" s="2004"/>
      <c r="M100" s="2004"/>
      <c r="N100" s="2004" t="s">
        <v>9386</v>
      </c>
      <c r="O100" s="2004" t="s">
        <v>734</v>
      </c>
      <c r="P100" s="2004" t="s">
        <v>9387</v>
      </c>
      <c r="Q100" s="516">
        <v>0</v>
      </c>
      <c r="R100" s="2004" t="s">
        <v>9240</v>
      </c>
      <c r="S100" s="2004">
        <v>32</v>
      </c>
      <c r="T100" s="2004">
        <v>32</v>
      </c>
      <c r="U100" s="2004">
        <v>32</v>
      </c>
      <c r="V100" s="2004">
        <v>32</v>
      </c>
      <c r="W100" s="2004">
        <v>32</v>
      </c>
      <c r="X100" s="2004">
        <v>32</v>
      </c>
      <c r="Y100" s="2004"/>
      <c r="Z100" s="2004"/>
      <c r="AA100" s="2004"/>
      <c r="AB100" s="2004"/>
      <c r="AC100" s="2004"/>
      <c r="AD100" s="2004"/>
      <c r="AE100" s="2004"/>
      <c r="AF100" s="2004"/>
      <c r="AG100" s="2004"/>
      <c r="AH100" s="2004">
        <v>0</v>
      </c>
      <c r="AI100" s="2004"/>
      <c r="AJ100" s="2004"/>
      <c r="AK100" s="2004"/>
      <c r="AL100" s="2004"/>
      <c r="AM100" s="2004"/>
      <c r="AN100" s="2004"/>
      <c r="AO100" s="2004"/>
      <c r="AP100" s="2004"/>
      <c r="AQ100" s="2004"/>
      <c r="AR100" s="2004"/>
      <c r="AS100" s="2004"/>
      <c r="AT100" s="2004"/>
      <c r="AU100" s="2004"/>
      <c r="AV100" s="2004"/>
      <c r="AW100" s="2004"/>
      <c r="AX100" s="2004"/>
      <c r="AY100" s="2004"/>
      <c r="AZ100" s="2004"/>
      <c r="BA100" s="2004"/>
      <c r="BB100" s="2004"/>
      <c r="BC100" s="2004"/>
      <c r="BD100" s="2004"/>
      <c r="BE100" s="2004"/>
      <c r="BF100" s="2004"/>
      <c r="BG100" s="2004"/>
      <c r="BH100" s="2004"/>
      <c r="BI100" s="2004"/>
      <c r="BJ100" s="2004"/>
      <c r="BK100" s="2004"/>
      <c r="BL100" s="2004"/>
      <c r="BM100" s="2004"/>
      <c r="BN100" s="2004"/>
      <c r="BO100" s="2004"/>
      <c r="BP100" s="516">
        <v>42</v>
      </c>
      <c r="BQ100" s="689">
        <v>49</v>
      </c>
      <c r="BR100" s="2004" t="s">
        <v>2337</v>
      </c>
      <c r="BS100" s="2004" t="s">
        <v>9204</v>
      </c>
      <c r="BT100" s="2004">
        <v>0</v>
      </c>
      <c r="BU100" s="2004" t="s">
        <v>9204</v>
      </c>
      <c r="BV100" s="2004">
        <v>0</v>
      </c>
      <c r="BW100" s="2004">
        <v>46</v>
      </c>
      <c r="BX100" s="2004" t="s">
        <v>2337</v>
      </c>
      <c r="BY100" s="2004">
        <v>0</v>
      </c>
      <c r="BZ100" s="2004">
        <v>0</v>
      </c>
      <c r="CA100" s="2004">
        <v>0</v>
      </c>
      <c r="CB100" s="2004">
        <v>0</v>
      </c>
      <c r="CC100" s="2004">
        <v>44</v>
      </c>
      <c r="CD100" s="2004" t="s">
        <v>2337</v>
      </c>
      <c r="CE100" s="2004">
        <v>0</v>
      </c>
      <c r="CF100" s="2004">
        <v>0</v>
      </c>
      <c r="CG100" s="2004">
        <v>0</v>
      </c>
      <c r="CH100" s="2004">
        <v>0</v>
      </c>
      <c r="CI100" s="2004">
        <v>43</v>
      </c>
      <c r="CJ100" s="2004" t="s">
        <v>2337</v>
      </c>
      <c r="CK100" s="2004">
        <v>0</v>
      </c>
      <c r="CL100" s="2004">
        <v>0</v>
      </c>
      <c r="CM100" s="2004">
        <v>0</v>
      </c>
      <c r="CN100" s="2004">
        <v>0</v>
      </c>
      <c r="CP100" s="2004" t="s">
        <v>9858</v>
      </c>
    </row>
    <row r="101" spans="1:94">
      <c r="A101" s="2004" t="s">
        <v>9057</v>
      </c>
      <c r="B101" s="2004" t="s">
        <v>9859</v>
      </c>
      <c r="C101" s="2004" t="s">
        <v>9047</v>
      </c>
      <c r="D101" s="2004" t="s">
        <v>1628</v>
      </c>
      <c r="E101" s="2004" t="s">
        <v>9194</v>
      </c>
      <c r="F101" s="2004" t="s">
        <v>9860</v>
      </c>
      <c r="G101" s="2004" t="s">
        <v>9354</v>
      </c>
      <c r="H101" s="2004" t="s">
        <v>9861</v>
      </c>
      <c r="I101" s="2004" t="s">
        <v>9862</v>
      </c>
      <c r="J101" s="2004" t="s">
        <v>9230</v>
      </c>
      <c r="K101" s="2004"/>
      <c r="L101" s="2004"/>
      <c r="M101" s="2004"/>
      <c r="N101" s="2004" t="s">
        <v>9386</v>
      </c>
      <c r="O101" s="2004" t="s">
        <v>734</v>
      </c>
      <c r="P101" s="2004" t="s">
        <v>9387</v>
      </c>
      <c r="Q101" s="516">
        <v>0</v>
      </c>
      <c r="R101" s="2004" t="s">
        <v>9240</v>
      </c>
      <c r="S101" s="2004" t="s">
        <v>9863</v>
      </c>
      <c r="T101" s="2004" t="s">
        <v>9864</v>
      </c>
      <c r="U101" s="2004" t="s">
        <v>9864</v>
      </c>
      <c r="V101" s="2004" t="s">
        <v>9864</v>
      </c>
      <c r="W101" s="2004" t="s">
        <v>9864</v>
      </c>
      <c r="X101" s="2004" t="s">
        <v>9864</v>
      </c>
      <c r="Y101" s="2004"/>
      <c r="Z101" s="2004"/>
      <c r="AA101" s="2004"/>
      <c r="AB101" s="2004"/>
      <c r="AC101" s="2004"/>
      <c r="AD101" s="2004"/>
      <c r="AE101" s="2004"/>
      <c r="AF101" s="2004"/>
      <c r="AG101" s="2004"/>
      <c r="AH101" s="2004">
        <v>0</v>
      </c>
      <c r="AI101" s="2004"/>
      <c r="AJ101" s="2004"/>
      <c r="AK101" s="2004"/>
      <c r="AL101" s="2004"/>
      <c r="AM101" s="2004"/>
      <c r="AN101" s="2004"/>
      <c r="AO101" s="2004"/>
      <c r="AP101" s="2004"/>
      <c r="AQ101" s="2004"/>
      <c r="AR101" s="2004"/>
      <c r="AS101" s="2004"/>
      <c r="AT101" s="2004"/>
      <c r="AU101" s="2004"/>
      <c r="AV101" s="2004"/>
      <c r="AW101" s="2004"/>
      <c r="AX101" s="2004"/>
      <c r="AY101" s="2004"/>
      <c r="AZ101" s="2004"/>
      <c r="BA101" s="2004"/>
      <c r="BB101" s="2004"/>
      <c r="BC101" s="2004"/>
      <c r="BD101" s="2004"/>
      <c r="BE101" s="2004"/>
      <c r="BF101" s="2004"/>
      <c r="BG101" s="2004"/>
      <c r="BH101" s="2004"/>
      <c r="BI101" s="2004"/>
      <c r="BJ101" s="2004"/>
      <c r="BK101" s="2004"/>
      <c r="BL101" s="2004"/>
      <c r="BM101" s="2004"/>
      <c r="BN101" s="2004"/>
      <c r="BO101" s="2004"/>
      <c r="BP101" s="516">
        <v>91</v>
      </c>
      <c r="BQ101" s="688">
        <v>94</v>
      </c>
      <c r="BR101" s="2004" t="s">
        <v>9204</v>
      </c>
      <c r="BS101" s="2004" t="s">
        <v>9204</v>
      </c>
      <c r="BT101" s="2004">
        <v>0</v>
      </c>
      <c r="BU101" s="2004" t="s">
        <v>9204</v>
      </c>
      <c r="BV101" s="2004">
        <v>0</v>
      </c>
      <c r="BW101" s="2004">
        <v>94</v>
      </c>
      <c r="BX101" s="2004" t="s">
        <v>2335</v>
      </c>
      <c r="BY101" s="2004">
        <v>0</v>
      </c>
      <c r="BZ101" s="2004">
        <v>0</v>
      </c>
      <c r="CA101" s="2004">
        <v>0</v>
      </c>
      <c r="CB101" s="2004">
        <v>0</v>
      </c>
      <c r="CC101" s="2004">
        <v>94</v>
      </c>
      <c r="CD101" s="2004" t="s">
        <v>2337</v>
      </c>
      <c r="CE101" s="2004">
        <v>0</v>
      </c>
      <c r="CF101" s="2004">
        <v>0</v>
      </c>
      <c r="CG101" s="2004">
        <v>0</v>
      </c>
      <c r="CH101" s="2004">
        <v>0</v>
      </c>
      <c r="CI101" s="2004">
        <v>93</v>
      </c>
      <c r="CJ101" s="2004" t="s">
        <v>2334</v>
      </c>
      <c r="CK101" s="2004">
        <v>0</v>
      </c>
      <c r="CL101" s="2004">
        <v>0</v>
      </c>
      <c r="CM101" s="2004">
        <v>0</v>
      </c>
      <c r="CN101" s="2004">
        <v>0</v>
      </c>
      <c r="CP101" s="2004" t="s">
        <v>9865</v>
      </c>
    </row>
    <row r="102" spans="1:94">
      <c r="A102" s="2004" t="s">
        <v>9057</v>
      </c>
      <c r="B102" s="2004" t="s">
        <v>9866</v>
      </c>
      <c r="C102" s="2004" t="s">
        <v>9047</v>
      </c>
      <c r="D102" s="2004" t="s">
        <v>1628</v>
      </c>
      <c r="E102" s="2004" t="s">
        <v>9194</v>
      </c>
      <c r="F102" s="2004" t="s">
        <v>9867</v>
      </c>
      <c r="G102" s="2004" t="s">
        <v>9369</v>
      </c>
      <c r="H102" s="2004" t="s">
        <v>9868</v>
      </c>
      <c r="I102" s="2004" t="s">
        <v>9869</v>
      </c>
      <c r="J102" s="2004" t="s">
        <v>9230</v>
      </c>
      <c r="K102" s="2004"/>
      <c r="L102" s="2004"/>
      <c r="M102" s="2004"/>
      <c r="N102" s="2004" t="s">
        <v>9372</v>
      </c>
      <c r="O102" s="2004" t="s">
        <v>766</v>
      </c>
      <c r="P102" s="2004" t="s">
        <v>9870</v>
      </c>
      <c r="Q102" s="516">
        <v>0</v>
      </c>
      <c r="R102" s="2004" t="s">
        <v>9202</v>
      </c>
      <c r="S102" s="2004">
        <v>206</v>
      </c>
      <c r="T102" s="2004">
        <v>194</v>
      </c>
      <c r="U102" s="2004">
        <v>183</v>
      </c>
      <c r="V102" s="2004">
        <v>172</v>
      </c>
      <c r="W102" s="2004">
        <v>161</v>
      </c>
      <c r="X102" s="2004">
        <v>150</v>
      </c>
      <c r="Y102" s="2004"/>
      <c r="Z102" s="2004"/>
      <c r="AA102" s="2004"/>
      <c r="AB102" s="2004"/>
      <c r="AC102" s="2004"/>
      <c r="AD102" s="2004"/>
      <c r="AE102" s="2004"/>
      <c r="AF102" s="2004"/>
      <c r="AG102" s="2004"/>
      <c r="AH102" s="2004">
        <v>0</v>
      </c>
      <c r="AI102" s="2004"/>
      <c r="AJ102" s="2004"/>
      <c r="AK102" s="2004"/>
      <c r="AL102" s="2004"/>
      <c r="AM102" s="2004"/>
      <c r="AN102" s="2004"/>
      <c r="AO102" s="2004"/>
      <c r="AP102" s="2004"/>
      <c r="AQ102" s="2004"/>
      <c r="AR102" s="2004"/>
      <c r="AS102" s="2004"/>
      <c r="AT102" s="2004"/>
      <c r="AU102" s="2004"/>
      <c r="AV102" s="2004"/>
      <c r="AW102" s="2004"/>
      <c r="AX102" s="2004"/>
      <c r="AY102" s="2004"/>
      <c r="AZ102" s="2004"/>
      <c r="BA102" s="2004"/>
      <c r="BB102" s="2004"/>
      <c r="BC102" s="2004"/>
      <c r="BD102" s="2004"/>
      <c r="BE102" s="2004"/>
      <c r="BF102" s="2004"/>
      <c r="BG102" s="2004"/>
      <c r="BH102" s="2004"/>
      <c r="BI102" s="2004"/>
      <c r="BJ102" s="2004"/>
      <c r="BK102" s="2004"/>
      <c r="BL102" s="2004"/>
      <c r="BM102" s="2004"/>
      <c r="BN102" s="2004"/>
      <c r="BO102" s="2004"/>
      <c r="BP102" s="516">
        <v>213.6</v>
      </c>
      <c r="BQ102" s="689">
        <v>225.2</v>
      </c>
      <c r="BR102" s="2004" t="s">
        <v>2334</v>
      </c>
      <c r="BS102" s="2004" t="s">
        <v>9204</v>
      </c>
      <c r="BT102" s="2004">
        <v>0</v>
      </c>
      <c r="BU102" s="2004" t="s">
        <v>9204</v>
      </c>
      <c r="BV102" s="2004">
        <v>0</v>
      </c>
      <c r="BW102" s="2004">
        <v>187.7</v>
      </c>
      <c r="BX102" s="2004" t="s">
        <v>2334</v>
      </c>
      <c r="BY102" s="2004">
        <v>0</v>
      </c>
      <c r="BZ102" s="2004">
        <v>0</v>
      </c>
      <c r="CA102" s="2004">
        <v>0</v>
      </c>
      <c r="CB102" s="2004">
        <v>0</v>
      </c>
      <c r="CC102" s="2004">
        <v>164</v>
      </c>
      <c r="CD102" s="2004" t="s">
        <v>2337</v>
      </c>
      <c r="CE102" s="2004">
        <v>0</v>
      </c>
      <c r="CF102" s="2004">
        <v>0</v>
      </c>
      <c r="CG102" s="2004">
        <v>0</v>
      </c>
      <c r="CH102" s="2004">
        <v>0</v>
      </c>
      <c r="CI102" s="2004">
        <v>148</v>
      </c>
      <c r="CJ102" s="2004" t="s">
        <v>2337</v>
      </c>
      <c r="CK102" s="2004">
        <v>0</v>
      </c>
      <c r="CL102" s="2004">
        <v>0</v>
      </c>
      <c r="CM102" s="2004">
        <v>0</v>
      </c>
      <c r="CN102" s="2004">
        <v>0</v>
      </c>
      <c r="CP102" s="2004" t="s">
        <v>9871</v>
      </c>
    </row>
    <row r="103" spans="1:94" ht="25.5">
      <c r="A103" s="2004" t="s">
        <v>9057</v>
      </c>
      <c r="B103" s="2004" t="s">
        <v>9872</v>
      </c>
      <c r="C103" s="2004" t="s">
        <v>9047</v>
      </c>
      <c r="D103" s="2004" t="s">
        <v>1628</v>
      </c>
      <c r="E103" s="2004" t="s">
        <v>9194</v>
      </c>
      <c r="F103" s="2004" t="s">
        <v>9867</v>
      </c>
      <c r="G103" s="2004" t="s">
        <v>9376</v>
      </c>
      <c r="H103" s="2004" t="s">
        <v>9873</v>
      </c>
      <c r="I103" s="2004" t="s">
        <v>9874</v>
      </c>
      <c r="J103" s="2004" t="s">
        <v>9230</v>
      </c>
      <c r="K103" s="2004"/>
      <c r="L103" s="2004"/>
      <c r="M103" s="2004"/>
      <c r="N103" s="2004" t="s">
        <v>9364</v>
      </c>
      <c r="O103" s="2004" t="s">
        <v>9487</v>
      </c>
      <c r="P103" s="2004" t="s">
        <v>9875</v>
      </c>
      <c r="Q103" s="516" t="s">
        <v>9203</v>
      </c>
      <c r="R103" s="2004"/>
      <c r="S103" s="2004" t="s">
        <v>9863</v>
      </c>
      <c r="T103" s="2004" t="s">
        <v>9876</v>
      </c>
      <c r="U103" s="2004" t="s">
        <v>9876</v>
      </c>
      <c r="V103" s="2004" t="s">
        <v>9876</v>
      </c>
      <c r="W103" s="2004" t="s">
        <v>9876</v>
      </c>
      <c r="X103" s="2004" t="s">
        <v>9876</v>
      </c>
      <c r="Y103" s="2004"/>
      <c r="Z103" s="2004"/>
      <c r="AA103" s="2004"/>
      <c r="AB103" s="2004"/>
      <c r="AC103" s="2004"/>
      <c r="AD103" s="2004"/>
      <c r="AE103" s="2004"/>
      <c r="AF103" s="2004"/>
      <c r="AG103" s="2004"/>
      <c r="AH103" s="2004">
        <v>0</v>
      </c>
      <c r="AI103" s="2004"/>
      <c r="AJ103" s="2004"/>
      <c r="AK103" s="2004"/>
      <c r="AL103" s="2004"/>
      <c r="AM103" s="2004"/>
      <c r="AN103" s="2004"/>
      <c r="AO103" s="2004"/>
      <c r="AP103" s="2004"/>
      <c r="AQ103" s="2004"/>
      <c r="AR103" s="2004"/>
      <c r="AS103" s="2004"/>
      <c r="AT103" s="2004"/>
      <c r="AU103" s="2004"/>
      <c r="AV103" s="2004"/>
      <c r="AW103" s="2004"/>
      <c r="AX103" s="2004"/>
      <c r="AY103" s="2004"/>
      <c r="AZ103" s="2004"/>
      <c r="BA103" s="2004"/>
      <c r="BB103" s="2004"/>
      <c r="BC103" s="2004"/>
      <c r="BD103" s="2004"/>
      <c r="BE103" s="2004"/>
      <c r="BF103" s="2004"/>
      <c r="BG103" s="2004"/>
      <c r="BH103" s="2004"/>
      <c r="BI103" s="2004"/>
      <c r="BJ103" s="2004"/>
      <c r="BK103" s="2004"/>
      <c r="BL103" s="2004"/>
      <c r="BM103" s="2004"/>
      <c r="BN103" s="2004"/>
      <c r="BO103" s="2004"/>
      <c r="BP103" s="516" t="s">
        <v>4150</v>
      </c>
      <c r="BQ103" s="688" t="s">
        <v>9877</v>
      </c>
      <c r="BR103" s="2004" t="s">
        <v>2337</v>
      </c>
      <c r="BS103" s="2004" t="s">
        <v>9204</v>
      </c>
      <c r="BT103" s="2004">
        <v>0</v>
      </c>
      <c r="BU103" s="2004" t="s">
        <v>9204</v>
      </c>
      <c r="BV103" s="2004">
        <v>0</v>
      </c>
      <c r="BW103" s="2004" t="s">
        <v>9878</v>
      </c>
      <c r="BX103" s="2004" t="s">
        <v>2337</v>
      </c>
      <c r="BY103" s="2004">
        <v>0</v>
      </c>
      <c r="BZ103" s="2004">
        <v>0</v>
      </c>
      <c r="CA103" s="2004">
        <v>0</v>
      </c>
      <c r="CB103" s="2004">
        <v>0</v>
      </c>
      <c r="CC103" s="2004" t="s">
        <v>9879</v>
      </c>
      <c r="CD103" s="2004" t="s">
        <v>2337</v>
      </c>
      <c r="CE103" s="2004">
        <v>0</v>
      </c>
      <c r="CF103" s="2004">
        <v>0</v>
      </c>
      <c r="CG103" s="2004">
        <v>0</v>
      </c>
      <c r="CH103" s="2004">
        <v>0</v>
      </c>
      <c r="CI103" s="2004" t="s">
        <v>9880</v>
      </c>
      <c r="CJ103" s="2004" t="s">
        <v>2337</v>
      </c>
      <c r="CK103" s="2004">
        <v>0</v>
      </c>
      <c r="CL103" s="2004">
        <v>0</v>
      </c>
      <c r="CM103" s="2004">
        <v>0</v>
      </c>
      <c r="CN103" s="2004">
        <v>0</v>
      </c>
      <c r="CP103" s="2004" t="s">
        <v>9881</v>
      </c>
    </row>
    <row r="104" spans="1:94">
      <c r="A104" s="2004" t="s">
        <v>9057</v>
      </c>
      <c r="B104" s="2004" t="s">
        <v>9882</v>
      </c>
      <c r="C104" s="2004" t="s">
        <v>9047</v>
      </c>
      <c r="D104" s="2004" t="s">
        <v>1629</v>
      </c>
      <c r="E104" s="2004" t="s">
        <v>9410</v>
      </c>
      <c r="F104" s="2004" t="s">
        <v>9743</v>
      </c>
      <c r="G104" s="2004" t="s">
        <v>9883</v>
      </c>
      <c r="H104" s="2004" t="s">
        <v>9884</v>
      </c>
      <c r="I104" s="2004" t="s">
        <v>9885</v>
      </c>
      <c r="J104" s="2004" t="s">
        <v>9230</v>
      </c>
      <c r="K104" s="2004"/>
      <c r="L104" s="2004"/>
      <c r="M104" s="2004"/>
      <c r="N104" s="2004" t="s">
        <v>9477</v>
      </c>
      <c r="O104" s="2004" t="s">
        <v>4140</v>
      </c>
      <c r="P104" s="2004" t="s">
        <v>9746</v>
      </c>
      <c r="Q104" s="516" t="s">
        <v>9203</v>
      </c>
      <c r="R104" s="2004"/>
      <c r="S104" s="2004" t="s">
        <v>4140</v>
      </c>
      <c r="T104" s="2004" t="s">
        <v>4140</v>
      </c>
      <c r="U104" s="2004" t="s">
        <v>4140</v>
      </c>
      <c r="V104" s="2004" t="s">
        <v>4140</v>
      </c>
      <c r="W104" s="2004" t="s">
        <v>4140</v>
      </c>
      <c r="X104" s="2004" t="s">
        <v>4140</v>
      </c>
      <c r="Y104" s="2004"/>
      <c r="Z104" s="2004"/>
      <c r="AA104" s="2004"/>
      <c r="AB104" s="2004"/>
      <c r="AC104" s="2004"/>
      <c r="AD104" s="2004"/>
      <c r="AE104" s="2004" t="s">
        <v>2337</v>
      </c>
      <c r="AF104" s="2004"/>
      <c r="AG104" s="2004"/>
      <c r="AH104" s="2004">
        <v>0</v>
      </c>
      <c r="AI104" s="2004"/>
      <c r="AJ104" s="2004"/>
      <c r="AK104" s="2004"/>
      <c r="AL104" s="2004"/>
      <c r="AM104" s="2004"/>
      <c r="AN104" s="2004"/>
      <c r="AO104" s="2004"/>
      <c r="AP104" s="2004"/>
      <c r="AQ104" s="2004"/>
      <c r="AR104" s="2004"/>
      <c r="AS104" s="2004"/>
      <c r="AT104" s="2004"/>
      <c r="AU104" s="2004"/>
      <c r="AV104" s="2004"/>
      <c r="AW104" s="2004"/>
      <c r="AX104" s="2004"/>
      <c r="AY104" s="2004"/>
      <c r="AZ104" s="2004"/>
      <c r="BA104" s="2004"/>
      <c r="BB104" s="2004"/>
      <c r="BC104" s="2004"/>
      <c r="BD104" s="2004"/>
      <c r="BE104" s="2004"/>
      <c r="BF104" s="2004"/>
      <c r="BG104" s="2004"/>
      <c r="BH104" s="2004"/>
      <c r="BI104" s="2004"/>
      <c r="BJ104" s="2004"/>
      <c r="BK104" s="2004"/>
      <c r="BL104" s="2004"/>
      <c r="BM104" s="2004"/>
      <c r="BN104" s="2004"/>
      <c r="BO104" s="2004"/>
      <c r="BP104" s="516" t="s">
        <v>4150</v>
      </c>
      <c r="BQ104" s="688" t="s">
        <v>4150</v>
      </c>
      <c r="BR104" s="2004" t="s">
        <v>9204</v>
      </c>
      <c r="BS104" s="2004" t="s">
        <v>9204</v>
      </c>
      <c r="BT104" s="2004">
        <v>0</v>
      </c>
      <c r="BU104" s="2004" t="s">
        <v>9204</v>
      </c>
      <c r="BV104" s="2004">
        <v>0</v>
      </c>
      <c r="BW104" s="2004" t="s">
        <v>4150</v>
      </c>
      <c r="BX104" s="2004" t="s">
        <v>2335</v>
      </c>
      <c r="BY104" s="2004">
        <v>0</v>
      </c>
      <c r="BZ104" s="2004">
        <v>0</v>
      </c>
      <c r="CA104" s="2004">
        <v>0</v>
      </c>
      <c r="CB104" s="2004">
        <v>0</v>
      </c>
      <c r="CC104" s="2004" t="s">
        <v>4150</v>
      </c>
      <c r="CD104" s="2004" t="s">
        <v>2335</v>
      </c>
      <c r="CE104" s="2004">
        <v>0</v>
      </c>
      <c r="CF104" s="2004">
        <v>0</v>
      </c>
      <c r="CG104" s="2004">
        <v>0</v>
      </c>
      <c r="CH104" s="2004">
        <v>0</v>
      </c>
      <c r="CI104" s="2004" t="s">
        <v>4150</v>
      </c>
      <c r="CJ104" s="2004" t="s">
        <v>2335</v>
      </c>
      <c r="CK104" s="2004">
        <v>0</v>
      </c>
      <c r="CL104" s="2004">
        <v>0</v>
      </c>
      <c r="CM104" s="2004">
        <v>0</v>
      </c>
      <c r="CN104" s="2004">
        <v>0</v>
      </c>
      <c r="CP104" s="2004" t="s">
        <v>9886</v>
      </c>
    </row>
    <row r="105" spans="1:94">
      <c r="A105" s="2004" t="s">
        <v>9057</v>
      </c>
      <c r="B105" s="2004" t="s">
        <v>9887</v>
      </c>
      <c r="C105" s="2004" t="s">
        <v>9047</v>
      </c>
      <c r="D105" s="2004" t="s">
        <v>1629</v>
      </c>
      <c r="E105" s="2004" t="s">
        <v>9410</v>
      </c>
      <c r="F105" s="2004" t="s">
        <v>9888</v>
      </c>
      <c r="G105" s="2004" t="s">
        <v>9431</v>
      </c>
      <c r="H105" s="2004" t="s">
        <v>9889</v>
      </c>
      <c r="I105" s="2004" t="s">
        <v>9890</v>
      </c>
      <c r="J105" s="2004" t="s">
        <v>9199</v>
      </c>
      <c r="K105" s="2004" t="s">
        <v>9545</v>
      </c>
      <c r="L105" s="2004"/>
      <c r="M105" s="2004"/>
      <c r="N105" s="2004" t="s">
        <v>9414</v>
      </c>
      <c r="O105" s="2004" t="s">
        <v>766</v>
      </c>
      <c r="P105" s="2004" t="s">
        <v>9891</v>
      </c>
      <c r="Q105" s="516">
        <v>0</v>
      </c>
      <c r="R105" s="2004" t="s">
        <v>9202</v>
      </c>
      <c r="S105" s="2004">
        <v>1318</v>
      </c>
      <c r="T105" s="2004">
        <v>1318</v>
      </c>
      <c r="U105" s="2004">
        <v>1318</v>
      </c>
      <c r="V105" s="2004">
        <v>1318</v>
      </c>
      <c r="W105" s="2004">
        <v>1318</v>
      </c>
      <c r="X105" s="2004">
        <v>1318</v>
      </c>
      <c r="Y105" s="2004"/>
      <c r="Z105" s="2004"/>
      <c r="AA105" s="2004"/>
      <c r="AB105" s="2004"/>
      <c r="AC105" s="2004"/>
      <c r="AD105" s="2004"/>
      <c r="AE105" s="2004" t="s">
        <v>2337</v>
      </c>
      <c r="AF105" s="2004"/>
      <c r="AG105" s="2004"/>
      <c r="AH105" s="2004">
        <v>0</v>
      </c>
      <c r="AI105" s="2004" t="s">
        <v>2337</v>
      </c>
      <c r="AJ105" s="2004" t="s">
        <v>2337</v>
      </c>
      <c r="AK105" s="2004" t="s">
        <v>2337</v>
      </c>
      <c r="AL105" s="2004" t="s">
        <v>2337</v>
      </c>
      <c r="AM105" s="2004" t="s">
        <v>2337</v>
      </c>
      <c r="AN105" s="2004" t="s">
        <v>9892</v>
      </c>
      <c r="AO105" s="2004" t="s">
        <v>9892</v>
      </c>
      <c r="AP105" s="2004" t="s">
        <v>9892</v>
      </c>
      <c r="AQ105" s="2004" t="s">
        <v>9892</v>
      </c>
      <c r="AR105" s="2004" t="s">
        <v>9892</v>
      </c>
      <c r="AS105" s="2004" t="s">
        <v>9893</v>
      </c>
      <c r="AT105" s="2004" t="s">
        <v>9893</v>
      </c>
      <c r="AU105" s="2004" t="s">
        <v>9893</v>
      </c>
      <c r="AV105" s="2004" t="s">
        <v>9893</v>
      </c>
      <c r="AW105" s="2004" t="s">
        <v>9893</v>
      </c>
      <c r="AX105" s="2004" t="s">
        <v>9894</v>
      </c>
      <c r="AY105" s="2004" t="s">
        <v>9894</v>
      </c>
      <c r="AZ105" s="2004" t="s">
        <v>9894</v>
      </c>
      <c r="BA105" s="2004" t="s">
        <v>9894</v>
      </c>
      <c r="BB105" s="2004" t="s">
        <v>9894</v>
      </c>
      <c r="BC105" s="2004" t="s">
        <v>9895</v>
      </c>
      <c r="BD105" s="2004" t="s">
        <v>9895</v>
      </c>
      <c r="BE105" s="2004" t="s">
        <v>9895</v>
      </c>
      <c r="BF105" s="2004" t="s">
        <v>9895</v>
      </c>
      <c r="BG105" s="2004" t="s">
        <v>9895</v>
      </c>
      <c r="BH105" s="2004">
        <v>3.0000000000000001E-3</v>
      </c>
      <c r="BI105" s="2004"/>
      <c r="BJ105" s="2004"/>
      <c r="BK105" s="2004"/>
      <c r="BL105" s="2004">
        <v>2E-3</v>
      </c>
      <c r="BM105" s="2004"/>
      <c r="BN105" s="2004">
        <v>1</v>
      </c>
      <c r="BO105" s="2004" t="s">
        <v>9203</v>
      </c>
      <c r="BP105" s="516">
        <v>1170</v>
      </c>
      <c r="BQ105" s="689">
        <v>1061</v>
      </c>
      <c r="BR105" s="2004" t="s">
        <v>2337</v>
      </c>
      <c r="BS105" s="2004" t="s">
        <v>9204</v>
      </c>
      <c r="BT105" s="2004">
        <v>0</v>
      </c>
      <c r="BU105" s="2004" t="s">
        <v>2339</v>
      </c>
      <c r="BV105" s="2004">
        <v>0.156</v>
      </c>
      <c r="BW105" s="2004">
        <v>839</v>
      </c>
      <c r="BX105" s="2004" t="s">
        <v>2337</v>
      </c>
      <c r="BY105" s="2004">
        <v>0</v>
      </c>
      <c r="BZ105" s="2004">
        <v>0</v>
      </c>
      <c r="CA105" s="2004" t="s">
        <v>2339</v>
      </c>
      <c r="CB105" s="2004">
        <v>0.6</v>
      </c>
      <c r="CC105" s="2004">
        <v>944</v>
      </c>
      <c r="CD105" s="2004" t="s">
        <v>2337</v>
      </c>
      <c r="CE105" s="2004">
        <v>0</v>
      </c>
      <c r="CF105" s="2004">
        <v>0</v>
      </c>
      <c r="CG105" s="2004" t="s">
        <v>2339</v>
      </c>
      <c r="CH105" s="2004">
        <v>0.39</v>
      </c>
      <c r="CI105" s="2004">
        <v>902</v>
      </c>
      <c r="CJ105" s="2004" t="s">
        <v>2337</v>
      </c>
      <c r="CK105" s="2004">
        <v>0</v>
      </c>
      <c r="CL105" s="2004">
        <v>0</v>
      </c>
      <c r="CM105" s="2004" t="s">
        <v>2339</v>
      </c>
      <c r="CN105" s="2004">
        <v>0.47399999999999998</v>
      </c>
      <c r="CP105" s="2004" t="s">
        <v>9896</v>
      </c>
    </row>
    <row r="106" spans="1:94">
      <c r="A106" s="2004" t="s">
        <v>9057</v>
      </c>
      <c r="B106" s="2004" t="s">
        <v>9897</v>
      </c>
      <c r="C106" s="2004" t="s">
        <v>9047</v>
      </c>
      <c r="D106" s="2004" t="s">
        <v>1629</v>
      </c>
      <c r="E106" s="2004" t="s">
        <v>9410</v>
      </c>
      <c r="F106" s="2004" t="s">
        <v>9888</v>
      </c>
      <c r="G106" s="2004" t="s">
        <v>9898</v>
      </c>
      <c r="H106" s="2004" t="s">
        <v>9899</v>
      </c>
      <c r="I106" s="2004" t="s">
        <v>9900</v>
      </c>
      <c r="J106" s="2004" t="s">
        <v>9199</v>
      </c>
      <c r="K106" s="2004" t="s">
        <v>9545</v>
      </c>
      <c r="L106" s="2004"/>
      <c r="M106" s="2004"/>
      <c r="N106" s="2004" t="s">
        <v>9414</v>
      </c>
      <c r="O106" s="2004" t="s">
        <v>766</v>
      </c>
      <c r="P106" s="2004" t="s">
        <v>9901</v>
      </c>
      <c r="Q106" s="516">
        <v>0</v>
      </c>
      <c r="R106" s="2004" t="s">
        <v>9202</v>
      </c>
      <c r="S106" s="2004">
        <v>300</v>
      </c>
      <c r="T106" s="2004">
        <v>262</v>
      </c>
      <c r="U106" s="2004">
        <v>224</v>
      </c>
      <c r="V106" s="2004">
        <v>186</v>
      </c>
      <c r="W106" s="2004">
        <v>186</v>
      </c>
      <c r="X106" s="2004">
        <v>186</v>
      </c>
      <c r="Y106" s="2004"/>
      <c r="Z106" s="2004"/>
      <c r="AA106" s="2004"/>
      <c r="AB106" s="2004"/>
      <c r="AC106" s="2004" t="s">
        <v>2337</v>
      </c>
      <c r="AD106" s="2004"/>
      <c r="AE106" s="2004" t="s">
        <v>2337</v>
      </c>
      <c r="AF106" s="2004"/>
      <c r="AG106" s="2004"/>
      <c r="AH106" s="2004">
        <v>0</v>
      </c>
      <c r="AI106" s="2004" t="s">
        <v>2337</v>
      </c>
      <c r="AJ106" s="2004" t="s">
        <v>2337</v>
      </c>
      <c r="AK106" s="2004" t="s">
        <v>2337</v>
      </c>
      <c r="AL106" s="2004" t="s">
        <v>2337</v>
      </c>
      <c r="AM106" s="2004" t="s">
        <v>2337</v>
      </c>
      <c r="AN106" s="2004">
        <v>383</v>
      </c>
      <c r="AO106" s="2004">
        <v>383</v>
      </c>
      <c r="AP106" s="2004">
        <v>269</v>
      </c>
      <c r="AQ106" s="2004">
        <v>269</v>
      </c>
      <c r="AR106" s="2004">
        <v>269</v>
      </c>
      <c r="AS106" s="2004">
        <v>300</v>
      </c>
      <c r="AT106" s="2004">
        <v>300</v>
      </c>
      <c r="AU106" s="2004">
        <v>186</v>
      </c>
      <c r="AV106" s="2004">
        <v>186</v>
      </c>
      <c r="AW106" s="2004">
        <v>186</v>
      </c>
      <c r="AX106" s="2004">
        <v>186</v>
      </c>
      <c r="AY106" s="2004">
        <v>186</v>
      </c>
      <c r="AZ106" s="2004">
        <v>186</v>
      </c>
      <c r="BA106" s="2004">
        <v>186</v>
      </c>
      <c r="BB106" s="2004">
        <v>186</v>
      </c>
      <c r="BC106" s="2004">
        <v>89</v>
      </c>
      <c r="BD106" s="2004">
        <v>89</v>
      </c>
      <c r="BE106" s="2004">
        <v>89</v>
      </c>
      <c r="BF106" s="2004">
        <v>89</v>
      </c>
      <c r="BG106" s="2004">
        <v>89</v>
      </c>
      <c r="BH106" s="2004">
        <v>1.7000000000000001E-2</v>
      </c>
      <c r="BI106" s="2004"/>
      <c r="BJ106" s="2004"/>
      <c r="BK106" s="2004"/>
      <c r="BL106" s="2004">
        <v>1.2999999999999999E-2</v>
      </c>
      <c r="BM106" s="2004"/>
      <c r="BN106" s="2004">
        <v>1</v>
      </c>
      <c r="BO106" s="2004" t="s">
        <v>9203</v>
      </c>
      <c r="BP106" s="516">
        <v>228</v>
      </c>
      <c r="BQ106" s="689">
        <v>143</v>
      </c>
      <c r="BR106" s="2004" t="s">
        <v>2337</v>
      </c>
      <c r="BS106" s="2004" t="s">
        <v>9204</v>
      </c>
      <c r="BT106" s="2004">
        <v>0</v>
      </c>
      <c r="BU106" s="2004" t="s">
        <v>2339</v>
      </c>
      <c r="BV106" s="2004">
        <v>0.55900000000000005</v>
      </c>
      <c r="BW106" s="2004">
        <v>119</v>
      </c>
      <c r="BX106" s="2004" t="s">
        <v>2337</v>
      </c>
      <c r="BY106" s="2004">
        <v>0</v>
      </c>
      <c r="BZ106" s="2004">
        <v>0</v>
      </c>
      <c r="CA106" s="2004" t="s">
        <v>2339</v>
      </c>
      <c r="CB106" s="2004">
        <v>0.871</v>
      </c>
      <c r="CC106" s="2004">
        <v>96</v>
      </c>
      <c r="CD106" s="2004" t="s">
        <v>2337</v>
      </c>
      <c r="CE106" s="2004">
        <v>0</v>
      </c>
      <c r="CF106" s="2004">
        <v>0</v>
      </c>
      <c r="CG106" s="2004" t="s">
        <v>2339</v>
      </c>
      <c r="CH106" s="2004">
        <v>1.17</v>
      </c>
      <c r="CI106" s="2004">
        <v>124</v>
      </c>
      <c r="CJ106" s="2004" t="s">
        <v>2337</v>
      </c>
      <c r="CK106" s="2004">
        <v>0</v>
      </c>
      <c r="CL106" s="2004">
        <v>0</v>
      </c>
      <c r="CM106" s="2004" t="s">
        <v>2339</v>
      </c>
      <c r="CN106" s="2004">
        <v>0.80600000000000005</v>
      </c>
      <c r="CP106" s="2004" t="s">
        <v>9902</v>
      </c>
    </row>
    <row r="107" spans="1:94">
      <c r="A107" s="2004" t="s">
        <v>9057</v>
      </c>
      <c r="B107" s="2004" t="s">
        <v>9903</v>
      </c>
      <c r="C107" s="2004" t="s">
        <v>9047</v>
      </c>
      <c r="D107" s="2004" t="s">
        <v>1629</v>
      </c>
      <c r="E107" s="2004" t="s">
        <v>9410</v>
      </c>
      <c r="F107" s="2004" t="s">
        <v>9888</v>
      </c>
      <c r="G107" s="2004" t="s">
        <v>9904</v>
      </c>
      <c r="H107" s="2004" t="s">
        <v>9905</v>
      </c>
      <c r="I107" s="2004" t="s">
        <v>9906</v>
      </c>
      <c r="J107" s="2004" t="s">
        <v>9199</v>
      </c>
      <c r="K107" s="2004" t="s">
        <v>9545</v>
      </c>
      <c r="L107" s="2004"/>
      <c r="M107" s="2004" t="s">
        <v>2334</v>
      </c>
      <c r="N107" s="2004" t="s">
        <v>9414</v>
      </c>
      <c r="O107" s="2004" t="s">
        <v>766</v>
      </c>
      <c r="P107" s="2004" t="s">
        <v>9891</v>
      </c>
      <c r="Q107" s="516">
        <v>0</v>
      </c>
      <c r="R107" s="2004" t="s">
        <v>9202</v>
      </c>
      <c r="S107" s="2004">
        <v>496</v>
      </c>
      <c r="T107" s="2004">
        <v>496</v>
      </c>
      <c r="U107" s="2004">
        <v>496</v>
      </c>
      <c r="V107" s="2004">
        <v>496</v>
      </c>
      <c r="W107" s="2004">
        <v>496</v>
      </c>
      <c r="X107" s="2004">
        <v>496</v>
      </c>
      <c r="Y107" s="2004"/>
      <c r="Z107" s="2004"/>
      <c r="AA107" s="2004"/>
      <c r="AB107" s="2004"/>
      <c r="AC107" s="2004"/>
      <c r="AD107" s="2004"/>
      <c r="AE107" s="2004" t="s">
        <v>2337</v>
      </c>
      <c r="AF107" s="2004"/>
      <c r="AG107" s="2004"/>
      <c r="AH107" s="2004">
        <v>0</v>
      </c>
      <c r="AI107" s="2004"/>
      <c r="AJ107" s="2004"/>
      <c r="AK107" s="2004" t="s">
        <v>2337</v>
      </c>
      <c r="AL107" s="2004" t="s">
        <v>2337</v>
      </c>
      <c r="AM107" s="2004" t="s">
        <v>2337</v>
      </c>
      <c r="AN107" s="2004" t="s">
        <v>9907</v>
      </c>
      <c r="AO107" s="2004" t="s">
        <v>9907</v>
      </c>
      <c r="AP107" s="2004" t="s">
        <v>9907</v>
      </c>
      <c r="AQ107" s="2004" t="s">
        <v>9907</v>
      </c>
      <c r="AR107" s="2004" t="s">
        <v>9907</v>
      </c>
      <c r="AS107" s="2004" t="s">
        <v>9908</v>
      </c>
      <c r="AT107" s="2004" t="s">
        <v>9908</v>
      </c>
      <c r="AU107" s="2004" t="s">
        <v>9908</v>
      </c>
      <c r="AV107" s="2004" t="s">
        <v>9908</v>
      </c>
      <c r="AW107" s="2004" t="s">
        <v>9908</v>
      </c>
      <c r="AX107" s="2004" t="s">
        <v>9909</v>
      </c>
      <c r="AY107" s="2004" t="s">
        <v>9909</v>
      </c>
      <c r="AZ107" s="2004" t="s">
        <v>9909</v>
      </c>
      <c r="BA107" s="2004" t="s">
        <v>9909</v>
      </c>
      <c r="BB107" s="2004" t="s">
        <v>9909</v>
      </c>
      <c r="BC107" s="2004" t="s">
        <v>9910</v>
      </c>
      <c r="BD107" s="2004" t="s">
        <v>9910</v>
      </c>
      <c r="BE107" s="2004" t="s">
        <v>9910</v>
      </c>
      <c r="BF107" s="2004" t="s">
        <v>9910</v>
      </c>
      <c r="BG107" s="2004" t="s">
        <v>9910</v>
      </c>
      <c r="BH107" s="2004">
        <v>2.2286250000000001</v>
      </c>
      <c r="BI107" s="2004">
        <v>2.2286250000000001</v>
      </c>
      <c r="BJ107" s="2004"/>
      <c r="BK107" s="2004"/>
      <c r="BL107" s="2004">
        <v>1.2999999999999999E-2</v>
      </c>
      <c r="BM107" s="2004"/>
      <c r="BN107" s="2004">
        <v>1</v>
      </c>
      <c r="BO107" s="2004" t="s">
        <v>9203</v>
      </c>
      <c r="BP107" s="516">
        <v>555</v>
      </c>
      <c r="BQ107" s="689">
        <v>184</v>
      </c>
      <c r="BR107" s="2004" t="s">
        <v>9204</v>
      </c>
      <c r="BS107" s="2004" t="s">
        <v>9204</v>
      </c>
      <c r="BT107" s="2004">
        <v>0</v>
      </c>
      <c r="BU107" s="2004" t="s">
        <v>9204</v>
      </c>
      <c r="BV107" s="2004">
        <v>0</v>
      </c>
      <c r="BW107" s="2004">
        <v>82</v>
      </c>
      <c r="BX107" s="2004" t="s">
        <v>2335</v>
      </c>
      <c r="BY107" s="2004">
        <v>0</v>
      </c>
      <c r="BZ107" s="2004">
        <v>0</v>
      </c>
      <c r="CA107" s="2004">
        <v>0</v>
      </c>
      <c r="CB107" s="2004">
        <v>0</v>
      </c>
      <c r="CC107" s="2004">
        <v>55</v>
      </c>
      <c r="CD107" s="2004" t="s">
        <v>2337</v>
      </c>
      <c r="CE107" s="2004">
        <v>0</v>
      </c>
      <c r="CF107" s="2004">
        <v>0</v>
      </c>
      <c r="CG107" s="2004" t="s">
        <v>2339</v>
      </c>
      <c r="CH107" s="2004">
        <v>1.2609999999999999</v>
      </c>
      <c r="CI107" s="2004">
        <v>48</v>
      </c>
      <c r="CJ107" s="2004" t="s">
        <v>2337</v>
      </c>
      <c r="CK107" s="2004">
        <v>0</v>
      </c>
      <c r="CL107" s="2004">
        <v>0</v>
      </c>
      <c r="CM107" s="2004" t="s">
        <v>2339</v>
      </c>
      <c r="CN107" s="2004">
        <v>1.2609999999999999</v>
      </c>
      <c r="CP107" s="2004" t="s">
        <v>9911</v>
      </c>
    </row>
    <row r="108" spans="1:94">
      <c r="A108" s="2004" t="s">
        <v>9057</v>
      </c>
      <c r="B108" s="2004" t="s">
        <v>9912</v>
      </c>
      <c r="C108" s="2004" t="s">
        <v>9047</v>
      </c>
      <c r="D108" s="2004" t="s">
        <v>1629</v>
      </c>
      <c r="E108" s="2004" t="s">
        <v>9410</v>
      </c>
      <c r="F108" s="2004" t="s">
        <v>9888</v>
      </c>
      <c r="G108" s="2004" t="s">
        <v>9913</v>
      </c>
      <c r="H108" s="2004" t="s">
        <v>9914</v>
      </c>
      <c r="I108" s="2004" t="s">
        <v>9915</v>
      </c>
      <c r="J108" s="2004" t="s">
        <v>9210</v>
      </c>
      <c r="K108" s="2004" t="s">
        <v>9545</v>
      </c>
      <c r="L108" s="2004"/>
      <c r="M108" s="2004" t="s">
        <v>2334</v>
      </c>
      <c r="N108" s="2004" t="s">
        <v>9414</v>
      </c>
      <c r="O108" s="2004" t="s">
        <v>766</v>
      </c>
      <c r="P108" s="2004" t="s">
        <v>9916</v>
      </c>
      <c r="Q108" s="516">
        <v>0</v>
      </c>
      <c r="R108" s="2004" t="s">
        <v>9202</v>
      </c>
      <c r="S108" s="2004">
        <v>58</v>
      </c>
      <c r="T108" s="2004">
        <v>58</v>
      </c>
      <c r="U108" s="2004">
        <v>58</v>
      </c>
      <c r="V108" s="2004">
        <v>58</v>
      </c>
      <c r="W108" s="2004">
        <v>58</v>
      </c>
      <c r="X108" s="2004">
        <v>58</v>
      </c>
      <c r="Y108" s="2004"/>
      <c r="Z108" s="2004"/>
      <c r="AA108" s="2004"/>
      <c r="AB108" s="2004"/>
      <c r="AC108" s="2004"/>
      <c r="AD108" s="2004"/>
      <c r="AE108" s="2004" t="s">
        <v>2337</v>
      </c>
      <c r="AF108" s="2004"/>
      <c r="AG108" s="2004"/>
      <c r="AH108" s="2004">
        <v>0</v>
      </c>
      <c r="AI108" s="2004"/>
      <c r="AJ108" s="2004"/>
      <c r="AK108" s="2004" t="s">
        <v>2337</v>
      </c>
      <c r="AL108" s="2004" t="s">
        <v>2337</v>
      </c>
      <c r="AM108" s="2004" t="s">
        <v>2337</v>
      </c>
      <c r="AN108" s="2004" t="s">
        <v>9917</v>
      </c>
      <c r="AO108" s="2004" t="s">
        <v>9917</v>
      </c>
      <c r="AP108" s="2004" t="s">
        <v>9917</v>
      </c>
      <c r="AQ108" s="2004" t="s">
        <v>9917</v>
      </c>
      <c r="AR108" s="2004" t="s">
        <v>9917</v>
      </c>
      <c r="AS108" s="2004" t="s">
        <v>9918</v>
      </c>
      <c r="AT108" s="2004" t="s">
        <v>9918</v>
      </c>
      <c r="AU108" s="2004" t="s">
        <v>9918</v>
      </c>
      <c r="AV108" s="2004" t="s">
        <v>9918</v>
      </c>
      <c r="AW108" s="2004" t="s">
        <v>9918</v>
      </c>
      <c r="AX108" s="2004"/>
      <c r="AY108" s="2004"/>
      <c r="AZ108" s="2004"/>
      <c r="BA108" s="2004"/>
      <c r="BB108" s="2004"/>
      <c r="BC108" s="2004"/>
      <c r="BD108" s="2004"/>
      <c r="BE108" s="2004"/>
      <c r="BF108" s="2004"/>
      <c r="BG108" s="2004"/>
      <c r="BH108" s="2004">
        <v>2.2286250000000001</v>
      </c>
      <c r="BI108" s="2004">
        <v>2.2286250000000001</v>
      </c>
      <c r="BJ108" s="2004"/>
      <c r="BK108" s="2004"/>
      <c r="BL108" s="2004"/>
      <c r="BM108" s="2004"/>
      <c r="BN108" s="2004">
        <v>1</v>
      </c>
      <c r="BO108" s="2004" t="s">
        <v>9203</v>
      </c>
      <c r="BP108" s="516">
        <v>49</v>
      </c>
      <c r="BQ108" s="689">
        <v>48</v>
      </c>
      <c r="BR108" s="2004" t="s">
        <v>9204</v>
      </c>
      <c r="BS108" s="2004" t="s">
        <v>9204</v>
      </c>
      <c r="BT108" s="2004">
        <v>0</v>
      </c>
      <c r="BU108" s="2004" t="s">
        <v>9204</v>
      </c>
      <c r="BV108" s="2004">
        <v>0</v>
      </c>
      <c r="BW108" s="2004">
        <v>49</v>
      </c>
      <c r="BX108" s="2004" t="s">
        <v>2335</v>
      </c>
      <c r="BY108" s="2004">
        <v>0</v>
      </c>
      <c r="BZ108" s="2004">
        <v>0</v>
      </c>
      <c r="CA108" s="2004">
        <v>0</v>
      </c>
      <c r="CB108" s="2004">
        <v>0</v>
      </c>
      <c r="CC108" s="2004">
        <v>46</v>
      </c>
      <c r="CD108" s="2004" t="s">
        <v>2337</v>
      </c>
      <c r="CE108" s="2004">
        <v>0</v>
      </c>
      <c r="CF108" s="2004">
        <v>0</v>
      </c>
      <c r="CG108" s="2004">
        <v>0</v>
      </c>
      <c r="CH108" s="2004">
        <v>0</v>
      </c>
      <c r="CI108" s="2004">
        <v>50</v>
      </c>
      <c r="CJ108" s="2004" t="s">
        <v>2337</v>
      </c>
      <c r="CK108" s="2004">
        <v>0</v>
      </c>
      <c r="CL108" s="2004">
        <v>0</v>
      </c>
      <c r="CM108" s="2004">
        <v>0</v>
      </c>
      <c r="CN108" s="2004">
        <v>0</v>
      </c>
      <c r="CP108" s="2004" t="s">
        <v>9919</v>
      </c>
    </row>
    <row r="109" spans="1:94">
      <c r="A109" s="2004" t="s">
        <v>9057</v>
      </c>
      <c r="B109" s="2004" t="s">
        <v>9920</v>
      </c>
      <c r="C109" s="2004" t="s">
        <v>9047</v>
      </c>
      <c r="D109" s="2004" t="s">
        <v>1629</v>
      </c>
      <c r="E109" s="2004" t="s">
        <v>9410</v>
      </c>
      <c r="F109" s="2004" t="s">
        <v>9888</v>
      </c>
      <c r="G109" s="2004" t="s">
        <v>9921</v>
      </c>
      <c r="H109" s="2004" t="s">
        <v>9922</v>
      </c>
      <c r="I109" s="2004" t="s">
        <v>9923</v>
      </c>
      <c r="J109" s="2004" t="s">
        <v>9199</v>
      </c>
      <c r="K109" s="2004" t="s">
        <v>9545</v>
      </c>
      <c r="L109" s="2004"/>
      <c r="M109" s="2004"/>
      <c r="N109" s="2004" t="s">
        <v>9414</v>
      </c>
      <c r="O109" s="2004" t="s">
        <v>766</v>
      </c>
      <c r="P109" s="2004" t="s">
        <v>9891</v>
      </c>
      <c r="Q109" s="516">
        <v>0</v>
      </c>
      <c r="R109" s="2004" t="s">
        <v>9202</v>
      </c>
      <c r="S109" s="2004">
        <v>228</v>
      </c>
      <c r="T109" s="2004">
        <v>228</v>
      </c>
      <c r="U109" s="2004">
        <v>228</v>
      </c>
      <c r="V109" s="2004">
        <v>228</v>
      </c>
      <c r="W109" s="2004">
        <v>228</v>
      </c>
      <c r="X109" s="2004">
        <v>228</v>
      </c>
      <c r="Y109" s="2004"/>
      <c r="Z109" s="2004"/>
      <c r="AA109" s="2004"/>
      <c r="AB109" s="2004"/>
      <c r="AC109" s="2004" t="s">
        <v>2337</v>
      </c>
      <c r="AD109" s="2004"/>
      <c r="AE109" s="2004" t="s">
        <v>2337</v>
      </c>
      <c r="AF109" s="2004"/>
      <c r="AG109" s="2004"/>
      <c r="AH109" s="2004">
        <v>0</v>
      </c>
      <c r="AI109" s="2004" t="s">
        <v>2337</v>
      </c>
      <c r="AJ109" s="2004" t="s">
        <v>2337</v>
      </c>
      <c r="AK109" s="2004" t="s">
        <v>2337</v>
      </c>
      <c r="AL109" s="2004" t="s">
        <v>2337</v>
      </c>
      <c r="AM109" s="2004" t="s">
        <v>2337</v>
      </c>
      <c r="AN109" s="2004" t="s">
        <v>9924</v>
      </c>
      <c r="AO109" s="2004" t="s">
        <v>9924</v>
      </c>
      <c r="AP109" s="2004" t="s">
        <v>9924</v>
      </c>
      <c r="AQ109" s="2004" t="s">
        <v>9924</v>
      </c>
      <c r="AR109" s="2004" t="s">
        <v>9924</v>
      </c>
      <c r="AS109" s="2004" t="s">
        <v>9925</v>
      </c>
      <c r="AT109" s="2004" t="s">
        <v>9925</v>
      </c>
      <c r="AU109" s="2004" t="s">
        <v>9925</v>
      </c>
      <c r="AV109" s="2004" t="s">
        <v>9925</v>
      </c>
      <c r="AW109" s="2004" t="s">
        <v>9925</v>
      </c>
      <c r="AX109" s="2004" t="s">
        <v>9926</v>
      </c>
      <c r="AY109" s="2004" t="s">
        <v>9926</v>
      </c>
      <c r="AZ109" s="2004" t="s">
        <v>9926</v>
      </c>
      <c r="BA109" s="2004" t="s">
        <v>9926</v>
      </c>
      <c r="BB109" s="2004" t="s">
        <v>9926</v>
      </c>
      <c r="BC109" s="2004" t="s">
        <v>9927</v>
      </c>
      <c r="BD109" s="2004" t="s">
        <v>9927</v>
      </c>
      <c r="BE109" s="2004" t="s">
        <v>9927</v>
      </c>
      <c r="BF109" s="2004" t="s">
        <v>9927</v>
      </c>
      <c r="BG109" s="2004" t="s">
        <v>9927</v>
      </c>
      <c r="BH109" s="2004">
        <v>1.7000000000000001E-2</v>
      </c>
      <c r="BI109" s="2004"/>
      <c r="BJ109" s="2004"/>
      <c r="BK109" s="2004"/>
      <c r="BL109" s="2004">
        <v>1.2999999999999999E-2</v>
      </c>
      <c r="BM109" s="2004"/>
      <c r="BN109" s="2004">
        <v>1</v>
      </c>
      <c r="BO109" s="2004" t="s">
        <v>9203</v>
      </c>
      <c r="BP109" s="516">
        <v>188</v>
      </c>
      <c r="BQ109" s="689">
        <v>219</v>
      </c>
      <c r="BR109" s="2004" t="s">
        <v>2337</v>
      </c>
      <c r="BS109" s="2004" t="s">
        <v>9204</v>
      </c>
      <c r="BT109" s="2004">
        <v>0</v>
      </c>
      <c r="BU109" s="2004" t="s">
        <v>9074</v>
      </c>
      <c r="BV109" s="2004">
        <v>0</v>
      </c>
      <c r="BW109" s="2004">
        <v>215</v>
      </c>
      <c r="BX109" s="2004" t="s">
        <v>2337</v>
      </c>
      <c r="BY109" s="2004">
        <v>0</v>
      </c>
      <c r="BZ109" s="2004">
        <v>0</v>
      </c>
      <c r="CA109" s="2004" t="s">
        <v>9074</v>
      </c>
      <c r="CB109" s="2004">
        <v>0</v>
      </c>
      <c r="CC109" s="2004">
        <v>199</v>
      </c>
      <c r="CD109" s="2004" t="s">
        <v>2337</v>
      </c>
      <c r="CE109" s="2004">
        <v>0</v>
      </c>
      <c r="CF109" s="2004">
        <v>0</v>
      </c>
      <c r="CG109" s="2004" t="s">
        <v>9074</v>
      </c>
      <c r="CH109" s="2004">
        <v>0</v>
      </c>
      <c r="CI109" s="2004">
        <v>246</v>
      </c>
      <c r="CJ109" s="2004" t="s">
        <v>2334</v>
      </c>
      <c r="CK109" s="2004">
        <v>0</v>
      </c>
      <c r="CL109" s="2004">
        <v>0</v>
      </c>
      <c r="CM109" s="2004" t="s">
        <v>2340</v>
      </c>
      <c r="CN109" s="2004">
        <v>0</v>
      </c>
      <c r="CP109" s="2004" t="s">
        <v>9928</v>
      </c>
    </row>
    <row r="110" spans="1:94">
      <c r="A110" s="2004" t="s">
        <v>9057</v>
      </c>
      <c r="B110" s="2004" t="s">
        <v>9929</v>
      </c>
      <c r="C110" s="2004" t="s">
        <v>9047</v>
      </c>
      <c r="D110" s="2004" t="s">
        <v>1629</v>
      </c>
      <c r="E110" s="2004" t="s">
        <v>9410</v>
      </c>
      <c r="F110" s="2004" t="s">
        <v>9888</v>
      </c>
      <c r="G110" s="2004" t="s">
        <v>9930</v>
      </c>
      <c r="H110" s="2004" t="s">
        <v>9931</v>
      </c>
      <c r="I110" s="2004" t="s">
        <v>9932</v>
      </c>
      <c r="J110" s="2004" t="s">
        <v>9199</v>
      </c>
      <c r="K110" s="2004" t="s">
        <v>9545</v>
      </c>
      <c r="L110" s="2004"/>
      <c r="M110" s="2004"/>
      <c r="N110" s="2004" t="s">
        <v>9414</v>
      </c>
      <c r="O110" s="2004" t="s">
        <v>766</v>
      </c>
      <c r="P110" s="2004" t="s">
        <v>9891</v>
      </c>
      <c r="Q110" s="516">
        <v>0</v>
      </c>
      <c r="R110" s="2004" t="s">
        <v>9202</v>
      </c>
      <c r="S110" s="2004">
        <v>2931</v>
      </c>
      <c r="T110" s="2004">
        <v>2931</v>
      </c>
      <c r="U110" s="2004">
        <v>2931</v>
      </c>
      <c r="V110" s="2004">
        <v>2931</v>
      </c>
      <c r="W110" s="2004">
        <v>2931</v>
      </c>
      <c r="X110" s="2004">
        <v>2931</v>
      </c>
      <c r="Y110" s="2004"/>
      <c r="Z110" s="2004"/>
      <c r="AA110" s="2004"/>
      <c r="AB110" s="2004"/>
      <c r="AC110" s="2004"/>
      <c r="AD110" s="2004"/>
      <c r="AE110" s="2004" t="s">
        <v>2337</v>
      </c>
      <c r="AF110" s="2004"/>
      <c r="AG110" s="2004"/>
      <c r="AH110" s="2004">
        <v>0</v>
      </c>
      <c r="AI110" s="2004" t="s">
        <v>2337</v>
      </c>
      <c r="AJ110" s="2004" t="s">
        <v>2337</v>
      </c>
      <c r="AK110" s="2004" t="s">
        <v>2337</v>
      </c>
      <c r="AL110" s="2004" t="s">
        <v>2337</v>
      </c>
      <c r="AM110" s="2004" t="s">
        <v>2337</v>
      </c>
      <c r="AN110" s="2004" t="s">
        <v>9933</v>
      </c>
      <c r="AO110" s="2004" t="s">
        <v>9933</v>
      </c>
      <c r="AP110" s="2004" t="s">
        <v>9933</v>
      </c>
      <c r="AQ110" s="2004" t="s">
        <v>9933</v>
      </c>
      <c r="AR110" s="2004" t="s">
        <v>9933</v>
      </c>
      <c r="AS110" s="2004" t="s">
        <v>9934</v>
      </c>
      <c r="AT110" s="2004" t="s">
        <v>9934</v>
      </c>
      <c r="AU110" s="2004" t="s">
        <v>9934</v>
      </c>
      <c r="AV110" s="2004" t="s">
        <v>9934</v>
      </c>
      <c r="AW110" s="2004" t="s">
        <v>9934</v>
      </c>
      <c r="AX110" s="2004" t="s">
        <v>9935</v>
      </c>
      <c r="AY110" s="2004" t="s">
        <v>9935</v>
      </c>
      <c r="AZ110" s="2004" t="s">
        <v>9935</v>
      </c>
      <c r="BA110" s="2004" t="s">
        <v>9935</v>
      </c>
      <c r="BB110" s="2004" t="s">
        <v>9935</v>
      </c>
      <c r="BC110" s="2004" t="s">
        <v>9936</v>
      </c>
      <c r="BD110" s="2004" t="s">
        <v>9936</v>
      </c>
      <c r="BE110" s="2004" t="s">
        <v>9936</v>
      </c>
      <c r="BF110" s="2004" t="s">
        <v>9936</v>
      </c>
      <c r="BG110" s="2004" t="s">
        <v>9936</v>
      </c>
      <c r="BH110" s="2004">
        <v>3.0000000000000001E-3</v>
      </c>
      <c r="BI110" s="2004"/>
      <c r="BJ110" s="2004"/>
      <c r="BK110" s="2004"/>
      <c r="BL110" s="2004">
        <v>2E-3</v>
      </c>
      <c r="BM110" s="2004"/>
      <c r="BN110" s="2004">
        <v>1</v>
      </c>
      <c r="BO110" s="2004" t="s">
        <v>9203</v>
      </c>
      <c r="BP110" s="516">
        <v>2479</v>
      </c>
      <c r="BQ110" s="689">
        <v>2506</v>
      </c>
      <c r="BR110" s="2004" t="s">
        <v>2337</v>
      </c>
      <c r="BS110" s="2004" t="s">
        <v>9204</v>
      </c>
      <c r="BT110" s="2004">
        <v>0</v>
      </c>
      <c r="BU110" s="2004" t="s">
        <v>9074</v>
      </c>
      <c r="BV110" s="2004">
        <v>0</v>
      </c>
      <c r="BW110" s="2004">
        <v>2730</v>
      </c>
      <c r="BX110" s="2004" t="s">
        <v>2337</v>
      </c>
      <c r="BY110" s="2004">
        <v>0</v>
      </c>
      <c r="BZ110" s="2004">
        <v>0</v>
      </c>
      <c r="CA110" s="2004" t="s">
        <v>9074</v>
      </c>
      <c r="CB110" s="2004">
        <v>0</v>
      </c>
      <c r="CC110" s="2004">
        <v>2726</v>
      </c>
      <c r="CD110" s="2004" t="s">
        <v>2337</v>
      </c>
      <c r="CE110" s="2004">
        <v>0</v>
      </c>
      <c r="CF110" s="2004">
        <v>0</v>
      </c>
      <c r="CG110" s="2004" t="s">
        <v>9074</v>
      </c>
      <c r="CH110" s="2004">
        <v>0</v>
      </c>
      <c r="CI110" s="2004">
        <v>2967</v>
      </c>
      <c r="CJ110" s="2004" t="s">
        <v>2334</v>
      </c>
      <c r="CK110" s="2004">
        <v>0</v>
      </c>
      <c r="CL110" s="2004">
        <v>0</v>
      </c>
      <c r="CM110" s="2004" t="s">
        <v>2340</v>
      </c>
      <c r="CN110" s="2004">
        <v>0</v>
      </c>
      <c r="CP110" s="2004" t="s">
        <v>9937</v>
      </c>
    </row>
    <row r="111" spans="1:94">
      <c r="A111" s="2004" t="s">
        <v>9057</v>
      </c>
      <c r="B111" s="2004" t="s">
        <v>9938</v>
      </c>
      <c r="C111" s="2004" t="s">
        <v>9047</v>
      </c>
      <c r="D111" s="2004" t="s">
        <v>1629</v>
      </c>
      <c r="E111" s="2004" t="s">
        <v>9410</v>
      </c>
      <c r="F111" s="2004" t="s">
        <v>9888</v>
      </c>
      <c r="G111" s="2004" t="s">
        <v>9939</v>
      </c>
      <c r="H111" s="2004" t="s">
        <v>9940</v>
      </c>
      <c r="I111" s="2004" t="s">
        <v>9941</v>
      </c>
      <c r="J111" s="2004" t="s">
        <v>9230</v>
      </c>
      <c r="K111" s="2004"/>
      <c r="L111" s="2004"/>
      <c r="M111" s="2004"/>
      <c r="N111" s="2004" t="s">
        <v>9414</v>
      </c>
      <c r="O111" s="2004" t="s">
        <v>766</v>
      </c>
      <c r="P111" s="2004" t="s">
        <v>9942</v>
      </c>
      <c r="Q111" s="516">
        <v>0</v>
      </c>
      <c r="R111" s="2004" t="s">
        <v>9202</v>
      </c>
      <c r="S111" s="2004">
        <v>84</v>
      </c>
      <c r="T111" s="2004">
        <v>84</v>
      </c>
      <c r="U111" s="2004">
        <v>84</v>
      </c>
      <c r="V111" s="2004">
        <v>84</v>
      </c>
      <c r="W111" s="2004">
        <v>84</v>
      </c>
      <c r="X111" s="2004">
        <v>84</v>
      </c>
      <c r="Y111" s="2004"/>
      <c r="Z111" s="2004"/>
      <c r="AA111" s="2004"/>
      <c r="AB111" s="2004"/>
      <c r="AC111" s="2004"/>
      <c r="AD111" s="2004"/>
      <c r="AE111" s="2004" t="s">
        <v>2337</v>
      </c>
      <c r="AF111" s="2004"/>
      <c r="AG111" s="2004"/>
      <c r="AH111" s="2004">
        <v>0</v>
      </c>
      <c r="AI111" s="2004"/>
      <c r="AJ111" s="2004"/>
      <c r="AK111" s="2004"/>
      <c r="AL111" s="2004"/>
      <c r="AM111" s="2004"/>
      <c r="AN111" s="2004"/>
      <c r="AO111" s="2004"/>
      <c r="AP111" s="2004"/>
      <c r="AQ111" s="2004"/>
      <c r="AR111" s="2004"/>
      <c r="AS111" s="2004"/>
      <c r="AT111" s="2004"/>
      <c r="AU111" s="2004"/>
      <c r="AV111" s="2004"/>
      <c r="AW111" s="2004"/>
      <c r="AX111" s="2004"/>
      <c r="AY111" s="2004"/>
      <c r="AZ111" s="2004"/>
      <c r="BA111" s="2004"/>
      <c r="BB111" s="2004"/>
      <c r="BC111" s="2004"/>
      <c r="BD111" s="2004"/>
      <c r="BE111" s="2004"/>
      <c r="BF111" s="2004"/>
      <c r="BG111" s="2004"/>
      <c r="BH111" s="2004"/>
      <c r="BI111" s="2004"/>
      <c r="BJ111" s="2004"/>
      <c r="BK111" s="2004"/>
      <c r="BL111" s="2004"/>
      <c r="BM111" s="2004"/>
      <c r="BN111" s="2004"/>
      <c r="BO111" s="2004"/>
      <c r="BP111" s="516">
        <v>74</v>
      </c>
      <c r="BQ111" s="689">
        <v>58</v>
      </c>
      <c r="BR111" s="2004" t="s">
        <v>2337</v>
      </c>
      <c r="BS111" s="2004" t="s">
        <v>9204</v>
      </c>
      <c r="BT111" s="2004">
        <v>0</v>
      </c>
      <c r="BU111" s="2004" t="s">
        <v>9204</v>
      </c>
      <c r="BV111" s="2004">
        <v>0</v>
      </c>
      <c r="BW111" s="2004">
        <v>72</v>
      </c>
      <c r="BX111" s="2004" t="s">
        <v>2337</v>
      </c>
      <c r="BY111" s="2004">
        <v>0</v>
      </c>
      <c r="BZ111" s="2004">
        <v>0</v>
      </c>
      <c r="CA111" s="2004">
        <v>0</v>
      </c>
      <c r="CB111" s="2004">
        <v>0</v>
      </c>
      <c r="CC111" s="2004">
        <v>51</v>
      </c>
      <c r="CD111" s="2004" t="s">
        <v>2337</v>
      </c>
      <c r="CE111" s="2004">
        <v>0</v>
      </c>
      <c r="CF111" s="2004">
        <v>0</v>
      </c>
      <c r="CG111" s="2004" t="s">
        <v>9204</v>
      </c>
      <c r="CH111" s="2004">
        <v>0</v>
      </c>
      <c r="CI111" s="2004">
        <v>59</v>
      </c>
      <c r="CJ111" s="2004" t="s">
        <v>2337</v>
      </c>
      <c r="CK111" s="2004">
        <v>0</v>
      </c>
      <c r="CL111" s="2004">
        <v>0</v>
      </c>
      <c r="CM111" s="2004">
        <v>0</v>
      </c>
      <c r="CN111" s="2004">
        <v>0</v>
      </c>
      <c r="CP111" s="2004" t="s">
        <v>9943</v>
      </c>
    </row>
    <row r="112" spans="1:94">
      <c r="A112" s="2004" t="s">
        <v>9057</v>
      </c>
      <c r="B112" s="2004" t="s">
        <v>9944</v>
      </c>
      <c r="C112" s="2004" t="s">
        <v>9047</v>
      </c>
      <c r="D112" s="2004" t="s">
        <v>1629</v>
      </c>
      <c r="E112" s="2004" t="s">
        <v>9410</v>
      </c>
      <c r="F112" s="2004" t="s">
        <v>9945</v>
      </c>
      <c r="G112" s="2004" t="s">
        <v>9436</v>
      </c>
      <c r="H112" s="2004" t="s">
        <v>9946</v>
      </c>
      <c r="I112" s="2004" t="s">
        <v>9947</v>
      </c>
      <c r="J112" s="2004" t="s">
        <v>9210</v>
      </c>
      <c r="K112" s="2004" t="s">
        <v>9545</v>
      </c>
      <c r="L112" s="2004"/>
      <c r="M112" s="2004" t="s">
        <v>2334</v>
      </c>
      <c r="N112" s="2004" t="s">
        <v>9364</v>
      </c>
      <c r="O112" s="2004" t="s">
        <v>766</v>
      </c>
      <c r="P112" s="2004" t="s">
        <v>9948</v>
      </c>
      <c r="Q112" s="516">
        <v>2</v>
      </c>
      <c r="R112" s="2004" t="s">
        <v>9202</v>
      </c>
      <c r="S112" s="2004">
        <v>0</v>
      </c>
      <c r="T112" s="2004">
        <v>0</v>
      </c>
      <c r="U112" s="2004">
        <v>0</v>
      </c>
      <c r="V112" s="2004">
        <v>0</v>
      </c>
      <c r="W112" s="2004">
        <v>0</v>
      </c>
      <c r="X112" s="2004">
        <v>0</v>
      </c>
      <c r="Y112" s="2004"/>
      <c r="Z112" s="2004"/>
      <c r="AA112" s="2004"/>
      <c r="AB112" s="2004"/>
      <c r="AC112" s="2004"/>
      <c r="AD112" s="2004"/>
      <c r="AE112" s="2004" t="s">
        <v>2337</v>
      </c>
      <c r="AF112" s="2004"/>
      <c r="AG112" s="2004"/>
      <c r="AH112" s="2004">
        <v>0</v>
      </c>
      <c r="AI112" s="2004"/>
      <c r="AJ112" s="2004"/>
      <c r="AK112" s="2004" t="s">
        <v>2337</v>
      </c>
      <c r="AL112" s="2004" t="s">
        <v>2337</v>
      </c>
      <c r="AM112" s="2004" t="s">
        <v>2337</v>
      </c>
      <c r="AN112" s="2004" t="s">
        <v>9949</v>
      </c>
      <c r="AO112" s="2004" t="s">
        <v>9949</v>
      </c>
      <c r="AP112" s="2004" t="s">
        <v>9949</v>
      </c>
      <c r="AQ112" s="2004" t="s">
        <v>9949</v>
      </c>
      <c r="AR112" s="2004" t="s">
        <v>9949</v>
      </c>
      <c r="AS112" s="2004" t="s">
        <v>9950</v>
      </c>
      <c r="AT112" s="2004" t="s">
        <v>9950</v>
      </c>
      <c r="AU112" s="2004" t="s">
        <v>9950</v>
      </c>
      <c r="AV112" s="2004" t="s">
        <v>9950</v>
      </c>
      <c r="AW112" s="2004" t="s">
        <v>9950</v>
      </c>
      <c r="AX112" s="2004"/>
      <c r="AY112" s="2004"/>
      <c r="AZ112" s="2004"/>
      <c r="BA112" s="2004"/>
      <c r="BB112" s="2004"/>
      <c r="BC112" s="2004"/>
      <c r="BD112" s="2004"/>
      <c r="BE112" s="2004"/>
      <c r="BF112" s="2004"/>
      <c r="BG112" s="2004"/>
      <c r="BH112" s="2004">
        <v>2.2286250000000001</v>
      </c>
      <c r="BI112" s="2004">
        <v>2.2286250000000001</v>
      </c>
      <c r="BJ112" s="2004"/>
      <c r="BK112" s="2004"/>
      <c r="BL112" s="2004"/>
      <c r="BM112" s="2004"/>
      <c r="BN112" s="2004">
        <v>1</v>
      </c>
      <c r="BO112" s="2004" t="s">
        <v>9203</v>
      </c>
      <c r="BP112" s="516">
        <v>1</v>
      </c>
      <c r="BQ112" s="689">
        <v>1</v>
      </c>
      <c r="BR112" s="2004" t="s">
        <v>9204</v>
      </c>
      <c r="BS112" s="2004" t="s">
        <v>9204</v>
      </c>
      <c r="BT112" s="2004">
        <v>0</v>
      </c>
      <c r="BU112" s="2004" t="s">
        <v>9204</v>
      </c>
      <c r="BV112" s="2004">
        <v>0</v>
      </c>
      <c r="BW112" s="2004">
        <v>0.67</v>
      </c>
      <c r="BX112" s="2004" t="s">
        <v>2335</v>
      </c>
      <c r="BY112" s="2004">
        <v>0</v>
      </c>
      <c r="BZ112" s="2004">
        <v>0</v>
      </c>
      <c r="CA112" s="2004">
        <v>0</v>
      </c>
      <c r="CB112" s="2004">
        <v>0</v>
      </c>
      <c r="CC112" s="2004">
        <v>1.33</v>
      </c>
      <c r="CD112" s="2004" t="s">
        <v>2334</v>
      </c>
      <c r="CE112" s="2004">
        <v>0</v>
      </c>
      <c r="CF112" s="2004">
        <v>0</v>
      </c>
      <c r="CG112" s="2004" t="s">
        <v>2340</v>
      </c>
      <c r="CH112" s="2004">
        <v>0</v>
      </c>
      <c r="CI112" s="2004">
        <v>1</v>
      </c>
      <c r="CJ112" s="2004" t="s">
        <v>2334</v>
      </c>
      <c r="CK112" s="2004">
        <v>0</v>
      </c>
      <c r="CL112" s="2004">
        <v>0</v>
      </c>
      <c r="CM112" s="2004" t="s">
        <v>2340</v>
      </c>
      <c r="CN112" s="2004">
        <v>0</v>
      </c>
      <c r="CP112" s="2004" t="s">
        <v>9951</v>
      </c>
    </row>
    <row r="113" spans="1:94">
      <c r="A113" s="2004" t="s">
        <v>9057</v>
      </c>
      <c r="B113" s="2004" t="s">
        <v>9952</v>
      </c>
      <c r="C113" s="2004" t="s">
        <v>9047</v>
      </c>
      <c r="D113" s="2004" t="s">
        <v>1629</v>
      </c>
      <c r="E113" s="2004" t="s">
        <v>9410</v>
      </c>
      <c r="F113" s="2004" t="s">
        <v>9945</v>
      </c>
      <c r="G113" s="2004" t="s">
        <v>9442</v>
      </c>
      <c r="H113" s="2004" t="s">
        <v>9953</v>
      </c>
      <c r="I113" s="2004" t="s">
        <v>9954</v>
      </c>
      <c r="J113" s="2004" t="s">
        <v>9199</v>
      </c>
      <c r="K113" s="2004" t="s">
        <v>9545</v>
      </c>
      <c r="L113" s="2004"/>
      <c r="M113" s="2004" t="s">
        <v>2334</v>
      </c>
      <c r="N113" s="2004" t="s">
        <v>9450</v>
      </c>
      <c r="O113" s="2004" t="s">
        <v>766</v>
      </c>
      <c r="P113" s="2004" t="s">
        <v>9451</v>
      </c>
      <c r="Q113" s="516">
        <v>0</v>
      </c>
      <c r="R113" s="2004" t="s">
        <v>9202</v>
      </c>
      <c r="S113" s="2004">
        <v>115</v>
      </c>
      <c r="T113" s="2004">
        <v>115</v>
      </c>
      <c r="U113" s="2004">
        <v>115</v>
      </c>
      <c r="V113" s="2004">
        <v>115</v>
      </c>
      <c r="W113" s="2004">
        <v>115</v>
      </c>
      <c r="X113" s="2004">
        <v>115</v>
      </c>
      <c r="Y113" s="2004"/>
      <c r="Z113" s="2004"/>
      <c r="AA113" s="2004"/>
      <c r="AB113" s="2004" t="s">
        <v>2337</v>
      </c>
      <c r="AC113" s="2004"/>
      <c r="AD113" s="2004"/>
      <c r="AE113" s="2004" t="s">
        <v>2337</v>
      </c>
      <c r="AF113" s="2004"/>
      <c r="AG113" s="2004"/>
      <c r="AH113" s="2004">
        <v>0</v>
      </c>
      <c r="AI113" s="2004"/>
      <c r="AJ113" s="2004"/>
      <c r="AK113" s="2004" t="s">
        <v>2337</v>
      </c>
      <c r="AL113" s="2004" t="s">
        <v>2337</v>
      </c>
      <c r="AM113" s="2004" t="s">
        <v>2337</v>
      </c>
      <c r="AN113" s="2004" t="s">
        <v>9955</v>
      </c>
      <c r="AO113" s="2004" t="s">
        <v>9955</v>
      </c>
      <c r="AP113" s="2004" t="s">
        <v>9956</v>
      </c>
      <c r="AQ113" s="2004" t="s">
        <v>9957</v>
      </c>
      <c r="AR113" s="2004" t="s">
        <v>9830</v>
      </c>
      <c r="AS113" s="2004" t="s">
        <v>9958</v>
      </c>
      <c r="AT113" s="2004" t="s">
        <v>9958</v>
      </c>
      <c r="AU113" s="2004" t="s">
        <v>9959</v>
      </c>
      <c r="AV113" s="2004" t="s">
        <v>9960</v>
      </c>
      <c r="AW113" s="2004" t="s">
        <v>9961</v>
      </c>
      <c r="AX113" s="2004" t="s">
        <v>9962</v>
      </c>
      <c r="AY113" s="2004" t="s">
        <v>9962</v>
      </c>
      <c r="AZ113" s="2004" t="s">
        <v>9962</v>
      </c>
      <c r="BA113" s="2004" t="s">
        <v>9962</v>
      </c>
      <c r="BB113" s="2004" t="s">
        <v>9962</v>
      </c>
      <c r="BC113" s="2004" t="s">
        <v>9963</v>
      </c>
      <c r="BD113" s="2004" t="s">
        <v>9963</v>
      </c>
      <c r="BE113" s="2004" t="s">
        <v>9963</v>
      </c>
      <c r="BF113" s="2004" t="s">
        <v>9963</v>
      </c>
      <c r="BG113" s="2004" t="s">
        <v>9963</v>
      </c>
      <c r="BH113" s="2004">
        <v>2.2286250000000001</v>
      </c>
      <c r="BI113" s="2004">
        <v>2.2286250000000001</v>
      </c>
      <c r="BJ113" s="2004"/>
      <c r="BK113" s="2004"/>
      <c r="BL113" s="2004">
        <v>1.6E-2</v>
      </c>
      <c r="BM113" s="2004"/>
      <c r="BN113" s="2004">
        <v>1</v>
      </c>
      <c r="BO113" s="2004" t="s">
        <v>9203</v>
      </c>
      <c r="BP113" s="516">
        <v>136</v>
      </c>
      <c r="BQ113" s="689">
        <v>124</v>
      </c>
      <c r="BR113" s="2004" t="s">
        <v>9204</v>
      </c>
      <c r="BS113" s="2004" t="s">
        <v>9204</v>
      </c>
      <c r="BT113" s="2004">
        <v>0</v>
      </c>
      <c r="BU113" s="2004" t="s">
        <v>9204</v>
      </c>
      <c r="BV113" s="2004">
        <v>0</v>
      </c>
      <c r="BW113" s="2004">
        <v>115</v>
      </c>
      <c r="BX113" s="2004" t="s">
        <v>2335</v>
      </c>
      <c r="BY113" s="2004">
        <v>0</v>
      </c>
      <c r="BZ113" s="2004">
        <v>0</v>
      </c>
      <c r="CA113" s="2004">
        <v>0</v>
      </c>
      <c r="CB113" s="2004">
        <v>0</v>
      </c>
      <c r="CC113" s="2004">
        <v>105</v>
      </c>
      <c r="CD113" s="2004" t="s">
        <v>2337</v>
      </c>
      <c r="CE113" s="2004">
        <v>0</v>
      </c>
      <c r="CF113" s="2004">
        <v>0</v>
      </c>
      <c r="CG113" s="2004" t="s">
        <v>9074</v>
      </c>
      <c r="CH113" s="2004">
        <v>0</v>
      </c>
      <c r="CI113" s="2004">
        <v>73</v>
      </c>
      <c r="CJ113" s="2004" t="s">
        <v>2337</v>
      </c>
      <c r="CK113" s="2004">
        <v>0</v>
      </c>
      <c r="CL113" s="2004">
        <v>0</v>
      </c>
      <c r="CM113" s="2004" t="s">
        <v>2339</v>
      </c>
      <c r="CN113" s="2004">
        <v>6.4000000000000001E-2</v>
      </c>
      <c r="CP113" s="2004" t="s">
        <v>9964</v>
      </c>
    </row>
    <row r="114" spans="1:94">
      <c r="A114" s="2004" t="s">
        <v>9057</v>
      </c>
      <c r="B114" s="2004" t="s">
        <v>9965</v>
      </c>
      <c r="C114" s="2004" t="s">
        <v>9047</v>
      </c>
      <c r="D114" s="2004" t="s">
        <v>1629</v>
      </c>
      <c r="E114" s="2004" t="s">
        <v>9410</v>
      </c>
      <c r="F114" s="2004" t="s">
        <v>9945</v>
      </c>
      <c r="G114" s="2004" t="s">
        <v>9447</v>
      </c>
      <c r="H114" s="2004" t="s">
        <v>9966</v>
      </c>
      <c r="I114" s="2004" t="s">
        <v>9967</v>
      </c>
      <c r="J114" s="2004" t="s">
        <v>9210</v>
      </c>
      <c r="K114" s="2004" t="s">
        <v>9545</v>
      </c>
      <c r="L114" s="2004"/>
      <c r="M114" s="2004"/>
      <c r="N114" s="2004" t="s">
        <v>9364</v>
      </c>
      <c r="O114" s="2004" t="s">
        <v>766</v>
      </c>
      <c r="P114" s="2004" t="s">
        <v>9968</v>
      </c>
      <c r="Q114" s="516">
        <v>0</v>
      </c>
      <c r="R114" s="2004" t="s">
        <v>9240</v>
      </c>
      <c r="S114" s="2004">
        <v>32</v>
      </c>
      <c r="T114" s="2004">
        <v>32</v>
      </c>
      <c r="U114" s="2004">
        <v>32</v>
      </c>
      <c r="V114" s="2004">
        <v>32</v>
      </c>
      <c r="W114" s="2004">
        <v>34</v>
      </c>
      <c r="X114" s="2004">
        <v>34</v>
      </c>
      <c r="Y114" s="2004"/>
      <c r="Z114" s="2004"/>
      <c r="AA114" s="2004"/>
      <c r="AB114" s="2004"/>
      <c r="AC114" s="2004"/>
      <c r="AD114" s="2004"/>
      <c r="AE114" s="2004"/>
      <c r="AF114" s="2004" t="s">
        <v>2337</v>
      </c>
      <c r="AG114" s="2004"/>
      <c r="AH114" s="2004">
        <v>0</v>
      </c>
      <c r="AI114" s="2004" t="s">
        <v>2337</v>
      </c>
      <c r="AJ114" s="2004" t="s">
        <v>2337</v>
      </c>
      <c r="AK114" s="2004" t="s">
        <v>2337</v>
      </c>
      <c r="AL114" s="2004" t="s">
        <v>2337</v>
      </c>
      <c r="AM114" s="2004" t="s">
        <v>2337</v>
      </c>
      <c r="AN114" s="2004">
        <v>31</v>
      </c>
      <c r="AO114" s="2004">
        <v>31</v>
      </c>
      <c r="AP114" s="2004">
        <v>31</v>
      </c>
      <c r="AQ114" s="2004">
        <v>31</v>
      </c>
      <c r="AR114" s="2004">
        <v>31</v>
      </c>
      <c r="AS114" s="2004" t="s">
        <v>9969</v>
      </c>
      <c r="AT114" s="2004" t="s">
        <v>9969</v>
      </c>
      <c r="AU114" s="2004" t="s">
        <v>9969</v>
      </c>
      <c r="AV114" s="2004" t="s">
        <v>9970</v>
      </c>
      <c r="AW114" s="2004" t="s">
        <v>9971</v>
      </c>
      <c r="AX114" s="2004"/>
      <c r="AY114" s="2004"/>
      <c r="AZ114" s="2004"/>
      <c r="BA114" s="2004"/>
      <c r="BB114" s="2004"/>
      <c r="BC114" s="2004"/>
      <c r="BD114" s="2004"/>
      <c r="BE114" s="2004"/>
      <c r="BF114" s="2004"/>
      <c r="BG114" s="2004"/>
      <c r="BH114" s="2004">
        <v>0.113</v>
      </c>
      <c r="BI114" s="2004"/>
      <c r="BJ114" s="2004"/>
      <c r="BK114" s="2004"/>
      <c r="BL114" s="2004"/>
      <c r="BM114" s="2004"/>
      <c r="BN114" s="2004">
        <v>1</v>
      </c>
      <c r="BO114" s="2004" t="s">
        <v>9203</v>
      </c>
      <c r="BP114" s="516">
        <v>33</v>
      </c>
      <c r="BQ114" s="689">
        <v>33</v>
      </c>
      <c r="BR114" s="2004" t="s">
        <v>2337</v>
      </c>
      <c r="BS114" s="2004" t="s">
        <v>9204</v>
      </c>
      <c r="BT114" s="2004">
        <v>0</v>
      </c>
      <c r="BU114" s="2004" t="s">
        <v>9204</v>
      </c>
      <c r="BV114" s="2004">
        <v>0</v>
      </c>
      <c r="BW114" s="2004">
        <v>34</v>
      </c>
      <c r="BX114" s="2004" t="s">
        <v>2337</v>
      </c>
      <c r="BY114" s="2004">
        <v>0</v>
      </c>
      <c r="BZ114" s="2004">
        <v>0</v>
      </c>
      <c r="CA114" s="2004">
        <v>0</v>
      </c>
      <c r="CB114" s="2004">
        <v>0</v>
      </c>
      <c r="CC114" s="2004">
        <v>34</v>
      </c>
      <c r="CD114" s="2004" t="s">
        <v>2337</v>
      </c>
      <c r="CE114" s="2004">
        <v>0</v>
      </c>
      <c r="CF114" s="2004">
        <v>0</v>
      </c>
      <c r="CG114" s="2004">
        <v>0</v>
      </c>
      <c r="CH114" s="2004">
        <v>0</v>
      </c>
      <c r="CI114" s="2004">
        <v>33</v>
      </c>
      <c r="CJ114" s="2004" t="s">
        <v>2334</v>
      </c>
      <c r="CK114" s="2004">
        <v>0</v>
      </c>
      <c r="CL114" s="2004">
        <v>0</v>
      </c>
      <c r="CM114" s="2004" t="s">
        <v>2340</v>
      </c>
      <c r="CN114" s="2004">
        <v>0</v>
      </c>
      <c r="CP114" s="2004" t="s">
        <v>9972</v>
      </c>
    </row>
    <row r="115" spans="1:94">
      <c r="A115" s="2004" t="s">
        <v>9057</v>
      </c>
      <c r="B115" s="2004" t="s">
        <v>9973</v>
      </c>
      <c r="C115" s="2004" t="s">
        <v>9047</v>
      </c>
      <c r="D115" s="2004" t="s">
        <v>1629</v>
      </c>
      <c r="E115" s="2004" t="s">
        <v>9410</v>
      </c>
      <c r="F115" s="2004" t="s">
        <v>9945</v>
      </c>
      <c r="G115" s="2004" t="s">
        <v>9454</v>
      </c>
      <c r="H115" s="2004" t="s">
        <v>9974</v>
      </c>
      <c r="I115" s="2004" t="s">
        <v>9975</v>
      </c>
      <c r="J115" s="2004" t="s">
        <v>9210</v>
      </c>
      <c r="K115" s="2004" t="s">
        <v>9545</v>
      </c>
      <c r="L115" s="2004"/>
      <c r="M115" s="2004" t="s">
        <v>2334</v>
      </c>
      <c r="N115" s="2004" t="s">
        <v>9364</v>
      </c>
      <c r="O115" s="2004" t="s">
        <v>9487</v>
      </c>
      <c r="P115" s="2004" t="s">
        <v>9976</v>
      </c>
      <c r="Q115" s="516" t="s">
        <v>9203</v>
      </c>
      <c r="R115" s="2004"/>
      <c r="S115" s="2004" t="s">
        <v>9977</v>
      </c>
      <c r="T115" s="2004" t="s">
        <v>9977</v>
      </c>
      <c r="U115" s="2004" t="s">
        <v>9977</v>
      </c>
      <c r="V115" s="2004" t="s">
        <v>9978</v>
      </c>
      <c r="W115" s="2004" t="s">
        <v>9978</v>
      </c>
      <c r="X115" s="2004" t="s">
        <v>9978</v>
      </c>
      <c r="Y115" s="2004"/>
      <c r="Z115" s="2004"/>
      <c r="AA115" s="2004"/>
      <c r="AB115" s="2004"/>
      <c r="AC115" s="2004"/>
      <c r="AD115" s="2004" t="s">
        <v>2337</v>
      </c>
      <c r="AE115" s="2004"/>
      <c r="AF115" s="2004" t="s">
        <v>2337</v>
      </c>
      <c r="AG115" s="2004"/>
      <c r="AH115" s="2004">
        <v>0</v>
      </c>
      <c r="AI115" s="2004"/>
      <c r="AJ115" s="2004"/>
      <c r="AK115" s="2004"/>
      <c r="AL115" s="2004" t="s">
        <v>2337</v>
      </c>
      <c r="AM115" s="2004" t="s">
        <v>2337</v>
      </c>
      <c r="AN115" s="2004" t="s">
        <v>9977</v>
      </c>
      <c r="AO115" s="2004" t="s">
        <v>9977</v>
      </c>
      <c r="AP115" s="2004" t="s">
        <v>9977</v>
      </c>
      <c r="AQ115" s="2004" t="s">
        <v>9977</v>
      </c>
      <c r="AR115" s="2004" t="s">
        <v>9977</v>
      </c>
      <c r="AS115" s="2004" t="s">
        <v>9977</v>
      </c>
      <c r="AT115" s="2004" t="s">
        <v>9977</v>
      </c>
      <c r="AU115" s="2004" t="s">
        <v>9977</v>
      </c>
      <c r="AV115" s="2004" t="s">
        <v>9977</v>
      </c>
      <c r="AW115" s="2004" t="s">
        <v>9977</v>
      </c>
      <c r="AX115" s="2004"/>
      <c r="AY115" s="2004"/>
      <c r="AZ115" s="2004"/>
      <c r="BA115" s="2004"/>
      <c r="BB115" s="2004"/>
      <c r="BC115" s="2004"/>
      <c r="BD115" s="2004"/>
      <c r="BE115" s="2004"/>
      <c r="BF115" s="2004"/>
      <c r="BG115" s="2004"/>
      <c r="BH115" s="2004">
        <v>0.2</v>
      </c>
      <c r="BI115" s="2004">
        <v>4</v>
      </c>
      <c r="BJ115" s="2004"/>
      <c r="BK115" s="2004"/>
      <c r="BL115" s="2004"/>
      <c r="BM115" s="2004"/>
      <c r="BN115" s="2004">
        <v>1</v>
      </c>
      <c r="BO115" s="2004" t="s">
        <v>9203</v>
      </c>
      <c r="BP115" s="516" t="s">
        <v>4150</v>
      </c>
      <c r="BQ115" s="688" t="s">
        <v>4150</v>
      </c>
      <c r="BR115" s="2004" t="s">
        <v>9204</v>
      </c>
      <c r="BS115" s="2004" t="s">
        <v>9204</v>
      </c>
      <c r="BT115" s="2004">
        <v>0</v>
      </c>
      <c r="BU115" s="2004" t="s">
        <v>9204</v>
      </c>
      <c r="BV115" s="2004">
        <v>0</v>
      </c>
      <c r="BW115" s="2004" t="s">
        <v>4150</v>
      </c>
      <c r="BX115" s="2004" t="s">
        <v>2335</v>
      </c>
      <c r="BY115" s="2004">
        <v>0</v>
      </c>
      <c r="BZ115" s="2004">
        <v>0</v>
      </c>
      <c r="CA115" s="2004">
        <v>0</v>
      </c>
      <c r="CB115" s="2004">
        <v>0</v>
      </c>
      <c r="CC115" s="2004" t="s">
        <v>9979</v>
      </c>
      <c r="CD115" s="2004" t="s">
        <v>2337</v>
      </c>
      <c r="CE115" s="2004">
        <v>0</v>
      </c>
      <c r="CF115" s="2004">
        <v>0</v>
      </c>
      <c r="CG115" s="2004">
        <v>0</v>
      </c>
      <c r="CH115" s="2004">
        <v>0</v>
      </c>
      <c r="CI115" s="2004" t="s">
        <v>4150</v>
      </c>
      <c r="CJ115" s="2004" t="s">
        <v>2335</v>
      </c>
      <c r="CK115" s="2004">
        <v>0</v>
      </c>
      <c r="CL115" s="2004">
        <v>0</v>
      </c>
      <c r="CM115" s="2004">
        <v>0</v>
      </c>
      <c r="CN115" s="2004">
        <v>0</v>
      </c>
      <c r="CP115" s="2004" t="s">
        <v>9980</v>
      </c>
    </row>
    <row r="116" spans="1:94">
      <c r="A116" s="2004" t="s">
        <v>9057</v>
      </c>
      <c r="B116" s="2004" t="s">
        <v>9981</v>
      </c>
      <c r="C116" s="2004" t="s">
        <v>9047</v>
      </c>
      <c r="D116" s="2004" t="s">
        <v>1629</v>
      </c>
      <c r="E116" s="2004" t="s">
        <v>9410</v>
      </c>
      <c r="F116" s="2004" t="s">
        <v>9846</v>
      </c>
      <c r="G116" s="2004" t="s">
        <v>9459</v>
      </c>
      <c r="H116" s="2004" t="s">
        <v>9982</v>
      </c>
      <c r="I116" s="2004" t="s">
        <v>9983</v>
      </c>
      <c r="J116" s="2004" t="s">
        <v>9230</v>
      </c>
      <c r="K116" s="2004"/>
      <c r="L116" s="2004"/>
      <c r="M116" s="2004"/>
      <c r="N116" s="2004" t="s">
        <v>9386</v>
      </c>
      <c r="O116" s="2004" t="s">
        <v>9282</v>
      </c>
      <c r="P116" s="2004" t="s">
        <v>9984</v>
      </c>
      <c r="Q116" s="516">
        <v>1</v>
      </c>
      <c r="R116" s="2004" t="s">
        <v>9240</v>
      </c>
      <c r="S116" s="2004">
        <v>8.1999999999999993</v>
      </c>
      <c r="T116" s="2004">
        <v>8.1999999999999993</v>
      </c>
      <c r="U116" s="2004">
        <v>8.1999999999999993</v>
      </c>
      <c r="V116" s="2004">
        <v>8.1999999999999993</v>
      </c>
      <c r="W116" s="2004">
        <v>8.1999999999999993</v>
      </c>
      <c r="X116" s="2004">
        <v>8.1999999999999993</v>
      </c>
      <c r="Y116" s="2004"/>
      <c r="Z116" s="2004"/>
      <c r="AA116" s="2004"/>
      <c r="AB116" s="2004"/>
      <c r="AC116" s="2004"/>
      <c r="AD116" s="2004"/>
      <c r="AE116" s="2004"/>
      <c r="AF116" s="2004"/>
      <c r="AG116" s="2004"/>
      <c r="AH116" s="2004">
        <v>0</v>
      </c>
      <c r="AI116" s="2004"/>
      <c r="AJ116" s="2004"/>
      <c r="AK116" s="2004"/>
      <c r="AL116" s="2004"/>
      <c r="AM116" s="2004"/>
      <c r="AN116" s="2004"/>
      <c r="AO116" s="2004"/>
      <c r="AP116" s="2004"/>
      <c r="AQ116" s="2004"/>
      <c r="AR116" s="2004"/>
      <c r="AS116" s="2004"/>
      <c r="AT116" s="2004"/>
      <c r="AU116" s="2004"/>
      <c r="AV116" s="2004"/>
      <c r="AW116" s="2004"/>
      <c r="AX116" s="2004"/>
      <c r="AY116" s="2004"/>
      <c r="AZ116" s="2004"/>
      <c r="BA116" s="2004"/>
      <c r="BB116" s="2004"/>
      <c r="BC116" s="2004"/>
      <c r="BD116" s="2004"/>
      <c r="BE116" s="2004"/>
      <c r="BF116" s="2004"/>
      <c r="BG116" s="2004"/>
      <c r="BH116" s="2004"/>
      <c r="BI116" s="2004"/>
      <c r="BJ116" s="2004"/>
      <c r="BK116" s="2004"/>
      <c r="BL116" s="2004"/>
      <c r="BM116" s="2004"/>
      <c r="BN116" s="2004"/>
      <c r="BO116" s="2004"/>
      <c r="BP116" s="516">
        <v>8.3000000000000007</v>
      </c>
      <c r="BQ116" s="686">
        <v>8.5</v>
      </c>
      <c r="BR116" s="2004" t="s">
        <v>2337</v>
      </c>
      <c r="BS116" s="2004" t="s">
        <v>9204</v>
      </c>
      <c r="BT116" s="2004">
        <v>0</v>
      </c>
      <c r="BU116" s="2004" t="s">
        <v>9204</v>
      </c>
      <c r="BV116" s="2004">
        <v>0</v>
      </c>
      <c r="BW116" s="2004">
        <v>8.5</v>
      </c>
      <c r="BX116" s="2004" t="s">
        <v>2337</v>
      </c>
      <c r="BY116" s="2004">
        <v>0</v>
      </c>
      <c r="BZ116" s="2004">
        <v>0</v>
      </c>
      <c r="CA116" s="2004">
        <v>0</v>
      </c>
      <c r="CB116" s="2004">
        <v>0</v>
      </c>
      <c r="CC116" s="2004">
        <v>8.6999999999999993</v>
      </c>
      <c r="CD116" s="2004" t="s">
        <v>2337</v>
      </c>
      <c r="CE116" s="2004">
        <v>0</v>
      </c>
      <c r="CF116" s="2004">
        <v>0</v>
      </c>
      <c r="CG116" s="2004">
        <v>0</v>
      </c>
      <c r="CH116" s="2004">
        <v>0</v>
      </c>
      <c r="CI116" s="2004">
        <v>8.6999999999999993</v>
      </c>
      <c r="CJ116" s="2004" t="s">
        <v>2337</v>
      </c>
      <c r="CK116" s="2004">
        <v>0</v>
      </c>
      <c r="CL116" s="2004">
        <v>0</v>
      </c>
      <c r="CM116" s="2004">
        <v>0</v>
      </c>
      <c r="CN116" s="2004">
        <v>0</v>
      </c>
      <c r="CP116" s="2004" t="s">
        <v>9985</v>
      </c>
    </row>
    <row r="117" spans="1:94">
      <c r="A117" s="2004" t="s">
        <v>9057</v>
      </c>
      <c r="B117" s="2004" t="s">
        <v>9986</v>
      </c>
      <c r="C117" s="2004" t="s">
        <v>9047</v>
      </c>
      <c r="D117" s="2004" t="s">
        <v>1629</v>
      </c>
      <c r="E117" s="2004" t="s">
        <v>9410</v>
      </c>
      <c r="F117" s="2004" t="s">
        <v>9846</v>
      </c>
      <c r="G117" s="2004" t="s">
        <v>9464</v>
      </c>
      <c r="H117" s="2004" t="s">
        <v>9987</v>
      </c>
      <c r="I117" s="2004" t="s">
        <v>9988</v>
      </c>
      <c r="J117" s="2004" t="s">
        <v>9199</v>
      </c>
      <c r="K117" s="2004" t="s">
        <v>9200</v>
      </c>
      <c r="L117" s="2004"/>
      <c r="M117" s="2004" t="s">
        <v>2334</v>
      </c>
      <c r="N117" s="2004" t="s">
        <v>9281</v>
      </c>
      <c r="O117" s="2004" t="s">
        <v>9282</v>
      </c>
      <c r="P117" s="2004" t="s">
        <v>9283</v>
      </c>
      <c r="Q117" s="516">
        <v>1</v>
      </c>
      <c r="R117" s="2004" t="s">
        <v>9240</v>
      </c>
      <c r="S117" s="2004">
        <v>89.4</v>
      </c>
      <c r="T117" s="2004">
        <v>90</v>
      </c>
      <c r="U117" s="2004">
        <v>90</v>
      </c>
      <c r="V117" s="2004">
        <v>90</v>
      </c>
      <c r="W117" s="2004">
        <v>90</v>
      </c>
      <c r="X117" s="2004">
        <v>90</v>
      </c>
      <c r="Y117" s="2004"/>
      <c r="Z117" s="2004"/>
      <c r="AA117" s="2004"/>
      <c r="AB117" s="2004"/>
      <c r="AC117" s="2004"/>
      <c r="AD117" s="2004"/>
      <c r="AE117" s="2004"/>
      <c r="AF117" s="2004"/>
      <c r="AG117" s="2004"/>
      <c r="AH117" s="2004">
        <v>0</v>
      </c>
      <c r="AI117" s="2004" t="s">
        <v>2337</v>
      </c>
      <c r="AJ117" s="2004" t="s">
        <v>2337</v>
      </c>
      <c r="AK117" s="2004" t="s">
        <v>2337</v>
      </c>
      <c r="AL117" s="2004" t="s">
        <v>2337</v>
      </c>
      <c r="AM117" s="2004" t="s">
        <v>2337</v>
      </c>
      <c r="AN117" s="2004" t="s">
        <v>9284</v>
      </c>
      <c r="AO117" s="2004" t="s">
        <v>9284</v>
      </c>
      <c r="AP117" s="2004" t="s">
        <v>9284</v>
      </c>
      <c r="AQ117" s="2004" t="s">
        <v>9284</v>
      </c>
      <c r="AR117" s="2004" t="s">
        <v>9284</v>
      </c>
      <c r="AS117" s="2004" t="s">
        <v>9284</v>
      </c>
      <c r="AT117" s="2004" t="s">
        <v>9284</v>
      </c>
      <c r="AU117" s="2004" t="s">
        <v>9284</v>
      </c>
      <c r="AV117" s="2004" t="s">
        <v>9284</v>
      </c>
      <c r="AW117" s="2004" t="s">
        <v>9284</v>
      </c>
      <c r="AX117" s="2004" t="s">
        <v>9284</v>
      </c>
      <c r="AY117" s="2004" t="s">
        <v>9284</v>
      </c>
      <c r="AZ117" s="2004" t="s">
        <v>9284</v>
      </c>
      <c r="BA117" s="2004" t="s">
        <v>9284</v>
      </c>
      <c r="BB117" s="2004" t="s">
        <v>9284</v>
      </c>
      <c r="BC117" s="2004" t="s">
        <v>9284</v>
      </c>
      <c r="BD117" s="2004" t="s">
        <v>9284</v>
      </c>
      <c r="BE117" s="2004" t="s">
        <v>9284</v>
      </c>
      <c r="BF117" s="2004" t="s">
        <v>9284</v>
      </c>
      <c r="BG117" s="2004" t="s">
        <v>9284</v>
      </c>
      <c r="BH117" s="2004" t="s">
        <v>9284</v>
      </c>
      <c r="BI117" s="2004"/>
      <c r="BJ117" s="2004"/>
      <c r="BK117" s="2004"/>
      <c r="BL117" s="2004" t="s">
        <v>9284</v>
      </c>
      <c r="BM117" s="2004"/>
      <c r="BN117" s="2004">
        <v>1</v>
      </c>
      <c r="BO117" s="2004" t="s">
        <v>9203</v>
      </c>
      <c r="BP117" s="516">
        <v>83.72</v>
      </c>
      <c r="BQ117" s="686">
        <v>83.64</v>
      </c>
      <c r="BR117" s="2004" t="s">
        <v>2334</v>
      </c>
      <c r="BS117" s="2004" t="s">
        <v>9204</v>
      </c>
      <c r="BT117" s="2004">
        <v>0</v>
      </c>
      <c r="BU117" s="2004" t="s">
        <v>9204</v>
      </c>
      <c r="BV117" s="2004">
        <v>0</v>
      </c>
      <c r="BW117" s="2004">
        <v>87.53</v>
      </c>
      <c r="BX117" s="2004" t="s">
        <v>2334</v>
      </c>
      <c r="BY117" s="2004">
        <v>0</v>
      </c>
      <c r="BZ117" s="2004">
        <v>0</v>
      </c>
      <c r="CA117" s="2004">
        <v>0</v>
      </c>
      <c r="CB117" s="2004">
        <v>0</v>
      </c>
      <c r="CC117" s="2004">
        <v>86.39</v>
      </c>
      <c r="CD117" s="2004" t="s">
        <v>2334</v>
      </c>
      <c r="CE117" s="2004">
        <v>0</v>
      </c>
      <c r="CF117" s="2004">
        <v>0</v>
      </c>
      <c r="CG117" s="2004">
        <v>0</v>
      </c>
      <c r="CH117" s="2004">
        <v>0</v>
      </c>
      <c r="CI117" s="2004">
        <v>85.9</v>
      </c>
      <c r="CJ117" s="2004" t="s">
        <v>2334</v>
      </c>
      <c r="CK117" s="2004">
        <v>0</v>
      </c>
      <c r="CL117" s="2004">
        <v>0</v>
      </c>
      <c r="CM117" s="2004">
        <v>0</v>
      </c>
      <c r="CN117" s="2004">
        <v>0</v>
      </c>
      <c r="CP117" s="2004" t="s">
        <v>9989</v>
      </c>
    </row>
    <row r="118" spans="1:94">
      <c r="A118" s="2004" t="s">
        <v>9057</v>
      </c>
      <c r="B118" s="2004" t="s">
        <v>9990</v>
      </c>
      <c r="C118" s="2004" t="s">
        <v>9047</v>
      </c>
      <c r="D118" s="2004" t="s">
        <v>1629</v>
      </c>
      <c r="E118" s="2004" t="s">
        <v>9410</v>
      </c>
      <c r="F118" s="2004" t="s">
        <v>9846</v>
      </c>
      <c r="G118" s="2004" t="s">
        <v>9991</v>
      </c>
      <c r="H118" s="2004" t="s">
        <v>9992</v>
      </c>
      <c r="I118" s="2004" t="s">
        <v>9993</v>
      </c>
      <c r="J118" s="2004" t="s">
        <v>9230</v>
      </c>
      <c r="K118" s="2004"/>
      <c r="L118" s="2004"/>
      <c r="M118" s="2004"/>
      <c r="N118" s="2004" t="s">
        <v>9386</v>
      </c>
      <c r="O118" s="2004" t="s">
        <v>734</v>
      </c>
      <c r="P118" s="2004" t="s">
        <v>9387</v>
      </c>
      <c r="Q118" s="516">
        <v>0</v>
      </c>
      <c r="R118" s="2004" t="s">
        <v>9240</v>
      </c>
      <c r="S118" s="2004">
        <v>32</v>
      </c>
      <c r="T118" s="2004">
        <v>32</v>
      </c>
      <c r="U118" s="2004">
        <v>32</v>
      </c>
      <c r="V118" s="2004">
        <v>32</v>
      </c>
      <c r="W118" s="2004">
        <v>32</v>
      </c>
      <c r="X118" s="2004">
        <v>32</v>
      </c>
      <c r="Y118" s="2004"/>
      <c r="Z118" s="2004"/>
      <c r="AA118" s="2004"/>
      <c r="AB118" s="2004"/>
      <c r="AC118" s="2004"/>
      <c r="AD118" s="2004"/>
      <c r="AE118" s="2004"/>
      <c r="AF118" s="2004"/>
      <c r="AG118" s="2004"/>
      <c r="AH118" s="2004">
        <v>0</v>
      </c>
      <c r="AI118" s="2004"/>
      <c r="AJ118" s="2004"/>
      <c r="AK118" s="2004"/>
      <c r="AL118" s="2004"/>
      <c r="AM118" s="2004"/>
      <c r="AN118" s="2004"/>
      <c r="AO118" s="2004"/>
      <c r="AP118" s="2004"/>
      <c r="AQ118" s="2004"/>
      <c r="AR118" s="2004"/>
      <c r="AS118" s="2004"/>
      <c r="AT118" s="2004"/>
      <c r="AU118" s="2004"/>
      <c r="AV118" s="2004"/>
      <c r="AW118" s="2004"/>
      <c r="AX118" s="2004"/>
      <c r="AY118" s="2004"/>
      <c r="AZ118" s="2004"/>
      <c r="BA118" s="2004"/>
      <c r="BB118" s="2004"/>
      <c r="BC118" s="2004"/>
      <c r="BD118" s="2004"/>
      <c r="BE118" s="2004"/>
      <c r="BF118" s="2004"/>
      <c r="BG118" s="2004"/>
      <c r="BH118" s="2004"/>
      <c r="BI118" s="2004"/>
      <c r="BJ118" s="2004"/>
      <c r="BK118" s="2004"/>
      <c r="BL118" s="2004"/>
      <c r="BM118" s="2004"/>
      <c r="BN118" s="2004"/>
      <c r="BO118" s="2004"/>
      <c r="BP118" s="516">
        <v>42</v>
      </c>
      <c r="BQ118" s="689">
        <v>49</v>
      </c>
      <c r="BR118" s="2004" t="s">
        <v>2337</v>
      </c>
      <c r="BS118" s="2004" t="s">
        <v>9204</v>
      </c>
      <c r="BT118" s="2004">
        <v>0</v>
      </c>
      <c r="BU118" s="2004" t="s">
        <v>9204</v>
      </c>
      <c r="BV118" s="2004">
        <v>0</v>
      </c>
      <c r="BW118" s="2004">
        <v>46</v>
      </c>
      <c r="BX118" s="2004" t="s">
        <v>2337</v>
      </c>
      <c r="BY118" s="2004">
        <v>0</v>
      </c>
      <c r="BZ118" s="2004">
        <v>0</v>
      </c>
      <c r="CA118" s="2004">
        <v>0</v>
      </c>
      <c r="CB118" s="2004">
        <v>0</v>
      </c>
      <c r="CC118" s="2004">
        <v>44</v>
      </c>
      <c r="CD118" s="2004" t="s">
        <v>2337</v>
      </c>
      <c r="CE118" s="2004">
        <v>0</v>
      </c>
      <c r="CF118" s="2004">
        <v>0</v>
      </c>
      <c r="CG118" s="2004">
        <v>0</v>
      </c>
      <c r="CH118" s="2004">
        <v>0</v>
      </c>
      <c r="CI118" s="2004">
        <v>43</v>
      </c>
      <c r="CJ118" s="2004" t="s">
        <v>2337</v>
      </c>
      <c r="CK118" s="2004">
        <v>0</v>
      </c>
      <c r="CL118" s="2004">
        <v>0</v>
      </c>
      <c r="CM118" s="2004">
        <v>0</v>
      </c>
      <c r="CN118" s="2004">
        <v>0</v>
      </c>
      <c r="CP118" s="2004" t="s">
        <v>9994</v>
      </c>
    </row>
    <row r="119" spans="1:94">
      <c r="A119" s="2004" t="s">
        <v>9057</v>
      </c>
      <c r="B119" s="2004" t="s">
        <v>9995</v>
      </c>
      <c r="C119" s="2004" t="s">
        <v>9047</v>
      </c>
      <c r="D119" s="2004" t="s">
        <v>1629</v>
      </c>
      <c r="E119" s="2004" t="s">
        <v>9410</v>
      </c>
      <c r="F119" s="2004" t="s">
        <v>9860</v>
      </c>
      <c r="G119" s="2004" t="s">
        <v>9469</v>
      </c>
      <c r="H119" s="2004" t="s">
        <v>9996</v>
      </c>
      <c r="I119" s="2004" t="s">
        <v>9997</v>
      </c>
      <c r="J119" s="2004" t="s">
        <v>9230</v>
      </c>
      <c r="K119" s="2004"/>
      <c r="L119" s="2004"/>
      <c r="M119" s="2004"/>
      <c r="N119" s="2004" t="s">
        <v>9386</v>
      </c>
      <c r="O119" s="2004" t="s">
        <v>734</v>
      </c>
      <c r="P119" s="2004" t="s">
        <v>9387</v>
      </c>
      <c r="Q119" s="516">
        <v>0</v>
      </c>
      <c r="R119" s="2004" t="s">
        <v>9240</v>
      </c>
      <c r="S119" s="2004" t="s">
        <v>9863</v>
      </c>
      <c r="T119" s="2004" t="s">
        <v>9864</v>
      </c>
      <c r="U119" s="2004" t="s">
        <v>9864</v>
      </c>
      <c r="V119" s="2004" t="s">
        <v>9864</v>
      </c>
      <c r="W119" s="2004" t="s">
        <v>9864</v>
      </c>
      <c r="X119" s="2004" t="s">
        <v>9864</v>
      </c>
      <c r="Y119" s="2004"/>
      <c r="Z119" s="2004"/>
      <c r="AA119" s="2004"/>
      <c r="AB119" s="2004"/>
      <c r="AC119" s="2004"/>
      <c r="AD119" s="2004"/>
      <c r="AE119" s="2004"/>
      <c r="AF119" s="2004"/>
      <c r="AG119" s="2004"/>
      <c r="AH119" s="2004">
        <v>0</v>
      </c>
      <c r="AI119" s="2004"/>
      <c r="AJ119" s="2004"/>
      <c r="AK119" s="2004"/>
      <c r="AL119" s="2004"/>
      <c r="AM119" s="2004"/>
      <c r="AN119" s="2004"/>
      <c r="AO119" s="2004"/>
      <c r="AP119" s="2004"/>
      <c r="AQ119" s="2004"/>
      <c r="AR119" s="2004"/>
      <c r="AS119" s="2004"/>
      <c r="AT119" s="2004"/>
      <c r="AU119" s="2004"/>
      <c r="AV119" s="2004"/>
      <c r="AW119" s="2004"/>
      <c r="AX119" s="2004"/>
      <c r="AY119" s="2004"/>
      <c r="AZ119" s="2004"/>
      <c r="BA119" s="2004"/>
      <c r="BB119" s="2004"/>
      <c r="BC119" s="2004"/>
      <c r="BD119" s="2004"/>
      <c r="BE119" s="2004"/>
      <c r="BF119" s="2004"/>
      <c r="BG119" s="2004"/>
      <c r="BH119" s="2004"/>
      <c r="BI119" s="2004"/>
      <c r="BJ119" s="2004"/>
      <c r="BK119" s="2004"/>
      <c r="BL119" s="2004"/>
      <c r="BM119" s="2004"/>
      <c r="BN119" s="2004"/>
      <c r="BO119" s="2004"/>
      <c r="BP119" s="516">
        <v>91</v>
      </c>
      <c r="BQ119" s="688">
        <v>94</v>
      </c>
      <c r="BR119" s="2004" t="s">
        <v>9204</v>
      </c>
      <c r="BS119" s="2004" t="s">
        <v>9204</v>
      </c>
      <c r="BT119" s="2004">
        <v>0</v>
      </c>
      <c r="BU119" s="2004" t="s">
        <v>9204</v>
      </c>
      <c r="BV119" s="2004">
        <v>0</v>
      </c>
      <c r="BW119" s="2004">
        <v>94</v>
      </c>
      <c r="BX119" s="2004" t="s">
        <v>2335</v>
      </c>
      <c r="BY119" s="2004">
        <v>0</v>
      </c>
      <c r="BZ119" s="2004">
        <v>0</v>
      </c>
      <c r="CA119" s="2004">
        <v>0</v>
      </c>
      <c r="CB119" s="2004">
        <v>0</v>
      </c>
      <c r="CC119" s="2004">
        <v>94</v>
      </c>
      <c r="CD119" s="2004" t="s">
        <v>2337</v>
      </c>
      <c r="CE119" s="2004">
        <v>0</v>
      </c>
      <c r="CF119" s="2004">
        <v>0</v>
      </c>
      <c r="CG119" s="2004">
        <v>0</v>
      </c>
      <c r="CH119" s="2004">
        <v>0</v>
      </c>
      <c r="CI119" s="2004">
        <v>93</v>
      </c>
      <c r="CJ119" s="2004" t="s">
        <v>2334</v>
      </c>
      <c r="CK119" s="2004">
        <v>0</v>
      </c>
      <c r="CL119" s="2004">
        <v>0</v>
      </c>
      <c r="CM119" s="2004">
        <v>0</v>
      </c>
      <c r="CN119" s="2004">
        <v>0</v>
      </c>
      <c r="CP119" s="2004" t="s">
        <v>9998</v>
      </c>
    </row>
    <row r="120" spans="1:94">
      <c r="A120" s="2004" t="s">
        <v>9057</v>
      </c>
      <c r="B120" s="2004" t="s">
        <v>9999</v>
      </c>
      <c r="C120" s="2004" t="s">
        <v>9047</v>
      </c>
      <c r="D120" s="2004" t="s">
        <v>1629</v>
      </c>
      <c r="E120" s="2004" t="s">
        <v>9410</v>
      </c>
      <c r="F120" s="2004" t="s">
        <v>10000</v>
      </c>
      <c r="G120" s="2004" t="s">
        <v>9474</v>
      </c>
      <c r="H120" s="2004" t="s">
        <v>10001</v>
      </c>
      <c r="I120" s="2004" t="s">
        <v>10002</v>
      </c>
      <c r="J120" s="2004" t="s">
        <v>9230</v>
      </c>
      <c r="K120" s="2004"/>
      <c r="L120" s="2004"/>
      <c r="M120" s="2004"/>
      <c r="N120" s="2004" t="s">
        <v>9372</v>
      </c>
      <c r="O120" s="2004" t="s">
        <v>766</v>
      </c>
      <c r="P120" s="2004" t="s">
        <v>9870</v>
      </c>
      <c r="Q120" s="516">
        <v>0</v>
      </c>
      <c r="R120" s="2004" t="s">
        <v>9202</v>
      </c>
      <c r="S120" s="2004">
        <v>206</v>
      </c>
      <c r="T120" s="2004">
        <v>194</v>
      </c>
      <c r="U120" s="2004">
        <v>183</v>
      </c>
      <c r="V120" s="2004">
        <v>172</v>
      </c>
      <c r="W120" s="2004">
        <v>161</v>
      </c>
      <c r="X120" s="2004">
        <v>150</v>
      </c>
      <c r="Y120" s="2004"/>
      <c r="Z120" s="2004"/>
      <c r="AA120" s="2004"/>
      <c r="AB120" s="2004"/>
      <c r="AC120" s="2004"/>
      <c r="AD120" s="2004"/>
      <c r="AE120" s="2004"/>
      <c r="AF120" s="2004"/>
      <c r="AG120" s="2004"/>
      <c r="AH120" s="2004">
        <v>0</v>
      </c>
      <c r="AI120" s="2004"/>
      <c r="AJ120" s="2004"/>
      <c r="AK120" s="2004"/>
      <c r="AL120" s="2004"/>
      <c r="AM120" s="2004"/>
      <c r="AN120" s="2004"/>
      <c r="AO120" s="2004"/>
      <c r="AP120" s="2004"/>
      <c r="AQ120" s="2004"/>
      <c r="AR120" s="2004"/>
      <c r="AS120" s="2004"/>
      <c r="AT120" s="2004"/>
      <c r="AU120" s="2004"/>
      <c r="AV120" s="2004"/>
      <c r="AW120" s="2004"/>
      <c r="AX120" s="2004"/>
      <c r="AY120" s="2004"/>
      <c r="AZ120" s="2004"/>
      <c r="BA120" s="2004"/>
      <c r="BB120" s="2004"/>
      <c r="BC120" s="2004"/>
      <c r="BD120" s="2004"/>
      <c r="BE120" s="2004"/>
      <c r="BF120" s="2004"/>
      <c r="BG120" s="2004"/>
      <c r="BH120" s="2004"/>
      <c r="BI120" s="2004"/>
      <c r="BJ120" s="2004"/>
      <c r="BK120" s="2004"/>
      <c r="BL120" s="2004"/>
      <c r="BM120" s="2004"/>
      <c r="BN120" s="2004"/>
      <c r="BO120" s="2004"/>
      <c r="BP120" s="516">
        <v>213.6</v>
      </c>
      <c r="BQ120" s="689">
        <v>225.2</v>
      </c>
      <c r="BR120" s="2004" t="s">
        <v>2334</v>
      </c>
      <c r="BS120" s="2004" t="s">
        <v>9204</v>
      </c>
      <c r="BT120" s="2004">
        <v>0</v>
      </c>
      <c r="BU120" s="2004" t="s">
        <v>9204</v>
      </c>
      <c r="BV120" s="2004">
        <v>0</v>
      </c>
      <c r="BW120" s="2004">
        <v>187.7</v>
      </c>
      <c r="BX120" s="2004" t="s">
        <v>2334</v>
      </c>
      <c r="BY120" s="2004">
        <v>0</v>
      </c>
      <c r="BZ120" s="2004">
        <v>0</v>
      </c>
      <c r="CA120" s="2004">
        <v>0</v>
      </c>
      <c r="CB120" s="2004">
        <v>0</v>
      </c>
      <c r="CC120" s="2004">
        <v>164</v>
      </c>
      <c r="CD120" s="2004" t="s">
        <v>2337</v>
      </c>
      <c r="CE120" s="2004">
        <v>0</v>
      </c>
      <c r="CF120" s="2004">
        <v>0</v>
      </c>
      <c r="CG120" s="2004">
        <v>0</v>
      </c>
      <c r="CH120" s="2004">
        <v>0</v>
      </c>
      <c r="CI120" s="2004">
        <v>148</v>
      </c>
      <c r="CJ120" s="2004" t="s">
        <v>2337</v>
      </c>
      <c r="CK120" s="2004">
        <v>0</v>
      </c>
      <c r="CL120" s="2004">
        <v>0</v>
      </c>
      <c r="CM120" s="2004">
        <v>0</v>
      </c>
      <c r="CN120" s="2004">
        <v>0</v>
      </c>
      <c r="CP120" s="2004" t="s">
        <v>10003</v>
      </c>
    </row>
    <row r="121" spans="1:94" ht="25.5">
      <c r="A121" s="2004" t="s">
        <v>9057</v>
      </c>
      <c r="B121" s="2004" t="s">
        <v>10004</v>
      </c>
      <c r="C121" s="2004" t="s">
        <v>9047</v>
      </c>
      <c r="D121" s="2004" t="s">
        <v>1629</v>
      </c>
      <c r="E121" s="2004" t="s">
        <v>9410</v>
      </c>
      <c r="F121" s="2004" t="s">
        <v>10000</v>
      </c>
      <c r="G121" s="2004" t="s">
        <v>9480</v>
      </c>
      <c r="H121" s="2004" t="s">
        <v>10005</v>
      </c>
      <c r="I121" s="2004" t="s">
        <v>10006</v>
      </c>
      <c r="J121" s="2004" t="s">
        <v>9230</v>
      </c>
      <c r="K121" s="2004"/>
      <c r="L121" s="2004"/>
      <c r="M121" s="2004"/>
      <c r="N121" s="2004" t="s">
        <v>9364</v>
      </c>
      <c r="O121" s="2004" t="s">
        <v>9487</v>
      </c>
      <c r="P121" s="2004" t="s">
        <v>9875</v>
      </c>
      <c r="Q121" s="516" t="s">
        <v>9203</v>
      </c>
      <c r="R121" s="2004"/>
      <c r="S121" s="2004" t="s">
        <v>9863</v>
      </c>
      <c r="T121" s="2004" t="s">
        <v>9876</v>
      </c>
      <c r="U121" s="2004" t="s">
        <v>9876</v>
      </c>
      <c r="V121" s="2004" t="s">
        <v>9876</v>
      </c>
      <c r="W121" s="2004" t="s">
        <v>9876</v>
      </c>
      <c r="X121" s="2004" t="s">
        <v>9876</v>
      </c>
      <c r="Y121" s="2004"/>
      <c r="Z121" s="2004"/>
      <c r="AA121" s="2004"/>
      <c r="AB121" s="2004"/>
      <c r="AC121" s="2004"/>
      <c r="AD121" s="2004"/>
      <c r="AE121" s="2004"/>
      <c r="AF121" s="2004"/>
      <c r="AG121" s="2004"/>
      <c r="AH121" s="2004">
        <v>0</v>
      </c>
      <c r="AI121" s="2004"/>
      <c r="AJ121" s="2004"/>
      <c r="AK121" s="2004"/>
      <c r="AL121" s="2004"/>
      <c r="AM121" s="2004"/>
      <c r="AN121" s="2004"/>
      <c r="AO121" s="2004"/>
      <c r="AP121" s="2004"/>
      <c r="AQ121" s="2004"/>
      <c r="AR121" s="2004"/>
      <c r="AS121" s="2004"/>
      <c r="AT121" s="2004"/>
      <c r="AU121" s="2004"/>
      <c r="AV121" s="2004"/>
      <c r="AW121" s="2004"/>
      <c r="AX121" s="2004"/>
      <c r="AY121" s="2004"/>
      <c r="AZ121" s="2004"/>
      <c r="BA121" s="2004"/>
      <c r="BB121" s="2004"/>
      <c r="BC121" s="2004"/>
      <c r="BD121" s="2004"/>
      <c r="BE121" s="2004"/>
      <c r="BF121" s="2004"/>
      <c r="BG121" s="2004"/>
      <c r="BH121" s="2004"/>
      <c r="BI121" s="2004"/>
      <c r="BJ121" s="2004"/>
      <c r="BK121" s="2004"/>
      <c r="BL121" s="2004"/>
      <c r="BM121" s="2004"/>
      <c r="BN121" s="2004"/>
      <c r="BO121" s="2004"/>
      <c r="BP121" s="516" t="s">
        <v>4150</v>
      </c>
      <c r="BQ121" s="688" t="s">
        <v>9878</v>
      </c>
      <c r="BR121" s="2004" t="s">
        <v>2337</v>
      </c>
      <c r="BS121" s="2004" t="s">
        <v>9204</v>
      </c>
      <c r="BT121" s="2004">
        <v>0</v>
      </c>
      <c r="BU121" s="2004" t="s">
        <v>9204</v>
      </c>
      <c r="BV121" s="2004">
        <v>0</v>
      </c>
      <c r="BW121" s="2004" t="s">
        <v>9878</v>
      </c>
      <c r="BX121" s="2004" t="s">
        <v>2337</v>
      </c>
      <c r="BY121" s="2004">
        <v>0</v>
      </c>
      <c r="BZ121" s="2004">
        <v>0</v>
      </c>
      <c r="CA121" s="2004">
        <v>0</v>
      </c>
      <c r="CB121" s="2004">
        <v>0</v>
      </c>
      <c r="CC121" s="2004" t="s">
        <v>9879</v>
      </c>
      <c r="CD121" s="2004" t="s">
        <v>2337</v>
      </c>
      <c r="CE121" s="2004">
        <v>0</v>
      </c>
      <c r="CF121" s="2004">
        <v>0</v>
      </c>
      <c r="CG121" s="2004">
        <v>0</v>
      </c>
      <c r="CH121" s="2004">
        <v>0</v>
      </c>
      <c r="CI121" s="2004" t="s">
        <v>9880</v>
      </c>
      <c r="CJ121" s="2004" t="s">
        <v>2337</v>
      </c>
      <c r="CK121" s="2004">
        <v>0</v>
      </c>
      <c r="CL121" s="2004">
        <v>0</v>
      </c>
      <c r="CM121" s="2004">
        <v>0</v>
      </c>
      <c r="CN121" s="2004">
        <v>0</v>
      </c>
      <c r="CP121" s="2004" t="s">
        <v>10007</v>
      </c>
    </row>
    <row r="122" spans="1:94">
      <c r="A122" s="2004" t="s">
        <v>9057</v>
      </c>
      <c r="B122" s="2004" t="s">
        <v>10008</v>
      </c>
      <c r="C122" s="2004" t="s">
        <v>9047</v>
      </c>
      <c r="D122" s="2004" t="s">
        <v>9275</v>
      </c>
      <c r="E122" s="2004" t="s">
        <v>9276</v>
      </c>
      <c r="F122" s="2004" t="s">
        <v>9846</v>
      </c>
      <c r="G122" s="2004" t="s">
        <v>9512</v>
      </c>
      <c r="H122" s="2004" t="s">
        <v>10009</v>
      </c>
      <c r="I122" s="2004" t="s">
        <v>10010</v>
      </c>
      <c r="J122" s="2004" t="s">
        <v>9230</v>
      </c>
      <c r="K122" s="2004"/>
      <c r="L122" s="2004"/>
      <c r="M122" s="2004"/>
      <c r="N122" s="2004" t="s">
        <v>9386</v>
      </c>
      <c r="O122" s="2004" t="s">
        <v>9282</v>
      </c>
      <c r="P122" s="2004" t="s">
        <v>9984</v>
      </c>
      <c r="Q122" s="516">
        <v>1</v>
      </c>
      <c r="R122" s="2004" t="s">
        <v>9240</v>
      </c>
      <c r="S122" s="2004">
        <v>8.1999999999999993</v>
      </c>
      <c r="T122" s="2004">
        <v>8.1999999999999993</v>
      </c>
      <c r="U122" s="2004">
        <v>8.1999999999999993</v>
      </c>
      <c r="V122" s="2004">
        <v>8.1999999999999993</v>
      </c>
      <c r="W122" s="2004">
        <v>8.1999999999999993</v>
      </c>
      <c r="X122" s="2004">
        <v>8.1999999999999993</v>
      </c>
      <c r="Y122" s="2004"/>
      <c r="Z122" s="2004"/>
      <c r="AA122" s="2004"/>
      <c r="AB122" s="2004"/>
      <c r="AC122" s="2004"/>
      <c r="AD122" s="2004"/>
      <c r="AE122" s="2004"/>
      <c r="AF122" s="2004"/>
      <c r="AG122" s="2004"/>
      <c r="AH122" s="2004">
        <v>0</v>
      </c>
      <c r="AI122" s="2004"/>
      <c r="AJ122" s="2004"/>
      <c r="AK122" s="2004"/>
      <c r="AL122" s="2004"/>
      <c r="AM122" s="2004"/>
      <c r="AN122" s="2004"/>
      <c r="AO122" s="2004"/>
      <c r="AP122" s="2004"/>
      <c r="AQ122" s="2004"/>
      <c r="AR122" s="2004"/>
      <c r="AS122" s="2004"/>
      <c r="AT122" s="2004"/>
      <c r="AU122" s="2004"/>
      <c r="AV122" s="2004"/>
      <c r="AW122" s="2004"/>
      <c r="AX122" s="2004"/>
      <c r="AY122" s="2004"/>
      <c r="AZ122" s="2004"/>
      <c r="BA122" s="2004"/>
      <c r="BB122" s="2004"/>
      <c r="BC122" s="2004"/>
      <c r="BD122" s="2004"/>
      <c r="BE122" s="2004"/>
      <c r="BF122" s="2004"/>
      <c r="BG122" s="2004"/>
      <c r="BH122" s="2004"/>
      <c r="BI122" s="2004"/>
      <c r="BJ122" s="2004"/>
      <c r="BK122" s="2004"/>
      <c r="BL122" s="2004"/>
      <c r="BM122" s="2004"/>
      <c r="BN122" s="2004"/>
      <c r="BO122" s="2004"/>
      <c r="BP122" s="516">
        <v>8.3000000000000007</v>
      </c>
      <c r="BQ122" s="686">
        <v>8.5</v>
      </c>
      <c r="BR122" s="2004" t="s">
        <v>2337</v>
      </c>
      <c r="BS122" s="2004" t="s">
        <v>9204</v>
      </c>
      <c r="BT122" s="2004">
        <v>0</v>
      </c>
      <c r="BU122" s="2004" t="s">
        <v>9204</v>
      </c>
      <c r="BV122" s="2004">
        <v>0</v>
      </c>
      <c r="BW122" s="2004">
        <v>8.5</v>
      </c>
      <c r="BX122" s="2004" t="s">
        <v>2337</v>
      </c>
      <c r="BY122" s="2004">
        <v>0</v>
      </c>
      <c r="BZ122" s="2004">
        <v>0</v>
      </c>
      <c r="CA122" s="2004">
        <v>0</v>
      </c>
      <c r="CB122" s="2004">
        <v>0</v>
      </c>
      <c r="CC122" s="2004">
        <v>8.6999999999999993</v>
      </c>
      <c r="CD122" s="2004" t="s">
        <v>2337</v>
      </c>
      <c r="CE122" s="2004">
        <v>0</v>
      </c>
      <c r="CF122" s="2004">
        <v>0</v>
      </c>
      <c r="CG122" s="2004">
        <v>0</v>
      </c>
      <c r="CH122" s="2004">
        <v>0</v>
      </c>
      <c r="CI122" s="2004">
        <v>8.6999999999999993</v>
      </c>
      <c r="CJ122" s="2004" t="s">
        <v>2337</v>
      </c>
      <c r="CK122" s="2004">
        <v>0</v>
      </c>
      <c r="CL122" s="2004">
        <v>0</v>
      </c>
      <c r="CM122" s="2004">
        <v>0</v>
      </c>
      <c r="CN122" s="2004">
        <v>0</v>
      </c>
      <c r="CP122" s="2004" t="s">
        <v>10011</v>
      </c>
    </row>
    <row r="123" spans="1:94">
      <c r="A123" s="2004" t="s">
        <v>9057</v>
      </c>
      <c r="B123" s="2004" t="s">
        <v>10012</v>
      </c>
      <c r="C123" s="2004" t="s">
        <v>9047</v>
      </c>
      <c r="D123" s="2004" t="s">
        <v>9275</v>
      </c>
      <c r="E123" s="2004" t="s">
        <v>9276</v>
      </c>
      <c r="F123" s="2004" t="s">
        <v>9846</v>
      </c>
      <c r="G123" s="2004" t="s">
        <v>9517</v>
      </c>
      <c r="H123" s="2004" t="s">
        <v>10013</v>
      </c>
      <c r="I123" s="2004" t="s">
        <v>10014</v>
      </c>
      <c r="J123" s="2004" t="s">
        <v>9199</v>
      </c>
      <c r="K123" s="2004" t="s">
        <v>9200</v>
      </c>
      <c r="L123" s="2004"/>
      <c r="M123" s="2004" t="s">
        <v>2334</v>
      </c>
      <c r="N123" s="2004" t="s">
        <v>9281</v>
      </c>
      <c r="O123" s="2004" t="s">
        <v>9282</v>
      </c>
      <c r="P123" s="2004" t="s">
        <v>9283</v>
      </c>
      <c r="Q123" s="516">
        <v>1</v>
      </c>
      <c r="R123" s="2004" t="s">
        <v>9240</v>
      </c>
      <c r="S123" s="2004">
        <v>89.4</v>
      </c>
      <c r="T123" s="2004">
        <v>90</v>
      </c>
      <c r="U123" s="2004">
        <v>90</v>
      </c>
      <c r="V123" s="2004">
        <v>90</v>
      </c>
      <c r="W123" s="2004">
        <v>90</v>
      </c>
      <c r="X123" s="2004">
        <v>90</v>
      </c>
      <c r="Y123" s="2004"/>
      <c r="Z123" s="2004"/>
      <c r="AA123" s="2004"/>
      <c r="AB123" s="2004"/>
      <c r="AC123" s="2004"/>
      <c r="AD123" s="2004"/>
      <c r="AE123" s="2004"/>
      <c r="AF123" s="2004"/>
      <c r="AG123" s="2004"/>
      <c r="AH123" s="2004">
        <v>0</v>
      </c>
      <c r="AI123" s="2004" t="s">
        <v>2337</v>
      </c>
      <c r="AJ123" s="2004" t="s">
        <v>2337</v>
      </c>
      <c r="AK123" s="2004" t="s">
        <v>2337</v>
      </c>
      <c r="AL123" s="2004" t="s">
        <v>2337</v>
      </c>
      <c r="AM123" s="2004" t="s">
        <v>2337</v>
      </c>
      <c r="AN123" s="2004" t="s">
        <v>9284</v>
      </c>
      <c r="AO123" s="2004" t="s">
        <v>9284</v>
      </c>
      <c r="AP123" s="2004" t="s">
        <v>9284</v>
      </c>
      <c r="AQ123" s="2004" t="s">
        <v>9284</v>
      </c>
      <c r="AR123" s="2004" t="s">
        <v>9284</v>
      </c>
      <c r="AS123" s="2004" t="s">
        <v>9284</v>
      </c>
      <c r="AT123" s="2004" t="s">
        <v>9284</v>
      </c>
      <c r="AU123" s="2004" t="s">
        <v>9284</v>
      </c>
      <c r="AV123" s="2004" t="s">
        <v>9284</v>
      </c>
      <c r="AW123" s="2004" t="s">
        <v>9284</v>
      </c>
      <c r="AX123" s="2004" t="s">
        <v>9284</v>
      </c>
      <c r="AY123" s="2004" t="s">
        <v>9284</v>
      </c>
      <c r="AZ123" s="2004" t="s">
        <v>9284</v>
      </c>
      <c r="BA123" s="2004" t="s">
        <v>9284</v>
      </c>
      <c r="BB123" s="2004" t="s">
        <v>9284</v>
      </c>
      <c r="BC123" s="2004" t="s">
        <v>9284</v>
      </c>
      <c r="BD123" s="2004" t="s">
        <v>9284</v>
      </c>
      <c r="BE123" s="2004" t="s">
        <v>9284</v>
      </c>
      <c r="BF123" s="2004" t="s">
        <v>9284</v>
      </c>
      <c r="BG123" s="2004" t="s">
        <v>9284</v>
      </c>
      <c r="BH123" s="2004" t="s">
        <v>9284</v>
      </c>
      <c r="BI123" s="2004"/>
      <c r="BJ123" s="2004"/>
      <c r="BK123" s="2004"/>
      <c r="BL123" s="2004" t="s">
        <v>9284</v>
      </c>
      <c r="BM123" s="2004"/>
      <c r="BN123" s="2004">
        <v>1</v>
      </c>
      <c r="BO123" s="2004" t="s">
        <v>9203</v>
      </c>
      <c r="BP123" s="516">
        <v>83.72</v>
      </c>
      <c r="BQ123" s="686">
        <v>83.64</v>
      </c>
      <c r="BR123" s="2004" t="s">
        <v>2334</v>
      </c>
      <c r="BS123" s="2004" t="s">
        <v>9204</v>
      </c>
      <c r="BT123" s="2004">
        <v>0</v>
      </c>
      <c r="BU123" s="2004" t="s">
        <v>9204</v>
      </c>
      <c r="BV123" s="2004">
        <v>0</v>
      </c>
      <c r="BW123" s="2004">
        <v>87.53</v>
      </c>
      <c r="BX123" s="2004" t="s">
        <v>2334</v>
      </c>
      <c r="BY123" s="2004">
        <v>0</v>
      </c>
      <c r="BZ123" s="2004">
        <v>0</v>
      </c>
      <c r="CA123" s="2004">
        <v>0</v>
      </c>
      <c r="CB123" s="2004">
        <v>0</v>
      </c>
      <c r="CC123" s="2004">
        <v>86.39</v>
      </c>
      <c r="CD123" s="2004" t="s">
        <v>2334</v>
      </c>
      <c r="CE123" s="2004">
        <v>0</v>
      </c>
      <c r="CF123" s="2004">
        <v>0</v>
      </c>
      <c r="CG123" s="2004">
        <v>0</v>
      </c>
      <c r="CH123" s="2004">
        <v>0</v>
      </c>
      <c r="CI123" s="2004">
        <v>85.9</v>
      </c>
      <c r="CJ123" s="2004" t="s">
        <v>2334</v>
      </c>
      <c r="CK123" s="2004">
        <v>0</v>
      </c>
      <c r="CL123" s="2004">
        <v>0</v>
      </c>
      <c r="CM123" s="2004">
        <v>0</v>
      </c>
      <c r="CN123" s="2004">
        <v>0</v>
      </c>
      <c r="CP123" s="2004" t="s">
        <v>10015</v>
      </c>
    </row>
    <row r="124" spans="1:94">
      <c r="A124" s="2004" t="s">
        <v>9057</v>
      </c>
      <c r="B124" s="2004" t="s">
        <v>10016</v>
      </c>
      <c r="C124" s="2004" t="s">
        <v>9047</v>
      </c>
      <c r="D124" s="2004" t="s">
        <v>9275</v>
      </c>
      <c r="E124" s="2004" t="s">
        <v>9276</v>
      </c>
      <c r="F124" s="2004" t="s">
        <v>9846</v>
      </c>
      <c r="G124" s="2004" t="s">
        <v>10017</v>
      </c>
      <c r="H124" s="2004" t="s">
        <v>10018</v>
      </c>
      <c r="I124" s="2004" t="s">
        <v>10019</v>
      </c>
      <c r="J124" s="2004" t="s">
        <v>9230</v>
      </c>
      <c r="K124" s="2004"/>
      <c r="L124" s="2004"/>
      <c r="M124" s="2004"/>
      <c r="N124" s="2004" t="s">
        <v>9386</v>
      </c>
      <c r="O124" s="2004" t="s">
        <v>734</v>
      </c>
      <c r="P124" s="2004" t="s">
        <v>9387</v>
      </c>
      <c r="Q124" s="516">
        <v>0</v>
      </c>
      <c r="R124" s="2004" t="s">
        <v>9240</v>
      </c>
      <c r="S124" s="2004">
        <v>32</v>
      </c>
      <c r="T124" s="2004">
        <v>32</v>
      </c>
      <c r="U124" s="2004">
        <v>32</v>
      </c>
      <c r="V124" s="2004">
        <v>32</v>
      </c>
      <c r="W124" s="2004">
        <v>32</v>
      </c>
      <c r="X124" s="2004">
        <v>32</v>
      </c>
      <c r="Y124" s="2004"/>
      <c r="Z124" s="2004"/>
      <c r="AA124" s="2004"/>
      <c r="AB124" s="2004"/>
      <c r="AC124" s="2004"/>
      <c r="AD124" s="2004"/>
      <c r="AE124" s="2004"/>
      <c r="AF124" s="2004"/>
      <c r="AG124" s="2004"/>
      <c r="AH124" s="2004">
        <v>0</v>
      </c>
      <c r="AI124" s="2004"/>
      <c r="AJ124" s="2004"/>
      <c r="AK124" s="2004"/>
      <c r="AL124" s="2004"/>
      <c r="AM124" s="2004"/>
      <c r="AN124" s="2004"/>
      <c r="AO124" s="2004"/>
      <c r="AP124" s="2004"/>
      <c r="AQ124" s="2004"/>
      <c r="AR124" s="2004"/>
      <c r="AS124" s="2004"/>
      <c r="AT124" s="2004"/>
      <c r="AU124" s="2004"/>
      <c r="AV124" s="2004"/>
      <c r="AW124" s="2004"/>
      <c r="AX124" s="2004"/>
      <c r="AY124" s="2004"/>
      <c r="AZ124" s="2004"/>
      <c r="BA124" s="2004"/>
      <c r="BB124" s="2004"/>
      <c r="BC124" s="2004"/>
      <c r="BD124" s="2004"/>
      <c r="BE124" s="2004"/>
      <c r="BF124" s="2004"/>
      <c r="BG124" s="2004"/>
      <c r="BH124" s="2004"/>
      <c r="BI124" s="2004"/>
      <c r="BJ124" s="2004"/>
      <c r="BK124" s="2004"/>
      <c r="BL124" s="2004"/>
      <c r="BM124" s="2004"/>
      <c r="BN124" s="2004"/>
      <c r="BO124" s="2004"/>
      <c r="BP124" s="516">
        <v>42</v>
      </c>
      <c r="BQ124" s="689">
        <v>49</v>
      </c>
      <c r="BR124" s="2004" t="s">
        <v>2337</v>
      </c>
      <c r="BS124" s="2004" t="s">
        <v>9204</v>
      </c>
      <c r="BT124" s="2004">
        <v>0</v>
      </c>
      <c r="BU124" s="2004" t="s">
        <v>9204</v>
      </c>
      <c r="BV124" s="2004">
        <v>0</v>
      </c>
      <c r="BW124" s="2004">
        <v>46</v>
      </c>
      <c r="BX124" s="2004" t="s">
        <v>2337</v>
      </c>
      <c r="BY124" s="2004">
        <v>0</v>
      </c>
      <c r="BZ124" s="2004">
        <v>0</v>
      </c>
      <c r="CA124" s="2004">
        <v>0</v>
      </c>
      <c r="CB124" s="2004">
        <v>0</v>
      </c>
      <c r="CC124" s="2004">
        <v>44</v>
      </c>
      <c r="CD124" s="2004" t="s">
        <v>2337</v>
      </c>
      <c r="CE124" s="2004">
        <v>0</v>
      </c>
      <c r="CF124" s="2004">
        <v>0</v>
      </c>
      <c r="CG124" s="2004">
        <v>0</v>
      </c>
      <c r="CH124" s="2004">
        <v>0</v>
      </c>
      <c r="CI124" s="2004">
        <v>43</v>
      </c>
      <c r="CJ124" s="2004" t="s">
        <v>2337</v>
      </c>
      <c r="CK124" s="2004">
        <v>0</v>
      </c>
      <c r="CL124" s="2004">
        <v>0</v>
      </c>
      <c r="CM124" s="2004">
        <v>0</v>
      </c>
      <c r="CN124" s="2004">
        <v>0</v>
      </c>
      <c r="CP124" s="2004" t="s">
        <v>10020</v>
      </c>
    </row>
    <row r="125" spans="1:94">
      <c r="A125" s="2004" t="s">
        <v>9057</v>
      </c>
      <c r="B125" s="2004" t="s">
        <v>10021</v>
      </c>
      <c r="C125" s="2004" t="s">
        <v>9047</v>
      </c>
      <c r="D125" s="2004" t="s">
        <v>9275</v>
      </c>
      <c r="E125" s="2004" t="s">
        <v>9276</v>
      </c>
      <c r="F125" s="2004" t="s">
        <v>10022</v>
      </c>
      <c r="G125" s="2004" t="s">
        <v>9522</v>
      </c>
      <c r="H125" s="2004" t="s">
        <v>10023</v>
      </c>
      <c r="I125" s="2004" t="s">
        <v>10024</v>
      </c>
      <c r="J125" s="2004" t="s">
        <v>9230</v>
      </c>
      <c r="K125" s="2004"/>
      <c r="L125" s="2004"/>
      <c r="M125" s="2004"/>
      <c r="N125" s="2004" t="s">
        <v>9290</v>
      </c>
      <c r="O125" s="2004" t="s">
        <v>9282</v>
      </c>
      <c r="P125" s="2004" t="s">
        <v>9984</v>
      </c>
      <c r="Q125" s="516">
        <v>1</v>
      </c>
      <c r="R125" s="2004" t="s">
        <v>9240</v>
      </c>
      <c r="S125" s="2004">
        <v>7.9</v>
      </c>
      <c r="T125" s="2004">
        <v>7.9</v>
      </c>
      <c r="U125" s="2004">
        <v>7.9</v>
      </c>
      <c r="V125" s="2004">
        <v>7.9</v>
      </c>
      <c r="W125" s="2004">
        <v>7.9</v>
      </c>
      <c r="X125" s="2004">
        <v>7.9</v>
      </c>
      <c r="Y125" s="2004"/>
      <c r="Z125" s="2004"/>
      <c r="AA125" s="2004"/>
      <c r="AB125" s="2004"/>
      <c r="AC125" s="2004"/>
      <c r="AD125" s="2004"/>
      <c r="AE125" s="2004"/>
      <c r="AF125" s="2004"/>
      <c r="AG125" s="2004"/>
      <c r="AH125" s="2004">
        <v>0</v>
      </c>
      <c r="AI125" s="2004"/>
      <c r="AJ125" s="2004"/>
      <c r="AK125" s="2004"/>
      <c r="AL125" s="2004"/>
      <c r="AM125" s="2004"/>
      <c r="AN125" s="2004"/>
      <c r="AO125" s="2004"/>
      <c r="AP125" s="2004"/>
      <c r="AQ125" s="2004"/>
      <c r="AR125" s="2004"/>
      <c r="AS125" s="2004"/>
      <c r="AT125" s="2004"/>
      <c r="AU125" s="2004"/>
      <c r="AV125" s="2004"/>
      <c r="AW125" s="2004"/>
      <c r="AX125" s="2004"/>
      <c r="AY125" s="2004"/>
      <c r="AZ125" s="2004"/>
      <c r="BA125" s="2004"/>
      <c r="BB125" s="2004"/>
      <c r="BC125" s="2004"/>
      <c r="BD125" s="2004"/>
      <c r="BE125" s="2004"/>
      <c r="BF125" s="2004"/>
      <c r="BG125" s="2004"/>
      <c r="BH125" s="2004"/>
      <c r="BI125" s="2004"/>
      <c r="BJ125" s="2004"/>
      <c r="BK125" s="2004"/>
      <c r="BL125" s="2004"/>
      <c r="BM125" s="2004"/>
      <c r="BN125" s="2004"/>
      <c r="BO125" s="2004"/>
      <c r="BP125" s="516">
        <v>8.1</v>
      </c>
      <c r="BQ125" s="686">
        <v>8.1999999999999993</v>
      </c>
      <c r="BR125" s="2004" t="s">
        <v>2337</v>
      </c>
      <c r="BS125" s="2004" t="s">
        <v>9204</v>
      </c>
      <c r="BT125" s="2004">
        <v>0</v>
      </c>
      <c r="BU125" s="2004" t="s">
        <v>9204</v>
      </c>
      <c r="BV125" s="2004">
        <v>0</v>
      </c>
      <c r="BW125" s="2004">
        <v>8.1999999999999993</v>
      </c>
      <c r="BX125" s="2004" t="s">
        <v>2337</v>
      </c>
      <c r="BY125" s="2004">
        <v>0</v>
      </c>
      <c r="BZ125" s="2004">
        <v>0</v>
      </c>
      <c r="CA125" s="2004">
        <v>0</v>
      </c>
      <c r="CB125" s="2004">
        <v>0</v>
      </c>
      <c r="CC125" s="2004">
        <v>8.1999999999999993</v>
      </c>
      <c r="CD125" s="2004" t="s">
        <v>2337</v>
      </c>
      <c r="CE125" s="2004">
        <v>0</v>
      </c>
      <c r="CF125" s="2004">
        <v>0</v>
      </c>
      <c r="CG125" s="2004">
        <v>0</v>
      </c>
      <c r="CH125" s="2004">
        <v>0</v>
      </c>
      <c r="CI125" s="2004">
        <v>8.1999999999999993</v>
      </c>
      <c r="CJ125" s="2004" t="s">
        <v>2337</v>
      </c>
      <c r="CK125" s="2004">
        <v>0</v>
      </c>
      <c r="CL125" s="2004">
        <v>0</v>
      </c>
      <c r="CM125" s="2004">
        <v>0</v>
      </c>
      <c r="CN125" s="2004">
        <v>0</v>
      </c>
      <c r="CP125" s="2004" t="s">
        <v>10025</v>
      </c>
    </row>
    <row r="126" spans="1:94">
      <c r="A126" s="2004" t="s">
        <v>9057</v>
      </c>
      <c r="B126" s="2004" t="s">
        <v>10026</v>
      </c>
      <c r="C126" s="2004" t="s">
        <v>9047</v>
      </c>
      <c r="D126" s="2004" t="s">
        <v>9275</v>
      </c>
      <c r="E126" s="2004" t="s">
        <v>9276</v>
      </c>
      <c r="F126" s="2004" t="s">
        <v>10022</v>
      </c>
      <c r="G126" s="2004" t="s">
        <v>9527</v>
      </c>
      <c r="H126" s="2004" t="s">
        <v>10027</v>
      </c>
      <c r="I126" s="2004" t="s">
        <v>10028</v>
      </c>
      <c r="J126" s="2004" t="s">
        <v>9230</v>
      </c>
      <c r="K126" s="2004"/>
      <c r="L126" s="2004"/>
      <c r="M126" s="2004"/>
      <c r="N126" s="2004" t="s">
        <v>9290</v>
      </c>
      <c r="O126" s="2004" t="s">
        <v>734</v>
      </c>
      <c r="P126" s="2004" t="s">
        <v>9387</v>
      </c>
      <c r="Q126" s="516">
        <v>0</v>
      </c>
      <c r="R126" s="2004" t="s">
        <v>9240</v>
      </c>
      <c r="S126" s="2004">
        <v>83</v>
      </c>
      <c r="T126" s="2004">
        <v>83</v>
      </c>
      <c r="U126" s="2004">
        <v>83</v>
      </c>
      <c r="V126" s="2004">
        <v>83</v>
      </c>
      <c r="W126" s="2004">
        <v>83</v>
      </c>
      <c r="X126" s="2004">
        <v>83</v>
      </c>
      <c r="Y126" s="2004"/>
      <c r="Z126" s="2004"/>
      <c r="AA126" s="2004"/>
      <c r="AB126" s="2004"/>
      <c r="AC126" s="2004"/>
      <c r="AD126" s="2004"/>
      <c r="AE126" s="2004"/>
      <c r="AF126" s="2004"/>
      <c r="AG126" s="2004"/>
      <c r="AH126" s="2004">
        <v>0</v>
      </c>
      <c r="AI126" s="2004"/>
      <c r="AJ126" s="2004"/>
      <c r="AK126" s="2004"/>
      <c r="AL126" s="2004"/>
      <c r="AM126" s="2004"/>
      <c r="AN126" s="2004"/>
      <c r="AO126" s="2004"/>
      <c r="AP126" s="2004"/>
      <c r="AQ126" s="2004"/>
      <c r="AR126" s="2004"/>
      <c r="AS126" s="2004"/>
      <c r="AT126" s="2004"/>
      <c r="AU126" s="2004"/>
      <c r="AV126" s="2004"/>
      <c r="AW126" s="2004"/>
      <c r="AX126" s="2004"/>
      <c r="AY126" s="2004"/>
      <c r="AZ126" s="2004"/>
      <c r="BA126" s="2004"/>
      <c r="BB126" s="2004"/>
      <c r="BC126" s="2004"/>
      <c r="BD126" s="2004"/>
      <c r="BE126" s="2004"/>
      <c r="BF126" s="2004"/>
      <c r="BG126" s="2004"/>
      <c r="BH126" s="2004"/>
      <c r="BI126" s="2004"/>
      <c r="BJ126" s="2004"/>
      <c r="BK126" s="2004"/>
      <c r="BL126" s="2004"/>
      <c r="BM126" s="2004"/>
      <c r="BN126" s="2004"/>
      <c r="BO126" s="2004"/>
      <c r="BP126" s="516">
        <v>78</v>
      </c>
      <c r="BQ126" s="689">
        <v>77</v>
      </c>
      <c r="BR126" s="2004" t="s">
        <v>2334</v>
      </c>
      <c r="BS126" s="2004" t="s">
        <v>9204</v>
      </c>
      <c r="BT126" s="2004">
        <v>0</v>
      </c>
      <c r="BU126" s="2004" t="s">
        <v>9204</v>
      </c>
      <c r="BV126" s="2004">
        <v>0</v>
      </c>
      <c r="BW126" s="2004">
        <v>84</v>
      </c>
      <c r="BX126" s="2004" t="s">
        <v>2337</v>
      </c>
      <c r="BY126" s="2004">
        <v>0</v>
      </c>
      <c r="BZ126" s="2004">
        <v>0</v>
      </c>
      <c r="CA126" s="2004">
        <v>0</v>
      </c>
      <c r="CB126" s="2004">
        <v>0</v>
      </c>
      <c r="CC126" s="2004">
        <v>78</v>
      </c>
      <c r="CD126" s="2004" t="s">
        <v>2334</v>
      </c>
      <c r="CE126" s="2004">
        <v>0</v>
      </c>
      <c r="CF126" s="2004">
        <v>0</v>
      </c>
      <c r="CG126" s="2004">
        <v>0</v>
      </c>
      <c r="CH126" s="2004">
        <v>0</v>
      </c>
      <c r="CI126" s="2004">
        <v>75</v>
      </c>
      <c r="CJ126" s="2004" t="s">
        <v>2334</v>
      </c>
      <c r="CK126" s="2004">
        <v>0</v>
      </c>
      <c r="CL126" s="2004">
        <v>0</v>
      </c>
      <c r="CM126" s="2004">
        <v>0</v>
      </c>
      <c r="CN126" s="2004">
        <v>0</v>
      </c>
      <c r="CP126" s="2004" t="s">
        <v>10029</v>
      </c>
    </row>
    <row r="127" spans="1:94">
      <c r="A127" s="2004" t="s">
        <v>9057</v>
      </c>
      <c r="B127" s="2004" t="s">
        <v>10030</v>
      </c>
      <c r="C127" s="2004" t="s">
        <v>9047</v>
      </c>
      <c r="D127" s="2004" t="s">
        <v>9275</v>
      </c>
      <c r="E127" s="2004" t="s">
        <v>9276</v>
      </c>
      <c r="F127" s="2004" t="s">
        <v>10022</v>
      </c>
      <c r="G127" s="2004" t="s">
        <v>10031</v>
      </c>
      <c r="H127" s="2004" t="s">
        <v>10032</v>
      </c>
      <c r="I127" s="2004" t="s">
        <v>10033</v>
      </c>
      <c r="J127" s="2004" t="s">
        <v>9230</v>
      </c>
      <c r="K127" s="2004"/>
      <c r="L127" s="2004"/>
      <c r="M127" s="2004"/>
      <c r="N127" s="2004" t="s">
        <v>9290</v>
      </c>
      <c r="O127" s="2004" t="s">
        <v>734</v>
      </c>
      <c r="P127" s="2004" t="s">
        <v>9387</v>
      </c>
      <c r="Q127" s="516">
        <v>0</v>
      </c>
      <c r="R127" s="2004" t="s">
        <v>9240</v>
      </c>
      <c r="S127" s="2004">
        <v>84</v>
      </c>
      <c r="T127" s="2004">
        <v>84</v>
      </c>
      <c r="U127" s="2004">
        <v>84</v>
      </c>
      <c r="V127" s="2004">
        <v>84</v>
      </c>
      <c r="W127" s="2004">
        <v>84</v>
      </c>
      <c r="X127" s="2004">
        <v>84</v>
      </c>
      <c r="Y127" s="2004"/>
      <c r="Z127" s="2004"/>
      <c r="AA127" s="2004"/>
      <c r="AB127" s="2004"/>
      <c r="AC127" s="2004"/>
      <c r="AD127" s="2004"/>
      <c r="AE127" s="2004"/>
      <c r="AF127" s="2004"/>
      <c r="AG127" s="2004"/>
      <c r="AH127" s="2004">
        <v>0</v>
      </c>
      <c r="AI127" s="2004"/>
      <c r="AJ127" s="2004"/>
      <c r="AK127" s="2004"/>
      <c r="AL127" s="2004"/>
      <c r="AM127" s="2004"/>
      <c r="AN127" s="2004"/>
      <c r="AO127" s="2004"/>
      <c r="AP127" s="2004"/>
      <c r="AQ127" s="2004"/>
      <c r="AR127" s="2004"/>
      <c r="AS127" s="2004"/>
      <c r="AT127" s="2004"/>
      <c r="AU127" s="2004"/>
      <c r="AV127" s="2004"/>
      <c r="AW127" s="2004"/>
      <c r="AX127" s="2004"/>
      <c r="AY127" s="2004"/>
      <c r="AZ127" s="2004"/>
      <c r="BA127" s="2004"/>
      <c r="BB127" s="2004"/>
      <c r="BC127" s="2004"/>
      <c r="BD127" s="2004"/>
      <c r="BE127" s="2004"/>
      <c r="BF127" s="2004"/>
      <c r="BG127" s="2004"/>
      <c r="BH127" s="2004"/>
      <c r="BI127" s="2004"/>
      <c r="BJ127" s="2004"/>
      <c r="BK127" s="2004"/>
      <c r="BL127" s="2004"/>
      <c r="BM127" s="2004"/>
      <c r="BN127" s="2004"/>
      <c r="BO127" s="2004"/>
      <c r="BP127" s="516">
        <v>81</v>
      </c>
      <c r="BQ127" s="689">
        <v>79</v>
      </c>
      <c r="BR127" s="2004" t="s">
        <v>2334</v>
      </c>
      <c r="BS127" s="2004" t="s">
        <v>9204</v>
      </c>
      <c r="BT127" s="2004">
        <v>0</v>
      </c>
      <c r="BU127" s="2004" t="s">
        <v>9204</v>
      </c>
      <c r="BV127" s="2004">
        <v>0</v>
      </c>
      <c r="BW127" s="2004">
        <v>84</v>
      </c>
      <c r="BX127" s="2004" t="s">
        <v>2337</v>
      </c>
      <c r="BY127" s="2004">
        <v>0</v>
      </c>
      <c r="BZ127" s="2004">
        <v>0</v>
      </c>
      <c r="CA127" s="2004">
        <v>0</v>
      </c>
      <c r="CB127" s="2004">
        <v>0</v>
      </c>
      <c r="CC127" s="2004">
        <v>78</v>
      </c>
      <c r="CD127" s="2004" t="s">
        <v>2334</v>
      </c>
      <c r="CE127" s="2004">
        <v>0</v>
      </c>
      <c r="CF127" s="2004">
        <v>0</v>
      </c>
      <c r="CG127" s="2004">
        <v>0</v>
      </c>
      <c r="CH127" s="2004">
        <v>0</v>
      </c>
      <c r="CI127" s="2004">
        <v>78</v>
      </c>
      <c r="CJ127" s="2004" t="s">
        <v>2334</v>
      </c>
      <c r="CK127" s="2004">
        <v>0</v>
      </c>
      <c r="CL127" s="2004">
        <v>0</v>
      </c>
      <c r="CM127" s="2004">
        <v>0</v>
      </c>
      <c r="CN127" s="2004">
        <v>0</v>
      </c>
      <c r="CP127" s="2004" t="s">
        <v>10034</v>
      </c>
    </row>
    <row r="128" spans="1:94">
      <c r="A128" s="2004" t="s">
        <v>9057</v>
      </c>
      <c r="B128" s="2004" t="s">
        <v>10035</v>
      </c>
      <c r="C128" s="2004" t="s">
        <v>9047</v>
      </c>
      <c r="D128" s="2004" t="s">
        <v>9275</v>
      </c>
      <c r="E128" s="2004" t="s">
        <v>9276</v>
      </c>
      <c r="F128" s="2004" t="s">
        <v>10022</v>
      </c>
      <c r="G128" s="2004" t="s">
        <v>10036</v>
      </c>
      <c r="H128" s="2004" t="s">
        <v>10037</v>
      </c>
      <c r="I128" s="2004" t="s">
        <v>10038</v>
      </c>
      <c r="J128" s="2004" t="s">
        <v>9230</v>
      </c>
      <c r="K128" s="2004"/>
      <c r="L128" s="2004"/>
      <c r="M128" s="2004"/>
      <c r="N128" s="2004" t="s">
        <v>9290</v>
      </c>
      <c r="O128" s="2004" t="s">
        <v>734</v>
      </c>
      <c r="P128" s="2004" t="s">
        <v>9387</v>
      </c>
      <c r="Q128" s="516">
        <v>0</v>
      </c>
      <c r="R128" s="2004" t="s">
        <v>9240</v>
      </c>
      <c r="S128" s="2004">
        <v>73</v>
      </c>
      <c r="T128" s="2004">
        <v>73</v>
      </c>
      <c r="U128" s="2004">
        <v>73</v>
      </c>
      <c r="V128" s="2004">
        <v>73</v>
      </c>
      <c r="W128" s="2004">
        <v>73</v>
      </c>
      <c r="X128" s="2004">
        <v>73</v>
      </c>
      <c r="Y128" s="2004"/>
      <c r="Z128" s="2004"/>
      <c r="AA128" s="2004"/>
      <c r="AB128" s="2004"/>
      <c r="AC128" s="2004"/>
      <c r="AD128" s="2004"/>
      <c r="AE128" s="2004"/>
      <c r="AF128" s="2004"/>
      <c r="AG128" s="2004"/>
      <c r="AH128" s="2004">
        <v>0</v>
      </c>
      <c r="AI128" s="2004"/>
      <c r="AJ128" s="2004"/>
      <c r="AK128" s="2004"/>
      <c r="AL128" s="2004"/>
      <c r="AM128" s="2004"/>
      <c r="AN128" s="2004"/>
      <c r="AO128" s="2004"/>
      <c r="AP128" s="2004"/>
      <c r="AQ128" s="2004"/>
      <c r="AR128" s="2004"/>
      <c r="AS128" s="2004"/>
      <c r="AT128" s="2004"/>
      <c r="AU128" s="2004"/>
      <c r="AV128" s="2004"/>
      <c r="AW128" s="2004"/>
      <c r="AX128" s="2004"/>
      <c r="AY128" s="2004"/>
      <c r="AZ128" s="2004"/>
      <c r="BA128" s="2004"/>
      <c r="BB128" s="2004"/>
      <c r="BC128" s="2004"/>
      <c r="BD128" s="2004"/>
      <c r="BE128" s="2004"/>
      <c r="BF128" s="2004"/>
      <c r="BG128" s="2004"/>
      <c r="BH128" s="2004"/>
      <c r="BI128" s="2004"/>
      <c r="BJ128" s="2004"/>
      <c r="BK128" s="2004"/>
      <c r="BL128" s="2004"/>
      <c r="BM128" s="2004"/>
      <c r="BN128" s="2004"/>
      <c r="BO128" s="2004"/>
      <c r="BP128" s="516">
        <v>73</v>
      </c>
      <c r="BQ128" s="689">
        <v>70</v>
      </c>
      <c r="BR128" s="2004" t="s">
        <v>2334</v>
      </c>
      <c r="BS128" s="2004" t="s">
        <v>9204</v>
      </c>
      <c r="BT128" s="2004">
        <v>0</v>
      </c>
      <c r="BU128" s="2004" t="s">
        <v>9204</v>
      </c>
      <c r="BV128" s="2004">
        <v>0</v>
      </c>
      <c r="BW128" s="2004">
        <v>67</v>
      </c>
      <c r="BX128" s="2004" t="s">
        <v>2334</v>
      </c>
      <c r="BY128" s="2004">
        <v>0</v>
      </c>
      <c r="BZ128" s="2004">
        <v>0</v>
      </c>
      <c r="CA128" s="2004">
        <v>0</v>
      </c>
      <c r="CB128" s="2004">
        <v>0</v>
      </c>
      <c r="CC128" s="2004">
        <v>71</v>
      </c>
      <c r="CD128" s="2004" t="s">
        <v>2334</v>
      </c>
      <c r="CE128" s="2004">
        <v>0</v>
      </c>
      <c r="CF128" s="2004">
        <v>0</v>
      </c>
      <c r="CG128" s="2004">
        <v>0</v>
      </c>
      <c r="CH128" s="2004">
        <v>0</v>
      </c>
      <c r="CI128" s="2004">
        <v>71</v>
      </c>
      <c r="CJ128" s="2004" t="s">
        <v>2334</v>
      </c>
      <c r="CK128" s="2004">
        <v>0</v>
      </c>
      <c r="CL128" s="2004">
        <v>0</v>
      </c>
      <c r="CM128" s="2004">
        <v>0</v>
      </c>
      <c r="CN128" s="2004">
        <v>0</v>
      </c>
      <c r="CP128" s="2004" t="s">
        <v>10039</v>
      </c>
    </row>
    <row r="129" spans="1:94">
      <c r="A129" s="2004" t="s">
        <v>9057</v>
      </c>
      <c r="B129" s="2004" t="s">
        <v>10040</v>
      </c>
      <c r="C129" s="2004" t="s">
        <v>9047</v>
      </c>
      <c r="D129" s="2004" t="s">
        <v>9275</v>
      </c>
      <c r="E129" s="2004" t="s">
        <v>9276</v>
      </c>
      <c r="F129" s="2004" t="s">
        <v>9860</v>
      </c>
      <c r="G129" s="2004" t="s">
        <v>9532</v>
      </c>
      <c r="H129" s="2004" t="s">
        <v>10041</v>
      </c>
      <c r="I129" s="2004" t="s">
        <v>10042</v>
      </c>
      <c r="J129" s="2004" t="s">
        <v>9230</v>
      </c>
      <c r="K129" s="2004"/>
      <c r="L129" s="2004"/>
      <c r="M129" s="2004"/>
      <c r="N129" s="2004" t="s">
        <v>9386</v>
      </c>
      <c r="O129" s="2004" t="s">
        <v>734</v>
      </c>
      <c r="P129" s="2004" t="s">
        <v>9387</v>
      </c>
      <c r="Q129" s="516">
        <v>0</v>
      </c>
      <c r="R129" s="2004" t="s">
        <v>9240</v>
      </c>
      <c r="S129" s="2004" t="s">
        <v>9863</v>
      </c>
      <c r="T129" s="2004" t="s">
        <v>9864</v>
      </c>
      <c r="U129" s="2004" t="s">
        <v>9864</v>
      </c>
      <c r="V129" s="2004" t="s">
        <v>9864</v>
      </c>
      <c r="W129" s="2004" t="s">
        <v>9864</v>
      </c>
      <c r="X129" s="2004" t="s">
        <v>9864</v>
      </c>
      <c r="Y129" s="2004"/>
      <c r="Z129" s="2004"/>
      <c r="AA129" s="2004"/>
      <c r="AB129" s="2004"/>
      <c r="AC129" s="2004"/>
      <c r="AD129" s="2004"/>
      <c r="AE129" s="2004"/>
      <c r="AF129" s="2004"/>
      <c r="AG129" s="2004"/>
      <c r="AH129" s="2004">
        <v>0</v>
      </c>
      <c r="AI129" s="2004"/>
      <c r="AJ129" s="2004"/>
      <c r="AK129" s="2004"/>
      <c r="AL129" s="2004"/>
      <c r="AM129" s="2004"/>
      <c r="AN129" s="2004"/>
      <c r="AO129" s="2004"/>
      <c r="AP129" s="2004"/>
      <c r="AQ129" s="2004"/>
      <c r="AR129" s="2004"/>
      <c r="AS129" s="2004"/>
      <c r="AT129" s="2004"/>
      <c r="AU129" s="2004"/>
      <c r="AV129" s="2004"/>
      <c r="AW129" s="2004"/>
      <c r="AX129" s="2004"/>
      <c r="AY129" s="2004"/>
      <c r="AZ129" s="2004"/>
      <c r="BA129" s="2004"/>
      <c r="BB129" s="2004"/>
      <c r="BC129" s="2004"/>
      <c r="BD129" s="2004"/>
      <c r="BE129" s="2004"/>
      <c r="BF129" s="2004"/>
      <c r="BG129" s="2004"/>
      <c r="BH129" s="2004"/>
      <c r="BI129" s="2004"/>
      <c r="BJ129" s="2004"/>
      <c r="BK129" s="2004"/>
      <c r="BL129" s="2004"/>
      <c r="BM129" s="2004"/>
      <c r="BN129" s="2004"/>
      <c r="BO129" s="2004"/>
      <c r="BP129" s="516">
        <v>91</v>
      </c>
      <c r="BQ129" s="688">
        <v>94</v>
      </c>
      <c r="BR129" s="2004" t="s">
        <v>9204</v>
      </c>
      <c r="BS129" s="2004" t="s">
        <v>9204</v>
      </c>
      <c r="BT129" s="2004">
        <v>0</v>
      </c>
      <c r="BU129" s="2004" t="s">
        <v>9204</v>
      </c>
      <c r="BV129" s="2004">
        <v>0</v>
      </c>
      <c r="BW129" s="2004">
        <v>94</v>
      </c>
      <c r="BX129" s="2004" t="s">
        <v>2335</v>
      </c>
      <c r="BY129" s="2004">
        <v>0</v>
      </c>
      <c r="BZ129" s="2004">
        <v>0</v>
      </c>
      <c r="CA129" s="2004">
        <v>0</v>
      </c>
      <c r="CB129" s="2004">
        <v>0</v>
      </c>
      <c r="CC129" s="2004">
        <v>94</v>
      </c>
      <c r="CD129" s="2004" t="s">
        <v>2337</v>
      </c>
      <c r="CE129" s="2004">
        <v>0</v>
      </c>
      <c r="CF129" s="2004">
        <v>0</v>
      </c>
      <c r="CG129" s="2004">
        <v>0</v>
      </c>
      <c r="CH129" s="2004">
        <v>0</v>
      </c>
      <c r="CI129" s="2004">
        <v>93</v>
      </c>
      <c r="CJ129" s="2004" t="s">
        <v>2334</v>
      </c>
      <c r="CK129" s="2004">
        <v>0</v>
      </c>
      <c r="CL129" s="2004">
        <v>0</v>
      </c>
      <c r="CM129" s="2004">
        <v>0</v>
      </c>
      <c r="CN129" s="2004">
        <v>0</v>
      </c>
      <c r="CP129" s="2004" t="s">
        <v>10043</v>
      </c>
    </row>
    <row r="130" spans="1:94">
      <c r="A130" s="2004" t="s">
        <v>9057</v>
      </c>
      <c r="B130" s="2004" t="s">
        <v>10044</v>
      </c>
      <c r="C130" s="2004" t="s">
        <v>9047</v>
      </c>
      <c r="D130" s="2004" t="s">
        <v>9275</v>
      </c>
      <c r="E130" s="2004" t="s">
        <v>9276</v>
      </c>
      <c r="F130" s="2004" t="s">
        <v>10000</v>
      </c>
      <c r="G130" s="2004" t="s">
        <v>10045</v>
      </c>
      <c r="H130" s="2004" t="s">
        <v>10046</v>
      </c>
      <c r="I130" s="2004" t="s">
        <v>10047</v>
      </c>
      <c r="J130" s="2004" t="s">
        <v>9230</v>
      </c>
      <c r="K130" s="2004"/>
      <c r="L130" s="2004"/>
      <c r="M130" s="2004"/>
      <c r="N130" s="2004" t="s">
        <v>9372</v>
      </c>
      <c r="O130" s="2004" t="s">
        <v>766</v>
      </c>
      <c r="P130" s="2004" t="s">
        <v>9870</v>
      </c>
      <c r="Q130" s="516">
        <v>0</v>
      </c>
      <c r="R130" s="2004" t="s">
        <v>9202</v>
      </c>
      <c r="S130" s="2004">
        <v>206</v>
      </c>
      <c r="T130" s="2004">
        <v>194</v>
      </c>
      <c r="U130" s="2004">
        <v>183</v>
      </c>
      <c r="V130" s="2004">
        <v>172</v>
      </c>
      <c r="W130" s="2004">
        <v>161</v>
      </c>
      <c r="X130" s="2004">
        <v>150</v>
      </c>
      <c r="Y130" s="2004"/>
      <c r="Z130" s="2004"/>
      <c r="AA130" s="2004"/>
      <c r="AB130" s="2004"/>
      <c r="AC130" s="2004"/>
      <c r="AD130" s="2004"/>
      <c r="AE130" s="2004"/>
      <c r="AF130" s="2004"/>
      <c r="AG130" s="2004"/>
      <c r="AH130" s="2004">
        <v>0</v>
      </c>
      <c r="AI130" s="2004"/>
      <c r="AJ130" s="2004"/>
      <c r="AK130" s="2004"/>
      <c r="AL130" s="2004"/>
      <c r="AM130" s="2004"/>
      <c r="AN130" s="2004"/>
      <c r="AO130" s="2004"/>
      <c r="AP130" s="2004"/>
      <c r="AQ130" s="2004"/>
      <c r="AR130" s="2004"/>
      <c r="AS130" s="2004"/>
      <c r="AT130" s="2004"/>
      <c r="AU130" s="2004"/>
      <c r="AV130" s="2004"/>
      <c r="AW130" s="2004"/>
      <c r="AX130" s="2004"/>
      <c r="AY130" s="2004"/>
      <c r="AZ130" s="2004"/>
      <c r="BA130" s="2004"/>
      <c r="BB130" s="2004"/>
      <c r="BC130" s="2004"/>
      <c r="BD130" s="2004"/>
      <c r="BE130" s="2004"/>
      <c r="BF130" s="2004"/>
      <c r="BG130" s="2004"/>
      <c r="BH130" s="2004"/>
      <c r="BI130" s="2004"/>
      <c r="BJ130" s="2004"/>
      <c r="BK130" s="2004"/>
      <c r="BL130" s="2004"/>
      <c r="BM130" s="2004"/>
      <c r="BN130" s="2004"/>
      <c r="BO130" s="2004"/>
      <c r="BP130" s="516">
        <v>213.6</v>
      </c>
      <c r="BQ130" s="689">
        <v>225.2</v>
      </c>
      <c r="BR130" s="2004" t="s">
        <v>2334</v>
      </c>
      <c r="BS130" s="2004" t="s">
        <v>9204</v>
      </c>
      <c r="BT130" s="2004">
        <v>0</v>
      </c>
      <c r="BU130" s="2004" t="s">
        <v>9204</v>
      </c>
      <c r="BV130" s="2004">
        <v>0</v>
      </c>
      <c r="BW130" s="2004">
        <v>187.7</v>
      </c>
      <c r="BX130" s="2004" t="s">
        <v>2334</v>
      </c>
      <c r="BY130" s="2004">
        <v>0</v>
      </c>
      <c r="BZ130" s="2004">
        <v>0</v>
      </c>
      <c r="CA130" s="2004">
        <v>0</v>
      </c>
      <c r="CB130" s="2004">
        <v>0</v>
      </c>
      <c r="CC130" s="2004">
        <v>164</v>
      </c>
      <c r="CD130" s="2004" t="s">
        <v>2337</v>
      </c>
      <c r="CE130" s="2004">
        <v>0</v>
      </c>
      <c r="CF130" s="2004">
        <v>0</v>
      </c>
      <c r="CG130" s="2004">
        <v>0</v>
      </c>
      <c r="CH130" s="2004">
        <v>0</v>
      </c>
      <c r="CI130" s="2004">
        <v>148</v>
      </c>
      <c r="CJ130" s="2004" t="s">
        <v>2337</v>
      </c>
      <c r="CK130" s="2004">
        <v>0</v>
      </c>
      <c r="CL130" s="2004">
        <v>0</v>
      </c>
      <c r="CM130" s="2004">
        <v>0</v>
      </c>
      <c r="CN130" s="2004">
        <v>0</v>
      </c>
      <c r="CP130" s="2004" t="s">
        <v>10048</v>
      </c>
    </row>
    <row r="131" spans="1:94" ht="25.5">
      <c r="A131" s="2004" t="s">
        <v>9057</v>
      </c>
      <c r="B131" s="2004" t="s">
        <v>10049</v>
      </c>
      <c r="C131" s="2004" t="s">
        <v>9047</v>
      </c>
      <c r="D131" s="2004" t="s">
        <v>9275</v>
      </c>
      <c r="E131" s="2004" t="s">
        <v>9276</v>
      </c>
      <c r="F131" s="2004" t="s">
        <v>10000</v>
      </c>
      <c r="G131" s="2004" t="s">
        <v>10050</v>
      </c>
      <c r="H131" s="2004" t="s">
        <v>10051</v>
      </c>
      <c r="I131" s="2004" t="s">
        <v>10052</v>
      </c>
      <c r="J131" s="2004" t="s">
        <v>9230</v>
      </c>
      <c r="K131" s="2004"/>
      <c r="L131" s="2004"/>
      <c r="M131" s="2004"/>
      <c r="N131" s="2004" t="s">
        <v>9364</v>
      </c>
      <c r="O131" s="2004" t="s">
        <v>9487</v>
      </c>
      <c r="P131" s="2004" t="s">
        <v>9875</v>
      </c>
      <c r="Q131" s="516" t="s">
        <v>9203</v>
      </c>
      <c r="R131" s="2004"/>
      <c r="S131" s="2004" t="s">
        <v>9863</v>
      </c>
      <c r="T131" s="2004" t="s">
        <v>9876</v>
      </c>
      <c r="U131" s="2004" t="s">
        <v>9876</v>
      </c>
      <c r="V131" s="2004" t="s">
        <v>9876</v>
      </c>
      <c r="W131" s="2004" t="s">
        <v>9876</v>
      </c>
      <c r="X131" s="2004" t="s">
        <v>9876</v>
      </c>
      <c r="Y131" s="2004"/>
      <c r="Z131" s="2004"/>
      <c r="AA131" s="2004"/>
      <c r="AB131" s="2004"/>
      <c r="AC131" s="2004"/>
      <c r="AD131" s="2004"/>
      <c r="AE131" s="2004"/>
      <c r="AF131" s="2004"/>
      <c r="AG131" s="2004"/>
      <c r="AH131" s="2004">
        <v>0</v>
      </c>
      <c r="AI131" s="2004"/>
      <c r="AJ131" s="2004"/>
      <c r="AK131" s="2004"/>
      <c r="AL131" s="2004"/>
      <c r="AM131" s="2004"/>
      <c r="AN131" s="2004"/>
      <c r="AO131" s="2004"/>
      <c r="AP131" s="2004"/>
      <c r="AQ131" s="2004"/>
      <c r="AR131" s="2004"/>
      <c r="AS131" s="2004"/>
      <c r="AT131" s="2004"/>
      <c r="AU131" s="2004"/>
      <c r="AV131" s="2004"/>
      <c r="AW131" s="2004"/>
      <c r="AX131" s="2004"/>
      <c r="AY131" s="2004"/>
      <c r="AZ131" s="2004"/>
      <c r="BA131" s="2004"/>
      <c r="BB131" s="2004"/>
      <c r="BC131" s="2004"/>
      <c r="BD131" s="2004"/>
      <c r="BE131" s="2004"/>
      <c r="BF131" s="2004"/>
      <c r="BG131" s="2004"/>
      <c r="BH131" s="2004"/>
      <c r="BI131" s="2004"/>
      <c r="BJ131" s="2004"/>
      <c r="BK131" s="2004"/>
      <c r="BL131" s="2004"/>
      <c r="BM131" s="2004"/>
      <c r="BN131" s="2004"/>
      <c r="BO131" s="2004"/>
      <c r="BP131" s="516" t="s">
        <v>4150</v>
      </c>
      <c r="BQ131" s="688" t="s">
        <v>9877</v>
      </c>
      <c r="BR131" s="2004" t="s">
        <v>2337</v>
      </c>
      <c r="BS131" s="2004" t="s">
        <v>9204</v>
      </c>
      <c r="BT131" s="2004">
        <v>0</v>
      </c>
      <c r="BU131" s="2004" t="s">
        <v>9204</v>
      </c>
      <c r="BV131" s="2004">
        <v>0</v>
      </c>
      <c r="BW131" s="2004" t="s">
        <v>9878</v>
      </c>
      <c r="BX131" s="2004" t="s">
        <v>2337</v>
      </c>
      <c r="BY131" s="2004">
        <v>0</v>
      </c>
      <c r="BZ131" s="2004">
        <v>0</v>
      </c>
      <c r="CA131" s="2004">
        <v>0</v>
      </c>
      <c r="CB131" s="2004">
        <v>0</v>
      </c>
      <c r="CC131" s="2004" t="s">
        <v>9879</v>
      </c>
      <c r="CD131" s="2004" t="s">
        <v>2337</v>
      </c>
      <c r="CE131" s="2004">
        <v>0</v>
      </c>
      <c r="CF131" s="2004">
        <v>0</v>
      </c>
      <c r="CG131" s="2004">
        <v>0</v>
      </c>
      <c r="CH131" s="2004">
        <v>0</v>
      </c>
      <c r="CI131" s="2004" t="s">
        <v>9880</v>
      </c>
      <c r="CJ131" s="2004" t="s">
        <v>2337</v>
      </c>
      <c r="CK131" s="2004">
        <v>0</v>
      </c>
      <c r="CL131" s="2004">
        <v>0</v>
      </c>
      <c r="CM131" s="2004">
        <v>0</v>
      </c>
      <c r="CN131" s="2004">
        <v>0</v>
      </c>
      <c r="CP131" s="2004" t="s">
        <v>10053</v>
      </c>
    </row>
    <row r="132" spans="1:94">
      <c r="A132" s="2004" t="s">
        <v>9057</v>
      </c>
      <c r="B132" s="2004" t="s">
        <v>10054</v>
      </c>
      <c r="C132" s="2004" t="s">
        <v>9047</v>
      </c>
      <c r="D132" s="2004" t="s">
        <v>9275</v>
      </c>
      <c r="E132" s="2004" t="s">
        <v>9276</v>
      </c>
      <c r="F132" s="2004" t="s">
        <v>10055</v>
      </c>
      <c r="G132" s="2004" t="s">
        <v>10056</v>
      </c>
      <c r="H132" s="2004" t="s">
        <v>10057</v>
      </c>
      <c r="I132" s="2004" t="s">
        <v>10058</v>
      </c>
      <c r="J132" s="2004" t="s">
        <v>9210</v>
      </c>
      <c r="K132" s="2004" t="s">
        <v>9200</v>
      </c>
      <c r="L132" s="2004"/>
      <c r="M132" s="2004" t="s">
        <v>2334</v>
      </c>
      <c r="N132" s="2004" t="s">
        <v>9290</v>
      </c>
      <c r="O132" s="2004" t="s">
        <v>51</v>
      </c>
      <c r="P132" s="2004" t="s">
        <v>10059</v>
      </c>
      <c r="Q132" s="516">
        <v>3</v>
      </c>
      <c r="R132" s="2004"/>
      <c r="S132" s="2004">
        <v>0</v>
      </c>
      <c r="T132" s="2004" t="s">
        <v>4140</v>
      </c>
      <c r="U132" s="2004" t="s">
        <v>4140</v>
      </c>
      <c r="V132" s="2004" t="s">
        <v>4140</v>
      </c>
      <c r="W132" s="2004" t="s">
        <v>4140</v>
      </c>
      <c r="X132" s="2004">
        <v>5.4930000000000003</v>
      </c>
      <c r="Y132" s="2004"/>
      <c r="Z132" s="2004"/>
      <c r="AA132" s="2004"/>
      <c r="AB132" s="2004"/>
      <c r="AC132" s="2004"/>
      <c r="AD132" s="2004" t="s">
        <v>2337</v>
      </c>
      <c r="AE132" s="2004"/>
      <c r="AF132" s="2004"/>
      <c r="AG132" s="2004"/>
      <c r="AH132" s="2004">
        <v>0</v>
      </c>
      <c r="AI132" s="2004"/>
      <c r="AJ132" s="2004"/>
      <c r="AK132" s="2004" t="s">
        <v>2337</v>
      </c>
      <c r="AL132" s="2004" t="s">
        <v>2337</v>
      </c>
      <c r="AM132" s="2004" t="s">
        <v>2337</v>
      </c>
      <c r="AN132" s="2004" t="s">
        <v>4140</v>
      </c>
      <c r="AO132" s="2004" t="s">
        <v>4140</v>
      </c>
      <c r="AP132" s="2004" t="s">
        <v>9977</v>
      </c>
      <c r="AQ132" s="2004" t="s">
        <v>9977</v>
      </c>
      <c r="AR132" s="2004" t="s">
        <v>9977</v>
      </c>
      <c r="AS132" s="2004" t="s">
        <v>4140</v>
      </c>
      <c r="AT132" s="2004" t="s">
        <v>4140</v>
      </c>
      <c r="AU132" s="2004" t="s">
        <v>9977</v>
      </c>
      <c r="AV132" s="2004" t="s">
        <v>9977</v>
      </c>
      <c r="AW132" s="2004" t="s">
        <v>9977</v>
      </c>
      <c r="AX132" s="2004"/>
      <c r="AY132" s="2004"/>
      <c r="AZ132" s="2004"/>
      <c r="BA132" s="2004"/>
      <c r="BB132" s="2004"/>
      <c r="BC132" s="2004"/>
      <c r="BD132" s="2004"/>
      <c r="BE132" s="2004"/>
      <c r="BF132" s="2004"/>
      <c r="BG132" s="2004"/>
      <c r="BH132" s="2004" t="s">
        <v>10060</v>
      </c>
      <c r="BI132" s="2004">
        <v>1.25</v>
      </c>
      <c r="BJ132" s="2004"/>
      <c r="BK132" s="2004"/>
      <c r="BL132" s="2004"/>
      <c r="BM132" s="2004"/>
      <c r="BN132" s="2004">
        <v>1</v>
      </c>
      <c r="BO132" s="2004" t="s">
        <v>9203</v>
      </c>
      <c r="BP132" s="516" t="s">
        <v>4150</v>
      </c>
      <c r="BQ132" s="688" t="s">
        <v>4150</v>
      </c>
      <c r="BR132" s="2004" t="s">
        <v>9204</v>
      </c>
      <c r="BS132" s="2004" t="s">
        <v>9204</v>
      </c>
      <c r="BT132" s="2004">
        <v>0</v>
      </c>
      <c r="BU132" s="2004" t="s">
        <v>9204</v>
      </c>
      <c r="BV132" s="2004">
        <v>0</v>
      </c>
      <c r="BW132" s="2004" t="s">
        <v>4150</v>
      </c>
      <c r="BX132" s="2004" t="s">
        <v>2335</v>
      </c>
      <c r="BY132" s="2004">
        <v>0</v>
      </c>
      <c r="BZ132" s="2004">
        <v>0</v>
      </c>
      <c r="CA132" s="2004">
        <v>0</v>
      </c>
      <c r="CB132" s="2004">
        <v>0</v>
      </c>
      <c r="CC132" s="2004" t="s">
        <v>10061</v>
      </c>
      <c r="CD132" s="2004" t="s">
        <v>2335</v>
      </c>
      <c r="CE132" s="2004">
        <v>0</v>
      </c>
      <c r="CF132" s="2004">
        <v>0</v>
      </c>
      <c r="CG132" s="2004">
        <v>0</v>
      </c>
      <c r="CH132" s="2004">
        <v>0</v>
      </c>
      <c r="CI132" s="2004" t="s">
        <v>2335</v>
      </c>
      <c r="CJ132" s="2004" t="s">
        <v>2334</v>
      </c>
      <c r="CK132" s="2004">
        <v>0</v>
      </c>
      <c r="CL132" s="2004">
        <v>0</v>
      </c>
      <c r="CM132" s="2004" t="s">
        <v>2336</v>
      </c>
      <c r="CN132" s="2004">
        <v>-0.13</v>
      </c>
      <c r="CP132" s="2004" t="s">
        <v>10062</v>
      </c>
    </row>
    <row r="133" spans="1:94">
      <c r="A133" s="2004" t="s">
        <v>10063</v>
      </c>
      <c r="B133" s="2004" t="s">
        <v>10064</v>
      </c>
      <c r="C133" s="2004" t="s">
        <v>9085</v>
      </c>
      <c r="D133" s="2004" t="s">
        <v>1628</v>
      </c>
      <c r="E133" s="2004" t="s">
        <v>9194</v>
      </c>
      <c r="F133" s="2004" t="s">
        <v>10065</v>
      </c>
      <c r="G133" s="2004" t="s">
        <v>7928</v>
      </c>
      <c r="H133" s="2004" t="s">
        <v>10066</v>
      </c>
      <c r="I133" s="2004" t="s">
        <v>10067</v>
      </c>
      <c r="J133" s="2004" t="s">
        <v>9199</v>
      </c>
      <c r="K133" s="2004" t="s">
        <v>9200</v>
      </c>
      <c r="L133" s="2004"/>
      <c r="M133" s="2004"/>
      <c r="N133" s="2004" t="s">
        <v>9260</v>
      </c>
      <c r="O133" s="2004" t="s">
        <v>766</v>
      </c>
      <c r="P133" s="2004" t="s">
        <v>9261</v>
      </c>
      <c r="Q133" s="516">
        <v>0</v>
      </c>
      <c r="R133" s="2004" t="s">
        <v>9202</v>
      </c>
      <c r="S133" s="2004">
        <v>342</v>
      </c>
      <c r="T133" s="2004">
        <v>342</v>
      </c>
      <c r="U133" s="2004">
        <v>342</v>
      </c>
      <c r="V133" s="2004">
        <v>342</v>
      </c>
      <c r="W133" s="2004">
        <v>342</v>
      </c>
      <c r="X133" s="2004">
        <v>342</v>
      </c>
      <c r="Y133" s="2004"/>
      <c r="Z133" s="2004"/>
      <c r="AA133" s="2004"/>
      <c r="AB133" s="2004"/>
      <c r="AC133" s="2004"/>
      <c r="AD133" s="2004"/>
      <c r="AE133" s="2004" t="s">
        <v>2337</v>
      </c>
      <c r="AF133" s="2004"/>
      <c r="AG133" s="2004"/>
      <c r="AH133" s="2004">
        <v>0</v>
      </c>
      <c r="AI133" s="2004"/>
      <c r="AJ133" s="2004"/>
      <c r="AK133" s="2004"/>
      <c r="AL133" s="2004"/>
      <c r="AM133" s="2004" t="s">
        <v>2337</v>
      </c>
      <c r="AN133" s="2004">
        <v>600</v>
      </c>
      <c r="AO133" s="2004">
        <v>600</v>
      </c>
      <c r="AP133" s="2004">
        <v>600</v>
      </c>
      <c r="AQ133" s="2004">
        <v>600</v>
      </c>
      <c r="AR133" s="2004">
        <v>600</v>
      </c>
      <c r="AS133" s="2004">
        <v>435</v>
      </c>
      <c r="AT133" s="2004">
        <v>435</v>
      </c>
      <c r="AU133" s="2004">
        <v>435</v>
      </c>
      <c r="AV133" s="2004">
        <v>435</v>
      </c>
      <c r="AW133" s="2004">
        <v>435</v>
      </c>
      <c r="AX133" s="2004">
        <v>250</v>
      </c>
      <c r="AY133" s="2004">
        <v>250</v>
      </c>
      <c r="AZ133" s="2004">
        <v>250</v>
      </c>
      <c r="BA133" s="2004">
        <v>250</v>
      </c>
      <c r="BB133" s="2004">
        <v>250</v>
      </c>
      <c r="BC133" s="2004">
        <v>100</v>
      </c>
      <c r="BD133" s="2004">
        <v>100</v>
      </c>
      <c r="BE133" s="2004">
        <v>100</v>
      </c>
      <c r="BF133" s="2004">
        <v>100</v>
      </c>
      <c r="BG133" s="2004">
        <v>100</v>
      </c>
      <c r="BH133" s="2004">
        <v>4.457E-3</v>
      </c>
      <c r="BI133" s="2004"/>
      <c r="BJ133" s="2004"/>
      <c r="BK133" s="2004"/>
      <c r="BL133" s="2004">
        <v>1.642E-3</v>
      </c>
      <c r="BM133" s="2004"/>
      <c r="BN133" s="2004">
        <v>1</v>
      </c>
      <c r="BO133" s="2004" t="s">
        <v>9203</v>
      </c>
      <c r="BP133" s="516">
        <v>294</v>
      </c>
      <c r="BQ133" s="689">
        <v>219</v>
      </c>
      <c r="BR133" s="2004" t="s">
        <v>2337</v>
      </c>
      <c r="BS133" s="2004" t="s">
        <v>9204</v>
      </c>
      <c r="BT133" s="2004">
        <v>0</v>
      </c>
      <c r="BU133" s="2004" t="s">
        <v>9204</v>
      </c>
      <c r="BV133" s="2004">
        <v>0</v>
      </c>
      <c r="BW133" s="2004">
        <v>298</v>
      </c>
      <c r="BX133" s="2004" t="s">
        <v>2337</v>
      </c>
      <c r="BY133" s="2004">
        <v>0</v>
      </c>
      <c r="BZ133" s="2004">
        <v>0</v>
      </c>
      <c r="CA133" s="2004">
        <v>0</v>
      </c>
      <c r="CB133" s="2004">
        <v>0</v>
      </c>
      <c r="CC133" s="2004">
        <v>347</v>
      </c>
      <c r="CD133" s="2004" t="s">
        <v>2335</v>
      </c>
      <c r="CE133" s="2004">
        <v>0</v>
      </c>
      <c r="CF133" s="2004">
        <v>0</v>
      </c>
      <c r="CG133" s="2004">
        <v>0</v>
      </c>
      <c r="CH133" s="2004">
        <v>0</v>
      </c>
      <c r="CI133" s="2004">
        <v>347</v>
      </c>
      <c r="CJ133" s="2004" t="s">
        <v>2334</v>
      </c>
      <c r="CK133" s="2004">
        <v>0</v>
      </c>
      <c r="CL133" s="2004">
        <v>0</v>
      </c>
      <c r="CM133" s="2004" t="s">
        <v>2340</v>
      </c>
      <c r="CN133" s="2004">
        <v>0</v>
      </c>
      <c r="CP133" s="2004" t="s">
        <v>10068</v>
      </c>
    </row>
    <row r="134" spans="1:94">
      <c r="A134" s="2004" t="s">
        <v>10063</v>
      </c>
      <c r="B134" s="2004" t="s">
        <v>10069</v>
      </c>
      <c r="C134" s="2004" t="s">
        <v>9085</v>
      </c>
      <c r="D134" s="2004" t="s">
        <v>1628</v>
      </c>
      <c r="E134" s="2004" t="s">
        <v>9194</v>
      </c>
      <c r="F134" s="2004" t="s">
        <v>10065</v>
      </c>
      <c r="G134" s="2004" t="s">
        <v>7929</v>
      </c>
      <c r="H134" s="2004" t="s">
        <v>10070</v>
      </c>
      <c r="I134" s="2004" t="s">
        <v>10071</v>
      </c>
      <c r="J134" s="2004" t="s">
        <v>9210</v>
      </c>
      <c r="K134" s="2004" t="s">
        <v>9200</v>
      </c>
      <c r="L134" s="2004"/>
      <c r="M134" s="2004"/>
      <c r="N134" s="2004" t="s">
        <v>9238</v>
      </c>
      <c r="O134" s="2004" t="s">
        <v>734</v>
      </c>
      <c r="P134" s="2004" t="s">
        <v>9239</v>
      </c>
      <c r="Q134" s="516">
        <v>2</v>
      </c>
      <c r="R134" s="2004" t="s">
        <v>9240</v>
      </c>
      <c r="S134" s="2004">
        <v>99.98</v>
      </c>
      <c r="T134" s="2004">
        <v>99.98</v>
      </c>
      <c r="U134" s="2004">
        <v>99.98</v>
      </c>
      <c r="V134" s="2004">
        <v>100</v>
      </c>
      <c r="W134" s="2004">
        <v>100</v>
      </c>
      <c r="X134" s="2004">
        <v>100</v>
      </c>
      <c r="Y134" s="2004" t="s">
        <v>2337</v>
      </c>
      <c r="Z134" s="2004"/>
      <c r="AA134" s="2004"/>
      <c r="AB134" s="2004"/>
      <c r="AC134" s="2004"/>
      <c r="AD134" s="2004"/>
      <c r="AE134" s="2004" t="s">
        <v>2337</v>
      </c>
      <c r="AF134" s="2004"/>
      <c r="AG134" s="2004"/>
      <c r="AH134" s="2004">
        <v>0</v>
      </c>
      <c r="AI134" s="2004" t="s">
        <v>2337</v>
      </c>
      <c r="AJ134" s="2004" t="s">
        <v>2337</v>
      </c>
      <c r="AK134" s="2004" t="s">
        <v>2337</v>
      </c>
      <c r="AL134" s="2004" t="s">
        <v>2337</v>
      </c>
      <c r="AM134" s="2004" t="s">
        <v>2337</v>
      </c>
      <c r="AN134" s="2004">
        <v>0</v>
      </c>
      <c r="AO134" s="2004">
        <v>0</v>
      </c>
      <c r="AP134" s="2004">
        <v>0</v>
      </c>
      <c r="AQ134" s="2004">
        <v>0</v>
      </c>
      <c r="AR134" s="2004">
        <v>0</v>
      </c>
      <c r="AS134" s="2004">
        <v>99.95</v>
      </c>
      <c r="AT134" s="2004">
        <v>99.95</v>
      </c>
      <c r="AU134" s="2004">
        <v>99.95</v>
      </c>
      <c r="AV134" s="2004">
        <v>99.95</v>
      </c>
      <c r="AW134" s="2004">
        <v>99.95</v>
      </c>
      <c r="AX134" s="2004"/>
      <c r="AY134" s="2004"/>
      <c r="AZ134" s="2004"/>
      <c r="BA134" s="2004"/>
      <c r="BB134" s="2004"/>
      <c r="BC134" s="2004"/>
      <c r="BD134" s="2004"/>
      <c r="BE134" s="2004"/>
      <c r="BF134" s="2004"/>
      <c r="BG134" s="2004"/>
      <c r="BH134" s="2004">
        <v>0.31941999999999998</v>
      </c>
      <c r="BI134" s="2004"/>
      <c r="BJ134" s="2004"/>
      <c r="BK134" s="2004"/>
      <c r="BL134" s="2004"/>
      <c r="BM134" s="2004"/>
      <c r="BN134" s="2004">
        <v>100</v>
      </c>
      <c r="BO134" s="2004" t="s">
        <v>9203</v>
      </c>
      <c r="BP134" s="516">
        <v>99.97</v>
      </c>
      <c r="BQ134" s="690">
        <v>99.94</v>
      </c>
      <c r="BR134" s="2004" t="s">
        <v>2334</v>
      </c>
      <c r="BS134" s="2004" t="s">
        <v>9204</v>
      </c>
      <c r="BT134" s="2004">
        <v>0</v>
      </c>
      <c r="BU134" s="2004" t="s">
        <v>9254</v>
      </c>
      <c r="BV134" s="2004">
        <v>-0.31941999999999998</v>
      </c>
      <c r="BW134" s="2004">
        <v>99.99</v>
      </c>
      <c r="BX134" s="2004" t="s">
        <v>2337</v>
      </c>
      <c r="BY134" s="2004">
        <v>0</v>
      </c>
      <c r="BZ134" s="2004">
        <v>0</v>
      </c>
      <c r="CA134" s="2004">
        <v>0</v>
      </c>
      <c r="CB134" s="2004">
        <v>0</v>
      </c>
      <c r="CC134" s="2004">
        <v>99.93</v>
      </c>
      <c r="CD134" s="2004" t="s">
        <v>2334</v>
      </c>
      <c r="CE134" s="2004">
        <v>0</v>
      </c>
      <c r="CF134" s="2004">
        <v>0</v>
      </c>
      <c r="CG134" s="2004" t="s">
        <v>2336</v>
      </c>
      <c r="CH134" s="2004">
        <v>-0.31940000000000002</v>
      </c>
      <c r="CI134" s="2004">
        <v>99.96</v>
      </c>
      <c r="CJ134" s="2004" t="s">
        <v>2337</v>
      </c>
      <c r="CK134" s="2004">
        <v>0</v>
      </c>
      <c r="CL134" s="2004">
        <v>0</v>
      </c>
      <c r="CM134" s="2004" t="s">
        <v>2340</v>
      </c>
      <c r="CN134" s="2004">
        <v>0</v>
      </c>
      <c r="CP134" s="2004" t="s">
        <v>10072</v>
      </c>
    </row>
    <row r="135" spans="1:94">
      <c r="A135" s="2004" t="s">
        <v>10063</v>
      </c>
      <c r="B135" s="2004" t="s">
        <v>10073</v>
      </c>
      <c r="C135" s="2004" t="s">
        <v>9085</v>
      </c>
      <c r="D135" s="2004" t="s">
        <v>1628</v>
      </c>
      <c r="E135" s="2004" t="s">
        <v>9194</v>
      </c>
      <c r="F135" s="2004" t="s">
        <v>10065</v>
      </c>
      <c r="G135" s="2004" t="s">
        <v>8928</v>
      </c>
      <c r="H135" s="2004" t="s">
        <v>10074</v>
      </c>
      <c r="I135" s="2004" t="s">
        <v>10075</v>
      </c>
      <c r="J135" s="2004" t="s">
        <v>9199</v>
      </c>
      <c r="K135" s="2004" t="s">
        <v>9200</v>
      </c>
      <c r="L135" s="2004"/>
      <c r="M135" s="2004"/>
      <c r="N135" s="2004" t="s">
        <v>9154</v>
      </c>
      <c r="O135" s="2004" t="s">
        <v>766</v>
      </c>
      <c r="P135" s="2004" t="s">
        <v>10076</v>
      </c>
      <c r="Q135" s="516">
        <v>3</v>
      </c>
      <c r="R135" s="2004" t="s">
        <v>9202</v>
      </c>
      <c r="S135" s="2004">
        <v>0.434</v>
      </c>
      <c r="T135" s="2004">
        <v>0.42899999999999999</v>
      </c>
      <c r="U135" s="2004">
        <v>0.42499999999999999</v>
      </c>
      <c r="V135" s="2004">
        <v>0.42099999999999999</v>
      </c>
      <c r="W135" s="2004">
        <v>0.41699999999999998</v>
      </c>
      <c r="X135" s="2004">
        <v>0.41299999999999998</v>
      </c>
      <c r="Y135" s="2004"/>
      <c r="Z135" s="2004" t="s">
        <v>2337</v>
      </c>
      <c r="AA135" s="2004"/>
      <c r="AB135" s="2004"/>
      <c r="AC135" s="2004"/>
      <c r="AD135" s="2004"/>
      <c r="AE135" s="2004" t="s">
        <v>2337</v>
      </c>
      <c r="AF135" s="2004"/>
      <c r="AG135" s="2004"/>
      <c r="AH135" s="2004">
        <v>0</v>
      </c>
      <c r="AI135" s="2004"/>
      <c r="AJ135" s="2004"/>
      <c r="AK135" s="2004"/>
      <c r="AL135" s="2004"/>
      <c r="AM135" s="2004" t="s">
        <v>2337</v>
      </c>
      <c r="AN135" s="2004">
        <v>0.505</v>
      </c>
      <c r="AO135" s="2004">
        <v>0.505</v>
      </c>
      <c r="AP135" s="2004">
        <v>0.505</v>
      </c>
      <c r="AQ135" s="2004">
        <v>0.505</v>
      </c>
      <c r="AR135" s="2004">
        <v>0.505</v>
      </c>
      <c r="AS135" s="2004">
        <v>0.42899999999999999</v>
      </c>
      <c r="AT135" s="2004">
        <v>0.42499999999999999</v>
      </c>
      <c r="AU135" s="2004">
        <v>0.42099999999999999</v>
      </c>
      <c r="AV135" s="2004">
        <v>0.41699999999999998</v>
      </c>
      <c r="AW135" s="2004">
        <v>0.41299999999999998</v>
      </c>
      <c r="AX135" s="2004">
        <v>0.42899999999999999</v>
      </c>
      <c r="AY135" s="2004">
        <v>0.42499999999999999</v>
      </c>
      <c r="AZ135" s="2004">
        <v>0.42099999999999999</v>
      </c>
      <c r="BA135" s="2004">
        <v>0.41699999999999998</v>
      </c>
      <c r="BB135" s="2004">
        <v>0.41299999999999998</v>
      </c>
      <c r="BC135" s="2004">
        <v>0.33700000000000002</v>
      </c>
      <c r="BD135" s="2004">
        <v>0.33700000000000002</v>
      </c>
      <c r="BE135" s="2004">
        <v>0.33700000000000002</v>
      </c>
      <c r="BF135" s="2004">
        <v>0.33700000000000002</v>
      </c>
      <c r="BG135" s="2004">
        <v>0.33700000000000002</v>
      </c>
      <c r="BH135" s="2004">
        <v>0.22655</v>
      </c>
      <c r="BI135" s="2004"/>
      <c r="BJ135" s="2004"/>
      <c r="BK135" s="2004"/>
      <c r="BL135" s="2004">
        <v>5.8854999999999998E-2</v>
      </c>
      <c r="BM135" s="2004"/>
      <c r="BN135" s="2004">
        <v>100</v>
      </c>
      <c r="BO135" s="2004" t="s">
        <v>10077</v>
      </c>
      <c r="BP135" s="516">
        <v>0.84099999999999997</v>
      </c>
      <c r="BQ135" s="700">
        <v>0.56999999999999995</v>
      </c>
      <c r="BR135" s="2004" t="s">
        <v>2334</v>
      </c>
      <c r="BS135" s="2004" t="s">
        <v>9204</v>
      </c>
      <c r="BT135" s="2004">
        <v>0</v>
      </c>
      <c r="BU135" s="2004" t="s">
        <v>9204</v>
      </c>
      <c r="BV135" s="2004">
        <v>0</v>
      </c>
      <c r="BW135" s="2004">
        <v>0.67</v>
      </c>
      <c r="BX135" s="2004" t="s">
        <v>2334</v>
      </c>
      <c r="BY135" s="2004">
        <v>0</v>
      </c>
      <c r="BZ135" s="2004">
        <v>0</v>
      </c>
      <c r="CA135" s="2004">
        <v>0</v>
      </c>
      <c r="CB135" s="2004">
        <v>0</v>
      </c>
      <c r="CC135" s="2004">
        <v>0.54900000000000004</v>
      </c>
      <c r="CD135" s="2004" t="s">
        <v>2334</v>
      </c>
      <c r="CE135" s="2004">
        <v>0</v>
      </c>
      <c r="CF135" s="2004">
        <v>0</v>
      </c>
      <c r="CG135" s="2004">
        <v>0</v>
      </c>
      <c r="CH135" s="2004">
        <v>0</v>
      </c>
      <c r="CI135" s="2004">
        <v>0.437</v>
      </c>
      <c r="CJ135" s="2004" t="s">
        <v>2334</v>
      </c>
      <c r="CK135" s="2004">
        <v>0</v>
      </c>
      <c r="CL135" s="2004">
        <v>0</v>
      </c>
      <c r="CM135" s="2004">
        <v>0</v>
      </c>
      <c r="CN135" s="2004">
        <v>0</v>
      </c>
      <c r="CP135" s="2004" t="s">
        <v>10078</v>
      </c>
    </row>
    <row r="136" spans="1:94">
      <c r="A136" s="2004" t="s">
        <v>10063</v>
      </c>
      <c r="B136" s="2004" t="s">
        <v>10079</v>
      </c>
      <c r="C136" s="2004" t="s">
        <v>9085</v>
      </c>
      <c r="D136" s="2004" t="s">
        <v>1628</v>
      </c>
      <c r="E136" s="2004" t="s">
        <v>9194</v>
      </c>
      <c r="F136" s="2004" t="s">
        <v>10065</v>
      </c>
      <c r="G136" s="2004" t="s">
        <v>8931</v>
      </c>
      <c r="H136" s="2004" t="s">
        <v>10080</v>
      </c>
      <c r="I136" s="2004" t="s">
        <v>10081</v>
      </c>
      <c r="J136" s="2004" t="s">
        <v>9230</v>
      </c>
      <c r="K136" s="2004"/>
      <c r="L136" s="2004"/>
      <c r="M136" s="2004"/>
      <c r="N136" s="2004" t="s">
        <v>9326</v>
      </c>
      <c r="O136" s="2004" t="s">
        <v>766</v>
      </c>
      <c r="P136" s="2004" t="s">
        <v>10082</v>
      </c>
      <c r="Q136" s="516">
        <v>0</v>
      </c>
      <c r="R136" s="2004" t="s">
        <v>9202</v>
      </c>
      <c r="S136" s="2004">
        <v>0</v>
      </c>
      <c r="T136" s="2004">
        <v>0</v>
      </c>
      <c r="U136" s="2004">
        <v>0</v>
      </c>
      <c r="V136" s="2004">
        <v>0</v>
      </c>
      <c r="W136" s="2004">
        <v>0</v>
      </c>
      <c r="X136" s="2004">
        <v>0</v>
      </c>
      <c r="Y136" s="2004"/>
      <c r="Z136" s="2004"/>
      <c r="AA136" s="2004"/>
      <c r="AB136" s="2004"/>
      <c r="AC136" s="2004"/>
      <c r="AD136" s="2004"/>
      <c r="AE136" s="2004"/>
      <c r="AF136" s="2004"/>
      <c r="AG136" s="2004"/>
      <c r="AH136" s="2004">
        <v>0</v>
      </c>
      <c r="AI136" s="2004"/>
      <c r="AJ136" s="2004"/>
      <c r="AK136" s="2004"/>
      <c r="AL136" s="2004"/>
      <c r="AM136" s="2004"/>
      <c r="AN136" s="2004"/>
      <c r="AO136" s="2004"/>
      <c r="AP136" s="2004"/>
      <c r="AQ136" s="2004"/>
      <c r="AR136" s="2004"/>
      <c r="AS136" s="2004"/>
      <c r="AT136" s="2004"/>
      <c r="AU136" s="2004"/>
      <c r="AV136" s="2004"/>
      <c r="AW136" s="2004"/>
      <c r="AX136" s="2004"/>
      <c r="AY136" s="2004"/>
      <c r="AZ136" s="2004"/>
      <c r="BA136" s="2004"/>
      <c r="BB136" s="2004"/>
      <c r="BC136" s="2004"/>
      <c r="BD136" s="2004"/>
      <c r="BE136" s="2004"/>
      <c r="BF136" s="2004"/>
      <c r="BG136" s="2004"/>
      <c r="BH136" s="2004"/>
      <c r="BI136" s="2004"/>
      <c r="BJ136" s="2004"/>
      <c r="BK136" s="2004"/>
      <c r="BL136" s="2004"/>
      <c r="BM136" s="2004"/>
      <c r="BN136" s="2004"/>
      <c r="BO136" s="2004"/>
      <c r="BP136" s="516">
        <v>0</v>
      </c>
      <c r="BQ136" s="689">
        <v>0</v>
      </c>
      <c r="BR136" s="2004" t="s">
        <v>2337</v>
      </c>
      <c r="BS136" s="2004" t="s">
        <v>9204</v>
      </c>
      <c r="BT136" s="2004">
        <v>0</v>
      </c>
      <c r="BU136" s="2004" t="s">
        <v>9204</v>
      </c>
      <c r="BV136" s="2004">
        <v>0</v>
      </c>
      <c r="BW136" s="2004">
        <v>0</v>
      </c>
      <c r="BX136" s="2004" t="s">
        <v>2337</v>
      </c>
      <c r="BY136" s="2004">
        <v>0</v>
      </c>
      <c r="BZ136" s="2004">
        <v>0</v>
      </c>
      <c r="CA136" s="2004">
        <v>0</v>
      </c>
      <c r="CB136" s="2004">
        <v>0</v>
      </c>
      <c r="CC136" s="2004">
        <v>0</v>
      </c>
      <c r="CD136" s="2004" t="s">
        <v>2337</v>
      </c>
      <c r="CE136" s="2004">
        <v>0</v>
      </c>
      <c r="CF136" s="2004">
        <v>0</v>
      </c>
      <c r="CG136" s="2004">
        <v>0</v>
      </c>
      <c r="CH136" s="2004">
        <v>0</v>
      </c>
      <c r="CI136" s="2004">
        <v>0</v>
      </c>
      <c r="CJ136" s="2004" t="s">
        <v>2337</v>
      </c>
      <c r="CK136" s="2004">
        <v>0</v>
      </c>
      <c r="CL136" s="2004">
        <v>0</v>
      </c>
      <c r="CM136" s="2004">
        <v>0</v>
      </c>
      <c r="CN136" s="2004">
        <v>0</v>
      </c>
      <c r="CP136" s="2004" t="s">
        <v>10083</v>
      </c>
    </row>
    <row r="137" spans="1:94">
      <c r="A137" s="2004" t="s">
        <v>10063</v>
      </c>
      <c r="B137" s="2004" t="s">
        <v>10084</v>
      </c>
      <c r="C137" s="2004" t="s">
        <v>9085</v>
      </c>
      <c r="D137" s="2004" t="s">
        <v>1628</v>
      </c>
      <c r="E137" s="2004" t="s">
        <v>9194</v>
      </c>
      <c r="F137" s="2004" t="s">
        <v>10085</v>
      </c>
      <c r="G137" s="2004" t="s">
        <v>7930</v>
      </c>
      <c r="H137" s="2004" t="s">
        <v>10086</v>
      </c>
      <c r="I137" s="2004" t="s">
        <v>10087</v>
      </c>
      <c r="J137" s="2004" t="s">
        <v>9199</v>
      </c>
      <c r="K137" s="2004" t="s">
        <v>9200</v>
      </c>
      <c r="L137" s="2004"/>
      <c r="M137" s="2004"/>
      <c r="N137" s="2004" t="s">
        <v>2927</v>
      </c>
      <c r="O137" s="2004" t="s">
        <v>766</v>
      </c>
      <c r="P137" s="2004" t="s">
        <v>9201</v>
      </c>
      <c r="Q137" s="516">
        <v>2</v>
      </c>
      <c r="R137" s="2004" t="s">
        <v>9202</v>
      </c>
      <c r="S137" s="2004">
        <v>30</v>
      </c>
      <c r="T137" s="2004">
        <v>30</v>
      </c>
      <c r="U137" s="2004">
        <v>29.95</v>
      </c>
      <c r="V137" s="2004">
        <v>29.9</v>
      </c>
      <c r="W137" s="2004">
        <v>29.85</v>
      </c>
      <c r="X137" s="2004">
        <v>29.8</v>
      </c>
      <c r="Y137" s="2004"/>
      <c r="Z137" s="2004"/>
      <c r="AA137" s="2004"/>
      <c r="AB137" s="2004"/>
      <c r="AC137" s="2004"/>
      <c r="AD137" s="2004"/>
      <c r="AE137" s="2004" t="s">
        <v>2337</v>
      </c>
      <c r="AF137" s="2004"/>
      <c r="AG137" s="2004"/>
      <c r="AH137" s="2004">
        <v>0</v>
      </c>
      <c r="AI137" s="2004"/>
      <c r="AJ137" s="2004"/>
      <c r="AK137" s="2004"/>
      <c r="AL137" s="2004"/>
      <c r="AM137" s="2004" t="s">
        <v>2337</v>
      </c>
      <c r="AN137" s="2004">
        <v>33.299999999999997</v>
      </c>
      <c r="AO137" s="2004">
        <v>33.25</v>
      </c>
      <c r="AP137" s="2004">
        <v>33.200000000000003</v>
      </c>
      <c r="AQ137" s="2004">
        <v>33.15</v>
      </c>
      <c r="AR137" s="2004">
        <v>33.1</v>
      </c>
      <c r="AS137" s="2004">
        <v>30</v>
      </c>
      <c r="AT137" s="2004">
        <v>29.95</v>
      </c>
      <c r="AU137" s="2004">
        <v>29.9</v>
      </c>
      <c r="AV137" s="2004">
        <v>29.85</v>
      </c>
      <c r="AW137" s="2004">
        <v>29.8</v>
      </c>
      <c r="AX137" s="2004">
        <v>30</v>
      </c>
      <c r="AY137" s="2004">
        <v>29.95</v>
      </c>
      <c r="AZ137" s="2004">
        <v>29.9</v>
      </c>
      <c r="BA137" s="2004">
        <v>29.85</v>
      </c>
      <c r="BB137" s="2004">
        <v>29.8</v>
      </c>
      <c r="BC137" s="2004">
        <v>17</v>
      </c>
      <c r="BD137" s="2004">
        <v>17</v>
      </c>
      <c r="BE137" s="2004">
        <v>17</v>
      </c>
      <c r="BF137" s="2004">
        <v>17</v>
      </c>
      <c r="BG137" s="2004">
        <v>17</v>
      </c>
      <c r="BH137" s="2004">
        <v>0.87121000000000004</v>
      </c>
      <c r="BI137" s="2004"/>
      <c r="BJ137" s="2004"/>
      <c r="BK137" s="2004"/>
      <c r="BL137" s="2004">
        <v>6.1060000000000003E-2</v>
      </c>
      <c r="BM137" s="2004"/>
      <c r="BN137" s="2004">
        <v>1</v>
      </c>
      <c r="BO137" s="2004" t="s">
        <v>9203</v>
      </c>
      <c r="BP137" s="516">
        <v>28.85</v>
      </c>
      <c r="BQ137" s="690">
        <v>28.23</v>
      </c>
      <c r="BR137" s="2004" t="s">
        <v>2337</v>
      </c>
      <c r="BS137" s="2004" t="s">
        <v>9204</v>
      </c>
      <c r="BT137" s="2004">
        <v>0</v>
      </c>
      <c r="BU137" s="2004" t="s">
        <v>9204</v>
      </c>
      <c r="BV137" s="2004">
        <v>0</v>
      </c>
      <c r="BW137" s="2004">
        <v>30.37</v>
      </c>
      <c r="BX137" s="2004" t="s">
        <v>2334</v>
      </c>
      <c r="BY137" s="2004">
        <v>0</v>
      </c>
      <c r="BZ137" s="2004">
        <v>0</v>
      </c>
      <c r="CA137" s="2004">
        <v>0</v>
      </c>
      <c r="CB137" s="2004">
        <v>0</v>
      </c>
      <c r="CC137" s="2004">
        <v>32.869999999999997</v>
      </c>
      <c r="CD137" s="2004" t="s">
        <v>2334</v>
      </c>
      <c r="CE137" s="2004">
        <v>0</v>
      </c>
      <c r="CF137" s="2004">
        <v>0</v>
      </c>
      <c r="CG137" s="2004">
        <v>0</v>
      </c>
      <c r="CH137" s="2004">
        <v>0</v>
      </c>
      <c r="CI137" s="2004">
        <v>28.12</v>
      </c>
      <c r="CJ137" s="2004" t="s">
        <v>2337</v>
      </c>
      <c r="CK137" s="2004">
        <v>0</v>
      </c>
      <c r="CL137" s="2004">
        <v>0</v>
      </c>
      <c r="CM137" s="2004">
        <v>0</v>
      </c>
      <c r="CN137" s="2004">
        <v>0</v>
      </c>
      <c r="CP137" s="2004" t="s">
        <v>10088</v>
      </c>
    </row>
    <row r="138" spans="1:94" ht="25.5">
      <c r="A138" s="2004" t="s">
        <v>10063</v>
      </c>
      <c r="B138" s="2004" t="s">
        <v>10089</v>
      </c>
      <c r="C138" s="2004" t="s">
        <v>9085</v>
      </c>
      <c r="D138" s="2004" t="s">
        <v>1628</v>
      </c>
      <c r="E138" s="2004" t="s">
        <v>9194</v>
      </c>
      <c r="F138" s="2004" t="s">
        <v>10090</v>
      </c>
      <c r="G138" s="2004" t="s">
        <v>8948</v>
      </c>
      <c r="H138" s="2004" t="s">
        <v>10091</v>
      </c>
      <c r="I138" s="2004" t="s">
        <v>10092</v>
      </c>
      <c r="J138" s="2004" t="s">
        <v>9199</v>
      </c>
      <c r="K138" s="2004" t="s">
        <v>9200</v>
      </c>
      <c r="L138" s="2004"/>
      <c r="M138" s="2004" t="s">
        <v>2334</v>
      </c>
      <c r="N138" s="2004" t="s">
        <v>2951</v>
      </c>
      <c r="O138" s="2004" t="s">
        <v>9298</v>
      </c>
      <c r="P138" s="2004" t="s">
        <v>9793</v>
      </c>
      <c r="Q138" s="516" t="s">
        <v>9794</v>
      </c>
      <c r="R138" s="2004" t="s">
        <v>9202</v>
      </c>
      <c r="S138" s="2004">
        <v>0.20833333333333334</v>
      </c>
      <c r="T138" s="2004">
        <v>0.20833333333333334</v>
      </c>
      <c r="U138" s="2004">
        <v>0.20833333333333334</v>
      </c>
      <c r="V138" s="2004">
        <v>0.20833333333333334</v>
      </c>
      <c r="W138" s="2004">
        <v>0.20833333333333334</v>
      </c>
      <c r="X138" s="2004">
        <v>0.20833333333333334</v>
      </c>
      <c r="Y138" s="2004"/>
      <c r="Z138" s="2004"/>
      <c r="AA138" s="2004" t="s">
        <v>2337</v>
      </c>
      <c r="AB138" s="2004"/>
      <c r="AC138" s="2004"/>
      <c r="AD138" s="2004"/>
      <c r="AE138" s="2004" t="s">
        <v>2337</v>
      </c>
      <c r="AF138" s="2004"/>
      <c r="AG138" s="2004"/>
      <c r="AH138" s="2004">
        <v>0</v>
      </c>
      <c r="AI138" s="2004"/>
      <c r="AJ138" s="2004"/>
      <c r="AK138" s="2004"/>
      <c r="AL138" s="2004"/>
      <c r="AM138" s="2004" t="s">
        <v>2337</v>
      </c>
      <c r="AN138" s="2004">
        <v>0.33333333333333331</v>
      </c>
      <c r="AO138" s="2004">
        <v>0.33333333333333331</v>
      </c>
      <c r="AP138" s="2004">
        <v>0.33333333333333331</v>
      </c>
      <c r="AQ138" s="2004">
        <v>0.33333333333333331</v>
      </c>
      <c r="AR138" s="2004">
        <v>0.33333333333333331</v>
      </c>
      <c r="AS138" s="2004">
        <v>0.25</v>
      </c>
      <c r="AT138" s="2004">
        <v>0.25</v>
      </c>
      <c r="AU138" s="2004">
        <v>0.25</v>
      </c>
      <c r="AV138" s="2004">
        <v>0.25</v>
      </c>
      <c r="AW138" s="2004">
        <v>0.25</v>
      </c>
      <c r="AX138" s="2004">
        <v>0.20833333333333334</v>
      </c>
      <c r="AY138" s="2004">
        <v>0.20833333333333334</v>
      </c>
      <c r="AZ138" s="2004">
        <v>0.20833333333333334</v>
      </c>
      <c r="BA138" s="2004">
        <v>0.20833333333333334</v>
      </c>
      <c r="BB138" s="2004">
        <v>0.20833333333333334</v>
      </c>
      <c r="BC138" s="2004">
        <v>0</v>
      </c>
      <c r="BD138" s="2004">
        <v>0</v>
      </c>
      <c r="BE138" s="2004">
        <v>0</v>
      </c>
      <c r="BF138" s="2004">
        <v>0</v>
      </c>
      <c r="BG138" s="2004">
        <v>0</v>
      </c>
      <c r="BH138" s="2004">
        <v>0.41865999999999998</v>
      </c>
      <c r="BI138" s="2004"/>
      <c r="BJ138" s="2004"/>
      <c r="BK138" s="2004"/>
      <c r="BL138" s="2004">
        <v>6.0435000000000003E-2</v>
      </c>
      <c r="BM138" s="2004"/>
      <c r="BN138" s="2004">
        <v>1</v>
      </c>
      <c r="BO138" s="2004" t="s">
        <v>9203</v>
      </c>
      <c r="BP138" s="516" t="s">
        <v>10093</v>
      </c>
      <c r="BQ138" s="699" t="s">
        <v>10094</v>
      </c>
      <c r="BR138" s="2004" t="s">
        <v>2337</v>
      </c>
      <c r="BS138" s="2004" t="s">
        <v>9204</v>
      </c>
      <c r="BT138" s="2004">
        <v>0</v>
      </c>
      <c r="BU138" s="2004" t="s">
        <v>9204</v>
      </c>
      <c r="BV138" s="2004">
        <v>0</v>
      </c>
      <c r="BW138" s="2004" t="s">
        <v>10095</v>
      </c>
      <c r="BX138" s="2004" t="s">
        <v>2337</v>
      </c>
      <c r="BY138" s="2004">
        <v>0</v>
      </c>
      <c r="BZ138" s="2004">
        <v>0</v>
      </c>
      <c r="CA138" s="2004">
        <v>0</v>
      </c>
      <c r="CB138" s="2004">
        <v>0</v>
      </c>
      <c r="CC138" s="2004" t="s">
        <v>10096</v>
      </c>
      <c r="CD138" s="2004" t="s">
        <v>2337</v>
      </c>
      <c r="CE138" s="2004">
        <v>0</v>
      </c>
      <c r="CF138" s="2004">
        <v>0</v>
      </c>
      <c r="CG138" s="2004">
        <v>0</v>
      </c>
      <c r="CH138" s="2004">
        <v>0</v>
      </c>
      <c r="CI138" s="2004" t="s">
        <v>10097</v>
      </c>
      <c r="CJ138" s="2004" t="s">
        <v>2337</v>
      </c>
      <c r="CK138" s="2004">
        <v>0</v>
      </c>
      <c r="CL138" s="2004">
        <v>0</v>
      </c>
      <c r="CM138" s="2004">
        <v>0</v>
      </c>
      <c r="CN138" s="2004">
        <v>0</v>
      </c>
      <c r="CP138" s="2004" t="s">
        <v>10098</v>
      </c>
    </row>
    <row r="139" spans="1:94">
      <c r="A139" s="2004" t="s">
        <v>10063</v>
      </c>
      <c r="B139" s="2004" t="s">
        <v>10099</v>
      </c>
      <c r="C139" s="2004" t="s">
        <v>9085</v>
      </c>
      <c r="D139" s="2004" t="s">
        <v>1628</v>
      </c>
      <c r="E139" s="2004" t="s">
        <v>9194</v>
      </c>
      <c r="F139" s="2004" t="s">
        <v>10100</v>
      </c>
      <c r="G139" s="2004" t="s">
        <v>8955</v>
      </c>
      <c r="H139" s="2004" t="s">
        <v>10101</v>
      </c>
      <c r="I139" s="2004" t="s">
        <v>10102</v>
      </c>
      <c r="J139" s="2004" t="s">
        <v>9210</v>
      </c>
      <c r="K139" s="2004" t="s">
        <v>9200</v>
      </c>
      <c r="L139" s="2004"/>
      <c r="M139" s="2004"/>
      <c r="N139" s="2004" t="s">
        <v>9357</v>
      </c>
      <c r="O139" s="2004" t="s">
        <v>734</v>
      </c>
      <c r="P139" s="2004" t="s">
        <v>10103</v>
      </c>
      <c r="Q139" s="516">
        <v>0</v>
      </c>
      <c r="R139" s="2004" t="s">
        <v>9240</v>
      </c>
      <c r="S139" s="2004" t="s">
        <v>4140</v>
      </c>
      <c r="T139" s="2004">
        <v>0</v>
      </c>
      <c r="U139" s="2004">
        <v>25</v>
      </c>
      <c r="V139" s="2004">
        <v>50</v>
      </c>
      <c r="W139" s="2004">
        <v>75</v>
      </c>
      <c r="X139" s="2004">
        <v>90</v>
      </c>
      <c r="Y139" s="2004"/>
      <c r="Z139" s="2004"/>
      <c r="AA139" s="2004"/>
      <c r="AB139" s="2004"/>
      <c r="AC139" s="2004"/>
      <c r="AD139" s="2004"/>
      <c r="AE139" s="2004"/>
      <c r="AF139" s="2004" t="s">
        <v>2337</v>
      </c>
      <c r="AG139" s="2004"/>
      <c r="AH139" s="2004">
        <v>0</v>
      </c>
      <c r="AI139" s="2004"/>
      <c r="AJ139" s="2004"/>
      <c r="AK139" s="2004"/>
      <c r="AL139" s="2004"/>
      <c r="AM139" s="2004" t="s">
        <v>2337</v>
      </c>
      <c r="AN139" s="2004"/>
      <c r="AO139" s="2004"/>
      <c r="AP139" s="2004"/>
      <c r="AQ139" s="2004"/>
      <c r="AR139" s="2004">
        <v>0</v>
      </c>
      <c r="AS139" s="2004"/>
      <c r="AT139" s="2004"/>
      <c r="AU139" s="2004"/>
      <c r="AV139" s="2004"/>
      <c r="AW139" s="2004">
        <v>90</v>
      </c>
      <c r="AX139" s="2004"/>
      <c r="AY139" s="2004"/>
      <c r="AZ139" s="2004"/>
      <c r="BA139" s="2004"/>
      <c r="BB139" s="2004"/>
      <c r="BC139" s="2004"/>
      <c r="BD139" s="2004"/>
      <c r="BE139" s="2004"/>
      <c r="BF139" s="2004"/>
      <c r="BG139" s="2004"/>
      <c r="BH139" s="2004">
        <v>4.4095000000000002E-2</v>
      </c>
      <c r="BI139" s="2004"/>
      <c r="BJ139" s="2004"/>
      <c r="BK139" s="2004"/>
      <c r="BL139" s="2004"/>
      <c r="BM139" s="2004"/>
      <c r="BN139" s="2004">
        <v>0.1</v>
      </c>
      <c r="BO139" s="2004" t="s">
        <v>10104</v>
      </c>
      <c r="BP139" s="516" t="s">
        <v>9092</v>
      </c>
      <c r="BQ139" s="689">
        <v>20</v>
      </c>
      <c r="BR139" s="2004" t="s">
        <v>2337</v>
      </c>
      <c r="BS139" s="2004" t="s">
        <v>9204</v>
      </c>
      <c r="BT139" s="2004">
        <v>0</v>
      </c>
      <c r="BU139" s="2004" t="s">
        <v>9204</v>
      </c>
      <c r="BV139" s="2004">
        <v>0</v>
      </c>
      <c r="BW139" s="2004">
        <v>40</v>
      </c>
      <c r="BX139" s="2004" t="s">
        <v>2337</v>
      </c>
      <c r="BY139" s="2004">
        <v>0</v>
      </c>
      <c r="BZ139" s="2004">
        <v>0</v>
      </c>
      <c r="CA139" s="2004">
        <v>0</v>
      </c>
      <c r="CB139" s="2004">
        <v>0</v>
      </c>
      <c r="CC139" s="2004">
        <v>60</v>
      </c>
      <c r="CD139" s="2004" t="s">
        <v>2337</v>
      </c>
      <c r="CE139" s="2004">
        <v>0</v>
      </c>
      <c r="CF139" s="2004">
        <v>0</v>
      </c>
      <c r="CG139" s="2004">
        <v>0</v>
      </c>
      <c r="CH139" s="2004">
        <v>0</v>
      </c>
      <c r="CI139" s="2004">
        <v>80</v>
      </c>
      <c r="CJ139" s="2004" t="s">
        <v>2337</v>
      </c>
      <c r="CK139" s="2004">
        <v>0</v>
      </c>
      <c r="CL139" s="2004">
        <v>0</v>
      </c>
      <c r="CM139" s="2004">
        <v>0</v>
      </c>
      <c r="CN139" s="2004">
        <v>0</v>
      </c>
      <c r="CP139" s="2004" t="s">
        <v>10105</v>
      </c>
    </row>
    <row r="140" spans="1:94" ht="25.5">
      <c r="A140" s="2004" t="s">
        <v>10063</v>
      </c>
      <c r="B140" s="2004" t="s">
        <v>10106</v>
      </c>
      <c r="C140" s="2004" t="s">
        <v>9085</v>
      </c>
      <c r="D140" s="2004" t="s">
        <v>1628</v>
      </c>
      <c r="E140" s="2004" t="s">
        <v>9194</v>
      </c>
      <c r="F140" s="2004" t="s">
        <v>10100</v>
      </c>
      <c r="G140" s="2004" t="s">
        <v>8958</v>
      </c>
      <c r="H140" s="2004" t="s">
        <v>10107</v>
      </c>
      <c r="I140" s="2004" t="s">
        <v>10108</v>
      </c>
      <c r="J140" s="2004" t="s">
        <v>9199</v>
      </c>
      <c r="K140" s="2004" t="s">
        <v>9200</v>
      </c>
      <c r="L140" s="2004"/>
      <c r="M140" s="2004" t="s">
        <v>2334</v>
      </c>
      <c r="N140" s="2004" t="s">
        <v>9364</v>
      </c>
      <c r="O140" s="2004" t="s">
        <v>9487</v>
      </c>
      <c r="P140" s="2004" t="s">
        <v>10109</v>
      </c>
      <c r="Q140" s="516" t="s">
        <v>9203</v>
      </c>
      <c r="R140" s="2004"/>
      <c r="S140" s="2004"/>
      <c r="T140" s="2004"/>
      <c r="U140" s="2004"/>
      <c r="V140" s="2004" t="s">
        <v>10110</v>
      </c>
      <c r="W140" s="2004"/>
      <c r="X140" s="2004"/>
      <c r="Y140" s="2004"/>
      <c r="Z140" s="2004"/>
      <c r="AA140" s="2004"/>
      <c r="AB140" s="2004"/>
      <c r="AC140" s="2004"/>
      <c r="AD140" s="2004"/>
      <c r="AE140" s="2004"/>
      <c r="AF140" s="2004" t="s">
        <v>2337</v>
      </c>
      <c r="AG140" s="2004"/>
      <c r="AH140" s="2004">
        <v>0</v>
      </c>
      <c r="AI140" s="2004"/>
      <c r="AJ140" s="2004"/>
      <c r="AK140" s="2004"/>
      <c r="AL140" s="2004"/>
      <c r="AM140" s="2004" t="s">
        <v>2337</v>
      </c>
      <c r="AN140" s="2004"/>
      <c r="AO140" s="2004"/>
      <c r="AP140" s="2004"/>
      <c r="AQ140" s="2004"/>
      <c r="AR140" s="2004" t="s">
        <v>9979</v>
      </c>
      <c r="AS140" s="2004"/>
      <c r="AT140" s="2004"/>
      <c r="AU140" s="2004"/>
      <c r="AV140" s="2004"/>
      <c r="AW140" s="2004"/>
      <c r="AX140" s="2004"/>
      <c r="AY140" s="2004"/>
      <c r="AZ140" s="2004"/>
      <c r="BA140" s="2004"/>
      <c r="BB140" s="2004"/>
      <c r="BC140" s="2004" t="s">
        <v>9979</v>
      </c>
      <c r="BD140" s="2004"/>
      <c r="BE140" s="2004"/>
      <c r="BF140" s="2004"/>
      <c r="BG140" s="2004"/>
      <c r="BH140" s="2004">
        <v>9.8379999999999995E-3</v>
      </c>
      <c r="BI140" s="2004"/>
      <c r="BJ140" s="2004"/>
      <c r="BK140" s="2004"/>
      <c r="BL140" s="2004">
        <v>7.1520000000000004E-3</v>
      </c>
      <c r="BM140" s="2004"/>
      <c r="BN140" s="2004">
        <v>1</v>
      </c>
      <c r="BO140" s="2004" t="s">
        <v>9203</v>
      </c>
      <c r="BP140" s="516" t="s">
        <v>9092</v>
      </c>
      <c r="BQ140" s="688" t="s">
        <v>10111</v>
      </c>
      <c r="BR140" s="2004" t="s">
        <v>2337</v>
      </c>
      <c r="BS140" s="2004" t="s">
        <v>9204</v>
      </c>
      <c r="BT140" s="2004">
        <v>0</v>
      </c>
      <c r="BU140" s="2004" t="s">
        <v>9204</v>
      </c>
      <c r="BV140" s="2004">
        <v>0</v>
      </c>
      <c r="BW140" s="2004" t="s">
        <v>10111</v>
      </c>
      <c r="BX140" s="2004" t="s">
        <v>2337</v>
      </c>
      <c r="BY140" s="2004">
        <v>0</v>
      </c>
      <c r="BZ140" s="2004">
        <v>0</v>
      </c>
      <c r="CA140" s="2004">
        <v>0</v>
      </c>
      <c r="CB140" s="2004">
        <v>0</v>
      </c>
      <c r="CC140" s="2004" t="s">
        <v>10112</v>
      </c>
      <c r="CD140" s="2004" t="s">
        <v>2337</v>
      </c>
      <c r="CE140" s="2004">
        <v>0</v>
      </c>
      <c r="CF140" s="2004">
        <v>0</v>
      </c>
      <c r="CG140" s="2004">
        <v>0</v>
      </c>
      <c r="CH140" s="2004">
        <v>0</v>
      </c>
      <c r="CI140" s="2004" t="s">
        <v>4150</v>
      </c>
      <c r="CJ140" s="2004" t="s">
        <v>2335</v>
      </c>
      <c r="CK140" s="2004">
        <v>0</v>
      </c>
      <c r="CL140" s="2004">
        <v>0</v>
      </c>
      <c r="CM140" s="2004">
        <v>0</v>
      </c>
      <c r="CN140" s="2004">
        <v>0</v>
      </c>
      <c r="CP140" s="2004" t="s">
        <v>10113</v>
      </c>
    </row>
    <row r="141" spans="1:94">
      <c r="A141" s="2004" t="s">
        <v>10063</v>
      </c>
      <c r="B141" s="2004" t="s">
        <v>10114</v>
      </c>
      <c r="C141" s="2004" t="s">
        <v>9085</v>
      </c>
      <c r="D141" s="2004" t="s">
        <v>1628</v>
      </c>
      <c r="E141" s="2004" t="s">
        <v>9194</v>
      </c>
      <c r="F141" s="2004" t="s">
        <v>10100</v>
      </c>
      <c r="G141" s="2004" t="s">
        <v>8961</v>
      </c>
      <c r="H141" s="2004" t="s">
        <v>10115</v>
      </c>
      <c r="I141" s="2004" t="s">
        <v>10116</v>
      </c>
      <c r="J141" s="2004" t="s">
        <v>9230</v>
      </c>
      <c r="K141" s="2004"/>
      <c r="L141" s="2004"/>
      <c r="M141" s="2004"/>
      <c r="N141" s="2004" t="s">
        <v>9372</v>
      </c>
      <c r="O141" s="2004" t="s">
        <v>734</v>
      </c>
      <c r="P141" s="2004" t="s">
        <v>10117</v>
      </c>
      <c r="Q141" s="516">
        <v>0</v>
      </c>
      <c r="R141" s="2004" t="s">
        <v>9240</v>
      </c>
      <c r="S141" s="2004">
        <v>0</v>
      </c>
      <c r="T141" s="2004">
        <v>2</v>
      </c>
      <c r="U141" s="2004">
        <v>4</v>
      </c>
      <c r="V141" s="2004">
        <v>6</v>
      </c>
      <c r="W141" s="2004">
        <v>8</v>
      </c>
      <c r="X141" s="2004">
        <v>10</v>
      </c>
      <c r="Y141" s="2004"/>
      <c r="Z141" s="2004"/>
      <c r="AA141" s="2004"/>
      <c r="AB141" s="2004"/>
      <c r="AC141" s="2004"/>
      <c r="AD141" s="2004"/>
      <c r="AE141" s="2004"/>
      <c r="AF141" s="2004"/>
      <c r="AG141" s="2004"/>
      <c r="AH141" s="2004">
        <v>0</v>
      </c>
      <c r="AI141" s="2004"/>
      <c r="AJ141" s="2004"/>
      <c r="AK141" s="2004"/>
      <c r="AL141" s="2004"/>
      <c r="AM141" s="2004"/>
      <c r="AN141" s="2004"/>
      <c r="AO141" s="2004"/>
      <c r="AP141" s="2004"/>
      <c r="AQ141" s="2004"/>
      <c r="AR141" s="2004"/>
      <c r="AS141" s="2004"/>
      <c r="AT141" s="2004"/>
      <c r="AU141" s="2004"/>
      <c r="AV141" s="2004"/>
      <c r="AW141" s="2004"/>
      <c r="AX141" s="2004"/>
      <c r="AY141" s="2004"/>
      <c r="AZ141" s="2004"/>
      <c r="BA141" s="2004"/>
      <c r="BB141" s="2004"/>
      <c r="BC141" s="2004"/>
      <c r="BD141" s="2004"/>
      <c r="BE141" s="2004"/>
      <c r="BF141" s="2004"/>
      <c r="BG141" s="2004"/>
      <c r="BH141" s="2004"/>
      <c r="BI141" s="2004"/>
      <c r="BJ141" s="2004"/>
      <c r="BK141" s="2004"/>
      <c r="BL141" s="2004"/>
      <c r="BM141" s="2004"/>
      <c r="BN141" s="2004"/>
      <c r="BO141" s="2004"/>
      <c r="BP141" s="516" t="s">
        <v>9092</v>
      </c>
      <c r="BQ141" s="689" t="s">
        <v>10118</v>
      </c>
      <c r="BR141" s="2004" t="s">
        <v>2337</v>
      </c>
      <c r="BS141" s="2004" t="s">
        <v>9204</v>
      </c>
      <c r="BT141" s="2004">
        <v>0</v>
      </c>
      <c r="BU141" s="2004" t="s">
        <v>9204</v>
      </c>
      <c r="BV141" s="2004">
        <v>0</v>
      </c>
      <c r="BW141" s="2004" t="s">
        <v>10118</v>
      </c>
      <c r="BX141" s="2004" t="s">
        <v>2337</v>
      </c>
      <c r="BY141" s="2004">
        <v>0</v>
      </c>
      <c r="BZ141" s="2004">
        <v>0</v>
      </c>
      <c r="CA141" s="2004">
        <v>0</v>
      </c>
      <c r="CB141" s="2004">
        <v>0</v>
      </c>
      <c r="CC141" s="2004" t="s">
        <v>10118</v>
      </c>
      <c r="CD141" s="2004" t="s">
        <v>2337</v>
      </c>
      <c r="CE141" s="2004">
        <v>0</v>
      </c>
      <c r="CF141" s="2004">
        <v>0</v>
      </c>
      <c r="CG141" s="2004">
        <v>0</v>
      </c>
      <c r="CH141" s="2004">
        <v>0</v>
      </c>
      <c r="CI141" s="2004" t="s">
        <v>10118</v>
      </c>
      <c r="CJ141" s="2004" t="s">
        <v>2337</v>
      </c>
      <c r="CK141" s="2004">
        <v>0</v>
      </c>
      <c r="CL141" s="2004">
        <v>0</v>
      </c>
      <c r="CM141" s="2004">
        <v>0</v>
      </c>
      <c r="CN141" s="2004">
        <v>0</v>
      </c>
      <c r="CP141" s="2004" t="s">
        <v>10119</v>
      </c>
    </row>
    <row r="142" spans="1:94">
      <c r="A142" s="2004" t="s">
        <v>10063</v>
      </c>
      <c r="B142" s="2004" t="s">
        <v>10120</v>
      </c>
      <c r="C142" s="2004" t="s">
        <v>9085</v>
      </c>
      <c r="D142" s="2004" t="s">
        <v>1628</v>
      </c>
      <c r="E142" s="2004" t="s">
        <v>9194</v>
      </c>
      <c r="F142" s="2004" t="s">
        <v>10121</v>
      </c>
      <c r="G142" s="2004" t="s">
        <v>8971</v>
      </c>
      <c r="H142" s="2004" t="s">
        <v>10122</v>
      </c>
      <c r="I142" s="2004" t="s">
        <v>10123</v>
      </c>
      <c r="J142" s="2004" t="s">
        <v>9230</v>
      </c>
      <c r="K142" s="2004"/>
      <c r="L142" s="2004"/>
      <c r="M142" s="2004"/>
      <c r="N142" s="2004" t="s">
        <v>10124</v>
      </c>
      <c r="O142" s="2004" t="s">
        <v>9487</v>
      </c>
      <c r="P142" s="2004" t="s">
        <v>10125</v>
      </c>
      <c r="Q142" s="516" t="s">
        <v>9203</v>
      </c>
      <c r="R142" s="2004"/>
      <c r="S142" s="2004" t="s">
        <v>10126</v>
      </c>
      <c r="T142" s="2004" t="s">
        <v>10126</v>
      </c>
      <c r="U142" s="2004" t="s">
        <v>10126</v>
      </c>
      <c r="V142" s="2004" t="s">
        <v>10126</v>
      </c>
      <c r="W142" s="2004" t="s">
        <v>10126</v>
      </c>
      <c r="X142" s="2004" t="s">
        <v>10126</v>
      </c>
      <c r="Y142" s="2004"/>
      <c r="Z142" s="2004"/>
      <c r="AA142" s="2004"/>
      <c r="AB142" s="2004"/>
      <c r="AC142" s="2004"/>
      <c r="AD142" s="2004"/>
      <c r="AE142" s="2004"/>
      <c r="AF142" s="2004"/>
      <c r="AG142" s="2004"/>
      <c r="AH142" s="2004">
        <v>0</v>
      </c>
      <c r="AI142" s="2004"/>
      <c r="AJ142" s="2004"/>
      <c r="AK142" s="2004"/>
      <c r="AL142" s="2004"/>
      <c r="AM142" s="2004"/>
      <c r="AN142" s="2004"/>
      <c r="AO142" s="2004"/>
      <c r="AP142" s="2004"/>
      <c r="AQ142" s="2004"/>
      <c r="AR142" s="2004"/>
      <c r="AS142" s="2004"/>
      <c r="AT142" s="2004"/>
      <c r="AU142" s="2004"/>
      <c r="AV142" s="2004"/>
      <c r="AW142" s="2004"/>
      <c r="AX142" s="2004"/>
      <c r="AY142" s="2004"/>
      <c r="AZ142" s="2004"/>
      <c r="BA142" s="2004"/>
      <c r="BB142" s="2004"/>
      <c r="BC142" s="2004"/>
      <c r="BD142" s="2004"/>
      <c r="BE142" s="2004"/>
      <c r="BF142" s="2004"/>
      <c r="BG142" s="2004"/>
      <c r="BH142" s="2004"/>
      <c r="BI142" s="2004"/>
      <c r="BJ142" s="2004"/>
      <c r="BK142" s="2004"/>
      <c r="BL142" s="2004"/>
      <c r="BM142" s="2004"/>
      <c r="BN142" s="2004"/>
      <c r="BO142" s="2004"/>
      <c r="BP142" s="516" t="s">
        <v>10126</v>
      </c>
      <c r="BQ142" s="688" t="s">
        <v>10126</v>
      </c>
      <c r="BR142" s="2004" t="s">
        <v>2337</v>
      </c>
      <c r="BS142" s="2004" t="s">
        <v>9204</v>
      </c>
      <c r="BT142" s="2004">
        <v>0</v>
      </c>
      <c r="BU142" s="2004" t="s">
        <v>9204</v>
      </c>
      <c r="BV142" s="2004">
        <v>0</v>
      </c>
      <c r="BW142" s="2004" t="s">
        <v>10126</v>
      </c>
      <c r="BX142" s="2004" t="s">
        <v>2337</v>
      </c>
      <c r="BY142" s="2004">
        <v>0</v>
      </c>
      <c r="BZ142" s="2004">
        <v>0</v>
      </c>
      <c r="CA142" s="2004">
        <v>0</v>
      </c>
      <c r="CB142" s="2004">
        <v>0</v>
      </c>
      <c r="CC142" s="2004" t="s">
        <v>10126</v>
      </c>
      <c r="CD142" s="2004" t="s">
        <v>2337</v>
      </c>
      <c r="CE142" s="2004">
        <v>0</v>
      </c>
      <c r="CF142" s="2004">
        <v>0</v>
      </c>
      <c r="CG142" s="2004">
        <v>0</v>
      </c>
      <c r="CH142" s="2004">
        <v>0</v>
      </c>
      <c r="CI142" s="2004" t="s">
        <v>10126</v>
      </c>
      <c r="CJ142" s="2004" t="s">
        <v>2337</v>
      </c>
      <c r="CK142" s="2004">
        <v>0</v>
      </c>
      <c r="CL142" s="2004">
        <v>0</v>
      </c>
      <c r="CM142" s="2004">
        <v>0</v>
      </c>
      <c r="CN142" s="2004">
        <v>0</v>
      </c>
      <c r="CP142" s="2004" t="s">
        <v>10127</v>
      </c>
    </row>
    <row r="143" spans="1:94">
      <c r="A143" s="2004" t="s">
        <v>10063</v>
      </c>
      <c r="B143" s="2004" t="s">
        <v>10128</v>
      </c>
      <c r="C143" s="2004" t="s">
        <v>9085</v>
      </c>
      <c r="D143" s="2004" t="s">
        <v>9275</v>
      </c>
      <c r="E143" s="2004" t="s">
        <v>9276</v>
      </c>
      <c r="F143" s="2004" t="s">
        <v>10090</v>
      </c>
      <c r="G143" s="2004" t="s">
        <v>7928</v>
      </c>
      <c r="H143" s="2004" t="s">
        <v>10129</v>
      </c>
      <c r="I143" s="2004" t="s">
        <v>10130</v>
      </c>
      <c r="J143" s="2004" t="s">
        <v>9199</v>
      </c>
      <c r="K143" s="2004" t="s">
        <v>9200</v>
      </c>
      <c r="L143" s="2004"/>
      <c r="M143" s="2004" t="s">
        <v>2334</v>
      </c>
      <c r="N143" s="2004" t="s">
        <v>9281</v>
      </c>
      <c r="O143" s="2004" t="s">
        <v>9487</v>
      </c>
      <c r="P143" s="2004" t="s">
        <v>9641</v>
      </c>
      <c r="Q143" s="516" t="s">
        <v>9203</v>
      </c>
      <c r="R143" s="2004" t="s">
        <v>9240</v>
      </c>
      <c r="S143" s="2004" t="s">
        <v>10131</v>
      </c>
      <c r="T143" s="2004" t="s">
        <v>10131</v>
      </c>
      <c r="U143" s="2004" t="s">
        <v>10131</v>
      </c>
      <c r="V143" s="2004" t="s">
        <v>10131</v>
      </c>
      <c r="W143" s="2004" t="s">
        <v>10131</v>
      </c>
      <c r="X143" s="2004" t="s">
        <v>10131</v>
      </c>
      <c r="Y143" s="2004"/>
      <c r="Z143" s="2004"/>
      <c r="AA143" s="2004"/>
      <c r="AB143" s="2004"/>
      <c r="AC143" s="2004"/>
      <c r="AD143" s="2004"/>
      <c r="AE143" s="2004"/>
      <c r="AF143" s="2004"/>
      <c r="AG143" s="2004"/>
      <c r="AH143" s="2004">
        <v>0</v>
      </c>
      <c r="AI143" s="2004" t="s">
        <v>2337</v>
      </c>
      <c r="AJ143" s="2004" t="s">
        <v>2337</v>
      </c>
      <c r="AK143" s="2004" t="s">
        <v>2337</v>
      </c>
      <c r="AL143" s="2004" t="s">
        <v>2337</v>
      </c>
      <c r="AM143" s="2004" t="s">
        <v>2337</v>
      </c>
      <c r="AN143" s="2004" t="s">
        <v>9284</v>
      </c>
      <c r="AO143" s="2004" t="s">
        <v>9284</v>
      </c>
      <c r="AP143" s="2004" t="s">
        <v>9284</v>
      </c>
      <c r="AQ143" s="2004" t="s">
        <v>9284</v>
      </c>
      <c r="AR143" s="2004" t="s">
        <v>9284</v>
      </c>
      <c r="AS143" s="2004" t="s">
        <v>9284</v>
      </c>
      <c r="AT143" s="2004" t="s">
        <v>9284</v>
      </c>
      <c r="AU143" s="2004" t="s">
        <v>9284</v>
      </c>
      <c r="AV143" s="2004" t="s">
        <v>9284</v>
      </c>
      <c r="AW143" s="2004" t="s">
        <v>9284</v>
      </c>
      <c r="AX143" s="2004" t="s">
        <v>9284</v>
      </c>
      <c r="AY143" s="2004" t="s">
        <v>9284</v>
      </c>
      <c r="AZ143" s="2004" t="s">
        <v>9284</v>
      </c>
      <c r="BA143" s="2004" t="s">
        <v>9284</v>
      </c>
      <c r="BB143" s="2004" t="s">
        <v>9284</v>
      </c>
      <c r="BC143" s="2004" t="s">
        <v>9284</v>
      </c>
      <c r="BD143" s="2004" t="s">
        <v>9284</v>
      </c>
      <c r="BE143" s="2004" t="s">
        <v>9284</v>
      </c>
      <c r="BF143" s="2004" t="s">
        <v>9284</v>
      </c>
      <c r="BG143" s="2004" t="s">
        <v>9284</v>
      </c>
      <c r="BH143" s="2004" t="s">
        <v>9284</v>
      </c>
      <c r="BI143" s="2004"/>
      <c r="BJ143" s="2004"/>
      <c r="BK143" s="2004"/>
      <c r="BL143" s="2004" t="s">
        <v>9284</v>
      </c>
      <c r="BM143" s="2004"/>
      <c r="BN143" s="2004">
        <v>1</v>
      </c>
      <c r="BO143" s="2004" t="s">
        <v>9203</v>
      </c>
      <c r="BP143" s="516" t="s">
        <v>9092</v>
      </c>
      <c r="BQ143" s="686">
        <v>89.5</v>
      </c>
      <c r="BR143" s="2004" t="s">
        <v>2337</v>
      </c>
      <c r="BS143" s="2004" t="s">
        <v>9204</v>
      </c>
      <c r="BT143" s="2004">
        <v>0</v>
      </c>
      <c r="BU143" s="2004" t="s">
        <v>9204</v>
      </c>
      <c r="BV143" s="2004">
        <v>0</v>
      </c>
      <c r="BW143" s="2004">
        <v>87.68</v>
      </c>
      <c r="BX143" s="2004" t="s">
        <v>2337</v>
      </c>
      <c r="BY143" s="2004">
        <v>0</v>
      </c>
      <c r="BZ143" s="2004">
        <v>0</v>
      </c>
      <c r="CA143" s="2004">
        <v>0</v>
      </c>
      <c r="CB143" s="2004">
        <v>0</v>
      </c>
      <c r="CC143" s="2004">
        <v>87.9</v>
      </c>
      <c r="CD143" s="2004" t="s">
        <v>2335</v>
      </c>
      <c r="CE143" s="2004">
        <v>0</v>
      </c>
      <c r="CF143" s="2004">
        <v>0</v>
      </c>
      <c r="CG143" s="2004">
        <v>0</v>
      </c>
      <c r="CH143" s="2004">
        <v>0</v>
      </c>
      <c r="CI143" s="2004">
        <v>89.1</v>
      </c>
      <c r="CJ143" s="2004" t="s">
        <v>2335</v>
      </c>
      <c r="CK143" s="2004">
        <v>0</v>
      </c>
      <c r="CL143" s="2004">
        <v>0</v>
      </c>
      <c r="CM143" s="2004">
        <v>0</v>
      </c>
      <c r="CN143" s="2004">
        <v>0</v>
      </c>
      <c r="CP143" s="2004" t="s">
        <v>10132</v>
      </c>
    </row>
    <row r="144" spans="1:94">
      <c r="A144" s="2004" t="s">
        <v>10063</v>
      </c>
      <c r="B144" s="2004" t="s">
        <v>10133</v>
      </c>
      <c r="C144" s="2004" t="s">
        <v>9085</v>
      </c>
      <c r="D144" s="2004" t="s">
        <v>9275</v>
      </c>
      <c r="E144" s="2004" t="s">
        <v>9276</v>
      </c>
      <c r="F144" s="2004" t="s">
        <v>10100</v>
      </c>
      <c r="G144" s="2004" t="s">
        <v>7930</v>
      </c>
      <c r="H144" s="2004" t="s">
        <v>10134</v>
      </c>
      <c r="I144" s="2004" t="s">
        <v>10135</v>
      </c>
      <c r="J144" s="2004" t="s">
        <v>9210</v>
      </c>
      <c r="K144" s="2004" t="s">
        <v>9200</v>
      </c>
      <c r="L144" s="2004"/>
      <c r="M144" s="2004"/>
      <c r="N144" s="2004" t="s">
        <v>9211</v>
      </c>
      <c r="O144" s="2004" t="s">
        <v>766</v>
      </c>
      <c r="P144" s="2004" t="s">
        <v>9628</v>
      </c>
      <c r="Q144" s="516">
        <v>2</v>
      </c>
      <c r="R144" s="2004" t="s">
        <v>9202</v>
      </c>
      <c r="S144" s="2004">
        <v>147.29</v>
      </c>
      <c r="T144" s="2004">
        <v>146.63</v>
      </c>
      <c r="U144" s="2004">
        <v>145.96</v>
      </c>
      <c r="V144" s="2004">
        <v>145.29</v>
      </c>
      <c r="W144" s="2004">
        <v>144.61000000000001</v>
      </c>
      <c r="X144" s="2004">
        <v>143.93</v>
      </c>
      <c r="Y144" s="2004"/>
      <c r="Z144" s="2004"/>
      <c r="AA144" s="2004"/>
      <c r="AB144" s="2004"/>
      <c r="AC144" s="2004"/>
      <c r="AD144" s="2004"/>
      <c r="AE144" s="2004"/>
      <c r="AF144" s="2004"/>
      <c r="AG144" s="2004"/>
      <c r="AH144" s="2004">
        <v>0</v>
      </c>
      <c r="AI144" s="2004"/>
      <c r="AJ144" s="2004"/>
      <c r="AK144" s="2004"/>
      <c r="AL144" s="2004"/>
      <c r="AM144" s="2004" t="s">
        <v>2337</v>
      </c>
      <c r="AN144" s="2004"/>
      <c r="AO144" s="2004"/>
      <c r="AP144" s="2004"/>
      <c r="AQ144" s="2004"/>
      <c r="AR144" s="2004">
        <v>148</v>
      </c>
      <c r="AS144" s="2004"/>
      <c r="AT144" s="2004"/>
      <c r="AU144" s="2004"/>
      <c r="AV144" s="2004"/>
      <c r="AW144" s="2004">
        <v>143.93</v>
      </c>
      <c r="AX144" s="2004"/>
      <c r="AY144" s="2004"/>
      <c r="AZ144" s="2004"/>
      <c r="BA144" s="2004"/>
      <c r="BB144" s="2004"/>
      <c r="BC144" s="2004"/>
      <c r="BD144" s="2004"/>
      <c r="BE144" s="2004"/>
      <c r="BF144" s="2004"/>
      <c r="BG144" s="2004"/>
      <c r="BH144" s="2004">
        <v>8.1243999999999997E-2</v>
      </c>
      <c r="BI144" s="2004"/>
      <c r="BJ144" s="2004"/>
      <c r="BK144" s="2004"/>
      <c r="BL144" s="2004"/>
      <c r="BM144" s="2004"/>
      <c r="BN144" s="2004">
        <v>100</v>
      </c>
      <c r="BO144" s="2004" t="s">
        <v>9574</v>
      </c>
      <c r="BP144" s="516">
        <v>145.55000000000001</v>
      </c>
      <c r="BQ144" s="690">
        <v>143.29</v>
      </c>
      <c r="BR144" s="2004" t="s">
        <v>2337</v>
      </c>
      <c r="BS144" s="2004" t="s">
        <v>9204</v>
      </c>
      <c r="BT144" s="2004">
        <v>0</v>
      </c>
      <c r="BU144" s="2004" t="s">
        <v>9204</v>
      </c>
      <c r="BV144" s="2004">
        <v>0</v>
      </c>
      <c r="BW144" s="2004">
        <v>145.1</v>
      </c>
      <c r="BX144" s="2004" t="s">
        <v>2337</v>
      </c>
      <c r="BY144" s="2004">
        <v>0</v>
      </c>
      <c r="BZ144" s="2004">
        <v>0</v>
      </c>
      <c r="CA144" s="2004">
        <v>0</v>
      </c>
      <c r="CB144" s="2004">
        <v>0</v>
      </c>
      <c r="CC144" s="2004">
        <v>147.54</v>
      </c>
      <c r="CD144" s="2004" t="s">
        <v>2335</v>
      </c>
      <c r="CE144" s="2004">
        <v>0</v>
      </c>
      <c r="CF144" s="2004">
        <v>0</v>
      </c>
      <c r="CG144" s="2004">
        <v>0</v>
      </c>
      <c r="CH144" s="2004">
        <v>0</v>
      </c>
      <c r="CI144" s="2004">
        <v>152.38999999999999</v>
      </c>
      <c r="CJ144" s="2004" t="s">
        <v>2335</v>
      </c>
      <c r="CK144" s="2004">
        <v>0</v>
      </c>
      <c r="CL144" s="2004">
        <v>0</v>
      </c>
      <c r="CM144" s="2004">
        <v>0</v>
      </c>
      <c r="CN144" s="2004">
        <v>0</v>
      </c>
      <c r="CP144" s="2004" t="s">
        <v>10136</v>
      </c>
    </row>
    <row r="145" spans="1:94">
      <c r="A145" s="2004" t="s">
        <v>10063</v>
      </c>
      <c r="B145" s="2004" t="s">
        <v>10137</v>
      </c>
      <c r="C145" s="2004" t="s">
        <v>9085</v>
      </c>
      <c r="D145" s="2004" t="s">
        <v>9275</v>
      </c>
      <c r="E145" s="2004" t="s">
        <v>9276</v>
      </c>
      <c r="F145" s="2004" t="s">
        <v>10138</v>
      </c>
      <c r="G145" s="2004" t="s">
        <v>8948</v>
      </c>
      <c r="H145" s="2004" t="s">
        <v>10139</v>
      </c>
      <c r="I145" s="2004" t="s">
        <v>10140</v>
      </c>
      <c r="J145" s="2004" t="s">
        <v>9230</v>
      </c>
      <c r="K145" s="2004"/>
      <c r="L145" s="2004"/>
      <c r="M145" s="2004"/>
      <c r="N145" s="2004" t="s">
        <v>9386</v>
      </c>
      <c r="O145" s="2004" t="s">
        <v>734</v>
      </c>
      <c r="P145" s="2004" t="s">
        <v>10141</v>
      </c>
      <c r="Q145" s="516">
        <v>0</v>
      </c>
      <c r="R145" s="2004" t="s">
        <v>9240</v>
      </c>
      <c r="S145" s="2004" t="s">
        <v>4140</v>
      </c>
      <c r="T145" s="2004">
        <v>70</v>
      </c>
      <c r="U145" s="2004">
        <v>70</v>
      </c>
      <c r="V145" s="2004">
        <v>70</v>
      </c>
      <c r="W145" s="2004">
        <v>70</v>
      </c>
      <c r="X145" s="2004">
        <v>70</v>
      </c>
      <c r="Y145" s="2004"/>
      <c r="Z145" s="2004"/>
      <c r="AA145" s="2004"/>
      <c r="AB145" s="2004"/>
      <c r="AC145" s="2004"/>
      <c r="AD145" s="2004"/>
      <c r="AE145" s="2004"/>
      <c r="AF145" s="2004"/>
      <c r="AG145" s="2004"/>
      <c r="AH145" s="2004">
        <v>0</v>
      </c>
      <c r="AI145" s="2004"/>
      <c r="AJ145" s="2004"/>
      <c r="AK145" s="2004"/>
      <c r="AL145" s="2004"/>
      <c r="AM145" s="2004"/>
      <c r="AN145" s="2004"/>
      <c r="AO145" s="2004"/>
      <c r="AP145" s="2004"/>
      <c r="AQ145" s="2004"/>
      <c r="AR145" s="2004"/>
      <c r="AS145" s="2004"/>
      <c r="AT145" s="2004"/>
      <c r="AU145" s="2004"/>
      <c r="AV145" s="2004"/>
      <c r="AW145" s="2004"/>
      <c r="AX145" s="2004"/>
      <c r="AY145" s="2004"/>
      <c r="AZ145" s="2004"/>
      <c r="BA145" s="2004"/>
      <c r="BB145" s="2004"/>
      <c r="BC145" s="2004"/>
      <c r="BD145" s="2004"/>
      <c r="BE145" s="2004"/>
      <c r="BF145" s="2004"/>
      <c r="BG145" s="2004"/>
      <c r="BH145" s="2004"/>
      <c r="BI145" s="2004"/>
      <c r="BJ145" s="2004"/>
      <c r="BK145" s="2004"/>
      <c r="BL145" s="2004"/>
      <c r="BM145" s="2004"/>
      <c r="BN145" s="2004"/>
      <c r="BO145" s="2004"/>
      <c r="BP145" s="516" t="s">
        <v>9092</v>
      </c>
      <c r="BQ145" s="689">
        <v>89</v>
      </c>
      <c r="BR145" s="2004" t="s">
        <v>2337</v>
      </c>
      <c r="BS145" s="2004" t="s">
        <v>9204</v>
      </c>
      <c r="BT145" s="2004">
        <v>0</v>
      </c>
      <c r="BU145" s="2004" t="s">
        <v>9204</v>
      </c>
      <c r="BV145" s="2004">
        <v>0</v>
      </c>
      <c r="BW145" s="2004">
        <v>85</v>
      </c>
      <c r="BX145" s="2004" t="s">
        <v>2337</v>
      </c>
      <c r="BY145" s="2004">
        <v>0</v>
      </c>
      <c r="BZ145" s="2004">
        <v>0</v>
      </c>
      <c r="CA145" s="2004">
        <v>0</v>
      </c>
      <c r="CB145" s="2004">
        <v>0</v>
      </c>
      <c r="CC145" s="2004">
        <v>91</v>
      </c>
      <c r="CD145" s="2004" t="s">
        <v>2337</v>
      </c>
      <c r="CE145" s="2004">
        <v>0</v>
      </c>
      <c r="CF145" s="2004">
        <v>0</v>
      </c>
      <c r="CG145" s="2004">
        <v>0</v>
      </c>
      <c r="CH145" s="2004">
        <v>0</v>
      </c>
      <c r="CI145" s="2004">
        <v>95</v>
      </c>
      <c r="CJ145" s="2004" t="s">
        <v>2337</v>
      </c>
      <c r="CK145" s="2004">
        <v>0</v>
      </c>
      <c r="CL145" s="2004">
        <v>0</v>
      </c>
      <c r="CM145" s="2004">
        <v>0</v>
      </c>
      <c r="CN145" s="2004">
        <v>0</v>
      </c>
      <c r="CP145" s="2004" t="s">
        <v>10142</v>
      </c>
    </row>
    <row r="146" spans="1:94">
      <c r="A146" s="2004" t="s">
        <v>10143</v>
      </c>
      <c r="B146" s="2004" t="s">
        <v>10144</v>
      </c>
      <c r="C146" s="2004" t="s">
        <v>9085</v>
      </c>
      <c r="D146" s="2004" t="s">
        <v>1628</v>
      </c>
      <c r="E146" s="2004" t="s">
        <v>9194</v>
      </c>
      <c r="F146" s="2004" t="s">
        <v>10145</v>
      </c>
      <c r="G146" s="2004" t="s">
        <v>7928</v>
      </c>
      <c r="H146" s="2004" t="s">
        <v>10146</v>
      </c>
      <c r="I146" s="2004" t="s">
        <v>10147</v>
      </c>
      <c r="J146" s="2004" t="s">
        <v>9210</v>
      </c>
      <c r="K146" s="2004" t="s">
        <v>9200</v>
      </c>
      <c r="L146" s="2004"/>
      <c r="M146" s="2004"/>
      <c r="N146" s="2004" t="s">
        <v>9154</v>
      </c>
      <c r="O146" s="2004" t="s">
        <v>766</v>
      </c>
      <c r="P146" s="2004" t="s">
        <v>9246</v>
      </c>
      <c r="Q146" s="516">
        <v>2</v>
      </c>
      <c r="R146" s="2004" t="s">
        <v>9202</v>
      </c>
      <c r="S146" s="2004">
        <v>1.25</v>
      </c>
      <c r="T146" s="2004">
        <v>1.25</v>
      </c>
      <c r="U146" s="2004">
        <v>1.24</v>
      </c>
      <c r="V146" s="2004">
        <v>1.23</v>
      </c>
      <c r="W146" s="2004">
        <v>1.23</v>
      </c>
      <c r="X146" s="2004">
        <v>1.23</v>
      </c>
      <c r="Y146" s="2004"/>
      <c r="Z146" s="2004" t="s">
        <v>2337</v>
      </c>
      <c r="AA146" s="2004"/>
      <c r="AB146" s="2004"/>
      <c r="AC146" s="2004"/>
      <c r="AD146" s="2004"/>
      <c r="AE146" s="2004" t="s">
        <v>2337</v>
      </c>
      <c r="AF146" s="2004"/>
      <c r="AG146" s="2004"/>
      <c r="AH146" s="2004">
        <v>0</v>
      </c>
      <c r="AI146" s="2004" t="s">
        <v>2337</v>
      </c>
      <c r="AJ146" s="2004" t="s">
        <v>2337</v>
      </c>
      <c r="AK146" s="2004" t="s">
        <v>2337</v>
      </c>
      <c r="AL146" s="2004" t="s">
        <v>2337</v>
      </c>
      <c r="AM146" s="2004" t="s">
        <v>2337</v>
      </c>
      <c r="AN146" s="2004">
        <v>2.56</v>
      </c>
      <c r="AO146" s="2004">
        <v>2.5499999999999998</v>
      </c>
      <c r="AP146" s="2004">
        <v>2.54</v>
      </c>
      <c r="AQ146" s="2004">
        <v>2.54</v>
      </c>
      <c r="AR146" s="2004">
        <v>2.54</v>
      </c>
      <c r="AS146" s="2004">
        <v>1.31</v>
      </c>
      <c r="AT146" s="2004">
        <v>1.3</v>
      </c>
      <c r="AU146" s="2004">
        <v>1.29</v>
      </c>
      <c r="AV146" s="2004">
        <v>1.29</v>
      </c>
      <c r="AW146" s="2004">
        <v>1.29</v>
      </c>
      <c r="AX146" s="2004"/>
      <c r="AY146" s="2004"/>
      <c r="AZ146" s="2004"/>
      <c r="BA146" s="2004"/>
      <c r="BB146" s="2004"/>
      <c r="BC146" s="2004"/>
      <c r="BD146" s="2004"/>
      <c r="BE146" s="2004"/>
      <c r="BF146" s="2004"/>
      <c r="BG146" s="2004"/>
      <c r="BH146" s="2004">
        <v>0.04</v>
      </c>
      <c r="BI146" s="2004"/>
      <c r="BJ146" s="2004"/>
      <c r="BK146" s="2004"/>
      <c r="BL146" s="2004"/>
      <c r="BM146" s="2004"/>
      <c r="BN146" s="2004">
        <v>1</v>
      </c>
      <c r="BO146" s="2004" t="s">
        <v>9203</v>
      </c>
      <c r="BP146" s="516">
        <v>0.56000000000000005</v>
      </c>
      <c r="BQ146" s="690">
        <v>0.73</v>
      </c>
      <c r="BR146" s="2004" t="s">
        <v>2337</v>
      </c>
      <c r="BS146" s="2004" t="s">
        <v>9204</v>
      </c>
      <c r="BT146" s="2004">
        <v>0</v>
      </c>
      <c r="BU146" s="2004" t="s">
        <v>9204</v>
      </c>
      <c r="BV146" s="2004">
        <v>0</v>
      </c>
      <c r="BW146" s="2004">
        <v>0.89</v>
      </c>
      <c r="BX146" s="2004" t="s">
        <v>2337</v>
      </c>
      <c r="BY146" s="2004">
        <v>0</v>
      </c>
      <c r="BZ146" s="2004">
        <v>0</v>
      </c>
      <c r="CA146" s="2004">
        <v>0</v>
      </c>
      <c r="CB146" s="2004">
        <v>0</v>
      </c>
      <c r="CC146" s="2004">
        <v>0.82</v>
      </c>
      <c r="CD146" s="2004" t="s">
        <v>2337</v>
      </c>
      <c r="CE146" s="2004">
        <v>0</v>
      </c>
      <c r="CF146" s="2004">
        <v>0</v>
      </c>
      <c r="CG146" s="2004">
        <v>0</v>
      </c>
      <c r="CH146" s="2004">
        <v>0</v>
      </c>
      <c r="CI146" s="2004">
        <v>0.71</v>
      </c>
      <c r="CJ146" s="2004" t="s">
        <v>2337</v>
      </c>
      <c r="CK146" s="2004">
        <v>0</v>
      </c>
      <c r="CL146" s="2004">
        <v>0</v>
      </c>
      <c r="CM146" s="2004">
        <v>0</v>
      </c>
      <c r="CN146" s="2004">
        <v>0</v>
      </c>
      <c r="CP146" s="2004" t="s">
        <v>10148</v>
      </c>
    </row>
    <row r="147" spans="1:94">
      <c r="A147" s="2004" t="s">
        <v>10143</v>
      </c>
      <c r="B147" s="2004" t="s">
        <v>10149</v>
      </c>
      <c r="C147" s="2004" t="s">
        <v>9085</v>
      </c>
      <c r="D147" s="2004" t="s">
        <v>1628</v>
      </c>
      <c r="E147" s="2004" t="s">
        <v>9194</v>
      </c>
      <c r="F147" s="2004" t="s">
        <v>10145</v>
      </c>
      <c r="G147" s="2004" t="s">
        <v>7929</v>
      </c>
      <c r="H147" s="2004" t="s">
        <v>10150</v>
      </c>
      <c r="I147" s="2004" t="s">
        <v>10151</v>
      </c>
      <c r="J147" s="2004" t="s">
        <v>9210</v>
      </c>
      <c r="K147" s="2004" t="s">
        <v>9200</v>
      </c>
      <c r="L147" s="2004"/>
      <c r="M147" s="2004"/>
      <c r="N147" s="2004" t="s">
        <v>9238</v>
      </c>
      <c r="O147" s="2004" t="s">
        <v>734</v>
      </c>
      <c r="P147" s="2004" t="s">
        <v>9239</v>
      </c>
      <c r="Q147" s="516">
        <v>2</v>
      </c>
      <c r="R147" s="2004" t="s">
        <v>9240</v>
      </c>
      <c r="S147" s="2004">
        <v>99.95</v>
      </c>
      <c r="T147" s="2004">
        <v>99.97</v>
      </c>
      <c r="U147" s="2004">
        <v>99.97</v>
      </c>
      <c r="V147" s="2004">
        <v>100</v>
      </c>
      <c r="W147" s="2004">
        <v>100</v>
      </c>
      <c r="X147" s="2004">
        <v>100</v>
      </c>
      <c r="Y147" s="2004" t="s">
        <v>2337</v>
      </c>
      <c r="Z147" s="2004"/>
      <c r="AA147" s="2004"/>
      <c r="AB147" s="2004"/>
      <c r="AC147" s="2004"/>
      <c r="AD147" s="2004"/>
      <c r="AE147" s="2004" t="s">
        <v>2337</v>
      </c>
      <c r="AF147" s="2004"/>
      <c r="AG147" s="2004"/>
      <c r="AH147" s="2004">
        <v>0</v>
      </c>
      <c r="AI147" s="2004" t="s">
        <v>2337</v>
      </c>
      <c r="AJ147" s="2004" t="s">
        <v>2337</v>
      </c>
      <c r="AK147" s="2004" t="s">
        <v>2337</v>
      </c>
      <c r="AL147" s="2004" t="s">
        <v>2337</v>
      </c>
      <c r="AM147" s="2004" t="s">
        <v>2337</v>
      </c>
      <c r="AN147" s="2004">
        <v>99.94</v>
      </c>
      <c r="AO147" s="2004">
        <v>99.94</v>
      </c>
      <c r="AP147" s="2004">
        <v>99.94</v>
      </c>
      <c r="AQ147" s="2004">
        <v>99.94</v>
      </c>
      <c r="AR147" s="2004">
        <v>99.94</v>
      </c>
      <c r="AS147" s="2004">
        <v>99.95</v>
      </c>
      <c r="AT147" s="2004">
        <v>99.95</v>
      </c>
      <c r="AU147" s="2004">
        <v>99.95</v>
      </c>
      <c r="AV147" s="2004">
        <v>99.95</v>
      </c>
      <c r="AW147" s="2004">
        <v>99.95</v>
      </c>
      <c r="AX147" s="2004"/>
      <c r="AY147" s="2004"/>
      <c r="AZ147" s="2004"/>
      <c r="BA147" s="2004"/>
      <c r="BB147" s="2004"/>
      <c r="BC147" s="2004"/>
      <c r="BD147" s="2004"/>
      <c r="BE147" s="2004"/>
      <c r="BF147" s="2004"/>
      <c r="BG147" s="2004"/>
      <c r="BH147" s="2004">
        <v>0.28399999999999997</v>
      </c>
      <c r="BI147" s="2004"/>
      <c r="BJ147" s="2004"/>
      <c r="BK147" s="2004"/>
      <c r="BL147" s="2004"/>
      <c r="BM147" s="2004"/>
      <c r="BN147" s="2004">
        <v>100</v>
      </c>
      <c r="BO147" s="2004" t="s">
        <v>9574</v>
      </c>
      <c r="BP147" s="516">
        <v>99.99</v>
      </c>
      <c r="BQ147" s="690">
        <v>100</v>
      </c>
      <c r="BR147" s="2004" t="s">
        <v>2337</v>
      </c>
      <c r="BS147" s="2004" t="s">
        <v>9204</v>
      </c>
      <c r="BT147" s="2004">
        <v>0</v>
      </c>
      <c r="BU147" s="2004" t="s">
        <v>9204</v>
      </c>
      <c r="BV147" s="2004">
        <v>0</v>
      </c>
      <c r="BW147" s="2004">
        <v>99.98</v>
      </c>
      <c r="BX147" s="2004" t="s">
        <v>2337</v>
      </c>
      <c r="BY147" s="2004">
        <v>0</v>
      </c>
      <c r="BZ147" s="2004">
        <v>0</v>
      </c>
      <c r="CA147" s="2004">
        <v>0</v>
      </c>
      <c r="CB147" s="2004">
        <v>0</v>
      </c>
      <c r="CC147" s="2004">
        <v>100</v>
      </c>
      <c r="CD147" s="2004" t="s">
        <v>2337</v>
      </c>
      <c r="CE147" s="2004">
        <v>0</v>
      </c>
      <c r="CF147" s="2004">
        <v>0</v>
      </c>
      <c r="CG147" s="2004">
        <v>0</v>
      </c>
      <c r="CH147" s="2004">
        <v>0</v>
      </c>
      <c r="CI147" s="2004">
        <v>100</v>
      </c>
      <c r="CJ147" s="2004" t="s">
        <v>2337</v>
      </c>
      <c r="CK147" s="2004">
        <v>0</v>
      </c>
      <c r="CL147" s="2004">
        <v>0</v>
      </c>
      <c r="CM147" s="2004">
        <v>0</v>
      </c>
      <c r="CN147" s="2004">
        <v>0</v>
      </c>
      <c r="CP147" s="2004" t="s">
        <v>10152</v>
      </c>
    </row>
    <row r="148" spans="1:94">
      <c r="A148" s="2004" t="s">
        <v>10143</v>
      </c>
      <c r="B148" s="2004" t="s">
        <v>10153</v>
      </c>
      <c r="C148" s="2004" t="s">
        <v>9085</v>
      </c>
      <c r="D148" s="2004" t="s">
        <v>1628</v>
      </c>
      <c r="E148" s="2004" t="s">
        <v>9194</v>
      </c>
      <c r="F148" s="2004" t="s">
        <v>10154</v>
      </c>
      <c r="G148" s="2004" t="s">
        <v>7930</v>
      </c>
      <c r="H148" s="2004" t="s">
        <v>10155</v>
      </c>
      <c r="I148" s="2004" t="s">
        <v>10156</v>
      </c>
      <c r="J148" s="2004" t="s">
        <v>9199</v>
      </c>
      <c r="K148" s="2004" t="s">
        <v>9200</v>
      </c>
      <c r="L148" s="2004"/>
      <c r="M148" s="2004"/>
      <c r="N148" s="2004" t="s">
        <v>2927</v>
      </c>
      <c r="O148" s="2004" t="s">
        <v>766</v>
      </c>
      <c r="P148" s="2004" t="s">
        <v>9201</v>
      </c>
      <c r="Q148" s="516">
        <v>2</v>
      </c>
      <c r="R148" s="2004" t="s">
        <v>9202</v>
      </c>
      <c r="S148" s="2004">
        <v>21.47</v>
      </c>
      <c r="T148" s="2004"/>
      <c r="U148" s="2004"/>
      <c r="V148" s="2004"/>
      <c r="W148" s="2004"/>
      <c r="X148" s="2004">
        <v>20</v>
      </c>
      <c r="Y148" s="2004"/>
      <c r="Z148" s="2004"/>
      <c r="AA148" s="2004"/>
      <c r="AB148" s="2004"/>
      <c r="AC148" s="2004"/>
      <c r="AD148" s="2004"/>
      <c r="AE148" s="2004" t="s">
        <v>2337</v>
      </c>
      <c r="AF148" s="2004"/>
      <c r="AG148" s="2004"/>
      <c r="AH148" s="2004">
        <v>0</v>
      </c>
      <c r="AI148" s="2004"/>
      <c r="AJ148" s="2004"/>
      <c r="AK148" s="2004"/>
      <c r="AL148" s="2004"/>
      <c r="AM148" s="2004" t="s">
        <v>2337</v>
      </c>
      <c r="AN148" s="2004"/>
      <c r="AO148" s="2004"/>
      <c r="AP148" s="2004"/>
      <c r="AQ148" s="2004"/>
      <c r="AR148" s="2004">
        <v>22</v>
      </c>
      <c r="AS148" s="2004"/>
      <c r="AT148" s="2004"/>
      <c r="AU148" s="2004"/>
      <c r="AV148" s="2004"/>
      <c r="AW148" s="2004">
        <v>20.100000000000001</v>
      </c>
      <c r="AX148" s="2004"/>
      <c r="AY148" s="2004"/>
      <c r="AZ148" s="2004"/>
      <c r="BA148" s="2004"/>
      <c r="BB148" s="2004">
        <v>19.899999999999999</v>
      </c>
      <c r="BC148" s="2004"/>
      <c r="BD148" s="2004"/>
      <c r="BE148" s="2004"/>
      <c r="BF148" s="2004"/>
      <c r="BG148" s="2004">
        <v>17</v>
      </c>
      <c r="BH148" s="2004">
        <v>0.1152</v>
      </c>
      <c r="BI148" s="2004"/>
      <c r="BJ148" s="2004"/>
      <c r="BK148" s="2004"/>
      <c r="BL148" s="2004">
        <v>3.8800000000000001E-2</v>
      </c>
      <c r="BM148" s="2004"/>
      <c r="BN148" s="2004">
        <v>10</v>
      </c>
      <c r="BO148" s="2004" t="s">
        <v>10157</v>
      </c>
      <c r="BP148" s="516">
        <v>20.88</v>
      </c>
      <c r="BQ148" s="690">
        <v>19.632999999999999</v>
      </c>
      <c r="BR148" s="2004" t="s">
        <v>9204</v>
      </c>
      <c r="BS148" s="2004" t="s">
        <v>9204</v>
      </c>
      <c r="BT148" s="2004">
        <v>0</v>
      </c>
      <c r="BU148" s="2004" t="s">
        <v>9204</v>
      </c>
      <c r="BV148" s="2004">
        <v>0</v>
      </c>
      <c r="BW148" s="2004">
        <v>19</v>
      </c>
      <c r="BX148" s="2004" t="s">
        <v>2335</v>
      </c>
      <c r="BY148" s="2004">
        <v>0</v>
      </c>
      <c r="BZ148" s="2004">
        <v>0</v>
      </c>
      <c r="CA148" s="2004">
        <v>0</v>
      </c>
      <c r="CB148" s="2004">
        <v>0</v>
      </c>
      <c r="CC148" s="2004">
        <v>19.11</v>
      </c>
      <c r="CD148" s="2004" t="s">
        <v>2335</v>
      </c>
      <c r="CE148" s="2004">
        <v>0</v>
      </c>
      <c r="CF148" s="2004">
        <v>0</v>
      </c>
      <c r="CG148" s="2004">
        <v>0</v>
      </c>
      <c r="CH148" s="2004">
        <v>0</v>
      </c>
      <c r="CI148" s="2004">
        <v>18.279320362470102</v>
      </c>
      <c r="CJ148" s="2004" t="s">
        <v>2335</v>
      </c>
      <c r="CK148" s="2004">
        <v>0</v>
      </c>
      <c r="CL148" s="2004">
        <v>0</v>
      </c>
      <c r="CM148" s="2004">
        <v>0</v>
      </c>
      <c r="CN148" s="2004">
        <v>0</v>
      </c>
      <c r="CP148" s="2004" t="s">
        <v>10158</v>
      </c>
    </row>
    <row r="149" spans="1:94">
      <c r="A149" s="2004" t="s">
        <v>10143</v>
      </c>
      <c r="B149" s="2004" t="s">
        <v>10159</v>
      </c>
      <c r="C149" s="2004" t="s">
        <v>9085</v>
      </c>
      <c r="D149" s="2004" t="s">
        <v>1628</v>
      </c>
      <c r="E149" s="2004" t="s">
        <v>9194</v>
      </c>
      <c r="F149" s="2004" t="s">
        <v>10154</v>
      </c>
      <c r="G149" s="2004" t="s">
        <v>7931</v>
      </c>
      <c r="H149" s="2004" t="s">
        <v>10160</v>
      </c>
      <c r="I149" s="2004" t="s">
        <v>10161</v>
      </c>
      <c r="J149" s="2004" t="s">
        <v>9199</v>
      </c>
      <c r="K149" s="2004" t="s">
        <v>9200</v>
      </c>
      <c r="L149" s="2004"/>
      <c r="M149" s="2004"/>
      <c r="N149" s="2004" t="s">
        <v>2951</v>
      </c>
      <c r="O149" s="2004" t="s">
        <v>766</v>
      </c>
      <c r="P149" s="2004" t="s">
        <v>10162</v>
      </c>
      <c r="Q149" s="516">
        <v>1</v>
      </c>
      <c r="R149" s="2004" t="s">
        <v>9240</v>
      </c>
      <c r="S149" s="2004"/>
      <c r="T149" s="2004"/>
      <c r="U149" s="2004"/>
      <c r="V149" s="2004"/>
      <c r="W149" s="2004"/>
      <c r="X149" s="2004">
        <v>12</v>
      </c>
      <c r="Y149" s="2004"/>
      <c r="Z149" s="2004"/>
      <c r="AA149" s="2004"/>
      <c r="AB149" s="2004"/>
      <c r="AC149" s="2004"/>
      <c r="AD149" s="2004"/>
      <c r="AE149" s="2004" t="s">
        <v>2337</v>
      </c>
      <c r="AF149" s="2004"/>
      <c r="AG149" s="2004"/>
      <c r="AH149" s="2004">
        <v>0</v>
      </c>
      <c r="AI149" s="2004"/>
      <c r="AJ149" s="2004"/>
      <c r="AK149" s="2004"/>
      <c r="AL149" s="2004"/>
      <c r="AM149" s="2004" t="s">
        <v>2337</v>
      </c>
      <c r="AN149" s="2004"/>
      <c r="AO149" s="2004"/>
      <c r="AP149" s="2004"/>
      <c r="AQ149" s="2004"/>
      <c r="AR149" s="2004">
        <v>0</v>
      </c>
      <c r="AS149" s="2004"/>
      <c r="AT149" s="2004"/>
      <c r="AU149" s="2004"/>
      <c r="AV149" s="2004"/>
      <c r="AW149" s="2004">
        <v>11.5</v>
      </c>
      <c r="AX149" s="2004"/>
      <c r="AY149" s="2004"/>
      <c r="AZ149" s="2004"/>
      <c r="BA149" s="2004"/>
      <c r="BB149" s="2004">
        <v>12.5</v>
      </c>
      <c r="BC149" s="2004"/>
      <c r="BD149" s="2004"/>
      <c r="BE149" s="2004"/>
      <c r="BF149" s="2004"/>
      <c r="BG149" s="2004">
        <v>18</v>
      </c>
      <c r="BH149" s="2004">
        <v>8.1799999999999998E-2</v>
      </c>
      <c r="BI149" s="2004"/>
      <c r="BJ149" s="2004"/>
      <c r="BK149" s="2004"/>
      <c r="BL149" s="2004">
        <v>0.18529999999999999</v>
      </c>
      <c r="BM149" s="2004"/>
      <c r="BN149" s="2004">
        <v>1</v>
      </c>
      <c r="BO149" s="2004" t="s">
        <v>9203</v>
      </c>
      <c r="BP149" s="516">
        <v>0</v>
      </c>
      <c r="BQ149" s="686">
        <v>0</v>
      </c>
      <c r="BR149" s="2004" t="s">
        <v>9204</v>
      </c>
      <c r="BS149" s="2004" t="s">
        <v>9204</v>
      </c>
      <c r="BT149" s="2004">
        <v>0</v>
      </c>
      <c r="BU149" s="2004" t="s">
        <v>9204</v>
      </c>
      <c r="BV149" s="2004">
        <v>0</v>
      </c>
      <c r="BW149" s="2004">
        <v>0</v>
      </c>
      <c r="BX149" s="2004" t="s">
        <v>2335</v>
      </c>
      <c r="BY149" s="2004">
        <v>0</v>
      </c>
      <c r="BZ149" s="2004">
        <v>0</v>
      </c>
      <c r="CA149" s="2004">
        <v>0</v>
      </c>
      <c r="CB149" s="2004">
        <v>0</v>
      </c>
      <c r="CC149" s="2004">
        <v>4.3</v>
      </c>
      <c r="CD149" s="2004" t="s">
        <v>2335</v>
      </c>
      <c r="CE149" s="2004">
        <v>0</v>
      </c>
      <c r="CF149" s="2004">
        <v>0</v>
      </c>
      <c r="CG149" s="2004">
        <v>0</v>
      </c>
      <c r="CH149" s="2004">
        <v>0</v>
      </c>
      <c r="CI149" s="2004">
        <v>4.3019999999999996</v>
      </c>
      <c r="CJ149" s="2004" t="s">
        <v>2335</v>
      </c>
      <c r="CK149" s="2004">
        <v>0</v>
      </c>
      <c r="CL149" s="2004">
        <v>0</v>
      </c>
      <c r="CM149" s="2004">
        <v>0</v>
      </c>
      <c r="CN149" s="2004">
        <v>0</v>
      </c>
      <c r="CP149" s="2004" t="s">
        <v>10163</v>
      </c>
    </row>
    <row r="150" spans="1:94">
      <c r="A150" s="2004" t="s">
        <v>10143</v>
      </c>
      <c r="B150" s="2004" t="s">
        <v>10164</v>
      </c>
      <c r="C150" s="2004" t="s">
        <v>9085</v>
      </c>
      <c r="D150" s="2004" t="s">
        <v>1628</v>
      </c>
      <c r="E150" s="2004" t="s">
        <v>9194</v>
      </c>
      <c r="F150" s="2004" t="s">
        <v>10154</v>
      </c>
      <c r="G150" s="2004" t="s">
        <v>3020</v>
      </c>
      <c r="H150" s="2004" t="s">
        <v>10165</v>
      </c>
      <c r="I150" s="2004" t="s">
        <v>10166</v>
      </c>
      <c r="J150" s="2004" t="s">
        <v>9210</v>
      </c>
      <c r="K150" s="2004" t="s">
        <v>9200</v>
      </c>
      <c r="L150" s="2004"/>
      <c r="M150" s="2004"/>
      <c r="N150" s="2004" t="s">
        <v>2951</v>
      </c>
      <c r="O150" s="2004" t="s">
        <v>9298</v>
      </c>
      <c r="P150" s="2004" t="s">
        <v>9299</v>
      </c>
      <c r="Q150" s="516">
        <v>1</v>
      </c>
      <c r="R150" s="2004" t="s">
        <v>9202</v>
      </c>
      <c r="S150" s="2004">
        <v>4.4000000000000004</v>
      </c>
      <c r="T150" s="2004">
        <v>4.4000000000000004</v>
      </c>
      <c r="U150" s="2004">
        <v>4.4000000000000004</v>
      </c>
      <c r="V150" s="2004">
        <v>4.4000000000000004</v>
      </c>
      <c r="W150" s="2004">
        <v>4.4000000000000004</v>
      </c>
      <c r="X150" s="2004">
        <v>4.4000000000000004</v>
      </c>
      <c r="Y150" s="2004"/>
      <c r="Z150" s="2004"/>
      <c r="AA150" s="2004" t="s">
        <v>2337</v>
      </c>
      <c r="AB150" s="2004"/>
      <c r="AC150" s="2004"/>
      <c r="AD150" s="2004"/>
      <c r="AE150" s="2004" t="s">
        <v>2337</v>
      </c>
      <c r="AF150" s="2004"/>
      <c r="AG150" s="2004"/>
      <c r="AH150" s="2004">
        <v>0</v>
      </c>
      <c r="AI150" s="2004" t="s">
        <v>2337</v>
      </c>
      <c r="AJ150" s="2004" t="s">
        <v>2337</v>
      </c>
      <c r="AK150" s="2004" t="s">
        <v>2337</v>
      </c>
      <c r="AL150" s="2004" t="s">
        <v>2337</v>
      </c>
      <c r="AM150" s="2004" t="s">
        <v>2337</v>
      </c>
      <c r="AN150" s="2004">
        <v>10.3</v>
      </c>
      <c r="AO150" s="2004">
        <v>10.3</v>
      </c>
      <c r="AP150" s="2004">
        <v>10.3</v>
      </c>
      <c r="AQ150" s="2004">
        <v>10.3</v>
      </c>
      <c r="AR150" s="2004">
        <v>10.3</v>
      </c>
      <c r="AS150" s="2004">
        <v>6.4</v>
      </c>
      <c r="AT150" s="2004">
        <v>6.4</v>
      </c>
      <c r="AU150" s="2004">
        <v>6.4</v>
      </c>
      <c r="AV150" s="2004">
        <v>6.4</v>
      </c>
      <c r="AW150" s="2004">
        <v>6.4</v>
      </c>
      <c r="AX150" s="2004"/>
      <c r="AY150" s="2004"/>
      <c r="AZ150" s="2004"/>
      <c r="BA150" s="2004"/>
      <c r="BB150" s="2004"/>
      <c r="BC150" s="2004"/>
      <c r="BD150" s="2004"/>
      <c r="BE150" s="2004"/>
      <c r="BF150" s="2004"/>
      <c r="BG150" s="2004"/>
      <c r="BH150" s="2004">
        <v>7.4999999999999997E-2</v>
      </c>
      <c r="BI150" s="2004"/>
      <c r="BJ150" s="2004"/>
      <c r="BK150" s="2004"/>
      <c r="BL150" s="2004"/>
      <c r="BM150" s="2004"/>
      <c r="BN150" s="2004">
        <v>1</v>
      </c>
      <c r="BO150" s="2004" t="s">
        <v>9203</v>
      </c>
      <c r="BP150" s="516">
        <v>2.2599999999999998</v>
      </c>
      <c r="BQ150" s="686">
        <v>2.54</v>
      </c>
      <c r="BR150" s="2004" t="s">
        <v>2337</v>
      </c>
      <c r="BS150" s="2004" t="s">
        <v>9204</v>
      </c>
      <c r="BT150" s="2004">
        <v>0</v>
      </c>
      <c r="BU150" s="2004" t="s">
        <v>9204</v>
      </c>
      <c r="BV150" s="2004">
        <v>0</v>
      </c>
      <c r="BW150" s="2004">
        <v>1.9</v>
      </c>
      <c r="BX150" s="2004" t="s">
        <v>2337</v>
      </c>
      <c r="BY150" s="2004">
        <v>0</v>
      </c>
      <c r="BZ150" s="2004">
        <v>0</v>
      </c>
      <c r="CA150" s="2004">
        <v>0</v>
      </c>
      <c r="CB150" s="2004">
        <v>0</v>
      </c>
      <c r="CC150" s="2004">
        <v>0.7</v>
      </c>
      <c r="CD150" s="2004" t="s">
        <v>2337</v>
      </c>
      <c r="CE150" s="2004">
        <v>0</v>
      </c>
      <c r="CF150" s="2004">
        <v>0</v>
      </c>
      <c r="CG150" s="2004">
        <v>0</v>
      </c>
      <c r="CH150" s="2004">
        <v>0</v>
      </c>
      <c r="CI150" s="2004">
        <v>0.66</v>
      </c>
      <c r="CJ150" s="2004" t="s">
        <v>2337</v>
      </c>
      <c r="CK150" s="2004">
        <v>0</v>
      </c>
      <c r="CL150" s="2004">
        <v>0</v>
      </c>
      <c r="CM150" s="2004">
        <v>0</v>
      </c>
      <c r="CN150" s="2004">
        <v>0</v>
      </c>
      <c r="CP150" s="2004" t="s">
        <v>10167</v>
      </c>
    </row>
    <row r="151" spans="1:94">
      <c r="A151" s="2004" t="s">
        <v>10143</v>
      </c>
      <c r="B151" s="2004" t="s">
        <v>10168</v>
      </c>
      <c r="C151" s="2004" t="s">
        <v>9085</v>
      </c>
      <c r="D151" s="2004" t="s">
        <v>1628</v>
      </c>
      <c r="E151" s="2004" t="s">
        <v>9194</v>
      </c>
      <c r="F151" s="2004" t="s">
        <v>10154</v>
      </c>
      <c r="G151" s="2004" t="s">
        <v>9709</v>
      </c>
      <c r="H151" s="2004" t="s">
        <v>10169</v>
      </c>
      <c r="I151" s="2004" t="s">
        <v>10170</v>
      </c>
      <c r="J151" s="2004" t="s">
        <v>9210</v>
      </c>
      <c r="K151" s="2004" t="s">
        <v>9200</v>
      </c>
      <c r="L151" s="2004"/>
      <c r="M151" s="2004" t="s">
        <v>2334</v>
      </c>
      <c r="N151" s="2004" t="s">
        <v>9260</v>
      </c>
      <c r="O151" s="2004" t="s">
        <v>9395</v>
      </c>
      <c r="P151" s="2004" t="s">
        <v>9546</v>
      </c>
      <c r="Q151" s="516" t="s">
        <v>9203</v>
      </c>
      <c r="R151" s="2004"/>
      <c r="S151" s="2004" t="s">
        <v>2338</v>
      </c>
      <c r="T151" s="2004" t="s">
        <v>2338</v>
      </c>
      <c r="U151" s="2004" t="s">
        <v>2338</v>
      </c>
      <c r="V151" s="2004" t="s">
        <v>2338</v>
      </c>
      <c r="W151" s="2004" t="s">
        <v>2338</v>
      </c>
      <c r="X151" s="2004" t="s">
        <v>2338</v>
      </c>
      <c r="Y151" s="2004"/>
      <c r="Z151" s="2004"/>
      <c r="AA151" s="2004"/>
      <c r="AB151" s="2004"/>
      <c r="AC151" s="2004"/>
      <c r="AD151" s="2004"/>
      <c r="AE151" s="2004" t="s">
        <v>2337</v>
      </c>
      <c r="AF151" s="2004"/>
      <c r="AG151" s="2004"/>
      <c r="AH151" s="2004">
        <v>10</v>
      </c>
      <c r="AI151" s="2004" t="s">
        <v>2337</v>
      </c>
      <c r="AJ151" s="2004" t="s">
        <v>2337</v>
      </c>
      <c r="AK151" s="2004" t="s">
        <v>2337</v>
      </c>
      <c r="AL151" s="2004" t="s">
        <v>2337</v>
      </c>
      <c r="AM151" s="2004" t="s">
        <v>2337</v>
      </c>
      <c r="AN151" s="2004" t="s">
        <v>9547</v>
      </c>
      <c r="AO151" s="2004" t="s">
        <v>9547</v>
      </c>
      <c r="AP151" s="2004" t="s">
        <v>9547</v>
      </c>
      <c r="AQ151" s="2004" t="s">
        <v>9547</v>
      </c>
      <c r="AR151" s="2004" t="s">
        <v>9547</v>
      </c>
      <c r="AS151" s="2004" t="s">
        <v>9548</v>
      </c>
      <c r="AT151" s="2004" t="s">
        <v>9548</v>
      </c>
      <c r="AU151" s="2004" t="s">
        <v>9548</v>
      </c>
      <c r="AV151" s="2004" t="s">
        <v>9548</v>
      </c>
      <c r="AW151" s="2004" t="s">
        <v>9548</v>
      </c>
      <c r="AX151" s="2004"/>
      <c r="AY151" s="2004"/>
      <c r="AZ151" s="2004"/>
      <c r="BA151" s="2004"/>
      <c r="BB151" s="2004"/>
      <c r="BC151" s="2004"/>
      <c r="BD151" s="2004"/>
      <c r="BE151" s="2004"/>
      <c r="BF151" s="2004"/>
      <c r="BG151" s="2004"/>
      <c r="BH151" s="2004">
        <v>0.22500000000000001</v>
      </c>
      <c r="BI151" s="2004"/>
      <c r="BJ151" s="2004"/>
      <c r="BK151" s="2004"/>
      <c r="BL151" s="2004"/>
      <c r="BM151" s="2004"/>
      <c r="BN151" s="2004">
        <v>1</v>
      </c>
      <c r="BO151" s="2004" t="s">
        <v>9203</v>
      </c>
      <c r="BP151" s="516" t="s">
        <v>2338</v>
      </c>
      <c r="BQ151" s="688" t="s">
        <v>2338</v>
      </c>
      <c r="BR151" s="2004" t="s">
        <v>2337</v>
      </c>
      <c r="BS151" s="2004" t="s">
        <v>9204</v>
      </c>
      <c r="BT151" s="2004">
        <v>0</v>
      </c>
      <c r="BU151" s="2004" t="s">
        <v>9204</v>
      </c>
      <c r="BV151" s="2004">
        <v>0</v>
      </c>
      <c r="BW151" s="2004" t="s">
        <v>2338</v>
      </c>
      <c r="BX151" s="2004" t="s">
        <v>2337</v>
      </c>
      <c r="BY151" s="2004">
        <v>0</v>
      </c>
      <c r="BZ151" s="2004">
        <v>0</v>
      </c>
      <c r="CA151" s="2004">
        <v>0</v>
      </c>
      <c r="CB151" s="2004">
        <v>0</v>
      </c>
      <c r="CC151" s="2004" t="s">
        <v>2338</v>
      </c>
      <c r="CD151" s="2004" t="s">
        <v>2337</v>
      </c>
      <c r="CE151" s="2004">
        <v>0</v>
      </c>
      <c r="CF151" s="2004">
        <v>0</v>
      </c>
      <c r="CG151" s="2004">
        <v>0</v>
      </c>
      <c r="CH151" s="2004">
        <v>0</v>
      </c>
      <c r="CI151" s="2004" t="s">
        <v>2338</v>
      </c>
      <c r="CJ151" s="2004" t="s">
        <v>2337</v>
      </c>
      <c r="CK151" s="2004">
        <v>0</v>
      </c>
      <c r="CL151" s="2004">
        <v>0</v>
      </c>
      <c r="CM151" s="2004">
        <v>0</v>
      </c>
      <c r="CN151" s="2004">
        <v>0</v>
      </c>
      <c r="CP151" s="2004" t="s">
        <v>10171</v>
      </c>
    </row>
    <row r="152" spans="1:94">
      <c r="A152" s="2004" t="s">
        <v>10143</v>
      </c>
      <c r="B152" s="2004" t="s">
        <v>10172</v>
      </c>
      <c r="C152" s="2004" t="s">
        <v>9085</v>
      </c>
      <c r="D152" s="2004" t="s">
        <v>1628</v>
      </c>
      <c r="E152" s="2004" t="s">
        <v>9194</v>
      </c>
      <c r="F152" s="2004" t="s">
        <v>10154</v>
      </c>
      <c r="G152" s="2004" t="s">
        <v>10173</v>
      </c>
      <c r="H152" s="2004" t="s">
        <v>10174</v>
      </c>
      <c r="I152" s="2004" t="s">
        <v>10175</v>
      </c>
      <c r="J152" s="2004" t="s">
        <v>9210</v>
      </c>
      <c r="K152" s="2004" t="s">
        <v>9200</v>
      </c>
      <c r="L152" s="2004"/>
      <c r="M152" s="2004"/>
      <c r="N152" s="2004" t="s">
        <v>9592</v>
      </c>
      <c r="O152" s="2004" t="s">
        <v>766</v>
      </c>
      <c r="P152" s="2004" t="s">
        <v>10176</v>
      </c>
      <c r="Q152" s="516">
        <v>0</v>
      </c>
      <c r="R152" s="2004" t="s">
        <v>9240</v>
      </c>
      <c r="S152" s="2004"/>
      <c r="T152" s="2004"/>
      <c r="U152" s="2004"/>
      <c r="V152" s="2004"/>
      <c r="W152" s="2004"/>
      <c r="X152" s="2004">
        <v>9300</v>
      </c>
      <c r="Y152" s="2004"/>
      <c r="Z152" s="2004"/>
      <c r="AA152" s="2004"/>
      <c r="AB152" s="2004"/>
      <c r="AC152" s="2004"/>
      <c r="AD152" s="2004"/>
      <c r="AE152" s="2004"/>
      <c r="AF152" s="2004"/>
      <c r="AG152" s="2004"/>
      <c r="AH152" s="2004">
        <v>0</v>
      </c>
      <c r="AI152" s="2004"/>
      <c r="AJ152" s="2004"/>
      <c r="AK152" s="2004"/>
      <c r="AL152" s="2004"/>
      <c r="AM152" s="2004" t="s">
        <v>2337</v>
      </c>
      <c r="AN152" s="2004"/>
      <c r="AO152" s="2004"/>
      <c r="AP152" s="2004"/>
      <c r="AQ152" s="2004"/>
      <c r="AR152" s="2004">
        <v>0</v>
      </c>
      <c r="AS152" s="2004"/>
      <c r="AT152" s="2004"/>
      <c r="AU152" s="2004"/>
      <c r="AV152" s="2004"/>
      <c r="AW152" s="2004">
        <v>9200</v>
      </c>
      <c r="AX152" s="2004"/>
      <c r="AY152" s="2004"/>
      <c r="AZ152" s="2004"/>
      <c r="BA152" s="2004"/>
      <c r="BB152" s="2004"/>
      <c r="BC152" s="2004"/>
      <c r="BD152" s="2004"/>
      <c r="BE152" s="2004"/>
      <c r="BF152" s="2004"/>
      <c r="BG152" s="2004"/>
      <c r="BH152" s="2004">
        <v>2.6599999999999999E-5</v>
      </c>
      <c r="BI152" s="2004"/>
      <c r="BJ152" s="2004"/>
      <c r="BK152" s="2004"/>
      <c r="BL152" s="2004"/>
      <c r="BM152" s="2004"/>
      <c r="BN152" s="2004">
        <v>1</v>
      </c>
      <c r="BO152" s="2004" t="s">
        <v>9203</v>
      </c>
      <c r="BP152" s="516">
        <v>2217</v>
      </c>
      <c r="BQ152" s="689">
        <v>2553</v>
      </c>
      <c r="BR152" s="2004" t="s">
        <v>9204</v>
      </c>
      <c r="BS152" s="2004" t="s">
        <v>9204</v>
      </c>
      <c r="BT152" s="2004">
        <v>0</v>
      </c>
      <c r="BU152" s="2004" t="s">
        <v>9204</v>
      </c>
      <c r="BV152" s="2004">
        <v>0</v>
      </c>
      <c r="BW152" s="2004">
        <v>4647</v>
      </c>
      <c r="BX152" s="2004" t="s">
        <v>2335</v>
      </c>
      <c r="BY152" s="2004">
        <v>0</v>
      </c>
      <c r="BZ152" s="2004">
        <v>0</v>
      </c>
      <c r="CA152" s="2004">
        <v>0</v>
      </c>
      <c r="CB152" s="2004">
        <v>0</v>
      </c>
      <c r="CC152" s="2004">
        <v>6298</v>
      </c>
      <c r="CD152" s="2004" t="s">
        <v>2335</v>
      </c>
      <c r="CE152" s="2004">
        <v>0</v>
      </c>
      <c r="CF152" s="2004">
        <v>0</v>
      </c>
      <c r="CG152" s="2004">
        <v>0</v>
      </c>
      <c r="CH152" s="2004">
        <v>0</v>
      </c>
      <c r="CI152" s="2004">
        <v>7872</v>
      </c>
      <c r="CJ152" s="2004" t="s">
        <v>2335</v>
      </c>
      <c r="CK152" s="2004">
        <v>0</v>
      </c>
      <c r="CL152" s="2004">
        <v>0</v>
      </c>
      <c r="CM152" s="2004">
        <v>0</v>
      </c>
      <c r="CN152" s="2004">
        <v>0</v>
      </c>
      <c r="CP152" s="2004" t="s">
        <v>10177</v>
      </c>
    </row>
    <row r="153" spans="1:94">
      <c r="A153" s="2004" t="s">
        <v>10143</v>
      </c>
      <c r="B153" s="2004" t="s">
        <v>10178</v>
      </c>
      <c r="C153" s="2004" t="s">
        <v>9085</v>
      </c>
      <c r="D153" s="2004" t="s">
        <v>1628</v>
      </c>
      <c r="E153" s="2004" t="s">
        <v>9194</v>
      </c>
      <c r="F153" s="2004" t="s">
        <v>10154</v>
      </c>
      <c r="G153" s="2004" t="s">
        <v>10179</v>
      </c>
      <c r="H153" s="2004" t="s">
        <v>10180</v>
      </c>
      <c r="I153" s="2004" t="s">
        <v>10181</v>
      </c>
      <c r="J153" s="2004" t="s">
        <v>9230</v>
      </c>
      <c r="K153" s="2004"/>
      <c r="L153" s="2004"/>
      <c r="M153" s="2004"/>
      <c r="N153" s="2004" t="s">
        <v>9211</v>
      </c>
      <c r="O153" s="2004" t="s">
        <v>766</v>
      </c>
      <c r="P153" s="2004" t="s">
        <v>9628</v>
      </c>
      <c r="Q153" s="516">
        <v>1</v>
      </c>
      <c r="R153" s="2004" t="s">
        <v>9202</v>
      </c>
      <c r="S153" s="2004">
        <v>142</v>
      </c>
      <c r="T153" s="2004">
        <v>142</v>
      </c>
      <c r="U153" s="2004"/>
      <c r="V153" s="2004"/>
      <c r="W153" s="2004"/>
      <c r="X153" s="2004">
        <v>140</v>
      </c>
      <c r="Y153" s="2004"/>
      <c r="Z153" s="2004"/>
      <c r="AA153" s="2004"/>
      <c r="AB153" s="2004"/>
      <c r="AC153" s="2004"/>
      <c r="AD153" s="2004"/>
      <c r="AE153" s="2004"/>
      <c r="AF153" s="2004"/>
      <c r="AG153" s="2004"/>
      <c r="AH153" s="2004">
        <v>0</v>
      </c>
      <c r="AI153" s="2004"/>
      <c r="AJ153" s="2004"/>
      <c r="AK153" s="2004"/>
      <c r="AL153" s="2004"/>
      <c r="AM153" s="2004"/>
      <c r="AN153" s="2004"/>
      <c r="AO153" s="2004"/>
      <c r="AP153" s="2004"/>
      <c r="AQ153" s="2004"/>
      <c r="AR153" s="2004"/>
      <c r="AS153" s="2004"/>
      <c r="AT153" s="2004"/>
      <c r="AU153" s="2004"/>
      <c r="AV153" s="2004"/>
      <c r="AW153" s="2004"/>
      <c r="AX153" s="2004"/>
      <c r="AY153" s="2004"/>
      <c r="AZ153" s="2004"/>
      <c r="BA153" s="2004"/>
      <c r="BB153" s="2004"/>
      <c r="BC153" s="2004"/>
      <c r="BD153" s="2004"/>
      <c r="BE153" s="2004"/>
      <c r="BF153" s="2004"/>
      <c r="BG153" s="2004"/>
      <c r="BH153" s="2004"/>
      <c r="BI153" s="2004"/>
      <c r="BJ153" s="2004"/>
      <c r="BK153" s="2004"/>
      <c r="BL153" s="2004"/>
      <c r="BM153" s="2004"/>
      <c r="BN153" s="2004"/>
      <c r="BO153" s="2004"/>
      <c r="BP153" s="516">
        <v>138.41900000000001</v>
      </c>
      <c r="BQ153" s="689">
        <v>133.57900000000001</v>
      </c>
      <c r="BR153" s="2004" t="s">
        <v>2337</v>
      </c>
      <c r="BS153" s="2004" t="s">
        <v>9204</v>
      </c>
      <c r="BT153" s="2004">
        <v>0</v>
      </c>
      <c r="BU153" s="2004" t="s">
        <v>9204</v>
      </c>
      <c r="BV153" s="2004">
        <v>0</v>
      </c>
      <c r="BW153" s="2004">
        <v>143.9</v>
      </c>
      <c r="BX153" s="2004" t="s">
        <v>2335</v>
      </c>
      <c r="BY153" s="2004">
        <v>0</v>
      </c>
      <c r="BZ153" s="2004">
        <v>0</v>
      </c>
      <c r="CA153" s="2004">
        <v>0</v>
      </c>
      <c r="CB153" s="2004">
        <v>0</v>
      </c>
      <c r="CC153" s="2004">
        <v>141</v>
      </c>
      <c r="CD153" s="2004" t="s">
        <v>2335</v>
      </c>
      <c r="CE153" s="2004">
        <v>0</v>
      </c>
      <c r="CF153" s="2004">
        <v>0</v>
      </c>
      <c r="CG153" s="2004">
        <v>0</v>
      </c>
      <c r="CH153" s="2004">
        <v>0</v>
      </c>
      <c r="CI153" s="2004">
        <v>151.33000000000001</v>
      </c>
      <c r="CJ153" s="2004" t="s">
        <v>2335</v>
      </c>
      <c r="CK153" s="2004">
        <v>0</v>
      </c>
      <c r="CL153" s="2004">
        <v>0</v>
      </c>
      <c r="CM153" s="2004">
        <v>0</v>
      </c>
      <c r="CN153" s="2004">
        <v>0</v>
      </c>
      <c r="CP153" s="2004" t="s">
        <v>10182</v>
      </c>
    </row>
    <row r="154" spans="1:94">
      <c r="A154" s="2004" t="s">
        <v>10143</v>
      </c>
      <c r="B154" s="2004" t="s">
        <v>10183</v>
      </c>
      <c r="C154" s="2004" t="s">
        <v>9085</v>
      </c>
      <c r="D154" s="2004" t="s">
        <v>1628</v>
      </c>
      <c r="E154" s="2004" t="s">
        <v>9194</v>
      </c>
      <c r="F154" s="2004" t="s">
        <v>10184</v>
      </c>
      <c r="G154" s="2004" t="s">
        <v>8948</v>
      </c>
      <c r="H154" s="2004" t="s">
        <v>10185</v>
      </c>
      <c r="I154" s="2004" t="s">
        <v>10186</v>
      </c>
      <c r="J154" s="2004" t="s">
        <v>9210</v>
      </c>
      <c r="K154" s="2004" t="s">
        <v>9200</v>
      </c>
      <c r="L154" s="2004"/>
      <c r="M154" s="2004"/>
      <c r="N154" s="2004" t="s">
        <v>2927</v>
      </c>
      <c r="O154" s="2004" t="s">
        <v>734</v>
      </c>
      <c r="P154" s="2004" t="s">
        <v>10187</v>
      </c>
      <c r="Q154" s="516">
        <v>1</v>
      </c>
      <c r="R154" s="2004" t="s">
        <v>9240</v>
      </c>
      <c r="S154" s="2004">
        <v>77</v>
      </c>
      <c r="T154" s="2004"/>
      <c r="U154" s="2004"/>
      <c r="V154" s="2004"/>
      <c r="W154" s="2004"/>
      <c r="X154" s="2004">
        <v>85</v>
      </c>
      <c r="Y154" s="2004"/>
      <c r="Z154" s="2004"/>
      <c r="AA154" s="2004"/>
      <c r="AB154" s="2004"/>
      <c r="AC154" s="2004"/>
      <c r="AD154" s="2004"/>
      <c r="AE154" s="2004" t="s">
        <v>2337</v>
      </c>
      <c r="AF154" s="2004"/>
      <c r="AG154" s="2004"/>
      <c r="AH154" s="2004">
        <v>0</v>
      </c>
      <c r="AI154" s="2004"/>
      <c r="AJ154" s="2004"/>
      <c r="AK154" s="2004"/>
      <c r="AL154" s="2004"/>
      <c r="AM154" s="2004" t="s">
        <v>2337</v>
      </c>
      <c r="AN154" s="2004"/>
      <c r="AO154" s="2004"/>
      <c r="AP154" s="2004"/>
      <c r="AQ154" s="2004"/>
      <c r="AR154" s="2004">
        <v>77</v>
      </c>
      <c r="AS154" s="2004"/>
      <c r="AT154" s="2004"/>
      <c r="AU154" s="2004"/>
      <c r="AV154" s="2004"/>
      <c r="AW154" s="2004">
        <v>84.5</v>
      </c>
      <c r="AX154" s="2004"/>
      <c r="AY154" s="2004"/>
      <c r="AZ154" s="2004"/>
      <c r="BA154" s="2004"/>
      <c r="BB154" s="2004"/>
      <c r="BC154" s="2004"/>
      <c r="BD154" s="2004"/>
      <c r="BE154" s="2004"/>
      <c r="BF154" s="2004"/>
      <c r="BG154" s="2004"/>
      <c r="BH154" s="2004">
        <v>1E-3</v>
      </c>
      <c r="BI154" s="2004"/>
      <c r="BJ154" s="2004"/>
      <c r="BK154" s="2004"/>
      <c r="BL154" s="2004"/>
      <c r="BM154" s="2004"/>
      <c r="BN154" s="2004">
        <v>1</v>
      </c>
      <c r="BO154" s="2004" t="s">
        <v>9203</v>
      </c>
      <c r="BP154" s="516">
        <v>54</v>
      </c>
      <c r="BQ154" s="686">
        <v>79.22</v>
      </c>
      <c r="BR154" s="2004" t="s">
        <v>9204</v>
      </c>
      <c r="BS154" s="2004" t="s">
        <v>9204</v>
      </c>
      <c r="BT154" s="2004">
        <v>0</v>
      </c>
      <c r="BU154" s="2004" t="s">
        <v>9204</v>
      </c>
      <c r="BV154" s="2004">
        <v>0</v>
      </c>
      <c r="BW154" s="2004">
        <v>80</v>
      </c>
      <c r="BX154" s="2004" t="s">
        <v>2335</v>
      </c>
      <c r="BY154" s="2004">
        <v>0</v>
      </c>
      <c r="BZ154" s="2004">
        <v>0</v>
      </c>
      <c r="CA154" s="2004">
        <v>0</v>
      </c>
      <c r="CB154" s="2004">
        <v>0</v>
      </c>
      <c r="CC154" s="2004">
        <v>62.4</v>
      </c>
      <c r="CD154" s="2004" t="s">
        <v>2335</v>
      </c>
      <c r="CE154" s="2004">
        <v>0</v>
      </c>
      <c r="CF154" s="2004">
        <v>0</v>
      </c>
      <c r="CG154" s="2004">
        <v>0</v>
      </c>
      <c r="CH154" s="2004">
        <v>0</v>
      </c>
      <c r="CI154" s="2004">
        <v>74</v>
      </c>
      <c r="CJ154" s="2004" t="s">
        <v>2335</v>
      </c>
      <c r="CK154" s="2004">
        <v>0</v>
      </c>
      <c r="CL154" s="2004">
        <v>0</v>
      </c>
      <c r="CM154" s="2004">
        <v>0</v>
      </c>
      <c r="CN154" s="2004">
        <v>0</v>
      </c>
      <c r="CP154" s="2004" t="s">
        <v>10188</v>
      </c>
    </row>
    <row r="155" spans="1:94">
      <c r="A155" s="2004" t="s">
        <v>10143</v>
      </c>
      <c r="B155" s="2004" t="s">
        <v>10189</v>
      </c>
      <c r="C155" s="2004" t="s">
        <v>9085</v>
      </c>
      <c r="D155" s="2004" t="s">
        <v>1628</v>
      </c>
      <c r="E155" s="2004" t="s">
        <v>9194</v>
      </c>
      <c r="F155" s="2004" t="s">
        <v>10190</v>
      </c>
      <c r="G155" s="2004" t="s">
        <v>8955</v>
      </c>
      <c r="H155" s="2004" t="s">
        <v>10191</v>
      </c>
      <c r="I155" s="2004" t="s">
        <v>10192</v>
      </c>
      <c r="J155" s="2004" t="s">
        <v>9230</v>
      </c>
      <c r="K155" s="2004"/>
      <c r="L155" s="2004"/>
      <c r="M155" s="2004"/>
      <c r="N155" s="2004" t="s">
        <v>9372</v>
      </c>
      <c r="O155" s="2004" t="s">
        <v>766</v>
      </c>
      <c r="P155" s="2004" t="s">
        <v>10193</v>
      </c>
      <c r="Q155" s="516">
        <v>2</v>
      </c>
      <c r="R155" s="2004" t="s">
        <v>9202</v>
      </c>
      <c r="S155" s="2004">
        <v>580</v>
      </c>
      <c r="T155" s="2004"/>
      <c r="U155" s="2004"/>
      <c r="V155" s="2004"/>
      <c r="W155" s="2004"/>
      <c r="X155" s="2004">
        <v>530</v>
      </c>
      <c r="Y155" s="2004"/>
      <c r="Z155" s="2004"/>
      <c r="AA155" s="2004"/>
      <c r="AB155" s="2004"/>
      <c r="AC155" s="2004"/>
      <c r="AD155" s="2004"/>
      <c r="AE155" s="2004"/>
      <c r="AF155" s="2004"/>
      <c r="AG155" s="2004"/>
      <c r="AH155" s="2004">
        <v>0</v>
      </c>
      <c r="AI155" s="2004"/>
      <c r="AJ155" s="2004"/>
      <c r="AK155" s="2004"/>
      <c r="AL155" s="2004"/>
      <c r="AM155" s="2004"/>
      <c r="AN155" s="2004"/>
      <c r="AO155" s="2004"/>
      <c r="AP155" s="2004"/>
      <c r="AQ155" s="2004"/>
      <c r="AR155" s="2004"/>
      <c r="AS155" s="2004"/>
      <c r="AT155" s="2004"/>
      <c r="AU155" s="2004"/>
      <c r="AV155" s="2004"/>
      <c r="AW155" s="2004"/>
      <c r="AX155" s="2004"/>
      <c r="AY155" s="2004"/>
      <c r="AZ155" s="2004"/>
      <c r="BA155" s="2004"/>
      <c r="BB155" s="2004"/>
      <c r="BC155" s="2004"/>
      <c r="BD155" s="2004"/>
      <c r="BE155" s="2004"/>
      <c r="BF155" s="2004"/>
      <c r="BG155" s="2004"/>
      <c r="BH155" s="2004"/>
      <c r="BI155" s="2004"/>
      <c r="BJ155" s="2004"/>
      <c r="BK155" s="2004"/>
      <c r="BL155" s="2004"/>
      <c r="BM155" s="2004"/>
      <c r="BN155" s="2004"/>
      <c r="BO155" s="2004"/>
      <c r="BP155" s="516">
        <v>592</v>
      </c>
      <c r="BQ155" s="690">
        <v>589.45000000000005</v>
      </c>
      <c r="BR155" s="2004" t="s">
        <v>9204</v>
      </c>
      <c r="BS155" s="2004" t="s">
        <v>9204</v>
      </c>
      <c r="BT155" s="2004">
        <v>0</v>
      </c>
      <c r="BU155" s="2004" t="s">
        <v>9204</v>
      </c>
      <c r="BV155" s="2004">
        <v>0</v>
      </c>
      <c r="BW155" s="2004">
        <v>650.25</v>
      </c>
      <c r="BX155" s="2004" t="s">
        <v>2335</v>
      </c>
      <c r="BY155" s="2004">
        <v>0</v>
      </c>
      <c r="BZ155" s="2004">
        <v>0</v>
      </c>
      <c r="CA155" s="2004">
        <v>0</v>
      </c>
      <c r="CB155" s="2004">
        <v>0</v>
      </c>
      <c r="CC155" s="2004">
        <v>604.92999999999995</v>
      </c>
      <c r="CD155" s="2004" t="s">
        <v>2335</v>
      </c>
      <c r="CE155" s="2004">
        <v>0</v>
      </c>
      <c r="CF155" s="2004">
        <v>0</v>
      </c>
      <c r="CG155" s="2004">
        <v>0</v>
      </c>
      <c r="CH155" s="2004">
        <v>0</v>
      </c>
      <c r="CI155" s="2004">
        <v>617.73384965962032</v>
      </c>
      <c r="CJ155" s="2004" t="s">
        <v>2335</v>
      </c>
      <c r="CK155" s="2004">
        <v>0</v>
      </c>
      <c r="CL155" s="2004">
        <v>0</v>
      </c>
      <c r="CM155" s="2004">
        <v>0</v>
      </c>
      <c r="CN155" s="2004">
        <v>0</v>
      </c>
      <c r="CP155" s="2004" t="s">
        <v>10194</v>
      </c>
    </row>
    <row r="156" spans="1:94" ht="25.5">
      <c r="A156" s="2004" t="s">
        <v>10143</v>
      </c>
      <c r="B156" s="2004" t="s">
        <v>10195</v>
      </c>
      <c r="C156" s="2004" t="s">
        <v>9085</v>
      </c>
      <c r="D156" s="2004" t="s">
        <v>1628</v>
      </c>
      <c r="E156" s="2004" t="s">
        <v>9194</v>
      </c>
      <c r="F156" s="2004" t="s">
        <v>10190</v>
      </c>
      <c r="G156" s="2004" t="s">
        <v>8958</v>
      </c>
      <c r="H156" s="2004" t="s">
        <v>10196</v>
      </c>
      <c r="I156" s="2004" t="s">
        <v>10197</v>
      </c>
      <c r="J156" s="2004" t="s">
        <v>9230</v>
      </c>
      <c r="K156" s="2004"/>
      <c r="L156" s="2004"/>
      <c r="M156" s="2004"/>
      <c r="N156" s="2004" t="s">
        <v>9364</v>
      </c>
      <c r="O156" s="2004" t="s">
        <v>9487</v>
      </c>
      <c r="P156" s="2004" t="s">
        <v>10198</v>
      </c>
      <c r="Q156" s="516" t="s">
        <v>9203</v>
      </c>
      <c r="R156" s="2004"/>
      <c r="S156" s="2004" t="s">
        <v>10199</v>
      </c>
      <c r="T156" s="2004" t="s">
        <v>10200</v>
      </c>
      <c r="U156" s="2004" t="s">
        <v>10200</v>
      </c>
      <c r="V156" s="2004" t="s">
        <v>10200</v>
      </c>
      <c r="W156" s="2004" t="s">
        <v>10200</v>
      </c>
      <c r="X156" s="2004" t="s">
        <v>10200</v>
      </c>
      <c r="Y156" s="2004"/>
      <c r="Z156" s="2004"/>
      <c r="AA156" s="2004"/>
      <c r="AB156" s="2004"/>
      <c r="AC156" s="2004"/>
      <c r="AD156" s="2004"/>
      <c r="AE156" s="2004"/>
      <c r="AF156" s="2004"/>
      <c r="AG156" s="2004"/>
      <c r="AH156" s="2004">
        <v>0</v>
      </c>
      <c r="AI156" s="2004"/>
      <c r="AJ156" s="2004"/>
      <c r="AK156" s="2004"/>
      <c r="AL156" s="2004"/>
      <c r="AM156" s="2004"/>
      <c r="AN156" s="2004"/>
      <c r="AO156" s="2004"/>
      <c r="AP156" s="2004"/>
      <c r="AQ156" s="2004"/>
      <c r="AR156" s="2004"/>
      <c r="AS156" s="2004"/>
      <c r="AT156" s="2004"/>
      <c r="AU156" s="2004"/>
      <c r="AV156" s="2004"/>
      <c r="AW156" s="2004"/>
      <c r="AX156" s="2004"/>
      <c r="AY156" s="2004"/>
      <c r="AZ156" s="2004"/>
      <c r="BA156" s="2004"/>
      <c r="BB156" s="2004"/>
      <c r="BC156" s="2004"/>
      <c r="BD156" s="2004"/>
      <c r="BE156" s="2004"/>
      <c r="BF156" s="2004"/>
      <c r="BG156" s="2004"/>
      <c r="BH156" s="2004"/>
      <c r="BI156" s="2004"/>
      <c r="BJ156" s="2004"/>
      <c r="BK156" s="2004"/>
      <c r="BL156" s="2004"/>
      <c r="BM156" s="2004"/>
      <c r="BN156" s="2004"/>
      <c r="BO156" s="2004"/>
      <c r="BP156" s="516" t="s">
        <v>4150</v>
      </c>
      <c r="BQ156" s="688" t="s">
        <v>10201</v>
      </c>
      <c r="BR156" s="2004" t="s">
        <v>9204</v>
      </c>
      <c r="BS156" s="2004" t="s">
        <v>9204</v>
      </c>
      <c r="BT156" s="2004">
        <v>0</v>
      </c>
      <c r="BU156" s="2004" t="s">
        <v>9204</v>
      </c>
      <c r="BV156" s="2004">
        <v>0</v>
      </c>
      <c r="BW156" s="2004" t="s">
        <v>10202</v>
      </c>
      <c r="BX156" s="2004" t="s">
        <v>2335</v>
      </c>
      <c r="BY156" s="2004">
        <v>0</v>
      </c>
      <c r="BZ156" s="2004">
        <v>0</v>
      </c>
      <c r="CA156" s="2004">
        <v>0</v>
      </c>
      <c r="CB156" s="2004">
        <v>0</v>
      </c>
      <c r="CC156" s="2004" t="s">
        <v>10202</v>
      </c>
      <c r="CD156" s="2004" t="s">
        <v>2335</v>
      </c>
      <c r="CE156" s="2004">
        <v>0</v>
      </c>
      <c r="CF156" s="2004">
        <v>0</v>
      </c>
      <c r="CG156" s="2004">
        <v>0</v>
      </c>
      <c r="CH156" s="2004">
        <v>0</v>
      </c>
      <c r="CI156" s="2004" t="s">
        <v>10202</v>
      </c>
      <c r="CJ156" s="2004" t="s">
        <v>2337</v>
      </c>
      <c r="CK156" s="2004">
        <v>0</v>
      </c>
      <c r="CL156" s="2004">
        <v>0</v>
      </c>
      <c r="CM156" s="2004">
        <v>0</v>
      </c>
      <c r="CN156" s="2004">
        <v>0</v>
      </c>
      <c r="CP156" s="2004" t="s">
        <v>10203</v>
      </c>
    </row>
    <row r="157" spans="1:94">
      <c r="A157" s="2004" t="s">
        <v>10143</v>
      </c>
      <c r="B157" s="2004" t="s">
        <v>10204</v>
      </c>
      <c r="C157" s="2004" t="s">
        <v>9085</v>
      </c>
      <c r="D157" s="2004" t="s">
        <v>1628</v>
      </c>
      <c r="E157" s="2004" t="s">
        <v>9194</v>
      </c>
      <c r="F157" s="2004" t="s">
        <v>10205</v>
      </c>
      <c r="G157" s="2004" t="s">
        <v>8971</v>
      </c>
      <c r="H157" s="2004" t="s">
        <v>10206</v>
      </c>
      <c r="I157" s="2004" t="s">
        <v>10207</v>
      </c>
      <c r="J157" s="2004" t="s">
        <v>9230</v>
      </c>
      <c r="K157" s="2004"/>
      <c r="L157" s="2004"/>
      <c r="M157" s="2004"/>
      <c r="N157" s="2004" t="s">
        <v>10208</v>
      </c>
      <c r="O157" s="2004" t="s">
        <v>766</v>
      </c>
      <c r="P157" s="2004" t="s">
        <v>10209</v>
      </c>
      <c r="Q157" s="516">
        <v>0</v>
      </c>
      <c r="R157" s="2004" t="s">
        <v>9240</v>
      </c>
      <c r="S157" s="2004">
        <v>84</v>
      </c>
      <c r="T157" s="2004"/>
      <c r="U157" s="2004"/>
      <c r="V157" s="2004"/>
      <c r="W157" s="2004"/>
      <c r="X157" s="2004">
        <v>175</v>
      </c>
      <c r="Y157" s="2004"/>
      <c r="Z157" s="2004"/>
      <c r="AA157" s="2004"/>
      <c r="AB157" s="2004"/>
      <c r="AC157" s="2004"/>
      <c r="AD157" s="2004"/>
      <c r="AE157" s="2004"/>
      <c r="AF157" s="2004"/>
      <c r="AG157" s="2004"/>
      <c r="AH157" s="2004">
        <v>0</v>
      </c>
      <c r="AI157" s="2004"/>
      <c r="AJ157" s="2004"/>
      <c r="AK157" s="2004"/>
      <c r="AL157" s="2004"/>
      <c r="AM157" s="2004"/>
      <c r="AN157" s="2004"/>
      <c r="AO157" s="2004"/>
      <c r="AP157" s="2004"/>
      <c r="AQ157" s="2004"/>
      <c r="AR157" s="2004"/>
      <c r="AS157" s="2004"/>
      <c r="AT157" s="2004"/>
      <c r="AU157" s="2004"/>
      <c r="AV157" s="2004"/>
      <c r="AW157" s="2004"/>
      <c r="AX157" s="2004"/>
      <c r="AY157" s="2004"/>
      <c r="AZ157" s="2004"/>
      <c r="BA157" s="2004"/>
      <c r="BB157" s="2004"/>
      <c r="BC157" s="2004"/>
      <c r="BD157" s="2004"/>
      <c r="BE157" s="2004"/>
      <c r="BF157" s="2004"/>
      <c r="BG157" s="2004"/>
      <c r="BH157" s="2004"/>
      <c r="BI157" s="2004"/>
      <c r="BJ157" s="2004"/>
      <c r="BK157" s="2004"/>
      <c r="BL157" s="2004"/>
      <c r="BM157" s="2004"/>
      <c r="BN157" s="2004"/>
      <c r="BO157" s="2004"/>
      <c r="BP157" s="516">
        <v>158</v>
      </c>
      <c r="BQ157" s="689">
        <v>201.5</v>
      </c>
      <c r="BR157" s="2004" t="s">
        <v>9204</v>
      </c>
      <c r="BS157" s="2004" t="s">
        <v>9204</v>
      </c>
      <c r="BT157" s="2004">
        <v>0</v>
      </c>
      <c r="BU157" s="2004" t="s">
        <v>9204</v>
      </c>
      <c r="BV157" s="2004">
        <v>0</v>
      </c>
      <c r="BW157" s="2004">
        <v>80</v>
      </c>
      <c r="BX157" s="2004" t="s">
        <v>2335</v>
      </c>
      <c r="BY157" s="2004">
        <v>0</v>
      </c>
      <c r="BZ157" s="2004">
        <v>0</v>
      </c>
      <c r="CA157" s="2004">
        <v>0</v>
      </c>
      <c r="CB157" s="2004">
        <v>0</v>
      </c>
      <c r="CC157" s="2004">
        <v>28</v>
      </c>
      <c r="CD157" s="2004" t="s">
        <v>2335</v>
      </c>
      <c r="CE157" s="2004">
        <v>0</v>
      </c>
      <c r="CF157" s="2004">
        <v>0</v>
      </c>
      <c r="CG157" s="2004">
        <v>0</v>
      </c>
      <c r="CH157" s="2004">
        <v>0</v>
      </c>
      <c r="CI157" s="2004">
        <v>44</v>
      </c>
      <c r="CJ157" s="2004" t="s">
        <v>2335</v>
      </c>
      <c r="CK157" s="2004">
        <v>0</v>
      </c>
      <c r="CL157" s="2004">
        <v>0</v>
      </c>
      <c r="CM157" s="2004">
        <v>0</v>
      </c>
      <c r="CN157" s="2004">
        <v>0</v>
      </c>
      <c r="CP157" s="2004" t="s">
        <v>10210</v>
      </c>
    </row>
    <row r="158" spans="1:94">
      <c r="A158" s="2004" t="s">
        <v>10143</v>
      </c>
      <c r="B158" s="2004" t="s">
        <v>10211</v>
      </c>
      <c r="C158" s="2004" t="s">
        <v>9085</v>
      </c>
      <c r="D158" s="2004" t="s">
        <v>9275</v>
      </c>
      <c r="E158" s="2004" t="s">
        <v>9276</v>
      </c>
      <c r="F158" s="2004" t="s">
        <v>10184</v>
      </c>
      <c r="G158" s="2004" t="s">
        <v>7928</v>
      </c>
      <c r="H158" s="2004" t="s">
        <v>10212</v>
      </c>
      <c r="I158" s="2004" t="s">
        <v>10130</v>
      </c>
      <c r="J158" s="2004" t="s">
        <v>9199</v>
      </c>
      <c r="K158" s="2004" t="s">
        <v>9200</v>
      </c>
      <c r="L158" s="2004"/>
      <c r="M158" s="2004" t="s">
        <v>2334</v>
      </c>
      <c r="N158" s="2004" t="s">
        <v>9281</v>
      </c>
      <c r="O158" s="2004" t="s">
        <v>9282</v>
      </c>
      <c r="P158" s="2004" t="s">
        <v>10213</v>
      </c>
      <c r="Q158" s="516">
        <v>1</v>
      </c>
      <c r="R158" s="2004" t="s">
        <v>9240</v>
      </c>
      <c r="S158" s="2004">
        <v>87</v>
      </c>
      <c r="T158" s="2004"/>
      <c r="U158" s="2004"/>
      <c r="V158" s="2004"/>
      <c r="W158" s="2004"/>
      <c r="X158" s="2004">
        <v>89</v>
      </c>
      <c r="Y158" s="2004"/>
      <c r="Z158" s="2004"/>
      <c r="AA158" s="2004"/>
      <c r="AB158" s="2004"/>
      <c r="AC158" s="2004"/>
      <c r="AD158" s="2004"/>
      <c r="AE158" s="2004"/>
      <c r="AF158" s="2004"/>
      <c r="AG158" s="2004"/>
      <c r="AH158" s="2004">
        <v>0</v>
      </c>
      <c r="AI158" s="2004"/>
      <c r="AJ158" s="2004"/>
      <c r="AK158" s="2004"/>
      <c r="AL158" s="2004"/>
      <c r="AM158" s="2004" t="s">
        <v>2337</v>
      </c>
      <c r="AN158" s="2004" t="s">
        <v>9284</v>
      </c>
      <c r="AO158" s="2004" t="s">
        <v>9284</v>
      </c>
      <c r="AP158" s="2004" t="s">
        <v>9284</v>
      </c>
      <c r="AQ158" s="2004" t="s">
        <v>9284</v>
      </c>
      <c r="AR158" s="2004" t="s">
        <v>9284</v>
      </c>
      <c r="AS158" s="2004" t="s">
        <v>9284</v>
      </c>
      <c r="AT158" s="2004" t="s">
        <v>9284</v>
      </c>
      <c r="AU158" s="2004" t="s">
        <v>9284</v>
      </c>
      <c r="AV158" s="2004" t="s">
        <v>9284</v>
      </c>
      <c r="AW158" s="2004" t="s">
        <v>9284</v>
      </c>
      <c r="AX158" s="2004" t="s">
        <v>9284</v>
      </c>
      <c r="AY158" s="2004" t="s">
        <v>9284</v>
      </c>
      <c r="AZ158" s="2004" t="s">
        <v>9284</v>
      </c>
      <c r="BA158" s="2004" t="s">
        <v>9284</v>
      </c>
      <c r="BB158" s="2004" t="s">
        <v>9284</v>
      </c>
      <c r="BC158" s="2004" t="s">
        <v>9284</v>
      </c>
      <c r="BD158" s="2004" t="s">
        <v>9284</v>
      </c>
      <c r="BE158" s="2004" t="s">
        <v>9284</v>
      </c>
      <c r="BF158" s="2004" t="s">
        <v>9284</v>
      </c>
      <c r="BG158" s="2004" t="s">
        <v>9284</v>
      </c>
      <c r="BH158" s="2004" t="s">
        <v>9284</v>
      </c>
      <c r="BI158" s="2004"/>
      <c r="BJ158" s="2004"/>
      <c r="BK158" s="2004"/>
      <c r="BL158" s="2004" t="s">
        <v>9284</v>
      </c>
      <c r="BM158" s="2004"/>
      <c r="BN158" s="2004">
        <v>1</v>
      </c>
      <c r="BO158" s="2004" t="s">
        <v>9203</v>
      </c>
      <c r="BP158" s="516">
        <v>87.5</v>
      </c>
      <c r="BQ158" s="686">
        <v>86.2</v>
      </c>
      <c r="BR158" s="2004" t="s">
        <v>9204</v>
      </c>
      <c r="BS158" s="2004" t="s">
        <v>9204</v>
      </c>
      <c r="BT158" s="2004">
        <v>0</v>
      </c>
      <c r="BU158" s="2004" t="s">
        <v>9204</v>
      </c>
      <c r="BV158" s="2004">
        <v>0</v>
      </c>
      <c r="BW158" s="2004">
        <v>86.49</v>
      </c>
      <c r="BX158" s="2004" t="s">
        <v>2335</v>
      </c>
      <c r="BY158" s="2004">
        <v>0</v>
      </c>
      <c r="BZ158" s="2004">
        <v>0</v>
      </c>
      <c r="CA158" s="2004">
        <v>0</v>
      </c>
      <c r="CB158" s="2004">
        <v>0</v>
      </c>
      <c r="CC158" s="2004">
        <v>87.6</v>
      </c>
      <c r="CD158" s="2004" t="s">
        <v>2335</v>
      </c>
      <c r="CE158" s="2004">
        <v>0</v>
      </c>
      <c r="CF158" s="2004">
        <v>0</v>
      </c>
      <c r="CG158" s="2004">
        <v>0</v>
      </c>
      <c r="CH158" s="2004">
        <v>0</v>
      </c>
      <c r="CI158" s="2004">
        <v>87.57</v>
      </c>
      <c r="CJ158" s="2004" t="s">
        <v>2335</v>
      </c>
      <c r="CK158" s="2004">
        <v>0</v>
      </c>
      <c r="CL158" s="2004">
        <v>0</v>
      </c>
      <c r="CM158" s="2004">
        <v>0</v>
      </c>
      <c r="CN158" s="2004">
        <v>0</v>
      </c>
      <c r="CP158" s="2004" t="s">
        <v>10214</v>
      </c>
    </row>
    <row r="159" spans="1:94">
      <c r="A159" s="2004" t="s">
        <v>10143</v>
      </c>
      <c r="B159" s="2004" t="s">
        <v>10215</v>
      </c>
      <c r="C159" s="2004" t="s">
        <v>9085</v>
      </c>
      <c r="D159" s="2004" t="s">
        <v>9275</v>
      </c>
      <c r="E159" s="2004" t="s">
        <v>9276</v>
      </c>
      <c r="F159" s="2004" t="s">
        <v>10184</v>
      </c>
      <c r="G159" s="2004" t="s">
        <v>7929</v>
      </c>
      <c r="H159" s="2004" t="s">
        <v>10216</v>
      </c>
      <c r="I159" s="2004" t="s">
        <v>10217</v>
      </c>
      <c r="J159" s="2004" t="s">
        <v>9210</v>
      </c>
      <c r="K159" s="2004" t="s">
        <v>9200</v>
      </c>
      <c r="L159" s="2004"/>
      <c r="M159" s="2004" t="s">
        <v>2334</v>
      </c>
      <c r="N159" s="2004" t="s">
        <v>9290</v>
      </c>
      <c r="O159" s="2004" t="s">
        <v>51</v>
      </c>
      <c r="P159" s="2004" t="s">
        <v>10059</v>
      </c>
      <c r="Q159" s="516">
        <v>2</v>
      </c>
      <c r="R159" s="2004"/>
      <c r="S159" s="2004">
        <v>0</v>
      </c>
      <c r="T159" s="2004" t="s">
        <v>4140</v>
      </c>
      <c r="U159" s="2004" t="s">
        <v>4140</v>
      </c>
      <c r="V159" s="2004" t="s">
        <v>4140</v>
      </c>
      <c r="W159" s="2004" t="s">
        <v>4140</v>
      </c>
      <c r="X159" s="2004">
        <v>1.18</v>
      </c>
      <c r="Y159" s="2004"/>
      <c r="Z159" s="2004"/>
      <c r="AA159" s="2004"/>
      <c r="AB159" s="2004"/>
      <c r="AC159" s="2004"/>
      <c r="AD159" s="2004" t="s">
        <v>2337</v>
      </c>
      <c r="AE159" s="2004"/>
      <c r="AF159" s="2004"/>
      <c r="AG159" s="2004"/>
      <c r="AH159" s="2004">
        <v>0</v>
      </c>
      <c r="AI159" s="2004" t="s">
        <v>2337</v>
      </c>
      <c r="AJ159" s="2004" t="s">
        <v>2337</v>
      </c>
      <c r="AK159" s="2004" t="s">
        <v>2337</v>
      </c>
      <c r="AL159" s="2004" t="s">
        <v>2337</v>
      </c>
      <c r="AM159" s="2004" t="s">
        <v>2337</v>
      </c>
      <c r="AN159" s="2004" t="s">
        <v>4140</v>
      </c>
      <c r="AO159" s="2004" t="s">
        <v>4140</v>
      </c>
      <c r="AP159" s="2004" t="s">
        <v>4140</v>
      </c>
      <c r="AQ159" s="2004" t="s">
        <v>4140</v>
      </c>
      <c r="AR159" s="2004">
        <v>0</v>
      </c>
      <c r="AS159" s="2004" t="s">
        <v>4140</v>
      </c>
      <c r="AT159" s="2004" t="s">
        <v>4140</v>
      </c>
      <c r="AU159" s="2004" t="s">
        <v>4140</v>
      </c>
      <c r="AV159" s="2004" t="s">
        <v>4140</v>
      </c>
      <c r="AW159" s="2004">
        <v>1.1000000000000001</v>
      </c>
      <c r="AX159" s="2004"/>
      <c r="AY159" s="2004"/>
      <c r="AZ159" s="2004"/>
      <c r="BA159" s="2004"/>
      <c r="BB159" s="2004"/>
      <c r="BC159" s="2004"/>
      <c r="BD159" s="2004"/>
      <c r="BE159" s="2004"/>
      <c r="BF159" s="2004"/>
      <c r="BG159" s="2004"/>
      <c r="BH159" s="2004">
        <v>0.05</v>
      </c>
      <c r="BI159" s="2004">
        <v>0.17</v>
      </c>
      <c r="BJ159" s="2004"/>
      <c r="BK159" s="2004"/>
      <c r="BL159" s="2004"/>
      <c r="BM159" s="2004"/>
      <c r="BN159" s="2004">
        <v>1</v>
      </c>
      <c r="BO159" s="2004" t="s">
        <v>9203</v>
      </c>
      <c r="BP159" s="516" t="s">
        <v>4150</v>
      </c>
      <c r="BQ159" s="688">
        <v>0.33600000000000002</v>
      </c>
      <c r="BR159" s="2004" t="s">
        <v>9204</v>
      </c>
      <c r="BS159" s="2004" t="s">
        <v>9204</v>
      </c>
      <c r="BT159" s="2004">
        <v>0</v>
      </c>
      <c r="BU159" s="2004" t="s">
        <v>9204</v>
      </c>
      <c r="BV159" s="2004">
        <v>0</v>
      </c>
      <c r="BW159" s="2004">
        <v>0.68300000000000005</v>
      </c>
      <c r="BX159" s="2004" t="s">
        <v>2335</v>
      </c>
      <c r="BY159" s="2004">
        <v>0</v>
      </c>
      <c r="BZ159" s="2004">
        <v>0</v>
      </c>
      <c r="CA159" s="2004">
        <v>0</v>
      </c>
      <c r="CB159" s="2004">
        <v>0</v>
      </c>
      <c r="CC159" s="2004">
        <v>1.08</v>
      </c>
      <c r="CD159" s="2004" t="s">
        <v>2335</v>
      </c>
      <c r="CE159" s="2004">
        <v>0</v>
      </c>
      <c r="CF159" s="2004">
        <v>0</v>
      </c>
      <c r="CG159" s="2004">
        <v>0</v>
      </c>
      <c r="CH159" s="2004">
        <v>0</v>
      </c>
      <c r="CI159" s="2004">
        <v>1.423</v>
      </c>
      <c r="CJ159" s="2004" t="s">
        <v>2335</v>
      </c>
      <c r="CK159" s="2004">
        <v>0</v>
      </c>
      <c r="CL159" s="2004">
        <v>0</v>
      </c>
      <c r="CM159" s="2004">
        <v>0</v>
      </c>
      <c r="CN159" s="2004">
        <v>0</v>
      </c>
      <c r="CP159" s="2004" t="s">
        <v>10218</v>
      </c>
    </row>
    <row r="160" spans="1:94">
      <c r="A160" s="2004" t="s">
        <v>10143</v>
      </c>
      <c r="B160" s="2004" t="s">
        <v>10219</v>
      </c>
      <c r="C160" s="2004" t="s">
        <v>9085</v>
      </c>
      <c r="D160" s="2004" t="s">
        <v>9275</v>
      </c>
      <c r="E160" s="2004" t="s">
        <v>9276</v>
      </c>
      <c r="F160" s="2004" t="s">
        <v>10220</v>
      </c>
      <c r="G160" s="2004" t="s">
        <v>7930</v>
      </c>
      <c r="H160" s="2004" t="s">
        <v>10221</v>
      </c>
      <c r="I160" s="2004" t="s">
        <v>10222</v>
      </c>
      <c r="J160" s="2004" t="s">
        <v>9230</v>
      </c>
      <c r="K160" s="2004"/>
      <c r="L160" s="2004"/>
      <c r="M160" s="2004"/>
      <c r="N160" s="2004" t="s">
        <v>9290</v>
      </c>
      <c r="O160" s="2004" t="s">
        <v>734</v>
      </c>
      <c r="P160" s="2004" t="s">
        <v>10223</v>
      </c>
      <c r="Q160" s="516">
        <v>2</v>
      </c>
      <c r="R160" s="2004" t="s">
        <v>9202</v>
      </c>
      <c r="S160" s="2004"/>
      <c r="T160" s="2004"/>
      <c r="U160" s="2004"/>
      <c r="V160" s="2004"/>
      <c r="W160" s="2004"/>
      <c r="X160" s="2004" t="s">
        <v>10224</v>
      </c>
      <c r="Y160" s="2004"/>
      <c r="Z160" s="2004"/>
      <c r="AA160" s="2004"/>
      <c r="AB160" s="2004"/>
      <c r="AC160" s="2004"/>
      <c r="AD160" s="2004"/>
      <c r="AE160" s="2004"/>
      <c r="AF160" s="2004"/>
      <c r="AG160" s="2004"/>
      <c r="AH160" s="2004">
        <v>0</v>
      </c>
      <c r="AI160" s="2004"/>
      <c r="AJ160" s="2004"/>
      <c r="AK160" s="2004"/>
      <c r="AL160" s="2004"/>
      <c r="AM160" s="2004"/>
      <c r="AN160" s="2004"/>
      <c r="AO160" s="2004"/>
      <c r="AP160" s="2004"/>
      <c r="AQ160" s="2004"/>
      <c r="AR160" s="2004"/>
      <c r="AS160" s="2004"/>
      <c r="AT160" s="2004"/>
      <c r="AU160" s="2004"/>
      <c r="AV160" s="2004"/>
      <c r="AW160" s="2004"/>
      <c r="AX160" s="2004"/>
      <c r="AY160" s="2004"/>
      <c r="AZ160" s="2004"/>
      <c r="BA160" s="2004"/>
      <c r="BB160" s="2004"/>
      <c r="BC160" s="2004"/>
      <c r="BD160" s="2004"/>
      <c r="BE160" s="2004"/>
      <c r="BF160" s="2004"/>
      <c r="BG160" s="2004"/>
      <c r="BH160" s="2004"/>
      <c r="BI160" s="2004"/>
      <c r="BJ160" s="2004"/>
      <c r="BK160" s="2004"/>
      <c r="BL160" s="2004"/>
      <c r="BM160" s="2004"/>
      <c r="BN160" s="2004"/>
      <c r="BO160" s="2004"/>
      <c r="BP160" s="516">
        <v>3.36</v>
      </c>
      <c r="BQ160" s="688">
        <v>3.71</v>
      </c>
      <c r="BR160" s="2004" t="s">
        <v>9204</v>
      </c>
      <c r="BS160" s="2004" t="s">
        <v>9204</v>
      </c>
      <c r="BT160" s="2004">
        <v>0</v>
      </c>
      <c r="BU160" s="2004" t="s">
        <v>9204</v>
      </c>
      <c r="BV160" s="2004">
        <v>0</v>
      </c>
      <c r="BW160" s="2004">
        <v>3.23</v>
      </c>
      <c r="BX160" s="2004" t="s">
        <v>2335</v>
      </c>
      <c r="BY160" s="2004">
        <v>0</v>
      </c>
      <c r="BZ160" s="2004">
        <v>0</v>
      </c>
      <c r="CA160" s="2004">
        <v>0</v>
      </c>
      <c r="CB160" s="2004">
        <v>0</v>
      </c>
      <c r="CC160" s="2004">
        <v>3.03</v>
      </c>
      <c r="CD160" s="2004" t="s">
        <v>2335</v>
      </c>
      <c r="CE160" s="2004">
        <v>0</v>
      </c>
      <c r="CF160" s="2004">
        <v>0</v>
      </c>
      <c r="CG160" s="2004">
        <v>0</v>
      </c>
      <c r="CH160" s="2004">
        <v>0</v>
      </c>
      <c r="CI160" s="2004">
        <v>3.25</v>
      </c>
      <c r="CJ160" s="2004" t="s">
        <v>2335</v>
      </c>
      <c r="CK160" s="2004">
        <v>0</v>
      </c>
      <c r="CL160" s="2004">
        <v>0</v>
      </c>
      <c r="CM160" s="2004">
        <v>0</v>
      </c>
      <c r="CN160" s="2004">
        <v>0</v>
      </c>
      <c r="CP160" s="2004" t="s">
        <v>10225</v>
      </c>
    </row>
    <row r="161" spans="1:94">
      <c r="A161" s="2004" t="s">
        <v>10226</v>
      </c>
      <c r="B161" s="2004" t="s">
        <v>10227</v>
      </c>
      <c r="C161" s="2004" t="s">
        <v>9085</v>
      </c>
      <c r="D161" s="2004" t="s">
        <v>1628</v>
      </c>
      <c r="E161" s="2004" t="s">
        <v>9194</v>
      </c>
      <c r="F161" s="2004" t="s">
        <v>10228</v>
      </c>
      <c r="G161" s="2004" t="s">
        <v>7928</v>
      </c>
      <c r="H161" s="2004" t="s">
        <v>10229</v>
      </c>
      <c r="I161" s="2004" t="s">
        <v>10230</v>
      </c>
      <c r="J161" s="2004" t="s">
        <v>9210</v>
      </c>
      <c r="K161" s="2004" t="s">
        <v>9200</v>
      </c>
      <c r="L161" s="2004"/>
      <c r="M161" s="2004" t="s">
        <v>2334</v>
      </c>
      <c r="N161" s="2004" t="s">
        <v>9218</v>
      </c>
      <c r="O161" s="2004" t="s">
        <v>9282</v>
      </c>
      <c r="P161" s="2004" t="s">
        <v>9334</v>
      </c>
      <c r="Q161" s="516">
        <v>0</v>
      </c>
      <c r="R161" s="2004" t="s">
        <v>9240</v>
      </c>
      <c r="S161" s="2004">
        <v>100</v>
      </c>
      <c r="T161" s="2004">
        <v>100</v>
      </c>
      <c r="U161" s="2004">
        <v>100</v>
      </c>
      <c r="V161" s="2004">
        <v>100</v>
      </c>
      <c r="W161" s="2004">
        <v>100</v>
      </c>
      <c r="X161" s="2004">
        <v>100</v>
      </c>
      <c r="Y161" s="2004"/>
      <c r="Z161" s="2004"/>
      <c r="AA161" s="2004"/>
      <c r="AB161" s="2004"/>
      <c r="AC161" s="2004"/>
      <c r="AD161" s="2004"/>
      <c r="AE161" s="2004"/>
      <c r="AF161" s="2004"/>
      <c r="AG161" s="2004"/>
      <c r="AH161" s="2004">
        <v>0</v>
      </c>
      <c r="AI161" s="2004" t="s">
        <v>2337</v>
      </c>
      <c r="AJ161" s="2004" t="s">
        <v>2337</v>
      </c>
      <c r="AK161" s="2004" t="s">
        <v>2337</v>
      </c>
      <c r="AL161" s="2004" t="s">
        <v>2337</v>
      </c>
      <c r="AM161" s="2004" t="s">
        <v>2337</v>
      </c>
      <c r="AN161" s="2004" t="s">
        <v>10231</v>
      </c>
      <c r="AO161" s="2004" t="s">
        <v>10231</v>
      </c>
      <c r="AP161" s="2004" t="s">
        <v>10231</v>
      </c>
      <c r="AQ161" s="2004" t="s">
        <v>10231</v>
      </c>
      <c r="AR161" s="2004" t="s">
        <v>10231</v>
      </c>
      <c r="AS161" s="2004">
        <v>98</v>
      </c>
      <c r="AT161" s="2004">
        <v>98</v>
      </c>
      <c r="AU161" s="2004">
        <v>98</v>
      </c>
      <c r="AV161" s="2004">
        <v>98</v>
      </c>
      <c r="AW161" s="2004">
        <v>98</v>
      </c>
      <c r="AX161" s="2004"/>
      <c r="AY161" s="2004"/>
      <c r="AZ161" s="2004"/>
      <c r="BA161" s="2004"/>
      <c r="BB161" s="2004"/>
      <c r="BC161" s="2004"/>
      <c r="BD161" s="2004"/>
      <c r="BE161" s="2004"/>
      <c r="BF161" s="2004"/>
      <c r="BG161" s="2004"/>
      <c r="BH161" s="2004">
        <v>0.2</v>
      </c>
      <c r="BI161" s="2004"/>
      <c r="BJ161" s="2004"/>
      <c r="BK161" s="2004"/>
      <c r="BL161" s="2004"/>
      <c r="BM161" s="2004"/>
      <c r="BN161" s="2004">
        <v>1</v>
      </c>
      <c r="BO161" s="2004" t="s">
        <v>9203</v>
      </c>
      <c r="BP161" s="516">
        <v>100</v>
      </c>
      <c r="BQ161" s="689">
        <v>100</v>
      </c>
      <c r="BR161" s="2004" t="s">
        <v>2337</v>
      </c>
      <c r="BS161" s="2004" t="s">
        <v>9204</v>
      </c>
      <c r="BT161" s="2004">
        <v>0</v>
      </c>
      <c r="BU161" s="2004" t="s">
        <v>9204</v>
      </c>
      <c r="BV161" s="2004">
        <v>0</v>
      </c>
      <c r="BW161" s="2004">
        <v>100</v>
      </c>
      <c r="BX161" s="2004" t="s">
        <v>2337</v>
      </c>
      <c r="BY161" s="2004">
        <v>0</v>
      </c>
      <c r="BZ161" s="2004">
        <v>0</v>
      </c>
      <c r="CA161" s="2004">
        <v>0</v>
      </c>
      <c r="CB161" s="2004">
        <v>0</v>
      </c>
      <c r="CC161" s="2004">
        <v>100</v>
      </c>
      <c r="CD161" s="2004" t="s">
        <v>2337</v>
      </c>
      <c r="CE161" s="2004">
        <v>0</v>
      </c>
      <c r="CF161" s="2004">
        <v>0</v>
      </c>
      <c r="CG161" s="2004">
        <v>0</v>
      </c>
      <c r="CH161" s="2004">
        <v>0</v>
      </c>
      <c r="CI161" s="2004">
        <v>100</v>
      </c>
      <c r="CJ161" s="2004" t="s">
        <v>2337</v>
      </c>
      <c r="CK161" s="2004">
        <v>0</v>
      </c>
      <c r="CL161" s="2004">
        <v>0</v>
      </c>
      <c r="CM161" s="2004">
        <v>0</v>
      </c>
      <c r="CN161" s="2004">
        <v>0</v>
      </c>
      <c r="CP161" s="2004" t="s">
        <v>10232</v>
      </c>
    </row>
    <row r="162" spans="1:94">
      <c r="A162" s="2004" t="s">
        <v>10226</v>
      </c>
      <c r="B162" s="2004" t="s">
        <v>10233</v>
      </c>
      <c r="C162" s="2004" t="s">
        <v>9085</v>
      </c>
      <c r="D162" s="2004" t="s">
        <v>1628</v>
      </c>
      <c r="E162" s="2004" t="s">
        <v>9194</v>
      </c>
      <c r="F162" s="2004" t="s">
        <v>10228</v>
      </c>
      <c r="G162" s="2004" t="s">
        <v>7929</v>
      </c>
      <c r="H162" s="2004" t="s">
        <v>10234</v>
      </c>
      <c r="I162" s="2004" t="s">
        <v>10235</v>
      </c>
      <c r="J162" s="2004" t="s">
        <v>9230</v>
      </c>
      <c r="K162" s="2004"/>
      <c r="L162" s="2004"/>
      <c r="M162" s="2004"/>
      <c r="N162" s="2004" t="s">
        <v>9218</v>
      </c>
      <c r="O162" s="2004" t="s">
        <v>9282</v>
      </c>
      <c r="P162" s="2004" t="s">
        <v>9334</v>
      </c>
      <c r="Q162" s="516">
        <v>0</v>
      </c>
      <c r="R162" s="2004" t="s">
        <v>9240</v>
      </c>
      <c r="S162" s="2004">
        <v>100</v>
      </c>
      <c r="T162" s="2004">
        <v>100</v>
      </c>
      <c r="U162" s="2004">
        <v>100</v>
      </c>
      <c r="V162" s="2004">
        <v>100</v>
      </c>
      <c r="W162" s="2004">
        <v>100</v>
      </c>
      <c r="X162" s="2004">
        <v>100</v>
      </c>
      <c r="Y162" s="2004"/>
      <c r="Z162" s="2004"/>
      <c r="AA162" s="2004"/>
      <c r="AB162" s="2004"/>
      <c r="AC162" s="2004"/>
      <c r="AD162" s="2004"/>
      <c r="AE162" s="2004"/>
      <c r="AF162" s="2004"/>
      <c r="AG162" s="2004"/>
      <c r="AH162" s="2004">
        <v>0</v>
      </c>
      <c r="AI162" s="2004"/>
      <c r="AJ162" s="2004"/>
      <c r="AK162" s="2004"/>
      <c r="AL162" s="2004"/>
      <c r="AM162" s="2004"/>
      <c r="AN162" s="2004"/>
      <c r="AO162" s="2004"/>
      <c r="AP162" s="2004"/>
      <c r="AQ162" s="2004"/>
      <c r="AR162" s="2004"/>
      <c r="AS162" s="2004"/>
      <c r="AT162" s="2004"/>
      <c r="AU162" s="2004"/>
      <c r="AV162" s="2004"/>
      <c r="AW162" s="2004"/>
      <c r="AX162" s="2004"/>
      <c r="AY162" s="2004"/>
      <c r="AZ162" s="2004"/>
      <c r="BA162" s="2004"/>
      <c r="BB162" s="2004"/>
      <c r="BC162" s="2004"/>
      <c r="BD162" s="2004"/>
      <c r="BE162" s="2004"/>
      <c r="BF162" s="2004"/>
      <c r="BG162" s="2004"/>
      <c r="BH162" s="2004"/>
      <c r="BI162" s="2004"/>
      <c r="BJ162" s="2004"/>
      <c r="BK162" s="2004"/>
      <c r="BL162" s="2004"/>
      <c r="BM162" s="2004"/>
      <c r="BN162" s="2004"/>
      <c r="BO162" s="2004"/>
      <c r="BP162" s="516">
        <v>100</v>
      </c>
      <c r="BQ162" s="688">
        <v>100</v>
      </c>
      <c r="BR162" s="2004" t="s">
        <v>2337</v>
      </c>
      <c r="BS162" s="2004" t="s">
        <v>9204</v>
      </c>
      <c r="BT162" s="2004">
        <v>0</v>
      </c>
      <c r="BU162" s="2004" t="s">
        <v>9204</v>
      </c>
      <c r="BV162" s="2004">
        <v>0</v>
      </c>
      <c r="BW162" s="2004">
        <v>100</v>
      </c>
      <c r="BX162" s="2004" t="s">
        <v>2337</v>
      </c>
      <c r="BY162" s="2004">
        <v>0</v>
      </c>
      <c r="BZ162" s="2004">
        <v>0</v>
      </c>
      <c r="CA162" s="2004">
        <v>0</v>
      </c>
      <c r="CB162" s="2004">
        <v>0</v>
      </c>
      <c r="CC162" s="2004">
        <v>100</v>
      </c>
      <c r="CD162" s="2004" t="s">
        <v>2337</v>
      </c>
      <c r="CE162" s="2004">
        <v>0</v>
      </c>
      <c r="CF162" s="2004">
        <v>0</v>
      </c>
      <c r="CG162" s="2004">
        <v>0</v>
      </c>
      <c r="CH162" s="2004">
        <v>0</v>
      </c>
      <c r="CI162" s="2004">
        <v>100</v>
      </c>
      <c r="CJ162" s="2004" t="s">
        <v>2337</v>
      </c>
      <c r="CK162" s="2004">
        <v>0</v>
      </c>
      <c r="CL162" s="2004">
        <v>0</v>
      </c>
      <c r="CM162" s="2004">
        <v>0</v>
      </c>
      <c r="CN162" s="2004">
        <v>0</v>
      </c>
      <c r="CP162" s="2004" t="s">
        <v>10236</v>
      </c>
    </row>
    <row r="163" spans="1:94">
      <c r="A163" s="2004" t="s">
        <v>10226</v>
      </c>
      <c r="B163" s="2004" t="s">
        <v>10237</v>
      </c>
      <c r="C163" s="2004" t="s">
        <v>9085</v>
      </c>
      <c r="D163" s="2004" t="s">
        <v>1628</v>
      </c>
      <c r="E163" s="2004" t="s">
        <v>9194</v>
      </c>
      <c r="F163" s="2004" t="s">
        <v>10228</v>
      </c>
      <c r="G163" s="2004" t="s">
        <v>8928</v>
      </c>
      <c r="H163" s="2004" t="s">
        <v>10238</v>
      </c>
      <c r="I163" s="2004" t="s">
        <v>10239</v>
      </c>
      <c r="J163" s="2004" t="s">
        <v>9199</v>
      </c>
      <c r="K163" s="2004" t="s">
        <v>9200</v>
      </c>
      <c r="L163" s="2004"/>
      <c r="M163" s="2004"/>
      <c r="N163" s="2004" t="s">
        <v>2951</v>
      </c>
      <c r="O163" s="2004" t="s">
        <v>9298</v>
      </c>
      <c r="P163" s="2004" t="s">
        <v>9696</v>
      </c>
      <c r="Q163" s="516">
        <v>2</v>
      </c>
      <c r="R163" s="2004" t="s">
        <v>9202</v>
      </c>
      <c r="S163" s="2004">
        <v>0.28999999999999998</v>
      </c>
      <c r="T163" s="2004">
        <v>0.26</v>
      </c>
      <c r="U163" s="2004">
        <v>0.23</v>
      </c>
      <c r="V163" s="2004">
        <v>0.2</v>
      </c>
      <c r="W163" s="2004">
        <v>0.2</v>
      </c>
      <c r="X163" s="2004">
        <v>0.2</v>
      </c>
      <c r="Y163" s="2004"/>
      <c r="Z163" s="2004"/>
      <c r="AA163" s="2004" t="s">
        <v>2337</v>
      </c>
      <c r="AB163" s="2004"/>
      <c r="AC163" s="2004"/>
      <c r="AD163" s="2004"/>
      <c r="AE163" s="2004" t="s">
        <v>2337</v>
      </c>
      <c r="AF163" s="2004"/>
      <c r="AG163" s="2004"/>
      <c r="AH163" s="2004">
        <v>0</v>
      </c>
      <c r="AI163" s="2004" t="s">
        <v>2337</v>
      </c>
      <c r="AJ163" s="2004" t="s">
        <v>2337</v>
      </c>
      <c r="AK163" s="2004" t="s">
        <v>2337</v>
      </c>
      <c r="AL163" s="2004" t="s">
        <v>2337</v>
      </c>
      <c r="AM163" s="2004" t="s">
        <v>2337</v>
      </c>
      <c r="AN163" s="2004">
        <v>0.46</v>
      </c>
      <c r="AO163" s="2004">
        <v>0.46</v>
      </c>
      <c r="AP163" s="2004">
        <v>0.37</v>
      </c>
      <c r="AQ163" s="2004">
        <v>0.37</v>
      </c>
      <c r="AR163" s="2004">
        <v>0.37</v>
      </c>
      <c r="AS163" s="2004">
        <v>0.28999999999999998</v>
      </c>
      <c r="AT163" s="2004">
        <v>0.28999999999999998</v>
      </c>
      <c r="AU163" s="2004">
        <v>0.2</v>
      </c>
      <c r="AV163" s="2004">
        <v>0.2</v>
      </c>
      <c r="AW163" s="2004">
        <v>0.2</v>
      </c>
      <c r="AX163" s="2004">
        <v>0.2</v>
      </c>
      <c r="AY163" s="2004">
        <v>0.2</v>
      </c>
      <c r="AZ163" s="2004">
        <v>0.2</v>
      </c>
      <c r="BA163" s="2004">
        <v>0.2</v>
      </c>
      <c r="BB163" s="2004">
        <v>0.2</v>
      </c>
      <c r="BC163" s="2004">
        <v>0</v>
      </c>
      <c r="BD163" s="2004">
        <v>0</v>
      </c>
      <c r="BE163" s="2004">
        <v>0</v>
      </c>
      <c r="BF163" s="2004">
        <v>0</v>
      </c>
      <c r="BG163" s="2004">
        <v>0</v>
      </c>
      <c r="BH163" s="2004">
        <v>2</v>
      </c>
      <c r="BI163" s="2004"/>
      <c r="BJ163" s="2004"/>
      <c r="BK163" s="2004"/>
      <c r="BL163" s="2004">
        <v>2</v>
      </c>
      <c r="BM163" s="2004"/>
      <c r="BN163" s="2004">
        <v>1</v>
      </c>
      <c r="BO163" s="2004" t="s">
        <v>9203</v>
      </c>
      <c r="BP163" s="516">
        <v>0.48</v>
      </c>
      <c r="BQ163" s="690">
        <v>0.1</v>
      </c>
      <c r="BR163" s="2004" t="s">
        <v>2337</v>
      </c>
      <c r="BS163" s="2004" t="s">
        <v>9204</v>
      </c>
      <c r="BT163" s="2004">
        <v>0</v>
      </c>
      <c r="BU163" s="2004" t="s">
        <v>2339</v>
      </c>
      <c r="BV163" s="2004">
        <v>0.2</v>
      </c>
      <c r="BW163" s="2004">
        <v>7.2999999999999995E-2</v>
      </c>
      <c r="BX163" s="2004" t="s">
        <v>2337</v>
      </c>
      <c r="BY163" s="2004">
        <v>0</v>
      </c>
      <c r="BZ163" s="2004">
        <v>0</v>
      </c>
      <c r="CA163" s="2004" t="s">
        <v>2339</v>
      </c>
      <c r="CB163" s="2004">
        <v>0.254</v>
      </c>
      <c r="CC163" s="2004">
        <v>0.05</v>
      </c>
      <c r="CD163" s="2004" t="s">
        <v>2337</v>
      </c>
      <c r="CE163" s="2004">
        <v>0</v>
      </c>
      <c r="CF163" s="2004">
        <v>0</v>
      </c>
      <c r="CG163" s="2004" t="s">
        <v>2339</v>
      </c>
      <c r="CH163" s="2004">
        <v>0.29239999999999999</v>
      </c>
      <c r="CI163" s="2004">
        <v>0.27</v>
      </c>
      <c r="CJ163" s="2004" t="s">
        <v>2334</v>
      </c>
      <c r="CK163" s="2004">
        <v>0</v>
      </c>
      <c r="CL163" s="2004">
        <v>0</v>
      </c>
      <c r="CM163" s="2004" t="s">
        <v>2336</v>
      </c>
      <c r="CN163" s="2004">
        <v>-0.13700000000000001</v>
      </c>
      <c r="CP163" s="2004" t="s">
        <v>10240</v>
      </c>
    </row>
    <row r="164" spans="1:94">
      <c r="A164" s="2004" t="s">
        <v>10226</v>
      </c>
      <c r="B164" s="2004" t="s">
        <v>10241</v>
      </c>
      <c r="C164" s="2004" t="s">
        <v>9085</v>
      </c>
      <c r="D164" s="2004" t="s">
        <v>1628</v>
      </c>
      <c r="E164" s="2004" t="s">
        <v>9194</v>
      </c>
      <c r="F164" s="2004" t="s">
        <v>10228</v>
      </c>
      <c r="G164" s="2004" t="s">
        <v>8931</v>
      </c>
      <c r="H164" s="2004" t="s">
        <v>10242</v>
      </c>
      <c r="I164" s="2004" t="s">
        <v>10243</v>
      </c>
      <c r="J164" s="2004" t="s">
        <v>9210</v>
      </c>
      <c r="K164" s="2004" t="s">
        <v>9200</v>
      </c>
      <c r="L164" s="2004"/>
      <c r="M164" s="2004"/>
      <c r="N164" s="2004" t="s">
        <v>9260</v>
      </c>
      <c r="O164" s="2004" t="s">
        <v>766</v>
      </c>
      <c r="P164" s="2004" t="s">
        <v>9261</v>
      </c>
      <c r="Q164" s="516">
        <v>0</v>
      </c>
      <c r="R164" s="2004" t="s">
        <v>9202</v>
      </c>
      <c r="S164" s="2004">
        <v>227</v>
      </c>
      <c r="T164" s="2004">
        <v>290</v>
      </c>
      <c r="U164" s="2004">
        <v>290</v>
      </c>
      <c r="V164" s="2004">
        <v>290</v>
      </c>
      <c r="W164" s="2004">
        <v>290</v>
      </c>
      <c r="X164" s="2004">
        <v>290</v>
      </c>
      <c r="Y164" s="2004"/>
      <c r="Z164" s="2004"/>
      <c r="AA164" s="2004"/>
      <c r="AB164" s="2004"/>
      <c r="AC164" s="2004"/>
      <c r="AD164" s="2004"/>
      <c r="AE164" s="2004" t="s">
        <v>2337</v>
      </c>
      <c r="AF164" s="2004"/>
      <c r="AG164" s="2004"/>
      <c r="AH164" s="2004">
        <v>0</v>
      </c>
      <c r="AI164" s="2004" t="s">
        <v>2337</v>
      </c>
      <c r="AJ164" s="2004" t="s">
        <v>2337</v>
      </c>
      <c r="AK164" s="2004" t="s">
        <v>2337</v>
      </c>
      <c r="AL164" s="2004" t="s">
        <v>2337</v>
      </c>
      <c r="AM164" s="2004" t="s">
        <v>2337</v>
      </c>
      <c r="AN164" s="2004">
        <v>470</v>
      </c>
      <c r="AO164" s="2004">
        <v>470</v>
      </c>
      <c r="AP164" s="2004">
        <v>470</v>
      </c>
      <c r="AQ164" s="2004">
        <v>470</v>
      </c>
      <c r="AR164" s="2004">
        <v>470</v>
      </c>
      <c r="AS164" s="2004">
        <v>345</v>
      </c>
      <c r="AT164" s="2004">
        <v>345</v>
      </c>
      <c r="AU164" s="2004">
        <v>345</v>
      </c>
      <c r="AV164" s="2004">
        <v>345</v>
      </c>
      <c r="AW164" s="2004">
        <v>345</v>
      </c>
      <c r="AX164" s="2004"/>
      <c r="AY164" s="2004"/>
      <c r="AZ164" s="2004"/>
      <c r="BA164" s="2004"/>
      <c r="BB164" s="2004"/>
      <c r="BC164" s="2004"/>
      <c r="BD164" s="2004"/>
      <c r="BE164" s="2004"/>
      <c r="BF164" s="2004"/>
      <c r="BG164" s="2004"/>
      <c r="BH164" s="2004">
        <v>3.0000000000000001E-3</v>
      </c>
      <c r="BI164" s="2004"/>
      <c r="BJ164" s="2004"/>
      <c r="BK164" s="2004"/>
      <c r="BL164" s="2004"/>
      <c r="BM164" s="2004"/>
      <c r="BN164" s="2004">
        <v>1</v>
      </c>
      <c r="BO164" s="2004" t="s">
        <v>9203</v>
      </c>
      <c r="BP164" s="516">
        <v>221</v>
      </c>
      <c r="BQ164" s="689">
        <v>212</v>
      </c>
      <c r="BR164" s="2004" t="s">
        <v>2337</v>
      </c>
      <c r="BS164" s="2004" t="s">
        <v>9204</v>
      </c>
      <c r="BT164" s="2004">
        <v>0</v>
      </c>
      <c r="BU164" s="2004" t="s">
        <v>9204</v>
      </c>
      <c r="BV164" s="2004">
        <v>0</v>
      </c>
      <c r="BW164" s="2004">
        <v>234</v>
      </c>
      <c r="BX164" s="2004" t="s">
        <v>2337</v>
      </c>
      <c r="BY164" s="2004">
        <v>0</v>
      </c>
      <c r="BZ164" s="2004">
        <v>0</v>
      </c>
      <c r="CA164" s="2004">
        <v>0</v>
      </c>
      <c r="CB164" s="2004">
        <v>0</v>
      </c>
      <c r="CC164" s="2004">
        <v>214</v>
      </c>
      <c r="CD164" s="2004" t="s">
        <v>2337</v>
      </c>
      <c r="CE164" s="2004">
        <v>0</v>
      </c>
      <c r="CF164" s="2004">
        <v>0</v>
      </c>
      <c r="CG164" s="2004">
        <v>0</v>
      </c>
      <c r="CH164" s="2004">
        <v>0</v>
      </c>
      <c r="CI164" s="2004">
        <v>255</v>
      </c>
      <c r="CJ164" s="2004" t="s">
        <v>2337</v>
      </c>
      <c r="CK164" s="2004">
        <v>0</v>
      </c>
      <c r="CL164" s="2004">
        <v>0</v>
      </c>
      <c r="CM164" s="2004">
        <v>0</v>
      </c>
      <c r="CN164" s="2004">
        <v>0</v>
      </c>
      <c r="CP164" s="2004" t="s">
        <v>10244</v>
      </c>
    </row>
    <row r="165" spans="1:94">
      <c r="A165" s="2004" t="s">
        <v>10226</v>
      </c>
      <c r="B165" s="2004" t="s">
        <v>10245</v>
      </c>
      <c r="C165" s="2004" t="s">
        <v>9085</v>
      </c>
      <c r="D165" s="2004" t="s">
        <v>1628</v>
      </c>
      <c r="E165" s="2004" t="s">
        <v>9194</v>
      </c>
      <c r="F165" s="2004" t="s">
        <v>10228</v>
      </c>
      <c r="G165" s="2004" t="s">
        <v>8934</v>
      </c>
      <c r="H165" s="2004" t="s">
        <v>10246</v>
      </c>
      <c r="I165" s="2004" t="s">
        <v>10247</v>
      </c>
      <c r="J165" s="2004" t="s">
        <v>9210</v>
      </c>
      <c r="K165" s="2004" t="s">
        <v>9200</v>
      </c>
      <c r="L165" s="2004"/>
      <c r="M165" s="2004"/>
      <c r="N165" s="2004" t="s">
        <v>9238</v>
      </c>
      <c r="O165" s="2004" t="s">
        <v>734</v>
      </c>
      <c r="P165" s="2004" t="s">
        <v>9239</v>
      </c>
      <c r="Q165" s="516">
        <v>2</v>
      </c>
      <c r="R165" s="2004" t="s">
        <v>9240</v>
      </c>
      <c r="S165" s="2004">
        <v>100</v>
      </c>
      <c r="T165" s="2004">
        <v>100</v>
      </c>
      <c r="U165" s="2004">
        <v>100</v>
      </c>
      <c r="V165" s="2004">
        <v>100</v>
      </c>
      <c r="W165" s="2004">
        <v>100</v>
      </c>
      <c r="X165" s="2004">
        <v>100</v>
      </c>
      <c r="Y165" s="2004" t="s">
        <v>2337</v>
      </c>
      <c r="Z165" s="2004"/>
      <c r="AA165" s="2004"/>
      <c r="AB165" s="2004"/>
      <c r="AC165" s="2004"/>
      <c r="AD165" s="2004"/>
      <c r="AE165" s="2004" t="s">
        <v>2337</v>
      </c>
      <c r="AF165" s="2004"/>
      <c r="AG165" s="2004"/>
      <c r="AH165" s="2004">
        <v>0</v>
      </c>
      <c r="AI165" s="2004" t="s">
        <v>2337</v>
      </c>
      <c r="AJ165" s="2004" t="s">
        <v>2337</v>
      </c>
      <c r="AK165" s="2004" t="s">
        <v>2337</v>
      </c>
      <c r="AL165" s="2004" t="s">
        <v>2337</v>
      </c>
      <c r="AM165" s="2004" t="s">
        <v>2337</v>
      </c>
      <c r="AN165" s="2004">
        <v>99.93</v>
      </c>
      <c r="AO165" s="2004">
        <v>99.93</v>
      </c>
      <c r="AP165" s="2004">
        <v>99.94</v>
      </c>
      <c r="AQ165" s="2004">
        <v>99.94</v>
      </c>
      <c r="AR165" s="2004">
        <v>99.94</v>
      </c>
      <c r="AS165" s="2004">
        <v>99.94</v>
      </c>
      <c r="AT165" s="2004">
        <v>99.94</v>
      </c>
      <c r="AU165" s="2004">
        <v>99.95</v>
      </c>
      <c r="AV165" s="2004">
        <v>99.95</v>
      </c>
      <c r="AW165" s="2004">
        <v>99.95</v>
      </c>
      <c r="AX165" s="2004"/>
      <c r="AY165" s="2004"/>
      <c r="AZ165" s="2004"/>
      <c r="BA165" s="2004"/>
      <c r="BB165" s="2004"/>
      <c r="BC165" s="2004"/>
      <c r="BD165" s="2004"/>
      <c r="BE165" s="2004"/>
      <c r="BF165" s="2004"/>
      <c r="BG165" s="2004"/>
      <c r="BH165" s="2004">
        <v>0.14000000000000001</v>
      </c>
      <c r="BI165" s="2004"/>
      <c r="BJ165" s="2004"/>
      <c r="BK165" s="2004"/>
      <c r="BL165" s="2004"/>
      <c r="BM165" s="2004"/>
      <c r="BN165" s="2004">
        <v>100</v>
      </c>
      <c r="BO165" s="2004" t="s">
        <v>9574</v>
      </c>
      <c r="BP165" s="516">
        <v>99.98</v>
      </c>
      <c r="BQ165" s="690">
        <v>99.95</v>
      </c>
      <c r="BR165" s="2004" t="s">
        <v>2334</v>
      </c>
      <c r="BS165" s="2004" t="s">
        <v>9204</v>
      </c>
      <c r="BT165" s="2004">
        <v>0</v>
      </c>
      <c r="BU165" s="2004" t="s">
        <v>9120</v>
      </c>
      <c r="BV165" s="2004">
        <v>0</v>
      </c>
      <c r="BW165" s="2004">
        <v>99.98</v>
      </c>
      <c r="BX165" s="2004" t="s">
        <v>2334</v>
      </c>
      <c r="BY165" s="2004">
        <v>0</v>
      </c>
      <c r="BZ165" s="2004">
        <v>0</v>
      </c>
      <c r="CA165" s="2004" t="s">
        <v>9120</v>
      </c>
      <c r="CB165" s="2004">
        <v>0</v>
      </c>
      <c r="CC165" s="2004">
        <v>99.98</v>
      </c>
      <c r="CD165" s="2004" t="s">
        <v>2334</v>
      </c>
      <c r="CE165" s="2004">
        <v>0</v>
      </c>
      <c r="CF165" s="2004">
        <v>0</v>
      </c>
      <c r="CG165" s="2004" t="s">
        <v>2340</v>
      </c>
      <c r="CH165" s="2004">
        <v>0</v>
      </c>
      <c r="CI165" s="2004">
        <v>99.97</v>
      </c>
      <c r="CJ165" s="2004" t="s">
        <v>2334</v>
      </c>
      <c r="CK165" s="2004">
        <v>0</v>
      </c>
      <c r="CL165" s="2004">
        <v>0</v>
      </c>
      <c r="CM165" s="2004" t="s">
        <v>2340</v>
      </c>
      <c r="CN165" s="2004">
        <v>0</v>
      </c>
      <c r="CP165" s="2004" t="s">
        <v>10248</v>
      </c>
    </row>
    <row r="166" spans="1:94">
      <c r="A166" s="2004" t="s">
        <v>10226</v>
      </c>
      <c r="B166" s="2004" t="s">
        <v>10249</v>
      </c>
      <c r="C166" s="2004" t="s">
        <v>9085</v>
      </c>
      <c r="D166" s="2004" t="s">
        <v>1628</v>
      </c>
      <c r="E166" s="2004" t="s">
        <v>9194</v>
      </c>
      <c r="F166" s="2004" t="s">
        <v>10228</v>
      </c>
      <c r="G166" s="2004" t="s">
        <v>8937</v>
      </c>
      <c r="H166" s="2004" t="s">
        <v>10250</v>
      </c>
      <c r="I166" s="2004" t="s">
        <v>10251</v>
      </c>
      <c r="J166" s="2004" t="s">
        <v>9199</v>
      </c>
      <c r="K166" s="2004" t="s">
        <v>9200</v>
      </c>
      <c r="L166" s="2004"/>
      <c r="M166" s="2004"/>
      <c r="N166" s="2004" t="s">
        <v>9154</v>
      </c>
      <c r="O166" s="2004" t="s">
        <v>766</v>
      </c>
      <c r="P166" s="2004" t="s">
        <v>9580</v>
      </c>
      <c r="Q166" s="516">
        <v>0</v>
      </c>
      <c r="R166" s="2004" t="s">
        <v>9202</v>
      </c>
      <c r="S166" s="2004">
        <v>350</v>
      </c>
      <c r="T166" s="2004">
        <v>350</v>
      </c>
      <c r="U166" s="2004">
        <v>350</v>
      </c>
      <c r="V166" s="2004">
        <v>350</v>
      </c>
      <c r="W166" s="2004">
        <v>350</v>
      </c>
      <c r="X166" s="2004">
        <v>350</v>
      </c>
      <c r="Y166" s="2004"/>
      <c r="Z166" s="2004" t="s">
        <v>2337</v>
      </c>
      <c r="AA166" s="2004"/>
      <c r="AB166" s="2004"/>
      <c r="AC166" s="2004"/>
      <c r="AD166" s="2004"/>
      <c r="AE166" s="2004" t="s">
        <v>2337</v>
      </c>
      <c r="AF166" s="2004"/>
      <c r="AG166" s="2004"/>
      <c r="AH166" s="2004">
        <v>0</v>
      </c>
      <c r="AI166" s="2004" t="s">
        <v>2337</v>
      </c>
      <c r="AJ166" s="2004" t="s">
        <v>2337</v>
      </c>
      <c r="AK166" s="2004" t="s">
        <v>2337</v>
      </c>
      <c r="AL166" s="2004" t="s">
        <v>2337</v>
      </c>
      <c r="AM166" s="2004" t="s">
        <v>2337</v>
      </c>
      <c r="AN166" s="2004">
        <v>500</v>
      </c>
      <c r="AO166" s="2004">
        <v>500</v>
      </c>
      <c r="AP166" s="2004">
        <v>500</v>
      </c>
      <c r="AQ166" s="2004">
        <v>500</v>
      </c>
      <c r="AR166" s="2004">
        <v>500</v>
      </c>
      <c r="AS166" s="2004">
        <v>375</v>
      </c>
      <c r="AT166" s="2004">
        <v>375</v>
      </c>
      <c r="AU166" s="2004">
        <v>375</v>
      </c>
      <c r="AV166" s="2004">
        <v>375</v>
      </c>
      <c r="AW166" s="2004">
        <v>375</v>
      </c>
      <c r="AX166" s="2004">
        <v>325</v>
      </c>
      <c r="AY166" s="2004">
        <v>325</v>
      </c>
      <c r="AZ166" s="2004">
        <v>325</v>
      </c>
      <c r="BA166" s="2004">
        <v>325</v>
      </c>
      <c r="BB166" s="2004">
        <v>325</v>
      </c>
      <c r="BC166" s="2004">
        <v>200</v>
      </c>
      <c r="BD166" s="2004">
        <v>200</v>
      </c>
      <c r="BE166" s="2004">
        <v>200</v>
      </c>
      <c r="BF166" s="2004">
        <v>200</v>
      </c>
      <c r="BG166" s="2004">
        <v>200</v>
      </c>
      <c r="BH166" s="2004">
        <v>1E-3</v>
      </c>
      <c r="BI166" s="2004"/>
      <c r="BJ166" s="2004"/>
      <c r="BK166" s="2004"/>
      <c r="BL166" s="2004">
        <v>4.95E-4</v>
      </c>
      <c r="BM166" s="2004"/>
      <c r="BN166" s="2004">
        <v>1</v>
      </c>
      <c r="BO166" s="2004" t="s">
        <v>9203</v>
      </c>
      <c r="BP166" s="516">
        <v>540</v>
      </c>
      <c r="BQ166" s="689">
        <v>419</v>
      </c>
      <c r="BR166" s="2004" t="s">
        <v>2334</v>
      </c>
      <c r="BS166" s="2004" t="s">
        <v>9204</v>
      </c>
      <c r="BT166" s="2004">
        <v>0</v>
      </c>
      <c r="BU166" s="2004" t="s">
        <v>9254</v>
      </c>
      <c r="BV166" s="2004">
        <v>-4.3999999999999997E-2</v>
      </c>
      <c r="BW166" s="2004">
        <v>375</v>
      </c>
      <c r="BX166" s="2004" t="s">
        <v>2334</v>
      </c>
      <c r="BY166" s="2004">
        <v>0</v>
      </c>
      <c r="BZ166" s="2004">
        <v>0</v>
      </c>
      <c r="CA166" s="2004" t="s">
        <v>9120</v>
      </c>
      <c r="CB166" s="2004">
        <v>0</v>
      </c>
      <c r="CC166" s="2004">
        <v>365</v>
      </c>
      <c r="CD166" s="2004" t="s">
        <v>2334</v>
      </c>
      <c r="CE166" s="2004">
        <v>0</v>
      </c>
      <c r="CF166" s="2004">
        <v>0</v>
      </c>
      <c r="CG166" s="2004" t="s">
        <v>2340</v>
      </c>
      <c r="CH166" s="2004">
        <v>0</v>
      </c>
      <c r="CI166" s="2004">
        <v>388</v>
      </c>
      <c r="CJ166" s="2004" t="s">
        <v>2334</v>
      </c>
      <c r="CK166" s="2004">
        <v>0</v>
      </c>
      <c r="CL166" s="2004">
        <v>0</v>
      </c>
      <c r="CM166" s="2004" t="s">
        <v>2336</v>
      </c>
      <c r="CN166" s="2004">
        <v>-1.2999999999999999E-2</v>
      </c>
      <c r="CP166" s="2004" t="s">
        <v>10252</v>
      </c>
    </row>
    <row r="167" spans="1:94">
      <c r="A167" s="2004" t="s">
        <v>10226</v>
      </c>
      <c r="B167" s="2004" t="s">
        <v>10253</v>
      </c>
      <c r="C167" s="2004" t="s">
        <v>9085</v>
      </c>
      <c r="D167" s="2004" t="s">
        <v>1628</v>
      </c>
      <c r="E167" s="2004" t="s">
        <v>9194</v>
      </c>
      <c r="F167" s="2004" t="s">
        <v>10228</v>
      </c>
      <c r="G167" s="2004" t="s">
        <v>10254</v>
      </c>
      <c r="H167" s="2004" t="s">
        <v>10255</v>
      </c>
      <c r="I167" s="2004" t="s">
        <v>10256</v>
      </c>
      <c r="J167" s="2004" t="s">
        <v>9210</v>
      </c>
      <c r="K167" s="2004" t="s">
        <v>9200</v>
      </c>
      <c r="L167" s="2004"/>
      <c r="M167" s="2004" t="s">
        <v>2334</v>
      </c>
      <c r="N167" s="2004" t="s">
        <v>9238</v>
      </c>
      <c r="O167" s="2004" t="s">
        <v>9487</v>
      </c>
      <c r="P167" s="2004" t="s">
        <v>10257</v>
      </c>
      <c r="Q167" s="516" t="s">
        <v>9203</v>
      </c>
      <c r="R167" s="2004"/>
      <c r="S167" s="2004" t="s">
        <v>9978</v>
      </c>
      <c r="T167" s="2004" t="s">
        <v>9978</v>
      </c>
      <c r="U167" s="2004" t="s">
        <v>9978</v>
      </c>
      <c r="V167" s="2004" t="s">
        <v>9978</v>
      </c>
      <c r="W167" s="2004" t="s">
        <v>9978</v>
      </c>
      <c r="X167" s="2004" t="s">
        <v>9978</v>
      </c>
      <c r="Y167" s="2004"/>
      <c r="Z167" s="2004"/>
      <c r="AA167" s="2004"/>
      <c r="AB167" s="2004"/>
      <c r="AC167" s="2004"/>
      <c r="AD167" s="2004" t="s">
        <v>2337</v>
      </c>
      <c r="AE167" s="2004" t="s">
        <v>2337</v>
      </c>
      <c r="AF167" s="2004"/>
      <c r="AG167" s="2004"/>
      <c r="AH167" s="2004">
        <v>0</v>
      </c>
      <c r="AI167" s="2004" t="s">
        <v>2337</v>
      </c>
      <c r="AJ167" s="2004" t="s">
        <v>2337</v>
      </c>
      <c r="AK167" s="2004" t="s">
        <v>2337</v>
      </c>
      <c r="AL167" s="2004" t="s">
        <v>2337</v>
      </c>
      <c r="AM167" s="2004" t="s">
        <v>2337</v>
      </c>
      <c r="AN167" s="2004"/>
      <c r="AO167" s="2004"/>
      <c r="AP167" s="2004"/>
      <c r="AQ167" s="2004"/>
      <c r="AR167" s="2004"/>
      <c r="AS167" s="2004" t="s">
        <v>9977</v>
      </c>
      <c r="AT167" s="2004" t="s">
        <v>9977</v>
      </c>
      <c r="AU167" s="2004" t="s">
        <v>9977</v>
      </c>
      <c r="AV167" s="2004" t="s">
        <v>9977</v>
      </c>
      <c r="AW167" s="2004" t="s">
        <v>9977</v>
      </c>
      <c r="AX167" s="2004"/>
      <c r="AY167" s="2004"/>
      <c r="AZ167" s="2004"/>
      <c r="BA167" s="2004"/>
      <c r="BB167" s="2004"/>
      <c r="BC167" s="2004"/>
      <c r="BD167" s="2004"/>
      <c r="BE167" s="2004"/>
      <c r="BF167" s="2004"/>
      <c r="BG167" s="2004"/>
      <c r="BH167" s="2004">
        <v>3</v>
      </c>
      <c r="BI167" s="2004"/>
      <c r="BJ167" s="2004"/>
      <c r="BK167" s="2004"/>
      <c r="BL167" s="2004"/>
      <c r="BM167" s="2004"/>
      <c r="BN167" s="2004">
        <v>1</v>
      </c>
      <c r="BO167" s="2004" t="s">
        <v>9203</v>
      </c>
      <c r="BP167" s="516" t="s">
        <v>9092</v>
      </c>
      <c r="BQ167" s="688" t="s">
        <v>9979</v>
      </c>
      <c r="BR167" s="2004" t="s">
        <v>2337</v>
      </c>
      <c r="BS167" s="2004" t="s">
        <v>9204</v>
      </c>
      <c r="BT167" s="2004">
        <v>0</v>
      </c>
      <c r="BU167" s="2004" t="s">
        <v>9204</v>
      </c>
      <c r="BV167" s="2004">
        <v>0</v>
      </c>
      <c r="BW167" s="2004" t="s">
        <v>9979</v>
      </c>
      <c r="BX167" s="2004" t="s">
        <v>2337</v>
      </c>
      <c r="BY167" s="2004">
        <v>0</v>
      </c>
      <c r="BZ167" s="2004">
        <v>0</v>
      </c>
      <c r="CA167" s="2004">
        <v>0</v>
      </c>
      <c r="CB167" s="2004">
        <v>0</v>
      </c>
      <c r="CC167" s="2004" t="s">
        <v>9979</v>
      </c>
      <c r="CD167" s="2004" t="s">
        <v>2337</v>
      </c>
      <c r="CE167" s="2004">
        <v>0</v>
      </c>
      <c r="CF167" s="2004">
        <v>0</v>
      </c>
      <c r="CG167" s="2004">
        <v>0</v>
      </c>
      <c r="CH167" s="2004">
        <v>0</v>
      </c>
      <c r="CI167" s="2004" t="s">
        <v>9979</v>
      </c>
      <c r="CJ167" s="2004" t="s">
        <v>2337</v>
      </c>
      <c r="CK167" s="2004">
        <v>0</v>
      </c>
      <c r="CL167" s="2004">
        <v>0</v>
      </c>
      <c r="CM167" s="2004">
        <v>0</v>
      </c>
      <c r="CN167" s="2004">
        <v>0</v>
      </c>
      <c r="CP167" s="2004" t="s">
        <v>10258</v>
      </c>
    </row>
    <row r="168" spans="1:94">
      <c r="A168" s="2004" t="s">
        <v>10226</v>
      </c>
      <c r="B168" s="2004" t="s">
        <v>10259</v>
      </c>
      <c r="C168" s="2004" t="s">
        <v>9085</v>
      </c>
      <c r="D168" s="2004" t="s">
        <v>1628</v>
      </c>
      <c r="E168" s="2004" t="s">
        <v>9194</v>
      </c>
      <c r="F168" s="2004" t="s">
        <v>10260</v>
      </c>
      <c r="G168" s="2004" t="s">
        <v>8948</v>
      </c>
      <c r="H168" s="2004" t="s">
        <v>10261</v>
      </c>
      <c r="I168" s="2004" t="s">
        <v>10262</v>
      </c>
      <c r="J168" s="2004" t="s">
        <v>9230</v>
      </c>
      <c r="K168" s="2004"/>
      <c r="L168" s="2004"/>
      <c r="M168" s="2004"/>
      <c r="N168" s="2004" t="s">
        <v>9326</v>
      </c>
      <c r="O168" s="2004" t="s">
        <v>766</v>
      </c>
      <c r="P168" s="2004" t="s">
        <v>10263</v>
      </c>
      <c r="Q168" s="516">
        <v>0</v>
      </c>
      <c r="R168" s="2004" t="s">
        <v>9202</v>
      </c>
      <c r="S168" s="2004">
        <v>1</v>
      </c>
      <c r="T168" s="2004">
        <v>1</v>
      </c>
      <c r="U168" s="2004">
        <v>1</v>
      </c>
      <c r="V168" s="2004">
        <v>1</v>
      </c>
      <c r="W168" s="2004">
        <v>1</v>
      </c>
      <c r="X168" s="2004">
        <v>1</v>
      </c>
      <c r="Y168" s="2004"/>
      <c r="Z168" s="2004"/>
      <c r="AA168" s="2004"/>
      <c r="AB168" s="2004"/>
      <c r="AC168" s="2004"/>
      <c r="AD168" s="2004"/>
      <c r="AE168" s="2004"/>
      <c r="AF168" s="2004"/>
      <c r="AG168" s="2004"/>
      <c r="AH168" s="2004">
        <v>0</v>
      </c>
      <c r="AI168" s="2004"/>
      <c r="AJ168" s="2004"/>
      <c r="AK168" s="2004"/>
      <c r="AL168" s="2004"/>
      <c r="AM168" s="2004"/>
      <c r="AN168" s="2004"/>
      <c r="AO168" s="2004"/>
      <c r="AP168" s="2004"/>
      <c r="AQ168" s="2004"/>
      <c r="AR168" s="2004"/>
      <c r="AS168" s="2004"/>
      <c r="AT168" s="2004"/>
      <c r="AU168" s="2004"/>
      <c r="AV168" s="2004"/>
      <c r="AW168" s="2004"/>
      <c r="AX168" s="2004"/>
      <c r="AY168" s="2004"/>
      <c r="AZ168" s="2004"/>
      <c r="BA168" s="2004"/>
      <c r="BB168" s="2004"/>
      <c r="BC168" s="2004"/>
      <c r="BD168" s="2004"/>
      <c r="BE168" s="2004"/>
      <c r="BF168" s="2004"/>
      <c r="BG168" s="2004"/>
      <c r="BH168" s="2004"/>
      <c r="BI168" s="2004"/>
      <c r="BJ168" s="2004"/>
      <c r="BK168" s="2004"/>
      <c r="BL168" s="2004"/>
      <c r="BM168" s="2004"/>
      <c r="BN168" s="2004"/>
      <c r="BO168" s="2004"/>
      <c r="BP168" s="516">
        <v>0</v>
      </c>
      <c r="BQ168" s="689">
        <v>0</v>
      </c>
      <c r="BR168" s="2004" t="s">
        <v>2337</v>
      </c>
      <c r="BS168" s="2004" t="s">
        <v>9204</v>
      </c>
      <c r="BT168" s="2004">
        <v>0</v>
      </c>
      <c r="BU168" s="2004" t="s">
        <v>9204</v>
      </c>
      <c r="BV168" s="2004">
        <v>0</v>
      </c>
      <c r="BW168" s="2004">
        <v>0</v>
      </c>
      <c r="BX168" s="2004" t="s">
        <v>2337</v>
      </c>
      <c r="BY168" s="2004">
        <v>0</v>
      </c>
      <c r="BZ168" s="2004">
        <v>0</v>
      </c>
      <c r="CA168" s="2004">
        <v>0</v>
      </c>
      <c r="CB168" s="2004">
        <v>0</v>
      </c>
      <c r="CC168" s="2004">
        <v>0</v>
      </c>
      <c r="CD168" s="2004" t="s">
        <v>2337</v>
      </c>
      <c r="CE168" s="2004">
        <v>0</v>
      </c>
      <c r="CF168" s="2004">
        <v>0</v>
      </c>
      <c r="CG168" s="2004">
        <v>0</v>
      </c>
      <c r="CH168" s="2004">
        <v>0</v>
      </c>
      <c r="CI168" s="2004">
        <v>0</v>
      </c>
      <c r="CJ168" s="2004" t="s">
        <v>2337</v>
      </c>
      <c r="CK168" s="2004">
        <v>0</v>
      </c>
      <c r="CL168" s="2004">
        <v>0</v>
      </c>
      <c r="CM168" s="2004">
        <v>0</v>
      </c>
      <c r="CN168" s="2004">
        <v>0</v>
      </c>
      <c r="CP168" s="2004" t="s">
        <v>10264</v>
      </c>
    </row>
    <row r="169" spans="1:94">
      <c r="A169" s="2004" t="s">
        <v>10226</v>
      </c>
      <c r="B169" s="2004" t="s">
        <v>10265</v>
      </c>
      <c r="C169" s="2004" t="s">
        <v>9085</v>
      </c>
      <c r="D169" s="2004" t="s">
        <v>1628</v>
      </c>
      <c r="E169" s="2004" t="s">
        <v>9194</v>
      </c>
      <c r="F169" s="2004" t="s">
        <v>10260</v>
      </c>
      <c r="G169" s="2004" t="s">
        <v>8951</v>
      </c>
      <c r="H169" s="2004" t="s">
        <v>10266</v>
      </c>
      <c r="I169" s="2004" t="s">
        <v>10267</v>
      </c>
      <c r="J169" s="2004" t="s">
        <v>9199</v>
      </c>
      <c r="K169" s="2004" t="s">
        <v>9200</v>
      </c>
      <c r="L169" s="2004"/>
      <c r="M169" s="2004"/>
      <c r="N169" s="2004" t="s">
        <v>5533</v>
      </c>
      <c r="O169" s="2004" t="s">
        <v>734</v>
      </c>
      <c r="P169" s="2004" t="s">
        <v>10268</v>
      </c>
      <c r="Q169" s="516">
        <v>0</v>
      </c>
      <c r="R169" s="2004" t="s">
        <v>9240</v>
      </c>
      <c r="S169" s="2004">
        <v>36</v>
      </c>
      <c r="T169" s="2004">
        <v>36</v>
      </c>
      <c r="U169" s="2004">
        <v>36</v>
      </c>
      <c r="V169" s="2004">
        <v>36</v>
      </c>
      <c r="W169" s="2004">
        <v>56</v>
      </c>
      <c r="X169" s="2004">
        <v>56</v>
      </c>
      <c r="Y169" s="2004"/>
      <c r="Z169" s="2004"/>
      <c r="AA169" s="2004"/>
      <c r="AB169" s="2004"/>
      <c r="AC169" s="2004"/>
      <c r="AD169" s="2004"/>
      <c r="AE169" s="2004" t="s">
        <v>2337</v>
      </c>
      <c r="AF169" s="2004"/>
      <c r="AG169" s="2004"/>
      <c r="AH169" s="2004">
        <v>0</v>
      </c>
      <c r="AI169" s="2004"/>
      <c r="AJ169" s="2004"/>
      <c r="AK169" s="2004"/>
      <c r="AL169" s="2004" t="s">
        <v>2337</v>
      </c>
      <c r="AM169" s="2004" t="s">
        <v>2337</v>
      </c>
      <c r="AN169" s="2004"/>
      <c r="AO169" s="2004"/>
      <c r="AP169" s="2004"/>
      <c r="AQ169" s="2004">
        <v>51</v>
      </c>
      <c r="AR169" s="2004">
        <v>51</v>
      </c>
      <c r="AS169" s="2004"/>
      <c r="AT169" s="2004"/>
      <c r="AU169" s="2004"/>
      <c r="AV169" s="2004">
        <v>56</v>
      </c>
      <c r="AW169" s="2004">
        <v>56</v>
      </c>
      <c r="AX169" s="2004"/>
      <c r="AY169" s="2004"/>
      <c r="AZ169" s="2004"/>
      <c r="BA169" s="2004">
        <v>56</v>
      </c>
      <c r="BB169" s="2004">
        <v>56</v>
      </c>
      <c r="BC169" s="2004"/>
      <c r="BD169" s="2004"/>
      <c r="BE169" s="2004"/>
      <c r="BF169" s="2004">
        <v>66</v>
      </c>
      <c r="BG169" s="2004">
        <v>66</v>
      </c>
      <c r="BH169" s="2004">
        <v>1.485E-2</v>
      </c>
      <c r="BI169" s="2004"/>
      <c r="BJ169" s="2004"/>
      <c r="BK169" s="2004"/>
      <c r="BL169" s="2004">
        <v>5.1999999999999998E-3</v>
      </c>
      <c r="BM169" s="2004"/>
      <c r="BN169" s="2004">
        <v>1</v>
      </c>
      <c r="BO169" s="2004" t="s">
        <v>9203</v>
      </c>
      <c r="BP169" s="516">
        <v>36</v>
      </c>
      <c r="BQ169" s="689">
        <v>36</v>
      </c>
      <c r="BR169" s="2004" t="s">
        <v>2337</v>
      </c>
      <c r="BS169" s="2004" t="s">
        <v>9204</v>
      </c>
      <c r="BT169" s="2004">
        <v>0</v>
      </c>
      <c r="BU169" s="2004" t="s">
        <v>9204</v>
      </c>
      <c r="BV169" s="2004">
        <v>0</v>
      </c>
      <c r="BW169" s="2004">
        <v>36</v>
      </c>
      <c r="BX169" s="2004" t="s">
        <v>2337</v>
      </c>
      <c r="BY169" s="2004">
        <v>0</v>
      </c>
      <c r="BZ169" s="2004">
        <v>0</v>
      </c>
      <c r="CA169" s="2004">
        <v>0</v>
      </c>
      <c r="CB169" s="2004">
        <v>0</v>
      </c>
      <c r="CC169" s="2004">
        <v>36</v>
      </c>
      <c r="CD169" s="2004" t="s">
        <v>2337</v>
      </c>
      <c r="CE169" s="2004">
        <v>0</v>
      </c>
      <c r="CF169" s="2004">
        <v>0</v>
      </c>
      <c r="CG169" s="2004">
        <v>0</v>
      </c>
      <c r="CH169" s="2004">
        <v>0</v>
      </c>
      <c r="CI169" s="2004">
        <v>56</v>
      </c>
      <c r="CJ169" s="2004" t="s">
        <v>2337</v>
      </c>
      <c r="CK169" s="2004">
        <v>0</v>
      </c>
      <c r="CL169" s="2004">
        <v>0</v>
      </c>
      <c r="CM169" s="2004">
        <v>0</v>
      </c>
      <c r="CN169" s="2004">
        <v>0</v>
      </c>
      <c r="CP169" s="2004" t="s">
        <v>10269</v>
      </c>
    </row>
    <row r="170" spans="1:94">
      <c r="A170" s="2004" t="s">
        <v>10226</v>
      </c>
      <c r="B170" s="2004" t="s">
        <v>10270</v>
      </c>
      <c r="C170" s="2004" t="s">
        <v>9085</v>
      </c>
      <c r="D170" s="2004" t="s">
        <v>1628</v>
      </c>
      <c r="E170" s="2004" t="s">
        <v>9194</v>
      </c>
      <c r="F170" s="2004" t="s">
        <v>10271</v>
      </c>
      <c r="G170" s="2004" t="s">
        <v>8971</v>
      </c>
      <c r="H170" s="2004" t="s">
        <v>10272</v>
      </c>
      <c r="I170" s="2004" t="s">
        <v>10273</v>
      </c>
      <c r="J170" s="2004" t="s">
        <v>9199</v>
      </c>
      <c r="K170" s="2004" t="s">
        <v>9200</v>
      </c>
      <c r="L170" s="2004"/>
      <c r="M170" s="2004"/>
      <c r="N170" s="2004" t="s">
        <v>2927</v>
      </c>
      <c r="O170" s="2004" t="s">
        <v>766</v>
      </c>
      <c r="P170" s="2004" t="s">
        <v>9201</v>
      </c>
      <c r="Q170" s="516">
        <v>2</v>
      </c>
      <c r="R170" s="2004" t="s">
        <v>9202</v>
      </c>
      <c r="S170" s="2004">
        <v>24.5</v>
      </c>
      <c r="T170" s="2004">
        <v>24.4</v>
      </c>
      <c r="U170" s="2004">
        <v>24.3</v>
      </c>
      <c r="V170" s="2004">
        <v>24.2</v>
      </c>
      <c r="W170" s="2004">
        <v>24.1</v>
      </c>
      <c r="X170" s="2004">
        <v>24</v>
      </c>
      <c r="Y170" s="2004"/>
      <c r="Z170" s="2004"/>
      <c r="AA170" s="2004"/>
      <c r="AB170" s="2004"/>
      <c r="AC170" s="2004"/>
      <c r="AD170" s="2004"/>
      <c r="AE170" s="2004" t="s">
        <v>2337</v>
      </c>
      <c r="AF170" s="2004"/>
      <c r="AG170" s="2004"/>
      <c r="AH170" s="2004">
        <v>0</v>
      </c>
      <c r="AI170" s="2004" t="s">
        <v>2337</v>
      </c>
      <c r="AJ170" s="2004" t="s">
        <v>2337</v>
      </c>
      <c r="AK170" s="2004" t="s">
        <v>2337</v>
      </c>
      <c r="AL170" s="2004" t="s">
        <v>2337</v>
      </c>
      <c r="AM170" s="2004" t="s">
        <v>2337</v>
      </c>
      <c r="AN170" s="2004">
        <v>27</v>
      </c>
      <c r="AO170" s="2004">
        <v>27</v>
      </c>
      <c r="AP170" s="2004">
        <v>27</v>
      </c>
      <c r="AQ170" s="2004">
        <v>27</v>
      </c>
      <c r="AR170" s="2004">
        <v>27</v>
      </c>
      <c r="AS170" s="2004">
        <v>24.9</v>
      </c>
      <c r="AT170" s="2004">
        <v>24.8</v>
      </c>
      <c r="AU170" s="2004">
        <v>24.7</v>
      </c>
      <c r="AV170" s="2004">
        <v>24.6</v>
      </c>
      <c r="AW170" s="2004">
        <v>24.5</v>
      </c>
      <c r="AX170" s="2004">
        <v>23.9</v>
      </c>
      <c r="AY170" s="2004">
        <v>23.8</v>
      </c>
      <c r="AZ170" s="2004">
        <v>23.7</v>
      </c>
      <c r="BA170" s="2004">
        <v>23.6</v>
      </c>
      <c r="BB170" s="2004">
        <v>23.5</v>
      </c>
      <c r="BC170" s="2004">
        <v>23.4</v>
      </c>
      <c r="BD170" s="2004">
        <v>23.3</v>
      </c>
      <c r="BE170" s="2004">
        <v>23.2</v>
      </c>
      <c r="BF170" s="2004">
        <v>23.1</v>
      </c>
      <c r="BG170" s="2004">
        <v>23</v>
      </c>
      <c r="BH170" s="2004">
        <v>0.2</v>
      </c>
      <c r="BI170" s="2004"/>
      <c r="BJ170" s="2004"/>
      <c r="BK170" s="2004"/>
      <c r="BL170" s="2004">
        <v>5.9400000000000001E-2</v>
      </c>
      <c r="BM170" s="2004"/>
      <c r="BN170" s="2004">
        <v>1</v>
      </c>
      <c r="BO170" s="2004" t="s">
        <v>9203</v>
      </c>
      <c r="BP170" s="516">
        <v>24.2</v>
      </c>
      <c r="BQ170" s="686">
        <v>24.17</v>
      </c>
      <c r="BR170" s="2004" t="s">
        <v>2337</v>
      </c>
      <c r="BS170" s="2004" t="s">
        <v>9204</v>
      </c>
      <c r="BT170" s="2004">
        <v>0</v>
      </c>
      <c r="BU170" s="2004" t="s">
        <v>9074</v>
      </c>
      <c r="BV170" s="2004">
        <v>0</v>
      </c>
      <c r="BW170" s="2004">
        <v>24.34</v>
      </c>
      <c r="BX170" s="2004" t="s">
        <v>2334</v>
      </c>
      <c r="BY170" s="2004">
        <v>0</v>
      </c>
      <c r="BZ170" s="2004">
        <v>0</v>
      </c>
      <c r="CA170" s="2004" t="s">
        <v>9120</v>
      </c>
      <c r="CB170" s="2004">
        <v>0</v>
      </c>
      <c r="CC170" s="2004">
        <v>24.2</v>
      </c>
      <c r="CD170" s="2004" t="s">
        <v>2337</v>
      </c>
      <c r="CE170" s="2004">
        <v>0</v>
      </c>
      <c r="CF170" s="2004">
        <v>0</v>
      </c>
      <c r="CG170" s="2004" t="s">
        <v>9074</v>
      </c>
      <c r="CH170" s="2004">
        <v>0</v>
      </c>
      <c r="CI170" s="2004">
        <v>24.1</v>
      </c>
      <c r="CJ170" s="2004" t="s">
        <v>2337</v>
      </c>
      <c r="CK170" s="2004">
        <v>0</v>
      </c>
      <c r="CL170" s="2004">
        <v>0</v>
      </c>
      <c r="CM170" s="2004">
        <v>0</v>
      </c>
      <c r="CN170" s="2004">
        <v>0</v>
      </c>
      <c r="CP170" s="2004" t="s">
        <v>10274</v>
      </c>
    </row>
    <row r="171" spans="1:94">
      <c r="A171" s="2004" t="s">
        <v>10226</v>
      </c>
      <c r="B171" s="2004" t="s">
        <v>10275</v>
      </c>
      <c r="C171" s="2004" t="s">
        <v>9085</v>
      </c>
      <c r="D171" s="2004" t="s">
        <v>1628</v>
      </c>
      <c r="E171" s="2004" t="s">
        <v>9194</v>
      </c>
      <c r="F171" s="2004" t="s">
        <v>10271</v>
      </c>
      <c r="G171" s="2004" t="s">
        <v>8974</v>
      </c>
      <c r="H171" s="2004" t="s">
        <v>10276</v>
      </c>
      <c r="I171" s="2004" t="s">
        <v>10277</v>
      </c>
      <c r="J171" s="2004" t="s">
        <v>9210</v>
      </c>
      <c r="K171" s="2004" t="s">
        <v>9200</v>
      </c>
      <c r="L171" s="2004"/>
      <c r="M171" s="2004"/>
      <c r="N171" s="2004" t="s">
        <v>9211</v>
      </c>
      <c r="O171" s="2004" t="s">
        <v>766</v>
      </c>
      <c r="P171" s="2004" t="s">
        <v>9628</v>
      </c>
      <c r="Q171" s="516">
        <v>1</v>
      </c>
      <c r="R171" s="2004" t="s">
        <v>9202</v>
      </c>
      <c r="S171" s="2004">
        <v>162.80000000000001</v>
      </c>
      <c r="T171" s="2004">
        <v>161.19999999999999</v>
      </c>
      <c r="U171" s="2004">
        <v>160</v>
      </c>
      <c r="V171" s="2004">
        <v>158.80000000000001</v>
      </c>
      <c r="W171" s="2004">
        <v>157.69999999999999</v>
      </c>
      <c r="X171" s="2004">
        <v>156.9</v>
      </c>
      <c r="Y171" s="2004"/>
      <c r="Z171" s="2004"/>
      <c r="AA171" s="2004"/>
      <c r="AB171" s="2004"/>
      <c r="AC171" s="2004"/>
      <c r="AD171" s="2004"/>
      <c r="AE171" s="2004"/>
      <c r="AF171" s="2004"/>
      <c r="AG171" s="2004"/>
      <c r="AH171" s="2004">
        <v>0</v>
      </c>
      <c r="AI171" s="2004" t="s">
        <v>2337</v>
      </c>
      <c r="AJ171" s="2004" t="s">
        <v>2337</v>
      </c>
      <c r="AK171" s="2004" t="s">
        <v>2337</v>
      </c>
      <c r="AL171" s="2004" t="s">
        <v>2337</v>
      </c>
      <c r="AM171" s="2004" t="s">
        <v>2337</v>
      </c>
      <c r="AN171" s="2004">
        <v>164.3</v>
      </c>
      <c r="AO171" s="2004">
        <v>163.1</v>
      </c>
      <c r="AP171" s="2004">
        <v>161.80000000000001</v>
      </c>
      <c r="AQ171" s="2004">
        <v>160.69999999999999</v>
      </c>
      <c r="AR171" s="2004">
        <v>159.9</v>
      </c>
      <c r="AS171" s="2004">
        <v>161.4</v>
      </c>
      <c r="AT171" s="2004">
        <v>160.19999999999999</v>
      </c>
      <c r="AU171" s="2004">
        <v>159</v>
      </c>
      <c r="AV171" s="2004">
        <v>157.9</v>
      </c>
      <c r="AW171" s="2004">
        <v>157.1</v>
      </c>
      <c r="AX171" s="2004"/>
      <c r="AY171" s="2004"/>
      <c r="AZ171" s="2004"/>
      <c r="BA171" s="2004"/>
      <c r="BB171" s="2004"/>
      <c r="BC171" s="2004"/>
      <c r="BD171" s="2004"/>
      <c r="BE171" s="2004"/>
      <c r="BF171" s="2004"/>
      <c r="BG171" s="2004"/>
      <c r="BH171" s="2004">
        <v>7.0699999999999999E-2</v>
      </c>
      <c r="BI171" s="2004"/>
      <c r="BJ171" s="2004"/>
      <c r="BK171" s="2004"/>
      <c r="BL171" s="2004"/>
      <c r="BM171" s="2004"/>
      <c r="BN171" s="2004">
        <v>1</v>
      </c>
      <c r="BO171" s="2004" t="s">
        <v>9203</v>
      </c>
      <c r="BP171" s="516">
        <v>161.1</v>
      </c>
      <c r="BQ171" s="686">
        <v>160.9</v>
      </c>
      <c r="BR171" s="2004" t="s">
        <v>2337</v>
      </c>
      <c r="BS171" s="2004" t="s">
        <v>9204</v>
      </c>
      <c r="BT171" s="2004">
        <v>0</v>
      </c>
      <c r="BU171" s="2004" t="s">
        <v>9204</v>
      </c>
      <c r="BV171" s="2004">
        <v>0</v>
      </c>
      <c r="BW171" s="2004">
        <v>159.72999999999999</v>
      </c>
      <c r="BX171" s="2004" t="s">
        <v>2337</v>
      </c>
      <c r="BY171" s="2004">
        <v>0</v>
      </c>
      <c r="BZ171" s="2004">
        <v>0</v>
      </c>
      <c r="CA171" s="2004">
        <v>0</v>
      </c>
      <c r="CB171" s="2004">
        <v>0</v>
      </c>
      <c r="CC171" s="2004">
        <v>158.80000000000001</v>
      </c>
      <c r="CD171" s="2004" t="s">
        <v>2337</v>
      </c>
      <c r="CE171" s="2004">
        <v>0</v>
      </c>
      <c r="CF171" s="2004">
        <v>0</v>
      </c>
      <c r="CG171" s="2004">
        <v>0</v>
      </c>
      <c r="CH171" s="2004">
        <v>0</v>
      </c>
      <c r="CI171" s="2004">
        <v>162.62</v>
      </c>
      <c r="CJ171" s="2004" t="s">
        <v>2337</v>
      </c>
      <c r="CK171" s="2004">
        <v>0</v>
      </c>
      <c r="CL171" s="2004">
        <v>0</v>
      </c>
      <c r="CM171" s="2004">
        <v>0</v>
      </c>
      <c r="CN171" s="2004">
        <v>0</v>
      </c>
      <c r="CP171" s="2004" t="s">
        <v>10278</v>
      </c>
    </row>
    <row r="172" spans="1:94">
      <c r="A172" s="2004" t="s">
        <v>10226</v>
      </c>
      <c r="B172" s="2004" t="s">
        <v>10279</v>
      </c>
      <c r="C172" s="2004" t="s">
        <v>9085</v>
      </c>
      <c r="D172" s="2004" t="s">
        <v>1628</v>
      </c>
      <c r="E172" s="2004" t="s">
        <v>9194</v>
      </c>
      <c r="F172" s="2004" t="s">
        <v>10271</v>
      </c>
      <c r="G172" s="2004" t="s">
        <v>8977</v>
      </c>
      <c r="H172" s="2004" t="s">
        <v>10280</v>
      </c>
      <c r="I172" s="2004" t="s">
        <v>10281</v>
      </c>
      <c r="J172" s="2004" t="s">
        <v>9230</v>
      </c>
      <c r="K172" s="2004"/>
      <c r="L172" s="2004"/>
      <c r="M172" s="2004"/>
      <c r="N172" s="2004" t="s">
        <v>10282</v>
      </c>
      <c r="O172" s="2004" t="s">
        <v>766</v>
      </c>
      <c r="P172" s="2004" t="s">
        <v>10283</v>
      </c>
      <c r="Q172" s="516">
        <v>0</v>
      </c>
      <c r="R172" s="2004" t="s">
        <v>9240</v>
      </c>
      <c r="S172" s="2004">
        <v>6221</v>
      </c>
      <c r="T172" s="2004">
        <v>8000</v>
      </c>
      <c r="U172" s="2004">
        <v>8500</v>
      </c>
      <c r="V172" s="2004">
        <v>9000</v>
      </c>
      <c r="W172" s="2004">
        <v>9500</v>
      </c>
      <c r="X172" s="2004" t="s">
        <v>10284</v>
      </c>
      <c r="Y172" s="2004"/>
      <c r="Z172" s="2004"/>
      <c r="AA172" s="2004"/>
      <c r="AB172" s="2004"/>
      <c r="AC172" s="2004"/>
      <c r="AD172" s="2004"/>
      <c r="AE172" s="2004"/>
      <c r="AF172" s="2004"/>
      <c r="AG172" s="2004"/>
      <c r="AH172" s="2004">
        <v>0</v>
      </c>
      <c r="AI172" s="2004"/>
      <c r="AJ172" s="2004"/>
      <c r="AK172" s="2004"/>
      <c r="AL172" s="2004"/>
      <c r="AM172" s="2004"/>
      <c r="AN172" s="2004"/>
      <c r="AO172" s="2004"/>
      <c r="AP172" s="2004"/>
      <c r="AQ172" s="2004"/>
      <c r="AR172" s="2004"/>
      <c r="AS172" s="2004"/>
      <c r="AT172" s="2004"/>
      <c r="AU172" s="2004"/>
      <c r="AV172" s="2004"/>
      <c r="AW172" s="2004"/>
      <c r="AX172" s="2004"/>
      <c r="AY172" s="2004"/>
      <c r="AZ172" s="2004"/>
      <c r="BA172" s="2004"/>
      <c r="BB172" s="2004"/>
      <c r="BC172" s="2004"/>
      <c r="BD172" s="2004"/>
      <c r="BE172" s="2004"/>
      <c r="BF172" s="2004"/>
      <c r="BG172" s="2004"/>
      <c r="BH172" s="2004"/>
      <c r="BI172" s="2004"/>
      <c r="BJ172" s="2004"/>
      <c r="BK172" s="2004"/>
      <c r="BL172" s="2004"/>
      <c r="BM172" s="2004"/>
      <c r="BN172" s="2004"/>
      <c r="BO172" s="2004"/>
      <c r="BP172" s="516">
        <v>7249</v>
      </c>
      <c r="BQ172" s="689">
        <v>13314</v>
      </c>
      <c r="BR172" s="2004" t="s">
        <v>2337</v>
      </c>
      <c r="BS172" s="2004" t="s">
        <v>9204</v>
      </c>
      <c r="BT172" s="2004">
        <v>0</v>
      </c>
      <c r="BU172" s="2004" t="s">
        <v>9204</v>
      </c>
      <c r="BV172" s="2004">
        <v>0</v>
      </c>
      <c r="BW172" s="2004">
        <v>10703</v>
      </c>
      <c r="BX172" s="2004" t="s">
        <v>2337</v>
      </c>
      <c r="BY172" s="2004">
        <v>0</v>
      </c>
      <c r="BZ172" s="2004">
        <v>0</v>
      </c>
      <c r="CA172" s="2004">
        <v>0</v>
      </c>
      <c r="CB172" s="2004">
        <v>0</v>
      </c>
      <c r="CC172" s="2004">
        <v>9551</v>
      </c>
      <c r="CD172" s="2004" t="s">
        <v>2337</v>
      </c>
      <c r="CE172" s="2004">
        <v>0</v>
      </c>
      <c r="CF172" s="2004">
        <v>0</v>
      </c>
      <c r="CG172" s="2004">
        <v>0</v>
      </c>
      <c r="CH172" s="2004">
        <v>0</v>
      </c>
      <c r="CI172" s="2004">
        <v>11798</v>
      </c>
      <c r="CJ172" s="2004" t="s">
        <v>2337</v>
      </c>
      <c r="CK172" s="2004">
        <v>0</v>
      </c>
      <c r="CL172" s="2004">
        <v>0</v>
      </c>
      <c r="CM172" s="2004">
        <v>0</v>
      </c>
      <c r="CN172" s="2004">
        <v>0</v>
      </c>
      <c r="CP172" s="2004" t="s">
        <v>10285</v>
      </c>
    </row>
    <row r="173" spans="1:94">
      <c r="A173" s="2004" t="s">
        <v>10226</v>
      </c>
      <c r="B173" s="2004" t="s">
        <v>10286</v>
      </c>
      <c r="C173" s="2004" t="s">
        <v>9085</v>
      </c>
      <c r="D173" s="2004" t="s">
        <v>1628</v>
      </c>
      <c r="E173" s="2004" t="s">
        <v>9194</v>
      </c>
      <c r="F173" s="2004" t="s">
        <v>10271</v>
      </c>
      <c r="G173" s="2004" t="s">
        <v>8980</v>
      </c>
      <c r="H173" s="2004" t="s">
        <v>10287</v>
      </c>
      <c r="I173" s="2004" t="s">
        <v>10288</v>
      </c>
      <c r="J173" s="2004" t="s">
        <v>9230</v>
      </c>
      <c r="K173" s="2004"/>
      <c r="L173" s="2004"/>
      <c r="M173" s="2004"/>
      <c r="N173" s="2004" t="s">
        <v>9372</v>
      </c>
      <c r="O173" s="2004" t="s">
        <v>766</v>
      </c>
      <c r="P173" s="2004" t="s">
        <v>10289</v>
      </c>
      <c r="Q173" s="516">
        <v>0</v>
      </c>
      <c r="R173" s="2004" t="s">
        <v>9202</v>
      </c>
      <c r="S173" s="2004">
        <v>529</v>
      </c>
      <c r="T173" s="2004">
        <v>525</v>
      </c>
      <c r="U173" s="2004">
        <v>525</v>
      </c>
      <c r="V173" s="2004">
        <v>525</v>
      </c>
      <c r="W173" s="2004">
        <v>525</v>
      </c>
      <c r="X173" s="2004">
        <v>525</v>
      </c>
      <c r="Y173" s="2004"/>
      <c r="Z173" s="2004"/>
      <c r="AA173" s="2004"/>
      <c r="AB173" s="2004"/>
      <c r="AC173" s="2004"/>
      <c r="AD173" s="2004"/>
      <c r="AE173" s="2004"/>
      <c r="AF173" s="2004"/>
      <c r="AG173" s="2004"/>
      <c r="AH173" s="2004">
        <v>0</v>
      </c>
      <c r="AI173" s="2004"/>
      <c r="AJ173" s="2004"/>
      <c r="AK173" s="2004"/>
      <c r="AL173" s="2004"/>
      <c r="AM173" s="2004"/>
      <c r="AN173" s="2004"/>
      <c r="AO173" s="2004"/>
      <c r="AP173" s="2004"/>
      <c r="AQ173" s="2004"/>
      <c r="AR173" s="2004"/>
      <c r="AS173" s="2004"/>
      <c r="AT173" s="2004"/>
      <c r="AU173" s="2004"/>
      <c r="AV173" s="2004"/>
      <c r="AW173" s="2004"/>
      <c r="AX173" s="2004"/>
      <c r="AY173" s="2004"/>
      <c r="AZ173" s="2004"/>
      <c r="BA173" s="2004"/>
      <c r="BB173" s="2004"/>
      <c r="BC173" s="2004"/>
      <c r="BD173" s="2004"/>
      <c r="BE173" s="2004"/>
      <c r="BF173" s="2004"/>
      <c r="BG173" s="2004"/>
      <c r="BH173" s="2004"/>
      <c r="BI173" s="2004"/>
      <c r="BJ173" s="2004"/>
      <c r="BK173" s="2004"/>
      <c r="BL173" s="2004"/>
      <c r="BM173" s="2004"/>
      <c r="BN173" s="2004"/>
      <c r="BO173" s="2004"/>
      <c r="BP173" s="516">
        <v>509</v>
      </c>
      <c r="BQ173" s="689">
        <v>470</v>
      </c>
      <c r="BR173" s="2004" t="s">
        <v>2337</v>
      </c>
      <c r="BS173" s="2004" t="s">
        <v>9204</v>
      </c>
      <c r="BT173" s="2004">
        <v>0</v>
      </c>
      <c r="BU173" s="2004" t="s">
        <v>9204</v>
      </c>
      <c r="BV173" s="2004">
        <v>0</v>
      </c>
      <c r="BW173" s="2004">
        <v>420</v>
      </c>
      <c r="BX173" s="2004" t="s">
        <v>2337</v>
      </c>
      <c r="BY173" s="2004">
        <v>0</v>
      </c>
      <c r="BZ173" s="2004">
        <v>0</v>
      </c>
      <c r="CA173" s="2004">
        <v>0</v>
      </c>
      <c r="CB173" s="2004">
        <v>0</v>
      </c>
      <c r="CC173" s="2004">
        <v>376</v>
      </c>
      <c r="CD173" s="2004" t="s">
        <v>2337</v>
      </c>
      <c r="CE173" s="2004">
        <v>0</v>
      </c>
      <c r="CF173" s="2004">
        <v>0</v>
      </c>
      <c r="CG173" s="2004">
        <v>0</v>
      </c>
      <c r="CH173" s="2004">
        <v>0</v>
      </c>
      <c r="CI173" s="2004">
        <v>91</v>
      </c>
      <c r="CJ173" s="2004" t="s">
        <v>2337</v>
      </c>
      <c r="CK173" s="2004">
        <v>0</v>
      </c>
      <c r="CL173" s="2004">
        <v>0</v>
      </c>
      <c r="CM173" s="2004">
        <v>0</v>
      </c>
      <c r="CN173" s="2004">
        <v>0</v>
      </c>
      <c r="CP173" s="2004" t="s">
        <v>10290</v>
      </c>
    </row>
    <row r="174" spans="1:94">
      <c r="A174" s="2004" t="s">
        <v>10226</v>
      </c>
      <c r="B174" s="2004" t="s">
        <v>10291</v>
      </c>
      <c r="C174" s="2004" t="s">
        <v>9085</v>
      </c>
      <c r="D174" s="2004" t="s">
        <v>1628</v>
      </c>
      <c r="E174" s="2004" t="s">
        <v>9194</v>
      </c>
      <c r="F174" s="2004" t="s">
        <v>10271</v>
      </c>
      <c r="G174" s="2004" t="s">
        <v>8983</v>
      </c>
      <c r="H174" s="2004" t="s">
        <v>10292</v>
      </c>
      <c r="I174" s="2004" t="s">
        <v>10293</v>
      </c>
      <c r="J174" s="2004" t="s">
        <v>9230</v>
      </c>
      <c r="K174" s="2004"/>
      <c r="L174" s="2004"/>
      <c r="M174" s="2004"/>
      <c r="N174" s="2004" t="s">
        <v>9450</v>
      </c>
      <c r="O174" s="2004" t="s">
        <v>766</v>
      </c>
      <c r="P174" s="2004" t="s">
        <v>10294</v>
      </c>
      <c r="Q174" s="516">
        <v>1</v>
      </c>
      <c r="R174" s="2004" t="s">
        <v>9202</v>
      </c>
      <c r="S174" s="2004">
        <v>0.3</v>
      </c>
      <c r="T174" s="2004">
        <v>0</v>
      </c>
      <c r="U174" s="2004">
        <v>0</v>
      </c>
      <c r="V174" s="2004">
        <v>0</v>
      </c>
      <c r="W174" s="2004">
        <v>0</v>
      </c>
      <c r="X174" s="2004">
        <v>0</v>
      </c>
      <c r="Y174" s="2004"/>
      <c r="Z174" s="2004"/>
      <c r="AA174" s="2004"/>
      <c r="AB174" s="2004"/>
      <c r="AC174" s="2004"/>
      <c r="AD174" s="2004"/>
      <c r="AE174" s="2004" t="s">
        <v>2337</v>
      </c>
      <c r="AF174" s="2004"/>
      <c r="AG174" s="2004"/>
      <c r="AH174" s="2004">
        <v>0</v>
      </c>
      <c r="AI174" s="2004"/>
      <c r="AJ174" s="2004"/>
      <c r="AK174" s="2004"/>
      <c r="AL174" s="2004"/>
      <c r="AM174" s="2004"/>
      <c r="AN174" s="2004"/>
      <c r="AO174" s="2004"/>
      <c r="AP174" s="2004"/>
      <c r="AQ174" s="2004"/>
      <c r="AR174" s="2004"/>
      <c r="AS174" s="2004"/>
      <c r="AT174" s="2004"/>
      <c r="AU174" s="2004"/>
      <c r="AV174" s="2004"/>
      <c r="AW174" s="2004"/>
      <c r="AX174" s="2004"/>
      <c r="AY174" s="2004"/>
      <c r="AZ174" s="2004"/>
      <c r="BA174" s="2004"/>
      <c r="BB174" s="2004"/>
      <c r="BC174" s="2004"/>
      <c r="BD174" s="2004"/>
      <c r="BE174" s="2004"/>
      <c r="BF174" s="2004"/>
      <c r="BG174" s="2004"/>
      <c r="BH174" s="2004"/>
      <c r="BI174" s="2004"/>
      <c r="BJ174" s="2004"/>
      <c r="BK174" s="2004"/>
      <c r="BL174" s="2004"/>
      <c r="BM174" s="2004"/>
      <c r="BN174" s="2004"/>
      <c r="BO174" s="2004"/>
      <c r="BP174" s="516">
        <v>0.3</v>
      </c>
      <c r="BQ174" s="686">
        <v>0.6</v>
      </c>
      <c r="BR174" s="2004" t="s">
        <v>2334</v>
      </c>
      <c r="BS174" s="2004" t="s">
        <v>9204</v>
      </c>
      <c r="BT174" s="2004">
        <v>0</v>
      </c>
      <c r="BU174" s="2004" t="s">
        <v>9204</v>
      </c>
      <c r="BV174" s="2004">
        <v>0</v>
      </c>
      <c r="BW174" s="2004">
        <v>0.3</v>
      </c>
      <c r="BX174" s="2004" t="s">
        <v>2334</v>
      </c>
      <c r="BY174" s="2004">
        <v>0</v>
      </c>
      <c r="BZ174" s="2004">
        <v>0</v>
      </c>
      <c r="CA174" s="2004">
        <v>0</v>
      </c>
      <c r="CB174" s="2004">
        <v>0</v>
      </c>
      <c r="CC174" s="2004">
        <v>0.6</v>
      </c>
      <c r="CD174" s="2004" t="s">
        <v>2334</v>
      </c>
      <c r="CE174" s="2004">
        <v>0</v>
      </c>
      <c r="CF174" s="2004">
        <v>0</v>
      </c>
      <c r="CG174" s="2004">
        <v>0</v>
      </c>
      <c r="CH174" s="2004">
        <v>0</v>
      </c>
      <c r="CI174" s="2004">
        <v>0</v>
      </c>
      <c r="CJ174" s="2004" t="s">
        <v>2337</v>
      </c>
      <c r="CK174" s="2004">
        <v>0</v>
      </c>
      <c r="CL174" s="2004">
        <v>0</v>
      </c>
      <c r="CM174" s="2004">
        <v>0</v>
      </c>
      <c r="CN174" s="2004">
        <v>0</v>
      </c>
      <c r="CP174" s="2004" t="s">
        <v>10295</v>
      </c>
    </row>
    <row r="175" spans="1:94">
      <c r="A175" s="2004" t="s">
        <v>10226</v>
      </c>
      <c r="B175" s="2004" t="s">
        <v>10296</v>
      </c>
      <c r="C175" s="2004" t="s">
        <v>9085</v>
      </c>
      <c r="D175" s="2004" t="s">
        <v>1628</v>
      </c>
      <c r="E175" s="2004" t="s">
        <v>9194</v>
      </c>
      <c r="F175" s="2004" t="s">
        <v>10271</v>
      </c>
      <c r="G175" s="2004" t="s">
        <v>10297</v>
      </c>
      <c r="H175" s="2004" t="s">
        <v>10298</v>
      </c>
      <c r="I175" s="2004" t="s">
        <v>10299</v>
      </c>
      <c r="J175" s="2004" t="s">
        <v>9230</v>
      </c>
      <c r="K175" s="2004"/>
      <c r="L175" s="2004"/>
      <c r="M175" s="2004"/>
      <c r="N175" s="2004" t="s">
        <v>9364</v>
      </c>
      <c r="O175" s="2004" t="s">
        <v>766</v>
      </c>
      <c r="P175" s="2004" t="s">
        <v>10300</v>
      </c>
      <c r="Q175" s="516">
        <v>0</v>
      </c>
      <c r="R175" s="2004" t="s">
        <v>9240</v>
      </c>
      <c r="S175" s="2004">
        <v>0</v>
      </c>
      <c r="T175" s="2004">
        <v>0</v>
      </c>
      <c r="U175" s="2004">
        <v>0</v>
      </c>
      <c r="V175" s="2004">
        <v>0</v>
      </c>
      <c r="W175" s="2004">
        <v>0</v>
      </c>
      <c r="X175" s="2004">
        <v>14</v>
      </c>
      <c r="Y175" s="2004"/>
      <c r="Z175" s="2004"/>
      <c r="AA175" s="2004"/>
      <c r="AB175" s="2004"/>
      <c r="AC175" s="2004"/>
      <c r="AD175" s="2004"/>
      <c r="AE175" s="2004"/>
      <c r="AF175" s="2004" t="s">
        <v>2337</v>
      </c>
      <c r="AG175" s="2004"/>
      <c r="AH175" s="2004">
        <v>0</v>
      </c>
      <c r="AI175" s="2004"/>
      <c r="AJ175" s="2004"/>
      <c r="AK175" s="2004"/>
      <c r="AL175" s="2004"/>
      <c r="AM175" s="2004"/>
      <c r="AN175" s="2004"/>
      <c r="AO175" s="2004"/>
      <c r="AP175" s="2004"/>
      <c r="AQ175" s="2004"/>
      <c r="AR175" s="2004"/>
      <c r="AS175" s="2004"/>
      <c r="AT175" s="2004"/>
      <c r="AU175" s="2004"/>
      <c r="AV175" s="2004"/>
      <c r="AW175" s="2004"/>
      <c r="AX175" s="2004"/>
      <c r="AY175" s="2004"/>
      <c r="AZ175" s="2004"/>
      <c r="BA175" s="2004"/>
      <c r="BB175" s="2004"/>
      <c r="BC175" s="2004"/>
      <c r="BD175" s="2004"/>
      <c r="BE175" s="2004"/>
      <c r="BF175" s="2004"/>
      <c r="BG175" s="2004"/>
      <c r="BH175" s="2004"/>
      <c r="BI175" s="2004"/>
      <c r="BJ175" s="2004"/>
      <c r="BK175" s="2004"/>
      <c r="BL175" s="2004"/>
      <c r="BM175" s="2004"/>
      <c r="BN175" s="2004"/>
      <c r="BO175" s="2004"/>
      <c r="BP175" s="516">
        <v>0</v>
      </c>
      <c r="BQ175" s="689">
        <v>0</v>
      </c>
      <c r="BR175" s="2004" t="s">
        <v>2337</v>
      </c>
      <c r="BS175" s="2004" t="s">
        <v>9204</v>
      </c>
      <c r="BT175" s="2004">
        <v>0</v>
      </c>
      <c r="BU175" s="2004" t="s">
        <v>9204</v>
      </c>
      <c r="BV175" s="2004">
        <v>0</v>
      </c>
      <c r="BW175" s="2004">
        <v>0</v>
      </c>
      <c r="BX175" s="2004" t="s">
        <v>2337</v>
      </c>
      <c r="BY175" s="2004">
        <v>0</v>
      </c>
      <c r="BZ175" s="2004">
        <v>0</v>
      </c>
      <c r="CA175" s="2004">
        <v>0</v>
      </c>
      <c r="CB175" s="2004">
        <v>0</v>
      </c>
      <c r="CC175" s="2004">
        <v>0</v>
      </c>
      <c r="CD175" s="2004" t="s">
        <v>2337</v>
      </c>
      <c r="CE175" s="2004">
        <v>0</v>
      </c>
      <c r="CF175" s="2004">
        <v>0</v>
      </c>
      <c r="CG175" s="2004">
        <v>0</v>
      </c>
      <c r="CH175" s="2004">
        <v>0</v>
      </c>
      <c r="CI175" s="2004">
        <v>0</v>
      </c>
      <c r="CJ175" s="2004" t="s">
        <v>2337</v>
      </c>
      <c r="CK175" s="2004">
        <v>0</v>
      </c>
      <c r="CL175" s="2004">
        <v>0</v>
      </c>
      <c r="CM175" s="2004">
        <v>0</v>
      </c>
      <c r="CN175" s="2004">
        <v>0</v>
      </c>
      <c r="CP175" s="2004" t="s">
        <v>10301</v>
      </c>
    </row>
    <row r="176" spans="1:94">
      <c r="A176" s="2004" t="s">
        <v>10226</v>
      </c>
      <c r="B176" s="2004" t="s">
        <v>10302</v>
      </c>
      <c r="C176" s="2004" t="s">
        <v>9085</v>
      </c>
      <c r="D176" s="2004" t="s">
        <v>9275</v>
      </c>
      <c r="E176" s="2004" t="s">
        <v>9276</v>
      </c>
      <c r="F176" s="2004" t="s">
        <v>10303</v>
      </c>
      <c r="G176" s="2004" t="s">
        <v>7930</v>
      </c>
      <c r="H176" s="2004" t="s">
        <v>10304</v>
      </c>
      <c r="I176" s="2004" t="s">
        <v>10305</v>
      </c>
      <c r="J176" s="2004" t="s">
        <v>9230</v>
      </c>
      <c r="K176" s="2004"/>
      <c r="L176" s="2004"/>
      <c r="M176" s="2004"/>
      <c r="N176" s="2004" t="s">
        <v>9290</v>
      </c>
      <c r="O176" s="2004" t="s">
        <v>766</v>
      </c>
      <c r="P176" s="2004" t="s">
        <v>10306</v>
      </c>
      <c r="Q176" s="516">
        <v>0</v>
      </c>
      <c r="R176" s="2004" t="s">
        <v>9240</v>
      </c>
      <c r="S176" s="2004">
        <v>2000</v>
      </c>
      <c r="T176" s="2004">
        <v>5000</v>
      </c>
      <c r="U176" s="2004">
        <v>5000</v>
      </c>
      <c r="V176" s="2004">
        <v>5000</v>
      </c>
      <c r="W176" s="2004">
        <v>5000</v>
      </c>
      <c r="X176" s="2004">
        <v>5000</v>
      </c>
      <c r="Y176" s="2004"/>
      <c r="Z176" s="2004"/>
      <c r="AA176" s="2004"/>
      <c r="AB176" s="2004"/>
      <c r="AC176" s="2004"/>
      <c r="AD176" s="2004"/>
      <c r="AE176" s="2004"/>
      <c r="AF176" s="2004"/>
      <c r="AG176" s="2004"/>
      <c r="AH176" s="2004">
        <v>0</v>
      </c>
      <c r="AI176" s="2004"/>
      <c r="AJ176" s="2004"/>
      <c r="AK176" s="2004"/>
      <c r="AL176" s="2004"/>
      <c r="AM176" s="2004"/>
      <c r="AN176" s="2004"/>
      <c r="AO176" s="2004"/>
      <c r="AP176" s="2004"/>
      <c r="AQ176" s="2004"/>
      <c r="AR176" s="2004"/>
      <c r="AS176" s="2004"/>
      <c r="AT176" s="2004"/>
      <c r="AU176" s="2004"/>
      <c r="AV176" s="2004"/>
      <c r="AW176" s="2004"/>
      <c r="AX176" s="2004"/>
      <c r="AY176" s="2004"/>
      <c r="AZ176" s="2004"/>
      <c r="BA176" s="2004"/>
      <c r="BB176" s="2004"/>
      <c r="BC176" s="2004"/>
      <c r="BD176" s="2004"/>
      <c r="BE176" s="2004"/>
      <c r="BF176" s="2004"/>
      <c r="BG176" s="2004"/>
      <c r="BH176" s="2004"/>
      <c r="BI176" s="2004"/>
      <c r="BJ176" s="2004"/>
      <c r="BK176" s="2004"/>
      <c r="BL176" s="2004"/>
      <c r="BM176" s="2004"/>
      <c r="BN176" s="2004"/>
      <c r="BO176" s="2004"/>
      <c r="BP176" s="516">
        <v>2851</v>
      </c>
      <c r="BQ176" s="689">
        <v>5686</v>
      </c>
      <c r="BR176" s="2004" t="s">
        <v>2337</v>
      </c>
      <c r="BS176" s="2004" t="s">
        <v>9204</v>
      </c>
      <c r="BT176" s="2004">
        <v>0</v>
      </c>
      <c r="BU176" s="2004" t="s">
        <v>9204</v>
      </c>
      <c r="BV176" s="2004">
        <v>0</v>
      </c>
      <c r="BW176" s="2004">
        <v>5809</v>
      </c>
      <c r="BX176" s="2004" t="s">
        <v>2337</v>
      </c>
      <c r="BY176" s="2004">
        <v>0</v>
      </c>
      <c r="BZ176" s="2004">
        <v>0</v>
      </c>
      <c r="CA176" s="2004">
        <v>0</v>
      </c>
      <c r="CB176" s="2004">
        <v>0</v>
      </c>
      <c r="CC176" s="2004">
        <v>8150</v>
      </c>
      <c r="CD176" s="2004" t="s">
        <v>2337</v>
      </c>
      <c r="CE176" s="2004">
        <v>0</v>
      </c>
      <c r="CF176" s="2004">
        <v>0</v>
      </c>
      <c r="CG176" s="2004">
        <v>0</v>
      </c>
      <c r="CH176" s="2004">
        <v>0</v>
      </c>
      <c r="CI176" s="2004">
        <v>10401</v>
      </c>
      <c r="CJ176" s="2004" t="s">
        <v>2337</v>
      </c>
      <c r="CK176" s="2004">
        <v>0</v>
      </c>
      <c r="CL176" s="2004">
        <v>0</v>
      </c>
      <c r="CM176" s="2004">
        <v>0</v>
      </c>
      <c r="CN176" s="2004">
        <v>0</v>
      </c>
      <c r="CP176" s="2004" t="s">
        <v>10307</v>
      </c>
    </row>
    <row r="177" spans="1:94">
      <c r="A177" s="2004" t="s">
        <v>10226</v>
      </c>
      <c r="B177" s="2004" t="s">
        <v>10308</v>
      </c>
      <c r="C177" s="2004" t="s">
        <v>9085</v>
      </c>
      <c r="D177" s="2004" t="s">
        <v>9275</v>
      </c>
      <c r="E177" s="2004" t="s">
        <v>9276</v>
      </c>
      <c r="F177" s="2004" t="s">
        <v>10303</v>
      </c>
      <c r="G177" s="2004" t="s">
        <v>7931</v>
      </c>
      <c r="H177" s="2004" t="s">
        <v>10309</v>
      </c>
      <c r="I177" s="2004" t="s">
        <v>10310</v>
      </c>
      <c r="J177" s="2004" t="s">
        <v>9230</v>
      </c>
      <c r="K177" s="2004"/>
      <c r="L177" s="2004"/>
      <c r="M177" s="2004"/>
      <c r="N177" s="2004" t="s">
        <v>9290</v>
      </c>
      <c r="O177" s="2004" t="s">
        <v>734</v>
      </c>
      <c r="P177" s="2004" t="s">
        <v>10311</v>
      </c>
      <c r="Q177" s="516">
        <v>2</v>
      </c>
      <c r="R177" s="2004" t="s">
        <v>9202</v>
      </c>
      <c r="S177" s="2004">
        <v>0.83</v>
      </c>
      <c r="T177" s="2004" t="s">
        <v>10312</v>
      </c>
      <c r="U177" s="2004" t="s">
        <v>10312</v>
      </c>
      <c r="V177" s="2004" t="s">
        <v>10312</v>
      </c>
      <c r="W177" s="2004" t="s">
        <v>10312</v>
      </c>
      <c r="X177" s="2004" t="s">
        <v>10312</v>
      </c>
      <c r="Y177" s="2004"/>
      <c r="Z177" s="2004"/>
      <c r="AA177" s="2004"/>
      <c r="AB177" s="2004"/>
      <c r="AC177" s="2004"/>
      <c r="AD177" s="2004"/>
      <c r="AE177" s="2004"/>
      <c r="AF177" s="2004"/>
      <c r="AG177" s="2004"/>
      <c r="AH177" s="2004">
        <v>0</v>
      </c>
      <c r="AI177" s="2004"/>
      <c r="AJ177" s="2004"/>
      <c r="AK177" s="2004"/>
      <c r="AL177" s="2004"/>
      <c r="AM177" s="2004"/>
      <c r="AN177" s="2004"/>
      <c r="AO177" s="2004"/>
      <c r="AP177" s="2004"/>
      <c r="AQ177" s="2004"/>
      <c r="AR177" s="2004"/>
      <c r="AS177" s="2004"/>
      <c r="AT177" s="2004"/>
      <c r="AU177" s="2004"/>
      <c r="AV177" s="2004"/>
      <c r="AW177" s="2004"/>
      <c r="AX177" s="2004"/>
      <c r="AY177" s="2004"/>
      <c r="AZ177" s="2004"/>
      <c r="BA177" s="2004"/>
      <c r="BB177" s="2004"/>
      <c r="BC177" s="2004"/>
      <c r="BD177" s="2004"/>
      <c r="BE177" s="2004"/>
      <c r="BF177" s="2004"/>
      <c r="BG177" s="2004"/>
      <c r="BH177" s="2004"/>
      <c r="BI177" s="2004"/>
      <c r="BJ177" s="2004"/>
      <c r="BK177" s="2004"/>
      <c r="BL177" s="2004"/>
      <c r="BM177" s="2004"/>
      <c r="BN177" s="2004"/>
      <c r="BO177" s="2004"/>
      <c r="BP177" s="516">
        <v>0.9</v>
      </c>
      <c r="BQ177" s="690">
        <v>0.75</v>
      </c>
      <c r="BR177" s="2004" t="s">
        <v>2337</v>
      </c>
      <c r="BS177" s="2004" t="s">
        <v>9204</v>
      </c>
      <c r="BT177" s="2004">
        <v>0</v>
      </c>
      <c r="BU177" s="2004" t="s">
        <v>9204</v>
      </c>
      <c r="BV177" s="2004">
        <v>0</v>
      </c>
      <c r="BW177" s="2004">
        <v>0.67</v>
      </c>
      <c r="BX177" s="2004" t="s">
        <v>2337</v>
      </c>
      <c r="BY177" s="2004">
        <v>0</v>
      </c>
      <c r="BZ177" s="2004">
        <v>0</v>
      </c>
      <c r="CA177" s="2004">
        <v>0</v>
      </c>
      <c r="CB177" s="2004">
        <v>0</v>
      </c>
      <c r="CC177" s="2004">
        <v>0.64</v>
      </c>
      <c r="CD177" s="2004" t="s">
        <v>2337</v>
      </c>
      <c r="CE177" s="2004">
        <v>0</v>
      </c>
      <c r="CF177" s="2004">
        <v>0</v>
      </c>
      <c r="CG177" s="2004">
        <v>0</v>
      </c>
      <c r="CH177" s="2004">
        <v>0</v>
      </c>
      <c r="CI177" s="2004">
        <v>1.01</v>
      </c>
      <c r="CJ177" s="2004" t="s">
        <v>2334</v>
      </c>
      <c r="CK177" s="2004">
        <v>0</v>
      </c>
      <c r="CL177" s="2004">
        <v>0</v>
      </c>
      <c r="CM177" s="2004">
        <v>0</v>
      </c>
      <c r="CN177" s="2004">
        <v>0</v>
      </c>
      <c r="CP177" s="2004" t="s">
        <v>10313</v>
      </c>
    </row>
    <row r="178" spans="1:94">
      <c r="A178" s="2004" t="s">
        <v>10226</v>
      </c>
      <c r="B178" s="2004" t="s">
        <v>10314</v>
      </c>
      <c r="C178" s="2004" t="s">
        <v>9085</v>
      </c>
      <c r="D178" s="2004" t="s">
        <v>9275</v>
      </c>
      <c r="E178" s="2004" t="s">
        <v>9276</v>
      </c>
      <c r="F178" s="2004" t="s">
        <v>10303</v>
      </c>
      <c r="G178" s="2004" t="s">
        <v>3020</v>
      </c>
      <c r="H178" s="2004" t="s">
        <v>10315</v>
      </c>
      <c r="I178" s="2004" t="s">
        <v>10316</v>
      </c>
      <c r="J178" s="2004" t="s">
        <v>9230</v>
      </c>
      <c r="K178" s="2004"/>
      <c r="L178" s="2004"/>
      <c r="M178" s="2004"/>
      <c r="N178" s="2004" t="s">
        <v>9290</v>
      </c>
      <c r="O178" s="2004" t="s">
        <v>734</v>
      </c>
      <c r="P178" s="2004" t="s">
        <v>9387</v>
      </c>
      <c r="Q178" s="516">
        <v>0</v>
      </c>
      <c r="R178" s="2004" t="s">
        <v>9202</v>
      </c>
      <c r="S178" s="2004">
        <v>17</v>
      </c>
      <c r="T178" s="2004" t="s">
        <v>10317</v>
      </c>
      <c r="U178" s="2004" t="s">
        <v>10317</v>
      </c>
      <c r="V178" s="2004" t="s">
        <v>10317</v>
      </c>
      <c r="W178" s="2004" t="s">
        <v>10317</v>
      </c>
      <c r="X178" s="2004" t="s">
        <v>10317</v>
      </c>
      <c r="Y178" s="2004"/>
      <c r="Z178" s="2004"/>
      <c r="AA178" s="2004"/>
      <c r="AB178" s="2004"/>
      <c r="AC178" s="2004"/>
      <c r="AD178" s="2004"/>
      <c r="AE178" s="2004"/>
      <c r="AF178" s="2004"/>
      <c r="AG178" s="2004"/>
      <c r="AH178" s="2004">
        <v>0</v>
      </c>
      <c r="AI178" s="2004"/>
      <c r="AJ178" s="2004"/>
      <c r="AK178" s="2004"/>
      <c r="AL178" s="2004"/>
      <c r="AM178" s="2004"/>
      <c r="AN178" s="2004"/>
      <c r="AO178" s="2004"/>
      <c r="AP178" s="2004"/>
      <c r="AQ178" s="2004"/>
      <c r="AR178" s="2004"/>
      <c r="AS178" s="2004"/>
      <c r="AT178" s="2004"/>
      <c r="AU178" s="2004"/>
      <c r="AV178" s="2004"/>
      <c r="AW178" s="2004"/>
      <c r="AX178" s="2004"/>
      <c r="AY178" s="2004"/>
      <c r="AZ178" s="2004"/>
      <c r="BA178" s="2004"/>
      <c r="BB178" s="2004"/>
      <c r="BC178" s="2004"/>
      <c r="BD178" s="2004"/>
      <c r="BE178" s="2004"/>
      <c r="BF178" s="2004"/>
      <c r="BG178" s="2004"/>
      <c r="BH178" s="2004"/>
      <c r="BI178" s="2004"/>
      <c r="BJ178" s="2004"/>
      <c r="BK178" s="2004"/>
      <c r="BL178" s="2004"/>
      <c r="BM178" s="2004"/>
      <c r="BN178" s="2004"/>
      <c r="BO178" s="2004"/>
      <c r="BP178" s="516">
        <v>9</v>
      </c>
      <c r="BQ178" s="689">
        <v>9</v>
      </c>
      <c r="BR178" s="2004" t="s">
        <v>2337</v>
      </c>
      <c r="BS178" s="2004" t="s">
        <v>9204</v>
      </c>
      <c r="BT178" s="2004">
        <v>0</v>
      </c>
      <c r="BU178" s="2004" t="s">
        <v>9204</v>
      </c>
      <c r="BV178" s="2004">
        <v>0</v>
      </c>
      <c r="BW178" s="2004">
        <v>6.3</v>
      </c>
      <c r="BX178" s="2004" t="s">
        <v>2337</v>
      </c>
      <c r="BY178" s="2004">
        <v>0</v>
      </c>
      <c r="BZ178" s="2004">
        <v>0</v>
      </c>
      <c r="CA178" s="2004">
        <v>0</v>
      </c>
      <c r="CB178" s="2004">
        <v>0</v>
      </c>
      <c r="CC178" s="2004">
        <v>9</v>
      </c>
      <c r="CD178" s="2004" t="s">
        <v>2337</v>
      </c>
      <c r="CE178" s="2004">
        <v>0</v>
      </c>
      <c r="CF178" s="2004">
        <v>0</v>
      </c>
      <c r="CG178" s="2004">
        <v>0</v>
      </c>
      <c r="CH178" s="2004">
        <v>0</v>
      </c>
      <c r="CI178" s="2004">
        <v>7.8</v>
      </c>
      <c r="CJ178" s="2004" t="s">
        <v>2337</v>
      </c>
      <c r="CK178" s="2004">
        <v>0</v>
      </c>
      <c r="CL178" s="2004">
        <v>0</v>
      </c>
      <c r="CM178" s="2004">
        <v>0</v>
      </c>
      <c r="CN178" s="2004">
        <v>0</v>
      </c>
      <c r="CP178" s="2004" t="s">
        <v>10318</v>
      </c>
    </row>
    <row r="179" spans="1:94">
      <c r="A179" s="2004" t="s">
        <v>10226</v>
      </c>
      <c r="B179" s="2004" t="s">
        <v>10319</v>
      </c>
      <c r="C179" s="2004" t="s">
        <v>9085</v>
      </c>
      <c r="D179" s="2004" t="s">
        <v>9275</v>
      </c>
      <c r="E179" s="2004" t="s">
        <v>9276</v>
      </c>
      <c r="F179" s="2004" t="s">
        <v>10320</v>
      </c>
      <c r="G179" s="2004" t="s">
        <v>8955</v>
      </c>
      <c r="H179" s="2004" t="s">
        <v>10321</v>
      </c>
      <c r="I179" s="2004" t="s">
        <v>10322</v>
      </c>
      <c r="J179" s="2004" t="s">
        <v>9230</v>
      </c>
      <c r="K179" s="2004"/>
      <c r="L179" s="2004"/>
      <c r="M179" s="2004"/>
      <c r="N179" s="2004" t="s">
        <v>9386</v>
      </c>
      <c r="O179" s="2004" t="s">
        <v>734</v>
      </c>
      <c r="P179" s="2004" t="s">
        <v>9387</v>
      </c>
      <c r="Q179" s="516">
        <v>1</v>
      </c>
      <c r="R179" s="2004" t="s">
        <v>9240</v>
      </c>
      <c r="S179" s="2004">
        <v>88</v>
      </c>
      <c r="T179" s="2004">
        <v>89</v>
      </c>
      <c r="U179" s="2004">
        <v>89.5</v>
      </c>
      <c r="V179" s="2004">
        <v>90</v>
      </c>
      <c r="W179" s="2004">
        <v>90</v>
      </c>
      <c r="X179" s="2004">
        <v>91</v>
      </c>
      <c r="Y179" s="2004"/>
      <c r="Z179" s="2004"/>
      <c r="AA179" s="2004"/>
      <c r="AB179" s="2004"/>
      <c r="AC179" s="2004"/>
      <c r="AD179" s="2004"/>
      <c r="AE179" s="2004"/>
      <c r="AF179" s="2004"/>
      <c r="AG179" s="2004"/>
      <c r="AH179" s="2004">
        <v>0</v>
      </c>
      <c r="AI179" s="2004"/>
      <c r="AJ179" s="2004"/>
      <c r="AK179" s="2004"/>
      <c r="AL179" s="2004"/>
      <c r="AM179" s="2004"/>
      <c r="AN179" s="2004"/>
      <c r="AO179" s="2004"/>
      <c r="AP179" s="2004"/>
      <c r="AQ179" s="2004"/>
      <c r="AR179" s="2004"/>
      <c r="AS179" s="2004"/>
      <c r="AT179" s="2004"/>
      <c r="AU179" s="2004"/>
      <c r="AV179" s="2004"/>
      <c r="AW179" s="2004"/>
      <c r="AX179" s="2004"/>
      <c r="AY179" s="2004"/>
      <c r="AZ179" s="2004"/>
      <c r="BA179" s="2004"/>
      <c r="BB179" s="2004"/>
      <c r="BC179" s="2004"/>
      <c r="BD179" s="2004"/>
      <c r="BE179" s="2004"/>
      <c r="BF179" s="2004"/>
      <c r="BG179" s="2004"/>
      <c r="BH179" s="2004"/>
      <c r="BI179" s="2004"/>
      <c r="BJ179" s="2004"/>
      <c r="BK179" s="2004"/>
      <c r="BL179" s="2004"/>
      <c r="BM179" s="2004"/>
      <c r="BN179" s="2004"/>
      <c r="BO179" s="2004"/>
      <c r="BP179" s="516">
        <v>89</v>
      </c>
      <c r="BQ179" s="686">
        <v>91.5</v>
      </c>
      <c r="BR179" s="2004" t="s">
        <v>2337</v>
      </c>
      <c r="BS179" s="2004" t="s">
        <v>9204</v>
      </c>
      <c r="BT179" s="2004">
        <v>0</v>
      </c>
      <c r="BU179" s="2004" t="s">
        <v>9204</v>
      </c>
      <c r="BV179" s="2004">
        <v>0</v>
      </c>
      <c r="BW179" s="2004">
        <v>92.3</v>
      </c>
      <c r="BX179" s="2004" t="s">
        <v>2337</v>
      </c>
      <c r="BY179" s="2004">
        <v>0</v>
      </c>
      <c r="BZ179" s="2004">
        <v>0</v>
      </c>
      <c r="CA179" s="2004">
        <v>0</v>
      </c>
      <c r="CB179" s="2004">
        <v>0</v>
      </c>
      <c r="CC179" s="2004">
        <v>92</v>
      </c>
      <c r="CD179" s="2004" t="s">
        <v>2337</v>
      </c>
      <c r="CE179" s="2004">
        <v>0</v>
      </c>
      <c r="CF179" s="2004">
        <v>0</v>
      </c>
      <c r="CG179" s="2004">
        <v>0</v>
      </c>
      <c r="CH179" s="2004">
        <v>0</v>
      </c>
      <c r="CI179" s="2004">
        <v>91.5</v>
      </c>
      <c r="CJ179" s="2004" t="s">
        <v>2337</v>
      </c>
      <c r="CK179" s="2004">
        <v>0</v>
      </c>
      <c r="CL179" s="2004">
        <v>0</v>
      </c>
      <c r="CM179" s="2004">
        <v>0</v>
      </c>
      <c r="CN179" s="2004">
        <v>0</v>
      </c>
      <c r="CP179" s="2004" t="s">
        <v>10323</v>
      </c>
    </row>
    <row r="180" spans="1:94">
      <c r="A180" s="2004" t="s">
        <v>10226</v>
      </c>
      <c r="B180" s="2004" t="s">
        <v>10324</v>
      </c>
      <c r="C180" s="2004" t="s">
        <v>9085</v>
      </c>
      <c r="D180" s="2004" t="s">
        <v>9275</v>
      </c>
      <c r="E180" s="2004" t="s">
        <v>9276</v>
      </c>
      <c r="F180" s="2004" t="s">
        <v>10320</v>
      </c>
      <c r="G180" s="2004" t="s">
        <v>8958</v>
      </c>
      <c r="H180" s="2004" t="s">
        <v>10325</v>
      </c>
      <c r="I180" s="2004" t="s">
        <v>10326</v>
      </c>
      <c r="J180" s="2004" t="s">
        <v>9199</v>
      </c>
      <c r="K180" s="2004" t="s">
        <v>9200</v>
      </c>
      <c r="L180" s="2004"/>
      <c r="M180" s="2004" t="s">
        <v>2334</v>
      </c>
      <c r="N180" s="2004" t="s">
        <v>9281</v>
      </c>
      <c r="O180" s="2004" t="s">
        <v>9282</v>
      </c>
      <c r="P180" s="2004" t="s">
        <v>9283</v>
      </c>
      <c r="Q180" s="516">
        <v>1</v>
      </c>
      <c r="R180" s="2004" t="s">
        <v>9240</v>
      </c>
      <c r="S180" s="2004">
        <v>85</v>
      </c>
      <c r="T180" s="2004">
        <v>85.6</v>
      </c>
      <c r="U180" s="2004">
        <v>86.2</v>
      </c>
      <c r="V180" s="2004">
        <v>86.8</v>
      </c>
      <c r="W180" s="2004">
        <v>87.4</v>
      </c>
      <c r="X180" s="2004">
        <v>88</v>
      </c>
      <c r="Y180" s="2004"/>
      <c r="Z180" s="2004"/>
      <c r="AA180" s="2004"/>
      <c r="AB180" s="2004"/>
      <c r="AC180" s="2004"/>
      <c r="AD180" s="2004"/>
      <c r="AE180" s="2004"/>
      <c r="AF180" s="2004"/>
      <c r="AG180" s="2004"/>
      <c r="AH180" s="2004">
        <v>0</v>
      </c>
      <c r="AI180" s="2004" t="s">
        <v>2337</v>
      </c>
      <c r="AJ180" s="2004" t="s">
        <v>2337</v>
      </c>
      <c r="AK180" s="2004" t="s">
        <v>2337</v>
      </c>
      <c r="AL180" s="2004" t="s">
        <v>2337</v>
      </c>
      <c r="AM180" s="2004" t="s">
        <v>2337</v>
      </c>
      <c r="AN180" s="2004" t="s">
        <v>9284</v>
      </c>
      <c r="AO180" s="2004" t="s">
        <v>9284</v>
      </c>
      <c r="AP180" s="2004" t="s">
        <v>9284</v>
      </c>
      <c r="AQ180" s="2004" t="s">
        <v>9284</v>
      </c>
      <c r="AR180" s="2004" t="s">
        <v>9284</v>
      </c>
      <c r="AS180" s="2004" t="s">
        <v>9284</v>
      </c>
      <c r="AT180" s="2004" t="s">
        <v>9284</v>
      </c>
      <c r="AU180" s="2004" t="s">
        <v>9284</v>
      </c>
      <c r="AV180" s="2004" t="s">
        <v>9284</v>
      </c>
      <c r="AW180" s="2004" t="s">
        <v>9284</v>
      </c>
      <c r="AX180" s="2004" t="s">
        <v>9284</v>
      </c>
      <c r="AY180" s="2004" t="s">
        <v>9284</v>
      </c>
      <c r="AZ180" s="2004" t="s">
        <v>9284</v>
      </c>
      <c r="BA180" s="2004" t="s">
        <v>9284</v>
      </c>
      <c r="BB180" s="2004" t="s">
        <v>9284</v>
      </c>
      <c r="BC180" s="2004" t="s">
        <v>9284</v>
      </c>
      <c r="BD180" s="2004" t="s">
        <v>9284</v>
      </c>
      <c r="BE180" s="2004" t="s">
        <v>9284</v>
      </c>
      <c r="BF180" s="2004" t="s">
        <v>9284</v>
      </c>
      <c r="BG180" s="2004" t="s">
        <v>9284</v>
      </c>
      <c r="BH180" s="2004" t="s">
        <v>9284</v>
      </c>
      <c r="BI180" s="2004"/>
      <c r="BJ180" s="2004"/>
      <c r="BK180" s="2004"/>
      <c r="BL180" s="2004" t="s">
        <v>9284</v>
      </c>
      <c r="BM180" s="2004"/>
      <c r="BN180" s="2004">
        <v>1</v>
      </c>
      <c r="BO180" s="2004" t="s">
        <v>9203</v>
      </c>
      <c r="BP180" s="516">
        <v>80.7</v>
      </c>
      <c r="BQ180" s="686">
        <v>80.8</v>
      </c>
      <c r="BR180" s="2004" t="s">
        <v>2334</v>
      </c>
      <c r="BS180" s="2004" t="s">
        <v>9204</v>
      </c>
      <c r="BT180" s="2004">
        <v>0</v>
      </c>
      <c r="BU180" s="2004" t="s">
        <v>9204</v>
      </c>
      <c r="BV180" s="2004">
        <v>0</v>
      </c>
      <c r="BW180" s="2004">
        <v>79.599999999999994</v>
      </c>
      <c r="BX180" s="2004" t="s">
        <v>2334</v>
      </c>
      <c r="BY180" s="2004">
        <v>0</v>
      </c>
      <c r="BZ180" s="2004">
        <v>0</v>
      </c>
      <c r="CA180" s="2004">
        <v>0</v>
      </c>
      <c r="CB180" s="2004">
        <v>0</v>
      </c>
      <c r="CC180" s="2004">
        <v>78.7</v>
      </c>
      <c r="CD180" s="2004" t="s">
        <v>2334</v>
      </c>
      <c r="CE180" s="2004">
        <v>0</v>
      </c>
      <c r="CF180" s="2004">
        <v>0</v>
      </c>
      <c r="CG180" s="2004">
        <v>0</v>
      </c>
      <c r="CH180" s="2004">
        <v>0</v>
      </c>
      <c r="CI180" s="2004">
        <v>80.5</v>
      </c>
      <c r="CJ180" s="2004" t="s">
        <v>2334</v>
      </c>
      <c r="CK180" s="2004">
        <v>0</v>
      </c>
      <c r="CL180" s="2004">
        <v>0</v>
      </c>
      <c r="CM180" s="2004">
        <v>0</v>
      </c>
      <c r="CN180" s="2004">
        <v>0</v>
      </c>
      <c r="CP180" s="2004" t="s">
        <v>10327</v>
      </c>
    </row>
    <row r="181" spans="1:94">
      <c r="A181" s="2004" t="s">
        <v>10226</v>
      </c>
      <c r="B181" s="2004" t="s">
        <v>10328</v>
      </c>
      <c r="C181" s="2004" t="s">
        <v>9085</v>
      </c>
      <c r="D181" s="2004" t="s">
        <v>9275</v>
      </c>
      <c r="E181" s="2004" t="s">
        <v>9276</v>
      </c>
      <c r="F181" s="2004" t="s">
        <v>10320</v>
      </c>
      <c r="G181" s="2004" t="s">
        <v>8961</v>
      </c>
      <c r="H181" s="2004" t="s">
        <v>10329</v>
      </c>
      <c r="I181" s="2004" t="s">
        <v>10330</v>
      </c>
      <c r="J181" s="2004" t="s">
        <v>9230</v>
      </c>
      <c r="K181" s="2004"/>
      <c r="L181" s="2004"/>
      <c r="M181" s="2004"/>
      <c r="N181" s="2004" t="s">
        <v>9386</v>
      </c>
      <c r="O181" s="2004" t="s">
        <v>766</v>
      </c>
      <c r="P181" s="2004" t="s">
        <v>10331</v>
      </c>
      <c r="Q181" s="516">
        <v>1</v>
      </c>
      <c r="R181" s="2004" t="s">
        <v>9202</v>
      </c>
      <c r="S181" s="2004">
        <v>7.6</v>
      </c>
      <c r="T181" s="2004">
        <v>7.4</v>
      </c>
      <c r="U181" s="2004">
        <v>7.2</v>
      </c>
      <c r="V181" s="2004">
        <v>7</v>
      </c>
      <c r="W181" s="2004">
        <v>6.8</v>
      </c>
      <c r="X181" s="2004">
        <v>6.6</v>
      </c>
      <c r="Y181" s="2004"/>
      <c r="Z181" s="2004"/>
      <c r="AA181" s="2004"/>
      <c r="AB181" s="2004"/>
      <c r="AC181" s="2004"/>
      <c r="AD181" s="2004"/>
      <c r="AE181" s="2004"/>
      <c r="AF181" s="2004"/>
      <c r="AG181" s="2004"/>
      <c r="AH181" s="2004">
        <v>0</v>
      </c>
      <c r="AI181" s="2004"/>
      <c r="AJ181" s="2004"/>
      <c r="AK181" s="2004"/>
      <c r="AL181" s="2004"/>
      <c r="AM181" s="2004"/>
      <c r="AN181" s="2004"/>
      <c r="AO181" s="2004"/>
      <c r="AP181" s="2004"/>
      <c r="AQ181" s="2004"/>
      <c r="AR181" s="2004"/>
      <c r="AS181" s="2004"/>
      <c r="AT181" s="2004"/>
      <c r="AU181" s="2004"/>
      <c r="AV181" s="2004"/>
      <c r="AW181" s="2004"/>
      <c r="AX181" s="2004"/>
      <c r="AY181" s="2004"/>
      <c r="AZ181" s="2004"/>
      <c r="BA181" s="2004"/>
      <c r="BB181" s="2004"/>
      <c r="BC181" s="2004"/>
      <c r="BD181" s="2004"/>
      <c r="BE181" s="2004"/>
      <c r="BF181" s="2004"/>
      <c r="BG181" s="2004"/>
      <c r="BH181" s="2004"/>
      <c r="BI181" s="2004"/>
      <c r="BJ181" s="2004"/>
      <c r="BK181" s="2004"/>
      <c r="BL181" s="2004"/>
      <c r="BM181" s="2004"/>
      <c r="BN181" s="2004"/>
      <c r="BO181" s="2004"/>
      <c r="BP181" s="516">
        <v>8.1</v>
      </c>
      <c r="BQ181" s="686">
        <v>10</v>
      </c>
      <c r="BR181" s="2004" t="s">
        <v>2334</v>
      </c>
      <c r="BS181" s="2004" t="s">
        <v>9204</v>
      </c>
      <c r="BT181" s="2004">
        <v>0</v>
      </c>
      <c r="BU181" s="2004" t="s">
        <v>9204</v>
      </c>
      <c r="BV181" s="2004">
        <v>0</v>
      </c>
      <c r="BW181" s="2004">
        <v>11.3</v>
      </c>
      <c r="BX181" s="2004" t="s">
        <v>2334</v>
      </c>
      <c r="BY181" s="2004">
        <v>0</v>
      </c>
      <c r="BZ181" s="2004">
        <v>0</v>
      </c>
      <c r="CA181" s="2004">
        <v>0</v>
      </c>
      <c r="CB181" s="2004">
        <v>0</v>
      </c>
      <c r="CC181" s="2004">
        <v>9.8000000000000007</v>
      </c>
      <c r="CD181" s="2004" t="s">
        <v>2334</v>
      </c>
      <c r="CE181" s="2004">
        <v>0</v>
      </c>
      <c r="CF181" s="2004">
        <v>0</v>
      </c>
      <c r="CG181" s="2004">
        <v>0</v>
      </c>
      <c r="CH181" s="2004">
        <v>0</v>
      </c>
      <c r="CI181" s="2004">
        <v>8</v>
      </c>
      <c r="CJ181" s="2004" t="s">
        <v>2334</v>
      </c>
      <c r="CK181" s="2004">
        <v>0</v>
      </c>
      <c r="CL181" s="2004">
        <v>0</v>
      </c>
      <c r="CM181" s="2004">
        <v>0</v>
      </c>
      <c r="CN181" s="2004">
        <v>0</v>
      </c>
      <c r="CP181" s="2004" t="s">
        <v>10332</v>
      </c>
    </row>
    <row r="182" spans="1:94">
      <c r="A182" s="2004" t="s">
        <v>10333</v>
      </c>
      <c r="B182" s="2004" t="s">
        <v>10334</v>
      </c>
      <c r="C182" s="2004" t="s">
        <v>9085</v>
      </c>
      <c r="D182" s="2004" t="s">
        <v>1628</v>
      </c>
      <c r="E182" s="2004" t="s">
        <v>9194</v>
      </c>
      <c r="F182" s="2004" t="s">
        <v>10335</v>
      </c>
      <c r="G182" s="2004" t="s">
        <v>7928</v>
      </c>
      <c r="H182" s="2004" t="s">
        <v>10336</v>
      </c>
      <c r="I182" s="2004" t="s">
        <v>10337</v>
      </c>
      <c r="J182" s="2004" t="s">
        <v>9199</v>
      </c>
      <c r="K182" s="2004" t="s">
        <v>9200</v>
      </c>
      <c r="L182" s="2004"/>
      <c r="M182" s="2004"/>
      <c r="N182" s="2004" t="s">
        <v>9386</v>
      </c>
      <c r="O182" s="2004" t="s">
        <v>9282</v>
      </c>
      <c r="P182" s="2004" t="s">
        <v>10338</v>
      </c>
      <c r="Q182" s="516">
        <v>1</v>
      </c>
      <c r="R182" s="2004" t="s">
        <v>9240</v>
      </c>
      <c r="S182" s="2004">
        <v>4.5999999999999996</v>
      </c>
      <c r="T182" s="2004">
        <v>4.5999999999999996</v>
      </c>
      <c r="U182" s="2004">
        <v>4.5999999999999996</v>
      </c>
      <c r="V182" s="2004">
        <v>4.5999999999999996</v>
      </c>
      <c r="W182" s="2004">
        <v>4.5999999999999996</v>
      </c>
      <c r="X182" s="2004">
        <v>4.5999999999999996</v>
      </c>
      <c r="Y182" s="2004"/>
      <c r="Z182" s="2004"/>
      <c r="AA182" s="2004"/>
      <c r="AB182" s="2004"/>
      <c r="AC182" s="2004"/>
      <c r="AD182" s="2004"/>
      <c r="AE182" s="2004"/>
      <c r="AF182" s="2004"/>
      <c r="AG182" s="2004"/>
      <c r="AH182" s="2004">
        <v>0</v>
      </c>
      <c r="AI182" s="2004"/>
      <c r="AJ182" s="2004" t="s">
        <v>2337</v>
      </c>
      <c r="AK182" s="2004" t="s">
        <v>2337</v>
      </c>
      <c r="AL182" s="2004" t="s">
        <v>2337</v>
      </c>
      <c r="AM182" s="2004" t="s">
        <v>2337</v>
      </c>
      <c r="AN182" s="2004"/>
      <c r="AO182" s="2004">
        <v>3.6</v>
      </c>
      <c r="AP182" s="2004">
        <v>3.6</v>
      </c>
      <c r="AQ182" s="2004">
        <v>3.6</v>
      </c>
      <c r="AR182" s="2004">
        <v>3.6</v>
      </c>
      <c r="AS182" s="2004"/>
      <c r="AT182" s="2004">
        <v>4.5</v>
      </c>
      <c r="AU182" s="2004">
        <v>4.5</v>
      </c>
      <c r="AV182" s="2004">
        <v>4.5</v>
      </c>
      <c r="AW182" s="2004">
        <v>4.5</v>
      </c>
      <c r="AX182" s="2004"/>
      <c r="AY182" s="2004">
        <v>4.7</v>
      </c>
      <c r="AZ182" s="2004">
        <v>4.7</v>
      </c>
      <c r="BA182" s="2004">
        <v>4.7</v>
      </c>
      <c r="BB182" s="2004">
        <v>4.7</v>
      </c>
      <c r="BC182" s="2004"/>
      <c r="BD182" s="2004">
        <v>5</v>
      </c>
      <c r="BE182" s="2004">
        <v>5</v>
      </c>
      <c r="BF182" s="2004">
        <v>5</v>
      </c>
      <c r="BG182" s="2004">
        <v>5</v>
      </c>
      <c r="BH182" s="2004">
        <v>1.6E-2</v>
      </c>
      <c r="BI182" s="2004"/>
      <c r="BJ182" s="2004"/>
      <c r="BK182" s="2004"/>
      <c r="BL182" s="2004">
        <v>1.6E-2</v>
      </c>
      <c r="BM182" s="2004"/>
      <c r="BN182" s="2004">
        <v>9</v>
      </c>
      <c r="BO182" s="2004" t="s">
        <v>10339</v>
      </c>
      <c r="BP182" s="516" t="s">
        <v>9204</v>
      </c>
      <c r="BQ182" s="686">
        <v>4.4000000000000004</v>
      </c>
      <c r="BR182" s="2004" t="s">
        <v>2334</v>
      </c>
      <c r="BS182" s="2004" t="s">
        <v>9204</v>
      </c>
      <c r="BT182" s="2004">
        <v>0</v>
      </c>
      <c r="BU182" s="2004" t="s">
        <v>9204</v>
      </c>
      <c r="BV182" s="2004">
        <v>0</v>
      </c>
      <c r="BW182" s="2004">
        <v>4.5</v>
      </c>
      <c r="BX182" s="2004" t="s">
        <v>2334</v>
      </c>
      <c r="BY182" s="2004">
        <v>0</v>
      </c>
      <c r="BZ182" s="2004">
        <v>0</v>
      </c>
      <c r="CA182" s="2004" t="s">
        <v>9120</v>
      </c>
      <c r="CB182" s="2004">
        <v>0</v>
      </c>
      <c r="CC182" s="2004">
        <v>4.5</v>
      </c>
      <c r="CD182" s="2004" t="s">
        <v>2334</v>
      </c>
      <c r="CE182" s="2004">
        <v>0</v>
      </c>
      <c r="CF182" s="2004">
        <v>0</v>
      </c>
      <c r="CG182" s="2004" t="s">
        <v>2340</v>
      </c>
      <c r="CH182" s="2004">
        <v>0</v>
      </c>
      <c r="CI182" s="2004">
        <v>4.5</v>
      </c>
      <c r="CJ182" s="2004" t="s">
        <v>2334</v>
      </c>
      <c r="CK182" s="2004">
        <v>0</v>
      </c>
      <c r="CL182" s="2004">
        <v>0</v>
      </c>
      <c r="CM182" s="2004" t="s">
        <v>2340</v>
      </c>
      <c r="CN182" s="2004">
        <v>0</v>
      </c>
      <c r="CP182" s="2004" t="s">
        <v>10340</v>
      </c>
    </row>
    <row r="183" spans="1:94">
      <c r="A183" s="2004" t="s">
        <v>10333</v>
      </c>
      <c r="B183" s="2004" t="s">
        <v>10341</v>
      </c>
      <c r="C183" s="2004" t="s">
        <v>9085</v>
      </c>
      <c r="D183" s="2004" t="s">
        <v>1628</v>
      </c>
      <c r="E183" s="2004" t="s">
        <v>9194</v>
      </c>
      <c r="F183" s="2004" t="s">
        <v>10342</v>
      </c>
      <c r="G183" s="2004" t="s">
        <v>7930</v>
      </c>
      <c r="H183" s="2004" t="s">
        <v>10343</v>
      </c>
      <c r="I183" s="2004" t="s">
        <v>10344</v>
      </c>
      <c r="J183" s="2004" t="s">
        <v>9199</v>
      </c>
      <c r="K183" s="2004" t="s">
        <v>9200</v>
      </c>
      <c r="L183" s="2004"/>
      <c r="M183" s="2004"/>
      <c r="N183" s="2004" t="s">
        <v>9386</v>
      </c>
      <c r="O183" s="2004" t="s">
        <v>9282</v>
      </c>
      <c r="P183" s="2004" t="s">
        <v>10338</v>
      </c>
      <c r="Q183" s="516">
        <v>1</v>
      </c>
      <c r="R183" s="2004" t="s">
        <v>9240</v>
      </c>
      <c r="S183" s="2004">
        <v>4.3</v>
      </c>
      <c r="T183" s="2004">
        <v>4.3</v>
      </c>
      <c r="U183" s="2004">
        <v>4.3</v>
      </c>
      <c r="V183" s="2004">
        <v>4.3</v>
      </c>
      <c r="W183" s="2004">
        <v>4.3</v>
      </c>
      <c r="X183" s="2004">
        <v>4.3</v>
      </c>
      <c r="Y183" s="2004"/>
      <c r="Z183" s="2004"/>
      <c r="AA183" s="2004"/>
      <c r="AB183" s="2004"/>
      <c r="AC183" s="2004"/>
      <c r="AD183" s="2004"/>
      <c r="AE183" s="2004"/>
      <c r="AF183" s="2004"/>
      <c r="AG183" s="2004"/>
      <c r="AH183" s="2004">
        <v>0</v>
      </c>
      <c r="AI183" s="2004"/>
      <c r="AJ183" s="2004" t="s">
        <v>2337</v>
      </c>
      <c r="AK183" s="2004" t="s">
        <v>2337</v>
      </c>
      <c r="AL183" s="2004" t="s">
        <v>2337</v>
      </c>
      <c r="AM183" s="2004" t="s">
        <v>2337</v>
      </c>
      <c r="AN183" s="2004"/>
      <c r="AO183" s="2004">
        <v>3.3</v>
      </c>
      <c r="AP183" s="2004">
        <v>3.3</v>
      </c>
      <c r="AQ183" s="2004">
        <v>3.3</v>
      </c>
      <c r="AR183" s="2004">
        <v>3.3</v>
      </c>
      <c r="AS183" s="2004"/>
      <c r="AT183" s="2004">
        <v>4.2</v>
      </c>
      <c r="AU183" s="2004">
        <v>4.2</v>
      </c>
      <c r="AV183" s="2004">
        <v>4.2</v>
      </c>
      <c r="AW183" s="2004">
        <v>4.2</v>
      </c>
      <c r="AX183" s="2004"/>
      <c r="AY183" s="2004">
        <v>4.4000000000000004</v>
      </c>
      <c r="AZ183" s="2004">
        <v>4.4000000000000004</v>
      </c>
      <c r="BA183" s="2004">
        <v>4.4000000000000004</v>
      </c>
      <c r="BB183" s="2004">
        <v>4.4000000000000004</v>
      </c>
      <c r="BC183" s="2004"/>
      <c r="BD183" s="2004">
        <v>5</v>
      </c>
      <c r="BE183" s="2004">
        <v>5</v>
      </c>
      <c r="BF183" s="2004">
        <v>5</v>
      </c>
      <c r="BG183" s="2004">
        <v>5</v>
      </c>
      <c r="BH183" s="2004">
        <v>3.1E-2</v>
      </c>
      <c r="BI183" s="2004"/>
      <c r="BJ183" s="2004"/>
      <c r="BK183" s="2004"/>
      <c r="BL183" s="2004">
        <v>3.1E-2</v>
      </c>
      <c r="BM183" s="2004"/>
      <c r="BN183" s="2004">
        <v>9</v>
      </c>
      <c r="BO183" s="2004" t="s">
        <v>10339</v>
      </c>
      <c r="BP183" s="516" t="s">
        <v>9204</v>
      </c>
      <c r="BQ183" s="686">
        <v>4.0999999999999996</v>
      </c>
      <c r="BR183" s="2004" t="s">
        <v>2334</v>
      </c>
      <c r="BS183" s="2004" t="s">
        <v>9204</v>
      </c>
      <c r="BT183" s="2004">
        <v>0</v>
      </c>
      <c r="BU183" s="2004" t="s">
        <v>9204</v>
      </c>
      <c r="BV183" s="2004">
        <v>0</v>
      </c>
      <c r="BW183" s="2004">
        <v>4.2</v>
      </c>
      <c r="BX183" s="2004" t="s">
        <v>2334</v>
      </c>
      <c r="BY183" s="2004">
        <v>0</v>
      </c>
      <c r="BZ183" s="2004">
        <v>0</v>
      </c>
      <c r="CA183" s="2004" t="s">
        <v>9120</v>
      </c>
      <c r="CB183" s="2004">
        <v>0</v>
      </c>
      <c r="CC183" s="2004">
        <v>4.2</v>
      </c>
      <c r="CD183" s="2004" t="s">
        <v>2334</v>
      </c>
      <c r="CE183" s="2004">
        <v>0</v>
      </c>
      <c r="CF183" s="2004">
        <v>0</v>
      </c>
      <c r="CG183" s="2004" t="s">
        <v>2340</v>
      </c>
      <c r="CH183" s="2004">
        <v>0</v>
      </c>
      <c r="CI183" s="2004">
        <v>4.2</v>
      </c>
      <c r="CJ183" s="2004" t="s">
        <v>2334</v>
      </c>
      <c r="CK183" s="2004">
        <v>0</v>
      </c>
      <c r="CL183" s="2004">
        <v>0</v>
      </c>
      <c r="CM183" s="2004" t="s">
        <v>2340</v>
      </c>
      <c r="CN183" s="2004">
        <v>0</v>
      </c>
      <c r="CP183" s="2004" t="s">
        <v>10345</v>
      </c>
    </row>
    <row r="184" spans="1:94">
      <c r="A184" s="2004" t="s">
        <v>10333</v>
      </c>
      <c r="B184" s="2004" t="s">
        <v>10346</v>
      </c>
      <c r="C184" s="2004" t="s">
        <v>9085</v>
      </c>
      <c r="D184" s="2004" t="s">
        <v>1628</v>
      </c>
      <c r="E184" s="2004" t="s">
        <v>9194</v>
      </c>
      <c r="F184" s="2004" t="s">
        <v>10347</v>
      </c>
      <c r="G184" s="2004" t="s">
        <v>8948</v>
      </c>
      <c r="H184" s="2004" t="s">
        <v>10348</v>
      </c>
      <c r="I184" s="2004" t="s">
        <v>10349</v>
      </c>
      <c r="J184" s="2004" t="s">
        <v>9199</v>
      </c>
      <c r="K184" s="2004" t="s">
        <v>9200</v>
      </c>
      <c r="L184" s="2004"/>
      <c r="M184" s="2004"/>
      <c r="N184" s="2004" t="s">
        <v>9386</v>
      </c>
      <c r="O184" s="2004" t="s">
        <v>9282</v>
      </c>
      <c r="P184" s="2004" t="s">
        <v>10338</v>
      </c>
      <c r="Q184" s="516">
        <v>1</v>
      </c>
      <c r="R184" s="2004" t="s">
        <v>9240</v>
      </c>
      <c r="S184" s="2004">
        <v>3.6</v>
      </c>
      <c r="T184" s="2004">
        <v>4</v>
      </c>
      <c r="U184" s="2004">
        <v>4</v>
      </c>
      <c r="V184" s="2004">
        <v>4</v>
      </c>
      <c r="W184" s="2004">
        <v>4</v>
      </c>
      <c r="X184" s="2004">
        <v>4</v>
      </c>
      <c r="Y184" s="2004"/>
      <c r="Z184" s="2004"/>
      <c r="AA184" s="2004"/>
      <c r="AB184" s="2004"/>
      <c r="AC184" s="2004"/>
      <c r="AD184" s="2004"/>
      <c r="AE184" s="2004"/>
      <c r="AF184" s="2004"/>
      <c r="AG184" s="2004"/>
      <c r="AH184" s="2004">
        <v>0</v>
      </c>
      <c r="AI184" s="2004"/>
      <c r="AJ184" s="2004" t="s">
        <v>2337</v>
      </c>
      <c r="AK184" s="2004" t="s">
        <v>2337</v>
      </c>
      <c r="AL184" s="2004" t="s">
        <v>2337</v>
      </c>
      <c r="AM184" s="2004" t="s">
        <v>2337</v>
      </c>
      <c r="AN184" s="2004"/>
      <c r="AO184" s="2004">
        <v>3</v>
      </c>
      <c r="AP184" s="2004">
        <v>3</v>
      </c>
      <c r="AQ184" s="2004">
        <v>3</v>
      </c>
      <c r="AR184" s="2004">
        <v>3</v>
      </c>
      <c r="AS184" s="2004"/>
      <c r="AT184" s="2004">
        <v>3.9</v>
      </c>
      <c r="AU184" s="2004">
        <v>3.9</v>
      </c>
      <c r="AV184" s="2004">
        <v>3.9</v>
      </c>
      <c r="AW184" s="2004">
        <v>3.9</v>
      </c>
      <c r="AX184" s="2004"/>
      <c r="AY184" s="2004">
        <v>4.0999999999999996</v>
      </c>
      <c r="AZ184" s="2004">
        <v>4.0999999999999996</v>
      </c>
      <c r="BA184" s="2004">
        <v>4.0999999999999996</v>
      </c>
      <c r="BB184" s="2004">
        <v>4.0999999999999996</v>
      </c>
      <c r="BC184" s="2004"/>
      <c r="BD184" s="2004">
        <v>5</v>
      </c>
      <c r="BE184" s="2004">
        <v>5</v>
      </c>
      <c r="BF184" s="2004">
        <v>5</v>
      </c>
      <c r="BG184" s="2004">
        <v>5</v>
      </c>
      <c r="BH184" s="2004">
        <v>3.6999999999999998E-2</v>
      </c>
      <c r="BI184" s="2004"/>
      <c r="BJ184" s="2004"/>
      <c r="BK184" s="2004"/>
      <c r="BL184" s="2004">
        <v>3.6999999999999998E-2</v>
      </c>
      <c r="BM184" s="2004"/>
      <c r="BN184" s="2004">
        <v>7</v>
      </c>
      <c r="BO184" s="2004" t="s">
        <v>10339</v>
      </c>
      <c r="BP184" s="516" t="s">
        <v>9204</v>
      </c>
      <c r="BQ184" s="686">
        <v>3.4</v>
      </c>
      <c r="BR184" s="2004" t="s">
        <v>2334</v>
      </c>
      <c r="BS184" s="2004" t="s">
        <v>9204</v>
      </c>
      <c r="BT184" s="2004">
        <v>0</v>
      </c>
      <c r="BU184" s="2004" t="s">
        <v>9204</v>
      </c>
      <c r="BV184" s="2004">
        <v>0</v>
      </c>
      <c r="BW184" s="2004">
        <v>3.8</v>
      </c>
      <c r="BX184" s="2004" t="s">
        <v>2334</v>
      </c>
      <c r="BY184" s="2004">
        <v>0</v>
      </c>
      <c r="BZ184" s="2004">
        <v>0</v>
      </c>
      <c r="CA184" s="2004" t="s">
        <v>9254</v>
      </c>
      <c r="CB184" s="2004">
        <v>-2.5899999999999996E-2</v>
      </c>
      <c r="CC184" s="2004">
        <v>3.8</v>
      </c>
      <c r="CD184" s="2004" t="s">
        <v>2334</v>
      </c>
      <c r="CE184" s="2004">
        <v>0</v>
      </c>
      <c r="CF184" s="2004">
        <v>0</v>
      </c>
      <c r="CG184" s="2004" t="s">
        <v>2336</v>
      </c>
      <c r="CH184" s="2004">
        <v>-2.5899999999999996E-2</v>
      </c>
      <c r="CI184" s="2004">
        <v>3.6</v>
      </c>
      <c r="CJ184" s="2004" t="s">
        <v>2334</v>
      </c>
      <c r="CK184" s="2004">
        <v>0</v>
      </c>
      <c r="CL184" s="2004">
        <v>0</v>
      </c>
      <c r="CM184" s="2004" t="s">
        <v>2336</v>
      </c>
      <c r="CN184" s="2004">
        <v>-7.7699999999999991E-2</v>
      </c>
      <c r="CP184" s="2004" t="s">
        <v>10350</v>
      </c>
    </row>
    <row r="185" spans="1:94">
      <c r="A185" s="2004" t="s">
        <v>10333</v>
      </c>
      <c r="B185" s="2004" t="s">
        <v>10351</v>
      </c>
      <c r="C185" s="2004" t="s">
        <v>9085</v>
      </c>
      <c r="D185" s="2004" t="s">
        <v>1628</v>
      </c>
      <c r="E185" s="2004" t="s">
        <v>9194</v>
      </c>
      <c r="F185" s="2004" t="s">
        <v>10347</v>
      </c>
      <c r="G185" s="2004" t="s">
        <v>8951</v>
      </c>
      <c r="H185" s="2004" t="s">
        <v>10352</v>
      </c>
      <c r="I185" s="2004" t="s">
        <v>10353</v>
      </c>
      <c r="J185" s="2004" t="s">
        <v>9199</v>
      </c>
      <c r="K185" s="2004" t="s">
        <v>9200</v>
      </c>
      <c r="L185" s="2004"/>
      <c r="M185" s="2004"/>
      <c r="N185" s="2004" t="s">
        <v>2927</v>
      </c>
      <c r="O185" s="2004" t="s">
        <v>766</v>
      </c>
      <c r="P185" s="2004" t="s">
        <v>9201</v>
      </c>
      <c r="Q185" s="516">
        <v>1</v>
      </c>
      <c r="R185" s="2004" t="s">
        <v>9202</v>
      </c>
      <c r="S185" s="2004">
        <v>93</v>
      </c>
      <c r="T185" s="2004">
        <v>91.8</v>
      </c>
      <c r="U185" s="2004">
        <v>90.9</v>
      </c>
      <c r="V185" s="2004">
        <v>90</v>
      </c>
      <c r="W185" s="2004">
        <v>89.1</v>
      </c>
      <c r="X185" s="2004">
        <v>88.1</v>
      </c>
      <c r="Y185" s="2004"/>
      <c r="Z185" s="2004"/>
      <c r="AA185" s="2004"/>
      <c r="AB185" s="2004"/>
      <c r="AC185" s="2004"/>
      <c r="AD185" s="2004"/>
      <c r="AE185" s="2004" t="s">
        <v>2337</v>
      </c>
      <c r="AF185" s="2004"/>
      <c r="AG185" s="2004"/>
      <c r="AH185" s="2004">
        <v>0</v>
      </c>
      <c r="AI185" s="2004" t="s">
        <v>2337</v>
      </c>
      <c r="AJ185" s="2004" t="s">
        <v>2337</v>
      </c>
      <c r="AK185" s="2004" t="s">
        <v>2337</v>
      </c>
      <c r="AL185" s="2004" t="s">
        <v>2337</v>
      </c>
      <c r="AM185" s="2004" t="s">
        <v>2337</v>
      </c>
      <c r="AN185" s="2004">
        <v>101</v>
      </c>
      <c r="AO185" s="2004">
        <v>100</v>
      </c>
      <c r="AP185" s="2004">
        <v>99</v>
      </c>
      <c r="AQ185" s="2004">
        <v>98</v>
      </c>
      <c r="AR185" s="2004">
        <v>96.9</v>
      </c>
      <c r="AS185" s="2004">
        <v>92.8</v>
      </c>
      <c r="AT185" s="2004">
        <v>91.9</v>
      </c>
      <c r="AU185" s="2004">
        <v>91</v>
      </c>
      <c r="AV185" s="2004">
        <v>90.1</v>
      </c>
      <c r="AW185" s="2004">
        <v>89.1</v>
      </c>
      <c r="AX185" s="2004">
        <v>90.8</v>
      </c>
      <c r="AY185" s="2004">
        <v>89.9</v>
      </c>
      <c r="AZ185" s="2004">
        <v>89</v>
      </c>
      <c r="BA185" s="2004">
        <v>88.1</v>
      </c>
      <c r="BB185" s="2004">
        <v>87.1</v>
      </c>
      <c r="BC185" s="2004">
        <v>85.8</v>
      </c>
      <c r="BD185" s="2004">
        <v>84.9</v>
      </c>
      <c r="BE185" s="2004">
        <v>84</v>
      </c>
      <c r="BF185" s="2004">
        <v>83.1</v>
      </c>
      <c r="BG185" s="2004">
        <v>82.1</v>
      </c>
      <c r="BH185" s="2004">
        <v>0.315</v>
      </c>
      <c r="BI185" s="2004"/>
      <c r="BJ185" s="2004"/>
      <c r="BK185" s="2004"/>
      <c r="BL185" s="2004">
        <v>0.315</v>
      </c>
      <c r="BM185" s="2004"/>
      <c r="BN185" s="2004">
        <v>1</v>
      </c>
      <c r="BO185" s="2004" t="s">
        <v>9203</v>
      </c>
      <c r="BP185" s="516">
        <v>92.45</v>
      </c>
      <c r="BQ185" s="686">
        <v>88.11</v>
      </c>
      <c r="BR185" s="2004" t="s">
        <v>2337</v>
      </c>
      <c r="BS185" s="2004" t="s">
        <v>9204</v>
      </c>
      <c r="BT185" s="2004">
        <v>0</v>
      </c>
      <c r="BU185" s="2004" t="s">
        <v>2339</v>
      </c>
      <c r="BV185" s="2004">
        <v>0.84626632607813057</v>
      </c>
      <c r="BW185" s="2004">
        <v>88.6</v>
      </c>
      <c r="BX185" s="2004" t="s">
        <v>2337</v>
      </c>
      <c r="BY185" s="2004">
        <v>0</v>
      </c>
      <c r="BZ185" s="2004">
        <v>0</v>
      </c>
      <c r="CA185" s="2004" t="s">
        <v>2339</v>
      </c>
      <c r="CB185" s="2004">
        <v>0.40899999999999997</v>
      </c>
      <c r="CC185" s="2004">
        <v>87.7</v>
      </c>
      <c r="CD185" s="2004" t="s">
        <v>2337</v>
      </c>
      <c r="CE185" s="2004">
        <v>0</v>
      </c>
      <c r="CF185" s="2004">
        <v>0</v>
      </c>
      <c r="CG185" s="2004" t="s">
        <v>2339</v>
      </c>
      <c r="CH185" s="2004">
        <v>0.189</v>
      </c>
      <c r="CI185" s="2004">
        <v>86.884250225089886</v>
      </c>
      <c r="CJ185" s="2004" t="s">
        <v>2337</v>
      </c>
      <c r="CK185" s="2004">
        <v>0</v>
      </c>
      <c r="CL185" s="2004">
        <v>0</v>
      </c>
      <c r="CM185" s="2004" t="s">
        <v>2339</v>
      </c>
      <c r="CN185" s="2004">
        <v>0.37799999999999639</v>
      </c>
      <c r="CP185" s="2004" t="s">
        <v>10354</v>
      </c>
    </row>
    <row r="186" spans="1:94">
      <c r="A186" s="2004" t="s">
        <v>10333</v>
      </c>
      <c r="B186" s="2004" t="s">
        <v>10355</v>
      </c>
      <c r="C186" s="2004" t="s">
        <v>9085</v>
      </c>
      <c r="D186" s="2004" t="s">
        <v>1628</v>
      </c>
      <c r="E186" s="2004" t="s">
        <v>9194</v>
      </c>
      <c r="F186" s="2004" t="s">
        <v>10356</v>
      </c>
      <c r="G186" s="2004" t="s">
        <v>8955</v>
      </c>
      <c r="H186" s="2004" t="s">
        <v>10357</v>
      </c>
      <c r="I186" s="2004" t="s">
        <v>10358</v>
      </c>
      <c r="J186" s="2004" t="s">
        <v>9199</v>
      </c>
      <c r="K186" s="2004" t="s">
        <v>9200</v>
      </c>
      <c r="L186" s="2004"/>
      <c r="M186" s="2004"/>
      <c r="N186" s="2004" t="s">
        <v>9386</v>
      </c>
      <c r="O186" s="2004" t="s">
        <v>9282</v>
      </c>
      <c r="P186" s="2004" t="s">
        <v>10338</v>
      </c>
      <c r="Q186" s="516">
        <v>1</v>
      </c>
      <c r="R186" s="2004" t="s">
        <v>9240</v>
      </c>
      <c r="S186" s="2004">
        <v>4.5</v>
      </c>
      <c r="T186" s="2004">
        <v>4.5</v>
      </c>
      <c r="U186" s="2004">
        <v>4.5</v>
      </c>
      <c r="V186" s="2004">
        <v>4.5</v>
      </c>
      <c r="W186" s="2004">
        <v>4.5</v>
      </c>
      <c r="X186" s="2004">
        <v>4.5</v>
      </c>
      <c r="Y186" s="2004"/>
      <c r="Z186" s="2004"/>
      <c r="AA186" s="2004"/>
      <c r="AB186" s="2004"/>
      <c r="AC186" s="2004"/>
      <c r="AD186" s="2004"/>
      <c r="AE186" s="2004"/>
      <c r="AF186" s="2004"/>
      <c r="AG186" s="2004"/>
      <c r="AH186" s="2004">
        <v>0</v>
      </c>
      <c r="AI186" s="2004"/>
      <c r="AJ186" s="2004" t="s">
        <v>2337</v>
      </c>
      <c r="AK186" s="2004" t="s">
        <v>2337</v>
      </c>
      <c r="AL186" s="2004" t="s">
        <v>2337</v>
      </c>
      <c r="AM186" s="2004" t="s">
        <v>2337</v>
      </c>
      <c r="AN186" s="2004"/>
      <c r="AO186" s="2004">
        <v>3.5</v>
      </c>
      <c r="AP186" s="2004">
        <v>3.5</v>
      </c>
      <c r="AQ186" s="2004">
        <v>3.5</v>
      </c>
      <c r="AR186" s="2004">
        <v>3.5</v>
      </c>
      <c r="AS186" s="2004"/>
      <c r="AT186" s="2004">
        <v>4.4000000000000004</v>
      </c>
      <c r="AU186" s="2004">
        <v>4.4000000000000004</v>
      </c>
      <c r="AV186" s="2004">
        <v>4.4000000000000004</v>
      </c>
      <c r="AW186" s="2004">
        <v>4.4000000000000004</v>
      </c>
      <c r="AX186" s="2004"/>
      <c r="AY186" s="2004">
        <v>4.5999999999999996</v>
      </c>
      <c r="AZ186" s="2004">
        <v>4.5999999999999996</v>
      </c>
      <c r="BA186" s="2004">
        <v>4.5999999999999996</v>
      </c>
      <c r="BB186" s="2004">
        <v>4.5999999999999996</v>
      </c>
      <c r="BC186" s="2004"/>
      <c r="BD186" s="2004">
        <v>5</v>
      </c>
      <c r="BE186" s="2004">
        <v>5</v>
      </c>
      <c r="BF186" s="2004">
        <v>5</v>
      </c>
      <c r="BG186" s="2004">
        <v>5</v>
      </c>
      <c r="BH186" s="2004">
        <v>8.0000000000000002E-3</v>
      </c>
      <c r="BI186" s="2004"/>
      <c r="BJ186" s="2004"/>
      <c r="BK186" s="2004"/>
      <c r="BL186" s="2004">
        <v>8.0000000000000002E-3</v>
      </c>
      <c r="BM186" s="2004"/>
      <c r="BN186" s="2004">
        <v>2</v>
      </c>
      <c r="BO186" s="2004" t="s">
        <v>10339</v>
      </c>
      <c r="BP186" s="516" t="s">
        <v>9204</v>
      </c>
      <c r="BQ186" s="686">
        <v>4.2</v>
      </c>
      <c r="BR186" s="2004" t="s">
        <v>2334</v>
      </c>
      <c r="BS186" s="2004" t="s">
        <v>9204</v>
      </c>
      <c r="BT186" s="2004">
        <v>0</v>
      </c>
      <c r="BU186" s="2004" t="s">
        <v>9204</v>
      </c>
      <c r="BV186" s="2004">
        <v>0</v>
      </c>
      <c r="BW186" s="2004">
        <v>4.3</v>
      </c>
      <c r="BX186" s="2004" t="s">
        <v>2334</v>
      </c>
      <c r="BY186" s="2004">
        <v>0</v>
      </c>
      <c r="BZ186" s="2004">
        <v>0</v>
      </c>
      <c r="CA186" s="2004" t="s">
        <v>9254</v>
      </c>
      <c r="CB186" s="2004">
        <v>-1.6000000000000001E-3</v>
      </c>
      <c r="CC186" s="2004">
        <v>4.3</v>
      </c>
      <c r="CD186" s="2004" t="s">
        <v>2334</v>
      </c>
      <c r="CE186" s="2004">
        <v>0</v>
      </c>
      <c r="CF186" s="2004">
        <v>0</v>
      </c>
      <c r="CG186" s="2004" t="s">
        <v>2336</v>
      </c>
      <c r="CH186" s="2004">
        <v>-1.6000000000000001E-3</v>
      </c>
      <c r="CI186" s="2004">
        <v>4.3</v>
      </c>
      <c r="CJ186" s="2004" t="s">
        <v>2334</v>
      </c>
      <c r="CK186" s="2004">
        <v>0</v>
      </c>
      <c r="CL186" s="2004">
        <v>0</v>
      </c>
      <c r="CM186" s="2004" t="s">
        <v>2336</v>
      </c>
      <c r="CN186" s="2004">
        <v>-1.6000000000000081E-3</v>
      </c>
      <c r="CP186" s="2004" t="s">
        <v>10359</v>
      </c>
    </row>
    <row r="187" spans="1:94">
      <c r="A187" s="2004" t="s">
        <v>10333</v>
      </c>
      <c r="B187" s="2004" t="s">
        <v>10360</v>
      </c>
      <c r="C187" s="2004" t="s">
        <v>9085</v>
      </c>
      <c r="D187" s="2004" t="s">
        <v>1628</v>
      </c>
      <c r="E187" s="2004" t="s">
        <v>9194</v>
      </c>
      <c r="F187" s="2004" t="s">
        <v>10356</v>
      </c>
      <c r="G187" s="2004" t="s">
        <v>8958</v>
      </c>
      <c r="H187" s="2004" t="s">
        <v>10361</v>
      </c>
      <c r="I187" s="2004" t="s">
        <v>10362</v>
      </c>
      <c r="J187" s="2004" t="s">
        <v>9199</v>
      </c>
      <c r="K187" s="2004" t="s">
        <v>9200</v>
      </c>
      <c r="L187" s="2004"/>
      <c r="M187" s="2004" t="s">
        <v>2334</v>
      </c>
      <c r="N187" s="2004" t="s">
        <v>9281</v>
      </c>
      <c r="O187" s="2004" t="s">
        <v>9282</v>
      </c>
      <c r="P187" s="2004" t="s">
        <v>9283</v>
      </c>
      <c r="Q187" s="516">
        <v>1</v>
      </c>
      <c r="R187" s="2004" t="s">
        <v>9240</v>
      </c>
      <c r="S187" s="2004">
        <v>78</v>
      </c>
      <c r="T187" s="2004"/>
      <c r="U187" s="2004"/>
      <c r="V187" s="2004"/>
      <c r="W187" s="2004"/>
      <c r="X187" s="2004" t="s">
        <v>9917</v>
      </c>
      <c r="Y187" s="2004"/>
      <c r="Z187" s="2004"/>
      <c r="AA187" s="2004"/>
      <c r="AB187" s="2004"/>
      <c r="AC187" s="2004"/>
      <c r="AD187" s="2004"/>
      <c r="AE187" s="2004"/>
      <c r="AF187" s="2004"/>
      <c r="AG187" s="2004"/>
      <c r="AH187" s="2004">
        <v>0</v>
      </c>
      <c r="AI187" s="2004" t="s">
        <v>2337</v>
      </c>
      <c r="AJ187" s="2004" t="s">
        <v>2337</v>
      </c>
      <c r="AK187" s="2004" t="s">
        <v>2337</v>
      </c>
      <c r="AL187" s="2004" t="s">
        <v>2337</v>
      </c>
      <c r="AM187" s="2004" t="s">
        <v>2337</v>
      </c>
      <c r="AN187" s="2004" t="s">
        <v>9284</v>
      </c>
      <c r="AO187" s="2004" t="s">
        <v>9284</v>
      </c>
      <c r="AP187" s="2004" t="s">
        <v>9284</v>
      </c>
      <c r="AQ187" s="2004" t="s">
        <v>9284</v>
      </c>
      <c r="AR187" s="2004" t="s">
        <v>9284</v>
      </c>
      <c r="AS187" s="2004" t="s">
        <v>9284</v>
      </c>
      <c r="AT187" s="2004" t="s">
        <v>9284</v>
      </c>
      <c r="AU187" s="2004" t="s">
        <v>9284</v>
      </c>
      <c r="AV187" s="2004" t="s">
        <v>9284</v>
      </c>
      <c r="AW187" s="2004" t="s">
        <v>9284</v>
      </c>
      <c r="AX187" s="2004" t="s">
        <v>9284</v>
      </c>
      <c r="AY187" s="2004" t="s">
        <v>9284</v>
      </c>
      <c r="AZ187" s="2004" t="s">
        <v>9284</v>
      </c>
      <c r="BA187" s="2004" t="s">
        <v>9284</v>
      </c>
      <c r="BB187" s="2004" t="s">
        <v>9284</v>
      </c>
      <c r="BC187" s="2004" t="s">
        <v>9284</v>
      </c>
      <c r="BD187" s="2004" t="s">
        <v>9284</v>
      </c>
      <c r="BE187" s="2004" t="s">
        <v>9284</v>
      </c>
      <c r="BF187" s="2004" t="s">
        <v>9284</v>
      </c>
      <c r="BG187" s="2004" t="s">
        <v>9284</v>
      </c>
      <c r="BH187" s="2004" t="s">
        <v>9284</v>
      </c>
      <c r="BI187" s="2004"/>
      <c r="BJ187" s="2004"/>
      <c r="BK187" s="2004"/>
      <c r="BL187" s="2004" t="s">
        <v>9284</v>
      </c>
      <c r="BM187" s="2004"/>
      <c r="BN187" s="2004">
        <v>1</v>
      </c>
      <c r="BO187" s="2004" t="s">
        <v>9203</v>
      </c>
      <c r="BP187" s="516" t="s">
        <v>9204</v>
      </c>
      <c r="BQ187" s="686">
        <v>81.95</v>
      </c>
      <c r="BR187" s="2004" t="s">
        <v>9204</v>
      </c>
      <c r="BS187" s="2004" t="s">
        <v>9204</v>
      </c>
      <c r="BT187" s="2004">
        <v>0</v>
      </c>
      <c r="BU187" s="2004" t="s">
        <v>9204</v>
      </c>
      <c r="BV187" s="2004">
        <v>0</v>
      </c>
      <c r="BW187" s="2004">
        <v>84.6</v>
      </c>
      <c r="BX187" s="2004" t="s">
        <v>2335</v>
      </c>
      <c r="BY187" s="2004">
        <v>0</v>
      </c>
      <c r="BZ187" s="2004">
        <v>0</v>
      </c>
      <c r="CA187" s="2004">
        <v>0</v>
      </c>
      <c r="CB187" s="2004">
        <v>0</v>
      </c>
      <c r="CC187" s="2004">
        <v>85.6</v>
      </c>
      <c r="CD187" s="2004" t="s">
        <v>2335</v>
      </c>
      <c r="CE187" s="2004">
        <v>0</v>
      </c>
      <c r="CF187" s="2004">
        <v>0</v>
      </c>
      <c r="CG187" s="2004">
        <v>0</v>
      </c>
      <c r="CH187" s="2004">
        <v>0</v>
      </c>
      <c r="CI187" s="2004">
        <v>85.4</v>
      </c>
      <c r="CJ187" s="2004" t="s">
        <v>2335</v>
      </c>
      <c r="CK187" s="2004">
        <v>0</v>
      </c>
      <c r="CL187" s="2004">
        <v>0</v>
      </c>
      <c r="CM187" s="2004">
        <v>0</v>
      </c>
      <c r="CN187" s="2004">
        <v>0</v>
      </c>
      <c r="CP187" s="2004" t="s">
        <v>10363</v>
      </c>
    </row>
    <row r="188" spans="1:94">
      <c r="A188" s="2004" t="s">
        <v>10333</v>
      </c>
      <c r="B188" s="2004" t="s">
        <v>10364</v>
      </c>
      <c r="C188" s="2004" t="s">
        <v>9085</v>
      </c>
      <c r="D188" s="2004" t="s">
        <v>1628</v>
      </c>
      <c r="E188" s="2004" t="s">
        <v>9194</v>
      </c>
      <c r="F188" s="2004" t="s">
        <v>10365</v>
      </c>
      <c r="G188" s="2004" t="s">
        <v>8971</v>
      </c>
      <c r="H188" s="2004" t="s">
        <v>10366</v>
      </c>
      <c r="I188" s="2004" t="s">
        <v>10367</v>
      </c>
      <c r="J188" s="2004" t="s">
        <v>9230</v>
      </c>
      <c r="K188" s="2004"/>
      <c r="L188" s="2004"/>
      <c r="M188" s="2004"/>
      <c r="N188" s="2004" t="s">
        <v>9290</v>
      </c>
      <c r="O188" s="2004" t="s">
        <v>734</v>
      </c>
      <c r="P188" s="2004" t="s">
        <v>9387</v>
      </c>
      <c r="Q188" s="516">
        <v>0</v>
      </c>
      <c r="R188" s="2004" t="s">
        <v>9240</v>
      </c>
      <c r="S188" s="2004">
        <v>72</v>
      </c>
      <c r="T188" s="2004"/>
      <c r="U188" s="2004"/>
      <c r="V188" s="2004"/>
      <c r="W188" s="2004"/>
      <c r="X188" s="2004" t="s">
        <v>9917</v>
      </c>
      <c r="Y188" s="2004"/>
      <c r="Z188" s="2004"/>
      <c r="AA188" s="2004"/>
      <c r="AB188" s="2004"/>
      <c r="AC188" s="2004"/>
      <c r="AD188" s="2004"/>
      <c r="AE188" s="2004"/>
      <c r="AF188" s="2004"/>
      <c r="AG188" s="2004"/>
      <c r="AH188" s="2004">
        <v>0</v>
      </c>
      <c r="AI188" s="2004"/>
      <c r="AJ188" s="2004"/>
      <c r="AK188" s="2004"/>
      <c r="AL188" s="2004"/>
      <c r="AM188" s="2004"/>
      <c r="AN188" s="2004"/>
      <c r="AO188" s="2004"/>
      <c r="AP188" s="2004"/>
      <c r="AQ188" s="2004"/>
      <c r="AR188" s="2004"/>
      <c r="AS188" s="2004"/>
      <c r="AT188" s="2004"/>
      <c r="AU188" s="2004"/>
      <c r="AV188" s="2004"/>
      <c r="AW188" s="2004"/>
      <c r="AX188" s="2004"/>
      <c r="AY188" s="2004"/>
      <c r="AZ188" s="2004"/>
      <c r="BA188" s="2004"/>
      <c r="BB188" s="2004"/>
      <c r="BC188" s="2004"/>
      <c r="BD188" s="2004"/>
      <c r="BE188" s="2004"/>
      <c r="BF188" s="2004"/>
      <c r="BG188" s="2004"/>
      <c r="BH188" s="2004"/>
      <c r="BI188" s="2004"/>
      <c r="BJ188" s="2004"/>
      <c r="BK188" s="2004"/>
      <c r="BL188" s="2004"/>
      <c r="BM188" s="2004"/>
      <c r="BN188" s="2004"/>
      <c r="BO188" s="2004"/>
      <c r="BP188" s="516">
        <v>72</v>
      </c>
      <c r="BQ188" s="689">
        <v>71</v>
      </c>
      <c r="BR188" s="2004" t="s">
        <v>9204</v>
      </c>
      <c r="BS188" s="2004" t="s">
        <v>9204</v>
      </c>
      <c r="BT188" s="2004">
        <v>0</v>
      </c>
      <c r="BU188" s="2004" t="s">
        <v>9204</v>
      </c>
      <c r="BV188" s="2004">
        <v>0</v>
      </c>
      <c r="BW188" s="2004">
        <v>0.74</v>
      </c>
      <c r="BX188" s="2004" t="s">
        <v>2335</v>
      </c>
      <c r="BY188" s="2004">
        <v>0</v>
      </c>
      <c r="BZ188" s="2004">
        <v>0</v>
      </c>
      <c r="CA188" s="2004">
        <v>0</v>
      </c>
      <c r="CB188" s="2004">
        <v>0</v>
      </c>
      <c r="CC188" s="2004">
        <v>71</v>
      </c>
      <c r="CD188" s="2004" t="s">
        <v>2335</v>
      </c>
      <c r="CE188" s="2004">
        <v>0</v>
      </c>
      <c r="CF188" s="2004">
        <v>0</v>
      </c>
      <c r="CG188" s="2004">
        <v>0</v>
      </c>
      <c r="CH188" s="2004">
        <v>0</v>
      </c>
      <c r="CI188" s="2004">
        <v>73</v>
      </c>
      <c r="CJ188" s="2004" t="s">
        <v>2335</v>
      </c>
      <c r="CK188" s="2004">
        <v>0</v>
      </c>
      <c r="CL188" s="2004">
        <v>0</v>
      </c>
      <c r="CM188" s="2004">
        <v>0</v>
      </c>
      <c r="CN188" s="2004">
        <v>0</v>
      </c>
      <c r="CP188" s="2004" t="s">
        <v>10368</v>
      </c>
    </row>
    <row r="189" spans="1:94">
      <c r="A189" s="2004" t="s">
        <v>10333</v>
      </c>
      <c r="B189" s="2004" t="s">
        <v>10369</v>
      </c>
      <c r="C189" s="2004" t="s">
        <v>9085</v>
      </c>
      <c r="D189" s="2004" t="s">
        <v>1628</v>
      </c>
      <c r="E189" s="2004" t="s">
        <v>9194</v>
      </c>
      <c r="F189" s="2004" t="s">
        <v>10370</v>
      </c>
      <c r="G189" s="2004" t="s">
        <v>8987</v>
      </c>
      <c r="H189" s="2004" t="s">
        <v>10371</v>
      </c>
      <c r="I189" s="2004" t="s">
        <v>10372</v>
      </c>
      <c r="J189" s="2004" t="s">
        <v>9199</v>
      </c>
      <c r="K189" s="2004" t="s">
        <v>9200</v>
      </c>
      <c r="L189" s="2004"/>
      <c r="M189" s="2004"/>
      <c r="N189" s="2004" t="s">
        <v>9386</v>
      </c>
      <c r="O189" s="2004" t="s">
        <v>9282</v>
      </c>
      <c r="P189" s="2004" t="s">
        <v>10338</v>
      </c>
      <c r="Q189" s="516">
        <v>1</v>
      </c>
      <c r="R189" s="2004" t="s">
        <v>9240</v>
      </c>
      <c r="S189" s="2004">
        <v>4.5</v>
      </c>
      <c r="T189" s="2004">
        <v>4.5</v>
      </c>
      <c r="U189" s="2004">
        <v>4.5</v>
      </c>
      <c r="V189" s="2004">
        <v>4.5</v>
      </c>
      <c r="W189" s="2004">
        <v>4.5</v>
      </c>
      <c r="X189" s="2004">
        <v>4.5</v>
      </c>
      <c r="Y189" s="2004"/>
      <c r="Z189" s="2004"/>
      <c r="AA189" s="2004"/>
      <c r="AB189" s="2004"/>
      <c r="AC189" s="2004"/>
      <c r="AD189" s="2004"/>
      <c r="AE189" s="2004"/>
      <c r="AF189" s="2004"/>
      <c r="AG189" s="2004"/>
      <c r="AH189" s="2004">
        <v>0</v>
      </c>
      <c r="AI189" s="2004"/>
      <c r="AJ189" s="2004" t="s">
        <v>2337</v>
      </c>
      <c r="AK189" s="2004" t="s">
        <v>2337</v>
      </c>
      <c r="AL189" s="2004" t="s">
        <v>2337</v>
      </c>
      <c r="AM189" s="2004" t="s">
        <v>2337</v>
      </c>
      <c r="AN189" s="2004"/>
      <c r="AO189" s="2004">
        <v>3.5</v>
      </c>
      <c r="AP189" s="2004">
        <v>3.5</v>
      </c>
      <c r="AQ189" s="2004">
        <v>3.5</v>
      </c>
      <c r="AR189" s="2004">
        <v>3.5</v>
      </c>
      <c r="AS189" s="2004"/>
      <c r="AT189" s="2004">
        <v>4.4000000000000004</v>
      </c>
      <c r="AU189" s="2004">
        <v>4.4000000000000004</v>
      </c>
      <c r="AV189" s="2004">
        <v>4.4000000000000004</v>
      </c>
      <c r="AW189" s="2004">
        <v>4.4000000000000004</v>
      </c>
      <c r="AX189" s="2004"/>
      <c r="AY189" s="2004">
        <v>4.5999999999999996</v>
      </c>
      <c r="AZ189" s="2004">
        <v>4.5999999999999996</v>
      </c>
      <c r="BA189" s="2004">
        <v>4.5999999999999996</v>
      </c>
      <c r="BB189" s="2004">
        <v>4.5999999999999996</v>
      </c>
      <c r="BC189" s="2004"/>
      <c r="BD189" s="2004">
        <v>5</v>
      </c>
      <c r="BE189" s="2004">
        <v>5</v>
      </c>
      <c r="BF189" s="2004">
        <v>5</v>
      </c>
      <c r="BG189" s="2004">
        <v>5</v>
      </c>
      <c r="BH189" s="2004">
        <v>2.7E-2</v>
      </c>
      <c r="BI189" s="2004"/>
      <c r="BJ189" s="2004"/>
      <c r="BK189" s="2004"/>
      <c r="BL189" s="2004">
        <v>2.7E-2</v>
      </c>
      <c r="BM189" s="2004"/>
      <c r="BN189" s="2004">
        <v>9</v>
      </c>
      <c r="BO189" s="2004" t="s">
        <v>10339</v>
      </c>
      <c r="BP189" s="516" t="s">
        <v>9204</v>
      </c>
      <c r="BQ189" s="686">
        <v>4.2</v>
      </c>
      <c r="BR189" s="2004" t="s">
        <v>2334</v>
      </c>
      <c r="BS189" s="2004" t="s">
        <v>9204</v>
      </c>
      <c r="BT189" s="2004">
        <v>0</v>
      </c>
      <c r="BU189" s="2004" t="s">
        <v>9204</v>
      </c>
      <c r="BV189" s="2004">
        <v>0</v>
      </c>
      <c r="BW189" s="2004">
        <v>4.2</v>
      </c>
      <c r="BX189" s="2004" t="s">
        <v>2334</v>
      </c>
      <c r="BY189" s="2004">
        <v>0</v>
      </c>
      <c r="BZ189" s="2004">
        <v>0</v>
      </c>
      <c r="CA189" s="2004" t="s">
        <v>9254</v>
      </c>
      <c r="CB189" s="2004">
        <v>-4.7699999999999999E-2</v>
      </c>
      <c r="CC189" s="2004">
        <v>4.3</v>
      </c>
      <c r="CD189" s="2004" t="s">
        <v>2334</v>
      </c>
      <c r="CE189" s="2004">
        <v>0</v>
      </c>
      <c r="CF189" s="2004">
        <v>0</v>
      </c>
      <c r="CG189" s="2004" t="s">
        <v>2336</v>
      </c>
      <c r="CH189" s="2004">
        <v>-2.4299999999999999E-2</v>
      </c>
      <c r="CI189" s="2004">
        <v>4.3</v>
      </c>
      <c r="CJ189" s="2004" t="s">
        <v>2334</v>
      </c>
      <c r="CK189" s="2004">
        <v>0</v>
      </c>
      <c r="CL189" s="2004">
        <v>0</v>
      </c>
      <c r="CM189" s="2004" t="s">
        <v>2336</v>
      </c>
      <c r="CN189" s="2004">
        <v>-2.4300000000000092E-2</v>
      </c>
      <c r="CP189" s="2004" t="s">
        <v>10373</v>
      </c>
    </row>
    <row r="190" spans="1:94">
      <c r="A190" s="2004" t="s">
        <v>10333</v>
      </c>
      <c r="B190" s="2004" t="s">
        <v>10374</v>
      </c>
      <c r="C190" s="2004" t="s">
        <v>9085</v>
      </c>
      <c r="D190" s="2004" t="s">
        <v>1628</v>
      </c>
      <c r="E190" s="2004" t="s">
        <v>9194</v>
      </c>
      <c r="F190" s="2004" t="s">
        <v>10370</v>
      </c>
      <c r="G190" s="2004" t="s">
        <v>8990</v>
      </c>
      <c r="H190" s="2004" t="s">
        <v>10375</v>
      </c>
      <c r="I190" s="2004" t="s">
        <v>10376</v>
      </c>
      <c r="J190" s="2004" t="s">
        <v>9199</v>
      </c>
      <c r="K190" s="2004" t="s">
        <v>9545</v>
      </c>
      <c r="L190" s="2004"/>
      <c r="M190" s="2004"/>
      <c r="N190" s="2004" t="s">
        <v>9304</v>
      </c>
      <c r="O190" s="2004" t="s">
        <v>766</v>
      </c>
      <c r="P190" s="2004" t="s">
        <v>10377</v>
      </c>
      <c r="Q190" s="516">
        <v>0</v>
      </c>
      <c r="R190" s="2004" t="s">
        <v>9202</v>
      </c>
      <c r="S190" s="2004">
        <v>60</v>
      </c>
      <c r="T190" s="2004">
        <v>60</v>
      </c>
      <c r="U190" s="2004">
        <v>60</v>
      </c>
      <c r="V190" s="2004">
        <v>60</v>
      </c>
      <c r="W190" s="2004">
        <v>60</v>
      </c>
      <c r="X190" s="2004">
        <v>60</v>
      </c>
      <c r="Y190" s="2004"/>
      <c r="Z190" s="2004"/>
      <c r="AA190" s="2004"/>
      <c r="AB190" s="2004"/>
      <c r="AC190" s="2004"/>
      <c r="AD190" s="2004"/>
      <c r="AE190" s="2004" t="s">
        <v>2337</v>
      </c>
      <c r="AF190" s="2004"/>
      <c r="AG190" s="2004"/>
      <c r="AH190" s="2004">
        <v>0</v>
      </c>
      <c r="AI190" s="2004" t="s">
        <v>2337</v>
      </c>
      <c r="AJ190" s="2004" t="s">
        <v>2337</v>
      </c>
      <c r="AK190" s="2004" t="s">
        <v>2337</v>
      </c>
      <c r="AL190" s="2004" t="s">
        <v>2337</v>
      </c>
      <c r="AM190" s="2004" t="s">
        <v>2337</v>
      </c>
      <c r="AN190" s="2004">
        <v>120</v>
      </c>
      <c r="AO190" s="2004">
        <v>120</v>
      </c>
      <c r="AP190" s="2004">
        <v>120</v>
      </c>
      <c r="AQ190" s="2004">
        <v>120</v>
      </c>
      <c r="AR190" s="2004">
        <v>120</v>
      </c>
      <c r="AS190" s="2004">
        <v>63</v>
      </c>
      <c r="AT190" s="2004">
        <v>63</v>
      </c>
      <c r="AU190" s="2004">
        <v>63</v>
      </c>
      <c r="AV190" s="2004">
        <v>63</v>
      </c>
      <c r="AW190" s="2004">
        <v>63</v>
      </c>
      <c r="AX190" s="2004">
        <v>57</v>
      </c>
      <c r="AY190" s="2004">
        <v>57</v>
      </c>
      <c r="AZ190" s="2004">
        <v>57</v>
      </c>
      <c r="BA190" s="2004">
        <v>57</v>
      </c>
      <c r="BB190" s="2004">
        <v>57</v>
      </c>
      <c r="BC190" s="2004">
        <v>0</v>
      </c>
      <c r="BD190" s="2004">
        <v>0</v>
      </c>
      <c r="BE190" s="2004">
        <v>0</v>
      </c>
      <c r="BF190" s="2004">
        <v>0</v>
      </c>
      <c r="BG190" s="2004">
        <v>0</v>
      </c>
      <c r="BH190" s="2004">
        <v>4.1599999999999997E-4</v>
      </c>
      <c r="BI190" s="2004"/>
      <c r="BJ190" s="2004"/>
      <c r="BK190" s="2004"/>
      <c r="BL190" s="2004">
        <v>4.1599999999999997E-4</v>
      </c>
      <c r="BM190" s="2004"/>
      <c r="BN190" s="2004">
        <v>1</v>
      </c>
      <c r="BO190" s="2004" t="s">
        <v>9203</v>
      </c>
      <c r="BP190" s="516">
        <v>60</v>
      </c>
      <c r="BQ190" s="689">
        <v>53</v>
      </c>
      <c r="BR190" s="2004" t="s">
        <v>2337</v>
      </c>
      <c r="BS190" s="2004" t="s">
        <v>9204</v>
      </c>
      <c r="BT190" s="2004">
        <v>0</v>
      </c>
      <c r="BU190" s="2004" t="s">
        <v>2339</v>
      </c>
      <c r="BV190" s="2004">
        <v>2E-3</v>
      </c>
      <c r="BW190" s="2004">
        <v>49</v>
      </c>
      <c r="BX190" s="2004" t="s">
        <v>2337</v>
      </c>
      <c r="BY190" s="2004">
        <v>0</v>
      </c>
      <c r="BZ190" s="2004">
        <v>0</v>
      </c>
      <c r="CA190" s="2004" t="s">
        <v>2339</v>
      </c>
      <c r="CB190" s="2004">
        <v>3.0000000000000001E-3</v>
      </c>
      <c r="CC190" s="2004">
        <v>47</v>
      </c>
      <c r="CD190" s="2004" t="s">
        <v>2337</v>
      </c>
      <c r="CE190" s="2004">
        <v>0</v>
      </c>
      <c r="CF190" s="2004">
        <v>0</v>
      </c>
      <c r="CG190" s="2004" t="s">
        <v>2339</v>
      </c>
      <c r="CH190" s="2004">
        <v>4.0000000000000001E-3</v>
      </c>
      <c r="CI190" s="2004">
        <v>47</v>
      </c>
      <c r="CJ190" s="2004" t="s">
        <v>2337</v>
      </c>
      <c r="CK190" s="2004">
        <v>0</v>
      </c>
      <c r="CL190" s="2004">
        <v>0</v>
      </c>
      <c r="CM190" s="2004" t="s">
        <v>2339</v>
      </c>
      <c r="CN190" s="2004">
        <v>4.1599999999999996E-3</v>
      </c>
      <c r="CP190" s="2004" t="s">
        <v>10378</v>
      </c>
    </row>
    <row r="191" spans="1:94">
      <c r="A191" s="2004" t="s">
        <v>10333</v>
      </c>
      <c r="B191" s="2004" t="s">
        <v>10379</v>
      </c>
      <c r="C191" s="2004" t="s">
        <v>9085</v>
      </c>
      <c r="D191" s="2004" t="s">
        <v>1628</v>
      </c>
      <c r="E191" s="2004" t="s">
        <v>9194</v>
      </c>
      <c r="F191" s="2004" t="s">
        <v>10380</v>
      </c>
      <c r="G191" s="2004" t="s">
        <v>9589</v>
      </c>
      <c r="H191" s="2004" t="s">
        <v>10381</v>
      </c>
      <c r="I191" s="2004" t="s">
        <v>10382</v>
      </c>
      <c r="J191" s="2004" t="s">
        <v>9199</v>
      </c>
      <c r="K191" s="2004" t="s">
        <v>9200</v>
      </c>
      <c r="L191" s="2004"/>
      <c r="M191" s="2004"/>
      <c r="N191" s="2004" t="s">
        <v>9386</v>
      </c>
      <c r="O191" s="2004" t="s">
        <v>9282</v>
      </c>
      <c r="P191" s="2004" t="s">
        <v>10338</v>
      </c>
      <c r="Q191" s="516">
        <v>1</v>
      </c>
      <c r="R191" s="2004" t="s">
        <v>9240</v>
      </c>
      <c r="S191" s="2004">
        <v>4.7</v>
      </c>
      <c r="T191" s="2004">
        <v>4.7</v>
      </c>
      <c r="U191" s="2004">
        <v>4.7</v>
      </c>
      <c r="V191" s="2004">
        <v>4.7</v>
      </c>
      <c r="W191" s="2004">
        <v>4.7</v>
      </c>
      <c r="X191" s="2004">
        <v>4.7</v>
      </c>
      <c r="Y191" s="2004"/>
      <c r="Z191" s="2004"/>
      <c r="AA191" s="2004"/>
      <c r="AB191" s="2004"/>
      <c r="AC191" s="2004"/>
      <c r="AD191" s="2004"/>
      <c r="AE191" s="2004"/>
      <c r="AF191" s="2004"/>
      <c r="AG191" s="2004"/>
      <c r="AH191" s="2004">
        <v>0</v>
      </c>
      <c r="AI191" s="2004"/>
      <c r="AJ191" s="2004" t="s">
        <v>2337</v>
      </c>
      <c r="AK191" s="2004" t="s">
        <v>2337</v>
      </c>
      <c r="AL191" s="2004" t="s">
        <v>2337</v>
      </c>
      <c r="AM191" s="2004" t="s">
        <v>2337</v>
      </c>
      <c r="AN191" s="2004"/>
      <c r="AO191" s="2004">
        <v>3.7</v>
      </c>
      <c r="AP191" s="2004">
        <v>3.7</v>
      </c>
      <c r="AQ191" s="2004">
        <v>3.7</v>
      </c>
      <c r="AR191" s="2004">
        <v>3.7</v>
      </c>
      <c r="AS191" s="2004"/>
      <c r="AT191" s="2004">
        <v>4.5999999999999996</v>
      </c>
      <c r="AU191" s="2004">
        <v>4.5999999999999996</v>
      </c>
      <c r="AV191" s="2004">
        <v>4.5999999999999996</v>
      </c>
      <c r="AW191" s="2004">
        <v>4.5999999999999996</v>
      </c>
      <c r="AX191" s="2004"/>
      <c r="AY191" s="2004">
        <v>4.8</v>
      </c>
      <c r="AZ191" s="2004">
        <v>4.8</v>
      </c>
      <c r="BA191" s="2004">
        <v>4.8</v>
      </c>
      <c r="BB191" s="2004">
        <v>4.8</v>
      </c>
      <c r="BC191" s="2004"/>
      <c r="BD191" s="2004">
        <v>5</v>
      </c>
      <c r="BE191" s="2004">
        <v>5</v>
      </c>
      <c r="BF191" s="2004">
        <v>5</v>
      </c>
      <c r="BG191" s="2004">
        <v>5</v>
      </c>
      <c r="BH191" s="2004">
        <v>6.0000000000000001E-3</v>
      </c>
      <c r="BI191" s="2004"/>
      <c r="BJ191" s="2004"/>
      <c r="BK191" s="2004"/>
      <c r="BL191" s="2004">
        <v>6.0000000000000001E-3</v>
      </c>
      <c r="BM191" s="2004"/>
      <c r="BN191" s="2004">
        <v>9</v>
      </c>
      <c r="BO191" s="2004" t="s">
        <v>10339</v>
      </c>
      <c r="BP191" s="516" t="s">
        <v>9204</v>
      </c>
      <c r="BQ191" s="686">
        <v>4.5999999999999996</v>
      </c>
      <c r="BR191" s="2004" t="s">
        <v>2334</v>
      </c>
      <c r="BS191" s="2004" t="s">
        <v>9204</v>
      </c>
      <c r="BT191" s="2004">
        <v>0</v>
      </c>
      <c r="BU191" s="2004" t="s">
        <v>9204</v>
      </c>
      <c r="BV191" s="2004">
        <v>0</v>
      </c>
      <c r="BW191" s="2004">
        <v>4.5999999999999996</v>
      </c>
      <c r="BX191" s="2004" t="s">
        <v>2334</v>
      </c>
      <c r="BY191" s="2004">
        <v>0</v>
      </c>
      <c r="BZ191" s="2004">
        <v>0</v>
      </c>
      <c r="CA191" s="2004" t="s">
        <v>9120</v>
      </c>
      <c r="CB191" s="2004">
        <v>0</v>
      </c>
      <c r="CC191" s="2004">
        <v>4.5999999999999996</v>
      </c>
      <c r="CD191" s="2004" t="s">
        <v>2334</v>
      </c>
      <c r="CE191" s="2004">
        <v>0</v>
      </c>
      <c r="CF191" s="2004">
        <v>0</v>
      </c>
      <c r="CG191" s="2004" t="s">
        <v>9074</v>
      </c>
      <c r="CH191" s="2004">
        <v>0</v>
      </c>
      <c r="CI191" s="2004">
        <v>4.5999999999999996</v>
      </c>
      <c r="CJ191" s="2004" t="s">
        <v>2334</v>
      </c>
      <c r="CK191" s="2004">
        <v>0</v>
      </c>
      <c r="CL191" s="2004">
        <v>0</v>
      </c>
      <c r="CM191" s="2004" t="s">
        <v>2340</v>
      </c>
      <c r="CN191" s="2004">
        <v>0</v>
      </c>
      <c r="CP191" s="2004" t="s">
        <v>10383</v>
      </c>
    </row>
    <row r="192" spans="1:94">
      <c r="A192" s="2004" t="s">
        <v>10333</v>
      </c>
      <c r="B192" s="2004" t="s">
        <v>10384</v>
      </c>
      <c r="C192" s="2004" t="s">
        <v>9085</v>
      </c>
      <c r="D192" s="2004" t="s">
        <v>1628</v>
      </c>
      <c r="E192" s="2004" t="s">
        <v>9194</v>
      </c>
      <c r="F192" s="2004" t="s">
        <v>10380</v>
      </c>
      <c r="G192" s="2004" t="s">
        <v>9625</v>
      </c>
      <c r="H192" s="2004" t="s">
        <v>10385</v>
      </c>
      <c r="I192" s="2004" t="s">
        <v>10386</v>
      </c>
      <c r="J192" s="2004" t="s">
        <v>9199</v>
      </c>
      <c r="K192" s="2004" t="s">
        <v>9200</v>
      </c>
      <c r="L192" s="2004"/>
      <c r="M192" s="2004"/>
      <c r="N192" s="2004" t="s">
        <v>2951</v>
      </c>
      <c r="O192" s="2004" t="s">
        <v>9298</v>
      </c>
      <c r="P192" s="2004" t="s">
        <v>9299</v>
      </c>
      <c r="Q192" s="516">
        <v>1</v>
      </c>
      <c r="R192" s="2004" t="s">
        <v>9202</v>
      </c>
      <c r="S192" s="2004">
        <v>13</v>
      </c>
      <c r="T192" s="2004">
        <v>12.7</v>
      </c>
      <c r="U192" s="2004">
        <v>12.3</v>
      </c>
      <c r="V192" s="2004">
        <v>12</v>
      </c>
      <c r="W192" s="2004">
        <v>12</v>
      </c>
      <c r="X192" s="2004">
        <v>12</v>
      </c>
      <c r="Y192" s="2004"/>
      <c r="Z192" s="2004"/>
      <c r="AA192" s="2004" t="s">
        <v>2337</v>
      </c>
      <c r="AB192" s="2004"/>
      <c r="AC192" s="2004"/>
      <c r="AD192" s="2004"/>
      <c r="AE192" s="2004" t="s">
        <v>2337</v>
      </c>
      <c r="AF192" s="2004"/>
      <c r="AG192" s="2004"/>
      <c r="AH192" s="2004">
        <v>0</v>
      </c>
      <c r="AI192" s="2004" t="s">
        <v>2337</v>
      </c>
      <c r="AJ192" s="2004" t="s">
        <v>2337</v>
      </c>
      <c r="AK192" s="2004" t="s">
        <v>2337</v>
      </c>
      <c r="AL192" s="2004" t="s">
        <v>2337</v>
      </c>
      <c r="AM192" s="2004" t="s">
        <v>2337</v>
      </c>
      <c r="AN192" s="2004">
        <v>20</v>
      </c>
      <c r="AO192" s="2004">
        <v>20</v>
      </c>
      <c r="AP192" s="2004">
        <v>22</v>
      </c>
      <c r="AQ192" s="2004">
        <v>22</v>
      </c>
      <c r="AR192" s="2004">
        <v>22</v>
      </c>
      <c r="AS192" s="2004">
        <v>13</v>
      </c>
      <c r="AT192" s="2004">
        <v>13</v>
      </c>
      <c r="AU192" s="2004">
        <v>12</v>
      </c>
      <c r="AV192" s="2004">
        <v>12</v>
      </c>
      <c r="AW192" s="2004">
        <v>12</v>
      </c>
      <c r="AX192" s="2004">
        <v>12</v>
      </c>
      <c r="AY192" s="2004">
        <v>12</v>
      </c>
      <c r="AZ192" s="2004">
        <v>12</v>
      </c>
      <c r="BA192" s="2004">
        <v>12</v>
      </c>
      <c r="BB192" s="2004">
        <v>12</v>
      </c>
      <c r="BC192" s="2004">
        <v>5</v>
      </c>
      <c r="BD192" s="2004">
        <v>5</v>
      </c>
      <c r="BE192" s="2004">
        <v>5</v>
      </c>
      <c r="BF192" s="2004">
        <v>5</v>
      </c>
      <c r="BG192" s="2004">
        <v>5</v>
      </c>
      <c r="BH192" s="2004">
        <v>0.13300000000000001</v>
      </c>
      <c r="BI192" s="2004"/>
      <c r="BJ192" s="2004"/>
      <c r="BK192" s="2004"/>
      <c r="BL192" s="2004">
        <v>0.13300000000000001</v>
      </c>
      <c r="BM192" s="2004"/>
      <c r="BN192" s="2004">
        <v>1</v>
      </c>
      <c r="BO192" s="2004" t="s">
        <v>9203</v>
      </c>
      <c r="BP192" s="516">
        <v>8</v>
      </c>
      <c r="BQ192" s="686">
        <v>32.049999999999997</v>
      </c>
      <c r="BR192" s="2004" t="s">
        <v>2334</v>
      </c>
      <c r="BS192" s="2004" t="s">
        <v>9204</v>
      </c>
      <c r="BT192" s="2004">
        <v>0</v>
      </c>
      <c r="BU192" s="2004" t="s">
        <v>9254</v>
      </c>
      <c r="BV192" s="2004">
        <v>-0.93184</v>
      </c>
      <c r="BW192" s="2004">
        <v>12.9</v>
      </c>
      <c r="BX192" s="2004" t="s">
        <v>2334</v>
      </c>
      <c r="BY192" s="2004">
        <v>0</v>
      </c>
      <c r="BZ192" s="2004">
        <v>0</v>
      </c>
      <c r="CA192" s="2004" t="s">
        <v>9120</v>
      </c>
      <c r="CB192" s="2004">
        <v>0</v>
      </c>
      <c r="CC192" s="2004">
        <v>44.6</v>
      </c>
      <c r="CD192" s="2004" t="s">
        <v>2334</v>
      </c>
      <c r="CE192" s="2004">
        <v>0</v>
      </c>
      <c r="CF192" s="2004">
        <v>0</v>
      </c>
      <c r="CG192" s="2004" t="s">
        <v>2336</v>
      </c>
      <c r="CH192" s="2004">
        <v>-1.331</v>
      </c>
      <c r="CI192" s="2004">
        <v>14.2</v>
      </c>
      <c r="CJ192" s="2004" t="s">
        <v>2334</v>
      </c>
      <c r="CK192" s="2004">
        <v>0</v>
      </c>
      <c r="CL192" s="2004">
        <v>0</v>
      </c>
      <c r="CM192" s="2004" t="s">
        <v>2336</v>
      </c>
      <c r="CN192" s="2004">
        <v>-0.2928639999999999</v>
      </c>
      <c r="CP192" s="2004" t="s">
        <v>10387</v>
      </c>
    </row>
    <row r="193" spans="1:94">
      <c r="A193" s="2004" t="s">
        <v>10333</v>
      </c>
      <c r="B193" s="2004" t="s">
        <v>10388</v>
      </c>
      <c r="C193" s="2004" t="s">
        <v>9085</v>
      </c>
      <c r="D193" s="2004" t="s">
        <v>1628</v>
      </c>
      <c r="E193" s="2004" t="s">
        <v>9194</v>
      </c>
      <c r="F193" s="2004" t="s">
        <v>10389</v>
      </c>
      <c r="G193" s="2004" t="s">
        <v>9597</v>
      </c>
      <c r="H193" s="2004" t="s">
        <v>10390</v>
      </c>
      <c r="I193" s="2004" t="s">
        <v>10391</v>
      </c>
      <c r="J193" s="2004" t="s">
        <v>9199</v>
      </c>
      <c r="K193" s="2004" t="s">
        <v>9200</v>
      </c>
      <c r="L193" s="2004"/>
      <c r="M193" s="2004"/>
      <c r="N193" s="2004" t="s">
        <v>9386</v>
      </c>
      <c r="O193" s="2004" t="s">
        <v>9282</v>
      </c>
      <c r="P193" s="2004" t="s">
        <v>10338</v>
      </c>
      <c r="Q193" s="516">
        <v>1</v>
      </c>
      <c r="R193" s="2004" t="s">
        <v>9240</v>
      </c>
      <c r="S193" s="2004">
        <v>4.0999999999999996</v>
      </c>
      <c r="T193" s="2004">
        <v>4.0999999999999996</v>
      </c>
      <c r="U193" s="2004">
        <v>4.0999999999999996</v>
      </c>
      <c r="V193" s="2004">
        <v>4.0999999999999996</v>
      </c>
      <c r="W193" s="2004">
        <v>4.0999999999999996</v>
      </c>
      <c r="X193" s="2004">
        <v>4.0999999999999996</v>
      </c>
      <c r="Y193" s="2004"/>
      <c r="Z193" s="2004"/>
      <c r="AA193" s="2004"/>
      <c r="AB193" s="2004"/>
      <c r="AC193" s="2004"/>
      <c r="AD193" s="2004"/>
      <c r="AE193" s="2004"/>
      <c r="AF193" s="2004"/>
      <c r="AG193" s="2004"/>
      <c r="AH193" s="2004">
        <v>0</v>
      </c>
      <c r="AI193" s="2004"/>
      <c r="AJ193" s="2004" t="s">
        <v>2337</v>
      </c>
      <c r="AK193" s="2004" t="s">
        <v>2337</v>
      </c>
      <c r="AL193" s="2004" t="s">
        <v>2337</v>
      </c>
      <c r="AM193" s="2004" t="s">
        <v>2337</v>
      </c>
      <c r="AN193" s="2004"/>
      <c r="AO193" s="2004">
        <v>3.1</v>
      </c>
      <c r="AP193" s="2004">
        <v>3.1</v>
      </c>
      <c r="AQ193" s="2004">
        <v>3.1</v>
      </c>
      <c r="AR193" s="2004">
        <v>3.1</v>
      </c>
      <c r="AS193" s="2004"/>
      <c r="AT193" s="2004">
        <v>4</v>
      </c>
      <c r="AU193" s="2004">
        <v>4</v>
      </c>
      <c r="AV193" s="2004">
        <v>4</v>
      </c>
      <c r="AW193" s="2004">
        <v>4</v>
      </c>
      <c r="AX193" s="2004"/>
      <c r="AY193" s="2004">
        <v>4.2</v>
      </c>
      <c r="AZ193" s="2004">
        <v>4.2</v>
      </c>
      <c r="BA193" s="2004">
        <v>4.2</v>
      </c>
      <c r="BB193" s="2004">
        <v>4.2</v>
      </c>
      <c r="BC193" s="2004"/>
      <c r="BD193" s="2004">
        <v>5</v>
      </c>
      <c r="BE193" s="2004">
        <v>5</v>
      </c>
      <c r="BF193" s="2004">
        <v>5</v>
      </c>
      <c r="BG193" s="2004">
        <v>5</v>
      </c>
      <c r="BH193" s="2004">
        <v>2.4E-2</v>
      </c>
      <c r="BI193" s="2004"/>
      <c r="BJ193" s="2004"/>
      <c r="BK193" s="2004"/>
      <c r="BL193" s="2004">
        <v>2.4E-2</v>
      </c>
      <c r="BM193" s="2004"/>
      <c r="BN193" s="2004">
        <v>9</v>
      </c>
      <c r="BO193" s="2004" t="s">
        <v>10339</v>
      </c>
      <c r="BP193" s="516" t="s">
        <v>9204</v>
      </c>
      <c r="BQ193" s="686">
        <v>4.2</v>
      </c>
      <c r="BR193" s="2004" t="s">
        <v>2337</v>
      </c>
      <c r="BS193" s="2004" t="s">
        <v>9204</v>
      </c>
      <c r="BT193" s="2004">
        <v>0</v>
      </c>
      <c r="BU193" s="2004" t="s">
        <v>9204</v>
      </c>
      <c r="BV193" s="2004">
        <v>0</v>
      </c>
      <c r="BW193" s="2004">
        <v>4.4000000000000004</v>
      </c>
      <c r="BX193" s="2004" t="s">
        <v>2337</v>
      </c>
      <c r="BY193" s="2004">
        <v>0</v>
      </c>
      <c r="BZ193" s="2004">
        <v>0</v>
      </c>
      <c r="CA193" s="2004" t="s">
        <v>2339</v>
      </c>
      <c r="CB193" s="2004">
        <v>4.3200000000000002E-2</v>
      </c>
      <c r="CC193" s="2004">
        <v>4.4000000000000004</v>
      </c>
      <c r="CD193" s="2004" t="s">
        <v>2337</v>
      </c>
      <c r="CE193" s="2004">
        <v>0</v>
      </c>
      <c r="CF193" s="2004">
        <v>0</v>
      </c>
      <c r="CG193" s="2004" t="s">
        <v>2339</v>
      </c>
      <c r="CH193" s="2004">
        <v>4.3200000000000002E-2</v>
      </c>
      <c r="CI193" s="2004">
        <v>4.4000000000000004</v>
      </c>
      <c r="CJ193" s="2004" t="s">
        <v>2337</v>
      </c>
      <c r="CK193" s="2004">
        <v>0</v>
      </c>
      <c r="CL193" s="2004">
        <v>0</v>
      </c>
      <c r="CM193" s="2004" t="s">
        <v>2339</v>
      </c>
      <c r="CN193" s="2004">
        <v>4.3200000000000273E-2</v>
      </c>
      <c r="CP193" s="2004" t="s">
        <v>10392</v>
      </c>
    </row>
    <row r="194" spans="1:94">
      <c r="A194" s="2004" t="s">
        <v>10333</v>
      </c>
      <c r="B194" s="2004" t="s">
        <v>10393</v>
      </c>
      <c r="C194" s="2004" t="s">
        <v>9085</v>
      </c>
      <c r="D194" s="2004" t="s">
        <v>1628</v>
      </c>
      <c r="E194" s="2004" t="s">
        <v>9194</v>
      </c>
      <c r="F194" s="2004" t="s">
        <v>10389</v>
      </c>
      <c r="G194" s="2004" t="s">
        <v>9603</v>
      </c>
      <c r="H194" s="2004" t="s">
        <v>10394</v>
      </c>
      <c r="I194" s="2004" t="s">
        <v>10395</v>
      </c>
      <c r="J194" s="2004" t="s">
        <v>9210</v>
      </c>
      <c r="K194" s="2004" t="s">
        <v>9200</v>
      </c>
      <c r="L194" s="2004"/>
      <c r="M194" s="2004" t="s">
        <v>2334</v>
      </c>
      <c r="N194" s="2004" t="s">
        <v>9218</v>
      </c>
      <c r="O194" s="2004" t="s">
        <v>766</v>
      </c>
      <c r="P194" s="2004" t="s">
        <v>9201</v>
      </c>
      <c r="Q194" s="516">
        <v>0</v>
      </c>
      <c r="R194" s="2004" t="s">
        <v>9202</v>
      </c>
      <c r="S194" s="2004">
        <v>0</v>
      </c>
      <c r="T194" s="2004">
        <v>0</v>
      </c>
      <c r="U194" s="2004">
        <v>0</v>
      </c>
      <c r="V194" s="2004">
        <v>0</v>
      </c>
      <c r="W194" s="2004">
        <v>0</v>
      </c>
      <c r="X194" s="2004">
        <v>0</v>
      </c>
      <c r="Y194" s="2004"/>
      <c r="Z194" s="2004"/>
      <c r="AA194" s="2004"/>
      <c r="AB194" s="2004"/>
      <c r="AC194" s="2004"/>
      <c r="AD194" s="2004"/>
      <c r="AE194" s="2004"/>
      <c r="AF194" s="2004"/>
      <c r="AG194" s="2004"/>
      <c r="AH194" s="2004">
        <v>0</v>
      </c>
      <c r="AI194" s="2004" t="s">
        <v>2337</v>
      </c>
      <c r="AJ194" s="2004" t="s">
        <v>2337</v>
      </c>
      <c r="AK194" s="2004" t="s">
        <v>2337</v>
      </c>
      <c r="AL194" s="2004" t="s">
        <v>2337</v>
      </c>
      <c r="AM194" s="2004" t="s">
        <v>2337</v>
      </c>
      <c r="AN194" s="2004" t="s">
        <v>10396</v>
      </c>
      <c r="AO194" s="2004" t="s">
        <v>10396</v>
      </c>
      <c r="AP194" s="2004" t="s">
        <v>10396</v>
      </c>
      <c r="AQ194" s="2004" t="s">
        <v>10396</v>
      </c>
      <c r="AR194" s="2004" t="s">
        <v>10396</v>
      </c>
      <c r="AS194" s="2004">
        <v>0</v>
      </c>
      <c r="AT194" s="2004">
        <v>0</v>
      </c>
      <c r="AU194" s="2004">
        <v>0</v>
      </c>
      <c r="AV194" s="2004">
        <v>0</v>
      </c>
      <c r="AW194" s="2004">
        <v>0</v>
      </c>
      <c r="AX194" s="2004"/>
      <c r="AY194" s="2004"/>
      <c r="AZ194" s="2004"/>
      <c r="BA194" s="2004"/>
      <c r="BB194" s="2004"/>
      <c r="BC194" s="2004"/>
      <c r="BD194" s="2004"/>
      <c r="BE194" s="2004"/>
      <c r="BF194" s="2004"/>
      <c r="BG194" s="2004"/>
      <c r="BH194" s="2004">
        <v>0.504</v>
      </c>
      <c r="BI194" s="2004"/>
      <c r="BJ194" s="2004"/>
      <c r="BK194" s="2004"/>
      <c r="BL194" s="2004"/>
      <c r="BM194" s="2004"/>
      <c r="BN194" s="2004">
        <v>1</v>
      </c>
      <c r="BO194" s="2004" t="s">
        <v>9203</v>
      </c>
      <c r="BP194" s="516" t="s">
        <v>9204</v>
      </c>
      <c r="BQ194" s="689">
        <v>0</v>
      </c>
      <c r="BR194" s="2004" t="s">
        <v>2337</v>
      </c>
      <c r="BS194" s="2004" t="s">
        <v>9204</v>
      </c>
      <c r="BT194" s="2004">
        <v>0</v>
      </c>
      <c r="BU194" s="2004" t="s">
        <v>9204</v>
      </c>
      <c r="BV194" s="2004">
        <v>0</v>
      </c>
      <c r="BW194" s="2004">
        <v>0</v>
      </c>
      <c r="BX194" s="2004" t="s">
        <v>2337</v>
      </c>
      <c r="BY194" s="2004">
        <v>0</v>
      </c>
      <c r="BZ194" s="2004">
        <v>0</v>
      </c>
      <c r="CA194" s="2004">
        <v>0</v>
      </c>
      <c r="CB194" s="2004">
        <v>0</v>
      </c>
      <c r="CC194" s="2004">
        <v>0</v>
      </c>
      <c r="CD194" s="2004" t="s">
        <v>2337</v>
      </c>
      <c r="CE194" s="2004">
        <v>0</v>
      </c>
      <c r="CF194" s="2004">
        <v>0</v>
      </c>
      <c r="CG194" s="2004">
        <v>0</v>
      </c>
      <c r="CH194" s="2004">
        <v>0</v>
      </c>
      <c r="CI194" s="2004">
        <v>0</v>
      </c>
      <c r="CJ194" s="2004" t="s">
        <v>2337</v>
      </c>
      <c r="CK194" s="2004">
        <v>0</v>
      </c>
      <c r="CL194" s="2004">
        <v>0</v>
      </c>
      <c r="CM194" s="2004">
        <v>0</v>
      </c>
      <c r="CN194" s="2004">
        <v>0</v>
      </c>
      <c r="CP194" s="2004" t="s">
        <v>10397</v>
      </c>
    </row>
    <row r="195" spans="1:94">
      <c r="A195" s="2004" t="s">
        <v>10333</v>
      </c>
      <c r="B195" s="2004" t="s">
        <v>10398</v>
      </c>
      <c r="C195" s="2004" t="s">
        <v>9085</v>
      </c>
      <c r="D195" s="2004" t="s">
        <v>1628</v>
      </c>
      <c r="E195" s="2004" t="s">
        <v>9194</v>
      </c>
      <c r="F195" s="2004" t="s">
        <v>10399</v>
      </c>
      <c r="G195" s="2004" t="s">
        <v>9632</v>
      </c>
      <c r="H195" s="2004" t="s">
        <v>10400</v>
      </c>
      <c r="I195" s="2004" t="s">
        <v>10401</v>
      </c>
      <c r="J195" s="2004" t="s">
        <v>9210</v>
      </c>
      <c r="K195" s="2004" t="s">
        <v>9200</v>
      </c>
      <c r="L195" s="2004"/>
      <c r="M195" s="2004"/>
      <c r="N195" s="2004" t="s">
        <v>9238</v>
      </c>
      <c r="O195" s="2004" t="s">
        <v>734</v>
      </c>
      <c r="P195" s="2004" t="s">
        <v>9239</v>
      </c>
      <c r="Q195" s="516">
        <v>2</v>
      </c>
      <c r="R195" s="2004" t="s">
        <v>9240</v>
      </c>
      <c r="S195" s="2004">
        <v>100</v>
      </c>
      <c r="T195" s="2004">
        <v>100</v>
      </c>
      <c r="U195" s="2004">
        <v>100</v>
      </c>
      <c r="V195" s="2004">
        <v>100</v>
      </c>
      <c r="W195" s="2004">
        <v>100</v>
      </c>
      <c r="X195" s="2004">
        <v>100</v>
      </c>
      <c r="Y195" s="2004" t="s">
        <v>2337</v>
      </c>
      <c r="Z195" s="2004"/>
      <c r="AA195" s="2004"/>
      <c r="AB195" s="2004"/>
      <c r="AC195" s="2004"/>
      <c r="AD195" s="2004"/>
      <c r="AE195" s="2004" t="s">
        <v>2337</v>
      </c>
      <c r="AF195" s="2004"/>
      <c r="AG195" s="2004"/>
      <c r="AH195" s="2004">
        <v>0</v>
      </c>
      <c r="AI195" s="2004" t="s">
        <v>2337</v>
      </c>
      <c r="AJ195" s="2004" t="s">
        <v>2337</v>
      </c>
      <c r="AK195" s="2004" t="s">
        <v>2337</v>
      </c>
      <c r="AL195" s="2004" t="s">
        <v>2337</v>
      </c>
      <c r="AM195" s="2004" t="s">
        <v>2337</v>
      </c>
      <c r="AN195" s="2004">
        <v>99.94</v>
      </c>
      <c r="AO195" s="2004">
        <v>99.94</v>
      </c>
      <c r="AP195" s="2004">
        <v>99.94</v>
      </c>
      <c r="AQ195" s="2004">
        <v>99.94</v>
      </c>
      <c r="AR195" s="2004">
        <v>99.94</v>
      </c>
      <c r="AS195" s="2004">
        <v>99.95</v>
      </c>
      <c r="AT195" s="2004">
        <v>99.95</v>
      </c>
      <c r="AU195" s="2004">
        <v>99.95</v>
      </c>
      <c r="AV195" s="2004">
        <v>99.95</v>
      </c>
      <c r="AW195" s="2004">
        <v>99.95</v>
      </c>
      <c r="AX195" s="2004"/>
      <c r="AY195" s="2004"/>
      <c r="AZ195" s="2004"/>
      <c r="BA195" s="2004"/>
      <c r="BB195" s="2004"/>
      <c r="BC195" s="2004"/>
      <c r="BD195" s="2004"/>
      <c r="BE195" s="2004"/>
      <c r="BF195" s="2004"/>
      <c r="BG195" s="2004"/>
      <c r="BH195" s="2004">
        <v>0.28399999999999997</v>
      </c>
      <c r="BI195" s="2004"/>
      <c r="BJ195" s="2004"/>
      <c r="BK195" s="2004"/>
      <c r="BL195" s="2004"/>
      <c r="BM195" s="2004"/>
      <c r="BN195" s="2004">
        <v>100</v>
      </c>
      <c r="BO195" s="2004" t="s">
        <v>9574</v>
      </c>
      <c r="BP195" s="516">
        <v>99.96</v>
      </c>
      <c r="BQ195" s="690">
        <v>99.96</v>
      </c>
      <c r="BR195" s="2004" t="s">
        <v>2334</v>
      </c>
      <c r="BS195" s="2004" t="s">
        <v>9204</v>
      </c>
      <c r="BT195" s="2004">
        <v>0</v>
      </c>
      <c r="BU195" s="2004" t="s">
        <v>9120</v>
      </c>
      <c r="BV195" s="2004">
        <v>0</v>
      </c>
      <c r="BW195" s="2004">
        <v>99.95</v>
      </c>
      <c r="BX195" s="2004" t="s">
        <v>2334</v>
      </c>
      <c r="BY195" s="2004">
        <v>0</v>
      </c>
      <c r="BZ195" s="2004">
        <v>0</v>
      </c>
      <c r="CA195" s="2004" t="s">
        <v>9120</v>
      </c>
      <c r="CB195" s="2004">
        <v>0</v>
      </c>
      <c r="CC195" s="2004">
        <v>99.95</v>
      </c>
      <c r="CD195" s="2004" t="s">
        <v>2334</v>
      </c>
      <c r="CE195" s="2004">
        <v>0</v>
      </c>
      <c r="CF195" s="2004">
        <v>0</v>
      </c>
      <c r="CG195" s="2004" t="s">
        <v>2340</v>
      </c>
      <c r="CH195" s="2004">
        <v>0</v>
      </c>
      <c r="CI195" s="2004">
        <v>99.98</v>
      </c>
      <c r="CJ195" s="2004" t="s">
        <v>2334</v>
      </c>
      <c r="CK195" s="2004">
        <v>0</v>
      </c>
      <c r="CL195" s="2004">
        <v>0</v>
      </c>
      <c r="CM195" s="2004" t="s">
        <v>2340</v>
      </c>
      <c r="CN195" s="2004">
        <v>0</v>
      </c>
      <c r="CP195" s="2004" t="s">
        <v>10402</v>
      </c>
    </row>
    <row r="196" spans="1:94">
      <c r="A196" s="2004" t="s">
        <v>10333</v>
      </c>
      <c r="B196" s="2004" t="s">
        <v>10403</v>
      </c>
      <c r="C196" s="2004" t="s">
        <v>9085</v>
      </c>
      <c r="D196" s="2004" t="s">
        <v>1628</v>
      </c>
      <c r="E196" s="2004" t="s">
        <v>9194</v>
      </c>
      <c r="F196" s="2004" t="s">
        <v>10404</v>
      </c>
      <c r="G196" s="2004" t="s">
        <v>9638</v>
      </c>
      <c r="H196" s="2004" t="s">
        <v>10405</v>
      </c>
      <c r="I196" s="2004" t="s">
        <v>10406</v>
      </c>
      <c r="J196" s="2004" t="s">
        <v>9230</v>
      </c>
      <c r="K196" s="2004"/>
      <c r="L196" s="2004"/>
      <c r="M196" s="2004"/>
      <c r="N196" s="2004" t="s">
        <v>9364</v>
      </c>
      <c r="O196" s="2004" t="s">
        <v>766</v>
      </c>
      <c r="P196" s="2004" t="s">
        <v>10407</v>
      </c>
      <c r="Q196" s="516">
        <v>0</v>
      </c>
      <c r="R196" s="2004" t="s">
        <v>9202</v>
      </c>
      <c r="S196" s="2004">
        <v>0</v>
      </c>
      <c r="T196" s="2004">
        <v>0</v>
      </c>
      <c r="U196" s="2004">
        <v>0</v>
      </c>
      <c r="V196" s="2004">
        <v>0</v>
      </c>
      <c r="W196" s="2004">
        <v>0</v>
      </c>
      <c r="X196" s="2004">
        <v>0</v>
      </c>
      <c r="Y196" s="2004"/>
      <c r="Z196" s="2004"/>
      <c r="AA196" s="2004"/>
      <c r="AB196" s="2004"/>
      <c r="AC196" s="2004"/>
      <c r="AD196" s="2004"/>
      <c r="AE196" s="2004" t="s">
        <v>2337</v>
      </c>
      <c r="AF196" s="2004"/>
      <c r="AG196" s="2004"/>
      <c r="AH196" s="2004">
        <v>0</v>
      </c>
      <c r="AI196" s="2004"/>
      <c r="AJ196" s="2004"/>
      <c r="AK196" s="2004"/>
      <c r="AL196" s="2004"/>
      <c r="AM196" s="2004"/>
      <c r="AN196" s="2004"/>
      <c r="AO196" s="2004"/>
      <c r="AP196" s="2004"/>
      <c r="AQ196" s="2004"/>
      <c r="AR196" s="2004"/>
      <c r="AS196" s="2004"/>
      <c r="AT196" s="2004"/>
      <c r="AU196" s="2004"/>
      <c r="AV196" s="2004"/>
      <c r="AW196" s="2004"/>
      <c r="AX196" s="2004"/>
      <c r="AY196" s="2004"/>
      <c r="AZ196" s="2004"/>
      <c r="BA196" s="2004"/>
      <c r="BB196" s="2004"/>
      <c r="BC196" s="2004"/>
      <c r="BD196" s="2004"/>
      <c r="BE196" s="2004"/>
      <c r="BF196" s="2004"/>
      <c r="BG196" s="2004"/>
      <c r="BH196" s="2004"/>
      <c r="BI196" s="2004"/>
      <c r="BJ196" s="2004"/>
      <c r="BK196" s="2004"/>
      <c r="BL196" s="2004"/>
      <c r="BM196" s="2004"/>
      <c r="BN196" s="2004"/>
      <c r="BO196" s="2004"/>
      <c r="BP196" s="516" t="s">
        <v>9204</v>
      </c>
      <c r="BQ196" s="689">
        <v>25</v>
      </c>
      <c r="BR196" s="2004" t="s">
        <v>2334</v>
      </c>
      <c r="BS196" s="2004" t="s">
        <v>9204</v>
      </c>
      <c r="BT196" s="2004">
        <v>0</v>
      </c>
      <c r="BU196" s="2004" t="s">
        <v>9204</v>
      </c>
      <c r="BV196" s="2004">
        <v>0</v>
      </c>
      <c r="BW196" s="2004">
        <v>5</v>
      </c>
      <c r="BX196" s="2004" t="s">
        <v>2334</v>
      </c>
      <c r="BY196" s="2004">
        <v>0</v>
      </c>
      <c r="BZ196" s="2004">
        <v>0</v>
      </c>
      <c r="CA196" s="2004">
        <v>0</v>
      </c>
      <c r="CB196" s="2004">
        <v>0</v>
      </c>
      <c r="CC196" s="2004">
        <v>215</v>
      </c>
      <c r="CD196" s="2004" t="s">
        <v>2334</v>
      </c>
      <c r="CE196" s="2004">
        <v>0</v>
      </c>
      <c r="CF196" s="2004">
        <v>0</v>
      </c>
      <c r="CG196" s="2004">
        <v>0</v>
      </c>
      <c r="CH196" s="2004">
        <v>0</v>
      </c>
      <c r="CI196" s="2004">
        <v>11</v>
      </c>
      <c r="CJ196" s="2004" t="s">
        <v>2334</v>
      </c>
      <c r="CK196" s="2004">
        <v>0</v>
      </c>
      <c r="CL196" s="2004">
        <v>0</v>
      </c>
      <c r="CM196" s="2004">
        <v>0</v>
      </c>
      <c r="CN196" s="2004">
        <v>0</v>
      </c>
      <c r="CP196" s="2004" t="s">
        <v>10408</v>
      </c>
    </row>
    <row r="197" spans="1:94">
      <c r="A197" s="2004" t="s">
        <v>10333</v>
      </c>
      <c r="B197" s="2004" t="s">
        <v>10409</v>
      </c>
      <c r="C197" s="2004" t="s">
        <v>9085</v>
      </c>
      <c r="D197" s="2004" t="s">
        <v>1628</v>
      </c>
      <c r="E197" s="2004" t="s">
        <v>9194</v>
      </c>
      <c r="F197" s="2004" t="s">
        <v>10404</v>
      </c>
      <c r="G197" s="2004" t="s">
        <v>9645</v>
      </c>
      <c r="H197" s="2004" t="s">
        <v>10410</v>
      </c>
      <c r="I197" s="2004" t="s">
        <v>10411</v>
      </c>
      <c r="J197" s="2004" t="s">
        <v>9230</v>
      </c>
      <c r="K197" s="2004"/>
      <c r="L197" s="2004"/>
      <c r="M197" s="2004"/>
      <c r="N197" s="2004" t="s">
        <v>9364</v>
      </c>
      <c r="O197" s="2004" t="s">
        <v>766</v>
      </c>
      <c r="P197" s="2004" t="s">
        <v>10412</v>
      </c>
      <c r="Q197" s="516">
        <v>0</v>
      </c>
      <c r="R197" s="2004" t="s">
        <v>9202</v>
      </c>
      <c r="S197" s="2004">
        <v>0</v>
      </c>
      <c r="T197" s="2004">
        <v>0</v>
      </c>
      <c r="U197" s="2004">
        <v>0</v>
      </c>
      <c r="V197" s="2004">
        <v>0</v>
      </c>
      <c r="W197" s="2004">
        <v>0</v>
      </c>
      <c r="X197" s="2004">
        <v>0</v>
      </c>
      <c r="Y197" s="2004"/>
      <c r="Z197" s="2004"/>
      <c r="AA197" s="2004"/>
      <c r="AB197" s="2004"/>
      <c r="AC197" s="2004"/>
      <c r="AD197" s="2004"/>
      <c r="AE197" s="2004" t="s">
        <v>2337</v>
      </c>
      <c r="AF197" s="2004"/>
      <c r="AG197" s="2004"/>
      <c r="AH197" s="2004">
        <v>0</v>
      </c>
      <c r="AI197" s="2004"/>
      <c r="AJ197" s="2004"/>
      <c r="AK197" s="2004"/>
      <c r="AL197" s="2004"/>
      <c r="AM197" s="2004"/>
      <c r="AN197" s="2004"/>
      <c r="AO197" s="2004"/>
      <c r="AP197" s="2004"/>
      <c r="AQ197" s="2004"/>
      <c r="AR197" s="2004"/>
      <c r="AS197" s="2004"/>
      <c r="AT197" s="2004"/>
      <c r="AU197" s="2004"/>
      <c r="AV197" s="2004"/>
      <c r="AW197" s="2004"/>
      <c r="AX197" s="2004"/>
      <c r="AY197" s="2004"/>
      <c r="AZ197" s="2004"/>
      <c r="BA197" s="2004"/>
      <c r="BB197" s="2004"/>
      <c r="BC197" s="2004"/>
      <c r="BD197" s="2004"/>
      <c r="BE197" s="2004"/>
      <c r="BF197" s="2004"/>
      <c r="BG197" s="2004"/>
      <c r="BH197" s="2004"/>
      <c r="BI197" s="2004"/>
      <c r="BJ197" s="2004"/>
      <c r="BK197" s="2004"/>
      <c r="BL197" s="2004"/>
      <c r="BM197" s="2004"/>
      <c r="BN197" s="2004"/>
      <c r="BO197" s="2004"/>
      <c r="BP197" s="516" t="s">
        <v>9204</v>
      </c>
      <c r="BQ197" s="689">
        <v>0</v>
      </c>
      <c r="BR197" s="2004" t="s">
        <v>2337</v>
      </c>
      <c r="BS197" s="2004" t="s">
        <v>9204</v>
      </c>
      <c r="BT197" s="2004">
        <v>0</v>
      </c>
      <c r="BU197" s="2004" t="s">
        <v>9204</v>
      </c>
      <c r="BV197" s="2004">
        <v>0</v>
      </c>
      <c r="BW197" s="2004">
        <v>2</v>
      </c>
      <c r="BX197" s="2004" t="s">
        <v>2334</v>
      </c>
      <c r="BY197" s="2004">
        <v>0</v>
      </c>
      <c r="BZ197" s="2004">
        <v>0</v>
      </c>
      <c r="CA197" s="2004">
        <v>0</v>
      </c>
      <c r="CB197" s="2004">
        <v>0</v>
      </c>
      <c r="CC197" s="2004">
        <v>1</v>
      </c>
      <c r="CD197" s="2004" t="s">
        <v>2334</v>
      </c>
      <c r="CE197" s="2004">
        <v>0</v>
      </c>
      <c r="CF197" s="2004">
        <v>0</v>
      </c>
      <c r="CG197" s="2004">
        <v>0</v>
      </c>
      <c r="CH197" s="2004">
        <v>0</v>
      </c>
      <c r="CI197" s="2004">
        <v>1</v>
      </c>
      <c r="CJ197" s="2004" t="s">
        <v>2334</v>
      </c>
      <c r="CK197" s="2004">
        <v>0</v>
      </c>
      <c r="CL197" s="2004">
        <v>0</v>
      </c>
      <c r="CM197" s="2004">
        <v>0</v>
      </c>
      <c r="CN197" s="2004">
        <v>0</v>
      </c>
      <c r="CP197" s="2004" t="s">
        <v>10413</v>
      </c>
    </row>
    <row r="198" spans="1:94">
      <c r="A198" s="2004" t="s">
        <v>10333</v>
      </c>
      <c r="B198" s="2004" t="s">
        <v>10414</v>
      </c>
      <c r="C198" s="2004" t="s">
        <v>9085</v>
      </c>
      <c r="D198" s="2004" t="s">
        <v>1628</v>
      </c>
      <c r="E198" s="2004" t="s">
        <v>9194</v>
      </c>
      <c r="F198" s="2004" t="s">
        <v>10415</v>
      </c>
      <c r="G198" s="2004" t="s">
        <v>9657</v>
      </c>
      <c r="H198" s="2004" t="s">
        <v>10416</v>
      </c>
      <c r="I198" s="2004" t="s">
        <v>10417</v>
      </c>
      <c r="J198" s="2004" t="s">
        <v>9230</v>
      </c>
      <c r="K198" s="2004"/>
      <c r="L198" s="2004"/>
      <c r="M198" s="2004"/>
      <c r="N198" s="2004" t="s">
        <v>10124</v>
      </c>
      <c r="O198" s="2004" t="s">
        <v>766</v>
      </c>
      <c r="P198" s="2004" t="s">
        <v>10418</v>
      </c>
      <c r="Q198" s="516">
        <v>0</v>
      </c>
      <c r="R198" s="2004" t="s">
        <v>9202</v>
      </c>
      <c r="S198" s="2004">
        <v>0</v>
      </c>
      <c r="T198" s="2004">
        <v>0</v>
      </c>
      <c r="U198" s="2004">
        <v>0</v>
      </c>
      <c r="V198" s="2004">
        <v>0</v>
      </c>
      <c r="W198" s="2004">
        <v>0</v>
      </c>
      <c r="X198" s="2004">
        <v>0</v>
      </c>
      <c r="Y198" s="2004"/>
      <c r="Z198" s="2004"/>
      <c r="AA198" s="2004"/>
      <c r="AB198" s="2004"/>
      <c r="AC198" s="2004"/>
      <c r="AD198" s="2004"/>
      <c r="AE198" s="2004"/>
      <c r="AF198" s="2004"/>
      <c r="AG198" s="2004"/>
      <c r="AH198" s="2004">
        <v>0</v>
      </c>
      <c r="AI198" s="2004"/>
      <c r="AJ198" s="2004"/>
      <c r="AK198" s="2004"/>
      <c r="AL198" s="2004"/>
      <c r="AM198" s="2004"/>
      <c r="AN198" s="2004"/>
      <c r="AO198" s="2004"/>
      <c r="AP198" s="2004"/>
      <c r="AQ198" s="2004"/>
      <c r="AR198" s="2004"/>
      <c r="AS198" s="2004"/>
      <c r="AT198" s="2004"/>
      <c r="AU198" s="2004"/>
      <c r="AV198" s="2004"/>
      <c r="AW198" s="2004"/>
      <c r="AX198" s="2004"/>
      <c r="AY198" s="2004"/>
      <c r="AZ198" s="2004"/>
      <c r="BA198" s="2004"/>
      <c r="BB198" s="2004"/>
      <c r="BC198" s="2004"/>
      <c r="BD198" s="2004"/>
      <c r="BE198" s="2004"/>
      <c r="BF198" s="2004"/>
      <c r="BG198" s="2004"/>
      <c r="BH198" s="2004"/>
      <c r="BI198" s="2004"/>
      <c r="BJ198" s="2004"/>
      <c r="BK198" s="2004"/>
      <c r="BL198" s="2004"/>
      <c r="BM198" s="2004"/>
      <c r="BN198" s="2004"/>
      <c r="BO198" s="2004"/>
      <c r="BP198" s="516" t="s">
        <v>9204</v>
      </c>
      <c r="BQ198" s="689">
        <v>0</v>
      </c>
      <c r="BR198" s="2004" t="s">
        <v>2337</v>
      </c>
      <c r="BS198" s="2004" t="s">
        <v>9204</v>
      </c>
      <c r="BT198" s="2004">
        <v>0</v>
      </c>
      <c r="BU198" s="2004" t="s">
        <v>9204</v>
      </c>
      <c r="BV198" s="2004">
        <v>0</v>
      </c>
      <c r="BW198" s="2004">
        <v>0</v>
      </c>
      <c r="BX198" s="2004" t="s">
        <v>2337</v>
      </c>
      <c r="BY198" s="2004">
        <v>0</v>
      </c>
      <c r="BZ198" s="2004">
        <v>0</v>
      </c>
      <c r="CA198" s="2004">
        <v>0</v>
      </c>
      <c r="CB198" s="2004">
        <v>0</v>
      </c>
      <c r="CC198" s="2004">
        <v>0</v>
      </c>
      <c r="CD198" s="2004" t="s">
        <v>2337</v>
      </c>
      <c r="CE198" s="2004">
        <v>0</v>
      </c>
      <c r="CF198" s="2004">
        <v>0</v>
      </c>
      <c r="CG198" s="2004">
        <v>0</v>
      </c>
      <c r="CH198" s="2004">
        <v>0</v>
      </c>
      <c r="CI198" s="2004">
        <v>0</v>
      </c>
      <c r="CJ198" s="2004" t="s">
        <v>2337</v>
      </c>
      <c r="CK198" s="2004">
        <v>0</v>
      </c>
      <c r="CL198" s="2004">
        <v>0</v>
      </c>
      <c r="CM198" s="2004">
        <v>0</v>
      </c>
      <c r="CN198" s="2004">
        <v>0</v>
      </c>
      <c r="CP198" s="2004" t="s">
        <v>10419</v>
      </c>
    </row>
    <row r="199" spans="1:94">
      <c r="A199" s="2004" t="s">
        <v>10333</v>
      </c>
      <c r="B199" s="2004" t="s">
        <v>10420</v>
      </c>
      <c r="C199" s="2004" t="s">
        <v>9085</v>
      </c>
      <c r="D199" s="2004" t="s">
        <v>1628</v>
      </c>
      <c r="E199" s="2004" t="s">
        <v>9194</v>
      </c>
      <c r="F199" s="2004" t="s">
        <v>10421</v>
      </c>
      <c r="G199" s="2004" t="s">
        <v>9664</v>
      </c>
      <c r="H199" s="2004" t="s">
        <v>10422</v>
      </c>
      <c r="I199" s="2004" t="s">
        <v>10423</v>
      </c>
      <c r="J199" s="2004" t="s">
        <v>9230</v>
      </c>
      <c r="K199" s="2004"/>
      <c r="L199" s="2004"/>
      <c r="M199" s="2004"/>
      <c r="N199" s="2004" t="s">
        <v>5549</v>
      </c>
      <c r="O199" s="2004" t="s">
        <v>766</v>
      </c>
      <c r="P199" s="2004" t="s">
        <v>10424</v>
      </c>
      <c r="Q199" s="516">
        <v>0</v>
      </c>
      <c r="R199" s="2004" t="s">
        <v>9202</v>
      </c>
      <c r="S199" s="2004">
        <v>0</v>
      </c>
      <c r="T199" s="2004">
        <v>0</v>
      </c>
      <c r="U199" s="2004">
        <v>0</v>
      </c>
      <c r="V199" s="2004">
        <v>0</v>
      </c>
      <c r="W199" s="2004">
        <v>0</v>
      </c>
      <c r="X199" s="2004">
        <v>0</v>
      </c>
      <c r="Y199" s="2004"/>
      <c r="Z199" s="2004"/>
      <c r="AA199" s="2004"/>
      <c r="AB199" s="2004"/>
      <c r="AC199" s="2004"/>
      <c r="AD199" s="2004"/>
      <c r="AE199" s="2004"/>
      <c r="AF199" s="2004"/>
      <c r="AG199" s="2004"/>
      <c r="AH199" s="2004">
        <v>0</v>
      </c>
      <c r="AI199" s="2004"/>
      <c r="AJ199" s="2004"/>
      <c r="AK199" s="2004"/>
      <c r="AL199" s="2004"/>
      <c r="AM199" s="2004"/>
      <c r="AN199" s="2004"/>
      <c r="AO199" s="2004"/>
      <c r="AP199" s="2004"/>
      <c r="AQ199" s="2004"/>
      <c r="AR199" s="2004"/>
      <c r="AS199" s="2004"/>
      <c r="AT199" s="2004"/>
      <c r="AU199" s="2004"/>
      <c r="AV199" s="2004"/>
      <c r="AW199" s="2004"/>
      <c r="AX199" s="2004"/>
      <c r="AY199" s="2004"/>
      <c r="AZ199" s="2004"/>
      <c r="BA199" s="2004"/>
      <c r="BB199" s="2004"/>
      <c r="BC199" s="2004"/>
      <c r="BD199" s="2004"/>
      <c r="BE199" s="2004"/>
      <c r="BF199" s="2004"/>
      <c r="BG199" s="2004"/>
      <c r="BH199" s="2004"/>
      <c r="BI199" s="2004"/>
      <c r="BJ199" s="2004"/>
      <c r="BK199" s="2004"/>
      <c r="BL199" s="2004"/>
      <c r="BM199" s="2004"/>
      <c r="BN199" s="2004"/>
      <c r="BO199" s="2004"/>
      <c r="BP199" s="516" t="s">
        <v>9204</v>
      </c>
      <c r="BQ199" s="689">
        <v>0</v>
      </c>
      <c r="BR199" s="2004" t="s">
        <v>2337</v>
      </c>
      <c r="BS199" s="2004" t="s">
        <v>9204</v>
      </c>
      <c r="BT199" s="2004">
        <v>0</v>
      </c>
      <c r="BU199" s="2004" t="s">
        <v>9204</v>
      </c>
      <c r="BV199" s="2004">
        <v>0</v>
      </c>
      <c r="BW199" s="2004">
        <v>0</v>
      </c>
      <c r="BX199" s="2004" t="s">
        <v>2337</v>
      </c>
      <c r="BY199" s="2004">
        <v>0</v>
      </c>
      <c r="BZ199" s="2004">
        <v>0</v>
      </c>
      <c r="CA199" s="2004">
        <v>0</v>
      </c>
      <c r="CB199" s="2004">
        <v>0</v>
      </c>
      <c r="CC199" s="2004">
        <v>0</v>
      </c>
      <c r="CD199" s="2004" t="s">
        <v>2337</v>
      </c>
      <c r="CE199" s="2004">
        <v>0</v>
      </c>
      <c r="CF199" s="2004">
        <v>0</v>
      </c>
      <c r="CG199" s="2004">
        <v>0</v>
      </c>
      <c r="CH199" s="2004">
        <v>0</v>
      </c>
      <c r="CI199" s="2004">
        <v>0</v>
      </c>
      <c r="CJ199" s="2004" t="s">
        <v>2337</v>
      </c>
      <c r="CK199" s="2004">
        <v>0</v>
      </c>
      <c r="CL199" s="2004">
        <v>0</v>
      </c>
      <c r="CM199" s="2004">
        <v>0</v>
      </c>
      <c r="CN199" s="2004">
        <v>0</v>
      </c>
      <c r="CP199" s="2004" t="s">
        <v>10425</v>
      </c>
    </row>
    <row r="200" spans="1:94">
      <c r="A200" s="2004" t="s">
        <v>10333</v>
      </c>
      <c r="B200" s="2004" t="s">
        <v>10426</v>
      </c>
      <c r="C200" s="2004" t="s">
        <v>9085</v>
      </c>
      <c r="D200" s="2004" t="s">
        <v>1628</v>
      </c>
      <c r="E200" s="2004" t="s">
        <v>9194</v>
      </c>
      <c r="F200" s="2004" t="s">
        <v>10427</v>
      </c>
      <c r="G200" s="2004" t="s">
        <v>10428</v>
      </c>
      <c r="H200" s="2004" t="s">
        <v>10429</v>
      </c>
      <c r="I200" s="2004" t="s">
        <v>10430</v>
      </c>
      <c r="J200" s="2004" t="s">
        <v>9230</v>
      </c>
      <c r="K200" s="2004"/>
      <c r="L200" s="2004"/>
      <c r="M200" s="2004"/>
      <c r="N200" s="2004" t="s">
        <v>9364</v>
      </c>
      <c r="O200" s="2004" t="s">
        <v>766</v>
      </c>
      <c r="P200" s="2004" t="s">
        <v>10431</v>
      </c>
      <c r="Q200" s="516">
        <v>0</v>
      </c>
      <c r="R200" s="2004" t="s">
        <v>9202</v>
      </c>
      <c r="S200" s="2004">
        <v>0</v>
      </c>
      <c r="T200" s="2004">
        <v>0</v>
      </c>
      <c r="U200" s="2004">
        <v>0</v>
      </c>
      <c r="V200" s="2004">
        <v>0</v>
      </c>
      <c r="W200" s="2004">
        <v>0</v>
      </c>
      <c r="X200" s="2004">
        <v>0</v>
      </c>
      <c r="Y200" s="2004"/>
      <c r="Z200" s="2004"/>
      <c r="AA200" s="2004"/>
      <c r="AB200" s="2004"/>
      <c r="AC200" s="2004"/>
      <c r="AD200" s="2004"/>
      <c r="AE200" s="2004"/>
      <c r="AF200" s="2004" t="s">
        <v>2337</v>
      </c>
      <c r="AG200" s="2004"/>
      <c r="AH200" s="2004">
        <v>0</v>
      </c>
      <c r="AI200" s="2004"/>
      <c r="AJ200" s="2004"/>
      <c r="AK200" s="2004"/>
      <c r="AL200" s="2004"/>
      <c r="AM200" s="2004"/>
      <c r="AN200" s="2004"/>
      <c r="AO200" s="2004"/>
      <c r="AP200" s="2004"/>
      <c r="AQ200" s="2004"/>
      <c r="AR200" s="2004"/>
      <c r="AS200" s="2004"/>
      <c r="AT200" s="2004"/>
      <c r="AU200" s="2004"/>
      <c r="AV200" s="2004"/>
      <c r="AW200" s="2004"/>
      <c r="AX200" s="2004"/>
      <c r="AY200" s="2004"/>
      <c r="AZ200" s="2004"/>
      <c r="BA200" s="2004"/>
      <c r="BB200" s="2004"/>
      <c r="BC200" s="2004"/>
      <c r="BD200" s="2004"/>
      <c r="BE200" s="2004"/>
      <c r="BF200" s="2004"/>
      <c r="BG200" s="2004"/>
      <c r="BH200" s="2004"/>
      <c r="BI200" s="2004"/>
      <c r="BJ200" s="2004"/>
      <c r="BK200" s="2004"/>
      <c r="BL200" s="2004"/>
      <c r="BM200" s="2004"/>
      <c r="BN200" s="2004"/>
      <c r="BO200" s="2004"/>
      <c r="BP200" s="516" t="s">
        <v>9204</v>
      </c>
      <c r="BQ200" s="689">
        <v>0</v>
      </c>
      <c r="BR200" s="2004" t="s">
        <v>2337</v>
      </c>
      <c r="BS200" s="2004" t="s">
        <v>9204</v>
      </c>
      <c r="BT200" s="2004">
        <v>0</v>
      </c>
      <c r="BU200" s="2004" t="s">
        <v>9204</v>
      </c>
      <c r="BV200" s="2004">
        <v>0</v>
      </c>
      <c r="BW200" s="2004">
        <v>1</v>
      </c>
      <c r="BX200" s="2004" t="s">
        <v>2334</v>
      </c>
      <c r="BY200" s="2004">
        <v>0</v>
      </c>
      <c r="BZ200" s="2004">
        <v>0</v>
      </c>
      <c r="CA200" s="2004">
        <v>0</v>
      </c>
      <c r="CB200" s="2004">
        <v>0</v>
      </c>
      <c r="CC200" s="2004">
        <v>0</v>
      </c>
      <c r="CD200" s="2004" t="s">
        <v>2337</v>
      </c>
      <c r="CE200" s="2004">
        <v>0</v>
      </c>
      <c r="CF200" s="2004">
        <v>0</v>
      </c>
      <c r="CG200" s="2004">
        <v>0</v>
      </c>
      <c r="CH200" s="2004">
        <v>0</v>
      </c>
      <c r="CI200" s="2004">
        <v>1</v>
      </c>
      <c r="CJ200" s="2004" t="s">
        <v>2334</v>
      </c>
      <c r="CK200" s="2004">
        <v>0</v>
      </c>
      <c r="CL200" s="2004">
        <v>0</v>
      </c>
      <c r="CM200" s="2004">
        <v>0</v>
      </c>
      <c r="CN200" s="2004">
        <v>0</v>
      </c>
      <c r="CP200" s="2004" t="s">
        <v>10432</v>
      </c>
    </row>
    <row r="201" spans="1:94">
      <c r="A201" s="2004" t="s">
        <v>10333</v>
      </c>
      <c r="B201" s="2004" t="s">
        <v>10433</v>
      </c>
      <c r="C201" s="2004" t="s">
        <v>9085</v>
      </c>
      <c r="D201" s="2004" t="s">
        <v>1628</v>
      </c>
      <c r="E201" s="2004" t="s">
        <v>9194</v>
      </c>
      <c r="F201" s="2004" t="s">
        <v>10434</v>
      </c>
      <c r="G201" s="2004" t="s">
        <v>4288</v>
      </c>
      <c r="H201" s="2004" t="s">
        <v>10435</v>
      </c>
      <c r="I201" s="2004" t="s">
        <v>10436</v>
      </c>
      <c r="J201" s="2004" t="s">
        <v>9199</v>
      </c>
      <c r="K201" s="2004" t="s">
        <v>9545</v>
      </c>
      <c r="L201" s="2004"/>
      <c r="M201" s="2004"/>
      <c r="N201" s="2004" t="s">
        <v>9154</v>
      </c>
      <c r="O201" s="2004" t="s">
        <v>766</v>
      </c>
      <c r="P201" s="2004" t="s">
        <v>9246</v>
      </c>
      <c r="Q201" s="516">
        <v>2</v>
      </c>
      <c r="R201" s="2004" t="s">
        <v>9202</v>
      </c>
      <c r="S201" s="2004">
        <v>1.17</v>
      </c>
      <c r="T201" s="2004">
        <v>0.97</v>
      </c>
      <c r="U201" s="2004">
        <v>0.78</v>
      </c>
      <c r="V201" s="2004">
        <v>0.57999999999999996</v>
      </c>
      <c r="W201" s="2004">
        <v>0.57999999999999996</v>
      </c>
      <c r="X201" s="2004">
        <v>0.57999999999999996</v>
      </c>
      <c r="Y201" s="2004"/>
      <c r="Z201" s="2004" t="s">
        <v>2337</v>
      </c>
      <c r="AA201" s="2004"/>
      <c r="AB201" s="2004"/>
      <c r="AC201" s="2004"/>
      <c r="AD201" s="2004"/>
      <c r="AE201" s="2004" t="s">
        <v>2337</v>
      </c>
      <c r="AF201" s="2004"/>
      <c r="AG201" s="2004"/>
      <c r="AH201" s="2004">
        <v>0</v>
      </c>
      <c r="AI201" s="2004" t="s">
        <v>2337</v>
      </c>
      <c r="AJ201" s="2004" t="s">
        <v>2337</v>
      </c>
      <c r="AK201" s="2004" t="s">
        <v>2337</v>
      </c>
      <c r="AL201" s="2004" t="s">
        <v>2337</v>
      </c>
      <c r="AM201" s="2004" t="s">
        <v>2337</v>
      </c>
      <c r="AN201" s="2004">
        <v>1.71</v>
      </c>
      <c r="AO201" s="2004">
        <v>1.71</v>
      </c>
      <c r="AP201" s="2004">
        <v>1.1200000000000001</v>
      </c>
      <c r="AQ201" s="2004">
        <v>1.1200000000000001</v>
      </c>
      <c r="AR201" s="2004">
        <v>1.1200000000000001</v>
      </c>
      <c r="AS201" s="2004">
        <v>1.17</v>
      </c>
      <c r="AT201" s="2004">
        <v>1.17</v>
      </c>
      <c r="AU201" s="2004">
        <v>0.57999999999999996</v>
      </c>
      <c r="AV201" s="2004">
        <v>0.57999999999999996</v>
      </c>
      <c r="AW201" s="2004">
        <v>0.57999999999999996</v>
      </c>
      <c r="AX201" s="2004">
        <v>0.57999999999999996</v>
      </c>
      <c r="AY201" s="2004">
        <v>0.57999999999999996</v>
      </c>
      <c r="AZ201" s="2004">
        <v>0.57999999999999996</v>
      </c>
      <c r="BA201" s="2004">
        <v>0.57999999999999996</v>
      </c>
      <c r="BB201" s="2004">
        <v>0.57999999999999996</v>
      </c>
      <c r="BC201" s="2004">
        <v>0.04</v>
      </c>
      <c r="BD201" s="2004">
        <v>0.04</v>
      </c>
      <c r="BE201" s="2004">
        <v>0.04</v>
      </c>
      <c r="BF201" s="2004">
        <v>0.04</v>
      </c>
      <c r="BG201" s="2004">
        <v>0.04</v>
      </c>
      <c r="BH201" s="2004">
        <v>1.4999999999999999E-2</v>
      </c>
      <c r="BI201" s="2004"/>
      <c r="BJ201" s="2004"/>
      <c r="BK201" s="2004"/>
      <c r="BL201" s="2004">
        <v>1.4999999999999999E-2</v>
      </c>
      <c r="BM201" s="2004"/>
      <c r="BN201" s="2004">
        <v>100</v>
      </c>
      <c r="BO201" s="2004" t="s">
        <v>10077</v>
      </c>
      <c r="BP201" s="516">
        <v>1.19</v>
      </c>
      <c r="BQ201" s="690">
        <v>0.98</v>
      </c>
      <c r="BR201" s="2004" t="s">
        <v>2334</v>
      </c>
      <c r="BS201" s="2004" t="s">
        <v>9204</v>
      </c>
      <c r="BT201" s="2004">
        <v>0</v>
      </c>
      <c r="BU201" s="2004" t="s">
        <v>9120</v>
      </c>
      <c r="BV201" s="2004">
        <v>0</v>
      </c>
      <c r="BW201" s="2004">
        <v>0.96</v>
      </c>
      <c r="BX201" s="2004" t="s">
        <v>2334</v>
      </c>
      <c r="BY201" s="2004">
        <v>0</v>
      </c>
      <c r="BZ201" s="2004">
        <v>0</v>
      </c>
      <c r="CA201" s="2004" t="s">
        <v>9120</v>
      </c>
      <c r="CB201" s="2004">
        <v>0</v>
      </c>
      <c r="CC201" s="2004">
        <v>0.82</v>
      </c>
      <c r="CD201" s="2004" t="s">
        <v>2334</v>
      </c>
      <c r="CE201" s="2004">
        <v>0</v>
      </c>
      <c r="CF201" s="2004">
        <v>0</v>
      </c>
      <c r="CG201" s="2004" t="s">
        <v>2336</v>
      </c>
      <c r="CH201" s="2004">
        <v>-0.35799999999999998</v>
      </c>
      <c r="CI201" s="2004">
        <v>0.59</v>
      </c>
      <c r="CJ201" s="2004" t="s">
        <v>2334</v>
      </c>
      <c r="CK201" s="2004">
        <v>0</v>
      </c>
      <c r="CL201" s="2004">
        <v>0</v>
      </c>
      <c r="CM201" s="2004" t="s">
        <v>2336</v>
      </c>
      <c r="CN201" s="2004">
        <v>-1.4999999999999999E-2</v>
      </c>
      <c r="CP201" s="2004" t="s">
        <v>10437</v>
      </c>
    </row>
    <row r="202" spans="1:94">
      <c r="A202" s="2004" t="s">
        <v>10333</v>
      </c>
      <c r="B202" s="2004" t="s">
        <v>10438</v>
      </c>
      <c r="C202" s="2004" t="s">
        <v>9085</v>
      </c>
      <c r="D202" s="2004" t="s">
        <v>1628</v>
      </c>
      <c r="E202" s="2004" t="s">
        <v>9194</v>
      </c>
      <c r="F202" s="2004" t="s">
        <v>10434</v>
      </c>
      <c r="G202" s="2004" t="s">
        <v>4289</v>
      </c>
      <c r="H202" s="2004" t="s">
        <v>10439</v>
      </c>
      <c r="I202" s="2004" t="s">
        <v>10440</v>
      </c>
      <c r="J202" s="2004" t="s">
        <v>9210</v>
      </c>
      <c r="K202" s="2004" t="s">
        <v>9545</v>
      </c>
      <c r="L202" s="2004"/>
      <c r="M202" s="2004" t="s">
        <v>2334</v>
      </c>
      <c r="N202" s="2004" t="s">
        <v>9260</v>
      </c>
      <c r="O202" s="2004" t="s">
        <v>9395</v>
      </c>
      <c r="P202" s="2004" t="s">
        <v>9546</v>
      </c>
      <c r="Q202" s="516" t="s">
        <v>9203</v>
      </c>
      <c r="R202" s="2004"/>
      <c r="S202" s="2004" t="s">
        <v>2338</v>
      </c>
      <c r="T202" s="2004" t="s">
        <v>2338</v>
      </c>
      <c r="U202" s="2004" t="s">
        <v>2338</v>
      </c>
      <c r="V202" s="2004" t="s">
        <v>2338</v>
      </c>
      <c r="W202" s="2004" t="s">
        <v>2338</v>
      </c>
      <c r="X202" s="2004" t="s">
        <v>2338</v>
      </c>
      <c r="Y202" s="2004"/>
      <c r="Z202" s="2004"/>
      <c r="AA202" s="2004"/>
      <c r="AB202" s="2004"/>
      <c r="AC202" s="2004"/>
      <c r="AD202" s="2004"/>
      <c r="AE202" s="2004" t="s">
        <v>2337</v>
      </c>
      <c r="AF202" s="2004"/>
      <c r="AG202" s="2004"/>
      <c r="AH202" s="2004">
        <v>4</v>
      </c>
      <c r="AI202" s="2004" t="s">
        <v>2337</v>
      </c>
      <c r="AJ202" s="2004" t="s">
        <v>2337</v>
      </c>
      <c r="AK202" s="2004" t="s">
        <v>2337</v>
      </c>
      <c r="AL202" s="2004" t="s">
        <v>2337</v>
      </c>
      <c r="AM202" s="2004" t="s">
        <v>2337</v>
      </c>
      <c r="AN202" s="2004" t="s">
        <v>10441</v>
      </c>
      <c r="AO202" s="2004" t="s">
        <v>10441</v>
      </c>
      <c r="AP202" s="2004" t="s">
        <v>10441</v>
      </c>
      <c r="AQ202" s="2004" t="s">
        <v>10441</v>
      </c>
      <c r="AR202" s="2004" t="s">
        <v>10441</v>
      </c>
      <c r="AS202" s="2004" t="s">
        <v>10441</v>
      </c>
      <c r="AT202" s="2004" t="s">
        <v>10441</v>
      </c>
      <c r="AU202" s="2004" t="s">
        <v>10441</v>
      </c>
      <c r="AV202" s="2004" t="s">
        <v>10441</v>
      </c>
      <c r="AW202" s="2004" t="s">
        <v>10441</v>
      </c>
      <c r="AX202" s="2004"/>
      <c r="AY202" s="2004"/>
      <c r="AZ202" s="2004"/>
      <c r="BA202" s="2004"/>
      <c r="BB202" s="2004"/>
      <c r="BC202" s="2004"/>
      <c r="BD202" s="2004"/>
      <c r="BE202" s="2004"/>
      <c r="BF202" s="2004"/>
      <c r="BG202" s="2004"/>
      <c r="BH202" s="2004">
        <v>4</v>
      </c>
      <c r="BI202" s="2004"/>
      <c r="BJ202" s="2004"/>
      <c r="BK202" s="2004"/>
      <c r="BL202" s="2004"/>
      <c r="BM202" s="2004"/>
      <c r="BN202" s="2004">
        <v>1</v>
      </c>
      <c r="BO202" s="2004" t="s">
        <v>9203</v>
      </c>
      <c r="BP202" s="516" t="s">
        <v>2338</v>
      </c>
      <c r="BQ202" s="688" t="s">
        <v>2338</v>
      </c>
      <c r="BR202" s="2004" t="s">
        <v>2337</v>
      </c>
      <c r="BS202" s="2004" t="s">
        <v>9204</v>
      </c>
      <c r="BT202" s="2004">
        <v>0</v>
      </c>
      <c r="BU202" s="2004" t="s">
        <v>9204</v>
      </c>
      <c r="BV202" s="2004">
        <v>0</v>
      </c>
      <c r="BW202" s="2004" t="s">
        <v>2338</v>
      </c>
      <c r="BX202" s="2004" t="s">
        <v>2337</v>
      </c>
      <c r="BY202" s="2004">
        <v>0</v>
      </c>
      <c r="BZ202" s="2004">
        <v>0</v>
      </c>
      <c r="CA202" s="2004">
        <v>0</v>
      </c>
      <c r="CB202" s="2004">
        <v>0</v>
      </c>
      <c r="CC202" s="2004" t="s">
        <v>2338</v>
      </c>
      <c r="CD202" s="2004" t="s">
        <v>2337</v>
      </c>
      <c r="CE202" s="2004">
        <v>0</v>
      </c>
      <c r="CF202" s="2004">
        <v>0</v>
      </c>
      <c r="CG202" s="2004">
        <v>0</v>
      </c>
      <c r="CH202" s="2004">
        <v>0</v>
      </c>
      <c r="CI202" s="2004" t="s">
        <v>2338</v>
      </c>
      <c r="CJ202" s="2004" t="s">
        <v>2337</v>
      </c>
      <c r="CK202" s="2004">
        <v>0</v>
      </c>
      <c r="CL202" s="2004">
        <v>0</v>
      </c>
      <c r="CM202" s="2004">
        <v>0</v>
      </c>
      <c r="CN202" s="2004">
        <v>0</v>
      </c>
      <c r="CP202" s="2004" t="s">
        <v>10442</v>
      </c>
    </row>
    <row r="203" spans="1:94">
      <c r="A203" s="2004" t="s">
        <v>10333</v>
      </c>
      <c r="B203" s="2004" t="s">
        <v>10443</v>
      </c>
      <c r="C203" s="2004" t="s">
        <v>9085</v>
      </c>
      <c r="D203" s="2004" t="s">
        <v>1628</v>
      </c>
      <c r="E203" s="2004" t="s">
        <v>9194</v>
      </c>
      <c r="F203" s="2004" t="s">
        <v>10434</v>
      </c>
      <c r="G203" s="2004" t="s">
        <v>10444</v>
      </c>
      <c r="H203" s="2004" t="s">
        <v>10445</v>
      </c>
      <c r="I203" s="2004" t="s">
        <v>10446</v>
      </c>
      <c r="J203" s="2004" t="s">
        <v>9230</v>
      </c>
      <c r="K203" s="2004"/>
      <c r="L203" s="2004"/>
      <c r="M203" s="2004"/>
      <c r="N203" s="2004" t="s">
        <v>5533</v>
      </c>
      <c r="O203" s="2004" t="s">
        <v>766</v>
      </c>
      <c r="P203" s="2004" t="s">
        <v>10447</v>
      </c>
      <c r="Q203" s="516">
        <v>0</v>
      </c>
      <c r="R203" s="2004" t="s">
        <v>9202</v>
      </c>
      <c r="S203" s="2004">
        <v>55</v>
      </c>
      <c r="T203" s="2004"/>
      <c r="U203" s="2004"/>
      <c r="V203" s="2004"/>
      <c r="W203" s="2004"/>
      <c r="X203" s="2004">
        <v>0</v>
      </c>
      <c r="Y203" s="2004"/>
      <c r="Z203" s="2004"/>
      <c r="AA203" s="2004"/>
      <c r="AB203" s="2004"/>
      <c r="AC203" s="2004"/>
      <c r="AD203" s="2004"/>
      <c r="AE203" s="2004" t="s">
        <v>2337</v>
      </c>
      <c r="AF203" s="2004"/>
      <c r="AG203" s="2004"/>
      <c r="AH203" s="2004">
        <v>0</v>
      </c>
      <c r="AI203" s="2004"/>
      <c r="AJ203" s="2004"/>
      <c r="AK203" s="2004"/>
      <c r="AL203" s="2004"/>
      <c r="AM203" s="2004"/>
      <c r="AN203" s="2004"/>
      <c r="AO203" s="2004"/>
      <c r="AP203" s="2004"/>
      <c r="AQ203" s="2004"/>
      <c r="AR203" s="2004"/>
      <c r="AS203" s="2004"/>
      <c r="AT203" s="2004"/>
      <c r="AU203" s="2004"/>
      <c r="AV203" s="2004"/>
      <c r="AW203" s="2004"/>
      <c r="AX203" s="2004"/>
      <c r="AY203" s="2004"/>
      <c r="AZ203" s="2004"/>
      <c r="BA203" s="2004"/>
      <c r="BB203" s="2004"/>
      <c r="BC203" s="2004"/>
      <c r="BD203" s="2004"/>
      <c r="BE203" s="2004"/>
      <c r="BF203" s="2004"/>
      <c r="BG203" s="2004"/>
      <c r="BH203" s="2004"/>
      <c r="BI203" s="2004"/>
      <c r="BJ203" s="2004"/>
      <c r="BK203" s="2004"/>
      <c r="BL203" s="2004"/>
      <c r="BM203" s="2004"/>
      <c r="BN203" s="2004"/>
      <c r="BO203" s="2004"/>
      <c r="BP203" s="516" t="s">
        <v>9204</v>
      </c>
      <c r="BQ203" s="689">
        <v>55</v>
      </c>
      <c r="BR203" s="2004" t="s">
        <v>9204</v>
      </c>
      <c r="BS203" s="2004" t="s">
        <v>9204</v>
      </c>
      <c r="BT203" s="2004">
        <v>0</v>
      </c>
      <c r="BU203" s="2004" t="s">
        <v>9204</v>
      </c>
      <c r="BV203" s="2004">
        <v>0</v>
      </c>
      <c r="BW203" s="2004">
        <v>33</v>
      </c>
      <c r="BX203" s="2004" t="s">
        <v>2335</v>
      </c>
      <c r="BY203" s="2004">
        <v>0</v>
      </c>
      <c r="BZ203" s="2004">
        <v>0</v>
      </c>
      <c r="CA203" s="2004">
        <v>0</v>
      </c>
      <c r="CB203" s="2004">
        <v>0</v>
      </c>
      <c r="CC203" s="2004">
        <v>7</v>
      </c>
      <c r="CD203" s="2004" t="s">
        <v>2335</v>
      </c>
      <c r="CE203" s="2004">
        <v>0</v>
      </c>
      <c r="CF203" s="2004">
        <v>0</v>
      </c>
      <c r="CG203" s="2004">
        <v>0</v>
      </c>
      <c r="CH203" s="2004">
        <v>0</v>
      </c>
      <c r="CI203" s="2004">
        <v>2</v>
      </c>
      <c r="CJ203" s="2004" t="s">
        <v>2335</v>
      </c>
      <c r="CK203" s="2004">
        <v>0</v>
      </c>
      <c r="CL203" s="2004">
        <v>0</v>
      </c>
      <c r="CM203" s="2004">
        <v>0</v>
      </c>
      <c r="CN203" s="2004">
        <v>0</v>
      </c>
      <c r="CP203" s="2004" t="s">
        <v>10448</v>
      </c>
    </row>
    <row r="204" spans="1:94">
      <c r="A204" s="2004" t="s">
        <v>10333</v>
      </c>
      <c r="B204" s="2004" t="s">
        <v>10449</v>
      </c>
      <c r="C204" s="2004" t="s">
        <v>9085</v>
      </c>
      <c r="D204" s="2004" t="s">
        <v>1628</v>
      </c>
      <c r="E204" s="2004" t="s">
        <v>9194</v>
      </c>
      <c r="F204" s="2004" t="s">
        <v>10434</v>
      </c>
      <c r="G204" s="2004" t="s">
        <v>10450</v>
      </c>
      <c r="H204" s="2004" t="s">
        <v>10451</v>
      </c>
      <c r="I204" s="2004" t="s">
        <v>10452</v>
      </c>
      <c r="J204" s="2004" t="s">
        <v>9210</v>
      </c>
      <c r="K204" s="2004" t="s">
        <v>9545</v>
      </c>
      <c r="L204" s="2004"/>
      <c r="M204" s="2004"/>
      <c r="N204" s="2004" t="s">
        <v>9260</v>
      </c>
      <c r="O204" s="2004" t="s">
        <v>766</v>
      </c>
      <c r="P204" s="2004" t="s">
        <v>9261</v>
      </c>
      <c r="Q204" s="516">
        <v>0</v>
      </c>
      <c r="R204" s="2004" t="s">
        <v>9202</v>
      </c>
      <c r="S204" s="2004">
        <v>2429</v>
      </c>
      <c r="T204" s="2004">
        <v>2429</v>
      </c>
      <c r="U204" s="2004">
        <v>2429</v>
      </c>
      <c r="V204" s="2004">
        <v>2429</v>
      </c>
      <c r="W204" s="2004">
        <v>2429</v>
      </c>
      <c r="X204" s="2004">
        <v>2429</v>
      </c>
      <c r="Y204" s="2004"/>
      <c r="Z204" s="2004"/>
      <c r="AA204" s="2004"/>
      <c r="AB204" s="2004"/>
      <c r="AC204" s="2004"/>
      <c r="AD204" s="2004"/>
      <c r="AE204" s="2004" t="s">
        <v>2337</v>
      </c>
      <c r="AF204" s="2004"/>
      <c r="AG204" s="2004"/>
      <c r="AH204" s="2004">
        <v>0</v>
      </c>
      <c r="AI204" s="2004" t="s">
        <v>2337</v>
      </c>
      <c r="AJ204" s="2004" t="s">
        <v>2337</v>
      </c>
      <c r="AK204" s="2004" t="s">
        <v>2337</v>
      </c>
      <c r="AL204" s="2004" t="s">
        <v>2337</v>
      </c>
      <c r="AM204" s="2004" t="s">
        <v>2337</v>
      </c>
      <c r="AN204" s="2004">
        <v>4014</v>
      </c>
      <c r="AO204" s="2004">
        <v>4014</v>
      </c>
      <c r="AP204" s="2004">
        <v>4014</v>
      </c>
      <c r="AQ204" s="2004">
        <v>4014</v>
      </c>
      <c r="AR204" s="2004">
        <v>4014</v>
      </c>
      <c r="AS204" s="2004">
        <v>3048</v>
      </c>
      <c r="AT204" s="2004">
        <v>3048</v>
      </c>
      <c r="AU204" s="2004">
        <v>3048</v>
      </c>
      <c r="AV204" s="2004">
        <v>3048</v>
      </c>
      <c r="AW204" s="2004">
        <v>3048</v>
      </c>
      <c r="AX204" s="2004"/>
      <c r="AY204" s="2004"/>
      <c r="AZ204" s="2004"/>
      <c r="BA204" s="2004"/>
      <c r="BB204" s="2004"/>
      <c r="BC204" s="2004"/>
      <c r="BD204" s="2004"/>
      <c r="BE204" s="2004"/>
      <c r="BF204" s="2004"/>
      <c r="BG204" s="2004"/>
      <c r="BH204" s="2004">
        <v>7.1199999999999996E-4</v>
      </c>
      <c r="BI204" s="2004"/>
      <c r="BJ204" s="2004"/>
      <c r="BK204" s="2004"/>
      <c r="BL204" s="2004"/>
      <c r="BM204" s="2004"/>
      <c r="BN204" s="2004">
        <v>1</v>
      </c>
      <c r="BO204" s="2004" t="s">
        <v>9203</v>
      </c>
      <c r="BP204" s="516">
        <v>2372</v>
      </c>
      <c r="BQ204" s="689">
        <v>2307</v>
      </c>
      <c r="BR204" s="2004" t="s">
        <v>2337</v>
      </c>
      <c r="BS204" s="2004" t="s">
        <v>9204</v>
      </c>
      <c r="BT204" s="2004">
        <v>0</v>
      </c>
      <c r="BU204" s="2004" t="s">
        <v>9204</v>
      </c>
      <c r="BV204" s="2004">
        <v>0</v>
      </c>
      <c r="BW204" s="2004">
        <v>3032</v>
      </c>
      <c r="BX204" s="2004" t="s">
        <v>2334</v>
      </c>
      <c r="BY204" s="2004">
        <v>0</v>
      </c>
      <c r="BZ204" s="2004">
        <v>0</v>
      </c>
      <c r="CA204" s="2004" t="s">
        <v>9120</v>
      </c>
      <c r="CB204" s="2004">
        <v>0</v>
      </c>
      <c r="CC204" s="2004">
        <v>2747</v>
      </c>
      <c r="CD204" s="2004" t="s">
        <v>2334</v>
      </c>
      <c r="CE204" s="2004">
        <v>0</v>
      </c>
      <c r="CF204" s="2004">
        <v>0</v>
      </c>
      <c r="CG204" s="2004" t="s">
        <v>2340</v>
      </c>
      <c r="CH204" s="2004">
        <v>0</v>
      </c>
      <c r="CI204" s="2004">
        <v>2826</v>
      </c>
      <c r="CJ204" s="2004" t="s">
        <v>2334</v>
      </c>
      <c r="CK204" s="2004">
        <v>0</v>
      </c>
      <c r="CL204" s="2004">
        <v>0</v>
      </c>
      <c r="CM204" s="2004" t="s">
        <v>2340</v>
      </c>
      <c r="CN204" s="2004">
        <v>0</v>
      </c>
      <c r="CP204" s="2004" t="s">
        <v>10453</v>
      </c>
    </row>
    <row r="205" spans="1:94">
      <c r="A205" s="2004" t="s">
        <v>10333</v>
      </c>
      <c r="B205" s="2004" t="s">
        <v>10454</v>
      </c>
      <c r="C205" s="2004" t="s">
        <v>9085</v>
      </c>
      <c r="D205" s="2004" t="s">
        <v>1628</v>
      </c>
      <c r="E205" s="2004" t="s">
        <v>9194</v>
      </c>
      <c r="F205" s="2004" t="s">
        <v>10455</v>
      </c>
      <c r="G205" s="2004" t="s">
        <v>10456</v>
      </c>
      <c r="H205" s="2004" t="s">
        <v>10457</v>
      </c>
      <c r="I205" s="2004" t="s">
        <v>10458</v>
      </c>
      <c r="J205" s="2004" t="s">
        <v>9230</v>
      </c>
      <c r="K205" s="2004"/>
      <c r="L205" s="2004"/>
      <c r="M205" s="2004"/>
      <c r="N205" s="2004" t="s">
        <v>9372</v>
      </c>
      <c r="O205" s="2004" t="s">
        <v>766</v>
      </c>
      <c r="P205" s="2004" t="s">
        <v>10459</v>
      </c>
      <c r="Q205" s="516">
        <v>1</v>
      </c>
      <c r="R205" s="2004" t="s">
        <v>9202</v>
      </c>
      <c r="S205" s="2004">
        <v>39.4</v>
      </c>
      <c r="T205" s="2004"/>
      <c r="U205" s="2004"/>
      <c r="V205" s="2004"/>
      <c r="W205" s="2004"/>
      <c r="X205" s="2004">
        <v>37.700000000000003</v>
      </c>
      <c r="Y205" s="2004"/>
      <c r="Z205" s="2004"/>
      <c r="AA205" s="2004"/>
      <c r="AB205" s="2004"/>
      <c r="AC205" s="2004"/>
      <c r="AD205" s="2004"/>
      <c r="AE205" s="2004"/>
      <c r="AF205" s="2004"/>
      <c r="AG205" s="2004"/>
      <c r="AH205" s="2004">
        <v>0</v>
      </c>
      <c r="AI205" s="2004"/>
      <c r="AJ205" s="2004"/>
      <c r="AK205" s="2004"/>
      <c r="AL205" s="2004"/>
      <c r="AM205" s="2004"/>
      <c r="AN205" s="2004"/>
      <c r="AO205" s="2004"/>
      <c r="AP205" s="2004"/>
      <c r="AQ205" s="2004"/>
      <c r="AR205" s="2004"/>
      <c r="AS205" s="2004"/>
      <c r="AT205" s="2004"/>
      <c r="AU205" s="2004"/>
      <c r="AV205" s="2004"/>
      <c r="AW205" s="2004"/>
      <c r="AX205" s="2004"/>
      <c r="AY205" s="2004"/>
      <c r="AZ205" s="2004"/>
      <c r="BA205" s="2004"/>
      <c r="BB205" s="2004"/>
      <c r="BC205" s="2004"/>
      <c r="BD205" s="2004"/>
      <c r="BE205" s="2004"/>
      <c r="BF205" s="2004"/>
      <c r="BG205" s="2004"/>
      <c r="BH205" s="2004"/>
      <c r="BI205" s="2004"/>
      <c r="BJ205" s="2004"/>
      <c r="BK205" s="2004"/>
      <c r="BL205" s="2004"/>
      <c r="BM205" s="2004"/>
      <c r="BN205" s="2004"/>
      <c r="BO205" s="2004"/>
      <c r="BP205" s="516" t="s">
        <v>9204</v>
      </c>
      <c r="BQ205" s="686">
        <v>36.799999999999997</v>
      </c>
      <c r="BR205" s="2004" t="s">
        <v>9204</v>
      </c>
      <c r="BS205" s="2004" t="s">
        <v>9204</v>
      </c>
      <c r="BT205" s="2004">
        <v>0</v>
      </c>
      <c r="BU205" s="2004" t="s">
        <v>9204</v>
      </c>
      <c r="BV205" s="2004">
        <v>0</v>
      </c>
      <c r="BW205" s="2004">
        <v>37.200000000000003</v>
      </c>
      <c r="BX205" s="2004" t="s">
        <v>2335</v>
      </c>
      <c r="BY205" s="2004">
        <v>0</v>
      </c>
      <c r="BZ205" s="2004">
        <v>0</v>
      </c>
      <c r="CA205" s="2004">
        <v>0</v>
      </c>
      <c r="CB205" s="2004">
        <v>0</v>
      </c>
      <c r="CC205" s="2004">
        <v>37.200000000000003</v>
      </c>
      <c r="CD205" s="2004" t="s">
        <v>2335</v>
      </c>
      <c r="CE205" s="2004">
        <v>0</v>
      </c>
      <c r="CF205" s="2004">
        <v>0</v>
      </c>
      <c r="CG205" s="2004">
        <v>0</v>
      </c>
      <c r="CH205" s="2004">
        <v>0</v>
      </c>
      <c r="CI205" s="2004">
        <v>36.299999999999997</v>
      </c>
      <c r="CJ205" s="2004" t="s">
        <v>2335</v>
      </c>
      <c r="CK205" s="2004">
        <v>0</v>
      </c>
      <c r="CL205" s="2004">
        <v>0</v>
      </c>
      <c r="CM205" s="2004">
        <v>0</v>
      </c>
      <c r="CN205" s="2004">
        <v>0</v>
      </c>
      <c r="CP205" s="2004" t="s">
        <v>10460</v>
      </c>
    </row>
    <row r="206" spans="1:94">
      <c r="A206" s="2004" t="s">
        <v>10333</v>
      </c>
      <c r="B206" s="2004" t="s">
        <v>10461</v>
      </c>
      <c r="C206" s="2004" t="s">
        <v>9085</v>
      </c>
      <c r="D206" s="2004" t="s">
        <v>1628</v>
      </c>
      <c r="E206" s="2004" t="s">
        <v>9194</v>
      </c>
      <c r="F206" s="2004" t="s">
        <v>10455</v>
      </c>
      <c r="G206" s="2004" t="s">
        <v>10462</v>
      </c>
      <c r="H206" s="2004" t="s">
        <v>10463</v>
      </c>
      <c r="I206" s="2004" t="s">
        <v>10464</v>
      </c>
      <c r="J206" s="2004" t="s">
        <v>9230</v>
      </c>
      <c r="K206" s="2004"/>
      <c r="L206" s="2004"/>
      <c r="M206" s="2004"/>
      <c r="N206" s="2004" t="s">
        <v>9224</v>
      </c>
      <c r="O206" s="2004" t="s">
        <v>9231</v>
      </c>
      <c r="P206" s="2004" t="s">
        <v>10465</v>
      </c>
      <c r="Q206" s="516" t="s">
        <v>9231</v>
      </c>
      <c r="R206" s="2004"/>
      <c r="S206" s="2004" t="s">
        <v>9231</v>
      </c>
      <c r="T206" s="2004" t="s">
        <v>9231</v>
      </c>
      <c r="U206" s="2004" t="s">
        <v>9231</v>
      </c>
      <c r="V206" s="2004" t="s">
        <v>9231</v>
      </c>
      <c r="W206" s="2004" t="s">
        <v>9231</v>
      </c>
      <c r="X206" s="2004" t="s">
        <v>9231</v>
      </c>
      <c r="Y206" s="2004"/>
      <c r="Z206" s="2004"/>
      <c r="AA206" s="2004"/>
      <c r="AB206" s="2004"/>
      <c r="AC206" s="2004"/>
      <c r="AD206" s="2004"/>
      <c r="AE206" s="2004"/>
      <c r="AF206" s="2004"/>
      <c r="AG206" s="2004" t="s">
        <v>2337</v>
      </c>
      <c r="AH206" s="2004">
        <v>0</v>
      </c>
      <c r="AI206" s="2004"/>
      <c r="AJ206" s="2004"/>
      <c r="AK206" s="2004"/>
      <c r="AL206" s="2004"/>
      <c r="AM206" s="2004"/>
      <c r="AN206" s="2004"/>
      <c r="AO206" s="2004"/>
      <c r="AP206" s="2004"/>
      <c r="AQ206" s="2004"/>
      <c r="AR206" s="2004"/>
      <c r="AS206" s="2004"/>
      <c r="AT206" s="2004"/>
      <c r="AU206" s="2004"/>
      <c r="AV206" s="2004"/>
      <c r="AW206" s="2004"/>
      <c r="AX206" s="2004"/>
      <c r="AY206" s="2004"/>
      <c r="AZ206" s="2004"/>
      <c r="BA206" s="2004"/>
      <c r="BB206" s="2004"/>
      <c r="BC206" s="2004"/>
      <c r="BD206" s="2004"/>
      <c r="BE206" s="2004"/>
      <c r="BF206" s="2004"/>
      <c r="BG206" s="2004"/>
      <c r="BH206" s="2004"/>
      <c r="BI206" s="2004"/>
      <c r="BJ206" s="2004"/>
      <c r="BK206" s="2004"/>
      <c r="BL206" s="2004"/>
      <c r="BM206" s="2004"/>
      <c r="BN206" s="2004"/>
      <c r="BO206" s="2004"/>
      <c r="BP206" s="516" t="s">
        <v>9204</v>
      </c>
      <c r="BQ206" s="688" t="s">
        <v>9204</v>
      </c>
      <c r="BR206" s="2004" t="s">
        <v>9204</v>
      </c>
      <c r="BS206" s="2004" t="s">
        <v>9204</v>
      </c>
      <c r="BT206" s="2004">
        <v>0</v>
      </c>
      <c r="BU206" s="2004" t="s">
        <v>9204</v>
      </c>
      <c r="BV206" s="2004">
        <v>0</v>
      </c>
      <c r="BW206" s="2004">
        <v>-0.18</v>
      </c>
      <c r="BX206" s="2004" t="s">
        <v>2337</v>
      </c>
      <c r="BY206" s="2004">
        <v>0</v>
      </c>
      <c r="BZ206" s="2004">
        <v>0</v>
      </c>
      <c r="CA206" s="2004">
        <v>0</v>
      </c>
      <c r="CB206" s="2004">
        <v>0</v>
      </c>
      <c r="CC206" s="2004">
        <v>-0.24</v>
      </c>
      <c r="CD206" s="2004" t="s">
        <v>2337</v>
      </c>
      <c r="CE206" s="2004">
        <v>0</v>
      </c>
      <c r="CF206" s="2004">
        <v>0</v>
      </c>
      <c r="CG206" s="2004">
        <v>0</v>
      </c>
      <c r="CH206" s="2004">
        <v>0</v>
      </c>
      <c r="CI206" s="2004">
        <v>-9.9436040682389981E-2</v>
      </c>
      <c r="CJ206" s="2004" t="s">
        <v>2337</v>
      </c>
      <c r="CK206" s="2004">
        <v>0</v>
      </c>
      <c r="CL206" s="2004">
        <v>0</v>
      </c>
      <c r="CM206" s="2004">
        <v>0</v>
      </c>
      <c r="CN206" s="2004">
        <v>0</v>
      </c>
      <c r="CP206" s="2004" t="s">
        <v>10466</v>
      </c>
    </row>
    <row r="207" spans="1:94">
      <c r="A207" s="2004" t="s">
        <v>10333</v>
      </c>
      <c r="B207" s="2004" t="s">
        <v>10467</v>
      </c>
      <c r="C207" s="2004" t="s">
        <v>9085</v>
      </c>
      <c r="D207" s="2004" t="s">
        <v>9275</v>
      </c>
      <c r="E207" s="2004" t="s">
        <v>9276</v>
      </c>
      <c r="F207" s="2004" t="s">
        <v>10335</v>
      </c>
      <c r="G207" s="2004" t="s">
        <v>7928</v>
      </c>
      <c r="H207" s="2004" t="s">
        <v>10468</v>
      </c>
      <c r="I207" s="2004" t="s">
        <v>10337</v>
      </c>
      <c r="J207" s="2004" t="s">
        <v>9199</v>
      </c>
      <c r="K207" s="2004" t="s">
        <v>9200</v>
      </c>
      <c r="L207" s="2004"/>
      <c r="M207" s="2004"/>
      <c r="N207" s="2004" t="s">
        <v>9386</v>
      </c>
      <c r="O207" s="2004" t="s">
        <v>9282</v>
      </c>
      <c r="P207" s="2004" t="s">
        <v>10338</v>
      </c>
      <c r="Q207" s="516">
        <v>1</v>
      </c>
      <c r="R207" s="2004" t="s">
        <v>9240</v>
      </c>
      <c r="S207" s="2004">
        <v>4.5999999999999996</v>
      </c>
      <c r="T207" s="2004">
        <v>4.5999999999999996</v>
      </c>
      <c r="U207" s="2004">
        <v>4.5999999999999996</v>
      </c>
      <c r="V207" s="2004">
        <v>4.5999999999999996</v>
      </c>
      <c r="W207" s="2004">
        <v>4.5999999999999996</v>
      </c>
      <c r="X207" s="2004">
        <v>4.5999999999999996</v>
      </c>
      <c r="Y207" s="2004"/>
      <c r="Z207" s="2004"/>
      <c r="AA207" s="2004"/>
      <c r="AB207" s="2004"/>
      <c r="AC207" s="2004"/>
      <c r="AD207" s="2004"/>
      <c r="AE207" s="2004"/>
      <c r="AF207" s="2004"/>
      <c r="AG207" s="2004"/>
      <c r="AH207" s="2004">
        <v>0</v>
      </c>
      <c r="AI207" s="2004"/>
      <c r="AJ207" s="2004" t="s">
        <v>2337</v>
      </c>
      <c r="AK207" s="2004" t="s">
        <v>2337</v>
      </c>
      <c r="AL207" s="2004" t="s">
        <v>2337</v>
      </c>
      <c r="AM207" s="2004" t="s">
        <v>2337</v>
      </c>
      <c r="AN207" s="2004"/>
      <c r="AO207" s="2004">
        <v>3.6</v>
      </c>
      <c r="AP207" s="2004">
        <v>3.6</v>
      </c>
      <c r="AQ207" s="2004">
        <v>3.6</v>
      </c>
      <c r="AR207" s="2004">
        <v>3.6</v>
      </c>
      <c r="AS207" s="2004"/>
      <c r="AT207" s="2004">
        <v>4.5</v>
      </c>
      <c r="AU207" s="2004">
        <v>4.5</v>
      </c>
      <c r="AV207" s="2004">
        <v>4.5</v>
      </c>
      <c r="AW207" s="2004">
        <v>4.5</v>
      </c>
      <c r="AX207" s="2004"/>
      <c r="AY207" s="2004">
        <v>4.7</v>
      </c>
      <c r="AZ207" s="2004">
        <v>4.7</v>
      </c>
      <c r="BA207" s="2004">
        <v>4.7</v>
      </c>
      <c r="BB207" s="2004">
        <v>4.7</v>
      </c>
      <c r="BC207" s="2004"/>
      <c r="BD207" s="2004">
        <v>5</v>
      </c>
      <c r="BE207" s="2004">
        <v>5</v>
      </c>
      <c r="BF207" s="2004">
        <v>5</v>
      </c>
      <c r="BG207" s="2004">
        <v>5</v>
      </c>
      <c r="BH207" s="2004">
        <v>1.6E-2</v>
      </c>
      <c r="BI207" s="2004"/>
      <c r="BJ207" s="2004"/>
      <c r="BK207" s="2004"/>
      <c r="BL207" s="2004">
        <v>1.6E-2</v>
      </c>
      <c r="BM207" s="2004"/>
      <c r="BN207" s="2004">
        <v>1</v>
      </c>
      <c r="BO207" s="2004" t="s">
        <v>10339</v>
      </c>
      <c r="BP207" s="516" t="s">
        <v>9204</v>
      </c>
      <c r="BQ207" s="686">
        <v>4.4000000000000004</v>
      </c>
      <c r="BR207" s="2004" t="s">
        <v>2334</v>
      </c>
      <c r="BS207" s="2004" t="s">
        <v>9204</v>
      </c>
      <c r="BT207" s="2004">
        <v>0</v>
      </c>
      <c r="BU207" s="2004" t="s">
        <v>9204</v>
      </c>
      <c r="BV207" s="2004">
        <v>0</v>
      </c>
      <c r="BW207" s="2004">
        <v>4.5</v>
      </c>
      <c r="BX207" s="2004" t="s">
        <v>2334</v>
      </c>
      <c r="BY207" s="2004">
        <v>0</v>
      </c>
      <c r="BZ207" s="2004">
        <v>0</v>
      </c>
      <c r="CA207" s="2004" t="s">
        <v>9120</v>
      </c>
      <c r="CB207" s="2004">
        <v>0</v>
      </c>
      <c r="CC207" s="2004">
        <v>4.5</v>
      </c>
      <c r="CD207" s="2004" t="s">
        <v>2334</v>
      </c>
      <c r="CE207" s="2004">
        <v>0</v>
      </c>
      <c r="CF207" s="2004">
        <v>0</v>
      </c>
      <c r="CG207" s="2004" t="s">
        <v>2340</v>
      </c>
      <c r="CH207" s="2004">
        <v>0</v>
      </c>
      <c r="CI207" s="2004">
        <v>4.5</v>
      </c>
      <c r="CJ207" s="2004" t="s">
        <v>2334</v>
      </c>
      <c r="CK207" s="2004">
        <v>0</v>
      </c>
      <c r="CL207" s="2004">
        <v>0</v>
      </c>
      <c r="CM207" s="2004" t="s">
        <v>2340</v>
      </c>
      <c r="CN207" s="2004">
        <v>0</v>
      </c>
      <c r="CP207" s="2004" t="s">
        <v>10340</v>
      </c>
    </row>
    <row r="208" spans="1:94">
      <c r="A208" s="2004" t="s">
        <v>10333</v>
      </c>
      <c r="B208" s="2004" t="s">
        <v>10469</v>
      </c>
      <c r="C208" s="2004" t="s">
        <v>9085</v>
      </c>
      <c r="D208" s="2004" t="s">
        <v>9275</v>
      </c>
      <c r="E208" s="2004" t="s">
        <v>9276</v>
      </c>
      <c r="F208" s="2004" t="s">
        <v>10342</v>
      </c>
      <c r="G208" s="2004" t="s">
        <v>7930</v>
      </c>
      <c r="H208" s="2004" t="s">
        <v>10470</v>
      </c>
      <c r="I208" s="2004" t="s">
        <v>10344</v>
      </c>
      <c r="J208" s="2004" t="s">
        <v>9199</v>
      </c>
      <c r="K208" s="2004" t="s">
        <v>9200</v>
      </c>
      <c r="L208" s="2004"/>
      <c r="M208" s="2004"/>
      <c r="N208" s="2004" t="s">
        <v>9386</v>
      </c>
      <c r="O208" s="2004" t="s">
        <v>9282</v>
      </c>
      <c r="P208" s="2004" t="s">
        <v>10338</v>
      </c>
      <c r="Q208" s="516">
        <v>1</v>
      </c>
      <c r="R208" s="2004" t="s">
        <v>9240</v>
      </c>
      <c r="S208" s="2004">
        <v>4.3</v>
      </c>
      <c r="T208" s="2004">
        <v>4.3</v>
      </c>
      <c r="U208" s="2004">
        <v>4.3</v>
      </c>
      <c r="V208" s="2004">
        <v>4.3</v>
      </c>
      <c r="W208" s="2004">
        <v>4.3</v>
      </c>
      <c r="X208" s="2004">
        <v>4.3</v>
      </c>
      <c r="Y208" s="2004"/>
      <c r="Z208" s="2004"/>
      <c r="AA208" s="2004"/>
      <c r="AB208" s="2004"/>
      <c r="AC208" s="2004"/>
      <c r="AD208" s="2004"/>
      <c r="AE208" s="2004"/>
      <c r="AF208" s="2004"/>
      <c r="AG208" s="2004"/>
      <c r="AH208" s="2004">
        <v>0</v>
      </c>
      <c r="AI208" s="2004"/>
      <c r="AJ208" s="2004" t="s">
        <v>2337</v>
      </c>
      <c r="AK208" s="2004" t="s">
        <v>2337</v>
      </c>
      <c r="AL208" s="2004" t="s">
        <v>2337</v>
      </c>
      <c r="AM208" s="2004" t="s">
        <v>2337</v>
      </c>
      <c r="AN208" s="2004"/>
      <c r="AO208" s="2004">
        <v>3.3</v>
      </c>
      <c r="AP208" s="2004">
        <v>3.3</v>
      </c>
      <c r="AQ208" s="2004">
        <v>3.3</v>
      </c>
      <c r="AR208" s="2004">
        <v>3.3</v>
      </c>
      <c r="AS208" s="2004"/>
      <c r="AT208" s="2004">
        <v>4.2</v>
      </c>
      <c r="AU208" s="2004">
        <v>4.2</v>
      </c>
      <c r="AV208" s="2004">
        <v>4.2</v>
      </c>
      <c r="AW208" s="2004">
        <v>4.2</v>
      </c>
      <c r="AX208" s="2004"/>
      <c r="AY208" s="2004">
        <v>4.4000000000000004</v>
      </c>
      <c r="AZ208" s="2004">
        <v>4.4000000000000004</v>
      </c>
      <c r="BA208" s="2004">
        <v>4.4000000000000004</v>
      </c>
      <c r="BB208" s="2004">
        <v>4.4000000000000004</v>
      </c>
      <c r="BC208" s="2004"/>
      <c r="BD208" s="2004">
        <v>5</v>
      </c>
      <c r="BE208" s="2004">
        <v>5</v>
      </c>
      <c r="BF208" s="2004">
        <v>5</v>
      </c>
      <c r="BG208" s="2004">
        <v>5</v>
      </c>
      <c r="BH208" s="2004">
        <v>3.1E-2</v>
      </c>
      <c r="BI208" s="2004"/>
      <c r="BJ208" s="2004"/>
      <c r="BK208" s="2004"/>
      <c r="BL208" s="2004">
        <v>3.1E-2</v>
      </c>
      <c r="BM208" s="2004"/>
      <c r="BN208" s="2004">
        <v>1</v>
      </c>
      <c r="BO208" s="2004" t="s">
        <v>10339</v>
      </c>
      <c r="BP208" s="516" t="s">
        <v>9204</v>
      </c>
      <c r="BQ208" s="686">
        <v>4.0999999999999996</v>
      </c>
      <c r="BR208" s="2004" t="s">
        <v>2334</v>
      </c>
      <c r="BS208" s="2004" t="s">
        <v>9204</v>
      </c>
      <c r="BT208" s="2004">
        <v>0</v>
      </c>
      <c r="BU208" s="2004" t="s">
        <v>9204</v>
      </c>
      <c r="BV208" s="2004">
        <v>0</v>
      </c>
      <c r="BW208" s="2004">
        <v>4.2</v>
      </c>
      <c r="BX208" s="2004" t="s">
        <v>2334</v>
      </c>
      <c r="BY208" s="2004">
        <v>0</v>
      </c>
      <c r="BZ208" s="2004">
        <v>0</v>
      </c>
      <c r="CA208" s="2004" t="s">
        <v>9120</v>
      </c>
      <c r="CB208" s="2004">
        <v>0</v>
      </c>
      <c r="CC208" s="2004">
        <v>4.2</v>
      </c>
      <c r="CD208" s="2004" t="s">
        <v>2334</v>
      </c>
      <c r="CE208" s="2004">
        <v>0</v>
      </c>
      <c r="CF208" s="2004">
        <v>0</v>
      </c>
      <c r="CG208" s="2004" t="s">
        <v>2340</v>
      </c>
      <c r="CH208" s="2004">
        <v>0</v>
      </c>
      <c r="CI208" s="2004">
        <v>4.2</v>
      </c>
      <c r="CJ208" s="2004" t="s">
        <v>2334</v>
      </c>
      <c r="CK208" s="2004">
        <v>0</v>
      </c>
      <c r="CL208" s="2004">
        <v>0</v>
      </c>
      <c r="CM208" s="2004" t="s">
        <v>2340</v>
      </c>
      <c r="CN208" s="2004">
        <v>0</v>
      </c>
      <c r="CP208" s="2004" t="s">
        <v>10345</v>
      </c>
    </row>
    <row r="209" spans="1:94">
      <c r="A209" s="2004" t="s">
        <v>10333</v>
      </c>
      <c r="B209" s="2004" t="s">
        <v>10471</v>
      </c>
      <c r="C209" s="2004" t="s">
        <v>9085</v>
      </c>
      <c r="D209" s="2004" t="s">
        <v>9275</v>
      </c>
      <c r="E209" s="2004" t="s">
        <v>9276</v>
      </c>
      <c r="F209" s="2004" t="s">
        <v>10347</v>
      </c>
      <c r="G209" s="2004" t="s">
        <v>8948</v>
      </c>
      <c r="H209" s="2004" t="s">
        <v>10472</v>
      </c>
      <c r="I209" s="2004" t="s">
        <v>10349</v>
      </c>
      <c r="J209" s="2004" t="s">
        <v>9199</v>
      </c>
      <c r="K209" s="2004" t="s">
        <v>9200</v>
      </c>
      <c r="L209" s="2004"/>
      <c r="M209" s="2004"/>
      <c r="N209" s="2004" t="s">
        <v>9386</v>
      </c>
      <c r="O209" s="2004" t="s">
        <v>9282</v>
      </c>
      <c r="P209" s="2004" t="s">
        <v>10338</v>
      </c>
      <c r="Q209" s="516">
        <v>1</v>
      </c>
      <c r="R209" s="2004" t="s">
        <v>9240</v>
      </c>
      <c r="S209" s="2004">
        <v>3.6</v>
      </c>
      <c r="T209" s="2004">
        <v>4</v>
      </c>
      <c r="U209" s="2004">
        <v>4</v>
      </c>
      <c r="V209" s="2004">
        <v>4</v>
      </c>
      <c r="W209" s="2004">
        <v>4</v>
      </c>
      <c r="X209" s="2004">
        <v>4</v>
      </c>
      <c r="Y209" s="2004"/>
      <c r="Z209" s="2004"/>
      <c r="AA209" s="2004"/>
      <c r="AB209" s="2004"/>
      <c r="AC209" s="2004"/>
      <c r="AD209" s="2004"/>
      <c r="AE209" s="2004"/>
      <c r="AF209" s="2004"/>
      <c r="AG209" s="2004"/>
      <c r="AH209" s="2004">
        <v>0</v>
      </c>
      <c r="AI209" s="2004"/>
      <c r="AJ209" s="2004" t="s">
        <v>2337</v>
      </c>
      <c r="AK209" s="2004" t="s">
        <v>2337</v>
      </c>
      <c r="AL209" s="2004" t="s">
        <v>2337</v>
      </c>
      <c r="AM209" s="2004" t="s">
        <v>2337</v>
      </c>
      <c r="AN209" s="2004"/>
      <c r="AO209" s="2004">
        <v>3</v>
      </c>
      <c r="AP209" s="2004">
        <v>3</v>
      </c>
      <c r="AQ209" s="2004">
        <v>3</v>
      </c>
      <c r="AR209" s="2004">
        <v>3</v>
      </c>
      <c r="AS209" s="2004"/>
      <c r="AT209" s="2004">
        <v>3.9</v>
      </c>
      <c r="AU209" s="2004">
        <v>3.9</v>
      </c>
      <c r="AV209" s="2004">
        <v>3.9</v>
      </c>
      <c r="AW209" s="2004">
        <v>3.9</v>
      </c>
      <c r="AX209" s="2004"/>
      <c r="AY209" s="2004">
        <v>4.0999999999999996</v>
      </c>
      <c r="AZ209" s="2004">
        <v>4.0999999999999996</v>
      </c>
      <c r="BA209" s="2004">
        <v>4.0999999999999996</v>
      </c>
      <c r="BB209" s="2004">
        <v>4.0999999999999996</v>
      </c>
      <c r="BC209" s="2004"/>
      <c r="BD209" s="2004">
        <v>5</v>
      </c>
      <c r="BE209" s="2004">
        <v>5</v>
      </c>
      <c r="BF209" s="2004">
        <v>5</v>
      </c>
      <c r="BG209" s="2004">
        <v>5</v>
      </c>
      <c r="BH209" s="2004">
        <v>3.6999999999999998E-2</v>
      </c>
      <c r="BI209" s="2004"/>
      <c r="BJ209" s="2004"/>
      <c r="BK209" s="2004"/>
      <c r="BL209" s="2004">
        <v>3.6999999999999998E-2</v>
      </c>
      <c r="BM209" s="2004"/>
      <c r="BN209" s="2004">
        <v>3</v>
      </c>
      <c r="BO209" s="2004" t="s">
        <v>10339</v>
      </c>
      <c r="BP209" s="516" t="s">
        <v>9204</v>
      </c>
      <c r="BQ209" s="686">
        <v>3.4</v>
      </c>
      <c r="BR209" s="2004" t="s">
        <v>2334</v>
      </c>
      <c r="BS209" s="2004" t="s">
        <v>9204</v>
      </c>
      <c r="BT209" s="2004">
        <v>0</v>
      </c>
      <c r="BU209" s="2004" t="s">
        <v>9204</v>
      </c>
      <c r="BV209" s="2004">
        <v>0</v>
      </c>
      <c r="BW209" s="2004">
        <v>3.8</v>
      </c>
      <c r="BX209" s="2004" t="s">
        <v>2334</v>
      </c>
      <c r="BY209" s="2004">
        <v>0</v>
      </c>
      <c r="BZ209" s="2004">
        <v>0</v>
      </c>
      <c r="CA209" s="2004" t="s">
        <v>9254</v>
      </c>
      <c r="CB209" s="2004">
        <v>-1.1099999999999999E-2</v>
      </c>
      <c r="CC209" s="2004">
        <v>3.8</v>
      </c>
      <c r="CD209" s="2004" t="s">
        <v>2334</v>
      </c>
      <c r="CE209" s="2004">
        <v>0</v>
      </c>
      <c r="CF209" s="2004">
        <v>0</v>
      </c>
      <c r="CG209" s="2004" t="s">
        <v>2336</v>
      </c>
      <c r="CH209" s="2004">
        <v>-1.1099999999999999E-2</v>
      </c>
      <c r="CI209" s="2004">
        <v>3.6</v>
      </c>
      <c r="CJ209" s="2004" t="s">
        <v>2334</v>
      </c>
      <c r="CK209" s="2004">
        <v>0</v>
      </c>
      <c r="CL209" s="2004">
        <v>0</v>
      </c>
      <c r="CM209" s="2004" t="s">
        <v>2336</v>
      </c>
      <c r="CN209" s="2004">
        <v>-3.3299999999999996E-2</v>
      </c>
      <c r="CP209" s="2004" t="s">
        <v>10350</v>
      </c>
    </row>
    <row r="210" spans="1:94">
      <c r="A210" s="2004" t="s">
        <v>10333</v>
      </c>
      <c r="B210" s="2004" t="s">
        <v>10473</v>
      </c>
      <c r="C210" s="2004" t="s">
        <v>9085</v>
      </c>
      <c r="D210" s="2004" t="s">
        <v>9275</v>
      </c>
      <c r="E210" s="2004" t="s">
        <v>9276</v>
      </c>
      <c r="F210" s="2004" t="s">
        <v>10356</v>
      </c>
      <c r="G210" s="2004" t="s">
        <v>8955</v>
      </c>
      <c r="H210" s="2004" t="s">
        <v>10474</v>
      </c>
      <c r="I210" s="2004" t="s">
        <v>10358</v>
      </c>
      <c r="J210" s="2004" t="s">
        <v>9199</v>
      </c>
      <c r="K210" s="2004" t="s">
        <v>9200</v>
      </c>
      <c r="L210" s="2004"/>
      <c r="M210" s="2004"/>
      <c r="N210" s="2004" t="s">
        <v>9386</v>
      </c>
      <c r="O210" s="2004" t="s">
        <v>9282</v>
      </c>
      <c r="P210" s="2004" t="s">
        <v>10338</v>
      </c>
      <c r="Q210" s="516">
        <v>1</v>
      </c>
      <c r="R210" s="2004" t="s">
        <v>9240</v>
      </c>
      <c r="S210" s="2004">
        <v>4.5</v>
      </c>
      <c r="T210" s="2004">
        <v>4.5</v>
      </c>
      <c r="U210" s="2004">
        <v>4.5</v>
      </c>
      <c r="V210" s="2004">
        <v>4.5</v>
      </c>
      <c r="W210" s="2004">
        <v>4.5</v>
      </c>
      <c r="X210" s="2004">
        <v>4.5</v>
      </c>
      <c r="Y210" s="2004"/>
      <c r="Z210" s="2004"/>
      <c r="AA210" s="2004"/>
      <c r="AB210" s="2004"/>
      <c r="AC210" s="2004"/>
      <c r="AD210" s="2004"/>
      <c r="AE210" s="2004"/>
      <c r="AF210" s="2004"/>
      <c r="AG210" s="2004"/>
      <c r="AH210" s="2004">
        <v>0</v>
      </c>
      <c r="AI210" s="2004"/>
      <c r="AJ210" s="2004" t="s">
        <v>2337</v>
      </c>
      <c r="AK210" s="2004" t="s">
        <v>2337</v>
      </c>
      <c r="AL210" s="2004" t="s">
        <v>2337</v>
      </c>
      <c r="AM210" s="2004" t="s">
        <v>2337</v>
      </c>
      <c r="AN210" s="2004"/>
      <c r="AO210" s="2004">
        <v>3.5</v>
      </c>
      <c r="AP210" s="2004">
        <v>3.5</v>
      </c>
      <c r="AQ210" s="2004">
        <v>3.5</v>
      </c>
      <c r="AR210" s="2004">
        <v>3.5</v>
      </c>
      <c r="AS210" s="2004"/>
      <c r="AT210" s="2004">
        <v>4.4000000000000004</v>
      </c>
      <c r="AU210" s="2004">
        <v>4.4000000000000004</v>
      </c>
      <c r="AV210" s="2004">
        <v>4.4000000000000004</v>
      </c>
      <c r="AW210" s="2004">
        <v>4.4000000000000004</v>
      </c>
      <c r="AX210" s="2004"/>
      <c r="AY210" s="2004">
        <v>4.5999999999999996</v>
      </c>
      <c r="AZ210" s="2004">
        <v>4.5999999999999996</v>
      </c>
      <c r="BA210" s="2004">
        <v>4.5999999999999996</v>
      </c>
      <c r="BB210" s="2004">
        <v>4.5999999999999996</v>
      </c>
      <c r="BC210" s="2004"/>
      <c r="BD210" s="2004">
        <v>5</v>
      </c>
      <c r="BE210" s="2004">
        <v>5</v>
      </c>
      <c r="BF210" s="2004">
        <v>5</v>
      </c>
      <c r="BG210" s="2004">
        <v>5</v>
      </c>
      <c r="BH210" s="2004">
        <v>8.0000000000000002E-3</v>
      </c>
      <c r="BI210" s="2004"/>
      <c r="BJ210" s="2004"/>
      <c r="BK210" s="2004"/>
      <c r="BL210" s="2004">
        <v>8.0000000000000002E-3</v>
      </c>
      <c r="BM210" s="2004"/>
      <c r="BN210" s="2004">
        <v>8</v>
      </c>
      <c r="BO210" s="2004" t="s">
        <v>10339</v>
      </c>
      <c r="BP210" s="516" t="s">
        <v>9204</v>
      </c>
      <c r="BQ210" s="686">
        <v>4.2</v>
      </c>
      <c r="BR210" s="2004" t="s">
        <v>2334</v>
      </c>
      <c r="BS210" s="2004" t="s">
        <v>9204</v>
      </c>
      <c r="BT210" s="2004">
        <v>0</v>
      </c>
      <c r="BU210" s="2004" t="s">
        <v>9204</v>
      </c>
      <c r="BV210" s="2004">
        <v>0</v>
      </c>
      <c r="BW210" s="2004">
        <v>4.3</v>
      </c>
      <c r="BX210" s="2004" t="s">
        <v>2334</v>
      </c>
      <c r="BY210" s="2004">
        <v>0</v>
      </c>
      <c r="BZ210" s="2004">
        <v>0</v>
      </c>
      <c r="CA210" s="2004" t="s">
        <v>9254</v>
      </c>
      <c r="CB210" s="2004">
        <v>-6.4000000000000003E-3</v>
      </c>
      <c r="CC210" s="2004">
        <v>4.3</v>
      </c>
      <c r="CD210" s="2004" t="s">
        <v>2334</v>
      </c>
      <c r="CE210" s="2004">
        <v>0</v>
      </c>
      <c r="CF210" s="2004">
        <v>0</v>
      </c>
      <c r="CG210" s="2004" t="s">
        <v>2336</v>
      </c>
      <c r="CH210" s="2004">
        <v>-6.4000000000000003E-3</v>
      </c>
      <c r="CI210" s="2004">
        <v>4.3</v>
      </c>
      <c r="CJ210" s="2004" t="s">
        <v>2334</v>
      </c>
      <c r="CK210" s="2004">
        <v>0</v>
      </c>
      <c r="CL210" s="2004">
        <v>0</v>
      </c>
      <c r="CM210" s="2004" t="s">
        <v>2336</v>
      </c>
      <c r="CN210" s="2004">
        <v>-6.4000000000000324E-3</v>
      </c>
      <c r="CP210" s="2004" t="s">
        <v>10359</v>
      </c>
    </row>
    <row r="211" spans="1:94">
      <c r="A211" s="2004" t="s">
        <v>10333</v>
      </c>
      <c r="B211" s="2004" t="s">
        <v>10475</v>
      </c>
      <c r="C211" s="2004" t="s">
        <v>9085</v>
      </c>
      <c r="D211" s="2004" t="s">
        <v>9275</v>
      </c>
      <c r="E211" s="2004" t="s">
        <v>9276</v>
      </c>
      <c r="F211" s="2004" t="s">
        <v>10356</v>
      </c>
      <c r="G211" s="2004" t="s">
        <v>8958</v>
      </c>
      <c r="H211" s="2004" t="s">
        <v>10476</v>
      </c>
      <c r="I211" s="2004" t="s">
        <v>10362</v>
      </c>
      <c r="J211" s="2004" t="s">
        <v>9199</v>
      </c>
      <c r="K211" s="2004" t="s">
        <v>9200</v>
      </c>
      <c r="L211" s="2004"/>
      <c r="M211" s="2004" t="s">
        <v>2334</v>
      </c>
      <c r="N211" s="2004" t="s">
        <v>9281</v>
      </c>
      <c r="O211" s="2004" t="s">
        <v>9282</v>
      </c>
      <c r="P211" s="2004" t="s">
        <v>9283</v>
      </c>
      <c r="Q211" s="516">
        <v>1</v>
      </c>
      <c r="R211" s="2004" t="s">
        <v>9240</v>
      </c>
      <c r="S211" s="2004">
        <v>78</v>
      </c>
      <c r="T211" s="2004"/>
      <c r="U211" s="2004"/>
      <c r="V211" s="2004"/>
      <c r="W211" s="2004"/>
      <c r="X211" s="2004" t="s">
        <v>9917</v>
      </c>
      <c r="Y211" s="2004"/>
      <c r="Z211" s="2004"/>
      <c r="AA211" s="2004"/>
      <c r="AB211" s="2004"/>
      <c r="AC211" s="2004"/>
      <c r="AD211" s="2004"/>
      <c r="AE211" s="2004"/>
      <c r="AF211" s="2004"/>
      <c r="AG211" s="2004"/>
      <c r="AH211" s="2004">
        <v>0</v>
      </c>
      <c r="AI211" s="2004" t="s">
        <v>2337</v>
      </c>
      <c r="AJ211" s="2004" t="s">
        <v>2337</v>
      </c>
      <c r="AK211" s="2004" t="s">
        <v>2337</v>
      </c>
      <c r="AL211" s="2004" t="s">
        <v>2337</v>
      </c>
      <c r="AM211" s="2004" t="s">
        <v>2337</v>
      </c>
      <c r="AN211" s="2004" t="s">
        <v>9284</v>
      </c>
      <c r="AO211" s="2004" t="s">
        <v>9284</v>
      </c>
      <c r="AP211" s="2004" t="s">
        <v>9284</v>
      </c>
      <c r="AQ211" s="2004" t="s">
        <v>9284</v>
      </c>
      <c r="AR211" s="2004" t="s">
        <v>9284</v>
      </c>
      <c r="AS211" s="2004" t="s">
        <v>9284</v>
      </c>
      <c r="AT211" s="2004" t="s">
        <v>9284</v>
      </c>
      <c r="AU211" s="2004" t="s">
        <v>9284</v>
      </c>
      <c r="AV211" s="2004" t="s">
        <v>9284</v>
      </c>
      <c r="AW211" s="2004" t="s">
        <v>9284</v>
      </c>
      <c r="AX211" s="2004" t="s">
        <v>9284</v>
      </c>
      <c r="AY211" s="2004" t="s">
        <v>9284</v>
      </c>
      <c r="AZ211" s="2004" t="s">
        <v>9284</v>
      </c>
      <c r="BA211" s="2004" t="s">
        <v>9284</v>
      </c>
      <c r="BB211" s="2004" t="s">
        <v>9284</v>
      </c>
      <c r="BC211" s="2004" t="s">
        <v>9284</v>
      </c>
      <c r="BD211" s="2004" t="s">
        <v>9284</v>
      </c>
      <c r="BE211" s="2004" t="s">
        <v>9284</v>
      </c>
      <c r="BF211" s="2004" t="s">
        <v>9284</v>
      </c>
      <c r="BG211" s="2004" t="s">
        <v>9284</v>
      </c>
      <c r="BH211" s="2004" t="s">
        <v>9284</v>
      </c>
      <c r="BI211" s="2004"/>
      <c r="BJ211" s="2004"/>
      <c r="BK211" s="2004"/>
      <c r="BL211" s="2004" t="s">
        <v>9284</v>
      </c>
      <c r="BM211" s="2004"/>
      <c r="BN211" s="2004">
        <v>1</v>
      </c>
      <c r="BO211" s="2004" t="s">
        <v>9203</v>
      </c>
      <c r="BP211" s="516" t="s">
        <v>9204</v>
      </c>
      <c r="BQ211" s="686">
        <v>81.95</v>
      </c>
      <c r="BR211" s="2004" t="s">
        <v>9204</v>
      </c>
      <c r="BS211" s="2004" t="s">
        <v>9204</v>
      </c>
      <c r="BT211" s="2004">
        <v>0</v>
      </c>
      <c r="BU211" s="2004" t="s">
        <v>9204</v>
      </c>
      <c r="BV211" s="2004">
        <v>0</v>
      </c>
      <c r="BW211" s="2004">
        <v>84.6</v>
      </c>
      <c r="BX211" s="2004" t="s">
        <v>2335</v>
      </c>
      <c r="BY211" s="2004">
        <v>0</v>
      </c>
      <c r="BZ211" s="2004">
        <v>0</v>
      </c>
      <c r="CA211" s="2004">
        <v>0</v>
      </c>
      <c r="CB211" s="2004">
        <v>0</v>
      </c>
      <c r="CC211" s="2004">
        <v>85.6</v>
      </c>
      <c r="CD211" s="2004" t="s">
        <v>2335</v>
      </c>
      <c r="CE211" s="2004">
        <v>0</v>
      </c>
      <c r="CF211" s="2004">
        <v>0</v>
      </c>
      <c r="CG211" s="2004">
        <v>0</v>
      </c>
      <c r="CH211" s="2004">
        <v>0</v>
      </c>
      <c r="CI211" s="2004">
        <v>85.4</v>
      </c>
      <c r="CJ211" s="2004" t="s">
        <v>2335</v>
      </c>
      <c r="CK211" s="2004">
        <v>0</v>
      </c>
      <c r="CL211" s="2004">
        <v>0</v>
      </c>
      <c r="CM211" s="2004">
        <v>0</v>
      </c>
      <c r="CN211" s="2004">
        <v>0</v>
      </c>
      <c r="CP211" s="2004" t="s">
        <v>10363</v>
      </c>
    </row>
    <row r="212" spans="1:94">
      <c r="A212" s="2004" t="s">
        <v>10333</v>
      </c>
      <c r="B212" s="2004" t="s">
        <v>10477</v>
      </c>
      <c r="C212" s="2004" t="s">
        <v>9085</v>
      </c>
      <c r="D212" s="2004" t="s">
        <v>9275</v>
      </c>
      <c r="E212" s="2004" t="s">
        <v>9276</v>
      </c>
      <c r="F212" s="2004" t="s">
        <v>10365</v>
      </c>
      <c r="G212" s="2004" t="s">
        <v>8971</v>
      </c>
      <c r="H212" s="2004" t="s">
        <v>10478</v>
      </c>
      <c r="I212" s="2004" t="s">
        <v>10367</v>
      </c>
      <c r="J212" s="2004" t="s">
        <v>9230</v>
      </c>
      <c r="K212" s="2004"/>
      <c r="L212" s="2004"/>
      <c r="M212" s="2004"/>
      <c r="N212" s="2004" t="s">
        <v>9290</v>
      </c>
      <c r="O212" s="2004" t="s">
        <v>734</v>
      </c>
      <c r="P212" s="2004" t="s">
        <v>9387</v>
      </c>
      <c r="Q212" s="516">
        <v>0</v>
      </c>
      <c r="R212" s="2004" t="s">
        <v>9240</v>
      </c>
      <c r="S212" s="2004">
        <v>72</v>
      </c>
      <c r="T212" s="2004"/>
      <c r="U212" s="2004"/>
      <c r="V212" s="2004"/>
      <c r="W212" s="2004"/>
      <c r="X212" s="2004" t="s">
        <v>9917</v>
      </c>
      <c r="Y212" s="2004"/>
      <c r="Z212" s="2004"/>
      <c r="AA212" s="2004"/>
      <c r="AB212" s="2004"/>
      <c r="AC212" s="2004"/>
      <c r="AD212" s="2004"/>
      <c r="AE212" s="2004"/>
      <c r="AF212" s="2004"/>
      <c r="AG212" s="2004"/>
      <c r="AH212" s="2004">
        <v>0</v>
      </c>
      <c r="AI212" s="2004"/>
      <c r="AJ212" s="2004"/>
      <c r="AK212" s="2004"/>
      <c r="AL212" s="2004"/>
      <c r="AM212" s="2004"/>
      <c r="AN212" s="2004"/>
      <c r="AO212" s="2004"/>
      <c r="AP212" s="2004"/>
      <c r="AQ212" s="2004"/>
      <c r="AR212" s="2004"/>
      <c r="AS212" s="2004"/>
      <c r="AT212" s="2004"/>
      <c r="AU212" s="2004"/>
      <c r="AV212" s="2004"/>
      <c r="AW212" s="2004"/>
      <c r="AX212" s="2004"/>
      <c r="AY212" s="2004"/>
      <c r="AZ212" s="2004"/>
      <c r="BA212" s="2004"/>
      <c r="BB212" s="2004"/>
      <c r="BC212" s="2004"/>
      <c r="BD212" s="2004"/>
      <c r="BE212" s="2004"/>
      <c r="BF212" s="2004"/>
      <c r="BG212" s="2004"/>
      <c r="BH212" s="2004"/>
      <c r="BI212" s="2004"/>
      <c r="BJ212" s="2004"/>
      <c r="BK212" s="2004"/>
      <c r="BL212" s="2004"/>
      <c r="BM212" s="2004"/>
      <c r="BN212" s="2004"/>
      <c r="BO212" s="2004"/>
      <c r="BP212" s="516">
        <v>72</v>
      </c>
      <c r="BQ212" s="689">
        <v>71</v>
      </c>
      <c r="BR212" s="2004" t="s">
        <v>9204</v>
      </c>
      <c r="BS212" s="2004" t="s">
        <v>9204</v>
      </c>
      <c r="BT212" s="2004">
        <v>0</v>
      </c>
      <c r="BU212" s="2004" t="s">
        <v>9204</v>
      </c>
      <c r="BV212" s="2004">
        <v>0</v>
      </c>
      <c r="BW212" s="2004">
        <v>74</v>
      </c>
      <c r="BX212" s="2004" t="s">
        <v>2335</v>
      </c>
      <c r="BY212" s="2004">
        <v>0</v>
      </c>
      <c r="BZ212" s="2004">
        <v>0</v>
      </c>
      <c r="CA212" s="2004">
        <v>0</v>
      </c>
      <c r="CB212" s="2004">
        <v>0</v>
      </c>
      <c r="CC212" s="2004">
        <v>71</v>
      </c>
      <c r="CD212" s="2004" t="s">
        <v>2335</v>
      </c>
      <c r="CE212" s="2004">
        <v>0</v>
      </c>
      <c r="CF212" s="2004">
        <v>0</v>
      </c>
      <c r="CG212" s="2004">
        <v>0</v>
      </c>
      <c r="CH212" s="2004">
        <v>0</v>
      </c>
      <c r="CI212" s="2004">
        <v>73</v>
      </c>
      <c r="CJ212" s="2004" t="s">
        <v>2335</v>
      </c>
      <c r="CK212" s="2004">
        <v>0</v>
      </c>
      <c r="CL212" s="2004">
        <v>0</v>
      </c>
      <c r="CM212" s="2004">
        <v>0</v>
      </c>
      <c r="CN212" s="2004">
        <v>0</v>
      </c>
      <c r="CP212" s="2004" t="s">
        <v>10368</v>
      </c>
    </row>
    <row r="213" spans="1:94">
      <c r="A213" s="2004" t="s">
        <v>10333</v>
      </c>
      <c r="B213" s="2004" t="s">
        <v>10479</v>
      </c>
      <c r="C213" s="2004" t="s">
        <v>9085</v>
      </c>
      <c r="D213" s="2004" t="s">
        <v>9275</v>
      </c>
      <c r="E213" s="2004" t="s">
        <v>9276</v>
      </c>
      <c r="F213" s="2004" t="s">
        <v>10370</v>
      </c>
      <c r="G213" s="2004" t="s">
        <v>8987</v>
      </c>
      <c r="H213" s="2004" t="s">
        <v>10480</v>
      </c>
      <c r="I213" s="2004" t="s">
        <v>10372</v>
      </c>
      <c r="J213" s="2004" t="s">
        <v>9199</v>
      </c>
      <c r="K213" s="2004" t="s">
        <v>9200</v>
      </c>
      <c r="L213" s="2004"/>
      <c r="M213" s="2004"/>
      <c r="N213" s="2004" t="s">
        <v>9386</v>
      </c>
      <c r="O213" s="2004" t="s">
        <v>9282</v>
      </c>
      <c r="P213" s="2004" t="s">
        <v>10338</v>
      </c>
      <c r="Q213" s="516">
        <v>1</v>
      </c>
      <c r="R213" s="2004" t="s">
        <v>9240</v>
      </c>
      <c r="S213" s="2004">
        <v>4.5</v>
      </c>
      <c r="T213" s="2004">
        <v>4.5</v>
      </c>
      <c r="U213" s="2004">
        <v>4.5</v>
      </c>
      <c r="V213" s="2004">
        <v>4.5</v>
      </c>
      <c r="W213" s="2004">
        <v>4.5</v>
      </c>
      <c r="X213" s="2004">
        <v>4.5</v>
      </c>
      <c r="Y213" s="2004"/>
      <c r="Z213" s="2004"/>
      <c r="AA213" s="2004"/>
      <c r="AB213" s="2004"/>
      <c r="AC213" s="2004"/>
      <c r="AD213" s="2004"/>
      <c r="AE213" s="2004"/>
      <c r="AF213" s="2004"/>
      <c r="AG213" s="2004"/>
      <c r="AH213" s="2004">
        <v>0</v>
      </c>
      <c r="AI213" s="2004"/>
      <c r="AJ213" s="2004" t="s">
        <v>2337</v>
      </c>
      <c r="AK213" s="2004" t="s">
        <v>2337</v>
      </c>
      <c r="AL213" s="2004" t="s">
        <v>2337</v>
      </c>
      <c r="AM213" s="2004" t="s">
        <v>2337</v>
      </c>
      <c r="AN213" s="2004"/>
      <c r="AO213" s="2004">
        <v>3.5</v>
      </c>
      <c r="AP213" s="2004">
        <v>3.5</v>
      </c>
      <c r="AQ213" s="2004">
        <v>3.5</v>
      </c>
      <c r="AR213" s="2004">
        <v>3.5</v>
      </c>
      <c r="AS213" s="2004"/>
      <c r="AT213" s="2004">
        <v>4.4000000000000004</v>
      </c>
      <c r="AU213" s="2004">
        <v>4.4000000000000004</v>
      </c>
      <c r="AV213" s="2004">
        <v>4.4000000000000004</v>
      </c>
      <c r="AW213" s="2004">
        <v>4.4000000000000004</v>
      </c>
      <c r="AX213" s="2004"/>
      <c r="AY213" s="2004">
        <v>4.5999999999999996</v>
      </c>
      <c r="AZ213" s="2004">
        <v>4.5999999999999996</v>
      </c>
      <c r="BA213" s="2004">
        <v>4.5999999999999996</v>
      </c>
      <c r="BB213" s="2004">
        <v>4.5999999999999996</v>
      </c>
      <c r="BC213" s="2004"/>
      <c r="BD213" s="2004">
        <v>5</v>
      </c>
      <c r="BE213" s="2004">
        <v>5</v>
      </c>
      <c r="BF213" s="2004">
        <v>5</v>
      </c>
      <c r="BG213" s="2004">
        <v>5</v>
      </c>
      <c r="BH213" s="2004">
        <v>2.7E-2</v>
      </c>
      <c r="BI213" s="2004"/>
      <c r="BJ213" s="2004"/>
      <c r="BK213" s="2004"/>
      <c r="BL213" s="2004">
        <v>2.7E-2</v>
      </c>
      <c r="BM213" s="2004"/>
      <c r="BN213" s="2004">
        <v>1</v>
      </c>
      <c r="BO213" s="2004" t="s">
        <v>10339</v>
      </c>
      <c r="BP213" s="516" t="s">
        <v>9204</v>
      </c>
      <c r="BQ213" s="686">
        <v>4.2</v>
      </c>
      <c r="BR213" s="2004" t="s">
        <v>2334</v>
      </c>
      <c r="BS213" s="2004" t="s">
        <v>9204</v>
      </c>
      <c r="BT213" s="2004">
        <v>0</v>
      </c>
      <c r="BU213" s="2004" t="s">
        <v>9204</v>
      </c>
      <c r="BV213" s="2004">
        <v>0</v>
      </c>
      <c r="BW213" s="2004">
        <v>4.2</v>
      </c>
      <c r="BX213" s="2004" t="s">
        <v>2334</v>
      </c>
      <c r="BY213" s="2004">
        <v>0</v>
      </c>
      <c r="BZ213" s="2004">
        <v>0</v>
      </c>
      <c r="CA213" s="2004" t="s">
        <v>9254</v>
      </c>
      <c r="CB213" s="2004">
        <v>-5.3E-3</v>
      </c>
      <c r="CC213" s="2004">
        <v>4.3</v>
      </c>
      <c r="CD213" s="2004" t="s">
        <v>2334</v>
      </c>
      <c r="CE213" s="2004">
        <v>0</v>
      </c>
      <c r="CF213" s="2004">
        <v>0</v>
      </c>
      <c r="CG213" s="2004" t="s">
        <v>2336</v>
      </c>
      <c r="CH213" s="2004">
        <v>-2.7000000000000001E-3</v>
      </c>
      <c r="CI213" s="2004">
        <v>4.3</v>
      </c>
      <c r="CJ213" s="2004" t="s">
        <v>2334</v>
      </c>
      <c r="CK213" s="2004">
        <v>0</v>
      </c>
      <c r="CL213" s="2004">
        <v>0</v>
      </c>
      <c r="CM213" s="2004" t="s">
        <v>2336</v>
      </c>
      <c r="CN213" s="2004">
        <v>-2.7000000000000101E-3</v>
      </c>
      <c r="CP213" s="2004" t="s">
        <v>10373</v>
      </c>
    </row>
    <row r="214" spans="1:94">
      <c r="A214" s="2004" t="s">
        <v>10333</v>
      </c>
      <c r="B214" s="2004" t="s">
        <v>10481</v>
      </c>
      <c r="C214" s="2004" t="s">
        <v>9085</v>
      </c>
      <c r="D214" s="2004" t="s">
        <v>9275</v>
      </c>
      <c r="E214" s="2004" t="s">
        <v>9276</v>
      </c>
      <c r="F214" s="2004" t="s">
        <v>10380</v>
      </c>
      <c r="G214" s="2004" t="s">
        <v>9589</v>
      </c>
      <c r="H214" s="2004" t="s">
        <v>10482</v>
      </c>
      <c r="I214" s="2004" t="s">
        <v>10382</v>
      </c>
      <c r="J214" s="2004" t="s">
        <v>9199</v>
      </c>
      <c r="K214" s="2004" t="s">
        <v>9200</v>
      </c>
      <c r="L214" s="2004"/>
      <c r="M214" s="2004"/>
      <c r="N214" s="2004" t="s">
        <v>9386</v>
      </c>
      <c r="O214" s="2004" t="s">
        <v>9282</v>
      </c>
      <c r="P214" s="2004" t="s">
        <v>10338</v>
      </c>
      <c r="Q214" s="516">
        <v>1</v>
      </c>
      <c r="R214" s="2004" t="s">
        <v>9240</v>
      </c>
      <c r="S214" s="2004">
        <v>4.7</v>
      </c>
      <c r="T214" s="2004">
        <v>4.7</v>
      </c>
      <c r="U214" s="2004">
        <v>4.7</v>
      </c>
      <c r="V214" s="2004">
        <v>4.7</v>
      </c>
      <c r="W214" s="2004">
        <v>4.7</v>
      </c>
      <c r="X214" s="2004">
        <v>4.7</v>
      </c>
      <c r="Y214" s="2004"/>
      <c r="Z214" s="2004"/>
      <c r="AA214" s="2004"/>
      <c r="AB214" s="2004"/>
      <c r="AC214" s="2004"/>
      <c r="AD214" s="2004"/>
      <c r="AE214" s="2004"/>
      <c r="AF214" s="2004"/>
      <c r="AG214" s="2004"/>
      <c r="AH214" s="2004">
        <v>0</v>
      </c>
      <c r="AI214" s="2004"/>
      <c r="AJ214" s="2004" t="s">
        <v>2337</v>
      </c>
      <c r="AK214" s="2004" t="s">
        <v>2337</v>
      </c>
      <c r="AL214" s="2004" t="s">
        <v>2337</v>
      </c>
      <c r="AM214" s="2004" t="s">
        <v>2337</v>
      </c>
      <c r="AN214" s="2004"/>
      <c r="AO214" s="2004">
        <v>3.7</v>
      </c>
      <c r="AP214" s="2004">
        <v>3.7</v>
      </c>
      <c r="AQ214" s="2004">
        <v>3.7</v>
      </c>
      <c r="AR214" s="2004">
        <v>3.7</v>
      </c>
      <c r="AS214" s="2004"/>
      <c r="AT214" s="2004">
        <v>4.5999999999999996</v>
      </c>
      <c r="AU214" s="2004">
        <v>4.5999999999999996</v>
      </c>
      <c r="AV214" s="2004">
        <v>4.5999999999999996</v>
      </c>
      <c r="AW214" s="2004">
        <v>4.5999999999999996</v>
      </c>
      <c r="AX214" s="2004"/>
      <c r="AY214" s="2004">
        <v>4.8</v>
      </c>
      <c r="AZ214" s="2004">
        <v>4.8</v>
      </c>
      <c r="BA214" s="2004">
        <v>4.8</v>
      </c>
      <c r="BB214" s="2004">
        <v>4.8</v>
      </c>
      <c r="BC214" s="2004"/>
      <c r="BD214" s="2004">
        <v>5</v>
      </c>
      <c r="BE214" s="2004">
        <v>5</v>
      </c>
      <c r="BF214" s="2004">
        <v>5</v>
      </c>
      <c r="BG214" s="2004">
        <v>5</v>
      </c>
      <c r="BH214" s="2004">
        <v>6.0000000000000001E-3</v>
      </c>
      <c r="BI214" s="2004"/>
      <c r="BJ214" s="2004"/>
      <c r="BK214" s="2004"/>
      <c r="BL214" s="2004">
        <v>6.0000000000000001E-3</v>
      </c>
      <c r="BM214" s="2004"/>
      <c r="BN214" s="2004">
        <v>1</v>
      </c>
      <c r="BO214" s="2004" t="s">
        <v>10339</v>
      </c>
      <c r="BP214" s="516" t="s">
        <v>9204</v>
      </c>
      <c r="BQ214" s="686">
        <v>4.5999999999999996</v>
      </c>
      <c r="BR214" s="2004" t="s">
        <v>2334</v>
      </c>
      <c r="BS214" s="2004" t="s">
        <v>9204</v>
      </c>
      <c r="BT214" s="2004">
        <v>0</v>
      </c>
      <c r="BU214" s="2004" t="s">
        <v>9204</v>
      </c>
      <c r="BV214" s="2004">
        <v>0</v>
      </c>
      <c r="BW214" s="2004">
        <v>4.5999999999999996</v>
      </c>
      <c r="BX214" s="2004" t="s">
        <v>2334</v>
      </c>
      <c r="BY214" s="2004">
        <v>0</v>
      </c>
      <c r="BZ214" s="2004">
        <v>0</v>
      </c>
      <c r="CA214" s="2004" t="s">
        <v>9120</v>
      </c>
      <c r="CB214" s="2004">
        <v>0</v>
      </c>
      <c r="CC214" s="2004">
        <v>4.5999999999999996</v>
      </c>
      <c r="CD214" s="2004" t="s">
        <v>2334</v>
      </c>
      <c r="CE214" s="2004">
        <v>0</v>
      </c>
      <c r="CF214" s="2004">
        <v>0</v>
      </c>
      <c r="CG214" s="2004" t="s">
        <v>9074</v>
      </c>
      <c r="CH214" s="2004">
        <v>0</v>
      </c>
      <c r="CI214" s="2004">
        <v>4.5999999999999996</v>
      </c>
      <c r="CJ214" s="2004" t="s">
        <v>2334</v>
      </c>
      <c r="CK214" s="2004">
        <v>0</v>
      </c>
      <c r="CL214" s="2004">
        <v>0</v>
      </c>
      <c r="CM214" s="2004" t="s">
        <v>2340</v>
      </c>
      <c r="CN214" s="2004">
        <v>0</v>
      </c>
      <c r="CP214" s="2004" t="s">
        <v>10383</v>
      </c>
    </row>
    <row r="215" spans="1:94">
      <c r="A215" s="2004" t="s">
        <v>10333</v>
      </c>
      <c r="B215" s="2004" t="s">
        <v>10483</v>
      </c>
      <c r="C215" s="2004" t="s">
        <v>9085</v>
      </c>
      <c r="D215" s="2004" t="s">
        <v>9275</v>
      </c>
      <c r="E215" s="2004" t="s">
        <v>9276</v>
      </c>
      <c r="F215" s="2004" t="s">
        <v>10389</v>
      </c>
      <c r="G215" s="2004" t="s">
        <v>9597</v>
      </c>
      <c r="H215" s="2004" t="s">
        <v>10484</v>
      </c>
      <c r="I215" s="2004" t="s">
        <v>10391</v>
      </c>
      <c r="J215" s="2004" t="s">
        <v>9199</v>
      </c>
      <c r="K215" s="2004" t="s">
        <v>9200</v>
      </c>
      <c r="L215" s="2004"/>
      <c r="M215" s="2004"/>
      <c r="N215" s="2004" t="s">
        <v>9386</v>
      </c>
      <c r="O215" s="2004" t="s">
        <v>9282</v>
      </c>
      <c r="P215" s="2004" t="s">
        <v>10338</v>
      </c>
      <c r="Q215" s="516">
        <v>1</v>
      </c>
      <c r="R215" s="2004" t="s">
        <v>9240</v>
      </c>
      <c r="S215" s="2004">
        <v>4.0999999999999996</v>
      </c>
      <c r="T215" s="2004">
        <v>4.0999999999999996</v>
      </c>
      <c r="U215" s="2004">
        <v>4.0999999999999996</v>
      </c>
      <c r="V215" s="2004">
        <v>4.0999999999999996</v>
      </c>
      <c r="W215" s="2004">
        <v>4.0999999999999996</v>
      </c>
      <c r="X215" s="2004">
        <v>4.0999999999999996</v>
      </c>
      <c r="Y215" s="2004"/>
      <c r="Z215" s="2004"/>
      <c r="AA215" s="2004"/>
      <c r="AB215" s="2004"/>
      <c r="AC215" s="2004"/>
      <c r="AD215" s="2004"/>
      <c r="AE215" s="2004"/>
      <c r="AF215" s="2004"/>
      <c r="AG215" s="2004"/>
      <c r="AH215" s="2004">
        <v>0</v>
      </c>
      <c r="AI215" s="2004"/>
      <c r="AJ215" s="2004" t="s">
        <v>2337</v>
      </c>
      <c r="AK215" s="2004" t="s">
        <v>2337</v>
      </c>
      <c r="AL215" s="2004" t="s">
        <v>2337</v>
      </c>
      <c r="AM215" s="2004" t="s">
        <v>2337</v>
      </c>
      <c r="AN215" s="2004"/>
      <c r="AO215" s="2004">
        <v>3.1</v>
      </c>
      <c r="AP215" s="2004">
        <v>3.1</v>
      </c>
      <c r="AQ215" s="2004">
        <v>3.1</v>
      </c>
      <c r="AR215" s="2004">
        <v>3.1</v>
      </c>
      <c r="AS215" s="2004"/>
      <c r="AT215" s="2004">
        <v>4</v>
      </c>
      <c r="AU215" s="2004">
        <v>4</v>
      </c>
      <c r="AV215" s="2004">
        <v>4</v>
      </c>
      <c r="AW215" s="2004">
        <v>4</v>
      </c>
      <c r="AX215" s="2004"/>
      <c r="AY215" s="2004">
        <v>4.2</v>
      </c>
      <c r="AZ215" s="2004">
        <v>4.2</v>
      </c>
      <c r="BA215" s="2004">
        <v>4.2</v>
      </c>
      <c r="BB215" s="2004">
        <v>4.2</v>
      </c>
      <c r="BC215" s="2004"/>
      <c r="BD215" s="2004">
        <v>5</v>
      </c>
      <c r="BE215" s="2004">
        <v>5</v>
      </c>
      <c r="BF215" s="2004">
        <v>5</v>
      </c>
      <c r="BG215" s="2004">
        <v>5</v>
      </c>
      <c r="BH215" s="2004">
        <v>2.4E-2</v>
      </c>
      <c r="BI215" s="2004"/>
      <c r="BJ215" s="2004"/>
      <c r="BK215" s="2004"/>
      <c r="BL215" s="2004">
        <v>2.4E-2</v>
      </c>
      <c r="BM215" s="2004"/>
      <c r="BN215" s="2004">
        <v>1</v>
      </c>
      <c r="BO215" s="2004" t="s">
        <v>10339</v>
      </c>
      <c r="BP215" s="516" t="s">
        <v>9204</v>
      </c>
      <c r="BQ215" s="686">
        <v>4.2</v>
      </c>
      <c r="BR215" s="2004" t="s">
        <v>2337</v>
      </c>
      <c r="BS215" s="2004" t="s">
        <v>9204</v>
      </c>
      <c r="BT215" s="2004">
        <v>0</v>
      </c>
      <c r="BU215" s="2004" t="s">
        <v>9204</v>
      </c>
      <c r="BV215" s="2004">
        <v>0</v>
      </c>
      <c r="BW215" s="2004">
        <v>4.4000000000000004</v>
      </c>
      <c r="BX215" s="2004" t="s">
        <v>2337</v>
      </c>
      <c r="BY215" s="2004">
        <v>0</v>
      </c>
      <c r="BZ215" s="2004">
        <v>0</v>
      </c>
      <c r="CA215" s="2004" t="s">
        <v>2339</v>
      </c>
      <c r="CB215" s="2004">
        <v>4.8000000000000004E-3</v>
      </c>
      <c r="CC215" s="2004">
        <v>4.4000000000000004</v>
      </c>
      <c r="CD215" s="2004" t="s">
        <v>2337</v>
      </c>
      <c r="CE215" s="2004">
        <v>0</v>
      </c>
      <c r="CF215" s="2004">
        <v>0</v>
      </c>
      <c r="CG215" s="2004" t="s">
        <v>2339</v>
      </c>
      <c r="CH215" s="2004">
        <v>4.8000000000000004E-3</v>
      </c>
      <c r="CI215" s="2004">
        <v>4.4000000000000004</v>
      </c>
      <c r="CJ215" s="2004" t="s">
        <v>2337</v>
      </c>
      <c r="CK215" s="2004">
        <v>0</v>
      </c>
      <c r="CL215" s="2004">
        <v>0</v>
      </c>
      <c r="CM215" s="2004" t="s">
        <v>2339</v>
      </c>
      <c r="CN215" s="2004">
        <v>4.8000000000000299E-3</v>
      </c>
      <c r="CP215" s="2004" t="s">
        <v>10392</v>
      </c>
    </row>
    <row r="216" spans="1:94">
      <c r="A216" s="2004" t="s">
        <v>9070</v>
      </c>
      <c r="B216" s="2004" t="s">
        <v>10485</v>
      </c>
      <c r="C216" s="2004" t="s">
        <v>9047</v>
      </c>
      <c r="D216" s="2004" t="s">
        <v>1628</v>
      </c>
      <c r="E216" s="2004" t="s">
        <v>9194</v>
      </c>
      <c r="F216" s="2004" t="s">
        <v>10486</v>
      </c>
      <c r="G216" s="2004">
        <v>1</v>
      </c>
      <c r="H216" s="2004" t="s">
        <v>10487</v>
      </c>
      <c r="I216" s="2004" t="s">
        <v>10488</v>
      </c>
      <c r="J216" s="2004" t="s">
        <v>9210</v>
      </c>
      <c r="K216" s="2004" t="s">
        <v>9545</v>
      </c>
      <c r="L216" s="2004"/>
      <c r="M216" s="2004" t="s">
        <v>2334</v>
      </c>
      <c r="N216" s="2004" t="s">
        <v>9260</v>
      </c>
      <c r="O216" s="2004" t="s">
        <v>9395</v>
      </c>
      <c r="P216" s="2004" t="s">
        <v>9546</v>
      </c>
      <c r="Q216" s="516" t="s">
        <v>9203</v>
      </c>
      <c r="R216" s="2004"/>
      <c r="S216" s="2004" t="s">
        <v>4140</v>
      </c>
      <c r="T216" s="2004" t="s">
        <v>2338</v>
      </c>
      <c r="U216" s="2004" t="s">
        <v>2338</v>
      </c>
      <c r="V216" s="2004" t="s">
        <v>2338</v>
      </c>
      <c r="W216" s="2004" t="s">
        <v>2338</v>
      </c>
      <c r="X216" s="2004" t="s">
        <v>2338</v>
      </c>
      <c r="Y216" s="2004"/>
      <c r="Z216" s="2004"/>
      <c r="AA216" s="2004"/>
      <c r="AB216" s="2004"/>
      <c r="AC216" s="2004"/>
      <c r="AD216" s="2004"/>
      <c r="AE216" s="2004" t="s">
        <v>2337</v>
      </c>
      <c r="AF216" s="2004"/>
      <c r="AG216" s="2004"/>
      <c r="AH216" s="2004">
        <v>5</v>
      </c>
      <c r="AI216" s="2004" t="s">
        <v>2337</v>
      </c>
      <c r="AJ216" s="2004" t="s">
        <v>2337</v>
      </c>
      <c r="AK216" s="2004" t="s">
        <v>2337</v>
      </c>
      <c r="AL216" s="2004" t="s">
        <v>2337</v>
      </c>
      <c r="AM216" s="2004" t="s">
        <v>2337</v>
      </c>
      <c r="AN216" s="2004" t="s">
        <v>10441</v>
      </c>
      <c r="AO216" s="2004" t="s">
        <v>10441</v>
      </c>
      <c r="AP216" s="2004" t="s">
        <v>10441</v>
      </c>
      <c r="AQ216" s="2004" t="s">
        <v>10441</v>
      </c>
      <c r="AR216" s="2004" t="s">
        <v>10441</v>
      </c>
      <c r="AS216" s="2004" t="s">
        <v>10441</v>
      </c>
      <c r="AT216" s="2004" t="s">
        <v>10441</v>
      </c>
      <c r="AU216" s="2004" t="s">
        <v>10441</v>
      </c>
      <c r="AV216" s="2004" t="s">
        <v>10441</v>
      </c>
      <c r="AW216" s="2004" t="s">
        <v>10441</v>
      </c>
      <c r="AX216" s="2004"/>
      <c r="AY216" s="2004"/>
      <c r="AZ216" s="2004"/>
      <c r="BA216" s="2004"/>
      <c r="BB216" s="2004"/>
      <c r="BC216" s="2004"/>
      <c r="BD216" s="2004"/>
      <c r="BE216" s="2004"/>
      <c r="BF216" s="2004"/>
      <c r="BG216" s="2004"/>
      <c r="BH216" s="2004" t="s">
        <v>10441</v>
      </c>
      <c r="BI216" s="2004" t="s">
        <v>10441</v>
      </c>
      <c r="BJ216" s="2004" t="s">
        <v>10441</v>
      </c>
      <c r="BK216" s="2004" t="s">
        <v>10441</v>
      </c>
      <c r="BL216" s="2004"/>
      <c r="BM216" s="2004"/>
      <c r="BN216" s="2004">
        <v>1</v>
      </c>
      <c r="BO216" s="2004" t="s">
        <v>9203</v>
      </c>
      <c r="BP216" s="516" t="s">
        <v>4140</v>
      </c>
      <c r="BQ216" s="688" t="s">
        <v>2338</v>
      </c>
      <c r="BR216" s="2004" t="s">
        <v>2337</v>
      </c>
      <c r="BS216" s="2004" t="s">
        <v>9204</v>
      </c>
      <c r="BT216" s="2004">
        <v>0</v>
      </c>
      <c r="BU216" s="2004" t="s">
        <v>9204</v>
      </c>
      <c r="BV216" s="2004">
        <v>0</v>
      </c>
      <c r="BW216" s="2004" t="s">
        <v>2338</v>
      </c>
      <c r="BX216" s="2004" t="s">
        <v>2337</v>
      </c>
      <c r="BY216" s="2004">
        <v>0</v>
      </c>
      <c r="BZ216" s="2004">
        <v>0</v>
      </c>
      <c r="CA216" s="2004">
        <v>0</v>
      </c>
      <c r="CB216" s="2004">
        <v>0</v>
      </c>
      <c r="CC216" s="2004" t="s">
        <v>2338</v>
      </c>
      <c r="CD216" s="2004" t="s">
        <v>2337</v>
      </c>
      <c r="CE216" s="2004">
        <v>0</v>
      </c>
      <c r="CF216" s="2004">
        <v>0</v>
      </c>
      <c r="CG216" s="2004">
        <v>0</v>
      </c>
      <c r="CH216" s="2004">
        <v>0</v>
      </c>
      <c r="CI216" s="2004" t="s">
        <v>2338</v>
      </c>
      <c r="CJ216" s="2004" t="s">
        <v>2337</v>
      </c>
      <c r="CK216" s="2004">
        <v>0</v>
      </c>
      <c r="CL216" s="2004">
        <v>0</v>
      </c>
      <c r="CM216" s="2004">
        <v>0</v>
      </c>
      <c r="CN216" s="2004">
        <v>0</v>
      </c>
      <c r="CP216" s="2004" t="s">
        <v>10489</v>
      </c>
    </row>
    <row r="217" spans="1:94">
      <c r="A217" s="2004" t="s">
        <v>9070</v>
      </c>
      <c r="B217" s="2004" t="s">
        <v>10490</v>
      </c>
      <c r="C217" s="2004" t="s">
        <v>9047</v>
      </c>
      <c r="D217" s="2004" t="s">
        <v>1628</v>
      </c>
      <c r="E217" s="2004" t="s">
        <v>9194</v>
      </c>
      <c r="F217" s="2004" t="s">
        <v>10486</v>
      </c>
      <c r="G217" s="2004">
        <v>2</v>
      </c>
      <c r="H217" s="2004" t="s">
        <v>10491</v>
      </c>
      <c r="I217" s="2004" t="s">
        <v>10492</v>
      </c>
      <c r="J217" s="2004" t="s">
        <v>9210</v>
      </c>
      <c r="K217" s="2004" t="s">
        <v>9200</v>
      </c>
      <c r="L217" s="2004"/>
      <c r="M217" s="2004"/>
      <c r="N217" s="2004" t="s">
        <v>9326</v>
      </c>
      <c r="O217" s="2004" t="s">
        <v>766</v>
      </c>
      <c r="P217" s="2004" t="s">
        <v>10493</v>
      </c>
      <c r="Q217" s="516">
        <v>0</v>
      </c>
      <c r="R217" s="2004" t="s">
        <v>9202</v>
      </c>
      <c r="S217" s="2004">
        <v>0</v>
      </c>
      <c r="T217" s="2004">
        <v>0</v>
      </c>
      <c r="U217" s="2004">
        <v>0</v>
      </c>
      <c r="V217" s="2004">
        <v>0</v>
      </c>
      <c r="W217" s="2004">
        <v>0</v>
      </c>
      <c r="X217" s="2004">
        <v>0</v>
      </c>
      <c r="Y217" s="2004"/>
      <c r="Z217" s="2004"/>
      <c r="AA217" s="2004"/>
      <c r="AB217" s="2004"/>
      <c r="AC217" s="2004"/>
      <c r="AD217" s="2004"/>
      <c r="AE217" s="2004"/>
      <c r="AF217" s="2004"/>
      <c r="AG217" s="2004"/>
      <c r="AH217" s="2004">
        <v>0</v>
      </c>
      <c r="AI217" s="2004" t="s">
        <v>2337</v>
      </c>
      <c r="AJ217" s="2004" t="s">
        <v>2337</v>
      </c>
      <c r="AK217" s="2004" t="s">
        <v>2337</v>
      </c>
      <c r="AL217" s="2004" t="s">
        <v>2337</v>
      </c>
      <c r="AM217" s="2004" t="s">
        <v>2337</v>
      </c>
      <c r="AN217" s="2004">
        <v>1095338</v>
      </c>
      <c r="AO217" s="2004">
        <v>1095338</v>
      </c>
      <c r="AP217" s="2004">
        <v>1095338</v>
      </c>
      <c r="AQ217" s="2004">
        <v>1095338</v>
      </c>
      <c r="AR217" s="2004">
        <v>1095338</v>
      </c>
      <c r="AS217" s="2004">
        <v>0</v>
      </c>
      <c r="AT217" s="2004">
        <v>0</v>
      </c>
      <c r="AU217" s="2004">
        <v>0</v>
      </c>
      <c r="AV217" s="2004">
        <v>0</v>
      </c>
      <c r="AW217" s="2004">
        <v>0</v>
      </c>
      <c r="AX217" s="2004"/>
      <c r="AY217" s="2004"/>
      <c r="AZ217" s="2004"/>
      <c r="BA217" s="2004"/>
      <c r="BB217" s="2004"/>
      <c r="BC217" s="2004"/>
      <c r="BD217" s="2004"/>
      <c r="BE217" s="2004"/>
      <c r="BF217" s="2004"/>
      <c r="BG217" s="2004"/>
      <c r="BH217" s="2004">
        <v>1.484E-5</v>
      </c>
      <c r="BI217" s="2004"/>
      <c r="BJ217" s="2004"/>
      <c r="BK217" s="2004"/>
      <c r="BL217" s="2004"/>
      <c r="BM217" s="2004"/>
      <c r="BN217" s="2004">
        <v>1</v>
      </c>
      <c r="BO217" s="2004" t="s">
        <v>9203</v>
      </c>
      <c r="BP217" s="516">
        <v>0</v>
      </c>
      <c r="BQ217" s="689">
        <v>0</v>
      </c>
      <c r="BR217" s="2004" t="s">
        <v>2337</v>
      </c>
      <c r="BS217" s="2004" t="s">
        <v>9204</v>
      </c>
      <c r="BT217" s="2004">
        <v>0</v>
      </c>
      <c r="BU217" s="2004" t="s">
        <v>9204</v>
      </c>
      <c r="BV217" s="2004">
        <v>0</v>
      </c>
      <c r="BW217" s="2004">
        <v>0</v>
      </c>
      <c r="BX217" s="2004" t="s">
        <v>2337</v>
      </c>
      <c r="BY217" s="2004">
        <v>0</v>
      </c>
      <c r="BZ217" s="2004">
        <v>0</v>
      </c>
      <c r="CA217" s="2004">
        <v>0</v>
      </c>
      <c r="CB217" s="2004">
        <v>0</v>
      </c>
      <c r="CC217" s="2004">
        <v>0</v>
      </c>
      <c r="CD217" s="2004" t="s">
        <v>2337</v>
      </c>
      <c r="CE217" s="2004">
        <v>0</v>
      </c>
      <c r="CF217" s="2004">
        <v>0</v>
      </c>
      <c r="CG217" s="2004">
        <v>0</v>
      </c>
      <c r="CH217" s="2004">
        <v>0</v>
      </c>
      <c r="CI217" s="2004">
        <v>0</v>
      </c>
      <c r="CJ217" s="2004" t="s">
        <v>2337</v>
      </c>
      <c r="CK217" s="2004">
        <v>0</v>
      </c>
      <c r="CL217" s="2004">
        <v>0</v>
      </c>
      <c r="CM217" s="2004">
        <v>0</v>
      </c>
      <c r="CN217" s="2004">
        <v>0</v>
      </c>
      <c r="CP217" s="2004" t="s">
        <v>10494</v>
      </c>
    </row>
    <row r="218" spans="1:94">
      <c r="A218" s="2004" t="s">
        <v>9070</v>
      </c>
      <c r="B218" s="2004" t="s">
        <v>10495</v>
      </c>
      <c r="C218" s="2004" t="s">
        <v>9047</v>
      </c>
      <c r="D218" s="2004" t="s">
        <v>1628</v>
      </c>
      <c r="E218" s="2004" t="s">
        <v>9194</v>
      </c>
      <c r="F218" s="2004" t="s">
        <v>10486</v>
      </c>
      <c r="G218" s="2004">
        <v>3</v>
      </c>
      <c r="H218" s="2004" t="s">
        <v>10496</v>
      </c>
      <c r="I218" s="2004" t="s">
        <v>10497</v>
      </c>
      <c r="J218" s="2004" t="s">
        <v>9199</v>
      </c>
      <c r="K218" s="2004" t="s">
        <v>9200</v>
      </c>
      <c r="L218" s="2004"/>
      <c r="M218" s="2004"/>
      <c r="N218" s="2004" t="s">
        <v>2927</v>
      </c>
      <c r="O218" s="2004" t="s">
        <v>766</v>
      </c>
      <c r="P218" s="2004" t="s">
        <v>9201</v>
      </c>
      <c r="Q218" s="516">
        <v>1</v>
      </c>
      <c r="R218" s="2004" t="s">
        <v>9202</v>
      </c>
      <c r="S218" s="2004">
        <v>88</v>
      </c>
      <c r="T218" s="2004"/>
      <c r="U218" s="2004"/>
      <c r="V218" s="2004"/>
      <c r="W218" s="2004"/>
      <c r="X218" s="2004">
        <v>87</v>
      </c>
      <c r="Y218" s="2004"/>
      <c r="Z218" s="2004"/>
      <c r="AA218" s="2004"/>
      <c r="AB218" s="2004"/>
      <c r="AC218" s="2004"/>
      <c r="AD218" s="2004"/>
      <c r="AE218" s="2004" t="s">
        <v>2337</v>
      </c>
      <c r="AF218" s="2004"/>
      <c r="AG218" s="2004"/>
      <c r="AH218" s="2004">
        <v>0</v>
      </c>
      <c r="AI218" s="2004"/>
      <c r="AJ218" s="2004"/>
      <c r="AK218" s="2004"/>
      <c r="AL218" s="2004"/>
      <c r="AM218" s="2004" t="s">
        <v>2337</v>
      </c>
      <c r="AN218" s="2004"/>
      <c r="AO218" s="2004"/>
      <c r="AP218" s="2004"/>
      <c r="AQ218" s="2004"/>
      <c r="AR218" s="2004">
        <v>96</v>
      </c>
      <c r="AS218" s="2004"/>
      <c r="AT218" s="2004"/>
      <c r="AU218" s="2004"/>
      <c r="AV218" s="2004"/>
      <c r="AW218" s="2004">
        <v>87</v>
      </c>
      <c r="AX218" s="2004"/>
      <c r="AY218" s="2004"/>
      <c r="AZ218" s="2004"/>
      <c r="BA218" s="2004"/>
      <c r="BB218" s="2004">
        <v>85</v>
      </c>
      <c r="BC218" s="2004"/>
      <c r="BD218" s="2004"/>
      <c r="BE218" s="2004"/>
      <c r="BF218" s="2004"/>
      <c r="BG218" s="2004">
        <v>83.6</v>
      </c>
      <c r="BH218" s="2004">
        <v>0.13686799999999999</v>
      </c>
      <c r="BI218" s="2004"/>
      <c r="BJ218" s="2004"/>
      <c r="BK218" s="2004"/>
      <c r="BL218" s="2004">
        <v>0.109496</v>
      </c>
      <c r="BM218" s="2004"/>
      <c r="BN218" s="2004">
        <v>1</v>
      </c>
      <c r="BO218" s="2004" t="s">
        <v>9203</v>
      </c>
      <c r="BP218" s="516">
        <v>81.7</v>
      </c>
      <c r="BQ218" s="686">
        <v>83.9</v>
      </c>
      <c r="BR218" s="2004" t="s">
        <v>9204</v>
      </c>
      <c r="BS218" s="2004" t="s">
        <v>9204</v>
      </c>
      <c r="BT218" s="2004">
        <v>0</v>
      </c>
      <c r="BU218" s="2004" t="s">
        <v>9204</v>
      </c>
      <c r="BV218" s="2004">
        <v>0</v>
      </c>
      <c r="BW218" s="2004">
        <v>88.110156640835783</v>
      </c>
      <c r="BX218" s="2004" t="s">
        <v>2335</v>
      </c>
      <c r="BY218" s="2004">
        <v>0</v>
      </c>
      <c r="BZ218" s="2004">
        <v>0</v>
      </c>
      <c r="CA218" s="2004">
        <v>0</v>
      </c>
      <c r="CB218" s="2004">
        <v>0</v>
      </c>
      <c r="CC218" s="2004">
        <v>88.7</v>
      </c>
      <c r="CD218" s="2004" t="s">
        <v>2335</v>
      </c>
      <c r="CE218" s="2004">
        <v>0</v>
      </c>
      <c r="CF218" s="2004">
        <v>0</v>
      </c>
      <c r="CG218" s="2004">
        <v>0</v>
      </c>
      <c r="CH218" s="2004">
        <v>0</v>
      </c>
      <c r="CI218" s="2004">
        <v>101.8</v>
      </c>
      <c r="CJ218" s="2004" t="s">
        <v>2335</v>
      </c>
      <c r="CK218" s="2004">
        <v>0</v>
      </c>
      <c r="CL218" s="2004">
        <v>0</v>
      </c>
      <c r="CM218" s="2004">
        <v>0</v>
      </c>
      <c r="CN218" s="2004">
        <v>0</v>
      </c>
      <c r="CP218" s="2004" t="s">
        <v>10498</v>
      </c>
    </row>
    <row r="219" spans="1:94">
      <c r="A219" s="2004" t="s">
        <v>9070</v>
      </c>
      <c r="B219" s="2004" t="s">
        <v>10499</v>
      </c>
      <c r="C219" s="2004" t="s">
        <v>9047</v>
      </c>
      <c r="D219" s="2004" t="s">
        <v>1628</v>
      </c>
      <c r="E219" s="2004" t="s">
        <v>9194</v>
      </c>
      <c r="F219" s="2004" t="s">
        <v>10486</v>
      </c>
      <c r="G219" s="2004">
        <v>4</v>
      </c>
      <c r="H219" s="2004" t="s">
        <v>10500</v>
      </c>
      <c r="I219" s="2004" t="s">
        <v>10501</v>
      </c>
      <c r="J219" s="2004" t="s">
        <v>9210</v>
      </c>
      <c r="K219" s="2004" t="s">
        <v>9200</v>
      </c>
      <c r="L219" s="2004"/>
      <c r="M219" s="2004"/>
      <c r="N219" s="2004" t="s">
        <v>2951</v>
      </c>
      <c r="O219" s="2004" t="s">
        <v>9298</v>
      </c>
      <c r="P219" s="2004" t="s">
        <v>9299</v>
      </c>
      <c r="Q219" s="516">
        <v>0</v>
      </c>
      <c r="R219" s="2004" t="s">
        <v>9202</v>
      </c>
      <c r="S219" s="2004">
        <v>9</v>
      </c>
      <c r="T219" s="2004">
        <v>9</v>
      </c>
      <c r="U219" s="2004">
        <v>9</v>
      </c>
      <c r="V219" s="2004">
        <v>9</v>
      </c>
      <c r="W219" s="2004">
        <v>9</v>
      </c>
      <c r="X219" s="2004">
        <v>9</v>
      </c>
      <c r="Y219" s="2004"/>
      <c r="Z219" s="2004"/>
      <c r="AA219" s="2004" t="s">
        <v>2337</v>
      </c>
      <c r="AB219" s="2004"/>
      <c r="AC219" s="2004"/>
      <c r="AD219" s="2004"/>
      <c r="AE219" s="2004" t="s">
        <v>2337</v>
      </c>
      <c r="AF219" s="2004"/>
      <c r="AG219" s="2004"/>
      <c r="AH219" s="2004">
        <v>0</v>
      </c>
      <c r="AI219" s="2004" t="s">
        <v>2337</v>
      </c>
      <c r="AJ219" s="2004" t="s">
        <v>2337</v>
      </c>
      <c r="AK219" s="2004" t="s">
        <v>2337</v>
      </c>
      <c r="AL219" s="2004" t="s">
        <v>2337</v>
      </c>
      <c r="AM219" s="2004" t="s">
        <v>2337</v>
      </c>
      <c r="AN219" s="2004">
        <v>22</v>
      </c>
      <c r="AO219" s="2004">
        <v>22</v>
      </c>
      <c r="AP219" s="2004">
        <v>22</v>
      </c>
      <c r="AQ219" s="2004">
        <v>22</v>
      </c>
      <c r="AR219" s="2004">
        <v>22</v>
      </c>
      <c r="AS219" s="2004">
        <v>12</v>
      </c>
      <c r="AT219" s="2004">
        <v>12</v>
      </c>
      <c r="AU219" s="2004">
        <v>12</v>
      </c>
      <c r="AV219" s="2004">
        <v>12</v>
      </c>
      <c r="AW219" s="2004">
        <v>12</v>
      </c>
      <c r="AX219" s="2004"/>
      <c r="AY219" s="2004"/>
      <c r="AZ219" s="2004"/>
      <c r="BA219" s="2004"/>
      <c r="BB219" s="2004"/>
      <c r="BC219" s="2004"/>
      <c r="BD219" s="2004"/>
      <c r="BE219" s="2004"/>
      <c r="BF219" s="2004"/>
      <c r="BG219" s="2004"/>
      <c r="BH219" s="2004">
        <v>5.7403000000000003E-2</v>
      </c>
      <c r="BI219" s="2004"/>
      <c r="BJ219" s="2004"/>
      <c r="BK219" s="2004"/>
      <c r="BL219" s="2004"/>
      <c r="BM219" s="2004"/>
      <c r="BN219" s="2004">
        <v>1</v>
      </c>
      <c r="BO219" s="2004" t="s">
        <v>9203</v>
      </c>
      <c r="BP219" s="516">
        <v>6</v>
      </c>
      <c r="BQ219" s="689">
        <v>12</v>
      </c>
      <c r="BR219" s="2004" t="s">
        <v>2334</v>
      </c>
      <c r="BS219" s="2004" t="s">
        <v>9204</v>
      </c>
      <c r="BT219" s="2004">
        <v>0</v>
      </c>
      <c r="BU219" s="2004" t="s">
        <v>9120</v>
      </c>
      <c r="BV219" s="2004">
        <v>0</v>
      </c>
      <c r="BW219" s="2004">
        <v>7</v>
      </c>
      <c r="BX219" s="2004" t="s">
        <v>2337</v>
      </c>
      <c r="BY219" s="2004">
        <v>0</v>
      </c>
      <c r="BZ219" s="2004">
        <v>0</v>
      </c>
      <c r="CA219" s="2004">
        <v>0</v>
      </c>
      <c r="CB219" s="2004">
        <v>0</v>
      </c>
      <c r="CC219" s="2004">
        <v>16.899999999999999</v>
      </c>
      <c r="CD219" s="2004" t="s">
        <v>2334</v>
      </c>
      <c r="CE219" s="2004">
        <v>0</v>
      </c>
      <c r="CF219" s="2004">
        <v>0</v>
      </c>
      <c r="CG219" s="2004" t="s">
        <v>2336</v>
      </c>
      <c r="CH219" s="2004">
        <v>-0.29399999999999998</v>
      </c>
      <c r="CI219" s="2004">
        <v>7</v>
      </c>
      <c r="CJ219" s="2004" t="s">
        <v>2337</v>
      </c>
      <c r="CK219" s="2004">
        <v>0</v>
      </c>
      <c r="CL219" s="2004">
        <v>0</v>
      </c>
      <c r="CM219" s="2004">
        <v>0</v>
      </c>
      <c r="CN219" s="2004">
        <v>0</v>
      </c>
      <c r="CP219" s="2004" t="s">
        <v>10502</v>
      </c>
    </row>
    <row r="220" spans="1:94">
      <c r="A220" s="2004" t="s">
        <v>9070</v>
      </c>
      <c r="B220" s="2004" t="s">
        <v>10503</v>
      </c>
      <c r="C220" s="2004" t="s">
        <v>9047</v>
      </c>
      <c r="D220" s="2004" t="s">
        <v>1628</v>
      </c>
      <c r="E220" s="2004" t="s">
        <v>9194</v>
      </c>
      <c r="F220" s="2004" t="s">
        <v>10486</v>
      </c>
      <c r="G220" s="2004">
        <v>5</v>
      </c>
      <c r="H220" s="2004" t="s">
        <v>10504</v>
      </c>
      <c r="I220" s="2004" t="s">
        <v>10505</v>
      </c>
      <c r="J220" s="2004" t="s">
        <v>9210</v>
      </c>
      <c r="K220" s="2004" t="s">
        <v>9200</v>
      </c>
      <c r="L220" s="2004"/>
      <c r="M220" s="2004"/>
      <c r="N220" s="2004" t="s">
        <v>9238</v>
      </c>
      <c r="O220" s="2004" t="s">
        <v>734</v>
      </c>
      <c r="P220" s="2004" t="s">
        <v>9239</v>
      </c>
      <c r="Q220" s="516">
        <v>2</v>
      </c>
      <c r="R220" s="2004" t="s">
        <v>9240</v>
      </c>
      <c r="S220" s="2004">
        <v>99.94</v>
      </c>
      <c r="T220" s="2004">
        <v>99.95</v>
      </c>
      <c r="U220" s="2004">
        <v>99.95</v>
      </c>
      <c r="V220" s="2004">
        <v>100</v>
      </c>
      <c r="W220" s="2004">
        <v>100</v>
      </c>
      <c r="X220" s="2004">
        <v>100</v>
      </c>
      <c r="Y220" s="2004" t="s">
        <v>2337</v>
      </c>
      <c r="Z220" s="2004"/>
      <c r="AA220" s="2004"/>
      <c r="AB220" s="2004"/>
      <c r="AC220" s="2004"/>
      <c r="AD220" s="2004"/>
      <c r="AE220" s="2004" t="s">
        <v>2337</v>
      </c>
      <c r="AF220" s="2004"/>
      <c r="AG220" s="2004"/>
      <c r="AH220" s="2004">
        <v>0</v>
      </c>
      <c r="AI220" s="2004" t="s">
        <v>2337</v>
      </c>
      <c r="AJ220" s="2004" t="s">
        <v>2337</v>
      </c>
      <c r="AK220" s="2004" t="s">
        <v>2337</v>
      </c>
      <c r="AL220" s="2004" t="s">
        <v>2337</v>
      </c>
      <c r="AM220" s="2004" t="s">
        <v>2337</v>
      </c>
      <c r="AN220" s="2004">
        <v>99.91</v>
      </c>
      <c r="AO220" s="2004">
        <v>99.91</v>
      </c>
      <c r="AP220" s="2004">
        <v>99.93</v>
      </c>
      <c r="AQ220" s="2004">
        <v>99.93</v>
      </c>
      <c r="AR220" s="2004">
        <v>99.93</v>
      </c>
      <c r="AS220" s="2004">
        <v>99.93</v>
      </c>
      <c r="AT220" s="2004">
        <v>99.93</v>
      </c>
      <c r="AU220" s="2004">
        <v>99.95</v>
      </c>
      <c r="AV220" s="2004">
        <v>99.95</v>
      </c>
      <c r="AW220" s="2004">
        <v>99.95</v>
      </c>
      <c r="AX220" s="2004"/>
      <c r="AY220" s="2004"/>
      <c r="AZ220" s="2004"/>
      <c r="BA220" s="2004"/>
      <c r="BB220" s="2004"/>
      <c r="BC220" s="2004"/>
      <c r="BD220" s="2004"/>
      <c r="BE220" s="2004"/>
      <c r="BF220" s="2004"/>
      <c r="BG220" s="2004"/>
      <c r="BH220" s="2004">
        <v>0.21937499999999999</v>
      </c>
      <c r="BI220" s="2004"/>
      <c r="BJ220" s="2004"/>
      <c r="BK220" s="2004"/>
      <c r="BL220" s="2004"/>
      <c r="BM220" s="2004"/>
      <c r="BN220" s="2004">
        <v>100</v>
      </c>
      <c r="BO220" s="2004" t="s">
        <v>9574</v>
      </c>
      <c r="BP220" s="516">
        <v>99.97</v>
      </c>
      <c r="BQ220" s="690">
        <v>99.98</v>
      </c>
      <c r="BR220" s="2004" t="s">
        <v>2337</v>
      </c>
      <c r="BS220" s="2004" t="s">
        <v>9204</v>
      </c>
      <c r="BT220" s="2004">
        <v>0</v>
      </c>
      <c r="BU220" s="2004" t="s">
        <v>9204</v>
      </c>
      <c r="BV220" s="2004">
        <v>0</v>
      </c>
      <c r="BW220" s="2004">
        <v>99.96</v>
      </c>
      <c r="BX220" s="2004" t="s">
        <v>2337</v>
      </c>
      <c r="BY220" s="2004">
        <v>0</v>
      </c>
      <c r="BZ220" s="2004">
        <v>0</v>
      </c>
      <c r="CA220" s="2004">
        <v>0</v>
      </c>
      <c r="CB220" s="2004">
        <v>0</v>
      </c>
      <c r="CC220" s="2004">
        <v>99.96</v>
      </c>
      <c r="CD220" s="2004" t="s">
        <v>2334</v>
      </c>
      <c r="CE220" s="2004">
        <v>0</v>
      </c>
      <c r="CF220" s="2004">
        <v>0</v>
      </c>
      <c r="CG220" s="2004">
        <v>0</v>
      </c>
      <c r="CH220" s="2004">
        <v>0</v>
      </c>
      <c r="CI220" s="2004">
        <v>99.98</v>
      </c>
      <c r="CJ220" s="2004" t="s">
        <v>2334</v>
      </c>
      <c r="CK220" s="2004">
        <v>0</v>
      </c>
      <c r="CL220" s="2004">
        <v>0</v>
      </c>
      <c r="CM220" s="2004">
        <v>0</v>
      </c>
      <c r="CN220" s="2004">
        <v>0</v>
      </c>
      <c r="CP220" s="2004" t="s">
        <v>10506</v>
      </c>
    </row>
    <row r="221" spans="1:94">
      <c r="A221" s="2004" t="s">
        <v>9070</v>
      </c>
      <c r="B221" s="2004" t="s">
        <v>10507</v>
      </c>
      <c r="C221" s="2004" t="s">
        <v>9047</v>
      </c>
      <c r="D221" s="2004" t="s">
        <v>1628</v>
      </c>
      <c r="E221" s="2004" t="s">
        <v>9194</v>
      </c>
      <c r="F221" s="2004" t="s">
        <v>10486</v>
      </c>
      <c r="G221" s="2004" t="s">
        <v>2793</v>
      </c>
      <c r="H221" s="2004" t="s">
        <v>10508</v>
      </c>
      <c r="I221" s="2004" t="s">
        <v>10509</v>
      </c>
      <c r="J221" s="2004" t="s">
        <v>9210</v>
      </c>
      <c r="K221" s="2004" t="s">
        <v>9200</v>
      </c>
      <c r="L221" s="2004"/>
      <c r="M221" s="2004"/>
      <c r="N221" s="2004" t="s">
        <v>9154</v>
      </c>
      <c r="O221" s="2004" t="s">
        <v>766</v>
      </c>
      <c r="P221" s="2004" t="s">
        <v>9246</v>
      </c>
      <c r="Q221" s="516">
        <v>2</v>
      </c>
      <c r="R221" s="2004" t="s">
        <v>9202</v>
      </c>
      <c r="S221" s="2004">
        <v>0.9</v>
      </c>
      <c r="T221" s="2004">
        <v>0.87</v>
      </c>
      <c r="U221" s="2004">
        <v>0.85</v>
      </c>
      <c r="V221" s="2004">
        <v>0.82</v>
      </c>
      <c r="W221" s="2004">
        <v>0.82</v>
      </c>
      <c r="X221" s="2004">
        <v>0.82</v>
      </c>
      <c r="Y221" s="2004"/>
      <c r="Z221" s="2004" t="s">
        <v>2337</v>
      </c>
      <c r="AA221" s="2004"/>
      <c r="AB221" s="2004"/>
      <c r="AC221" s="2004"/>
      <c r="AD221" s="2004"/>
      <c r="AE221" s="2004" t="s">
        <v>2337</v>
      </c>
      <c r="AF221" s="2004"/>
      <c r="AG221" s="2004"/>
      <c r="AH221" s="2004">
        <v>0</v>
      </c>
      <c r="AI221" s="2004" t="s">
        <v>2337</v>
      </c>
      <c r="AJ221" s="2004" t="s">
        <v>2337</v>
      </c>
      <c r="AK221" s="2004" t="s">
        <v>2337</v>
      </c>
      <c r="AL221" s="2004" t="s">
        <v>2337</v>
      </c>
      <c r="AM221" s="2004" t="s">
        <v>2337</v>
      </c>
      <c r="AN221" s="2004">
        <v>1.21</v>
      </c>
      <c r="AO221" s="2004">
        <v>1.21</v>
      </c>
      <c r="AP221" s="2004">
        <v>1.17</v>
      </c>
      <c r="AQ221" s="2004">
        <v>1.17</v>
      </c>
      <c r="AR221" s="2004">
        <v>1.17</v>
      </c>
      <c r="AS221" s="2004">
        <v>0.9</v>
      </c>
      <c r="AT221" s="2004">
        <v>0.9</v>
      </c>
      <c r="AU221" s="2004">
        <v>0.86</v>
      </c>
      <c r="AV221" s="2004">
        <v>0.86</v>
      </c>
      <c r="AW221" s="2004">
        <v>0.86</v>
      </c>
      <c r="AX221" s="2004"/>
      <c r="AY221" s="2004"/>
      <c r="AZ221" s="2004"/>
      <c r="BA221" s="2004"/>
      <c r="BB221" s="2004"/>
      <c r="BC221" s="2004"/>
      <c r="BD221" s="2004"/>
      <c r="BE221" s="2004"/>
      <c r="BF221" s="2004"/>
      <c r="BG221" s="2004"/>
      <c r="BH221" s="2004">
        <v>0.55700000000000005</v>
      </c>
      <c r="BI221" s="2004"/>
      <c r="BJ221" s="2004"/>
      <c r="BK221" s="2004"/>
      <c r="BL221" s="2004"/>
      <c r="BM221" s="2004"/>
      <c r="BN221" s="2004">
        <v>1</v>
      </c>
      <c r="BO221" s="2004" t="s">
        <v>9203</v>
      </c>
      <c r="BP221" s="516">
        <v>0.57999999999999996</v>
      </c>
      <c r="BQ221" s="690">
        <v>0.8</v>
      </c>
      <c r="BR221" s="2004" t="s">
        <v>2337</v>
      </c>
      <c r="BS221" s="2004" t="s">
        <v>9204</v>
      </c>
      <c r="BT221" s="2004">
        <v>0</v>
      </c>
      <c r="BU221" s="2004" t="s">
        <v>9204</v>
      </c>
      <c r="BV221" s="2004">
        <v>0</v>
      </c>
      <c r="BW221" s="2004">
        <v>0.74</v>
      </c>
      <c r="BX221" s="2004" t="s">
        <v>2337</v>
      </c>
      <c r="BY221" s="2004">
        <v>0</v>
      </c>
      <c r="BZ221" s="2004">
        <v>0</v>
      </c>
      <c r="CA221" s="2004">
        <v>0</v>
      </c>
      <c r="CB221" s="2004">
        <v>0</v>
      </c>
      <c r="CC221" s="2004">
        <v>0.82</v>
      </c>
      <c r="CD221" s="2004" t="s">
        <v>2337</v>
      </c>
      <c r="CE221" s="2004">
        <v>0</v>
      </c>
      <c r="CF221" s="2004">
        <v>0</v>
      </c>
      <c r="CG221" s="2004">
        <v>0</v>
      </c>
      <c r="CH221" s="2004">
        <v>0</v>
      </c>
      <c r="CI221" s="2004">
        <v>0.68</v>
      </c>
      <c r="CJ221" s="2004" t="s">
        <v>2337</v>
      </c>
      <c r="CK221" s="2004">
        <v>0</v>
      </c>
      <c r="CL221" s="2004">
        <v>0</v>
      </c>
      <c r="CM221" s="2004">
        <v>0</v>
      </c>
      <c r="CN221" s="2004">
        <v>0</v>
      </c>
      <c r="CP221" s="2004" t="s">
        <v>10510</v>
      </c>
    </row>
    <row r="222" spans="1:94">
      <c r="A222" s="2004" t="s">
        <v>9070</v>
      </c>
      <c r="B222" s="2004" t="s">
        <v>10511</v>
      </c>
      <c r="C222" s="2004" t="s">
        <v>9047</v>
      </c>
      <c r="D222" s="2004" t="s">
        <v>1628</v>
      </c>
      <c r="E222" s="2004" t="s">
        <v>9194</v>
      </c>
      <c r="F222" s="2004" t="s">
        <v>10486</v>
      </c>
      <c r="G222" s="2004">
        <v>6</v>
      </c>
      <c r="H222" s="2004" t="s">
        <v>10512</v>
      </c>
      <c r="I222" s="2004" t="s">
        <v>10513</v>
      </c>
      <c r="J222" s="2004" t="s">
        <v>9210</v>
      </c>
      <c r="K222" s="2004" t="s">
        <v>9200</v>
      </c>
      <c r="L222" s="2004"/>
      <c r="M222" s="2004"/>
      <c r="N222" s="2004" t="s">
        <v>9304</v>
      </c>
      <c r="O222" s="2004" t="s">
        <v>766</v>
      </c>
      <c r="P222" s="2004" t="s">
        <v>10377</v>
      </c>
      <c r="Q222" s="516">
        <v>0</v>
      </c>
      <c r="R222" s="2004" t="s">
        <v>9202</v>
      </c>
      <c r="S222" s="2004">
        <v>257</v>
      </c>
      <c r="T222" s="2004">
        <v>257</v>
      </c>
      <c r="U222" s="2004">
        <v>257</v>
      </c>
      <c r="V222" s="2004">
        <v>257</v>
      </c>
      <c r="W222" s="2004">
        <v>257</v>
      </c>
      <c r="X222" s="2004">
        <v>257</v>
      </c>
      <c r="Y222" s="2004"/>
      <c r="Z222" s="2004"/>
      <c r="AA222" s="2004"/>
      <c r="AB222" s="2004"/>
      <c r="AC222" s="2004"/>
      <c r="AD222" s="2004"/>
      <c r="AE222" s="2004" t="s">
        <v>2337</v>
      </c>
      <c r="AF222" s="2004"/>
      <c r="AG222" s="2004"/>
      <c r="AH222" s="2004">
        <v>0</v>
      </c>
      <c r="AI222" s="2004" t="s">
        <v>2337</v>
      </c>
      <c r="AJ222" s="2004" t="s">
        <v>2337</v>
      </c>
      <c r="AK222" s="2004" t="s">
        <v>2337</v>
      </c>
      <c r="AL222" s="2004" t="s">
        <v>2337</v>
      </c>
      <c r="AM222" s="2004" t="s">
        <v>2337</v>
      </c>
      <c r="AN222" s="2004">
        <v>336</v>
      </c>
      <c r="AO222" s="2004">
        <v>336</v>
      </c>
      <c r="AP222" s="2004">
        <v>336</v>
      </c>
      <c r="AQ222" s="2004">
        <v>336</v>
      </c>
      <c r="AR222" s="2004">
        <v>336</v>
      </c>
      <c r="AS222" s="2004">
        <v>296</v>
      </c>
      <c r="AT222" s="2004">
        <v>296</v>
      </c>
      <c r="AU222" s="2004">
        <v>296</v>
      </c>
      <c r="AV222" s="2004">
        <v>296</v>
      </c>
      <c r="AW222" s="2004">
        <v>296</v>
      </c>
      <c r="AX222" s="2004"/>
      <c r="AY222" s="2004"/>
      <c r="AZ222" s="2004"/>
      <c r="BA222" s="2004"/>
      <c r="BB222" s="2004"/>
      <c r="BC222" s="2004"/>
      <c r="BD222" s="2004"/>
      <c r="BE222" s="2004"/>
      <c r="BF222" s="2004"/>
      <c r="BG222" s="2004"/>
      <c r="BH222" s="2004">
        <v>4.339E-3</v>
      </c>
      <c r="BI222" s="2004"/>
      <c r="BJ222" s="2004"/>
      <c r="BK222" s="2004"/>
      <c r="BL222" s="2004"/>
      <c r="BM222" s="2004"/>
      <c r="BN222" s="2004">
        <v>1</v>
      </c>
      <c r="BO222" s="2004" t="s">
        <v>9203</v>
      </c>
      <c r="BP222" s="516">
        <v>254</v>
      </c>
      <c r="BQ222" s="689">
        <v>288</v>
      </c>
      <c r="BR222" s="2004" t="s">
        <v>2334</v>
      </c>
      <c r="BS222" s="2004" t="s">
        <v>9204</v>
      </c>
      <c r="BT222" s="2004">
        <v>0</v>
      </c>
      <c r="BU222" s="2004" t="s">
        <v>9120</v>
      </c>
      <c r="BV222" s="2004">
        <v>0</v>
      </c>
      <c r="BW222" s="2004">
        <v>222</v>
      </c>
      <c r="BX222" s="2004" t="s">
        <v>2337</v>
      </c>
      <c r="BY222" s="2004">
        <v>0</v>
      </c>
      <c r="BZ222" s="2004">
        <v>0</v>
      </c>
      <c r="CA222" s="2004">
        <v>0</v>
      </c>
      <c r="CB222" s="2004">
        <v>0</v>
      </c>
      <c r="CC222" s="2004">
        <v>243</v>
      </c>
      <c r="CD222" s="2004" t="s">
        <v>2337</v>
      </c>
      <c r="CE222" s="2004">
        <v>0</v>
      </c>
      <c r="CF222" s="2004">
        <v>0</v>
      </c>
      <c r="CG222" s="2004">
        <v>0</v>
      </c>
      <c r="CH222" s="2004">
        <v>0</v>
      </c>
      <c r="CI222" s="2004">
        <v>209</v>
      </c>
      <c r="CJ222" s="2004" t="s">
        <v>2337</v>
      </c>
      <c r="CK222" s="2004">
        <v>0</v>
      </c>
      <c r="CL222" s="2004">
        <v>0</v>
      </c>
      <c r="CM222" s="2004">
        <v>0</v>
      </c>
      <c r="CN222" s="2004">
        <v>0</v>
      </c>
      <c r="CP222" s="2004" t="s">
        <v>10514</v>
      </c>
    </row>
    <row r="223" spans="1:94">
      <c r="A223" s="2004" t="s">
        <v>9070</v>
      </c>
      <c r="B223" s="2004" t="s">
        <v>10515</v>
      </c>
      <c r="C223" s="2004" t="s">
        <v>9047</v>
      </c>
      <c r="D223" s="2004" t="s">
        <v>1628</v>
      </c>
      <c r="E223" s="2004" t="s">
        <v>9194</v>
      </c>
      <c r="F223" s="2004" t="s">
        <v>10516</v>
      </c>
      <c r="G223" s="2004">
        <v>7</v>
      </c>
      <c r="H223" s="2004" t="s">
        <v>10517</v>
      </c>
      <c r="I223" s="2004" t="s">
        <v>10518</v>
      </c>
      <c r="J223" s="2004" t="s">
        <v>9230</v>
      </c>
      <c r="K223" s="2004"/>
      <c r="L223" s="2004"/>
      <c r="M223" s="2004"/>
      <c r="N223" s="2004" t="s">
        <v>9224</v>
      </c>
      <c r="O223" s="2004" t="s">
        <v>766</v>
      </c>
      <c r="P223" s="2004" t="s">
        <v>9201</v>
      </c>
      <c r="Q223" s="516">
        <v>2</v>
      </c>
      <c r="R223" s="2004" t="s">
        <v>9202</v>
      </c>
      <c r="S223" s="2004">
        <v>533.97</v>
      </c>
      <c r="T223" s="2004">
        <v>525.48</v>
      </c>
      <c r="U223" s="2004">
        <v>525.05999999999995</v>
      </c>
      <c r="V223" s="2004">
        <v>525.77</v>
      </c>
      <c r="W223" s="2004">
        <v>526.79</v>
      </c>
      <c r="X223" s="2004">
        <v>526.39</v>
      </c>
      <c r="Y223" s="2004"/>
      <c r="Z223" s="2004"/>
      <c r="AA223" s="2004"/>
      <c r="AB223" s="2004"/>
      <c r="AC223" s="2004"/>
      <c r="AD223" s="2004"/>
      <c r="AE223" s="2004"/>
      <c r="AF223" s="2004"/>
      <c r="AG223" s="2004"/>
      <c r="AH223" s="2004">
        <v>0</v>
      </c>
      <c r="AI223" s="2004"/>
      <c r="AJ223" s="2004"/>
      <c r="AK223" s="2004"/>
      <c r="AL223" s="2004"/>
      <c r="AM223" s="2004"/>
      <c r="AN223" s="2004"/>
      <c r="AO223" s="2004"/>
      <c r="AP223" s="2004"/>
      <c r="AQ223" s="2004"/>
      <c r="AR223" s="2004"/>
      <c r="AS223" s="2004"/>
      <c r="AT223" s="2004"/>
      <c r="AU223" s="2004"/>
      <c r="AV223" s="2004"/>
      <c r="AW223" s="2004"/>
      <c r="AX223" s="2004"/>
      <c r="AY223" s="2004"/>
      <c r="AZ223" s="2004"/>
      <c r="BA223" s="2004"/>
      <c r="BB223" s="2004"/>
      <c r="BC223" s="2004"/>
      <c r="BD223" s="2004"/>
      <c r="BE223" s="2004"/>
      <c r="BF223" s="2004"/>
      <c r="BG223" s="2004"/>
      <c r="BH223" s="2004"/>
      <c r="BI223" s="2004"/>
      <c r="BJ223" s="2004"/>
      <c r="BK223" s="2004"/>
      <c r="BL223" s="2004"/>
      <c r="BM223" s="2004"/>
      <c r="BN223" s="2004"/>
      <c r="BO223" s="2004"/>
      <c r="BP223" s="516">
        <v>524.24</v>
      </c>
      <c r="BQ223" s="690">
        <v>520.64</v>
      </c>
      <c r="BR223" s="2004" t="s">
        <v>2337</v>
      </c>
      <c r="BS223" s="2004" t="s">
        <v>9204</v>
      </c>
      <c r="BT223" s="2004">
        <v>0</v>
      </c>
      <c r="BU223" s="2004" t="s">
        <v>9204</v>
      </c>
      <c r="BV223" s="2004">
        <v>0</v>
      </c>
      <c r="BW223" s="2004">
        <v>532.28119807697828</v>
      </c>
      <c r="BX223" s="2004" t="s">
        <v>2334</v>
      </c>
      <c r="BY223" s="2004">
        <v>0</v>
      </c>
      <c r="BZ223" s="2004">
        <v>0</v>
      </c>
      <c r="CA223" s="2004">
        <v>0</v>
      </c>
      <c r="CB223" s="2004">
        <v>0</v>
      </c>
      <c r="CC223" s="2004">
        <v>541</v>
      </c>
      <c r="CD223" s="2004" t="s">
        <v>2334</v>
      </c>
      <c r="CE223" s="2004">
        <v>0</v>
      </c>
      <c r="CF223" s="2004">
        <v>0</v>
      </c>
      <c r="CG223" s="2004">
        <v>0</v>
      </c>
      <c r="CH223" s="2004">
        <v>0</v>
      </c>
      <c r="CI223" s="2004">
        <v>558.75</v>
      </c>
      <c r="CJ223" s="2004" t="s">
        <v>2334</v>
      </c>
      <c r="CK223" s="2004">
        <v>0</v>
      </c>
      <c r="CL223" s="2004">
        <v>0</v>
      </c>
      <c r="CM223" s="2004">
        <v>0</v>
      </c>
      <c r="CN223" s="2004">
        <v>0</v>
      </c>
      <c r="CP223" s="2004" t="s">
        <v>10519</v>
      </c>
    </row>
    <row r="224" spans="1:94">
      <c r="A224" s="2004" t="s">
        <v>9070</v>
      </c>
      <c r="B224" s="2004" t="s">
        <v>10520</v>
      </c>
      <c r="C224" s="2004" t="s">
        <v>9047</v>
      </c>
      <c r="D224" s="2004" t="s">
        <v>1628</v>
      </c>
      <c r="E224" s="2004" t="s">
        <v>9194</v>
      </c>
      <c r="F224" s="2004" t="s">
        <v>10521</v>
      </c>
      <c r="G224" s="2004">
        <v>8</v>
      </c>
      <c r="H224" s="2004" t="s">
        <v>10522</v>
      </c>
      <c r="I224" s="2004" t="s">
        <v>10523</v>
      </c>
      <c r="J224" s="2004" t="s">
        <v>9199</v>
      </c>
      <c r="K224" s="2004" t="s">
        <v>9200</v>
      </c>
      <c r="L224" s="2004"/>
      <c r="M224" s="2004"/>
      <c r="N224" s="2004" t="s">
        <v>9211</v>
      </c>
      <c r="O224" s="2004" t="s">
        <v>766</v>
      </c>
      <c r="P224" s="2004" t="s">
        <v>9628</v>
      </c>
      <c r="Q224" s="516">
        <v>1</v>
      </c>
      <c r="R224" s="2004" t="s">
        <v>9202</v>
      </c>
      <c r="S224" s="2004">
        <v>147.19999999999999</v>
      </c>
      <c r="T224" s="2004"/>
      <c r="U224" s="2004"/>
      <c r="V224" s="2004"/>
      <c r="W224" s="2004"/>
      <c r="X224" s="2004">
        <v>133.69999999999999</v>
      </c>
      <c r="Y224" s="2004"/>
      <c r="Z224" s="2004"/>
      <c r="AA224" s="2004"/>
      <c r="AB224" s="2004"/>
      <c r="AC224" s="2004"/>
      <c r="AD224" s="2004"/>
      <c r="AE224" s="2004"/>
      <c r="AF224" s="2004"/>
      <c r="AG224" s="2004"/>
      <c r="AH224" s="2004">
        <v>0</v>
      </c>
      <c r="AI224" s="2004"/>
      <c r="AJ224" s="2004"/>
      <c r="AK224" s="2004"/>
      <c r="AL224" s="2004"/>
      <c r="AM224" s="2004" t="s">
        <v>2337</v>
      </c>
      <c r="AN224" s="2004"/>
      <c r="AO224" s="2004"/>
      <c r="AP224" s="2004"/>
      <c r="AQ224" s="2004"/>
      <c r="AR224" s="2004">
        <v>135.69999999999999</v>
      </c>
      <c r="AS224" s="2004"/>
      <c r="AT224" s="2004"/>
      <c r="AU224" s="2004"/>
      <c r="AV224" s="2004"/>
      <c r="AW224" s="2004">
        <v>133.69999999999999</v>
      </c>
      <c r="AX224" s="2004"/>
      <c r="AY224" s="2004"/>
      <c r="AZ224" s="2004"/>
      <c r="BA224" s="2004"/>
      <c r="BB224" s="2004">
        <v>133.69999999999999</v>
      </c>
      <c r="BC224" s="2004"/>
      <c r="BD224" s="2004"/>
      <c r="BE224" s="2004"/>
      <c r="BF224" s="2004"/>
      <c r="BG224" s="2004">
        <v>131.69999999999999</v>
      </c>
      <c r="BH224" s="2004">
        <v>1.0969</v>
      </c>
      <c r="BI224" s="2004"/>
      <c r="BJ224" s="2004"/>
      <c r="BK224" s="2004"/>
      <c r="BL224" s="2004">
        <v>0.6875</v>
      </c>
      <c r="BM224" s="2004"/>
      <c r="BN224" s="2004">
        <v>1</v>
      </c>
      <c r="BO224" s="2004" t="s">
        <v>9203</v>
      </c>
      <c r="BP224" s="516">
        <v>134.80000000000001</v>
      </c>
      <c r="BQ224" s="686">
        <v>129.69999999999999</v>
      </c>
      <c r="BR224" s="2004" t="s">
        <v>9204</v>
      </c>
      <c r="BS224" s="2004" t="s">
        <v>9204</v>
      </c>
      <c r="BT224" s="2004">
        <v>0</v>
      </c>
      <c r="BU224" s="2004" t="s">
        <v>9204</v>
      </c>
      <c r="BV224" s="2004">
        <v>0</v>
      </c>
      <c r="BW224" s="2004">
        <v>131.29</v>
      </c>
      <c r="BX224" s="2004" t="s">
        <v>2335</v>
      </c>
      <c r="BY224" s="2004">
        <v>0</v>
      </c>
      <c r="BZ224" s="2004">
        <v>0</v>
      </c>
      <c r="CA224" s="2004">
        <v>0</v>
      </c>
      <c r="CB224" s="2004">
        <v>0</v>
      </c>
      <c r="CC224" s="2004">
        <v>128.9</v>
      </c>
      <c r="CD224" s="2004" t="s">
        <v>2337</v>
      </c>
      <c r="CE224" s="2004">
        <v>0</v>
      </c>
      <c r="CF224" s="2004">
        <v>0</v>
      </c>
      <c r="CG224" s="2004">
        <v>0</v>
      </c>
      <c r="CH224" s="2004">
        <v>0</v>
      </c>
      <c r="CI224" s="2004">
        <v>129.9</v>
      </c>
      <c r="CJ224" s="2004" t="s">
        <v>2335</v>
      </c>
      <c r="CK224" s="2004">
        <v>0</v>
      </c>
      <c r="CL224" s="2004">
        <v>0</v>
      </c>
      <c r="CM224" s="2004">
        <v>0</v>
      </c>
      <c r="CN224" s="2004">
        <v>0</v>
      </c>
      <c r="CP224" s="2004" t="s">
        <v>10524</v>
      </c>
    </row>
    <row r="225" spans="1:94">
      <c r="A225" s="2004" t="s">
        <v>9070</v>
      </c>
      <c r="B225" s="2004" t="s">
        <v>10525</v>
      </c>
      <c r="C225" s="2004" t="s">
        <v>9047</v>
      </c>
      <c r="D225" s="2004" t="s">
        <v>1629</v>
      </c>
      <c r="E225" s="2004" t="s">
        <v>9410</v>
      </c>
      <c r="F225" s="2004" t="s">
        <v>10526</v>
      </c>
      <c r="G225" s="2004">
        <v>1</v>
      </c>
      <c r="H225" s="2004" t="s">
        <v>10527</v>
      </c>
      <c r="I225" s="2004" t="s">
        <v>10528</v>
      </c>
      <c r="J225" s="2004" t="s">
        <v>9210</v>
      </c>
      <c r="K225" s="2004" t="s">
        <v>9545</v>
      </c>
      <c r="L225" s="2004"/>
      <c r="M225" s="2004" t="s">
        <v>2334</v>
      </c>
      <c r="N225" s="2004" t="s">
        <v>9477</v>
      </c>
      <c r="O225" s="2004" t="s">
        <v>9395</v>
      </c>
      <c r="P225" s="2004" t="s">
        <v>9546</v>
      </c>
      <c r="Q225" s="516" t="s">
        <v>9203</v>
      </c>
      <c r="R225" s="2004"/>
      <c r="S225" s="2004" t="s">
        <v>4140</v>
      </c>
      <c r="T225" s="2004" t="s">
        <v>2338</v>
      </c>
      <c r="U225" s="2004" t="s">
        <v>2338</v>
      </c>
      <c r="V225" s="2004" t="s">
        <v>2338</v>
      </c>
      <c r="W225" s="2004" t="s">
        <v>2338</v>
      </c>
      <c r="X225" s="2004" t="s">
        <v>2338</v>
      </c>
      <c r="Y225" s="2004"/>
      <c r="Z225" s="2004"/>
      <c r="AA225" s="2004"/>
      <c r="AB225" s="2004"/>
      <c r="AC225" s="2004"/>
      <c r="AD225" s="2004"/>
      <c r="AE225" s="2004" t="s">
        <v>2337</v>
      </c>
      <c r="AF225" s="2004"/>
      <c r="AG225" s="2004"/>
      <c r="AH225" s="2004">
        <v>3</v>
      </c>
      <c r="AI225" s="2004" t="s">
        <v>2337</v>
      </c>
      <c r="AJ225" s="2004" t="s">
        <v>2337</v>
      </c>
      <c r="AK225" s="2004" t="s">
        <v>2337</v>
      </c>
      <c r="AL225" s="2004" t="s">
        <v>2337</v>
      </c>
      <c r="AM225" s="2004" t="s">
        <v>2337</v>
      </c>
      <c r="AN225" s="2004" t="s">
        <v>10441</v>
      </c>
      <c r="AO225" s="2004" t="s">
        <v>10441</v>
      </c>
      <c r="AP225" s="2004" t="s">
        <v>10441</v>
      </c>
      <c r="AQ225" s="2004" t="s">
        <v>10441</v>
      </c>
      <c r="AR225" s="2004" t="s">
        <v>10441</v>
      </c>
      <c r="AS225" s="2004" t="s">
        <v>10441</v>
      </c>
      <c r="AT225" s="2004" t="s">
        <v>10441</v>
      </c>
      <c r="AU225" s="2004" t="s">
        <v>10441</v>
      </c>
      <c r="AV225" s="2004" t="s">
        <v>10441</v>
      </c>
      <c r="AW225" s="2004" t="s">
        <v>10441</v>
      </c>
      <c r="AX225" s="2004"/>
      <c r="AY225" s="2004"/>
      <c r="AZ225" s="2004"/>
      <c r="BA225" s="2004"/>
      <c r="BB225" s="2004"/>
      <c r="BC225" s="2004"/>
      <c r="BD225" s="2004"/>
      <c r="BE225" s="2004"/>
      <c r="BF225" s="2004"/>
      <c r="BG225" s="2004"/>
      <c r="BH225" s="2004">
        <v>5.6250000000000001E-2</v>
      </c>
      <c r="BI225" s="2004">
        <v>14.95</v>
      </c>
      <c r="BJ225" s="2004">
        <v>2.9599999999999998E-4</v>
      </c>
      <c r="BK225" s="2004"/>
      <c r="BL225" s="2004"/>
      <c r="BM225" s="2004"/>
      <c r="BN225" s="2004">
        <v>1</v>
      </c>
      <c r="BO225" s="2004" t="s">
        <v>9203</v>
      </c>
      <c r="BP225" s="516" t="s">
        <v>4140</v>
      </c>
      <c r="BQ225" s="688" t="s">
        <v>2338</v>
      </c>
      <c r="BR225" s="2004" t="s">
        <v>2337</v>
      </c>
      <c r="BS225" s="2004" t="s">
        <v>9204</v>
      </c>
      <c r="BT225" s="2004">
        <v>0</v>
      </c>
      <c r="BU225" s="2004" t="s">
        <v>9204</v>
      </c>
      <c r="BV225" s="2004">
        <v>0</v>
      </c>
      <c r="BW225" s="2004" t="s">
        <v>2338</v>
      </c>
      <c r="BX225" s="2004" t="s">
        <v>2337</v>
      </c>
      <c r="BY225" s="2004">
        <v>0</v>
      </c>
      <c r="BZ225" s="2004">
        <v>0</v>
      </c>
      <c r="CA225" s="2004">
        <v>0</v>
      </c>
      <c r="CB225" s="2004">
        <v>0</v>
      </c>
      <c r="CC225" s="2004" t="s">
        <v>2338</v>
      </c>
      <c r="CD225" s="2004" t="s">
        <v>2337</v>
      </c>
      <c r="CE225" s="2004">
        <v>0</v>
      </c>
      <c r="CF225" s="2004">
        <v>0</v>
      </c>
      <c r="CG225" s="2004">
        <v>0</v>
      </c>
      <c r="CH225" s="2004">
        <v>0</v>
      </c>
      <c r="CI225" s="2004" t="s">
        <v>2338</v>
      </c>
      <c r="CJ225" s="2004" t="s">
        <v>2337</v>
      </c>
      <c r="CK225" s="2004">
        <v>0</v>
      </c>
      <c r="CL225" s="2004">
        <v>0</v>
      </c>
      <c r="CM225" s="2004">
        <v>0</v>
      </c>
      <c r="CN225" s="2004">
        <v>0</v>
      </c>
      <c r="CP225" s="2004" t="s">
        <v>10529</v>
      </c>
    </row>
    <row r="226" spans="1:94">
      <c r="A226" s="2004" t="s">
        <v>9070</v>
      </c>
      <c r="B226" s="2004" t="s">
        <v>10530</v>
      </c>
      <c r="C226" s="2004" t="s">
        <v>9047</v>
      </c>
      <c r="D226" s="2004" t="s">
        <v>1629</v>
      </c>
      <c r="E226" s="2004" t="s">
        <v>9410</v>
      </c>
      <c r="F226" s="2004" t="s">
        <v>10526</v>
      </c>
      <c r="G226" s="2004" t="s">
        <v>2775</v>
      </c>
      <c r="H226" s="2004" t="s">
        <v>10531</v>
      </c>
      <c r="I226" s="2004" t="s">
        <v>10532</v>
      </c>
      <c r="J226" s="2004" t="s">
        <v>9210</v>
      </c>
      <c r="K226" s="2004" t="s">
        <v>9545</v>
      </c>
      <c r="L226" s="2004"/>
      <c r="M226" s="2004"/>
      <c r="N226" s="2004" t="s">
        <v>9450</v>
      </c>
      <c r="O226" s="2004" t="s">
        <v>766</v>
      </c>
      <c r="P226" s="2004" t="s">
        <v>9451</v>
      </c>
      <c r="Q226" s="516">
        <v>0</v>
      </c>
      <c r="R226" s="2004" t="s">
        <v>9202</v>
      </c>
      <c r="S226" s="2004">
        <v>348</v>
      </c>
      <c r="T226" s="2004">
        <v>285</v>
      </c>
      <c r="U226" s="2004">
        <v>221</v>
      </c>
      <c r="V226" s="2004">
        <v>158</v>
      </c>
      <c r="W226" s="2004">
        <v>158</v>
      </c>
      <c r="X226" s="2004">
        <v>158</v>
      </c>
      <c r="Y226" s="2004"/>
      <c r="Z226" s="2004"/>
      <c r="AA226" s="2004"/>
      <c r="AB226" s="2004" t="s">
        <v>2337</v>
      </c>
      <c r="AC226" s="2004"/>
      <c r="AD226" s="2004"/>
      <c r="AE226" s="2004" t="s">
        <v>2337</v>
      </c>
      <c r="AF226" s="2004"/>
      <c r="AG226" s="2004"/>
      <c r="AH226" s="2004">
        <v>0</v>
      </c>
      <c r="AI226" s="2004" t="s">
        <v>2337</v>
      </c>
      <c r="AJ226" s="2004" t="s">
        <v>2337</v>
      </c>
      <c r="AK226" s="2004" t="s">
        <v>2337</v>
      </c>
      <c r="AL226" s="2004" t="s">
        <v>2337</v>
      </c>
      <c r="AM226" s="2004" t="s">
        <v>2337</v>
      </c>
      <c r="AN226" s="2004">
        <v>453</v>
      </c>
      <c r="AO226" s="2004">
        <v>453</v>
      </c>
      <c r="AP226" s="2004">
        <v>280</v>
      </c>
      <c r="AQ226" s="2004">
        <v>280</v>
      </c>
      <c r="AR226" s="2004">
        <v>280</v>
      </c>
      <c r="AS226" s="2004">
        <v>348</v>
      </c>
      <c r="AT226" s="2004">
        <v>348</v>
      </c>
      <c r="AU226" s="2004">
        <v>175</v>
      </c>
      <c r="AV226" s="2004">
        <v>175</v>
      </c>
      <c r="AW226" s="2004">
        <v>175</v>
      </c>
      <c r="AX226" s="2004"/>
      <c r="AY226" s="2004"/>
      <c r="AZ226" s="2004"/>
      <c r="BA226" s="2004"/>
      <c r="BB226" s="2004"/>
      <c r="BC226" s="2004"/>
      <c r="BD226" s="2004"/>
      <c r="BE226" s="2004"/>
      <c r="BF226" s="2004"/>
      <c r="BG226" s="2004"/>
      <c r="BH226" s="2004">
        <v>2.0570999999999999E-2</v>
      </c>
      <c r="BI226" s="2004"/>
      <c r="BJ226" s="2004"/>
      <c r="BK226" s="2004"/>
      <c r="BL226" s="2004"/>
      <c r="BM226" s="2004"/>
      <c r="BN226" s="2004">
        <v>1</v>
      </c>
      <c r="BO226" s="2004" t="s">
        <v>9203</v>
      </c>
      <c r="BP226" s="516">
        <v>283</v>
      </c>
      <c r="BQ226" s="689">
        <v>160</v>
      </c>
      <c r="BR226" s="2004" t="s">
        <v>2337</v>
      </c>
      <c r="BS226" s="2004" t="s">
        <v>9204</v>
      </c>
      <c r="BT226" s="2004">
        <v>0</v>
      </c>
      <c r="BU226" s="2004" t="s">
        <v>9204</v>
      </c>
      <c r="BV226" s="2004">
        <v>0</v>
      </c>
      <c r="BW226" s="2004">
        <v>143</v>
      </c>
      <c r="BX226" s="2004" t="s">
        <v>2337</v>
      </c>
      <c r="BY226" s="2004">
        <v>0</v>
      </c>
      <c r="BZ226" s="2004">
        <v>0</v>
      </c>
      <c r="CA226" s="2004">
        <v>0</v>
      </c>
      <c r="CB226" s="2004">
        <v>0</v>
      </c>
      <c r="CC226" s="2004">
        <v>131</v>
      </c>
      <c r="CD226" s="2004" t="s">
        <v>2337</v>
      </c>
      <c r="CE226" s="2004">
        <v>0</v>
      </c>
      <c r="CF226" s="2004">
        <v>0</v>
      </c>
      <c r="CG226" s="2004">
        <v>0</v>
      </c>
      <c r="CH226" s="2004">
        <v>0</v>
      </c>
      <c r="CI226" s="2004">
        <v>144</v>
      </c>
      <c r="CJ226" s="2004" t="s">
        <v>2337</v>
      </c>
      <c r="CK226" s="2004">
        <v>0</v>
      </c>
      <c r="CL226" s="2004">
        <v>0</v>
      </c>
      <c r="CM226" s="2004">
        <v>0</v>
      </c>
      <c r="CN226" s="2004">
        <v>0</v>
      </c>
      <c r="CP226" s="2004" t="s">
        <v>10533</v>
      </c>
    </row>
    <row r="227" spans="1:94">
      <c r="A227" s="2004" t="s">
        <v>9070</v>
      </c>
      <c r="B227" s="2004" t="s">
        <v>10534</v>
      </c>
      <c r="C227" s="2004" t="s">
        <v>9047</v>
      </c>
      <c r="D227" s="2004" t="s">
        <v>1629</v>
      </c>
      <c r="E227" s="2004" t="s">
        <v>9410</v>
      </c>
      <c r="F227" s="2004" t="s">
        <v>10526</v>
      </c>
      <c r="G227" s="2004">
        <v>2</v>
      </c>
      <c r="H227" s="2004" t="s">
        <v>10535</v>
      </c>
      <c r="I227" s="2004" t="s">
        <v>10536</v>
      </c>
      <c r="J227" s="2004" t="s">
        <v>9199</v>
      </c>
      <c r="K227" s="2004" t="s">
        <v>9200</v>
      </c>
      <c r="L227" s="2004"/>
      <c r="M227" s="2004" t="s">
        <v>2334</v>
      </c>
      <c r="N227" s="2004" t="s">
        <v>9414</v>
      </c>
      <c r="O227" s="2004" t="s">
        <v>766</v>
      </c>
      <c r="P227" s="2004" t="s">
        <v>10537</v>
      </c>
      <c r="Q227" s="516">
        <v>0</v>
      </c>
      <c r="R227" s="2004" t="s">
        <v>9202</v>
      </c>
      <c r="S227" s="2004">
        <v>551</v>
      </c>
      <c r="T227" s="2004">
        <v>446</v>
      </c>
      <c r="U227" s="2004">
        <v>436</v>
      </c>
      <c r="V227" s="2004">
        <v>414</v>
      </c>
      <c r="W227" s="2004">
        <v>392</v>
      </c>
      <c r="X227" s="2004">
        <v>382</v>
      </c>
      <c r="Y227" s="2004"/>
      <c r="Z227" s="2004"/>
      <c r="AA227" s="2004"/>
      <c r="AB227" s="2004"/>
      <c r="AC227" s="2004" t="s">
        <v>2337</v>
      </c>
      <c r="AD227" s="2004"/>
      <c r="AE227" s="2004" t="s">
        <v>2337</v>
      </c>
      <c r="AF227" s="2004"/>
      <c r="AG227" s="2004"/>
      <c r="AH227" s="2004">
        <v>0</v>
      </c>
      <c r="AI227" s="2004"/>
      <c r="AJ227" s="2004"/>
      <c r="AK227" s="2004"/>
      <c r="AL227" s="2004"/>
      <c r="AM227" s="2004" t="s">
        <v>2337</v>
      </c>
      <c r="AN227" s="2004"/>
      <c r="AO227" s="2004"/>
      <c r="AP227" s="2004"/>
      <c r="AQ227" s="2004"/>
      <c r="AR227" s="2004">
        <v>2440</v>
      </c>
      <c r="AS227" s="2004"/>
      <c r="AT227" s="2004"/>
      <c r="AU227" s="2004"/>
      <c r="AV227" s="2004"/>
      <c r="AW227" s="2004">
        <v>2215</v>
      </c>
      <c r="AX227" s="2004"/>
      <c r="AY227" s="2004"/>
      <c r="AZ227" s="2004"/>
      <c r="BA227" s="2004"/>
      <c r="BB227" s="2004">
        <v>2000</v>
      </c>
      <c r="BC227" s="2004"/>
      <c r="BD227" s="2004"/>
      <c r="BE227" s="2004"/>
      <c r="BF227" s="2004"/>
      <c r="BG227" s="2004">
        <v>1700</v>
      </c>
      <c r="BH227" s="2004">
        <v>7.5259999999999994E-2</v>
      </c>
      <c r="BI227" s="2004"/>
      <c r="BJ227" s="2004"/>
      <c r="BK227" s="2004"/>
      <c r="BL227" s="2004">
        <v>7.2228000000000001E-2</v>
      </c>
      <c r="BM227" s="2004"/>
      <c r="BN227" s="2004">
        <v>1</v>
      </c>
      <c r="BO227" s="2004" t="s">
        <v>9203</v>
      </c>
      <c r="BP227" s="516">
        <v>487</v>
      </c>
      <c r="BQ227" s="689">
        <v>492</v>
      </c>
      <c r="BR227" s="2004" t="s">
        <v>2334</v>
      </c>
      <c r="BS227" s="2004" t="s">
        <v>9204</v>
      </c>
      <c r="BT227" s="2004">
        <v>0</v>
      </c>
      <c r="BU227" s="2004" t="s">
        <v>9204</v>
      </c>
      <c r="BV227" s="2004">
        <v>0</v>
      </c>
      <c r="BW227" s="2004">
        <v>448</v>
      </c>
      <c r="BX227" s="2004" t="s">
        <v>2334</v>
      </c>
      <c r="BY227" s="2004">
        <v>0</v>
      </c>
      <c r="BZ227" s="2004">
        <v>0</v>
      </c>
      <c r="CA227" s="2004">
        <v>0</v>
      </c>
      <c r="CB227" s="2004">
        <v>0</v>
      </c>
      <c r="CC227" s="2004">
        <v>401</v>
      </c>
      <c r="CD227" s="2004" t="s">
        <v>2337</v>
      </c>
      <c r="CE227" s="2004">
        <v>0</v>
      </c>
      <c r="CF227" s="2004">
        <v>0</v>
      </c>
      <c r="CG227" s="2004">
        <v>0</v>
      </c>
      <c r="CH227" s="2004">
        <v>0</v>
      </c>
      <c r="CI227" s="2004">
        <v>389</v>
      </c>
      <c r="CJ227" s="2004" t="s">
        <v>2337</v>
      </c>
      <c r="CK227" s="2004">
        <v>0</v>
      </c>
      <c r="CL227" s="2004">
        <v>0</v>
      </c>
      <c r="CM227" s="2004">
        <v>0</v>
      </c>
      <c r="CN227" s="2004">
        <v>0</v>
      </c>
      <c r="CP227" s="2004" t="s">
        <v>10538</v>
      </c>
    </row>
    <row r="228" spans="1:94">
      <c r="A228" s="2004" t="s">
        <v>9070</v>
      </c>
      <c r="B228" s="2004" t="s">
        <v>10539</v>
      </c>
      <c r="C228" s="2004" t="s">
        <v>9047</v>
      </c>
      <c r="D228" s="2004" t="s">
        <v>1629</v>
      </c>
      <c r="E228" s="2004" t="s">
        <v>9410</v>
      </c>
      <c r="F228" s="2004" t="s">
        <v>10526</v>
      </c>
      <c r="G228" s="2004">
        <v>3</v>
      </c>
      <c r="H228" s="2004" t="s">
        <v>10540</v>
      </c>
      <c r="I228" s="2004" t="s">
        <v>10541</v>
      </c>
      <c r="J228" s="2004" t="s">
        <v>9230</v>
      </c>
      <c r="K228" s="2004"/>
      <c r="L228" s="2004"/>
      <c r="M228" s="2004"/>
      <c r="N228" s="2004" t="s">
        <v>9414</v>
      </c>
      <c r="O228" s="2004" t="s">
        <v>766</v>
      </c>
      <c r="P228" s="2004" t="s">
        <v>10542</v>
      </c>
      <c r="Q228" s="516">
        <v>0</v>
      </c>
      <c r="R228" s="2004" t="s">
        <v>9202</v>
      </c>
      <c r="S228" s="2004">
        <v>9694</v>
      </c>
      <c r="T228" s="2004">
        <v>9694</v>
      </c>
      <c r="U228" s="2004">
        <v>9694</v>
      </c>
      <c r="V228" s="2004">
        <v>9694</v>
      </c>
      <c r="W228" s="2004">
        <v>9694</v>
      </c>
      <c r="X228" s="2004">
        <v>9694</v>
      </c>
      <c r="Y228" s="2004"/>
      <c r="Z228" s="2004"/>
      <c r="AA228" s="2004"/>
      <c r="AB228" s="2004"/>
      <c r="AC228" s="2004"/>
      <c r="AD228" s="2004"/>
      <c r="AE228" s="2004" t="s">
        <v>2337</v>
      </c>
      <c r="AF228" s="2004"/>
      <c r="AG228" s="2004"/>
      <c r="AH228" s="2004">
        <v>0</v>
      </c>
      <c r="AI228" s="2004"/>
      <c r="AJ228" s="2004"/>
      <c r="AK228" s="2004"/>
      <c r="AL228" s="2004"/>
      <c r="AM228" s="2004"/>
      <c r="AN228" s="2004"/>
      <c r="AO228" s="2004"/>
      <c r="AP228" s="2004"/>
      <c r="AQ228" s="2004"/>
      <c r="AR228" s="2004"/>
      <c r="AS228" s="2004"/>
      <c r="AT228" s="2004"/>
      <c r="AU228" s="2004"/>
      <c r="AV228" s="2004"/>
      <c r="AW228" s="2004"/>
      <c r="AX228" s="2004"/>
      <c r="AY228" s="2004"/>
      <c r="AZ228" s="2004"/>
      <c r="BA228" s="2004"/>
      <c r="BB228" s="2004"/>
      <c r="BC228" s="2004"/>
      <c r="BD228" s="2004"/>
      <c r="BE228" s="2004"/>
      <c r="BF228" s="2004"/>
      <c r="BG228" s="2004"/>
      <c r="BH228" s="2004"/>
      <c r="BI228" s="2004"/>
      <c r="BJ228" s="2004"/>
      <c r="BK228" s="2004"/>
      <c r="BL228" s="2004"/>
      <c r="BM228" s="2004"/>
      <c r="BN228" s="2004"/>
      <c r="BO228" s="2004"/>
      <c r="BP228" s="516">
        <v>9796</v>
      </c>
      <c r="BQ228" s="689">
        <v>8314</v>
      </c>
      <c r="BR228" s="2004" t="s">
        <v>2337</v>
      </c>
      <c r="BS228" s="2004" t="s">
        <v>9204</v>
      </c>
      <c r="BT228" s="2004">
        <v>0</v>
      </c>
      <c r="BU228" s="2004" t="s">
        <v>9204</v>
      </c>
      <c r="BV228" s="2004">
        <v>0</v>
      </c>
      <c r="BW228" s="2004">
        <v>8009</v>
      </c>
      <c r="BX228" s="2004" t="s">
        <v>2337</v>
      </c>
      <c r="BY228" s="2004">
        <v>0</v>
      </c>
      <c r="BZ228" s="2004">
        <v>0</v>
      </c>
      <c r="CA228" s="2004">
        <v>0</v>
      </c>
      <c r="CB228" s="2004">
        <v>0</v>
      </c>
      <c r="CC228" s="2004">
        <v>7106</v>
      </c>
      <c r="CD228" s="2004" t="s">
        <v>2337</v>
      </c>
      <c r="CE228" s="2004">
        <v>0</v>
      </c>
      <c r="CF228" s="2004">
        <v>0</v>
      </c>
      <c r="CG228" s="2004">
        <v>0</v>
      </c>
      <c r="CH228" s="2004">
        <v>0</v>
      </c>
      <c r="CI228" s="2004">
        <v>8255</v>
      </c>
      <c r="CJ228" s="2004" t="s">
        <v>2337</v>
      </c>
      <c r="CK228" s="2004">
        <v>0</v>
      </c>
      <c r="CL228" s="2004">
        <v>0</v>
      </c>
      <c r="CM228" s="2004">
        <v>0</v>
      </c>
      <c r="CN228" s="2004">
        <v>0</v>
      </c>
      <c r="CP228" s="2004" t="s">
        <v>10543</v>
      </c>
    </row>
    <row r="229" spans="1:94">
      <c r="A229" s="2004" t="s">
        <v>9070</v>
      </c>
      <c r="B229" s="2004" t="s">
        <v>10544</v>
      </c>
      <c r="C229" s="2004" t="s">
        <v>9047</v>
      </c>
      <c r="D229" s="2004" t="s">
        <v>1629</v>
      </c>
      <c r="E229" s="2004" t="s">
        <v>9410</v>
      </c>
      <c r="F229" s="2004" t="s">
        <v>10526</v>
      </c>
      <c r="G229" s="2004">
        <v>4</v>
      </c>
      <c r="H229" s="2004" t="s">
        <v>10545</v>
      </c>
      <c r="I229" s="2004" t="s">
        <v>10546</v>
      </c>
      <c r="J229" s="2004" t="s">
        <v>9210</v>
      </c>
      <c r="K229" s="2004" t="s">
        <v>9200</v>
      </c>
      <c r="L229" s="2004"/>
      <c r="M229" s="2004"/>
      <c r="N229" s="2004" t="s">
        <v>9414</v>
      </c>
      <c r="O229" s="2004" t="s">
        <v>766</v>
      </c>
      <c r="P229" s="2004" t="s">
        <v>10547</v>
      </c>
      <c r="Q229" s="516">
        <v>2</v>
      </c>
      <c r="R229" s="2004" t="s">
        <v>9202</v>
      </c>
      <c r="S229" s="2004">
        <v>0.57999999999999996</v>
      </c>
      <c r="T229" s="2004">
        <v>0.57999999999999996</v>
      </c>
      <c r="U229" s="2004">
        <v>0.57999999999999996</v>
      </c>
      <c r="V229" s="2004">
        <v>0.57999999999999996</v>
      </c>
      <c r="W229" s="2004">
        <v>0.57999999999999996</v>
      </c>
      <c r="X229" s="2004">
        <v>0.57999999999999996</v>
      </c>
      <c r="Y229" s="2004"/>
      <c r="Z229" s="2004"/>
      <c r="AA229" s="2004"/>
      <c r="AB229" s="2004"/>
      <c r="AC229" s="2004"/>
      <c r="AD229" s="2004"/>
      <c r="AE229" s="2004" t="s">
        <v>2337</v>
      </c>
      <c r="AF229" s="2004"/>
      <c r="AG229" s="2004"/>
      <c r="AH229" s="2004">
        <v>0</v>
      </c>
      <c r="AI229" s="2004" t="s">
        <v>2337</v>
      </c>
      <c r="AJ229" s="2004" t="s">
        <v>2337</v>
      </c>
      <c r="AK229" s="2004" t="s">
        <v>2337</v>
      </c>
      <c r="AL229" s="2004" t="s">
        <v>2337</v>
      </c>
      <c r="AM229" s="2004" t="s">
        <v>2337</v>
      </c>
      <c r="AN229" s="2004">
        <v>0.65</v>
      </c>
      <c r="AO229" s="2004">
        <v>0.65</v>
      </c>
      <c r="AP229" s="2004">
        <v>0.65</v>
      </c>
      <c r="AQ229" s="2004">
        <v>0.65</v>
      </c>
      <c r="AR229" s="2004">
        <v>0.65</v>
      </c>
      <c r="AS229" s="2004">
        <v>0.59</v>
      </c>
      <c r="AT229" s="2004">
        <v>0.59</v>
      </c>
      <c r="AU229" s="2004">
        <v>0.59</v>
      </c>
      <c r="AV229" s="2004">
        <v>0.59</v>
      </c>
      <c r="AW229" s="2004">
        <v>0.59</v>
      </c>
      <c r="AX229" s="2004"/>
      <c r="AY229" s="2004"/>
      <c r="AZ229" s="2004"/>
      <c r="BA229" s="2004"/>
      <c r="BB229" s="2004"/>
      <c r="BC229" s="2004"/>
      <c r="BD229" s="2004"/>
      <c r="BE229" s="2004"/>
      <c r="BF229" s="2004"/>
      <c r="BG229" s="2004"/>
      <c r="BH229" s="2004">
        <v>16.276</v>
      </c>
      <c r="BI229" s="2004"/>
      <c r="BJ229" s="2004"/>
      <c r="BK229" s="2004"/>
      <c r="BL229" s="2004"/>
      <c r="BM229" s="2004"/>
      <c r="BN229" s="2004">
        <v>1</v>
      </c>
      <c r="BO229" s="2004" t="s">
        <v>9203</v>
      </c>
      <c r="BP229" s="516">
        <v>0.55000000000000004</v>
      </c>
      <c r="BQ229" s="690">
        <v>0.56000000000000005</v>
      </c>
      <c r="BR229" s="2004" t="s">
        <v>2337</v>
      </c>
      <c r="BS229" s="2004" t="s">
        <v>9204</v>
      </c>
      <c r="BT229" s="2004">
        <v>0</v>
      </c>
      <c r="BU229" s="2004" t="s">
        <v>9204</v>
      </c>
      <c r="BV229" s="2004">
        <v>0</v>
      </c>
      <c r="BW229" s="2004">
        <v>0.55000000000000004</v>
      </c>
      <c r="BX229" s="2004" t="s">
        <v>2337</v>
      </c>
      <c r="BY229" s="2004">
        <v>0</v>
      </c>
      <c r="BZ229" s="2004">
        <v>0</v>
      </c>
      <c r="CA229" s="2004">
        <v>0</v>
      </c>
      <c r="CB229" s="2004">
        <v>0</v>
      </c>
      <c r="CC229" s="2004">
        <v>0.49</v>
      </c>
      <c r="CD229" s="2004" t="s">
        <v>2337</v>
      </c>
      <c r="CE229" s="2004">
        <v>0</v>
      </c>
      <c r="CF229" s="2004">
        <v>0</v>
      </c>
      <c r="CG229" s="2004">
        <v>0</v>
      </c>
      <c r="CH229" s="2004">
        <v>0</v>
      </c>
      <c r="CI229" s="2004">
        <v>0.52</v>
      </c>
      <c r="CJ229" s="2004" t="s">
        <v>2337</v>
      </c>
      <c r="CK229" s="2004">
        <v>0</v>
      </c>
      <c r="CL229" s="2004">
        <v>0</v>
      </c>
      <c r="CM229" s="2004">
        <v>0</v>
      </c>
      <c r="CN229" s="2004">
        <v>0</v>
      </c>
      <c r="CP229" s="2004" t="s">
        <v>10548</v>
      </c>
    </row>
    <row r="230" spans="1:94">
      <c r="A230" s="2004" t="s">
        <v>9070</v>
      </c>
      <c r="B230" s="2004" t="s">
        <v>10549</v>
      </c>
      <c r="C230" s="2004" t="s">
        <v>9047</v>
      </c>
      <c r="D230" s="2004" t="s">
        <v>1629</v>
      </c>
      <c r="E230" s="2004" t="s">
        <v>9410</v>
      </c>
      <c r="F230" s="2004" t="s">
        <v>10526</v>
      </c>
      <c r="G230" s="2004">
        <v>5</v>
      </c>
      <c r="H230" s="2004" t="s">
        <v>10550</v>
      </c>
      <c r="I230" s="2004" t="s">
        <v>10551</v>
      </c>
      <c r="J230" s="2004" t="s">
        <v>9210</v>
      </c>
      <c r="K230" s="2004" t="s">
        <v>9200</v>
      </c>
      <c r="L230" s="2004"/>
      <c r="M230" s="2004"/>
      <c r="N230" s="2004" t="s">
        <v>10552</v>
      </c>
      <c r="O230" s="2004" t="s">
        <v>766</v>
      </c>
      <c r="P230" s="2004" t="s">
        <v>10553</v>
      </c>
      <c r="Q230" s="516">
        <v>0</v>
      </c>
      <c r="R230" s="2004" t="s">
        <v>9202</v>
      </c>
      <c r="S230" s="2004" t="s">
        <v>4140</v>
      </c>
      <c r="T230" s="2004" t="s">
        <v>4140</v>
      </c>
      <c r="U230" s="2004" t="s">
        <v>4140</v>
      </c>
      <c r="V230" s="2004" t="s">
        <v>4140</v>
      </c>
      <c r="W230" s="2004">
        <v>0</v>
      </c>
      <c r="X230" s="2004">
        <v>0</v>
      </c>
      <c r="Y230" s="2004"/>
      <c r="Z230" s="2004"/>
      <c r="AA230" s="2004"/>
      <c r="AB230" s="2004"/>
      <c r="AC230" s="2004"/>
      <c r="AD230" s="2004" t="s">
        <v>2337</v>
      </c>
      <c r="AE230" s="2004" t="s">
        <v>2337</v>
      </c>
      <c r="AF230" s="2004"/>
      <c r="AG230" s="2004"/>
      <c r="AH230" s="2004">
        <v>0</v>
      </c>
      <c r="AI230" s="2004"/>
      <c r="AJ230" s="2004"/>
      <c r="AK230" s="2004"/>
      <c r="AL230" s="2004" t="s">
        <v>2337</v>
      </c>
      <c r="AM230" s="2004" t="s">
        <v>2337</v>
      </c>
      <c r="AN230" s="2004"/>
      <c r="AO230" s="2004"/>
      <c r="AP230" s="2004"/>
      <c r="AQ230" s="2004">
        <v>20</v>
      </c>
      <c r="AR230" s="2004">
        <v>20</v>
      </c>
      <c r="AS230" s="2004"/>
      <c r="AT230" s="2004"/>
      <c r="AU230" s="2004"/>
      <c r="AV230" s="2004">
        <v>0</v>
      </c>
      <c r="AW230" s="2004">
        <v>0</v>
      </c>
      <c r="AX230" s="2004"/>
      <c r="AY230" s="2004"/>
      <c r="AZ230" s="2004"/>
      <c r="BA230" s="2004"/>
      <c r="BB230" s="2004"/>
      <c r="BC230" s="2004"/>
      <c r="BD230" s="2004"/>
      <c r="BE230" s="2004"/>
      <c r="BF230" s="2004"/>
      <c r="BG230" s="2004"/>
      <c r="BH230" s="2004">
        <v>7.9000000000000001E-2</v>
      </c>
      <c r="BI230" s="2004"/>
      <c r="BJ230" s="2004"/>
      <c r="BK230" s="2004"/>
      <c r="BL230" s="2004"/>
      <c r="BM230" s="2004"/>
      <c r="BN230" s="2004">
        <v>1</v>
      </c>
      <c r="BO230" s="2004" t="s">
        <v>9203</v>
      </c>
      <c r="BP230" s="516" t="s">
        <v>4140</v>
      </c>
      <c r="BQ230" s="689" t="s">
        <v>4140</v>
      </c>
      <c r="BR230" s="2004" t="s">
        <v>9204</v>
      </c>
      <c r="BS230" s="2004" t="s">
        <v>9204</v>
      </c>
      <c r="BT230" s="2004">
        <v>0</v>
      </c>
      <c r="BU230" s="2004" t="s">
        <v>9204</v>
      </c>
      <c r="BV230" s="2004">
        <v>0</v>
      </c>
      <c r="BW230" s="2004" t="s">
        <v>4140</v>
      </c>
      <c r="BX230" s="2004" t="s">
        <v>2335</v>
      </c>
      <c r="BY230" s="2004">
        <v>0</v>
      </c>
      <c r="BZ230" s="2004">
        <v>0</v>
      </c>
      <c r="CA230" s="2004">
        <v>0</v>
      </c>
      <c r="CB230" s="2004">
        <v>0</v>
      </c>
      <c r="CC230" s="2004">
        <v>18</v>
      </c>
      <c r="CD230" s="2004" t="s">
        <v>2335</v>
      </c>
      <c r="CE230" s="2004">
        <v>0</v>
      </c>
      <c r="CF230" s="2004">
        <v>0</v>
      </c>
      <c r="CG230" s="2004">
        <v>0</v>
      </c>
      <c r="CH230" s="2004">
        <v>0</v>
      </c>
      <c r="CI230" s="2004">
        <v>54</v>
      </c>
      <c r="CJ230" s="2004" t="s">
        <v>2334</v>
      </c>
      <c r="CK230" s="2004">
        <v>0</v>
      </c>
      <c r="CL230" s="2004">
        <v>0</v>
      </c>
      <c r="CM230" s="2004" t="s">
        <v>2336</v>
      </c>
      <c r="CN230" s="2004">
        <v>-1.58</v>
      </c>
      <c r="CP230" s="2004" t="s">
        <v>10554</v>
      </c>
    </row>
    <row r="231" spans="1:94">
      <c r="A231" s="2004" t="s">
        <v>9070</v>
      </c>
      <c r="B231" s="2004" t="s">
        <v>10555</v>
      </c>
      <c r="C231" s="2004" t="s">
        <v>9047</v>
      </c>
      <c r="D231" s="2004" t="s">
        <v>1629</v>
      </c>
      <c r="E231" s="2004" t="s">
        <v>9410</v>
      </c>
      <c r="F231" s="2004" t="s">
        <v>10516</v>
      </c>
      <c r="G231" s="2004">
        <v>6</v>
      </c>
      <c r="H231" s="2004" t="s">
        <v>10556</v>
      </c>
      <c r="I231" s="2004" t="s">
        <v>10557</v>
      </c>
      <c r="J231" s="2004" t="s">
        <v>9210</v>
      </c>
      <c r="K231" s="2004" t="s">
        <v>9200</v>
      </c>
      <c r="L231" s="2004"/>
      <c r="M231" s="2004"/>
      <c r="N231" s="2004" t="s">
        <v>9364</v>
      </c>
      <c r="O231" s="2004" t="s">
        <v>734</v>
      </c>
      <c r="P231" s="2004" t="s">
        <v>10558</v>
      </c>
      <c r="Q231" s="516">
        <v>1</v>
      </c>
      <c r="R231" s="2004" t="s">
        <v>9240</v>
      </c>
      <c r="S231" s="2004">
        <v>98.6</v>
      </c>
      <c r="T231" s="2004">
        <v>100</v>
      </c>
      <c r="U231" s="2004">
        <v>100</v>
      </c>
      <c r="V231" s="2004">
        <v>100</v>
      </c>
      <c r="W231" s="2004">
        <v>100</v>
      </c>
      <c r="X231" s="2004">
        <v>100</v>
      </c>
      <c r="Y231" s="2004"/>
      <c r="Z231" s="2004"/>
      <c r="AA231" s="2004"/>
      <c r="AB231" s="2004"/>
      <c r="AC231" s="2004"/>
      <c r="AD231" s="2004"/>
      <c r="AE231" s="2004" t="s">
        <v>2337</v>
      </c>
      <c r="AF231" s="2004"/>
      <c r="AG231" s="2004"/>
      <c r="AH231" s="2004">
        <v>0</v>
      </c>
      <c r="AI231" s="2004" t="s">
        <v>2337</v>
      </c>
      <c r="AJ231" s="2004" t="s">
        <v>2337</v>
      </c>
      <c r="AK231" s="2004" t="s">
        <v>2337</v>
      </c>
      <c r="AL231" s="2004" t="s">
        <v>2337</v>
      </c>
      <c r="AM231" s="2004" t="s">
        <v>2337</v>
      </c>
      <c r="AN231" s="2004">
        <v>96.8</v>
      </c>
      <c r="AO231" s="2004">
        <v>96.8</v>
      </c>
      <c r="AP231" s="2004">
        <v>96.8</v>
      </c>
      <c r="AQ231" s="2004">
        <v>96.8</v>
      </c>
      <c r="AR231" s="2004">
        <v>96.8</v>
      </c>
      <c r="AS231" s="2004">
        <v>97.7</v>
      </c>
      <c r="AT231" s="2004">
        <v>97.7</v>
      </c>
      <c r="AU231" s="2004">
        <v>97.7</v>
      </c>
      <c r="AV231" s="2004">
        <v>97.7</v>
      </c>
      <c r="AW231" s="2004">
        <v>97.7</v>
      </c>
      <c r="AX231" s="2004"/>
      <c r="AY231" s="2004"/>
      <c r="AZ231" s="2004"/>
      <c r="BA231" s="2004"/>
      <c r="BB231" s="2004"/>
      <c r="BC231" s="2004"/>
      <c r="BD231" s="2004"/>
      <c r="BE231" s="2004"/>
      <c r="BF231" s="2004"/>
      <c r="BG231" s="2004"/>
      <c r="BH231" s="2004">
        <v>1.661</v>
      </c>
      <c r="BI231" s="2004"/>
      <c r="BJ231" s="2004"/>
      <c r="BK231" s="2004"/>
      <c r="BL231" s="2004"/>
      <c r="BM231" s="2004"/>
      <c r="BN231" s="2004">
        <v>10</v>
      </c>
      <c r="BO231" s="2004" t="s">
        <v>10559</v>
      </c>
      <c r="BP231" s="516">
        <v>99</v>
      </c>
      <c r="BQ231" s="686">
        <v>99.3</v>
      </c>
      <c r="BR231" s="2004" t="s">
        <v>2334</v>
      </c>
      <c r="BS231" s="2004" t="s">
        <v>9204</v>
      </c>
      <c r="BT231" s="2004">
        <v>0</v>
      </c>
      <c r="BU231" s="2004" t="s">
        <v>9120</v>
      </c>
      <c r="BV231" s="2004">
        <v>0</v>
      </c>
      <c r="BW231" s="2004">
        <v>99.32</v>
      </c>
      <c r="BX231" s="2004" t="s">
        <v>2334</v>
      </c>
      <c r="BY231" s="2004">
        <v>0</v>
      </c>
      <c r="BZ231" s="2004">
        <v>0</v>
      </c>
      <c r="CA231" s="2004" t="s">
        <v>9120</v>
      </c>
      <c r="CB231" s="2004">
        <v>0</v>
      </c>
      <c r="CC231" s="2004">
        <v>98.38</v>
      </c>
      <c r="CD231" s="2004" t="s">
        <v>2334</v>
      </c>
      <c r="CE231" s="2004">
        <v>0</v>
      </c>
      <c r="CF231" s="2004">
        <v>0</v>
      </c>
      <c r="CG231" s="2004">
        <v>0</v>
      </c>
      <c r="CH231" s="2004">
        <v>0</v>
      </c>
      <c r="CI231" s="2004">
        <v>99.7</v>
      </c>
      <c r="CJ231" s="2004" t="s">
        <v>2334</v>
      </c>
      <c r="CK231" s="2004">
        <v>0</v>
      </c>
      <c r="CL231" s="2004">
        <v>0</v>
      </c>
      <c r="CM231" s="2004" t="s">
        <v>2340</v>
      </c>
      <c r="CN231" s="2004">
        <v>0</v>
      </c>
      <c r="CP231" s="2004" t="s">
        <v>10560</v>
      </c>
    </row>
    <row r="232" spans="1:94">
      <c r="A232" s="2004" t="s">
        <v>9070</v>
      </c>
      <c r="B232" s="2004" t="s">
        <v>10561</v>
      </c>
      <c r="C232" s="2004" t="s">
        <v>9047</v>
      </c>
      <c r="D232" s="2004" t="s">
        <v>1629</v>
      </c>
      <c r="E232" s="2004" t="s">
        <v>9410</v>
      </c>
      <c r="F232" s="2004" t="s">
        <v>10516</v>
      </c>
      <c r="G232" s="2004">
        <v>7</v>
      </c>
      <c r="H232" s="2004" t="s">
        <v>10562</v>
      </c>
      <c r="I232" s="2004" t="s">
        <v>10563</v>
      </c>
      <c r="J232" s="2004" t="s">
        <v>9230</v>
      </c>
      <c r="K232" s="2004"/>
      <c r="L232" s="2004"/>
      <c r="M232" s="2004"/>
      <c r="N232" s="2004" t="s">
        <v>9372</v>
      </c>
      <c r="O232" s="2004" t="s">
        <v>734</v>
      </c>
      <c r="P232" s="2004" t="s">
        <v>10564</v>
      </c>
      <c r="Q232" s="516">
        <v>1</v>
      </c>
      <c r="R232" s="2004" t="s">
        <v>9240</v>
      </c>
      <c r="S232" s="2004">
        <v>14.5</v>
      </c>
      <c r="T232" s="2004"/>
      <c r="U232" s="2004"/>
      <c r="V232" s="2004"/>
      <c r="W232" s="2004"/>
      <c r="X232" s="2004">
        <v>16.5</v>
      </c>
      <c r="Y232" s="2004"/>
      <c r="Z232" s="2004"/>
      <c r="AA232" s="2004"/>
      <c r="AB232" s="2004"/>
      <c r="AC232" s="2004"/>
      <c r="AD232" s="2004"/>
      <c r="AE232" s="2004"/>
      <c r="AF232" s="2004"/>
      <c r="AG232" s="2004"/>
      <c r="AH232" s="2004">
        <v>0</v>
      </c>
      <c r="AI232" s="2004"/>
      <c r="AJ232" s="2004"/>
      <c r="AK232" s="2004"/>
      <c r="AL232" s="2004"/>
      <c r="AM232" s="2004"/>
      <c r="AN232" s="2004"/>
      <c r="AO232" s="2004"/>
      <c r="AP232" s="2004"/>
      <c r="AQ232" s="2004"/>
      <c r="AR232" s="2004"/>
      <c r="AS232" s="2004"/>
      <c r="AT232" s="2004"/>
      <c r="AU232" s="2004"/>
      <c r="AV232" s="2004"/>
      <c r="AW232" s="2004"/>
      <c r="AX232" s="2004"/>
      <c r="AY232" s="2004"/>
      <c r="AZ232" s="2004"/>
      <c r="BA232" s="2004"/>
      <c r="BB232" s="2004"/>
      <c r="BC232" s="2004"/>
      <c r="BD232" s="2004"/>
      <c r="BE232" s="2004"/>
      <c r="BF232" s="2004"/>
      <c r="BG232" s="2004"/>
      <c r="BH232" s="2004"/>
      <c r="BI232" s="2004"/>
      <c r="BJ232" s="2004"/>
      <c r="BK232" s="2004"/>
      <c r="BL232" s="2004"/>
      <c r="BM232" s="2004"/>
      <c r="BN232" s="2004"/>
      <c r="BO232" s="2004"/>
      <c r="BP232" s="516">
        <v>16</v>
      </c>
      <c r="BQ232" s="686">
        <v>17.3</v>
      </c>
      <c r="BR232" s="2004" t="s">
        <v>9204</v>
      </c>
      <c r="BS232" s="2004" t="s">
        <v>9204</v>
      </c>
      <c r="BT232" s="2004">
        <v>0</v>
      </c>
      <c r="BU232" s="2004" t="s">
        <v>9204</v>
      </c>
      <c r="BV232" s="2004">
        <v>0</v>
      </c>
      <c r="BW232" s="2004">
        <v>17.03</v>
      </c>
      <c r="BX232" s="2004" t="s">
        <v>2335</v>
      </c>
      <c r="BY232" s="2004">
        <v>0</v>
      </c>
      <c r="BZ232" s="2004">
        <v>0</v>
      </c>
      <c r="CA232" s="2004">
        <v>0</v>
      </c>
      <c r="CB232" s="2004">
        <v>0</v>
      </c>
      <c r="CC232" s="2004">
        <v>17.2</v>
      </c>
      <c r="CD232" s="2004" t="s">
        <v>2337</v>
      </c>
      <c r="CE232" s="2004">
        <v>0</v>
      </c>
      <c r="CF232" s="2004">
        <v>0</v>
      </c>
      <c r="CG232" s="2004">
        <v>0</v>
      </c>
      <c r="CH232" s="2004">
        <v>0</v>
      </c>
      <c r="CI232" s="2004">
        <v>15.8</v>
      </c>
      <c r="CJ232" s="2004" t="s">
        <v>2335</v>
      </c>
      <c r="CK232" s="2004">
        <v>0</v>
      </c>
      <c r="CL232" s="2004">
        <v>0</v>
      </c>
      <c r="CM232" s="2004">
        <v>0</v>
      </c>
      <c r="CN232" s="2004">
        <v>0</v>
      </c>
      <c r="CP232" s="2004" t="s">
        <v>10565</v>
      </c>
    </row>
    <row r="233" spans="1:94">
      <c r="A233" s="2004" t="s">
        <v>9070</v>
      </c>
      <c r="B233" s="2004" t="s">
        <v>10566</v>
      </c>
      <c r="C233" s="2004" t="s">
        <v>9047</v>
      </c>
      <c r="D233" s="2004" t="s">
        <v>1629</v>
      </c>
      <c r="E233" s="2004" t="s">
        <v>9410</v>
      </c>
      <c r="F233" s="2004" t="s">
        <v>10516</v>
      </c>
      <c r="G233" s="2004">
        <v>8</v>
      </c>
      <c r="H233" s="2004" t="s">
        <v>10567</v>
      </c>
      <c r="I233" s="2004" t="s">
        <v>10568</v>
      </c>
      <c r="J233" s="2004" t="s">
        <v>9199</v>
      </c>
      <c r="K233" s="2004" t="s">
        <v>9200</v>
      </c>
      <c r="L233" s="2004"/>
      <c r="M233" s="2004"/>
      <c r="N233" s="2004" t="s">
        <v>9364</v>
      </c>
      <c r="O233" s="2004" t="s">
        <v>766</v>
      </c>
      <c r="P233" s="2004" t="s">
        <v>10569</v>
      </c>
      <c r="Q233" s="516">
        <v>0</v>
      </c>
      <c r="R233" s="2004" t="s">
        <v>9240</v>
      </c>
      <c r="S233" s="2004"/>
      <c r="T233" s="2004">
        <v>54</v>
      </c>
      <c r="U233" s="2004">
        <v>54</v>
      </c>
      <c r="V233" s="2004">
        <v>54</v>
      </c>
      <c r="W233" s="2004">
        <v>54</v>
      </c>
      <c r="X233" s="2004">
        <v>54</v>
      </c>
      <c r="Y233" s="2004"/>
      <c r="Z233" s="2004"/>
      <c r="AA233" s="2004"/>
      <c r="AB233" s="2004"/>
      <c r="AC233" s="2004"/>
      <c r="AD233" s="2004"/>
      <c r="AE233" s="2004"/>
      <c r="AF233" s="2004"/>
      <c r="AG233" s="2004"/>
      <c r="AH233" s="2004">
        <v>0</v>
      </c>
      <c r="AI233" s="2004" t="s">
        <v>2337</v>
      </c>
      <c r="AJ233" s="2004" t="s">
        <v>2337</v>
      </c>
      <c r="AK233" s="2004" t="s">
        <v>2337</v>
      </c>
      <c r="AL233" s="2004" t="s">
        <v>2337</v>
      </c>
      <c r="AM233" s="2004" t="s">
        <v>2337</v>
      </c>
      <c r="AN233" s="2004">
        <v>42</v>
      </c>
      <c r="AO233" s="2004">
        <v>42</v>
      </c>
      <c r="AP233" s="2004">
        <v>42</v>
      </c>
      <c r="AQ233" s="2004">
        <v>42</v>
      </c>
      <c r="AR233" s="2004">
        <v>42</v>
      </c>
      <c r="AS233" s="2004">
        <v>48</v>
      </c>
      <c r="AT233" s="2004">
        <v>48</v>
      </c>
      <c r="AU233" s="2004">
        <v>48</v>
      </c>
      <c r="AV233" s="2004">
        <v>48</v>
      </c>
      <c r="AW233" s="2004">
        <v>48</v>
      </c>
      <c r="AX233" s="2004">
        <v>60</v>
      </c>
      <c r="AY233" s="2004">
        <v>60</v>
      </c>
      <c r="AZ233" s="2004">
        <v>60</v>
      </c>
      <c r="BA233" s="2004">
        <v>60</v>
      </c>
      <c r="BB233" s="2004">
        <v>60</v>
      </c>
      <c r="BC233" s="2004">
        <v>66</v>
      </c>
      <c r="BD233" s="2004">
        <v>66</v>
      </c>
      <c r="BE233" s="2004">
        <v>66</v>
      </c>
      <c r="BF233" s="2004">
        <v>66</v>
      </c>
      <c r="BG233" s="2004">
        <v>66</v>
      </c>
      <c r="BH233" s="2004">
        <v>0.29149999999999998</v>
      </c>
      <c r="BI233" s="2004"/>
      <c r="BJ233" s="2004"/>
      <c r="BK233" s="2004"/>
      <c r="BL233" s="2004">
        <v>0.24675</v>
      </c>
      <c r="BM233" s="2004"/>
      <c r="BN233" s="2004">
        <v>1</v>
      </c>
      <c r="BO233" s="2004" t="s">
        <v>9203</v>
      </c>
      <c r="BP233" s="516">
        <v>54</v>
      </c>
      <c r="BQ233" s="689">
        <v>43</v>
      </c>
      <c r="BR233" s="2004" t="s">
        <v>2334</v>
      </c>
      <c r="BS233" s="2004" t="s">
        <v>9204</v>
      </c>
      <c r="BT233" s="2004">
        <v>0</v>
      </c>
      <c r="BU233" s="2004" t="s">
        <v>9254</v>
      </c>
      <c r="BV233" s="2004">
        <v>-1.4575</v>
      </c>
      <c r="BW233" s="2004">
        <v>51</v>
      </c>
      <c r="BX233" s="2004" t="s">
        <v>2334</v>
      </c>
      <c r="BY233" s="2004">
        <v>0</v>
      </c>
      <c r="BZ233" s="2004">
        <v>0</v>
      </c>
      <c r="CA233" s="2004" t="s">
        <v>9120</v>
      </c>
      <c r="CB233" s="2004">
        <v>0</v>
      </c>
      <c r="CC233" s="2004">
        <v>53</v>
      </c>
      <c r="CD233" s="2004" t="s">
        <v>2334</v>
      </c>
      <c r="CE233" s="2004">
        <v>0</v>
      </c>
      <c r="CF233" s="2004">
        <v>0</v>
      </c>
      <c r="CG233" s="2004" t="s">
        <v>2340</v>
      </c>
      <c r="CH233" s="2004">
        <v>0</v>
      </c>
      <c r="CI233" s="2004">
        <v>57</v>
      </c>
      <c r="CJ233" s="2004" t="s">
        <v>2337</v>
      </c>
      <c r="CK233" s="2004">
        <v>0</v>
      </c>
      <c r="CL233" s="2004">
        <v>0</v>
      </c>
      <c r="CM233" s="2004">
        <v>0</v>
      </c>
      <c r="CN233" s="2004">
        <v>0</v>
      </c>
      <c r="CP233" s="2004" t="s">
        <v>10570</v>
      </c>
    </row>
    <row r="234" spans="1:94">
      <c r="A234" s="2004" t="s">
        <v>9070</v>
      </c>
      <c r="B234" s="2004" t="s">
        <v>10571</v>
      </c>
      <c r="C234" s="2004" t="s">
        <v>9047</v>
      </c>
      <c r="D234" s="2004" t="s">
        <v>1629</v>
      </c>
      <c r="E234" s="2004" t="s">
        <v>9410</v>
      </c>
      <c r="F234" s="2004" t="s">
        <v>10516</v>
      </c>
      <c r="G234" s="2004">
        <v>9</v>
      </c>
      <c r="H234" s="2004" t="s">
        <v>10572</v>
      </c>
      <c r="I234" s="2004" t="s">
        <v>10573</v>
      </c>
      <c r="J234" s="2004" t="s">
        <v>9199</v>
      </c>
      <c r="K234" s="2004" t="s">
        <v>9200</v>
      </c>
      <c r="L234" s="2004"/>
      <c r="M234" s="2004"/>
      <c r="N234" s="2004" t="s">
        <v>9364</v>
      </c>
      <c r="O234" s="2004" t="s">
        <v>766</v>
      </c>
      <c r="P234" s="2004" t="s">
        <v>10569</v>
      </c>
      <c r="Q234" s="516">
        <v>0</v>
      </c>
      <c r="R234" s="2004" t="s">
        <v>9240</v>
      </c>
      <c r="S234" s="2004"/>
      <c r="T234" s="2004">
        <v>0</v>
      </c>
      <c r="U234" s="2004">
        <v>0</v>
      </c>
      <c r="V234" s="2004">
        <v>0</v>
      </c>
      <c r="W234" s="2004">
        <v>0</v>
      </c>
      <c r="X234" s="2004">
        <v>7</v>
      </c>
      <c r="Y234" s="2004"/>
      <c r="Z234" s="2004"/>
      <c r="AA234" s="2004"/>
      <c r="AB234" s="2004"/>
      <c r="AC234" s="2004"/>
      <c r="AD234" s="2004" t="s">
        <v>2337</v>
      </c>
      <c r="AE234" s="2004"/>
      <c r="AF234" s="2004"/>
      <c r="AG234" s="2004"/>
      <c r="AH234" s="2004">
        <v>0</v>
      </c>
      <c r="AI234" s="2004" t="s">
        <v>2337</v>
      </c>
      <c r="AJ234" s="2004" t="s">
        <v>2337</v>
      </c>
      <c r="AK234" s="2004" t="s">
        <v>2337</v>
      </c>
      <c r="AL234" s="2004" t="s">
        <v>2337</v>
      </c>
      <c r="AM234" s="2004" t="s">
        <v>2337</v>
      </c>
      <c r="AN234" s="2004">
        <v>0</v>
      </c>
      <c r="AO234" s="2004">
        <v>0</v>
      </c>
      <c r="AP234" s="2004">
        <v>0</v>
      </c>
      <c r="AQ234" s="2004">
        <v>0</v>
      </c>
      <c r="AR234" s="2004">
        <v>0</v>
      </c>
      <c r="AS234" s="2004">
        <v>0</v>
      </c>
      <c r="AT234" s="2004">
        <v>0</v>
      </c>
      <c r="AU234" s="2004">
        <v>0</v>
      </c>
      <c r="AV234" s="2004">
        <v>0</v>
      </c>
      <c r="AW234" s="2004">
        <v>7</v>
      </c>
      <c r="AX234" s="2004">
        <v>0</v>
      </c>
      <c r="AY234" s="2004">
        <v>0</v>
      </c>
      <c r="AZ234" s="2004">
        <v>0</v>
      </c>
      <c r="BA234" s="2004">
        <v>0</v>
      </c>
      <c r="BB234" s="2004">
        <v>7</v>
      </c>
      <c r="BC234" s="2004">
        <v>7</v>
      </c>
      <c r="BD234" s="2004">
        <v>7</v>
      </c>
      <c r="BE234" s="2004">
        <v>7</v>
      </c>
      <c r="BF234" s="2004">
        <v>7</v>
      </c>
      <c r="BG234" s="2004">
        <v>7</v>
      </c>
      <c r="BH234" s="2004">
        <v>3.64</v>
      </c>
      <c r="BI234" s="2004"/>
      <c r="BJ234" s="2004"/>
      <c r="BK234" s="2004"/>
      <c r="BL234" s="2004">
        <v>0.24675</v>
      </c>
      <c r="BM234" s="2004"/>
      <c r="BN234" s="2004">
        <v>1</v>
      </c>
      <c r="BO234" s="2004" t="s">
        <v>9203</v>
      </c>
      <c r="BP234" s="516">
        <v>0</v>
      </c>
      <c r="BQ234" s="689">
        <v>0</v>
      </c>
      <c r="BR234" s="2004" t="s">
        <v>2337</v>
      </c>
      <c r="BS234" s="2004" t="s">
        <v>9204</v>
      </c>
      <c r="BT234" s="2004">
        <v>0</v>
      </c>
      <c r="BU234" s="2004" t="s">
        <v>9204</v>
      </c>
      <c r="BV234" s="2004">
        <v>0</v>
      </c>
      <c r="BW234" s="2004">
        <v>0</v>
      </c>
      <c r="BX234" s="2004" t="s">
        <v>2337</v>
      </c>
      <c r="BY234" s="2004">
        <v>0</v>
      </c>
      <c r="BZ234" s="2004">
        <v>0</v>
      </c>
      <c r="CA234" s="2004">
        <v>0</v>
      </c>
      <c r="CB234" s="2004">
        <v>0</v>
      </c>
      <c r="CC234" s="2004">
        <v>0</v>
      </c>
      <c r="CD234" s="2004" t="s">
        <v>2335</v>
      </c>
      <c r="CE234" s="2004">
        <v>0</v>
      </c>
      <c r="CF234" s="2004">
        <v>0</v>
      </c>
      <c r="CG234" s="2004">
        <v>0</v>
      </c>
      <c r="CH234" s="2004">
        <v>0</v>
      </c>
      <c r="CI234" s="2004">
        <v>5</v>
      </c>
      <c r="CJ234" s="2004" t="s">
        <v>2337</v>
      </c>
      <c r="CK234" s="2004">
        <v>0</v>
      </c>
      <c r="CL234" s="2004">
        <v>0</v>
      </c>
      <c r="CM234" s="2004" t="s">
        <v>2339</v>
      </c>
      <c r="CN234" s="2004">
        <v>1.234</v>
      </c>
      <c r="CP234" s="2004" t="s">
        <v>10574</v>
      </c>
    </row>
    <row r="235" spans="1:94">
      <c r="A235" s="2004" t="s">
        <v>9070</v>
      </c>
      <c r="B235" s="2004" t="s">
        <v>10575</v>
      </c>
      <c r="C235" s="2004" t="s">
        <v>9047</v>
      </c>
      <c r="D235" s="2004" t="s">
        <v>1629</v>
      </c>
      <c r="E235" s="2004" t="s">
        <v>9410</v>
      </c>
      <c r="F235" s="2004" t="s">
        <v>10516</v>
      </c>
      <c r="G235" s="2004">
        <v>10</v>
      </c>
      <c r="H235" s="2004" t="s">
        <v>10576</v>
      </c>
      <c r="I235" s="2004" t="s">
        <v>10577</v>
      </c>
      <c r="J235" s="2004" t="s">
        <v>9210</v>
      </c>
      <c r="K235" s="2004" t="s">
        <v>9545</v>
      </c>
      <c r="L235" s="2004"/>
      <c r="M235" s="2004"/>
      <c r="N235" s="2004" t="s">
        <v>9364</v>
      </c>
      <c r="O235" s="2004" t="s">
        <v>51</v>
      </c>
      <c r="P235" s="2004" t="s">
        <v>10578</v>
      </c>
      <c r="Q235" s="516">
        <v>1</v>
      </c>
      <c r="R235" s="2004"/>
      <c r="S235" s="2004" t="s">
        <v>4140</v>
      </c>
      <c r="T235" s="2004"/>
      <c r="U235" s="2004"/>
      <c r="V235" s="2004"/>
      <c r="W235" s="2004"/>
      <c r="X235" s="2004">
        <v>31.5</v>
      </c>
      <c r="Y235" s="2004"/>
      <c r="Z235" s="2004"/>
      <c r="AA235" s="2004"/>
      <c r="AB235" s="2004"/>
      <c r="AC235" s="2004"/>
      <c r="AD235" s="2004"/>
      <c r="AE235" s="2004"/>
      <c r="AF235" s="2004"/>
      <c r="AG235" s="2004"/>
      <c r="AH235" s="2004">
        <v>0</v>
      </c>
      <c r="AI235" s="2004"/>
      <c r="AJ235" s="2004"/>
      <c r="AK235" s="2004"/>
      <c r="AL235" s="2004"/>
      <c r="AM235" s="2004" t="s">
        <v>2337</v>
      </c>
      <c r="AN235" s="2004"/>
      <c r="AO235" s="2004"/>
      <c r="AP235" s="2004"/>
      <c r="AQ235" s="2004"/>
      <c r="AR235" s="2004">
        <v>0</v>
      </c>
      <c r="AS235" s="2004"/>
      <c r="AT235" s="2004"/>
      <c r="AU235" s="2004"/>
      <c r="AV235" s="2004"/>
      <c r="AW235" s="2004">
        <v>24.56</v>
      </c>
      <c r="AX235" s="2004"/>
      <c r="AY235" s="2004"/>
      <c r="AZ235" s="2004"/>
      <c r="BA235" s="2004"/>
      <c r="BB235" s="2004"/>
      <c r="BC235" s="2004"/>
      <c r="BD235" s="2004"/>
      <c r="BE235" s="2004"/>
      <c r="BF235" s="2004"/>
      <c r="BG235" s="2004"/>
      <c r="BH235" s="2004">
        <v>0.5</v>
      </c>
      <c r="BI235" s="2004"/>
      <c r="BJ235" s="2004"/>
      <c r="BK235" s="2004"/>
      <c r="BL235" s="2004"/>
      <c r="BM235" s="2004"/>
      <c r="BN235" s="2004">
        <v>1</v>
      </c>
      <c r="BO235" s="2004" t="s">
        <v>9203</v>
      </c>
      <c r="BP235" s="516" t="s">
        <v>4140</v>
      </c>
      <c r="BQ235" s="689" t="s">
        <v>4140</v>
      </c>
      <c r="BR235" s="2004" t="s">
        <v>9204</v>
      </c>
      <c r="BS235" s="2004" t="s">
        <v>9204</v>
      </c>
      <c r="BT235" s="2004">
        <v>0</v>
      </c>
      <c r="BU235" s="2004" t="s">
        <v>9204</v>
      </c>
      <c r="BV235" s="2004">
        <v>0</v>
      </c>
      <c r="BW235" s="2004" t="s">
        <v>4140</v>
      </c>
      <c r="BX235" s="2004" t="s">
        <v>2335</v>
      </c>
      <c r="BY235" s="2004">
        <v>0</v>
      </c>
      <c r="BZ235" s="2004">
        <v>0</v>
      </c>
      <c r="CA235" s="2004">
        <v>0</v>
      </c>
      <c r="CB235" s="2004">
        <v>0</v>
      </c>
      <c r="CC235" s="2004" t="s">
        <v>4140</v>
      </c>
      <c r="CD235" s="2004" t="s">
        <v>2335</v>
      </c>
      <c r="CE235" s="2004">
        <v>0</v>
      </c>
      <c r="CF235" s="2004">
        <v>0</v>
      </c>
      <c r="CG235" s="2004">
        <v>0</v>
      </c>
      <c r="CH235" s="2004">
        <v>0</v>
      </c>
      <c r="CI235" s="2004" t="s">
        <v>4140</v>
      </c>
      <c r="CJ235" s="2004" t="s">
        <v>2335</v>
      </c>
      <c r="CK235" s="2004">
        <v>0</v>
      </c>
      <c r="CL235" s="2004">
        <v>0</v>
      </c>
      <c r="CM235" s="2004">
        <v>0</v>
      </c>
      <c r="CN235" s="2004">
        <v>0</v>
      </c>
      <c r="CP235" s="2004" t="s">
        <v>10579</v>
      </c>
    </row>
    <row r="236" spans="1:94">
      <c r="A236" s="2004" t="s">
        <v>9070</v>
      </c>
      <c r="B236" s="2004" t="s">
        <v>10580</v>
      </c>
      <c r="C236" s="2004" t="s">
        <v>9047</v>
      </c>
      <c r="D236" s="2004" t="s">
        <v>1629</v>
      </c>
      <c r="E236" s="2004" t="s">
        <v>9410</v>
      </c>
      <c r="F236" s="2004" t="s">
        <v>10516</v>
      </c>
      <c r="G236" s="2004">
        <v>11</v>
      </c>
      <c r="H236" s="2004" t="s">
        <v>10581</v>
      </c>
      <c r="I236" s="2004" t="s">
        <v>10582</v>
      </c>
      <c r="J236" s="2004" t="s">
        <v>9230</v>
      </c>
      <c r="K236" s="2004"/>
      <c r="L236" s="2004"/>
      <c r="M236" s="2004"/>
      <c r="N236" s="2004" t="s">
        <v>9450</v>
      </c>
      <c r="O236" s="2004" t="s">
        <v>766</v>
      </c>
      <c r="P236" s="2004" t="s">
        <v>10583</v>
      </c>
      <c r="Q236" s="516">
        <v>0</v>
      </c>
      <c r="R236" s="2004" t="s">
        <v>9202</v>
      </c>
      <c r="S236" s="2004">
        <v>7</v>
      </c>
      <c r="T236" s="2004">
        <v>8</v>
      </c>
      <c r="U236" s="2004">
        <v>6</v>
      </c>
      <c r="V236" s="2004">
        <v>4</v>
      </c>
      <c r="W236" s="2004">
        <v>2</v>
      </c>
      <c r="X236" s="2004">
        <v>0</v>
      </c>
      <c r="Y236" s="2004"/>
      <c r="Z236" s="2004"/>
      <c r="AA236" s="2004"/>
      <c r="AB236" s="2004"/>
      <c r="AC236" s="2004"/>
      <c r="AD236" s="2004"/>
      <c r="AE236" s="2004" t="s">
        <v>2337</v>
      </c>
      <c r="AF236" s="2004"/>
      <c r="AG236" s="2004"/>
      <c r="AH236" s="2004">
        <v>0</v>
      </c>
      <c r="AI236" s="2004"/>
      <c r="AJ236" s="2004"/>
      <c r="AK236" s="2004"/>
      <c r="AL236" s="2004"/>
      <c r="AM236" s="2004"/>
      <c r="AN236" s="2004"/>
      <c r="AO236" s="2004"/>
      <c r="AP236" s="2004"/>
      <c r="AQ236" s="2004"/>
      <c r="AR236" s="2004"/>
      <c r="AS236" s="2004"/>
      <c r="AT236" s="2004"/>
      <c r="AU236" s="2004"/>
      <c r="AV236" s="2004"/>
      <c r="AW236" s="2004"/>
      <c r="AX236" s="2004"/>
      <c r="AY236" s="2004"/>
      <c r="AZ236" s="2004"/>
      <c r="BA236" s="2004"/>
      <c r="BB236" s="2004"/>
      <c r="BC236" s="2004"/>
      <c r="BD236" s="2004"/>
      <c r="BE236" s="2004"/>
      <c r="BF236" s="2004"/>
      <c r="BG236" s="2004"/>
      <c r="BH236" s="2004"/>
      <c r="BI236" s="2004"/>
      <c r="BJ236" s="2004"/>
      <c r="BK236" s="2004"/>
      <c r="BL236" s="2004"/>
      <c r="BM236" s="2004"/>
      <c r="BN236" s="2004"/>
      <c r="BO236" s="2004"/>
      <c r="BP236" s="516">
        <v>12</v>
      </c>
      <c r="BQ236" s="689">
        <v>7</v>
      </c>
      <c r="BR236" s="2004" t="s">
        <v>2337</v>
      </c>
      <c r="BS236" s="2004" t="s">
        <v>9204</v>
      </c>
      <c r="BT236" s="2004">
        <v>0</v>
      </c>
      <c r="BU236" s="2004" t="s">
        <v>9204</v>
      </c>
      <c r="BV236" s="2004">
        <v>0</v>
      </c>
      <c r="BW236" s="2004">
        <v>3</v>
      </c>
      <c r="BX236" s="2004" t="s">
        <v>2337</v>
      </c>
      <c r="BY236" s="2004">
        <v>0</v>
      </c>
      <c r="BZ236" s="2004">
        <v>0</v>
      </c>
      <c r="CA236" s="2004">
        <v>0</v>
      </c>
      <c r="CB236" s="2004">
        <v>0</v>
      </c>
      <c r="CC236" s="2004">
        <v>4</v>
      </c>
      <c r="CD236" s="2004" t="s">
        <v>2337</v>
      </c>
      <c r="CE236" s="2004">
        <v>0</v>
      </c>
      <c r="CF236" s="2004">
        <v>0</v>
      </c>
      <c r="CG236" s="2004">
        <v>0</v>
      </c>
      <c r="CH236" s="2004">
        <v>0</v>
      </c>
      <c r="CI236" s="2004">
        <v>7</v>
      </c>
      <c r="CJ236" s="2004" t="s">
        <v>2334</v>
      </c>
      <c r="CK236" s="2004">
        <v>0</v>
      </c>
      <c r="CL236" s="2004">
        <v>0</v>
      </c>
      <c r="CM236" s="2004">
        <v>0</v>
      </c>
      <c r="CN236" s="2004">
        <v>0</v>
      </c>
      <c r="CP236" s="2004" t="s">
        <v>10584</v>
      </c>
    </row>
    <row r="237" spans="1:94">
      <c r="A237" s="2004" t="s">
        <v>9070</v>
      </c>
      <c r="B237" s="2004" t="s">
        <v>10585</v>
      </c>
      <c r="C237" s="2004" t="s">
        <v>9047</v>
      </c>
      <c r="D237" s="2004" t="s">
        <v>1629</v>
      </c>
      <c r="E237" s="2004" t="s">
        <v>9410</v>
      </c>
      <c r="F237" s="2004" t="s">
        <v>10521</v>
      </c>
      <c r="G237" s="2004">
        <v>12</v>
      </c>
      <c r="H237" s="2004" t="s">
        <v>10586</v>
      </c>
      <c r="I237" s="2004" t="s">
        <v>10587</v>
      </c>
      <c r="J237" s="2004" t="s">
        <v>9230</v>
      </c>
      <c r="K237" s="2004"/>
      <c r="L237" s="2004"/>
      <c r="M237" s="2004"/>
      <c r="N237" s="2004" t="s">
        <v>10282</v>
      </c>
      <c r="O237" s="2004" t="s">
        <v>734</v>
      </c>
      <c r="P237" s="2004" t="s">
        <v>10588</v>
      </c>
      <c r="Q237" s="516">
        <v>0</v>
      </c>
      <c r="R237" s="2004" t="s">
        <v>9240</v>
      </c>
      <c r="S237" s="2004" t="s">
        <v>4140</v>
      </c>
      <c r="T237" s="2004">
        <v>77</v>
      </c>
      <c r="U237" s="2004">
        <v>78</v>
      </c>
      <c r="V237" s="2004">
        <v>78</v>
      </c>
      <c r="W237" s="2004">
        <v>79</v>
      </c>
      <c r="X237" s="2004">
        <v>80</v>
      </c>
      <c r="Y237" s="2004"/>
      <c r="Z237" s="2004"/>
      <c r="AA237" s="2004"/>
      <c r="AB237" s="2004"/>
      <c r="AC237" s="2004"/>
      <c r="AD237" s="2004"/>
      <c r="AE237" s="2004"/>
      <c r="AF237" s="2004"/>
      <c r="AG237" s="2004"/>
      <c r="AH237" s="2004">
        <v>0</v>
      </c>
      <c r="AI237" s="2004"/>
      <c r="AJ237" s="2004"/>
      <c r="AK237" s="2004"/>
      <c r="AL237" s="2004"/>
      <c r="AM237" s="2004"/>
      <c r="AN237" s="2004"/>
      <c r="AO237" s="2004"/>
      <c r="AP237" s="2004"/>
      <c r="AQ237" s="2004"/>
      <c r="AR237" s="2004"/>
      <c r="AS237" s="2004"/>
      <c r="AT237" s="2004"/>
      <c r="AU237" s="2004"/>
      <c r="AV237" s="2004"/>
      <c r="AW237" s="2004"/>
      <c r="AX237" s="2004"/>
      <c r="AY237" s="2004"/>
      <c r="AZ237" s="2004"/>
      <c r="BA237" s="2004"/>
      <c r="BB237" s="2004"/>
      <c r="BC237" s="2004"/>
      <c r="BD237" s="2004"/>
      <c r="BE237" s="2004"/>
      <c r="BF237" s="2004"/>
      <c r="BG237" s="2004"/>
      <c r="BH237" s="2004"/>
      <c r="BI237" s="2004"/>
      <c r="BJ237" s="2004"/>
      <c r="BK237" s="2004"/>
      <c r="BL237" s="2004"/>
      <c r="BM237" s="2004"/>
      <c r="BN237" s="2004"/>
      <c r="BO237" s="2004"/>
      <c r="BP237" s="516" t="s">
        <v>4140</v>
      </c>
      <c r="BQ237" s="689">
        <v>77</v>
      </c>
      <c r="BR237" s="2004" t="s">
        <v>9204</v>
      </c>
      <c r="BS237" s="2004" t="s">
        <v>9204</v>
      </c>
      <c r="BT237" s="2004">
        <v>0</v>
      </c>
      <c r="BU237" s="2004" t="s">
        <v>9204</v>
      </c>
      <c r="BV237" s="2004">
        <v>0</v>
      </c>
      <c r="BW237" s="2004">
        <v>79</v>
      </c>
      <c r="BX237" s="2004" t="s">
        <v>2337</v>
      </c>
      <c r="BY237" s="2004">
        <v>0</v>
      </c>
      <c r="BZ237" s="2004">
        <v>0</v>
      </c>
      <c r="CA237" s="2004">
        <v>0</v>
      </c>
      <c r="CB237" s="2004">
        <v>0</v>
      </c>
      <c r="CC237" s="2004">
        <v>82</v>
      </c>
      <c r="CD237" s="2004" t="s">
        <v>2337</v>
      </c>
      <c r="CE237" s="2004">
        <v>0</v>
      </c>
      <c r="CF237" s="2004">
        <v>0</v>
      </c>
      <c r="CG237" s="2004">
        <v>0</v>
      </c>
      <c r="CH237" s="2004">
        <v>0</v>
      </c>
      <c r="CI237" s="2004">
        <v>83</v>
      </c>
      <c r="CJ237" s="2004" t="s">
        <v>2337</v>
      </c>
      <c r="CK237" s="2004">
        <v>0</v>
      </c>
      <c r="CL237" s="2004">
        <v>0</v>
      </c>
      <c r="CM237" s="2004">
        <v>0</v>
      </c>
      <c r="CN237" s="2004">
        <v>0</v>
      </c>
      <c r="CP237" s="2004" t="s">
        <v>10589</v>
      </c>
    </row>
    <row r="238" spans="1:94">
      <c r="A238" s="2004" t="s">
        <v>9070</v>
      </c>
      <c r="B238" s="2004" t="s">
        <v>10590</v>
      </c>
      <c r="C238" s="2004" t="s">
        <v>9047</v>
      </c>
      <c r="D238" s="2004" t="s">
        <v>1629</v>
      </c>
      <c r="E238" s="2004" t="s">
        <v>9410</v>
      </c>
      <c r="F238" s="2004" t="s">
        <v>10591</v>
      </c>
      <c r="G238" s="2004">
        <v>13</v>
      </c>
      <c r="H238" s="2004" t="s">
        <v>10592</v>
      </c>
      <c r="I238" s="2004" t="s">
        <v>10593</v>
      </c>
      <c r="J238" s="2004" t="s">
        <v>9210</v>
      </c>
      <c r="K238" s="2004" t="s">
        <v>9545</v>
      </c>
      <c r="L238" s="2004"/>
      <c r="M238" s="2004" t="s">
        <v>2334</v>
      </c>
      <c r="N238" s="2004" t="s">
        <v>9364</v>
      </c>
      <c r="O238" s="2004" t="s">
        <v>9487</v>
      </c>
      <c r="P238" s="2004" t="s">
        <v>10594</v>
      </c>
      <c r="Q238" s="516" t="s">
        <v>9203</v>
      </c>
      <c r="R238" s="2004"/>
      <c r="S238" s="2004" t="s">
        <v>4140</v>
      </c>
      <c r="T238" s="2004"/>
      <c r="U238" s="2004"/>
      <c r="V238" s="2004"/>
      <c r="W238" s="2004" t="s">
        <v>9689</v>
      </c>
      <c r="X238" s="2004" t="s">
        <v>9979</v>
      </c>
      <c r="Y238" s="2004"/>
      <c r="Z238" s="2004"/>
      <c r="AA238" s="2004"/>
      <c r="AB238" s="2004"/>
      <c r="AC238" s="2004"/>
      <c r="AD238" s="2004" t="s">
        <v>2337</v>
      </c>
      <c r="AE238" s="2004"/>
      <c r="AF238" s="2004" t="s">
        <v>2337</v>
      </c>
      <c r="AG238" s="2004"/>
      <c r="AH238" s="2004">
        <v>0</v>
      </c>
      <c r="AI238" s="2004"/>
      <c r="AJ238" s="2004"/>
      <c r="AK238" s="2004"/>
      <c r="AL238" s="2004"/>
      <c r="AM238" s="2004" t="s">
        <v>2337</v>
      </c>
      <c r="AN238" s="2004"/>
      <c r="AO238" s="2004"/>
      <c r="AP238" s="2004"/>
      <c r="AQ238" s="2004"/>
      <c r="AR238" s="2004" t="s">
        <v>10595</v>
      </c>
      <c r="AS238" s="2004"/>
      <c r="AT238" s="2004"/>
      <c r="AU238" s="2004"/>
      <c r="AV238" s="2004"/>
      <c r="AW238" s="2004" t="s">
        <v>10595</v>
      </c>
      <c r="AX238" s="2004"/>
      <c r="AY238" s="2004"/>
      <c r="AZ238" s="2004"/>
      <c r="BA238" s="2004"/>
      <c r="BB238" s="2004"/>
      <c r="BC238" s="2004"/>
      <c r="BD238" s="2004"/>
      <c r="BE238" s="2004"/>
      <c r="BF238" s="2004"/>
      <c r="BG238" s="2004"/>
      <c r="BH238" s="2004">
        <v>31.207999999999998</v>
      </c>
      <c r="BI238" s="2004">
        <v>0.95</v>
      </c>
      <c r="BJ238" s="2004"/>
      <c r="BK238" s="2004"/>
      <c r="BL238" s="2004"/>
      <c r="BM238" s="2004"/>
      <c r="BN238" s="2004">
        <v>1</v>
      </c>
      <c r="BO238" s="2004" t="s">
        <v>9203</v>
      </c>
      <c r="BP238" s="516" t="s">
        <v>4140</v>
      </c>
      <c r="BQ238" s="688" t="s">
        <v>4140</v>
      </c>
      <c r="BR238" s="2004" t="s">
        <v>9204</v>
      </c>
      <c r="BS238" s="2004" t="s">
        <v>9204</v>
      </c>
      <c r="BT238" s="2004">
        <v>0</v>
      </c>
      <c r="BU238" s="2004" t="s">
        <v>9204</v>
      </c>
      <c r="BV238" s="2004">
        <v>0</v>
      </c>
      <c r="BW238" s="2004" t="s">
        <v>4140</v>
      </c>
      <c r="BX238" s="2004" t="s">
        <v>2335</v>
      </c>
      <c r="BY238" s="2004">
        <v>0</v>
      </c>
      <c r="BZ238" s="2004">
        <v>0</v>
      </c>
      <c r="CA238" s="2004">
        <v>0</v>
      </c>
      <c r="CB238" s="2004">
        <v>0</v>
      </c>
      <c r="CC238" s="2004" t="s">
        <v>4140</v>
      </c>
      <c r="CD238" s="2004" t="s">
        <v>2335</v>
      </c>
      <c r="CE238" s="2004">
        <v>0</v>
      </c>
      <c r="CF238" s="2004">
        <v>0</v>
      </c>
      <c r="CG238" s="2004">
        <v>0</v>
      </c>
      <c r="CH238" s="2004">
        <v>0</v>
      </c>
      <c r="CI238" s="2004" t="s">
        <v>4140</v>
      </c>
      <c r="CJ238" s="2004" t="s">
        <v>2335</v>
      </c>
      <c r="CK238" s="2004">
        <v>0</v>
      </c>
      <c r="CL238" s="2004">
        <v>0</v>
      </c>
      <c r="CM238" s="2004">
        <v>0</v>
      </c>
      <c r="CN238" s="2004">
        <v>0</v>
      </c>
      <c r="CP238" s="2004" t="s">
        <v>10596</v>
      </c>
    </row>
    <row r="239" spans="1:94">
      <c r="A239" s="2004" t="s">
        <v>9070</v>
      </c>
      <c r="B239" s="2004" t="s">
        <v>10597</v>
      </c>
      <c r="C239" s="2004" t="s">
        <v>9047</v>
      </c>
      <c r="D239" s="2004" t="s">
        <v>1629</v>
      </c>
      <c r="E239" s="2004" t="s">
        <v>9410</v>
      </c>
      <c r="F239" s="2004" t="s">
        <v>10591</v>
      </c>
      <c r="G239" s="2004">
        <v>14</v>
      </c>
      <c r="H239" s="2004" t="s">
        <v>10598</v>
      </c>
      <c r="I239" s="2004" t="s">
        <v>10599</v>
      </c>
      <c r="J239" s="2004" t="s">
        <v>9210</v>
      </c>
      <c r="K239" s="2004" t="s">
        <v>9545</v>
      </c>
      <c r="L239" s="2004"/>
      <c r="M239" s="2004" t="s">
        <v>2334</v>
      </c>
      <c r="N239" s="2004" t="s">
        <v>9364</v>
      </c>
      <c r="O239" s="2004" t="s">
        <v>9487</v>
      </c>
      <c r="P239" s="2004" t="s">
        <v>10594</v>
      </c>
      <c r="Q239" s="516" t="s">
        <v>9203</v>
      </c>
      <c r="R239" s="2004"/>
      <c r="S239" s="2004" t="s">
        <v>4140</v>
      </c>
      <c r="T239" s="2004"/>
      <c r="U239" s="2004"/>
      <c r="V239" s="2004"/>
      <c r="W239" s="2004" t="s">
        <v>9689</v>
      </c>
      <c r="X239" s="2004" t="s">
        <v>9979</v>
      </c>
      <c r="Y239" s="2004"/>
      <c r="Z239" s="2004"/>
      <c r="AA239" s="2004"/>
      <c r="AB239" s="2004"/>
      <c r="AC239" s="2004"/>
      <c r="AD239" s="2004" t="s">
        <v>2337</v>
      </c>
      <c r="AE239" s="2004"/>
      <c r="AF239" s="2004" t="s">
        <v>2337</v>
      </c>
      <c r="AG239" s="2004"/>
      <c r="AH239" s="2004">
        <v>0</v>
      </c>
      <c r="AI239" s="2004"/>
      <c r="AJ239" s="2004"/>
      <c r="AK239" s="2004"/>
      <c r="AL239" s="2004"/>
      <c r="AM239" s="2004" t="s">
        <v>2337</v>
      </c>
      <c r="AN239" s="2004"/>
      <c r="AO239" s="2004"/>
      <c r="AP239" s="2004"/>
      <c r="AQ239" s="2004"/>
      <c r="AR239" s="2004" t="s">
        <v>10595</v>
      </c>
      <c r="AS239" s="2004"/>
      <c r="AT239" s="2004"/>
      <c r="AU239" s="2004"/>
      <c r="AV239" s="2004"/>
      <c r="AW239" s="2004" t="s">
        <v>10595</v>
      </c>
      <c r="AX239" s="2004"/>
      <c r="AY239" s="2004"/>
      <c r="AZ239" s="2004"/>
      <c r="BA239" s="2004"/>
      <c r="BB239" s="2004"/>
      <c r="BC239" s="2004"/>
      <c r="BD239" s="2004"/>
      <c r="BE239" s="2004"/>
      <c r="BF239" s="2004"/>
      <c r="BG239" s="2004"/>
      <c r="BH239" s="2004">
        <v>21.696000000000002</v>
      </c>
      <c r="BI239" s="2004">
        <v>0.9</v>
      </c>
      <c r="BJ239" s="2004"/>
      <c r="BK239" s="2004"/>
      <c r="BL239" s="2004"/>
      <c r="BM239" s="2004"/>
      <c r="BN239" s="2004">
        <v>1</v>
      </c>
      <c r="BO239" s="2004" t="s">
        <v>9203</v>
      </c>
      <c r="BP239" s="516" t="s">
        <v>4140</v>
      </c>
      <c r="BQ239" s="688" t="s">
        <v>4140</v>
      </c>
      <c r="BR239" s="2004" t="s">
        <v>9204</v>
      </c>
      <c r="BS239" s="2004" t="s">
        <v>9204</v>
      </c>
      <c r="BT239" s="2004">
        <v>0</v>
      </c>
      <c r="BU239" s="2004" t="s">
        <v>9204</v>
      </c>
      <c r="BV239" s="2004">
        <v>0</v>
      </c>
      <c r="BW239" s="2004" t="s">
        <v>4140</v>
      </c>
      <c r="BX239" s="2004" t="s">
        <v>2335</v>
      </c>
      <c r="BY239" s="2004">
        <v>0</v>
      </c>
      <c r="BZ239" s="2004">
        <v>0</v>
      </c>
      <c r="CA239" s="2004">
        <v>0</v>
      </c>
      <c r="CB239" s="2004">
        <v>0</v>
      </c>
      <c r="CC239" s="2004" t="s">
        <v>4140</v>
      </c>
      <c r="CD239" s="2004" t="s">
        <v>2335</v>
      </c>
      <c r="CE239" s="2004">
        <v>0</v>
      </c>
      <c r="CF239" s="2004">
        <v>0</v>
      </c>
      <c r="CG239" s="2004">
        <v>0</v>
      </c>
      <c r="CH239" s="2004">
        <v>0</v>
      </c>
      <c r="CI239" s="2004" t="s">
        <v>4140</v>
      </c>
      <c r="CJ239" s="2004" t="s">
        <v>2335</v>
      </c>
      <c r="CK239" s="2004">
        <v>0</v>
      </c>
      <c r="CL239" s="2004">
        <v>0</v>
      </c>
      <c r="CM239" s="2004">
        <v>0</v>
      </c>
      <c r="CN239" s="2004">
        <v>0</v>
      </c>
      <c r="CP239" s="2004" t="s">
        <v>10600</v>
      </c>
    </row>
    <row r="240" spans="1:94">
      <c r="A240" s="2004" t="s">
        <v>9070</v>
      </c>
      <c r="B240" s="2004" t="s">
        <v>10601</v>
      </c>
      <c r="C240" s="2004" t="s">
        <v>9047</v>
      </c>
      <c r="D240" s="2004" t="s">
        <v>1629</v>
      </c>
      <c r="E240" s="2004" t="s">
        <v>9410</v>
      </c>
      <c r="F240" s="2004" t="s">
        <v>10591</v>
      </c>
      <c r="G240" s="2004">
        <v>15</v>
      </c>
      <c r="H240" s="2004" t="s">
        <v>10602</v>
      </c>
      <c r="I240" s="2004" t="s">
        <v>10603</v>
      </c>
      <c r="J240" s="2004" t="s">
        <v>9210</v>
      </c>
      <c r="K240" s="2004" t="s">
        <v>9545</v>
      </c>
      <c r="L240" s="2004"/>
      <c r="M240" s="2004"/>
      <c r="N240" s="2004" t="s">
        <v>911</v>
      </c>
      <c r="O240" s="2004" t="s">
        <v>766</v>
      </c>
      <c r="P240" s="2004" t="s">
        <v>10604</v>
      </c>
      <c r="Q240" s="516">
        <v>0</v>
      </c>
      <c r="R240" s="2004" t="s">
        <v>9240</v>
      </c>
      <c r="S240" s="2004" t="s">
        <v>4140</v>
      </c>
      <c r="T240" s="2004"/>
      <c r="U240" s="2004"/>
      <c r="V240" s="2004"/>
      <c r="W240" s="2004"/>
      <c r="X240" s="2004">
        <v>6000</v>
      </c>
      <c r="Y240" s="2004"/>
      <c r="Z240" s="2004"/>
      <c r="AA240" s="2004"/>
      <c r="AB240" s="2004"/>
      <c r="AC240" s="2004"/>
      <c r="AD240" s="2004" t="s">
        <v>2337</v>
      </c>
      <c r="AE240" s="2004"/>
      <c r="AF240" s="2004"/>
      <c r="AG240" s="2004"/>
      <c r="AH240" s="2004">
        <v>0</v>
      </c>
      <c r="AI240" s="2004"/>
      <c r="AJ240" s="2004"/>
      <c r="AK240" s="2004"/>
      <c r="AL240" s="2004"/>
      <c r="AM240" s="2004" t="s">
        <v>2337</v>
      </c>
      <c r="AN240" s="2004"/>
      <c r="AO240" s="2004"/>
      <c r="AP240" s="2004"/>
      <c r="AQ240" s="2004"/>
      <c r="AR240" s="2004">
        <v>0</v>
      </c>
      <c r="AS240" s="2004"/>
      <c r="AT240" s="2004"/>
      <c r="AU240" s="2004"/>
      <c r="AV240" s="2004"/>
      <c r="AW240" s="2004">
        <v>6000</v>
      </c>
      <c r="AX240" s="2004"/>
      <c r="AY240" s="2004"/>
      <c r="AZ240" s="2004"/>
      <c r="BA240" s="2004"/>
      <c r="BB240" s="2004"/>
      <c r="BC240" s="2004"/>
      <c r="BD240" s="2004"/>
      <c r="BE240" s="2004"/>
      <c r="BF240" s="2004"/>
      <c r="BG240" s="2004"/>
      <c r="BH240" s="2004">
        <v>1.8890000000000001E-3</v>
      </c>
      <c r="BI240" s="2004"/>
      <c r="BJ240" s="2004"/>
      <c r="BK240" s="2004"/>
      <c r="BL240" s="2004"/>
      <c r="BM240" s="2004"/>
      <c r="BN240" s="2004">
        <v>1</v>
      </c>
      <c r="BO240" s="2004" t="s">
        <v>9203</v>
      </c>
      <c r="BP240" s="516" t="s">
        <v>4140</v>
      </c>
      <c r="BQ240" s="689" t="s">
        <v>4140</v>
      </c>
      <c r="BR240" s="2004" t="s">
        <v>9204</v>
      </c>
      <c r="BS240" s="2004" t="s">
        <v>9204</v>
      </c>
      <c r="BT240" s="2004">
        <v>0</v>
      </c>
      <c r="BU240" s="2004" t="s">
        <v>9204</v>
      </c>
      <c r="BV240" s="2004">
        <v>0</v>
      </c>
      <c r="BW240" s="2004" t="s">
        <v>4140</v>
      </c>
      <c r="BX240" s="2004" t="s">
        <v>2335</v>
      </c>
      <c r="BY240" s="2004">
        <v>0</v>
      </c>
      <c r="BZ240" s="2004">
        <v>0</v>
      </c>
      <c r="CA240" s="2004">
        <v>0</v>
      </c>
      <c r="CB240" s="2004">
        <v>0</v>
      </c>
      <c r="CC240" s="2004" t="s">
        <v>4140</v>
      </c>
      <c r="CD240" s="2004" t="s">
        <v>2335</v>
      </c>
      <c r="CE240" s="2004">
        <v>0</v>
      </c>
      <c r="CF240" s="2004">
        <v>0</v>
      </c>
      <c r="CG240" s="2004">
        <v>0</v>
      </c>
      <c r="CH240" s="2004">
        <v>0</v>
      </c>
      <c r="CI240" s="2004" t="s">
        <v>4140</v>
      </c>
      <c r="CJ240" s="2004" t="s">
        <v>2335</v>
      </c>
      <c r="CK240" s="2004">
        <v>0</v>
      </c>
      <c r="CL240" s="2004">
        <v>0</v>
      </c>
      <c r="CM240" s="2004">
        <v>0</v>
      </c>
      <c r="CN240" s="2004">
        <v>0</v>
      </c>
      <c r="CP240" s="2004" t="s">
        <v>10605</v>
      </c>
    </row>
    <row r="241" spans="1:94">
      <c r="A241" s="2004" t="s">
        <v>9070</v>
      </c>
      <c r="B241" s="2004" t="s">
        <v>10606</v>
      </c>
      <c r="C241" s="2004" t="s">
        <v>9047</v>
      </c>
      <c r="D241" s="2004" t="s">
        <v>9275</v>
      </c>
      <c r="E241" s="2004" t="s">
        <v>9276</v>
      </c>
      <c r="F241" s="2004" t="s">
        <v>10607</v>
      </c>
      <c r="G241" s="2004">
        <v>1</v>
      </c>
      <c r="H241" s="2004" t="s">
        <v>10608</v>
      </c>
      <c r="I241" s="2004" t="s">
        <v>10609</v>
      </c>
      <c r="J241" s="2004" t="s">
        <v>9230</v>
      </c>
      <c r="K241" s="2004"/>
      <c r="L241" s="2004"/>
      <c r="M241" s="2004"/>
      <c r="N241" s="2004" t="s">
        <v>9386</v>
      </c>
      <c r="O241" s="2004" t="s">
        <v>734</v>
      </c>
      <c r="P241" s="2004" t="s">
        <v>10610</v>
      </c>
      <c r="Q241" s="516">
        <v>0</v>
      </c>
      <c r="R241" s="2004" t="s">
        <v>9240</v>
      </c>
      <c r="S241" s="2004">
        <v>80</v>
      </c>
      <c r="T241" s="2004" t="s">
        <v>10611</v>
      </c>
      <c r="U241" s="2004" t="s">
        <v>10611</v>
      </c>
      <c r="V241" s="2004" t="s">
        <v>10611</v>
      </c>
      <c r="W241" s="2004" t="s">
        <v>10611</v>
      </c>
      <c r="X241" s="2004" t="s">
        <v>10611</v>
      </c>
      <c r="Y241" s="2004"/>
      <c r="Z241" s="2004"/>
      <c r="AA241" s="2004"/>
      <c r="AB241" s="2004"/>
      <c r="AC241" s="2004"/>
      <c r="AD241" s="2004"/>
      <c r="AE241" s="2004"/>
      <c r="AF241" s="2004"/>
      <c r="AG241" s="2004"/>
      <c r="AH241" s="2004">
        <v>0</v>
      </c>
      <c r="AI241" s="2004"/>
      <c r="AJ241" s="2004"/>
      <c r="AK241" s="2004"/>
      <c r="AL241" s="2004"/>
      <c r="AM241" s="2004"/>
      <c r="AN241" s="2004"/>
      <c r="AO241" s="2004"/>
      <c r="AP241" s="2004"/>
      <c r="AQ241" s="2004"/>
      <c r="AR241" s="2004"/>
      <c r="AS241" s="2004"/>
      <c r="AT241" s="2004"/>
      <c r="AU241" s="2004"/>
      <c r="AV241" s="2004"/>
      <c r="AW241" s="2004"/>
      <c r="AX241" s="2004"/>
      <c r="AY241" s="2004"/>
      <c r="AZ241" s="2004"/>
      <c r="BA241" s="2004"/>
      <c r="BB241" s="2004"/>
      <c r="BC241" s="2004"/>
      <c r="BD241" s="2004"/>
      <c r="BE241" s="2004"/>
      <c r="BF241" s="2004"/>
      <c r="BG241" s="2004"/>
      <c r="BH241" s="2004"/>
      <c r="BI241" s="2004"/>
      <c r="BJ241" s="2004"/>
      <c r="BK241" s="2004"/>
      <c r="BL241" s="2004"/>
      <c r="BM241" s="2004"/>
      <c r="BN241" s="2004"/>
      <c r="BO241" s="2004"/>
      <c r="BP241" s="516" t="s">
        <v>4140</v>
      </c>
      <c r="BQ241" s="688">
        <v>67</v>
      </c>
      <c r="BR241" s="2004" t="s">
        <v>2334</v>
      </c>
      <c r="BS241" s="2004" t="s">
        <v>9204</v>
      </c>
      <c r="BT241" s="2004">
        <v>0</v>
      </c>
      <c r="BU241" s="2004" t="s">
        <v>9204</v>
      </c>
      <c r="BV241" s="2004">
        <v>0</v>
      </c>
      <c r="BW241" s="2004">
        <v>67</v>
      </c>
      <c r="BX241" s="2004" t="s">
        <v>2334</v>
      </c>
      <c r="BY241" s="2004">
        <v>0</v>
      </c>
      <c r="BZ241" s="2004">
        <v>0</v>
      </c>
      <c r="CA241" s="2004">
        <v>0</v>
      </c>
      <c r="CB241" s="2004">
        <v>0</v>
      </c>
      <c r="CC241" s="2004">
        <v>67</v>
      </c>
      <c r="CD241" s="2004" t="s">
        <v>2334</v>
      </c>
      <c r="CE241" s="2004">
        <v>0</v>
      </c>
      <c r="CF241" s="2004">
        <v>0</v>
      </c>
      <c r="CG241" s="2004">
        <v>0</v>
      </c>
      <c r="CH241" s="2004">
        <v>0</v>
      </c>
      <c r="CI241" s="2004">
        <v>65</v>
      </c>
      <c r="CJ241" s="2004" t="s">
        <v>2334</v>
      </c>
      <c r="CK241" s="2004">
        <v>0</v>
      </c>
      <c r="CL241" s="2004">
        <v>0</v>
      </c>
      <c r="CM241" s="2004">
        <v>0</v>
      </c>
      <c r="CN241" s="2004">
        <v>0</v>
      </c>
      <c r="CP241" s="2004" t="s">
        <v>10612</v>
      </c>
    </row>
    <row r="242" spans="1:94">
      <c r="A242" s="2004" t="s">
        <v>9070</v>
      </c>
      <c r="B242" s="2004" t="s">
        <v>10613</v>
      </c>
      <c r="C242" s="2004" t="s">
        <v>9047</v>
      </c>
      <c r="D242" s="2004" t="s">
        <v>9275</v>
      </c>
      <c r="E242" s="2004" t="s">
        <v>9276</v>
      </c>
      <c r="F242" s="2004" t="s">
        <v>10607</v>
      </c>
      <c r="G242" s="2004">
        <v>2</v>
      </c>
      <c r="H242" s="2004" t="s">
        <v>10614</v>
      </c>
      <c r="I242" s="2004" t="s">
        <v>10615</v>
      </c>
      <c r="J242" s="2004" t="s">
        <v>9230</v>
      </c>
      <c r="K242" s="2004"/>
      <c r="L242" s="2004"/>
      <c r="M242" s="2004"/>
      <c r="N242" s="2004" t="s">
        <v>9386</v>
      </c>
      <c r="O242" s="2004" t="s">
        <v>734</v>
      </c>
      <c r="P242" s="2004" t="s">
        <v>10616</v>
      </c>
      <c r="Q242" s="516">
        <v>0</v>
      </c>
      <c r="R242" s="2004" t="s">
        <v>9240</v>
      </c>
      <c r="S242" s="2004" t="s">
        <v>4140</v>
      </c>
      <c r="T242" s="2004">
        <v>66</v>
      </c>
      <c r="U242" s="2004" t="s">
        <v>10611</v>
      </c>
      <c r="V242" s="2004" t="s">
        <v>10611</v>
      </c>
      <c r="W242" s="2004" t="s">
        <v>10611</v>
      </c>
      <c r="X242" s="2004" t="s">
        <v>10611</v>
      </c>
      <c r="Y242" s="2004"/>
      <c r="Z242" s="2004"/>
      <c r="AA242" s="2004"/>
      <c r="AB242" s="2004"/>
      <c r="AC242" s="2004"/>
      <c r="AD242" s="2004"/>
      <c r="AE242" s="2004"/>
      <c r="AF242" s="2004"/>
      <c r="AG242" s="2004"/>
      <c r="AH242" s="2004">
        <v>0</v>
      </c>
      <c r="AI242" s="2004"/>
      <c r="AJ242" s="2004"/>
      <c r="AK242" s="2004"/>
      <c r="AL242" s="2004"/>
      <c r="AM242" s="2004"/>
      <c r="AN242" s="2004"/>
      <c r="AO242" s="2004"/>
      <c r="AP242" s="2004"/>
      <c r="AQ242" s="2004"/>
      <c r="AR242" s="2004"/>
      <c r="AS242" s="2004"/>
      <c r="AT242" s="2004"/>
      <c r="AU242" s="2004"/>
      <c r="AV242" s="2004"/>
      <c r="AW242" s="2004"/>
      <c r="AX242" s="2004"/>
      <c r="AY242" s="2004"/>
      <c r="AZ242" s="2004"/>
      <c r="BA242" s="2004"/>
      <c r="BB242" s="2004"/>
      <c r="BC242" s="2004"/>
      <c r="BD242" s="2004"/>
      <c r="BE242" s="2004"/>
      <c r="BF242" s="2004"/>
      <c r="BG242" s="2004"/>
      <c r="BH242" s="2004"/>
      <c r="BI242" s="2004"/>
      <c r="BJ242" s="2004"/>
      <c r="BK242" s="2004"/>
      <c r="BL242" s="2004"/>
      <c r="BM242" s="2004"/>
      <c r="BN242" s="2004"/>
      <c r="BO242" s="2004"/>
      <c r="BP242" s="516" t="s">
        <v>4140</v>
      </c>
      <c r="BQ242" s="688">
        <v>66</v>
      </c>
      <c r="BR242" s="2004" t="s">
        <v>9204</v>
      </c>
      <c r="BS242" s="2004" t="s">
        <v>9204</v>
      </c>
      <c r="BT242" s="2004">
        <v>0</v>
      </c>
      <c r="BU242" s="2004" t="s">
        <v>9204</v>
      </c>
      <c r="BV242" s="2004">
        <v>0</v>
      </c>
      <c r="BW242" s="2004">
        <v>66.2</v>
      </c>
      <c r="BX242" s="2004" t="s">
        <v>2337</v>
      </c>
      <c r="BY242" s="2004">
        <v>0</v>
      </c>
      <c r="BZ242" s="2004">
        <v>0</v>
      </c>
      <c r="CA242" s="2004">
        <v>0</v>
      </c>
      <c r="CB242" s="2004">
        <v>0</v>
      </c>
      <c r="CC242" s="2004">
        <v>64</v>
      </c>
      <c r="CD242" s="2004" t="s">
        <v>2334</v>
      </c>
      <c r="CE242" s="2004">
        <v>0</v>
      </c>
      <c r="CF242" s="2004">
        <v>0</v>
      </c>
      <c r="CG242" s="2004">
        <v>0</v>
      </c>
      <c r="CH242" s="2004">
        <v>0</v>
      </c>
      <c r="CI242" s="2004">
        <v>64</v>
      </c>
      <c r="CJ242" s="2004" t="s">
        <v>2334</v>
      </c>
      <c r="CK242" s="2004">
        <v>0</v>
      </c>
      <c r="CL242" s="2004">
        <v>0</v>
      </c>
      <c r="CM242" s="2004">
        <v>0</v>
      </c>
      <c r="CN242" s="2004">
        <v>0</v>
      </c>
      <c r="CP242" s="2004" t="s">
        <v>10617</v>
      </c>
    </row>
    <row r="243" spans="1:94">
      <c r="A243" s="2004" t="s">
        <v>9070</v>
      </c>
      <c r="B243" s="2004" t="s">
        <v>10618</v>
      </c>
      <c r="C243" s="2004" t="s">
        <v>9047</v>
      </c>
      <c r="D243" s="2004" t="s">
        <v>9275</v>
      </c>
      <c r="E243" s="2004" t="s">
        <v>9276</v>
      </c>
      <c r="F243" s="2004" t="s">
        <v>10521</v>
      </c>
      <c r="G243" s="2004">
        <v>3</v>
      </c>
      <c r="H243" s="2004" t="s">
        <v>10619</v>
      </c>
      <c r="I243" s="2004" t="s">
        <v>10620</v>
      </c>
      <c r="J243" s="2004" t="s">
        <v>9230</v>
      </c>
      <c r="K243" s="2004"/>
      <c r="L243" s="2004"/>
      <c r="M243" s="2004"/>
      <c r="N243" s="2004" t="s">
        <v>10282</v>
      </c>
      <c r="O243" s="2004" t="s">
        <v>734</v>
      </c>
      <c r="P243" s="2004" t="s">
        <v>10621</v>
      </c>
      <c r="Q243" s="516">
        <v>0</v>
      </c>
      <c r="R243" s="2004" t="s">
        <v>9240</v>
      </c>
      <c r="S243" s="2004" t="s">
        <v>4140</v>
      </c>
      <c r="T243" s="2004">
        <v>57</v>
      </c>
      <c r="U243" s="2004" t="s">
        <v>10611</v>
      </c>
      <c r="V243" s="2004" t="s">
        <v>10611</v>
      </c>
      <c r="W243" s="2004" t="s">
        <v>10611</v>
      </c>
      <c r="X243" s="2004" t="s">
        <v>10611</v>
      </c>
      <c r="Y243" s="2004"/>
      <c r="Z243" s="2004"/>
      <c r="AA243" s="2004"/>
      <c r="AB243" s="2004"/>
      <c r="AC243" s="2004"/>
      <c r="AD243" s="2004"/>
      <c r="AE243" s="2004"/>
      <c r="AF243" s="2004"/>
      <c r="AG243" s="2004"/>
      <c r="AH243" s="2004">
        <v>0</v>
      </c>
      <c r="AI243" s="2004"/>
      <c r="AJ243" s="2004"/>
      <c r="AK243" s="2004"/>
      <c r="AL243" s="2004"/>
      <c r="AM243" s="2004"/>
      <c r="AN243" s="2004"/>
      <c r="AO243" s="2004"/>
      <c r="AP243" s="2004"/>
      <c r="AQ243" s="2004"/>
      <c r="AR243" s="2004"/>
      <c r="AS243" s="2004"/>
      <c r="AT243" s="2004"/>
      <c r="AU243" s="2004"/>
      <c r="AV243" s="2004"/>
      <c r="AW243" s="2004"/>
      <c r="AX243" s="2004"/>
      <c r="AY243" s="2004"/>
      <c r="AZ243" s="2004"/>
      <c r="BA243" s="2004"/>
      <c r="BB243" s="2004"/>
      <c r="BC243" s="2004"/>
      <c r="BD243" s="2004"/>
      <c r="BE243" s="2004"/>
      <c r="BF243" s="2004"/>
      <c r="BG243" s="2004"/>
      <c r="BH243" s="2004"/>
      <c r="BI243" s="2004"/>
      <c r="BJ243" s="2004"/>
      <c r="BK243" s="2004"/>
      <c r="BL243" s="2004"/>
      <c r="BM243" s="2004"/>
      <c r="BN243" s="2004"/>
      <c r="BO243" s="2004"/>
      <c r="BP243" s="516" t="s">
        <v>4140</v>
      </c>
      <c r="BQ243" s="688">
        <v>57</v>
      </c>
      <c r="BR243" s="2004" t="s">
        <v>9204</v>
      </c>
      <c r="BS243" s="2004" t="s">
        <v>9204</v>
      </c>
      <c r="BT243" s="2004">
        <v>0</v>
      </c>
      <c r="BU243" s="2004" t="s">
        <v>9204</v>
      </c>
      <c r="BV243" s="2004">
        <v>0</v>
      </c>
      <c r="BW243" s="2004">
        <v>55.7</v>
      </c>
      <c r="BX243" s="2004" t="s">
        <v>2334</v>
      </c>
      <c r="BY243" s="2004">
        <v>0</v>
      </c>
      <c r="BZ243" s="2004">
        <v>0</v>
      </c>
      <c r="CA243" s="2004">
        <v>0</v>
      </c>
      <c r="CB243" s="2004">
        <v>0</v>
      </c>
      <c r="CC243" s="2004">
        <v>55</v>
      </c>
      <c r="CD243" s="2004" t="s">
        <v>2334</v>
      </c>
      <c r="CE243" s="2004">
        <v>0</v>
      </c>
      <c r="CF243" s="2004">
        <v>0</v>
      </c>
      <c r="CG243" s="2004">
        <v>0</v>
      </c>
      <c r="CH243" s="2004">
        <v>0</v>
      </c>
      <c r="CI243" s="2004">
        <v>55</v>
      </c>
      <c r="CJ243" s="2004" t="s">
        <v>2334</v>
      </c>
      <c r="CK243" s="2004">
        <v>0</v>
      </c>
      <c r="CL243" s="2004">
        <v>0</v>
      </c>
      <c r="CM243" s="2004">
        <v>0</v>
      </c>
      <c r="CN243" s="2004">
        <v>0</v>
      </c>
      <c r="CP243" s="2004" t="s">
        <v>10622</v>
      </c>
    </row>
    <row r="244" spans="1:94">
      <c r="A244" s="2004" t="s">
        <v>9070</v>
      </c>
      <c r="B244" s="2004" t="s">
        <v>10623</v>
      </c>
      <c r="C244" s="2004" t="s">
        <v>9047</v>
      </c>
      <c r="D244" s="2004" t="s">
        <v>9275</v>
      </c>
      <c r="E244" s="2004" t="s">
        <v>9276</v>
      </c>
      <c r="F244" s="2004" t="s">
        <v>10521</v>
      </c>
      <c r="G244" s="2004">
        <v>4</v>
      </c>
      <c r="H244" s="2004" t="s">
        <v>10624</v>
      </c>
      <c r="I244" s="2004" t="s">
        <v>10625</v>
      </c>
      <c r="J244" s="2004" t="s">
        <v>9230</v>
      </c>
      <c r="K244" s="2004"/>
      <c r="L244" s="2004"/>
      <c r="M244" s="2004"/>
      <c r="N244" s="2004" t="s">
        <v>10282</v>
      </c>
      <c r="O244" s="2004" t="s">
        <v>734</v>
      </c>
      <c r="P244" s="2004" t="s">
        <v>10626</v>
      </c>
      <c r="Q244" s="516">
        <v>0</v>
      </c>
      <c r="R244" s="2004" t="s">
        <v>9240</v>
      </c>
      <c r="S244" s="2004" t="s">
        <v>4140</v>
      </c>
      <c r="T244" s="2004">
        <v>60</v>
      </c>
      <c r="U244" s="2004" t="s">
        <v>10611</v>
      </c>
      <c r="V244" s="2004" t="s">
        <v>10611</v>
      </c>
      <c r="W244" s="2004" t="s">
        <v>10611</v>
      </c>
      <c r="X244" s="2004" t="s">
        <v>10611</v>
      </c>
      <c r="Y244" s="2004"/>
      <c r="Z244" s="2004"/>
      <c r="AA244" s="2004"/>
      <c r="AB244" s="2004"/>
      <c r="AC244" s="2004"/>
      <c r="AD244" s="2004"/>
      <c r="AE244" s="2004"/>
      <c r="AF244" s="2004"/>
      <c r="AG244" s="2004"/>
      <c r="AH244" s="2004">
        <v>0</v>
      </c>
      <c r="AI244" s="2004"/>
      <c r="AJ244" s="2004"/>
      <c r="AK244" s="2004"/>
      <c r="AL244" s="2004"/>
      <c r="AM244" s="2004"/>
      <c r="AN244" s="2004"/>
      <c r="AO244" s="2004"/>
      <c r="AP244" s="2004"/>
      <c r="AQ244" s="2004"/>
      <c r="AR244" s="2004"/>
      <c r="AS244" s="2004"/>
      <c r="AT244" s="2004"/>
      <c r="AU244" s="2004"/>
      <c r="AV244" s="2004"/>
      <c r="AW244" s="2004"/>
      <c r="AX244" s="2004"/>
      <c r="AY244" s="2004"/>
      <c r="AZ244" s="2004"/>
      <c r="BA244" s="2004"/>
      <c r="BB244" s="2004"/>
      <c r="BC244" s="2004"/>
      <c r="BD244" s="2004"/>
      <c r="BE244" s="2004"/>
      <c r="BF244" s="2004"/>
      <c r="BG244" s="2004"/>
      <c r="BH244" s="2004"/>
      <c r="BI244" s="2004"/>
      <c r="BJ244" s="2004"/>
      <c r="BK244" s="2004"/>
      <c r="BL244" s="2004"/>
      <c r="BM244" s="2004"/>
      <c r="BN244" s="2004"/>
      <c r="BO244" s="2004"/>
      <c r="BP244" s="516" t="s">
        <v>4140</v>
      </c>
      <c r="BQ244" s="688">
        <v>60</v>
      </c>
      <c r="BR244" s="2004" t="s">
        <v>9204</v>
      </c>
      <c r="BS244" s="2004" t="s">
        <v>9204</v>
      </c>
      <c r="BT244" s="2004">
        <v>0</v>
      </c>
      <c r="BU244" s="2004" t="s">
        <v>9204</v>
      </c>
      <c r="BV244" s="2004">
        <v>0</v>
      </c>
      <c r="BW244" s="2004">
        <v>56.5</v>
      </c>
      <c r="BX244" s="2004" t="s">
        <v>2334</v>
      </c>
      <c r="BY244" s="2004">
        <v>0</v>
      </c>
      <c r="BZ244" s="2004">
        <v>0</v>
      </c>
      <c r="CA244" s="2004">
        <v>0</v>
      </c>
      <c r="CB244" s="2004">
        <v>0</v>
      </c>
      <c r="CC244" s="2004">
        <v>55.6</v>
      </c>
      <c r="CD244" s="2004" t="s">
        <v>2334</v>
      </c>
      <c r="CE244" s="2004">
        <v>0</v>
      </c>
      <c r="CF244" s="2004">
        <v>0</v>
      </c>
      <c r="CG244" s="2004">
        <v>0</v>
      </c>
      <c r="CH244" s="2004">
        <v>0</v>
      </c>
      <c r="CI244" s="2004">
        <v>59</v>
      </c>
      <c r="CJ244" s="2004" t="s">
        <v>2337</v>
      </c>
      <c r="CK244" s="2004">
        <v>0</v>
      </c>
      <c r="CL244" s="2004">
        <v>0</v>
      </c>
      <c r="CM244" s="2004">
        <v>0</v>
      </c>
      <c r="CN244" s="2004">
        <v>0</v>
      </c>
      <c r="CP244" s="2004" t="s">
        <v>10627</v>
      </c>
    </row>
    <row r="245" spans="1:94">
      <c r="A245" s="2004" t="s">
        <v>9070</v>
      </c>
      <c r="B245" s="2004" t="s">
        <v>10628</v>
      </c>
      <c r="C245" s="2004" t="s">
        <v>9047</v>
      </c>
      <c r="D245" s="2004" t="s">
        <v>9275</v>
      </c>
      <c r="E245" s="2004" t="s">
        <v>9276</v>
      </c>
      <c r="F245" s="2004" t="s">
        <v>10521</v>
      </c>
      <c r="G245" s="2004">
        <v>5</v>
      </c>
      <c r="H245" s="2004" t="s">
        <v>10629</v>
      </c>
      <c r="I245" s="2004" t="s">
        <v>10630</v>
      </c>
      <c r="J245" s="2004" t="s">
        <v>9230</v>
      </c>
      <c r="K245" s="2004"/>
      <c r="L245" s="2004"/>
      <c r="M245" s="2004"/>
      <c r="N245" s="2004" t="s">
        <v>9290</v>
      </c>
      <c r="O245" s="2004" t="s">
        <v>766</v>
      </c>
      <c r="P245" s="2004" t="s">
        <v>10631</v>
      </c>
      <c r="Q245" s="516">
        <v>0</v>
      </c>
      <c r="R245" s="2004" t="s">
        <v>9202</v>
      </c>
      <c r="S245" s="2004">
        <v>49000</v>
      </c>
      <c r="T245" s="2004" t="s">
        <v>10632</v>
      </c>
      <c r="U245" s="2004" t="s">
        <v>10632</v>
      </c>
      <c r="V245" s="2004" t="s">
        <v>10632</v>
      </c>
      <c r="W245" s="2004" t="s">
        <v>10632</v>
      </c>
      <c r="X245" s="2004">
        <v>25000</v>
      </c>
      <c r="Y245" s="2004"/>
      <c r="Z245" s="2004"/>
      <c r="AA245" s="2004"/>
      <c r="AB245" s="2004"/>
      <c r="AC245" s="2004"/>
      <c r="AD245" s="2004"/>
      <c r="AE245" s="2004"/>
      <c r="AF245" s="2004"/>
      <c r="AG245" s="2004"/>
      <c r="AH245" s="2004">
        <v>0</v>
      </c>
      <c r="AI245" s="2004"/>
      <c r="AJ245" s="2004"/>
      <c r="AK245" s="2004"/>
      <c r="AL245" s="2004"/>
      <c r="AM245" s="2004"/>
      <c r="AN245" s="2004"/>
      <c r="AO245" s="2004"/>
      <c r="AP245" s="2004"/>
      <c r="AQ245" s="2004"/>
      <c r="AR245" s="2004"/>
      <c r="AS245" s="2004"/>
      <c r="AT245" s="2004"/>
      <c r="AU245" s="2004"/>
      <c r="AV245" s="2004"/>
      <c r="AW245" s="2004"/>
      <c r="AX245" s="2004"/>
      <c r="AY245" s="2004"/>
      <c r="AZ245" s="2004"/>
      <c r="BA245" s="2004"/>
      <c r="BB245" s="2004"/>
      <c r="BC245" s="2004"/>
      <c r="BD245" s="2004"/>
      <c r="BE245" s="2004"/>
      <c r="BF245" s="2004"/>
      <c r="BG245" s="2004"/>
      <c r="BH245" s="2004"/>
      <c r="BI245" s="2004"/>
      <c r="BJ245" s="2004"/>
      <c r="BK245" s="2004"/>
      <c r="BL245" s="2004"/>
      <c r="BM245" s="2004"/>
      <c r="BN245" s="2004"/>
      <c r="BO245" s="2004"/>
      <c r="BP245" s="516">
        <v>29326</v>
      </c>
      <c r="BQ245" s="689">
        <v>62726</v>
      </c>
      <c r="BR245" s="2004" t="s">
        <v>2334</v>
      </c>
      <c r="BS245" s="2004" t="s">
        <v>9204</v>
      </c>
      <c r="BT245" s="2004">
        <v>0</v>
      </c>
      <c r="BU245" s="2004" t="s">
        <v>9204</v>
      </c>
      <c r="BV245" s="2004">
        <v>0</v>
      </c>
      <c r="BW245" s="2004">
        <v>145962</v>
      </c>
      <c r="BX245" s="2004" t="s">
        <v>2334</v>
      </c>
      <c r="BY245" s="2004">
        <v>0</v>
      </c>
      <c r="BZ245" s="2004">
        <v>0</v>
      </c>
      <c r="CA245" s="2004">
        <v>0</v>
      </c>
      <c r="CB245" s="2004">
        <v>0</v>
      </c>
      <c r="CC245" s="2004">
        <v>181361</v>
      </c>
      <c r="CD245" s="2004" t="s">
        <v>2334</v>
      </c>
      <c r="CE245" s="2004">
        <v>0</v>
      </c>
      <c r="CF245" s="2004">
        <v>0</v>
      </c>
      <c r="CG245" s="2004">
        <v>0</v>
      </c>
      <c r="CH245" s="2004">
        <v>0</v>
      </c>
      <c r="CI245" s="2004">
        <v>131726</v>
      </c>
      <c r="CJ245" s="2004" t="s">
        <v>2334</v>
      </c>
      <c r="CK245" s="2004">
        <v>0</v>
      </c>
      <c r="CL245" s="2004">
        <v>0</v>
      </c>
      <c r="CM245" s="2004">
        <v>0</v>
      </c>
      <c r="CN245" s="2004">
        <v>0</v>
      </c>
      <c r="CP245" s="2004" t="s">
        <v>10633</v>
      </c>
    </row>
    <row r="246" spans="1:94">
      <c r="A246" s="2004" t="s">
        <v>9070</v>
      </c>
      <c r="B246" s="2004" t="s">
        <v>10634</v>
      </c>
      <c r="C246" s="2004" t="s">
        <v>9047</v>
      </c>
      <c r="D246" s="2004" t="s">
        <v>9275</v>
      </c>
      <c r="E246" s="2004" t="s">
        <v>9276</v>
      </c>
      <c r="F246" s="2004" t="s">
        <v>9631</v>
      </c>
      <c r="G246" s="2004">
        <v>6</v>
      </c>
      <c r="H246" s="2004" t="s">
        <v>10635</v>
      </c>
      <c r="I246" s="2004" t="s">
        <v>10636</v>
      </c>
      <c r="J246" s="2004" t="s">
        <v>9230</v>
      </c>
      <c r="K246" s="2004"/>
      <c r="L246" s="2004"/>
      <c r="M246" s="2004"/>
      <c r="N246" s="2004" t="s">
        <v>9290</v>
      </c>
      <c r="O246" s="2004" t="s">
        <v>766</v>
      </c>
      <c r="P246" s="2004" t="s">
        <v>10637</v>
      </c>
      <c r="Q246" s="516">
        <v>0</v>
      </c>
      <c r="R246" s="2004" t="s">
        <v>9240</v>
      </c>
      <c r="S246" s="2004">
        <v>105100</v>
      </c>
      <c r="T246" s="2004">
        <v>129500</v>
      </c>
      <c r="U246" s="2004">
        <v>149900</v>
      </c>
      <c r="V246" s="2004">
        <v>172300</v>
      </c>
      <c r="W246" s="2004">
        <v>194700</v>
      </c>
      <c r="X246" s="2004">
        <v>217100</v>
      </c>
      <c r="Y246" s="2004"/>
      <c r="Z246" s="2004"/>
      <c r="AA246" s="2004"/>
      <c r="AB246" s="2004"/>
      <c r="AC246" s="2004"/>
      <c r="AD246" s="2004"/>
      <c r="AE246" s="2004"/>
      <c r="AF246" s="2004"/>
      <c r="AG246" s="2004"/>
      <c r="AH246" s="2004">
        <v>0</v>
      </c>
      <c r="AI246" s="2004"/>
      <c r="AJ246" s="2004"/>
      <c r="AK246" s="2004"/>
      <c r="AL246" s="2004"/>
      <c r="AM246" s="2004"/>
      <c r="AN246" s="2004"/>
      <c r="AO246" s="2004"/>
      <c r="AP246" s="2004"/>
      <c r="AQ246" s="2004"/>
      <c r="AR246" s="2004"/>
      <c r="AS246" s="2004"/>
      <c r="AT246" s="2004"/>
      <c r="AU246" s="2004"/>
      <c r="AV246" s="2004"/>
      <c r="AW246" s="2004"/>
      <c r="AX246" s="2004"/>
      <c r="AY246" s="2004"/>
      <c r="AZ246" s="2004"/>
      <c r="BA246" s="2004"/>
      <c r="BB246" s="2004"/>
      <c r="BC246" s="2004"/>
      <c r="BD246" s="2004"/>
      <c r="BE246" s="2004"/>
      <c r="BF246" s="2004"/>
      <c r="BG246" s="2004"/>
      <c r="BH246" s="2004"/>
      <c r="BI246" s="2004"/>
      <c r="BJ246" s="2004"/>
      <c r="BK246" s="2004"/>
      <c r="BL246" s="2004"/>
      <c r="BM246" s="2004"/>
      <c r="BN246" s="2004"/>
      <c r="BO246" s="2004"/>
      <c r="BP246" s="516">
        <v>113210</v>
      </c>
      <c r="BQ246" s="689">
        <v>142040</v>
      </c>
      <c r="BR246" s="2004" t="s">
        <v>2337</v>
      </c>
      <c r="BS246" s="2004" t="s">
        <v>9204</v>
      </c>
      <c r="BT246" s="2004">
        <v>0</v>
      </c>
      <c r="BU246" s="2004" t="s">
        <v>9204</v>
      </c>
      <c r="BV246" s="2004">
        <v>0</v>
      </c>
      <c r="BW246" s="2004">
        <v>194726</v>
      </c>
      <c r="BX246" s="2004" t="s">
        <v>2337</v>
      </c>
      <c r="BY246" s="2004">
        <v>0</v>
      </c>
      <c r="BZ246" s="2004">
        <v>0</v>
      </c>
      <c r="CA246" s="2004">
        <v>0</v>
      </c>
      <c r="CB246" s="2004">
        <v>0</v>
      </c>
      <c r="CC246" s="2004">
        <v>229843</v>
      </c>
      <c r="CD246" s="2004" t="s">
        <v>2337</v>
      </c>
      <c r="CE246" s="2004">
        <v>0</v>
      </c>
      <c r="CF246" s="2004">
        <v>0</v>
      </c>
      <c r="CG246" s="2004">
        <v>0</v>
      </c>
      <c r="CH246" s="2004">
        <v>0</v>
      </c>
      <c r="CI246" s="2004">
        <v>269926</v>
      </c>
      <c r="CJ246" s="2004" t="s">
        <v>2337</v>
      </c>
      <c r="CK246" s="2004">
        <v>0</v>
      </c>
      <c r="CL246" s="2004">
        <v>0</v>
      </c>
      <c r="CM246" s="2004">
        <v>0</v>
      </c>
      <c r="CN246" s="2004">
        <v>0</v>
      </c>
      <c r="CP246" s="2004" t="s">
        <v>10638</v>
      </c>
    </row>
    <row r="247" spans="1:94">
      <c r="A247" s="2004" t="s">
        <v>9070</v>
      </c>
      <c r="B247" s="2004" t="s">
        <v>10639</v>
      </c>
      <c r="C247" s="2004" t="s">
        <v>9047</v>
      </c>
      <c r="D247" s="2004" t="s">
        <v>9275</v>
      </c>
      <c r="E247" s="2004" t="s">
        <v>9276</v>
      </c>
      <c r="F247" s="2004" t="s">
        <v>9631</v>
      </c>
      <c r="G247" s="2004">
        <v>7</v>
      </c>
      <c r="H247" s="2004" t="s">
        <v>10640</v>
      </c>
      <c r="I247" s="2004" t="s">
        <v>10641</v>
      </c>
      <c r="J247" s="2004" t="s">
        <v>9230</v>
      </c>
      <c r="K247" s="2004"/>
      <c r="L247" s="2004"/>
      <c r="M247" s="2004"/>
      <c r="N247" s="2004" t="s">
        <v>9290</v>
      </c>
      <c r="O247" s="2004" t="s">
        <v>734</v>
      </c>
      <c r="P247" s="2004" t="s">
        <v>10642</v>
      </c>
      <c r="Q247" s="516">
        <v>0</v>
      </c>
      <c r="R247" s="2004" t="s">
        <v>9240</v>
      </c>
      <c r="S247" s="2004" t="s">
        <v>4140</v>
      </c>
      <c r="T247" s="2004">
        <v>61</v>
      </c>
      <c r="U247" s="2004" t="s">
        <v>10611</v>
      </c>
      <c r="V247" s="2004" t="s">
        <v>10611</v>
      </c>
      <c r="W247" s="2004" t="s">
        <v>10611</v>
      </c>
      <c r="X247" s="2004" t="s">
        <v>10611</v>
      </c>
      <c r="Y247" s="2004"/>
      <c r="Z247" s="2004"/>
      <c r="AA247" s="2004"/>
      <c r="AB247" s="2004"/>
      <c r="AC247" s="2004"/>
      <c r="AD247" s="2004"/>
      <c r="AE247" s="2004"/>
      <c r="AF247" s="2004"/>
      <c r="AG247" s="2004"/>
      <c r="AH247" s="2004">
        <v>0</v>
      </c>
      <c r="AI247" s="2004"/>
      <c r="AJ247" s="2004"/>
      <c r="AK247" s="2004"/>
      <c r="AL247" s="2004"/>
      <c r="AM247" s="2004"/>
      <c r="AN247" s="2004"/>
      <c r="AO247" s="2004"/>
      <c r="AP247" s="2004"/>
      <c r="AQ247" s="2004"/>
      <c r="AR247" s="2004"/>
      <c r="AS247" s="2004"/>
      <c r="AT247" s="2004"/>
      <c r="AU247" s="2004"/>
      <c r="AV247" s="2004"/>
      <c r="AW247" s="2004"/>
      <c r="AX247" s="2004"/>
      <c r="AY247" s="2004"/>
      <c r="AZ247" s="2004"/>
      <c r="BA247" s="2004"/>
      <c r="BB247" s="2004"/>
      <c r="BC247" s="2004"/>
      <c r="BD247" s="2004"/>
      <c r="BE247" s="2004"/>
      <c r="BF247" s="2004"/>
      <c r="BG247" s="2004"/>
      <c r="BH247" s="2004"/>
      <c r="BI247" s="2004"/>
      <c r="BJ247" s="2004"/>
      <c r="BK247" s="2004"/>
      <c r="BL247" s="2004"/>
      <c r="BM247" s="2004"/>
      <c r="BN247" s="2004"/>
      <c r="BO247" s="2004"/>
      <c r="BP247" s="516" t="s">
        <v>4140</v>
      </c>
      <c r="BQ247" s="688">
        <v>61</v>
      </c>
      <c r="BR247" s="2004" t="s">
        <v>9204</v>
      </c>
      <c r="BS247" s="2004" t="s">
        <v>9204</v>
      </c>
      <c r="BT247" s="2004">
        <v>0</v>
      </c>
      <c r="BU247" s="2004" t="s">
        <v>9204</v>
      </c>
      <c r="BV247" s="2004">
        <v>0</v>
      </c>
      <c r="BW247" s="2004">
        <v>57.3</v>
      </c>
      <c r="BX247" s="2004" t="s">
        <v>2334</v>
      </c>
      <c r="BY247" s="2004">
        <v>0</v>
      </c>
      <c r="BZ247" s="2004">
        <v>0</v>
      </c>
      <c r="CA247" s="2004">
        <v>0</v>
      </c>
      <c r="CB247" s="2004">
        <v>0</v>
      </c>
      <c r="CC247" s="2004">
        <v>55.1</v>
      </c>
      <c r="CD247" s="2004" t="s">
        <v>2334</v>
      </c>
      <c r="CE247" s="2004">
        <v>0</v>
      </c>
      <c r="CF247" s="2004">
        <v>0</v>
      </c>
      <c r="CG247" s="2004">
        <v>0</v>
      </c>
      <c r="CH247" s="2004">
        <v>0</v>
      </c>
      <c r="CI247" s="2004">
        <v>60</v>
      </c>
      <c r="CJ247" s="2004" t="s">
        <v>2337</v>
      </c>
      <c r="CK247" s="2004">
        <v>0</v>
      </c>
      <c r="CL247" s="2004">
        <v>0</v>
      </c>
      <c r="CM247" s="2004">
        <v>0</v>
      </c>
      <c r="CN247" s="2004">
        <v>0</v>
      </c>
      <c r="CP247" s="2004" t="s">
        <v>10643</v>
      </c>
    </row>
    <row r="248" spans="1:94">
      <c r="A248" s="2004" t="s">
        <v>9070</v>
      </c>
      <c r="B248" s="2004" t="s">
        <v>10644</v>
      </c>
      <c r="C248" s="2004" t="s">
        <v>9047</v>
      </c>
      <c r="D248" s="2004" t="s">
        <v>9275</v>
      </c>
      <c r="E248" s="2004" t="s">
        <v>9276</v>
      </c>
      <c r="F248" s="2004" t="s">
        <v>9631</v>
      </c>
      <c r="G248" s="2004">
        <v>8</v>
      </c>
      <c r="H248" s="2004" t="s">
        <v>10645</v>
      </c>
      <c r="I248" s="2004" t="s">
        <v>10646</v>
      </c>
      <c r="J248" s="2004" t="s">
        <v>9199</v>
      </c>
      <c r="K248" s="2004" t="s">
        <v>9200</v>
      </c>
      <c r="L248" s="2004"/>
      <c r="M248" s="2004" t="s">
        <v>2334</v>
      </c>
      <c r="N248" s="2004" t="s">
        <v>9281</v>
      </c>
      <c r="O248" s="2004" t="s">
        <v>9282</v>
      </c>
      <c r="P248" s="2004" t="s">
        <v>9283</v>
      </c>
      <c r="Q248" s="516">
        <v>0</v>
      </c>
      <c r="R248" s="2004" t="s">
        <v>9240</v>
      </c>
      <c r="S248" s="2004">
        <v>72</v>
      </c>
      <c r="T248" s="2004" t="s">
        <v>9284</v>
      </c>
      <c r="U248" s="2004" t="s">
        <v>9284</v>
      </c>
      <c r="V248" s="2004" t="s">
        <v>9284</v>
      </c>
      <c r="W248" s="2004" t="s">
        <v>9284</v>
      </c>
      <c r="X248" s="2004" t="s">
        <v>9284</v>
      </c>
      <c r="Y248" s="2004"/>
      <c r="Z248" s="2004"/>
      <c r="AA248" s="2004"/>
      <c r="AB248" s="2004"/>
      <c r="AC248" s="2004"/>
      <c r="AD248" s="2004"/>
      <c r="AE248" s="2004"/>
      <c r="AF248" s="2004"/>
      <c r="AG248" s="2004"/>
      <c r="AH248" s="2004">
        <v>0</v>
      </c>
      <c r="AI248" s="2004" t="s">
        <v>2337</v>
      </c>
      <c r="AJ248" s="2004" t="s">
        <v>2337</v>
      </c>
      <c r="AK248" s="2004" t="s">
        <v>2337</v>
      </c>
      <c r="AL248" s="2004" t="s">
        <v>2337</v>
      </c>
      <c r="AM248" s="2004" t="s">
        <v>2337</v>
      </c>
      <c r="AN248" s="2004" t="s">
        <v>9284</v>
      </c>
      <c r="AO248" s="2004" t="s">
        <v>9284</v>
      </c>
      <c r="AP248" s="2004" t="s">
        <v>9284</v>
      </c>
      <c r="AQ248" s="2004" t="s">
        <v>9284</v>
      </c>
      <c r="AR248" s="2004" t="s">
        <v>9284</v>
      </c>
      <c r="AS248" s="2004" t="s">
        <v>9284</v>
      </c>
      <c r="AT248" s="2004" t="s">
        <v>9284</v>
      </c>
      <c r="AU248" s="2004" t="s">
        <v>9284</v>
      </c>
      <c r="AV248" s="2004" t="s">
        <v>9284</v>
      </c>
      <c r="AW248" s="2004" t="s">
        <v>9284</v>
      </c>
      <c r="AX248" s="2004" t="s">
        <v>9284</v>
      </c>
      <c r="AY248" s="2004" t="s">
        <v>9284</v>
      </c>
      <c r="AZ248" s="2004" t="s">
        <v>9284</v>
      </c>
      <c r="BA248" s="2004" t="s">
        <v>9284</v>
      </c>
      <c r="BB248" s="2004" t="s">
        <v>9284</v>
      </c>
      <c r="BC248" s="2004" t="s">
        <v>9284</v>
      </c>
      <c r="BD248" s="2004" t="s">
        <v>9284</v>
      </c>
      <c r="BE248" s="2004" t="s">
        <v>9284</v>
      </c>
      <c r="BF248" s="2004" t="s">
        <v>9284</v>
      </c>
      <c r="BG248" s="2004" t="s">
        <v>9284</v>
      </c>
      <c r="BH248" s="2004" t="s">
        <v>9284</v>
      </c>
      <c r="BI248" s="2004"/>
      <c r="BJ248" s="2004"/>
      <c r="BK248" s="2004"/>
      <c r="BL248" s="2004" t="s">
        <v>9284</v>
      </c>
      <c r="BM248" s="2004"/>
      <c r="BN248" s="2004">
        <v>1</v>
      </c>
      <c r="BO248" s="2004" t="s">
        <v>9203</v>
      </c>
      <c r="BP248" s="516">
        <v>72</v>
      </c>
      <c r="BQ248" s="701">
        <v>73</v>
      </c>
      <c r="BR248" s="2004" t="s">
        <v>9204</v>
      </c>
      <c r="BS248" s="2004" t="s">
        <v>9204</v>
      </c>
      <c r="BT248" s="2004">
        <v>0</v>
      </c>
      <c r="BU248" s="2004" t="s">
        <v>9204</v>
      </c>
      <c r="BV248" s="2004">
        <v>0</v>
      </c>
      <c r="BW248" s="2004">
        <v>78.13</v>
      </c>
      <c r="BX248" s="2004" t="s">
        <v>2335</v>
      </c>
      <c r="BY248" s="2004">
        <v>0</v>
      </c>
      <c r="BZ248" s="2004">
        <v>0</v>
      </c>
      <c r="CA248" s="2004">
        <v>0</v>
      </c>
      <c r="CB248" s="2004">
        <v>0</v>
      </c>
      <c r="CC248" s="2004">
        <v>79.33</v>
      </c>
      <c r="CD248" s="2004" t="s">
        <v>2335</v>
      </c>
      <c r="CE248" s="2004">
        <v>0</v>
      </c>
      <c r="CF248" s="2004">
        <v>0</v>
      </c>
      <c r="CG248" s="2004">
        <v>0</v>
      </c>
      <c r="CH248" s="2004">
        <v>0</v>
      </c>
      <c r="CI248" s="2004">
        <v>80</v>
      </c>
      <c r="CJ248" s="2004" t="s">
        <v>2335</v>
      </c>
      <c r="CK248" s="2004">
        <v>0</v>
      </c>
      <c r="CL248" s="2004">
        <v>0</v>
      </c>
      <c r="CM248" s="2004">
        <v>0</v>
      </c>
      <c r="CN248" s="2004">
        <v>0</v>
      </c>
      <c r="CP248" s="2004" t="s">
        <v>10647</v>
      </c>
    </row>
    <row r="249" spans="1:94">
      <c r="A249" s="2004" t="s">
        <v>10648</v>
      </c>
      <c r="B249" s="2004" t="s">
        <v>10649</v>
      </c>
      <c r="C249" s="2004" t="s">
        <v>9085</v>
      </c>
      <c r="D249" s="2004" t="s">
        <v>1628</v>
      </c>
      <c r="E249" s="2004" t="s">
        <v>9194</v>
      </c>
      <c r="F249" s="2004" t="s">
        <v>10650</v>
      </c>
      <c r="G249" s="2004">
        <v>1.1000000000000001</v>
      </c>
      <c r="H249" s="2004" t="s">
        <v>10651</v>
      </c>
      <c r="I249" s="2004" t="s">
        <v>10652</v>
      </c>
      <c r="J249" s="2004" t="s">
        <v>9210</v>
      </c>
      <c r="K249" s="2004" t="s">
        <v>9200</v>
      </c>
      <c r="L249" s="2004"/>
      <c r="M249" s="2004"/>
      <c r="N249" s="2004" t="s">
        <v>9238</v>
      </c>
      <c r="O249" s="2004" t="s">
        <v>734</v>
      </c>
      <c r="P249" s="2004" t="s">
        <v>9239</v>
      </c>
      <c r="Q249" s="516">
        <v>3</v>
      </c>
      <c r="R249" s="2004" t="s">
        <v>9240</v>
      </c>
      <c r="S249" s="2004">
        <v>99.97</v>
      </c>
      <c r="T249" s="2004">
        <v>99.97</v>
      </c>
      <c r="U249" s="2004">
        <v>99.97</v>
      </c>
      <c r="V249" s="2004">
        <v>100</v>
      </c>
      <c r="W249" s="2004">
        <v>100</v>
      </c>
      <c r="X249" s="2004">
        <v>100</v>
      </c>
      <c r="Y249" s="2004" t="s">
        <v>2337</v>
      </c>
      <c r="Z249" s="2004"/>
      <c r="AA249" s="2004"/>
      <c r="AB249" s="2004"/>
      <c r="AC249" s="2004"/>
      <c r="AD249" s="2004"/>
      <c r="AE249" s="2004" t="s">
        <v>2337</v>
      </c>
      <c r="AF249" s="2004"/>
      <c r="AG249" s="2004"/>
      <c r="AH249" s="2004">
        <v>0</v>
      </c>
      <c r="AI249" s="2004" t="s">
        <v>2337</v>
      </c>
      <c r="AJ249" s="2004" t="s">
        <v>2337</v>
      </c>
      <c r="AK249" s="2004" t="s">
        <v>2337</v>
      </c>
      <c r="AL249" s="2004" t="s">
        <v>2337</v>
      </c>
      <c r="AM249" s="2004" t="s">
        <v>2337</v>
      </c>
      <c r="AN249" s="2004">
        <v>99.92</v>
      </c>
      <c r="AO249" s="2004">
        <v>99.92</v>
      </c>
      <c r="AP249" s="2004">
        <v>99.92</v>
      </c>
      <c r="AQ249" s="2004">
        <v>99.92</v>
      </c>
      <c r="AR249" s="2004">
        <v>99.92</v>
      </c>
      <c r="AS249" s="2004">
        <v>99.95</v>
      </c>
      <c r="AT249" s="2004">
        <v>99.95</v>
      </c>
      <c r="AU249" s="2004">
        <v>99.95</v>
      </c>
      <c r="AV249" s="2004">
        <v>99.95</v>
      </c>
      <c r="AW249" s="2004">
        <v>99.95</v>
      </c>
      <c r="AX249" s="2004"/>
      <c r="AY249" s="2004"/>
      <c r="AZ249" s="2004"/>
      <c r="BA249" s="2004"/>
      <c r="BB249" s="2004"/>
      <c r="BC249" s="2004"/>
      <c r="BD249" s="2004"/>
      <c r="BE249" s="2004"/>
      <c r="BF249" s="2004"/>
      <c r="BG249" s="2004"/>
      <c r="BH249" s="2004">
        <v>5.3999999999999999E-2</v>
      </c>
      <c r="BI249" s="2004"/>
      <c r="BJ249" s="2004"/>
      <c r="BK249" s="2004"/>
      <c r="BL249" s="2004"/>
      <c r="BM249" s="2004"/>
      <c r="BN249" s="2004">
        <v>100</v>
      </c>
      <c r="BO249" s="2004" t="s">
        <v>9574</v>
      </c>
      <c r="BP249" s="516">
        <v>99.984899999999996</v>
      </c>
      <c r="BQ249" s="700">
        <v>99.883799999999994</v>
      </c>
      <c r="BR249" s="2004" t="s">
        <v>2334</v>
      </c>
      <c r="BS249" s="2004" t="s">
        <v>9204</v>
      </c>
      <c r="BT249" s="2004">
        <v>0</v>
      </c>
      <c r="BU249" s="2004" t="s">
        <v>9254</v>
      </c>
      <c r="BV249" s="2004">
        <v>-0.162000000000006</v>
      </c>
      <c r="BW249" s="2004">
        <v>99.981700000000004</v>
      </c>
      <c r="BX249" s="2004" t="s">
        <v>2337</v>
      </c>
      <c r="BY249" s="2004">
        <v>0</v>
      </c>
      <c r="BZ249" s="2004">
        <v>0</v>
      </c>
      <c r="CA249" s="2004">
        <v>0</v>
      </c>
      <c r="CB249" s="2004">
        <v>0</v>
      </c>
      <c r="CC249" s="2004">
        <v>99.942899999999995</v>
      </c>
      <c r="CD249" s="2004" t="s">
        <v>2334</v>
      </c>
      <c r="CE249" s="2004">
        <v>0</v>
      </c>
      <c r="CF249" s="2004">
        <v>0</v>
      </c>
      <c r="CG249" s="2004" t="s">
        <v>2336</v>
      </c>
      <c r="CH249" s="2004">
        <v>-3.8340000000044935E-2</v>
      </c>
      <c r="CI249" s="2004">
        <v>99.915000000000006</v>
      </c>
      <c r="CJ249" s="2004" t="s">
        <v>2334</v>
      </c>
      <c r="CK249" s="2004">
        <v>0</v>
      </c>
      <c r="CL249" s="2004">
        <v>0</v>
      </c>
      <c r="CM249" s="2004" t="s">
        <v>2336</v>
      </c>
      <c r="CN249" s="2004">
        <v>-0.16200000000000001</v>
      </c>
      <c r="CP249" s="2004" t="s">
        <v>10653</v>
      </c>
    </row>
    <row r="250" spans="1:94">
      <c r="A250" s="2004" t="s">
        <v>10648</v>
      </c>
      <c r="B250" s="2004" t="s">
        <v>10654</v>
      </c>
      <c r="C250" s="2004" t="s">
        <v>9085</v>
      </c>
      <c r="D250" s="2004" t="s">
        <v>1628</v>
      </c>
      <c r="E250" s="2004" t="s">
        <v>9194</v>
      </c>
      <c r="F250" s="2004" t="s">
        <v>10650</v>
      </c>
      <c r="G250" s="2004">
        <v>1.2</v>
      </c>
      <c r="H250" s="2004" t="s">
        <v>10655</v>
      </c>
      <c r="I250" s="2004" t="s">
        <v>10656</v>
      </c>
      <c r="J250" s="2004" t="s">
        <v>9199</v>
      </c>
      <c r="K250" s="2004" t="s">
        <v>9200</v>
      </c>
      <c r="L250" s="2004"/>
      <c r="M250" s="2004"/>
      <c r="N250" s="2004" t="s">
        <v>9154</v>
      </c>
      <c r="O250" s="2004" t="s">
        <v>766</v>
      </c>
      <c r="P250" s="2004" t="s">
        <v>10657</v>
      </c>
      <c r="Q250" s="516">
        <v>2</v>
      </c>
      <c r="R250" s="2004" t="s">
        <v>9202</v>
      </c>
      <c r="S250" s="2004">
        <v>1.83</v>
      </c>
      <c r="T250" s="2004">
        <v>1.63</v>
      </c>
      <c r="U250" s="2004">
        <v>1.43</v>
      </c>
      <c r="V250" s="2004">
        <v>1.23</v>
      </c>
      <c r="W250" s="2004">
        <v>1.23</v>
      </c>
      <c r="X250" s="2004">
        <v>1.23</v>
      </c>
      <c r="Y250" s="2004"/>
      <c r="Z250" s="2004" t="s">
        <v>2337</v>
      </c>
      <c r="AA250" s="2004"/>
      <c r="AB250" s="2004"/>
      <c r="AC250" s="2004"/>
      <c r="AD250" s="2004"/>
      <c r="AE250" s="2004" t="s">
        <v>2337</v>
      </c>
      <c r="AF250" s="2004"/>
      <c r="AG250" s="2004"/>
      <c r="AH250" s="2004">
        <v>0</v>
      </c>
      <c r="AI250" s="2004" t="s">
        <v>2337</v>
      </c>
      <c r="AJ250" s="2004" t="s">
        <v>2337</v>
      </c>
      <c r="AK250" s="2004" t="s">
        <v>2337</v>
      </c>
      <c r="AL250" s="2004" t="s">
        <v>2337</v>
      </c>
      <c r="AM250" s="2004" t="s">
        <v>2337</v>
      </c>
      <c r="AN250" s="2004">
        <v>2.63</v>
      </c>
      <c r="AO250" s="2004">
        <v>2.63</v>
      </c>
      <c r="AP250" s="2004">
        <v>2.0299999999999998</v>
      </c>
      <c r="AQ250" s="2004">
        <v>2.0299999999999998</v>
      </c>
      <c r="AR250" s="2004">
        <v>2.0299999999999998</v>
      </c>
      <c r="AS250" s="2004">
        <v>1.83</v>
      </c>
      <c r="AT250" s="2004">
        <v>1.83</v>
      </c>
      <c r="AU250" s="2004">
        <v>1.23</v>
      </c>
      <c r="AV250" s="2004">
        <v>1.23</v>
      </c>
      <c r="AW250" s="2004">
        <v>1.23</v>
      </c>
      <c r="AX250" s="2004">
        <v>1.23</v>
      </c>
      <c r="AY250" s="2004">
        <v>1.23</v>
      </c>
      <c r="AZ250" s="2004">
        <v>1.23</v>
      </c>
      <c r="BA250" s="2004">
        <v>1.23</v>
      </c>
      <c r="BB250" s="2004">
        <v>1.23</v>
      </c>
      <c r="BC250" s="2004">
        <v>0.53</v>
      </c>
      <c r="BD250" s="2004">
        <v>0.53</v>
      </c>
      <c r="BE250" s="2004">
        <v>0.53</v>
      </c>
      <c r="BF250" s="2004">
        <v>0.53</v>
      </c>
      <c r="BG250" s="2004">
        <v>0.53</v>
      </c>
      <c r="BH250" s="2004">
        <v>0.159</v>
      </c>
      <c r="BI250" s="2004"/>
      <c r="BJ250" s="2004"/>
      <c r="BK250" s="2004"/>
      <c r="BL250" s="2004">
        <v>0.121</v>
      </c>
      <c r="BM250" s="2004"/>
      <c r="BN250" s="2004">
        <v>10</v>
      </c>
      <c r="BO250" s="2004" t="s">
        <v>10658</v>
      </c>
      <c r="BP250" s="516">
        <v>1.51</v>
      </c>
      <c r="BQ250" s="690">
        <v>1.9576</v>
      </c>
      <c r="BR250" s="2004" t="s">
        <v>2334</v>
      </c>
      <c r="BS250" s="2004" t="s">
        <v>9204</v>
      </c>
      <c r="BT250" s="2004">
        <v>0</v>
      </c>
      <c r="BU250" s="2004" t="s">
        <v>9254</v>
      </c>
      <c r="BV250" s="2004">
        <v>-0.20288400000000001</v>
      </c>
      <c r="BW250" s="2004">
        <v>1.6608000000000001</v>
      </c>
      <c r="BX250" s="2004" t="s">
        <v>2334</v>
      </c>
      <c r="BY250" s="2004">
        <v>0</v>
      </c>
      <c r="BZ250" s="2004">
        <v>0</v>
      </c>
      <c r="CA250" s="2004" t="s">
        <v>9120</v>
      </c>
      <c r="CB250" s="2004">
        <v>0</v>
      </c>
      <c r="CC250" s="2004">
        <v>1.4159999999999999</v>
      </c>
      <c r="CD250" s="2004" t="s">
        <v>2334</v>
      </c>
      <c r="CE250" s="2004">
        <v>0</v>
      </c>
      <c r="CF250" s="2004">
        <v>0</v>
      </c>
      <c r="CG250" s="2004" t="s">
        <v>2336</v>
      </c>
      <c r="CH250" s="2004">
        <v>-0.29573999999999989</v>
      </c>
      <c r="CI250" s="2004">
        <v>1.51</v>
      </c>
      <c r="CJ250" s="2004" t="s">
        <v>2334</v>
      </c>
      <c r="CK250" s="2004">
        <v>0</v>
      </c>
      <c r="CL250" s="2004">
        <v>0</v>
      </c>
      <c r="CM250" s="2004" t="s">
        <v>2336</v>
      </c>
      <c r="CN250" s="2004">
        <v>-0.44519999999999998</v>
      </c>
      <c r="CP250" s="2004" t="s">
        <v>10659</v>
      </c>
    </row>
    <row r="251" spans="1:94">
      <c r="A251" s="2004" t="s">
        <v>10648</v>
      </c>
      <c r="B251" s="2004" t="s">
        <v>10660</v>
      </c>
      <c r="C251" s="2004" t="s">
        <v>9085</v>
      </c>
      <c r="D251" s="2004" t="s">
        <v>1628</v>
      </c>
      <c r="E251" s="2004" t="s">
        <v>9194</v>
      </c>
      <c r="F251" s="2004" t="s">
        <v>10661</v>
      </c>
      <c r="G251" s="2004">
        <v>2.1</v>
      </c>
      <c r="H251" s="2004" t="s">
        <v>10662</v>
      </c>
      <c r="I251" s="2004" t="s">
        <v>10663</v>
      </c>
      <c r="J251" s="2004" t="s">
        <v>9199</v>
      </c>
      <c r="K251" s="2004" t="s">
        <v>9200</v>
      </c>
      <c r="L251" s="2004"/>
      <c r="M251" s="2004"/>
      <c r="N251" s="2004" t="s">
        <v>2951</v>
      </c>
      <c r="O251" s="2004" t="s">
        <v>9298</v>
      </c>
      <c r="P251" s="2004" t="s">
        <v>9299</v>
      </c>
      <c r="Q251" s="516">
        <v>1</v>
      </c>
      <c r="R251" s="2004" t="s">
        <v>9202</v>
      </c>
      <c r="S251" s="2004">
        <v>10</v>
      </c>
      <c r="T251" s="2004">
        <v>10</v>
      </c>
      <c r="U251" s="2004">
        <v>10</v>
      </c>
      <c r="V251" s="2004">
        <v>10</v>
      </c>
      <c r="W251" s="2004">
        <v>10</v>
      </c>
      <c r="X251" s="2004">
        <v>10</v>
      </c>
      <c r="Y251" s="2004"/>
      <c r="Z251" s="2004"/>
      <c r="AA251" s="2004" t="s">
        <v>2337</v>
      </c>
      <c r="AB251" s="2004"/>
      <c r="AC251" s="2004"/>
      <c r="AD251" s="2004"/>
      <c r="AE251" s="2004" t="s">
        <v>2337</v>
      </c>
      <c r="AF251" s="2004"/>
      <c r="AG251" s="2004"/>
      <c r="AH251" s="2004">
        <v>0</v>
      </c>
      <c r="AI251" s="2004" t="s">
        <v>2337</v>
      </c>
      <c r="AJ251" s="2004" t="s">
        <v>2337</v>
      </c>
      <c r="AK251" s="2004" t="s">
        <v>2337</v>
      </c>
      <c r="AL251" s="2004" t="s">
        <v>2337</v>
      </c>
      <c r="AM251" s="2004" t="s">
        <v>2337</v>
      </c>
      <c r="AN251" s="2004">
        <v>14</v>
      </c>
      <c r="AO251" s="2004">
        <v>14</v>
      </c>
      <c r="AP251" s="2004">
        <v>14</v>
      </c>
      <c r="AQ251" s="2004">
        <v>14</v>
      </c>
      <c r="AR251" s="2004">
        <v>14</v>
      </c>
      <c r="AS251" s="2004">
        <v>12</v>
      </c>
      <c r="AT251" s="2004">
        <v>12</v>
      </c>
      <c r="AU251" s="2004">
        <v>12</v>
      </c>
      <c r="AV251" s="2004">
        <v>12</v>
      </c>
      <c r="AW251" s="2004">
        <v>12</v>
      </c>
      <c r="AX251" s="2004">
        <v>9</v>
      </c>
      <c r="AY251" s="2004">
        <v>9</v>
      </c>
      <c r="AZ251" s="2004">
        <v>9</v>
      </c>
      <c r="BA251" s="2004">
        <v>9</v>
      </c>
      <c r="BB251" s="2004">
        <v>9</v>
      </c>
      <c r="BC251" s="2004">
        <v>7</v>
      </c>
      <c r="BD251" s="2004">
        <v>7</v>
      </c>
      <c r="BE251" s="2004">
        <v>7</v>
      </c>
      <c r="BF251" s="2004">
        <v>7</v>
      </c>
      <c r="BG251" s="2004">
        <v>7</v>
      </c>
      <c r="BH251" s="2004">
        <v>0.45300000000000001</v>
      </c>
      <c r="BI251" s="2004"/>
      <c r="BJ251" s="2004"/>
      <c r="BK251" s="2004"/>
      <c r="BL251" s="2004">
        <v>0.45300000000000001</v>
      </c>
      <c r="BM251" s="2004"/>
      <c r="BN251" s="2004">
        <v>1</v>
      </c>
      <c r="BO251" s="2004" t="s">
        <v>9203</v>
      </c>
      <c r="BP251" s="516">
        <v>8.3000000000000007</v>
      </c>
      <c r="BQ251" s="686">
        <v>4.2333333333333334</v>
      </c>
      <c r="BR251" s="2004" t="s">
        <v>2337</v>
      </c>
      <c r="BS251" s="2004" t="s">
        <v>9204</v>
      </c>
      <c r="BT251" s="2004">
        <v>0</v>
      </c>
      <c r="BU251" s="2004" t="s">
        <v>2339</v>
      </c>
      <c r="BV251" s="2004">
        <v>0.90600000000000003</v>
      </c>
      <c r="BW251" s="2004">
        <v>5.1802000000000001</v>
      </c>
      <c r="BX251" s="2004" t="s">
        <v>2337</v>
      </c>
      <c r="BY251" s="2004">
        <v>0</v>
      </c>
      <c r="BZ251" s="2004">
        <v>0</v>
      </c>
      <c r="CA251" s="2004" t="s">
        <v>2339</v>
      </c>
      <c r="CB251" s="2004">
        <v>0.90600000000000003</v>
      </c>
      <c r="CC251" s="2004">
        <v>8.5319000000000003</v>
      </c>
      <c r="CD251" s="2004" t="s">
        <v>2337</v>
      </c>
      <c r="CE251" s="2004">
        <v>0</v>
      </c>
      <c r="CF251" s="2004">
        <v>0</v>
      </c>
      <c r="CG251" s="2004" t="s">
        <v>2339</v>
      </c>
      <c r="CH251" s="2004">
        <v>0.21204929999999989</v>
      </c>
      <c r="CI251" s="2004">
        <v>7.15</v>
      </c>
      <c r="CJ251" s="2004" t="s">
        <v>2337</v>
      </c>
      <c r="CK251" s="2004">
        <v>0</v>
      </c>
      <c r="CL251" s="2004">
        <v>0</v>
      </c>
      <c r="CM251" s="2004" t="s">
        <v>2339</v>
      </c>
      <c r="CN251" s="2004">
        <v>0.83809999999999996</v>
      </c>
      <c r="CP251" s="2004" t="s">
        <v>10664</v>
      </c>
    </row>
    <row r="252" spans="1:94">
      <c r="A252" s="2004" t="s">
        <v>10648</v>
      </c>
      <c r="B252" s="2004" t="s">
        <v>10665</v>
      </c>
      <c r="C252" s="2004" t="s">
        <v>9085</v>
      </c>
      <c r="D252" s="2004" t="s">
        <v>1628</v>
      </c>
      <c r="E252" s="2004" t="s">
        <v>9194</v>
      </c>
      <c r="F252" s="2004" t="s">
        <v>10661</v>
      </c>
      <c r="G252" s="2004">
        <v>2.2000000000000002</v>
      </c>
      <c r="H252" s="2004" t="s">
        <v>10666</v>
      </c>
      <c r="I252" s="2004" t="s">
        <v>10667</v>
      </c>
      <c r="J252" s="2004" t="s">
        <v>9210</v>
      </c>
      <c r="K252" s="2004" t="s">
        <v>9200</v>
      </c>
      <c r="L252" s="2004"/>
      <c r="M252" s="2004" t="s">
        <v>2334</v>
      </c>
      <c r="N252" s="2004" t="s">
        <v>9260</v>
      </c>
      <c r="O252" s="2004" t="s">
        <v>9395</v>
      </c>
      <c r="P252" s="2004" t="s">
        <v>9546</v>
      </c>
      <c r="Q252" s="516" t="s">
        <v>9203</v>
      </c>
      <c r="R252" s="2004"/>
      <c r="S252" s="2004" t="s">
        <v>2338</v>
      </c>
      <c r="T252" s="2004" t="s">
        <v>2338</v>
      </c>
      <c r="U252" s="2004" t="s">
        <v>2338</v>
      </c>
      <c r="V252" s="2004" t="s">
        <v>2338</v>
      </c>
      <c r="W252" s="2004" t="s">
        <v>2338</v>
      </c>
      <c r="X252" s="2004" t="s">
        <v>2338</v>
      </c>
      <c r="Y252" s="2004"/>
      <c r="Z252" s="2004"/>
      <c r="AA252" s="2004"/>
      <c r="AB252" s="2004"/>
      <c r="AC252" s="2004"/>
      <c r="AD252" s="2004"/>
      <c r="AE252" s="2004" t="s">
        <v>2337</v>
      </c>
      <c r="AF252" s="2004"/>
      <c r="AG252" s="2004"/>
      <c r="AH252" s="2004">
        <v>5</v>
      </c>
      <c r="AI252" s="2004" t="s">
        <v>2337</v>
      </c>
      <c r="AJ252" s="2004" t="s">
        <v>2337</v>
      </c>
      <c r="AK252" s="2004" t="s">
        <v>2337</v>
      </c>
      <c r="AL252" s="2004" t="s">
        <v>2337</v>
      </c>
      <c r="AM252" s="2004" t="s">
        <v>2337</v>
      </c>
      <c r="AN252" s="2004" t="s">
        <v>9547</v>
      </c>
      <c r="AO252" s="2004" t="s">
        <v>9547</v>
      </c>
      <c r="AP252" s="2004" t="s">
        <v>9547</v>
      </c>
      <c r="AQ252" s="2004" t="s">
        <v>9547</v>
      </c>
      <c r="AR252" s="2004" t="s">
        <v>9547</v>
      </c>
      <c r="AS252" s="2004" t="s">
        <v>9548</v>
      </c>
      <c r="AT252" s="2004" t="s">
        <v>9548</v>
      </c>
      <c r="AU252" s="2004" t="s">
        <v>9548</v>
      </c>
      <c r="AV252" s="2004" t="s">
        <v>9548</v>
      </c>
      <c r="AW252" s="2004" t="s">
        <v>9548</v>
      </c>
      <c r="AX252" s="2004"/>
      <c r="AY252" s="2004"/>
      <c r="AZ252" s="2004"/>
      <c r="BA252" s="2004"/>
      <c r="BB252" s="2004"/>
      <c r="BC252" s="2004"/>
      <c r="BD252" s="2004"/>
      <c r="BE252" s="2004"/>
      <c r="BF252" s="2004"/>
      <c r="BG252" s="2004"/>
      <c r="BH252" s="2004">
        <v>7.5999999999999998E-2</v>
      </c>
      <c r="BI252" s="2004">
        <v>0.379</v>
      </c>
      <c r="BJ252" s="2004"/>
      <c r="BK252" s="2004"/>
      <c r="BL252" s="2004"/>
      <c r="BM252" s="2004"/>
      <c r="BN252" s="2004">
        <v>1</v>
      </c>
      <c r="BO252" s="2004" t="s">
        <v>9203</v>
      </c>
      <c r="BP252" s="516" t="s">
        <v>2338</v>
      </c>
      <c r="BQ252" s="688" t="s">
        <v>2338</v>
      </c>
      <c r="BR252" s="2004" t="s">
        <v>2337</v>
      </c>
      <c r="BS252" s="2004" t="s">
        <v>9204</v>
      </c>
      <c r="BT252" s="2004">
        <v>0</v>
      </c>
      <c r="BU252" s="2004" t="s">
        <v>9204</v>
      </c>
      <c r="BV252" s="2004">
        <v>0</v>
      </c>
      <c r="BW252" s="2004" t="s">
        <v>2338</v>
      </c>
      <c r="BX252" s="2004" t="s">
        <v>2337</v>
      </c>
      <c r="BY252" s="2004">
        <v>0</v>
      </c>
      <c r="BZ252" s="2004">
        <v>0</v>
      </c>
      <c r="CA252" s="2004">
        <v>0</v>
      </c>
      <c r="CB252" s="2004">
        <v>0</v>
      </c>
      <c r="CC252" s="2004" t="s">
        <v>2338</v>
      </c>
      <c r="CD252" s="2004" t="s">
        <v>2337</v>
      </c>
      <c r="CE252" s="2004">
        <v>0</v>
      </c>
      <c r="CF252" s="2004">
        <v>0</v>
      </c>
      <c r="CG252" s="2004">
        <v>0</v>
      </c>
      <c r="CH252" s="2004">
        <v>0</v>
      </c>
      <c r="CI252" s="2004" t="s">
        <v>2338</v>
      </c>
      <c r="CJ252" s="2004" t="s">
        <v>2337</v>
      </c>
      <c r="CK252" s="2004">
        <v>0</v>
      </c>
      <c r="CL252" s="2004">
        <v>0</v>
      </c>
      <c r="CM252" s="2004">
        <v>0</v>
      </c>
      <c r="CN252" s="2004">
        <v>0</v>
      </c>
      <c r="CP252" s="2004" t="s">
        <v>10668</v>
      </c>
    </row>
    <row r="253" spans="1:94">
      <c r="A253" s="2004" t="s">
        <v>10648</v>
      </c>
      <c r="B253" s="2004" t="s">
        <v>10669</v>
      </c>
      <c r="C253" s="2004" t="s">
        <v>9085</v>
      </c>
      <c r="D253" s="2004" t="s">
        <v>1628</v>
      </c>
      <c r="E253" s="2004" t="s">
        <v>9194</v>
      </c>
      <c r="F253" s="2004" t="s">
        <v>10661</v>
      </c>
      <c r="G253" s="2004">
        <v>2.2999999999999998</v>
      </c>
      <c r="H253" s="2004" t="s">
        <v>10670</v>
      </c>
      <c r="I253" s="2004" t="s">
        <v>10671</v>
      </c>
      <c r="J253" s="2004" t="s">
        <v>9210</v>
      </c>
      <c r="K253" s="2004" t="s">
        <v>9200</v>
      </c>
      <c r="L253" s="2004"/>
      <c r="M253" s="2004" t="s">
        <v>2334</v>
      </c>
      <c r="N253" s="2004" t="s">
        <v>9260</v>
      </c>
      <c r="O253" s="2004" t="s">
        <v>9395</v>
      </c>
      <c r="P253" s="2004" t="s">
        <v>9546</v>
      </c>
      <c r="Q253" s="516" t="s">
        <v>9203</v>
      </c>
      <c r="R253" s="2004"/>
      <c r="S253" s="2004" t="s">
        <v>2338</v>
      </c>
      <c r="T253" s="2004" t="s">
        <v>2338</v>
      </c>
      <c r="U253" s="2004" t="s">
        <v>2338</v>
      </c>
      <c r="V253" s="2004" t="s">
        <v>2338</v>
      </c>
      <c r="W253" s="2004" t="s">
        <v>2338</v>
      </c>
      <c r="X253" s="2004" t="s">
        <v>2338</v>
      </c>
      <c r="Y253" s="2004"/>
      <c r="Z253" s="2004"/>
      <c r="AA253" s="2004"/>
      <c r="AB253" s="2004"/>
      <c r="AC253" s="2004"/>
      <c r="AD253" s="2004"/>
      <c r="AE253" s="2004" t="s">
        <v>2337</v>
      </c>
      <c r="AF253" s="2004"/>
      <c r="AG253" s="2004"/>
      <c r="AH253" s="2004">
        <v>5</v>
      </c>
      <c r="AI253" s="2004" t="s">
        <v>2337</v>
      </c>
      <c r="AJ253" s="2004" t="s">
        <v>2337</v>
      </c>
      <c r="AK253" s="2004" t="s">
        <v>2337</v>
      </c>
      <c r="AL253" s="2004" t="s">
        <v>2337</v>
      </c>
      <c r="AM253" s="2004" t="s">
        <v>2337</v>
      </c>
      <c r="AN253" s="2004" t="s">
        <v>9547</v>
      </c>
      <c r="AO253" s="2004" t="s">
        <v>9547</v>
      </c>
      <c r="AP253" s="2004" t="s">
        <v>9547</v>
      </c>
      <c r="AQ253" s="2004" t="s">
        <v>9547</v>
      </c>
      <c r="AR253" s="2004" t="s">
        <v>9547</v>
      </c>
      <c r="AS253" s="2004" t="s">
        <v>9548</v>
      </c>
      <c r="AT253" s="2004" t="s">
        <v>9548</v>
      </c>
      <c r="AU253" s="2004" t="s">
        <v>9548</v>
      </c>
      <c r="AV253" s="2004" t="s">
        <v>9548</v>
      </c>
      <c r="AW253" s="2004" t="s">
        <v>9548</v>
      </c>
      <c r="AX253" s="2004"/>
      <c r="AY253" s="2004"/>
      <c r="AZ253" s="2004"/>
      <c r="BA253" s="2004"/>
      <c r="BB253" s="2004"/>
      <c r="BC253" s="2004"/>
      <c r="BD253" s="2004"/>
      <c r="BE253" s="2004"/>
      <c r="BF253" s="2004"/>
      <c r="BG253" s="2004"/>
      <c r="BH253" s="2004">
        <v>9.7000000000000003E-2</v>
      </c>
      <c r="BI253" s="2004">
        <v>0.48699999999999999</v>
      </c>
      <c r="BJ253" s="2004"/>
      <c r="BK253" s="2004"/>
      <c r="BL253" s="2004"/>
      <c r="BM253" s="2004"/>
      <c r="BN253" s="2004">
        <v>1</v>
      </c>
      <c r="BO253" s="2004" t="s">
        <v>9203</v>
      </c>
      <c r="BP253" s="516" t="s">
        <v>2338</v>
      </c>
      <c r="BQ253" s="688" t="s">
        <v>2338</v>
      </c>
      <c r="BR253" s="2004" t="s">
        <v>2337</v>
      </c>
      <c r="BS253" s="2004" t="s">
        <v>9204</v>
      </c>
      <c r="BT253" s="2004">
        <v>0</v>
      </c>
      <c r="BU253" s="2004" t="s">
        <v>9204</v>
      </c>
      <c r="BV253" s="2004">
        <v>0</v>
      </c>
      <c r="BW253" s="2004" t="s">
        <v>2338</v>
      </c>
      <c r="BX253" s="2004" t="s">
        <v>2337</v>
      </c>
      <c r="BY253" s="2004">
        <v>0</v>
      </c>
      <c r="BZ253" s="2004">
        <v>0</v>
      </c>
      <c r="CA253" s="2004">
        <v>0</v>
      </c>
      <c r="CB253" s="2004">
        <v>0</v>
      </c>
      <c r="CC253" s="2004" t="s">
        <v>2338</v>
      </c>
      <c r="CD253" s="2004" t="s">
        <v>2337</v>
      </c>
      <c r="CE253" s="2004">
        <v>0</v>
      </c>
      <c r="CF253" s="2004">
        <v>0</v>
      </c>
      <c r="CG253" s="2004">
        <v>0</v>
      </c>
      <c r="CH253" s="2004">
        <v>0</v>
      </c>
      <c r="CI253" s="2004" t="s">
        <v>2338</v>
      </c>
      <c r="CJ253" s="2004" t="s">
        <v>2337</v>
      </c>
      <c r="CK253" s="2004">
        <v>0</v>
      </c>
      <c r="CL253" s="2004">
        <v>0</v>
      </c>
      <c r="CM253" s="2004">
        <v>0</v>
      </c>
      <c r="CN253" s="2004">
        <v>0</v>
      </c>
      <c r="CP253" s="2004" t="s">
        <v>10672</v>
      </c>
    </row>
    <row r="254" spans="1:94">
      <c r="A254" s="2004" t="s">
        <v>10648</v>
      </c>
      <c r="B254" s="2004" t="s">
        <v>10673</v>
      </c>
      <c r="C254" s="2004" t="s">
        <v>9085</v>
      </c>
      <c r="D254" s="2004" t="s">
        <v>1628</v>
      </c>
      <c r="E254" s="2004" t="s">
        <v>9194</v>
      </c>
      <c r="F254" s="2004" t="s">
        <v>10674</v>
      </c>
      <c r="G254" s="2004">
        <v>4.0999999999999996</v>
      </c>
      <c r="H254" s="2004" t="s">
        <v>10675</v>
      </c>
      <c r="I254" s="2004" t="s">
        <v>10676</v>
      </c>
      <c r="J254" s="2004" t="s">
        <v>9199</v>
      </c>
      <c r="K254" s="2004" t="s">
        <v>9200</v>
      </c>
      <c r="L254" s="2004"/>
      <c r="M254" s="2004"/>
      <c r="N254" s="2004" t="s">
        <v>2927</v>
      </c>
      <c r="O254" s="2004" t="s">
        <v>766</v>
      </c>
      <c r="P254" s="2004" t="s">
        <v>9201</v>
      </c>
      <c r="Q254" s="516">
        <v>1</v>
      </c>
      <c r="R254" s="2004" t="s">
        <v>9202</v>
      </c>
      <c r="S254" s="2004">
        <v>70.5</v>
      </c>
      <c r="T254" s="2004">
        <v>70.5</v>
      </c>
      <c r="U254" s="2004">
        <v>70.5</v>
      </c>
      <c r="V254" s="2004">
        <v>70.5</v>
      </c>
      <c r="W254" s="2004">
        <v>70.5</v>
      </c>
      <c r="X254" s="2004">
        <v>70.5</v>
      </c>
      <c r="Y254" s="2004"/>
      <c r="Z254" s="2004"/>
      <c r="AA254" s="2004"/>
      <c r="AB254" s="2004"/>
      <c r="AC254" s="2004"/>
      <c r="AD254" s="2004"/>
      <c r="AE254" s="2004" t="s">
        <v>2337</v>
      </c>
      <c r="AF254" s="2004"/>
      <c r="AG254" s="2004"/>
      <c r="AH254" s="2004">
        <v>0</v>
      </c>
      <c r="AI254" s="2004" t="s">
        <v>2337</v>
      </c>
      <c r="AJ254" s="2004" t="s">
        <v>2337</v>
      </c>
      <c r="AK254" s="2004" t="s">
        <v>2337</v>
      </c>
      <c r="AL254" s="2004" t="s">
        <v>2337</v>
      </c>
      <c r="AM254" s="2004" t="s">
        <v>2337</v>
      </c>
      <c r="AN254" s="2004">
        <v>80.599999999999994</v>
      </c>
      <c r="AO254" s="2004">
        <v>80.599999999999994</v>
      </c>
      <c r="AP254" s="2004">
        <v>80.599999999999994</v>
      </c>
      <c r="AQ254" s="2004">
        <v>80.599999999999994</v>
      </c>
      <c r="AR254" s="2004">
        <v>80.599999999999994</v>
      </c>
      <c r="AS254" s="2004">
        <v>73.3</v>
      </c>
      <c r="AT254" s="2004">
        <v>73.3</v>
      </c>
      <c r="AU254" s="2004">
        <v>73.3</v>
      </c>
      <c r="AV254" s="2004">
        <v>73.3</v>
      </c>
      <c r="AW254" s="2004">
        <v>73.3</v>
      </c>
      <c r="AX254" s="2004">
        <v>66.900000000000006</v>
      </c>
      <c r="AY254" s="2004">
        <v>66.900000000000006</v>
      </c>
      <c r="AZ254" s="2004">
        <v>66.900000000000006</v>
      </c>
      <c r="BA254" s="2004">
        <v>66.900000000000006</v>
      </c>
      <c r="BB254" s="2004">
        <v>66.900000000000006</v>
      </c>
      <c r="BC254" s="2004">
        <v>62.5</v>
      </c>
      <c r="BD254" s="2004">
        <v>62.5</v>
      </c>
      <c r="BE254" s="2004">
        <v>62.5</v>
      </c>
      <c r="BF254" s="2004">
        <v>62.5</v>
      </c>
      <c r="BG254" s="2004">
        <v>62.5</v>
      </c>
      <c r="BH254" s="2004">
        <v>0.36899999999999999</v>
      </c>
      <c r="BI254" s="2004"/>
      <c r="BJ254" s="2004"/>
      <c r="BK254" s="2004"/>
      <c r="BL254" s="2004">
        <v>0.183</v>
      </c>
      <c r="BM254" s="2004"/>
      <c r="BN254" s="2004">
        <v>1</v>
      </c>
      <c r="BO254" s="2004" t="s">
        <v>9203</v>
      </c>
      <c r="BP254" s="516">
        <v>69.2</v>
      </c>
      <c r="BQ254" s="686">
        <v>69.88</v>
      </c>
      <c r="BR254" s="2004" t="s">
        <v>2337</v>
      </c>
      <c r="BS254" s="2004" t="s">
        <v>9204</v>
      </c>
      <c r="BT254" s="2004">
        <v>0</v>
      </c>
      <c r="BU254" s="2004" t="s">
        <v>9074</v>
      </c>
      <c r="BV254" s="2004">
        <v>0</v>
      </c>
      <c r="BW254" s="2004">
        <v>69.849999999999994</v>
      </c>
      <c r="BX254" s="2004" t="s">
        <v>2337</v>
      </c>
      <c r="BY254" s="2004">
        <v>0</v>
      </c>
      <c r="BZ254" s="2004">
        <v>0</v>
      </c>
      <c r="CA254" s="2004" t="s">
        <v>9074</v>
      </c>
      <c r="CB254" s="2004">
        <v>0</v>
      </c>
      <c r="CC254" s="2004">
        <v>72.41</v>
      </c>
      <c r="CD254" s="2004" t="s">
        <v>2334</v>
      </c>
      <c r="CE254" s="2004">
        <v>0</v>
      </c>
      <c r="CF254" s="2004">
        <v>0</v>
      </c>
      <c r="CG254" s="2004" t="s">
        <v>2340</v>
      </c>
      <c r="CH254" s="2004">
        <v>0</v>
      </c>
      <c r="CI254" s="2004">
        <v>70.5</v>
      </c>
      <c r="CJ254" s="2004" t="s">
        <v>2337</v>
      </c>
      <c r="CK254" s="2004">
        <v>0</v>
      </c>
      <c r="CL254" s="2004">
        <v>0</v>
      </c>
      <c r="CM254" s="2004">
        <v>0</v>
      </c>
      <c r="CN254" s="2004">
        <v>0</v>
      </c>
      <c r="CP254" s="2004" t="s">
        <v>10677</v>
      </c>
    </row>
    <row r="255" spans="1:94">
      <c r="A255" s="2004" t="s">
        <v>10648</v>
      </c>
      <c r="B255" s="2004" t="s">
        <v>10678</v>
      </c>
      <c r="C255" s="2004" t="s">
        <v>9085</v>
      </c>
      <c r="D255" s="2004" t="s">
        <v>1628</v>
      </c>
      <c r="E255" s="2004" t="s">
        <v>9194</v>
      </c>
      <c r="F255" s="2004" t="s">
        <v>10674</v>
      </c>
      <c r="G255" s="2004">
        <v>4.2</v>
      </c>
      <c r="H255" s="2004" t="s">
        <v>10679</v>
      </c>
      <c r="I255" s="2004" t="s">
        <v>10680</v>
      </c>
      <c r="J255" s="2004" t="s">
        <v>9199</v>
      </c>
      <c r="K255" s="2004" t="s">
        <v>9200</v>
      </c>
      <c r="L255" s="2004"/>
      <c r="M255" s="2004"/>
      <c r="N255" s="2004" t="s">
        <v>2927</v>
      </c>
      <c r="O255" s="2004" t="s">
        <v>766</v>
      </c>
      <c r="P255" s="2004" t="s">
        <v>9201</v>
      </c>
      <c r="Q255" s="516">
        <v>1</v>
      </c>
      <c r="R255" s="2004" t="s">
        <v>9202</v>
      </c>
      <c r="S255" s="2004">
        <v>13.5</v>
      </c>
      <c r="T255" s="2004">
        <v>13.5</v>
      </c>
      <c r="U255" s="2004">
        <v>13.5</v>
      </c>
      <c r="V255" s="2004">
        <v>13.5</v>
      </c>
      <c r="W255" s="2004">
        <v>13.5</v>
      </c>
      <c r="X255" s="2004">
        <v>13.5</v>
      </c>
      <c r="Y255" s="2004"/>
      <c r="Z255" s="2004"/>
      <c r="AA255" s="2004"/>
      <c r="AB255" s="2004"/>
      <c r="AC255" s="2004"/>
      <c r="AD255" s="2004"/>
      <c r="AE255" s="2004" t="s">
        <v>2337</v>
      </c>
      <c r="AF255" s="2004"/>
      <c r="AG255" s="2004"/>
      <c r="AH255" s="2004">
        <v>0</v>
      </c>
      <c r="AI255" s="2004" t="s">
        <v>2337</v>
      </c>
      <c r="AJ255" s="2004" t="s">
        <v>2337</v>
      </c>
      <c r="AK255" s="2004" t="s">
        <v>2337</v>
      </c>
      <c r="AL255" s="2004" t="s">
        <v>2337</v>
      </c>
      <c r="AM255" s="2004" t="s">
        <v>2337</v>
      </c>
      <c r="AN255" s="2004">
        <v>15.4</v>
      </c>
      <c r="AO255" s="2004">
        <v>15.4</v>
      </c>
      <c r="AP255" s="2004">
        <v>15.4</v>
      </c>
      <c r="AQ255" s="2004">
        <v>15.4</v>
      </c>
      <c r="AR255" s="2004">
        <v>15.4</v>
      </c>
      <c r="AS255" s="2004">
        <v>14</v>
      </c>
      <c r="AT255" s="2004">
        <v>14</v>
      </c>
      <c r="AU255" s="2004">
        <v>14</v>
      </c>
      <c r="AV255" s="2004">
        <v>14</v>
      </c>
      <c r="AW255" s="2004">
        <v>14</v>
      </c>
      <c r="AX255" s="2004">
        <v>12.6</v>
      </c>
      <c r="AY255" s="2004">
        <v>12.6</v>
      </c>
      <c r="AZ255" s="2004">
        <v>12.6</v>
      </c>
      <c r="BA255" s="2004">
        <v>12.6</v>
      </c>
      <c r="BB255" s="2004">
        <v>12.6</v>
      </c>
      <c r="BC255" s="2004">
        <v>11.1</v>
      </c>
      <c r="BD255" s="2004">
        <v>11.1</v>
      </c>
      <c r="BE255" s="2004">
        <v>11.1</v>
      </c>
      <c r="BF255" s="2004">
        <v>11.1</v>
      </c>
      <c r="BG255" s="2004">
        <v>11.1</v>
      </c>
      <c r="BH255" s="2004">
        <v>0.30499999999999999</v>
      </c>
      <c r="BI255" s="2004"/>
      <c r="BJ255" s="2004"/>
      <c r="BK255" s="2004"/>
      <c r="BL255" s="2004">
        <v>0.152</v>
      </c>
      <c r="BM255" s="2004"/>
      <c r="BN255" s="2004">
        <v>1</v>
      </c>
      <c r="BO255" s="2004" t="s">
        <v>9203</v>
      </c>
      <c r="BP255" s="516">
        <v>13.5</v>
      </c>
      <c r="BQ255" s="686">
        <v>13.24</v>
      </c>
      <c r="BR255" s="2004" t="s">
        <v>2337</v>
      </c>
      <c r="BS255" s="2004" t="s">
        <v>9204</v>
      </c>
      <c r="BT255" s="2004">
        <v>0</v>
      </c>
      <c r="BU255" s="2004" t="s">
        <v>9074</v>
      </c>
      <c r="BV255" s="2004">
        <v>0</v>
      </c>
      <c r="BW255" s="2004">
        <v>14.32</v>
      </c>
      <c r="BX255" s="2004" t="s">
        <v>2334</v>
      </c>
      <c r="BY255" s="2004">
        <v>0</v>
      </c>
      <c r="BZ255" s="2004">
        <v>0</v>
      </c>
      <c r="CA255" s="2004" t="s">
        <v>9254</v>
      </c>
      <c r="CB255" s="2004">
        <v>-9.7600000000000006E-2</v>
      </c>
      <c r="CC255" s="2004">
        <v>14.39</v>
      </c>
      <c r="CD255" s="2004" t="s">
        <v>2334</v>
      </c>
      <c r="CE255" s="2004">
        <v>0</v>
      </c>
      <c r="CF255" s="2004">
        <v>0</v>
      </c>
      <c r="CG255" s="2004" t="s">
        <v>2336</v>
      </c>
      <c r="CH255" s="2004">
        <v>-0.11895000000000017</v>
      </c>
      <c r="CI255" s="2004">
        <v>13.2</v>
      </c>
      <c r="CJ255" s="2004" t="s">
        <v>2337</v>
      </c>
      <c r="CK255" s="2004">
        <v>0</v>
      </c>
      <c r="CL255" s="2004">
        <v>0</v>
      </c>
      <c r="CM255" s="2004" t="s">
        <v>9074</v>
      </c>
      <c r="CN255" s="2004">
        <v>0</v>
      </c>
      <c r="CP255" s="2004" t="s">
        <v>10681</v>
      </c>
    </row>
    <row r="256" spans="1:94">
      <c r="A256" s="2004" t="s">
        <v>10648</v>
      </c>
      <c r="B256" s="2004" t="s">
        <v>10682</v>
      </c>
      <c r="C256" s="2004" t="s">
        <v>9085</v>
      </c>
      <c r="D256" s="2004" t="s">
        <v>1628</v>
      </c>
      <c r="E256" s="2004" t="s">
        <v>9194</v>
      </c>
      <c r="F256" s="2004" t="s">
        <v>10674</v>
      </c>
      <c r="G256" s="2004">
        <v>4.3</v>
      </c>
      <c r="H256" s="2004" t="s">
        <v>10683</v>
      </c>
      <c r="I256" s="2004" t="s">
        <v>10684</v>
      </c>
      <c r="J256" s="2004" t="s">
        <v>9230</v>
      </c>
      <c r="K256" s="2004"/>
      <c r="L256" s="2004"/>
      <c r="M256" s="2004"/>
      <c r="N256" s="2004" t="s">
        <v>9211</v>
      </c>
      <c r="O256" s="2004" t="s">
        <v>766</v>
      </c>
      <c r="P256" s="2004" t="s">
        <v>9628</v>
      </c>
      <c r="Q256" s="516">
        <v>2</v>
      </c>
      <c r="R256" s="2004" t="s">
        <v>9202</v>
      </c>
      <c r="S256" s="2004">
        <v>131.44</v>
      </c>
      <c r="T256" s="2004">
        <v>130.79</v>
      </c>
      <c r="U256" s="2004">
        <v>130.15</v>
      </c>
      <c r="V256" s="2004">
        <v>129.52000000000001</v>
      </c>
      <c r="W256" s="2004">
        <v>128.91</v>
      </c>
      <c r="X256" s="2004">
        <v>128.31</v>
      </c>
      <c r="Y256" s="2004"/>
      <c r="Z256" s="2004"/>
      <c r="AA256" s="2004"/>
      <c r="AB256" s="2004"/>
      <c r="AC256" s="2004"/>
      <c r="AD256" s="2004"/>
      <c r="AE256" s="2004"/>
      <c r="AF256" s="2004"/>
      <c r="AG256" s="2004"/>
      <c r="AH256" s="2004">
        <v>0</v>
      </c>
      <c r="AI256" s="2004"/>
      <c r="AJ256" s="2004"/>
      <c r="AK256" s="2004"/>
      <c r="AL256" s="2004"/>
      <c r="AM256" s="2004"/>
      <c r="AN256" s="2004"/>
      <c r="AO256" s="2004"/>
      <c r="AP256" s="2004"/>
      <c r="AQ256" s="2004"/>
      <c r="AR256" s="2004"/>
      <c r="AS256" s="2004"/>
      <c r="AT256" s="2004"/>
      <c r="AU256" s="2004"/>
      <c r="AV256" s="2004"/>
      <c r="AW256" s="2004"/>
      <c r="AX256" s="2004"/>
      <c r="AY256" s="2004"/>
      <c r="AZ256" s="2004"/>
      <c r="BA256" s="2004"/>
      <c r="BB256" s="2004"/>
      <c r="BC256" s="2004"/>
      <c r="BD256" s="2004"/>
      <c r="BE256" s="2004"/>
      <c r="BF256" s="2004"/>
      <c r="BG256" s="2004"/>
      <c r="BH256" s="2004"/>
      <c r="BI256" s="2004"/>
      <c r="BJ256" s="2004"/>
      <c r="BK256" s="2004"/>
      <c r="BL256" s="2004"/>
      <c r="BM256" s="2004"/>
      <c r="BN256" s="2004"/>
      <c r="BO256" s="2004"/>
      <c r="BP256" s="516">
        <v>129.25</v>
      </c>
      <c r="BQ256" s="690">
        <v>129.59</v>
      </c>
      <c r="BR256" s="2004" t="s">
        <v>2337</v>
      </c>
      <c r="BS256" s="2004" t="s">
        <v>9204</v>
      </c>
      <c r="BT256" s="2004">
        <v>0</v>
      </c>
      <c r="BU256" s="2004" t="s">
        <v>9204</v>
      </c>
      <c r="BV256" s="2004">
        <v>0</v>
      </c>
      <c r="BW256" s="2004">
        <v>129.85</v>
      </c>
      <c r="BX256" s="2004" t="s">
        <v>2337</v>
      </c>
      <c r="BY256" s="2004">
        <v>0</v>
      </c>
      <c r="BZ256" s="2004">
        <v>0</v>
      </c>
      <c r="CA256" s="2004">
        <v>0</v>
      </c>
      <c r="CB256" s="2004">
        <v>0</v>
      </c>
      <c r="CC256" s="2004">
        <v>133.09</v>
      </c>
      <c r="CD256" s="2004" t="s">
        <v>2334</v>
      </c>
      <c r="CE256" s="2004">
        <v>0</v>
      </c>
      <c r="CF256" s="2004">
        <v>0</v>
      </c>
      <c r="CG256" s="2004">
        <v>0</v>
      </c>
      <c r="CH256" s="2004">
        <v>0</v>
      </c>
      <c r="CI256" s="2004">
        <v>136.41</v>
      </c>
      <c r="CJ256" s="2004" t="s">
        <v>2334</v>
      </c>
      <c r="CK256" s="2004">
        <v>0</v>
      </c>
      <c r="CL256" s="2004">
        <v>0</v>
      </c>
      <c r="CM256" s="2004">
        <v>0</v>
      </c>
      <c r="CN256" s="2004">
        <v>0</v>
      </c>
      <c r="CP256" s="2004" t="s">
        <v>10685</v>
      </c>
    </row>
    <row r="257" spans="1:94">
      <c r="A257" s="2004" t="s">
        <v>10648</v>
      </c>
      <c r="B257" s="2004" t="s">
        <v>10686</v>
      </c>
      <c r="C257" s="2004" t="s">
        <v>9085</v>
      </c>
      <c r="D257" s="2004" t="s">
        <v>1628</v>
      </c>
      <c r="E257" s="2004" t="s">
        <v>9194</v>
      </c>
      <c r="F257" s="2004" t="s">
        <v>10674</v>
      </c>
      <c r="G257" s="2004">
        <v>4.4000000000000004</v>
      </c>
      <c r="H257" s="2004" t="s">
        <v>10687</v>
      </c>
      <c r="I257" s="2004" t="s">
        <v>10688</v>
      </c>
      <c r="J257" s="2004" t="s">
        <v>9230</v>
      </c>
      <c r="K257" s="2004"/>
      <c r="L257" s="2004"/>
      <c r="M257" s="2004"/>
      <c r="N257" s="2004" t="s">
        <v>9357</v>
      </c>
      <c r="O257" s="2004" t="s">
        <v>766</v>
      </c>
      <c r="P257" s="2004" t="s">
        <v>10689</v>
      </c>
      <c r="Q257" s="516">
        <v>0</v>
      </c>
      <c r="R257" s="2004" t="s">
        <v>9240</v>
      </c>
      <c r="S257" s="2004">
        <v>66</v>
      </c>
      <c r="T257" s="2004">
        <v>76</v>
      </c>
      <c r="U257" s="2004">
        <v>91</v>
      </c>
      <c r="V257" s="2004">
        <v>106</v>
      </c>
      <c r="W257" s="2004">
        <v>116</v>
      </c>
      <c r="X257" s="2004">
        <v>116</v>
      </c>
      <c r="Y257" s="2004"/>
      <c r="Z257" s="2004"/>
      <c r="AA257" s="2004"/>
      <c r="AB257" s="2004"/>
      <c r="AC257" s="2004"/>
      <c r="AD257" s="2004"/>
      <c r="AE257" s="2004"/>
      <c r="AF257" s="2004" t="s">
        <v>2337</v>
      </c>
      <c r="AG257" s="2004"/>
      <c r="AH257" s="2004">
        <v>0</v>
      </c>
      <c r="AI257" s="2004"/>
      <c r="AJ257" s="2004"/>
      <c r="AK257" s="2004"/>
      <c r="AL257" s="2004"/>
      <c r="AM257" s="2004"/>
      <c r="AN257" s="2004"/>
      <c r="AO257" s="2004"/>
      <c r="AP257" s="2004"/>
      <c r="AQ257" s="2004"/>
      <c r="AR257" s="2004"/>
      <c r="AS257" s="2004"/>
      <c r="AT257" s="2004"/>
      <c r="AU257" s="2004"/>
      <c r="AV257" s="2004"/>
      <c r="AW257" s="2004"/>
      <c r="AX257" s="2004"/>
      <c r="AY257" s="2004"/>
      <c r="AZ257" s="2004"/>
      <c r="BA257" s="2004"/>
      <c r="BB257" s="2004"/>
      <c r="BC257" s="2004"/>
      <c r="BD257" s="2004"/>
      <c r="BE257" s="2004"/>
      <c r="BF257" s="2004"/>
      <c r="BG257" s="2004"/>
      <c r="BH257" s="2004"/>
      <c r="BI257" s="2004"/>
      <c r="BJ257" s="2004"/>
      <c r="BK257" s="2004"/>
      <c r="BL257" s="2004"/>
      <c r="BM257" s="2004"/>
      <c r="BN257" s="2004"/>
      <c r="BO257" s="2004"/>
      <c r="BP257" s="516">
        <v>65.2</v>
      </c>
      <c r="BQ257" s="689">
        <v>76.2</v>
      </c>
      <c r="BR257" s="2004" t="s">
        <v>2337</v>
      </c>
      <c r="BS257" s="2004" t="s">
        <v>9204</v>
      </c>
      <c r="BT257" s="2004">
        <v>0</v>
      </c>
      <c r="BU257" s="2004" t="s">
        <v>9204</v>
      </c>
      <c r="BV257" s="2004">
        <v>0</v>
      </c>
      <c r="BW257" s="2004">
        <v>91.6</v>
      </c>
      <c r="BX257" s="2004" t="s">
        <v>2337</v>
      </c>
      <c r="BY257" s="2004">
        <v>0</v>
      </c>
      <c r="BZ257" s="2004">
        <v>0</v>
      </c>
      <c r="CA257" s="2004">
        <v>0</v>
      </c>
      <c r="CB257" s="2004">
        <v>0</v>
      </c>
      <c r="CC257" s="2004">
        <v>119</v>
      </c>
      <c r="CD257" s="2004" t="s">
        <v>2337</v>
      </c>
      <c r="CE257" s="2004">
        <v>0</v>
      </c>
      <c r="CF257" s="2004">
        <v>0</v>
      </c>
      <c r="CG257" s="2004">
        <v>0</v>
      </c>
      <c r="CH257" s="2004">
        <v>0</v>
      </c>
      <c r="CI257" s="2004">
        <v>138</v>
      </c>
      <c r="CJ257" s="2004" t="s">
        <v>2337</v>
      </c>
      <c r="CK257" s="2004">
        <v>0</v>
      </c>
      <c r="CL257" s="2004">
        <v>0</v>
      </c>
      <c r="CM257" s="2004">
        <v>0</v>
      </c>
      <c r="CN257" s="2004">
        <v>0</v>
      </c>
      <c r="CP257" s="2004" t="s">
        <v>10690</v>
      </c>
    </row>
    <row r="258" spans="1:94">
      <c r="A258" s="2004" t="s">
        <v>10648</v>
      </c>
      <c r="B258" s="2004" t="s">
        <v>10691</v>
      </c>
      <c r="C258" s="2004" t="s">
        <v>9085</v>
      </c>
      <c r="D258" s="2004" t="s">
        <v>1628</v>
      </c>
      <c r="E258" s="2004" t="s">
        <v>9194</v>
      </c>
      <c r="F258" s="2004" t="s">
        <v>10674</v>
      </c>
      <c r="G258" s="2004">
        <v>4.5</v>
      </c>
      <c r="H258" s="2004" t="s">
        <v>10692</v>
      </c>
      <c r="I258" s="2004" t="s">
        <v>10693</v>
      </c>
      <c r="J258" s="2004" t="s">
        <v>9230</v>
      </c>
      <c r="K258" s="2004"/>
      <c r="L258" s="2004"/>
      <c r="M258" s="2004"/>
      <c r="N258" s="2004" t="s">
        <v>9372</v>
      </c>
      <c r="O258" s="2004" t="s">
        <v>766</v>
      </c>
      <c r="P258" s="2004" t="s">
        <v>10694</v>
      </c>
      <c r="Q258" s="516">
        <v>0</v>
      </c>
      <c r="R258" s="2004" t="s">
        <v>9240</v>
      </c>
      <c r="S258" s="2004">
        <v>0</v>
      </c>
      <c r="T258" s="2004">
        <v>509</v>
      </c>
      <c r="U258" s="2004">
        <v>1320</v>
      </c>
      <c r="V258" s="2004">
        <v>2428</v>
      </c>
      <c r="W258" s="2004">
        <v>3742</v>
      </c>
      <c r="X258" s="2004">
        <v>5210</v>
      </c>
      <c r="Y258" s="2004"/>
      <c r="Z258" s="2004"/>
      <c r="AA258" s="2004"/>
      <c r="AB258" s="2004"/>
      <c r="AC258" s="2004"/>
      <c r="AD258" s="2004"/>
      <c r="AE258" s="2004"/>
      <c r="AF258" s="2004"/>
      <c r="AG258" s="2004"/>
      <c r="AH258" s="2004">
        <v>0</v>
      </c>
      <c r="AI258" s="2004"/>
      <c r="AJ258" s="2004"/>
      <c r="AK258" s="2004"/>
      <c r="AL258" s="2004"/>
      <c r="AM258" s="2004"/>
      <c r="AN258" s="2004"/>
      <c r="AO258" s="2004"/>
      <c r="AP258" s="2004"/>
      <c r="AQ258" s="2004"/>
      <c r="AR258" s="2004"/>
      <c r="AS258" s="2004"/>
      <c r="AT258" s="2004"/>
      <c r="AU258" s="2004"/>
      <c r="AV258" s="2004"/>
      <c r="AW258" s="2004"/>
      <c r="AX258" s="2004"/>
      <c r="AY258" s="2004"/>
      <c r="AZ258" s="2004"/>
      <c r="BA258" s="2004"/>
      <c r="BB258" s="2004"/>
      <c r="BC258" s="2004"/>
      <c r="BD258" s="2004"/>
      <c r="BE258" s="2004"/>
      <c r="BF258" s="2004"/>
      <c r="BG258" s="2004"/>
      <c r="BH258" s="2004"/>
      <c r="BI258" s="2004"/>
      <c r="BJ258" s="2004"/>
      <c r="BK258" s="2004"/>
      <c r="BL258" s="2004"/>
      <c r="BM258" s="2004"/>
      <c r="BN258" s="2004"/>
      <c r="BO258" s="2004"/>
      <c r="BP258" s="516" t="s">
        <v>10695</v>
      </c>
      <c r="BQ258" s="689">
        <v>178</v>
      </c>
      <c r="BR258" s="2004" t="s">
        <v>2334</v>
      </c>
      <c r="BS258" s="2004" t="s">
        <v>9204</v>
      </c>
      <c r="BT258" s="2004">
        <v>0</v>
      </c>
      <c r="BU258" s="2004" t="s">
        <v>9204</v>
      </c>
      <c r="BV258" s="2004">
        <v>0</v>
      </c>
      <c r="BW258" s="2004">
        <v>285</v>
      </c>
      <c r="BX258" s="2004" t="s">
        <v>2334</v>
      </c>
      <c r="BY258" s="2004">
        <v>0</v>
      </c>
      <c r="BZ258" s="2004">
        <v>0</v>
      </c>
      <c r="CA258" s="2004">
        <v>0</v>
      </c>
      <c r="CB258" s="2004">
        <v>0</v>
      </c>
      <c r="CC258" s="2004">
        <v>550</v>
      </c>
      <c r="CD258" s="2004" t="s">
        <v>2334</v>
      </c>
      <c r="CE258" s="2004">
        <v>0</v>
      </c>
      <c r="CF258" s="2004">
        <v>0</v>
      </c>
      <c r="CG258" s="2004">
        <v>0</v>
      </c>
      <c r="CH258" s="2004">
        <v>0</v>
      </c>
      <c r="CI258" s="2004">
        <v>635</v>
      </c>
      <c r="CJ258" s="2004" t="s">
        <v>2334</v>
      </c>
      <c r="CK258" s="2004">
        <v>0</v>
      </c>
      <c r="CL258" s="2004">
        <v>0</v>
      </c>
      <c r="CM258" s="2004">
        <v>0</v>
      </c>
      <c r="CN258" s="2004">
        <v>0</v>
      </c>
      <c r="CP258" s="2004" t="s">
        <v>10696</v>
      </c>
    </row>
    <row r="259" spans="1:94">
      <c r="A259" s="2004" t="s">
        <v>10648</v>
      </c>
      <c r="B259" s="2004" t="s">
        <v>10697</v>
      </c>
      <c r="C259" s="2004" t="s">
        <v>9085</v>
      </c>
      <c r="D259" s="2004" t="s">
        <v>1628</v>
      </c>
      <c r="E259" s="2004" t="s">
        <v>9194</v>
      </c>
      <c r="F259" s="2004" t="s">
        <v>10698</v>
      </c>
      <c r="G259" s="2004">
        <v>5.0999999999999996</v>
      </c>
      <c r="H259" s="2004" t="s">
        <v>10699</v>
      </c>
      <c r="I259" s="2004" t="s">
        <v>10700</v>
      </c>
      <c r="J259" s="2004" t="s">
        <v>9230</v>
      </c>
      <c r="K259" s="2004"/>
      <c r="L259" s="2004"/>
      <c r="M259" s="2004"/>
      <c r="N259" s="2004" t="s">
        <v>9290</v>
      </c>
      <c r="O259" s="2004" t="s">
        <v>734</v>
      </c>
      <c r="P259" s="2004" t="s">
        <v>10701</v>
      </c>
      <c r="Q259" s="516">
        <v>0</v>
      </c>
      <c r="R259" s="2004" t="s">
        <v>9240</v>
      </c>
      <c r="S259" s="2004">
        <v>87</v>
      </c>
      <c r="T259" s="2004">
        <v>90</v>
      </c>
      <c r="U259" s="2004">
        <v>90</v>
      </c>
      <c r="V259" s="2004">
        <v>90</v>
      </c>
      <c r="W259" s="2004">
        <v>90</v>
      </c>
      <c r="X259" s="2004">
        <v>90</v>
      </c>
      <c r="Y259" s="2004"/>
      <c r="Z259" s="2004"/>
      <c r="AA259" s="2004"/>
      <c r="AB259" s="2004"/>
      <c r="AC259" s="2004"/>
      <c r="AD259" s="2004"/>
      <c r="AE259" s="2004"/>
      <c r="AF259" s="2004"/>
      <c r="AG259" s="2004"/>
      <c r="AH259" s="2004">
        <v>0</v>
      </c>
      <c r="AI259" s="2004"/>
      <c r="AJ259" s="2004"/>
      <c r="AK259" s="2004"/>
      <c r="AL259" s="2004"/>
      <c r="AM259" s="2004"/>
      <c r="AN259" s="2004"/>
      <c r="AO259" s="2004"/>
      <c r="AP259" s="2004"/>
      <c r="AQ259" s="2004"/>
      <c r="AR259" s="2004"/>
      <c r="AS259" s="2004"/>
      <c r="AT259" s="2004"/>
      <c r="AU259" s="2004"/>
      <c r="AV259" s="2004"/>
      <c r="AW259" s="2004"/>
      <c r="AX259" s="2004"/>
      <c r="AY259" s="2004"/>
      <c r="AZ259" s="2004"/>
      <c r="BA259" s="2004"/>
      <c r="BB259" s="2004"/>
      <c r="BC259" s="2004"/>
      <c r="BD259" s="2004"/>
      <c r="BE259" s="2004"/>
      <c r="BF259" s="2004"/>
      <c r="BG259" s="2004"/>
      <c r="BH259" s="2004"/>
      <c r="BI259" s="2004"/>
      <c r="BJ259" s="2004"/>
      <c r="BK259" s="2004"/>
      <c r="BL259" s="2004"/>
      <c r="BM259" s="2004"/>
      <c r="BN259" s="2004"/>
      <c r="BO259" s="2004"/>
      <c r="BP259" s="516" t="s">
        <v>10702</v>
      </c>
      <c r="BQ259" s="689">
        <v>93</v>
      </c>
      <c r="BR259" s="2004" t="s">
        <v>2337</v>
      </c>
      <c r="BS259" s="2004" t="s">
        <v>9204</v>
      </c>
      <c r="BT259" s="2004">
        <v>0</v>
      </c>
      <c r="BU259" s="2004" t="s">
        <v>9204</v>
      </c>
      <c r="BV259" s="2004">
        <v>0</v>
      </c>
      <c r="BW259" s="2004">
        <v>91</v>
      </c>
      <c r="BX259" s="2004" t="s">
        <v>2337</v>
      </c>
      <c r="BY259" s="2004">
        <v>0</v>
      </c>
      <c r="BZ259" s="2004">
        <v>0</v>
      </c>
      <c r="CA259" s="2004">
        <v>0</v>
      </c>
      <c r="CB259" s="2004">
        <v>0</v>
      </c>
      <c r="CC259" s="2004">
        <v>94</v>
      </c>
      <c r="CD259" s="2004" t="s">
        <v>2337</v>
      </c>
      <c r="CE259" s="2004">
        <v>0</v>
      </c>
      <c r="CF259" s="2004">
        <v>0</v>
      </c>
      <c r="CG259" s="2004">
        <v>0</v>
      </c>
      <c r="CH259" s="2004">
        <v>0</v>
      </c>
      <c r="CI259" s="2004">
        <v>95</v>
      </c>
      <c r="CJ259" s="2004" t="s">
        <v>2337</v>
      </c>
      <c r="CK259" s="2004">
        <v>0</v>
      </c>
      <c r="CL259" s="2004">
        <v>0</v>
      </c>
      <c r="CM259" s="2004">
        <v>0</v>
      </c>
      <c r="CN259" s="2004">
        <v>0</v>
      </c>
      <c r="CP259" s="2004" t="s">
        <v>10703</v>
      </c>
    </row>
    <row r="260" spans="1:94">
      <c r="A260" s="2004" t="s">
        <v>10648</v>
      </c>
      <c r="B260" s="2004" t="s">
        <v>10704</v>
      </c>
      <c r="C260" s="2004" t="s">
        <v>9085</v>
      </c>
      <c r="D260" s="2004" t="s">
        <v>1628</v>
      </c>
      <c r="E260" s="2004" t="s">
        <v>9194</v>
      </c>
      <c r="F260" s="2004" t="s">
        <v>10698</v>
      </c>
      <c r="G260" s="2004">
        <v>5.2</v>
      </c>
      <c r="H260" s="2004" t="s">
        <v>10705</v>
      </c>
      <c r="I260" s="2004" t="s">
        <v>10706</v>
      </c>
      <c r="J260" s="2004" t="s">
        <v>9230</v>
      </c>
      <c r="K260" s="2004"/>
      <c r="L260" s="2004"/>
      <c r="M260" s="2004"/>
      <c r="N260" s="2004" t="s">
        <v>9290</v>
      </c>
      <c r="O260" s="2004" t="s">
        <v>766</v>
      </c>
      <c r="P260" s="2004" t="s">
        <v>10707</v>
      </c>
      <c r="Q260" s="516">
        <v>0</v>
      </c>
      <c r="R260" s="2004" t="s">
        <v>9240</v>
      </c>
      <c r="S260" s="2004">
        <v>17000</v>
      </c>
      <c r="T260" s="2004">
        <v>19600</v>
      </c>
      <c r="U260" s="2004">
        <v>22200</v>
      </c>
      <c r="V260" s="2004">
        <v>24800</v>
      </c>
      <c r="W260" s="2004">
        <v>27400</v>
      </c>
      <c r="X260" s="2004">
        <v>30000</v>
      </c>
      <c r="Y260" s="2004"/>
      <c r="Z260" s="2004"/>
      <c r="AA260" s="2004"/>
      <c r="AB260" s="2004"/>
      <c r="AC260" s="2004"/>
      <c r="AD260" s="2004"/>
      <c r="AE260" s="2004"/>
      <c r="AF260" s="2004"/>
      <c r="AG260" s="2004"/>
      <c r="AH260" s="2004">
        <v>0</v>
      </c>
      <c r="AI260" s="2004"/>
      <c r="AJ260" s="2004"/>
      <c r="AK260" s="2004"/>
      <c r="AL260" s="2004"/>
      <c r="AM260" s="2004"/>
      <c r="AN260" s="2004"/>
      <c r="AO260" s="2004"/>
      <c r="AP260" s="2004"/>
      <c r="AQ260" s="2004"/>
      <c r="AR260" s="2004"/>
      <c r="AS260" s="2004"/>
      <c r="AT260" s="2004"/>
      <c r="AU260" s="2004"/>
      <c r="AV260" s="2004"/>
      <c r="AW260" s="2004"/>
      <c r="AX260" s="2004"/>
      <c r="AY260" s="2004"/>
      <c r="AZ260" s="2004"/>
      <c r="BA260" s="2004"/>
      <c r="BB260" s="2004"/>
      <c r="BC260" s="2004"/>
      <c r="BD260" s="2004"/>
      <c r="BE260" s="2004"/>
      <c r="BF260" s="2004"/>
      <c r="BG260" s="2004"/>
      <c r="BH260" s="2004"/>
      <c r="BI260" s="2004"/>
      <c r="BJ260" s="2004"/>
      <c r="BK260" s="2004"/>
      <c r="BL260" s="2004"/>
      <c r="BM260" s="2004"/>
      <c r="BN260" s="2004"/>
      <c r="BO260" s="2004"/>
      <c r="BP260" s="516">
        <v>17866</v>
      </c>
      <c r="BQ260" s="689">
        <v>19621</v>
      </c>
      <c r="BR260" s="2004" t="s">
        <v>2337</v>
      </c>
      <c r="BS260" s="2004" t="s">
        <v>9204</v>
      </c>
      <c r="BT260" s="2004">
        <v>0</v>
      </c>
      <c r="BU260" s="2004" t="s">
        <v>9204</v>
      </c>
      <c r="BV260" s="2004">
        <v>0</v>
      </c>
      <c r="BW260" s="2004">
        <v>23895</v>
      </c>
      <c r="BX260" s="2004" t="s">
        <v>2337</v>
      </c>
      <c r="BY260" s="2004">
        <v>0</v>
      </c>
      <c r="BZ260" s="2004">
        <v>0</v>
      </c>
      <c r="CA260" s="2004">
        <v>0</v>
      </c>
      <c r="CB260" s="2004">
        <v>0</v>
      </c>
      <c r="CC260" s="2004">
        <v>29036</v>
      </c>
      <c r="CD260" s="2004" t="s">
        <v>2337</v>
      </c>
      <c r="CE260" s="2004">
        <v>0</v>
      </c>
      <c r="CF260" s="2004">
        <v>0</v>
      </c>
      <c r="CG260" s="2004">
        <v>0</v>
      </c>
      <c r="CH260" s="2004">
        <v>0</v>
      </c>
      <c r="CI260" s="2004">
        <v>30838</v>
      </c>
      <c r="CJ260" s="2004" t="s">
        <v>2337</v>
      </c>
      <c r="CK260" s="2004">
        <v>0</v>
      </c>
      <c r="CL260" s="2004">
        <v>0</v>
      </c>
      <c r="CM260" s="2004">
        <v>0</v>
      </c>
      <c r="CN260" s="2004">
        <v>0</v>
      </c>
      <c r="CP260" s="2004" t="s">
        <v>10708</v>
      </c>
    </row>
    <row r="261" spans="1:94">
      <c r="A261" s="2004" t="s">
        <v>10648</v>
      </c>
      <c r="B261" s="2004" t="s">
        <v>10709</v>
      </c>
      <c r="C261" s="2004" t="s">
        <v>9085</v>
      </c>
      <c r="D261" s="2004" t="s">
        <v>9275</v>
      </c>
      <c r="E261" s="2004" t="s">
        <v>9276</v>
      </c>
      <c r="F261" s="2004" t="s">
        <v>10710</v>
      </c>
      <c r="G261" s="2004">
        <v>3.1</v>
      </c>
      <c r="H261" s="2004" t="s">
        <v>10711</v>
      </c>
      <c r="I261" s="2004" t="s">
        <v>10712</v>
      </c>
      <c r="J261" s="2004" t="s">
        <v>9199</v>
      </c>
      <c r="K261" s="2004" t="s">
        <v>9200</v>
      </c>
      <c r="L261" s="2004"/>
      <c r="M261" s="2004" t="s">
        <v>2334</v>
      </c>
      <c r="N261" s="2004" t="s">
        <v>9281</v>
      </c>
      <c r="O261" s="2004" t="s">
        <v>9282</v>
      </c>
      <c r="P261" s="2004" t="s">
        <v>9283</v>
      </c>
      <c r="Q261" s="516">
        <v>1</v>
      </c>
      <c r="R261" s="2004" t="s">
        <v>9240</v>
      </c>
      <c r="S261" s="2004">
        <v>88</v>
      </c>
      <c r="T261" s="2004">
        <v>89</v>
      </c>
      <c r="U261" s="2004">
        <v>90</v>
      </c>
      <c r="V261" s="2004">
        <v>90</v>
      </c>
      <c r="W261" s="2004">
        <v>90</v>
      </c>
      <c r="X261" s="2004">
        <v>90</v>
      </c>
      <c r="Y261" s="2004"/>
      <c r="Z261" s="2004"/>
      <c r="AA261" s="2004"/>
      <c r="AB261" s="2004"/>
      <c r="AC261" s="2004"/>
      <c r="AD261" s="2004"/>
      <c r="AE261" s="2004"/>
      <c r="AF261" s="2004"/>
      <c r="AG261" s="2004"/>
      <c r="AH261" s="2004">
        <v>0</v>
      </c>
      <c r="AI261" s="2004" t="s">
        <v>2337</v>
      </c>
      <c r="AJ261" s="2004" t="s">
        <v>2337</v>
      </c>
      <c r="AK261" s="2004" t="s">
        <v>2337</v>
      </c>
      <c r="AL261" s="2004" t="s">
        <v>2337</v>
      </c>
      <c r="AM261" s="2004" t="s">
        <v>2337</v>
      </c>
      <c r="AN261" s="2004" t="s">
        <v>9284</v>
      </c>
      <c r="AO261" s="2004" t="s">
        <v>9284</v>
      </c>
      <c r="AP261" s="2004" t="s">
        <v>9284</v>
      </c>
      <c r="AQ261" s="2004" t="s">
        <v>9284</v>
      </c>
      <c r="AR261" s="2004" t="s">
        <v>9284</v>
      </c>
      <c r="AS261" s="2004" t="s">
        <v>9284</v>
      </c>
      <c r="AT261" s="2004" t="s">
        <v>9284</v>
      </c>
      <c r="AU261" s="2004" t="s">
        <v>9284</v>
      </c>
      <c r="AV261" s="2004" t="s">
        <v>9284</v>
      </c>
      <c r="AW261" s="2004" t="s">
        <v>9284</v>
      </c>
      <c r="AX261" s="2004" t="s">
        <v>9284</v>
      </c>
      <c r="AY261" s="2004" t="s">
        <v>9284</v>
      </c>
      <c r="AZ261" s="2004" t="s">
        <v>9284</v>
      </c>
      <c r="BA261" s="2004" t="s">
        <v>9284</v>
      </c>
      <c r="BB261" s="2004" t="s">
        <v>9284</v>
      </c>
      <c r="BC261" s="2004" t="s">
        <v>9284</v>
      </c>
      <c r="BD261" s="2004" t="s">
        <v>9284</v>
      </c>
      <c r="BE261" s="2004" t="s">
        <v>9284</v>
      </c>
      <c r="BF261" s="2004" t="s">
        <v>9284</v>
      </c>
      <c r="BG261" s="2004" t="s">
        <v>9284</v>
      </c>
      <c r="BH261" s="2004" t="s">
        <v>9284</v>
      </c>
      <c r="BI261" s="2004"/>
      <c r="BJ261" s="2004"/>
      <c r="BK261" s="2004"/>
      <c r="BL261" s="2004" t="s">
        <v>9284</v>
      </c>
      <c r="BM261" s="2004"/>
      <c r="BN261" s="2004">
        <v>1</v>
      </c>
      <c r="BO261" s="2004" t="s">
        <v>9203</v>
      </c>
      <c r="BP261" s="516">
        <v>85</v>
      </c>
      <c r="BQ261" s="686">
        <v>86.3</v>
      </c>
      <c r="BR261" s="2004" t="s">
        <v>2334</v>
      </c>
      <c r="BS261" s="2004" t="s">
        <v>9204</v>
      </c>
      <c r="BT261" s="2004">
        <v>0</v>
      </c>
      <c r="BU261" s="2004" t="s">
        <v>9204</v>
      </c>
      <c r="BV261" s="2004">
        <v>0</v>
      </c>
      <c r="BW261" s="2004">
        <v>84.4</v>
      </c>
      <c r="BX261" s="2004" t="s">
        <v>2334</v>
      </c>
      <c r="BY261" s="2004">
        <v>0</v>
      </c>
      <c r="BZ261" s="2004">
        <v>0</v>
      </c>
      <c r="CA261" s="2004">
        <v>0</v>
      </c>
      <c r="CB261" s="2004">
        <v>0</v>
      </c>
      <c r="CC261" s="2004">
        <v>87.03</v>
      </c>
      <c r="CD261" s="2004" t="s">
        <v>2334</v>
      </c>
      <c r="CE261" s="2004">
        <v>0</v>
      </c>
      <c r="CF261" s="2004">
        <v>0</v>
      </c>
      <c r="CG261" s="2004">
        <v>0</v>
      </c>
      <c r="CH261" s="2004">
        <v>0</v>
      </c>
      <c r="CI261" s="2004">
        <v>86.4</v>
      </c>
      <c r="CJ261" s="2004" t="s">
        <v>2334</v>
      </c>
      <c r="CK261" s="2004">
        <v>0</v>
      </c>
      <c r="CL261" s="2004">
        <v>0</v>
      </c>
      <c r="CM261" s="2004">
        <v>0</v>
      </c>
      <c r="CN261" s="2004">
        <v>0</v>
      </c>
      <c r="CP261" s="2004" t="s">
        <v>10713</v>
      </c>
    </row>
    <row r="262" spans="1:94">
      <c r="A262" s="2004" t="s">
        <v>10648</v>
      </c>
      <c r="B262" s="2004" t="s">
        <v>10714</v>
      </c>
      <c r="C262" s="2004" t="s">
        <v>9085</v>
      </c>
      <c r="D262" s="2004" t="s">
        <v>9275</v>
      </c>
      <c r="E262" s="2004" t="s">
        <v>9276</v>
      </c>
      <c r="F262" s="2004" t="s">
        <v>10710</v>
      </c>
      <c r="G262" s="2004">
        <v>3.2</v>
      </c>
      <c r="H262" s="2004" t="s">
        <v>10715</v>
      </c>
      <c r="I262" s="2004" t="s">
        <v>10716</v>
      </c>
      <c r="J262" s="2004" t="s">
        <v>9230</v>
      </c>
      <c r="K262" s="2004"/>
      <c r="L262" s="2004"/>
      <c r="M262" s="2004"/>
      <c r="N262" s="2004" t="s">
        <v>9386</v>
      </c>
      <c r="O262" s="2004" t="s">
        <v>734</v>
      </c>
      <c r="P262" s="2004" t="s">
        <v>9387</v>
      </c>
      <c r="Q262" s="516">
        <v>0</v>
      </c>
      <c r="R262" s="2004" t="s">
        <v>9240</v>
      </c>
      <c r="S262" s="2004">
        <v>96</v>
      </c>
      <c r="T262" s="2004">
        <v>98</v>
      </c>
      <c r="U262" s="2004">
        <v>98</v>
      </c>
      <c r="V262" s="2004">
        <v>98</v>
      </c>
      <c r="W262" s="2004">
        <v>98</v>
      </c>
      <c r="X262" s="2004">
        <v>98</v>
      </c>
      <c r="Y262" s="2004"/>
      <c r="Z262" s="2004"/>
      <c r="AA262" s="2004"/>
      <c r="AB262" s="2004"/>
      <c r="AC262" s="2004"/>
      <c r="AD262" s="2004"/>
      <c r="AE262" s="2004"/>
      <c r="AF262" s="2004"/>
      <c r="AG262" s="2004"/>
      <c r="AH262" s="2004">
        <v>0</v>
      </c>
      <c r="AI262" s="2004"/>
      <c r="AJ262" s="2004"/>
      <c r="AK262" s="2004"/>
      <c r="AL262" s="2004"/>
      <c r="AM262" s="2004"/>
      <c r="AN262" s="2004"/>
      <c r="AO262" s="2004"/>
      <c r="AP262" s="2004"/>
      <c r="AQ262" s="2004"/>
      <c r="AR262" s="2004"/>
      <c r="AS262" s="2004"/>
      <c r="AT262" s="2004"/>
      <c r="AU262" s="2004"/>
      <c r="AV262" s="2004"/>
      <c r="AW262" s="2004"/>
      <c r="AX262" s="2004"/>
      <c r="AY262" s="2004"/>
      <c r="AZ262" s="2004"/>
      <c r="BA262" s="2004"/>
      <c r="BB262" s="2004"/>
      <c r="BC262" s="2004"/>
      <c r="BD262" s="2004"/>
      <c r="BE262" s="2004"/>
      <c r="BF262" s="2004"/>
      <c r="BG262" s="2004"/>
      <c r="BH262" s="2004"/>
      <c r="BI262" s="2004"/>
      <c r="BJ262" s="2004"/>
      <c r="BK262" s="2004"/>
      <c r="BL262" s="2004"/>
      <c r="BM262" s="2004"/>
      <c r="BN262" s="2004"/>
      <c r="BO262" s="2004"/>
      <c r="BP262" s="516" t="s">
        <v>10702</v>
      </c>
      <c r="BQ262" s="689">
        <v>98</v>
      </c>
      <c r="BR262" s="2004" t="s">
        <v>2337</v>
      </c>
      <c r="BS262" s="2004" t="s">
        <v>9204</v>
      </c>
      <c r="BT262" s="2004">
        <v>0</v>
      </c>
      <c r="BU262" s="2004" t="s">
        <v>9204</v>
      </c>
      <c r="BV262" s="2004">
        <v>0</v>
      </c>
      <c r="BW262" s="2004">
        <v>99</v>
      </c>
      <c r="BX262" s="2004" t="s">
        <v>2337</v>
      </c>
      <c r="BY262" s="2004">
        <v>0</v>
      </c>
      <c r="BZ262" s="2004">
        <v>0</v>
      </c>
      <c r="CA262" s="2004">
        <v>0</v>
      </c>
      <c r="CB262" s="2004">
        <v>0</v>
      </c>
      <c r="CC262" s="2004">
        <v>97</v>
      </c>
      <c r="CD262" s="2004" t="s">
        <v>2334</v>
      </c>
      <c r="CE262" s="2004">
        <v>0</v>
      </c>
      <c r="CF262" s="2004">
        <v>0</v>
      </c>
      <c r="CG262" s="2004">
        <v>0</v>
      </c>
      <c r="CH262" s="2004">
        <v>0</v>
      </c>
      <c r="CI262" s="2004">
        <v>98</v>
      </c>
      <c r="CJ262" s="2004" t="s">
        <v>2337</v>
      </c>
      <c r="CK262" s="2004">
        <v>0</v>
      </c>
      <c r="CL262" s="2004">
        <v>0</v>
      </c>
      <c r="CM262" s="2004">
        <v>0</v>
      </c>
      <c r="CN262" s="2004">
        <v>0</v>
      </c>
      <c r="CP262" s="2004" t="s">
        <v>10717</v>
      </c>
    </row>
    <row r="263" spans="1:94">
      <c r="A263" s="2004" t="s">
        <v>10648</v>
      </c>
      <c r="B263" s="2004" t="s">
        <v>10718</v>
      </c>
      <c r="C263" s="2004" t="s">
        <v>9085</v>
      </c>
      <c r="D263" s="2004" t="s">
        <v>9275</v>
      </c>
      <c r="E263" s="2004" t="s">
        <v>9276</v>
      </c>
      <c r="F263" s="2004" t="s">
        <v>10710</v>
      </c>
      <c r="G263" s="2004">
        <v>3.3</v>
      </c>
      <c r="H263" s="2004" t="s">
        <v>10719</v>
      </c>
      <c r="I263" s="2004" t="s">
        <v>10720</v>
      </c>
      <c r="J263" s="2004" t="s">
        <v>9230</v>
      </c>
      <c r="K263" s="2004"/>
      <c r="L263" s="2004"/>
      <c r="M263" s="2004"/>
      <c r="N263" s="2004" t="s">
        <v>10282</v>
      </c>
      <c r="O263" s="2004" t="s">
        <v>766</v>
      </c>
      <c r="P263" s="2004" t="s">
        <v>10721</v>
      </c>
      <c r="Q263" s="516">
        <v>0</v>
      </c>
      <c r="R263" s="2004" t="s">
        <v>9240</v>
      </c>
      <c r="S263" s="2004">
        <v>300</v>
      </c>
      <c r="T263" s="2004">
        <v>400</v>
      </c>
      <c r="U263" s="2004">
        <v>400</v>
      </c>
      <c r="V263" s="2004">
        <v>400</v>
      </c>
      <c r="W263" s="2004">
        <v>400</v>
      </c>
      <c r="X263" s="2004">
        <v>400</v>
      </c>
      <c r="Y263" s="2004"/>
      <c r="Z263" s="2004"/>
      <c r="AA263" s="2004"/>
      <c r="AB263" s="2004"/>
      <c r="AC263" s="2004"/>
      <c r="AD263" s="2004"/>
      <c r="AE263" s="2004"/>
      <c r="AF263" s="2004"/>
      <c r="AG263" s="2004"/>
      <c r="AH263" s="2004">
        <v>0</v>
      </c>
      <c r="AI263" s="2004"/>
      <c r="AJ263" s="2004"/>
      <c r="AK263" s="2004"/>
      <c r="AL263" s="2004"/>
      <c r="AM263" s="2004"/>
      <c r="AN263" s="2004"/>
      <c r="AO263" s="2004"/>
      <c r="AP263" s="2004"/>
      <c r="AQ263" s="2004"/>
      <c r="AR263" s="2004"/>
      <c r="AS263" s="2004"/>
      <c r="AT263" s="2004"/>
      <c r="AU263" s="2004"/>
      <c r="AV263" s="2004"/>
      <c r="AW263" s="2004"/>
      <c r="AX263" s="2004"/>
      <c r="AY263" s="2004"/>
      <c r="AZ263" s="2004"/>
      <c r="BA263" s="2004"/>
      <c r="BB263" s="2004"/>
      <c r="BC263" s="2004"/>
      <c r="BD263" s="2004"/>
      <c r="BE263" s="2004"/>
      <c r="BF263" s="2004"/>
      <c r="BG263" s="2004"/>
      <c r="BH263" s="2004"/>
      <c r="BI263" s="2004"/>
      <c r="BJ263" s="2004"/>
      <c r="BK263" s="2004"/>
      <c r="BL263" s="2004"/>
      <c r="BM263" s="2004"/>
      <c r="BN263" s="2004"/>
      <c r="BO263" s="2004"/>
      <c r="BP263" s="516" t="s">
        <v>10702</v>
      </c>
      <c r="BQ263" s="689">
        <v>256.5</v>
      </c>
      <c r="BR263" s="2004" t="s">
        <v>2334</v>
      </c>
      <c r="BS263" s="2004" t="s">
        <v>9204</v>
      </c>
      <c r="BT263" s="2004">
        <v>0</v>
      </c>
      <c r="BU263" s="2004" t="s">
        <v>9204</v>
      </c>
      <c r="BV263" s="2004">
        <v>0</v>
      </c>
      <c r="BW263" s="2004">
        <v>222</v>
      </c>
      <c r="BX263" s="2004" t="s">
        <v>2334</v>
      </c>
      <c r="BY263" s="2004">
        <v>0</v>
      </c>
      <c r="BZ263" s="2004">
        <v>0</v>
      </c>
      <c r="CA263" s="2004">
        <v>0</v>
      </c>
      <c r="CB263" s="2004">
        <v>0</v>
      </c>
      <c r="CC263" s="2004">
        <v>425</v>
      </c>
      <c r="CD263" s="2004" t="s">
        <v>2337</v>
      </c>
      <c r="CE263" s="2004">
        <v>0</v>
      </c>
      <c r="CF263" s="2004">
        <v>0</v>
      </c>
      <c r="CG263" s="2004">
        <v>0</v>
      </c>
      <c r="CH263" s="2004">
        <v>0</v>
      </c>
      <c r="CI263" s="2004">
        <v>749</v>
      </c>
      <c r="CJ263" s="2004" t="s">
        <v>2337</v>
      </c>
      <c r="CK263" s="2004">
        <v>0</v>
      </c>
      <c r="CL263" s="2004">
        <v>0</v>
      </c>
      <c r="CM263" s="2004">
        <v>0</v>
      </c>
      <c r="CN263" s="2004">
        <v>0</v>
      </c>
      <c r="CP263" s="2004" t="s">
        <v>10722</v>
      </c>
    </row>
    <row r="264" spans="1:94">
      <c r="A264" s="2004" t="s">
        <v>9060</v>
      </c>
      <c r="B264" s="2004" t="s">
        <v>10723</v>
      </c>
      <c r="C264" s="2004" t="s">
        <v>9047</v>
      </c>
      <c r="D264" s="2004" t="s">
        <v>1628</v>
      </c>
      <c r="E264" s="2004" t="s">
        <v>9194</v>
      </c>
      <c r="F264" s="2004" t="s">
        <v>10724</v>
      </c>
      <c r="G264" s="2004" t="s">
        <v>9196</v>
      </c>
      <c r="H264" s="2004" t="s">
        <v>10725</v>
      </c>
      <c r="I264" s="2004" t="s">
        <v>10726</v>
      </c>
      <c r="J264" s="2004" t="s">
        <v>9199</v>
      </c>
      <c r="K264" s="2004" t="s">
        <v>9200</v>
      </c>
      <c r="L264" s="2004" t="s">
        <v>2337</v>
      </c>
      <c r="M264" s="2004"/>
      <c r="N264" s="2004" t="s">
        <v>9154</v>
      </c>
      <c r="O264" s="2004" t="s">
        <v>766</v>
      </c>
      <c r="P264" s="2004" t="s">
        <v>10727</v>
      </c>
      <c r="Q264" s="516">
        <v>0</v>
      </c>
      <c r="R264" s="2004" t="s">
        <v>9202</v>
      </c>
      <c r="S264" s="2004">
        <v>13000</v>
      </c>
      <c r="T264" s="2004">
        <v>11900</v>
      </c>
      <c r="U264" s="2004">
        <v>10995</v>
      </c>
      <c r="V264" s="2004">
        <v>9992</v>
      </c>
      <c r="W264" s="2004">
        <v>9992</v>
      </c>
      <c r="X264" s="2004">
        <v>9992</v>
      </c>
      <c r="Y264" s="2004"/>
      <c r="Z264" s="2004" t="s">
        <v>2337</v>
      </c>
      <c r="AA264" s="2004"/>
      <c r="AB264" s="2004"/>
      <c r="AC264" s="2004"/>
      <c r="AD264" s="2004"/>
      <c r="AE264" s="2004" t="s">
        <v>2337</v>
      </c>
      <c r="AF264" s="2004"/>
      <c r="AG264" s="2004"/>
      <c r="AH264" s="2004">
        <v>0</v>
      </c>
      <c r="AI264" s="2004" t="s">
        <v>2337</v>
      </c>
      <c r="AJ264" s="2004" t="s">
        <v>2337</v>
      </c>
      <c r="AK264" s="2004" t="s">
        <v>2337</v>
      </c>
      <c r="AL264" s="2004" t="s">
        <v>2337</v>
      </c>
      <c r="AM264" s="2004" t="s">
        <v>2337</v>
      </c>
      <c r="AN264" s="2004">
        <v>999999</v>
      </c>
      <c r="AO264" s="2004">
        <v>999999</v>
      </c>
      <c r="AP264" s="2004">
        <v>999999</v>
      </c>
      <c r="AQ264" s="2004">
        <v>999999</v>
      </c>
      <c r="AR264" s="2004">
        <v>999999</v>
      </c>
      <c r="AS264" s="2004">
        <v>11900</v>
      </c>
      <c r="AT264" s="2004">
        <v>11800</v>
      </c>
      <c r="AU264" s="2004">
        <v>9992</v>
      </c>
      <c r="AV264" s="2004">
        <v>9992</v>
      </c>
      <c r="AW264" s="2004">
        <v>9992</v>
      </c>
      <c r="AX264" s="2004">
        <v>9992</v>
      </c>
      <c r="AY264" s="2004">
        <v>9992</v>
      </c>
      <c r="AZ264" s="2004">
        <v>9992</v>
      </c>
      <c r="BA264" s="2004">
        <v>9992</v>
      </c>
      <c r="BB264" s="2004">
        <v>9992</v>
      </c>
      <c r="BC264" s="2004">
        <v>0</v>
      </c>
      <c r="BD264" s="2004">
        <v>0</v>
      </c>
      <c r="BE264" s="2004">
        <v>0</v>
      </c>
      <c r="BF264" s="2004">
        <v>0</v>
      </c>
      <c r="BG264" s="2004">
        <v>0</v>
      </c>
      <c r="BH264" s="2004">
        <v>8.9999999999999998E-4</v>
      </c>
      <c r="BI264" s="2004"/>
      <c r="BJ264" s="2004"/>
      <c r="BK264" s="2004"/>
      <c r="BL264" s="2004">
        <v>8.9999999999999998E-4</v>
      </c>
      <c r="BM264" s="2004"/>
      <c r="BN264" s="2004">
        <v>1</v>
      </c>
      <c r="BO264" s="2004" t="s">
        <v>9203</v>
      </c>
      <c r="BP264" s="516">
        <v>14339</v>
      </c>
      <c r="BQ264" s="689">
        <v>13941</v>
      </c>
      <c r="BR264" s="2004" t="s">
        <v>2334</v>
      </c>
      <c r="BS264" s="2004" t="s">
        <v>9254</v>
      </c>
      <c r="BT264" s="2004">
        <v>-1.8369</v>
      </c>
      <c r="BU264" s="2004" t="s">
        <v>9204</v>
      </c>
      <c r="BV264" s="2004">
        <v>0</v>
      </c>
      <c r="BW264" s="2004">
        <v>14461</v>
      </c>
      <c r="BX264" s="2004" t="s">
        <v>2334</v>
      </c>
      <c r="BY264" s="2004" t="s">
        <v>9254</v>
      </c>
      <c r="BZ264" s="2004">
        <v>-2.3948999999999998</v>
      </c>
      <c r="CA264" s="2004">
        <v>0</v>
      </c>
      <c r="CB264" s="2004">
        <v>0</v>
      </c>
      <c r="CC264" s="2004">
        <v>12687</v>
      </c>
      <c r="CD264" s="2004" t="s">
        <v>2334</v>
      </c>
      <c r="CE264" s="2004" t="s">
        <v>2336</v>
      </c>
      <c r="CF264" s="2004">
        <v>-2.4255</v>
      </c>
      <c r="CG264" s="2004">
        <v>0</v>
      </c>
      <c r="CH264" s="2004">
        <v>0</v>
      </c>
      <c r="CI264" s="2004" t="s">
        <v>9204</v>
      </c>
      <c r="CJ264" s="2004" t="s">
        <v>9204</v>
      </c>
      <c r="CK264" s="2004" t="s">
        <v>9204</v>
      </c>
      <c r="CL264" s="2004">
        <v>0</v>
      </c>
      <c r="CM264" s="2004" t="s">
        <v>9204</v>
      </c>
      <c r="CN264" s="2004">
        <v>0</v>
      </c>
      <c r="CP264" s="2004" t="s">
        <v>10728</v>
      </c>
    </row>
    <row r="265" spans="1:94">
      <c r="A265" s="2004" t="s">
        <v>9060</v>
      </c>
      <c r="B265" s="2004" t="s">
        <v>10729</v>
      </c>
      <c r="C265" s="2004" t="s">
        <v>9047</v>
      </c>
      <c r="D265" s="2004" t="s">
        <v>1628</v>
      </c>
      <c r="E265" s="2004" t="s">
        <v>9194</v>
      </c>
      <c r="F265" s="2004" t="s">
        <v>10724</v>
      </c>
      <c r="G265" s="2004" t="s">
        <v>9207</v>
      </c>
      <c r="H265" s="2004" t="s">
        <v>10730</v>
      </c>
      <c r="I265" s="2004" t="s">
        <v>10731</v>
      </c>
      <c r="J265" s="2004" t="s">
        <v>9210</v>
      </c>
      <c r="K265" s="2004" t="s">
        <v>9200</v>
      </c>
      <c r="L265" s="2004" t="s">
        <v>2337</v>
      </c>
      <c r="M265" s="2004"/>
      <c r="N265" s="2004" t="s">
        <v>9238</v>
      </c>
      <c r="O265" s="2004" t="s">
        <v>734</v>
      </c>
      <c r="P265" s="2004" t="s">
        <v>9239</v>
      </c>
      <c r="Q265" s="516">
        <v>3</v>
      </c>
      <c r="R265" s="2004" t="s">
        <v>9240</v>
      </c>
      <c r="S265" s="2004">
        <v>99.95</v>
      </c>
      <c r="T265" s="2004">
        <v>99.97</v>
      </c>
      <c r="U265" s="2004">
        <v>99.97</v>
      </c>
      <c r="V265" s="2004">
        <v>100</v>
      </c>
      <c r="W265" s="2004">
        <v>100</v>
      </c>
      <c r="X265" s="2004">
        <v>100</v>
      </c>
      <c r="Y265" s="2004" t="s">
        <v>2337</v>
      </c>
      <c r="Z265" s="2004"/>
      <c r="AA265" s="2004"/>
      <c r="AB265" s="2004"/>
      <c r="AC265" s="2004"/>
      <c r="AD265" s="2004"/>
      <c r="AE265" s="2004" t="s">
        <v>2337</v>
      </c>
      <c r="AF265" s="2004"/>
      <c r="AG265" s="2004"/>
      <c r="AH265" s="2004">
        <v>0</v>
      </c>
      <c r="AI265" s="2004" t="s">
        <v>2337</v>
      </c>
      <c r="AJ265" s="2004" t="s">
        <v>2337</v>
      </c>
      <c r="AK265" s="2004" t="s">
        <v>2337</v>
      </c>
      <c r="AL265" s="2004" t="s">
        <v>2337</v>
      </c>
      <c r="AM265" s="2004" t="s">
        <v>2337</v>
      </c>
      <c r="AN265" s="2004">
        <v>99.91</v>
      </c>
      <c r="AO265" s="2004">
        <v>99.91</v>
      </c>
      <c r="AP265" s="2004">
        <v>99.91</v>
      </c>
      <c r="AQ265" s="2004">
        <v>99.91</v>
      </c>
      <c r="AR265" s="2004">
        <v>99.91</v>
      </c>
      <c r="AS265" s="2004">
        <v>99.944999999999993</v>
      </c>
      <c r="AT265" s="2004">
        <v>99.944999999999993</v>
      </c>
      <c r="AU265" s="2004">
        <v>99.95</v>
      </c>
      <c r="AV265" s="2004">
        <v>99.95</v>
      </c>
      <c r="AW265" s="2004">
        <v>99.95</v>
      </c>
      <c r="AX265" s="2004"/>
      <c r="AY265" s="2004"/>
      <c r="AZ265" s="2004"/>
      <c r="BA265" s="2004"/>
      <c r="BB265" s="2004"/>
      <c r="BC265" s="2004"/>
      <c r="BD265" s="2004"/>
      <c r="BE265" s="2004"/>
      <c r="BF265" s="2004"/>
      <c r="BG265" s="2004"/>
      <c r="BH265" s="2004">
        <v>1.7174</v>
      </c>
      <c r="BI265" s="2004"/>
      <c r="BJ265" s="2004"/>
      <c r="BK265" s="2004"/>
      <c r="BL265" s="2004"/>
      <c r="BM265" s="2004"/>
      <c r="BN265" s="2004">
        <v>100</v>
      </c>
      <c r="BO265" s="2004" t="s">
        <v>9574</v>
      </c>
      <c r="BP265" s="516">
        <v>99.94</v>
      </c>
      <c r="BQ265" s="700">
        <v>99.962000000000003</v>
      </c>
      <c r="BR265" s="2004" t="s">
        <v>2334</v>
      </c>
      <c r="BS265" s="2004" t="s">
        <v>9120</v>
      </c>
      <c r="BT265" s="2004">
        <v>0</v>
      </c>
      <c r="BU265" s="2004" t="s">
        <v>9204</v>
      </c>
      <c r="BV265" s="2004">
        <v>0</v>
      </c>
      <c r="BW265" s="2004">
        <v>99.944000000000003</v>
      </c>
      <c r="BX265" s="2004" t="s">
        <v>2334</v>
      </c>
      <c r="BY265" s="2004" t="s">
        <v>9254</v>
      </c>
      <c r="BZ265" s="2004">
        <v>-0.17169999999837984</v>
      </c>
      <c r="CA265" s="2004">
        <v>0</v>
      </c>
      <c r="CB265" s="2004">
        <v>0</v>
      </c>
      <c r="CC265" s="2004">
        <v>99.96</v>
      </c>
      <c r="CD265" s="2004" t="s">
        <v>2334</v>
      </c>
      <c r="CE265" s="2004" t="s">
        <v>2340</v>
      </c>
      <c r="CF265" s="2004">
        <v>0</v>
      </c>
      <c r="CG265" s="2004">
        <v>0</v>
      </c>
      <c r="CH265" s="2004">
        <v>0</v>
      </c>
      <c r="CI265" s="2004" t="s">
        <v>9204</v>
      </c>
      <c r="CJ265" s="2004" t="s">
        <v>9204</v>
      </c>
      <c r="CK265" s="2004" t="s">
        <v>9204</v>
      </c>
      <c r="CL265" s="2004">
        <v>0</v>
      </c>
      <c r="CM265" s="2004" t="s">
        <v>9204</v>
      </c>
      <c r="CN265" s="2004">
        <v>0</v>
      </c>
      <c r="CP265" s="2004" t="s">
        <v>10732</v>
      </c>
    </row>
    <row r="266" spans="1:94">
      <c r="A266" s="2004" t="s">
        <v>9060</v>
      </c>
      <c r="B266" s="2004" t="s">
        <v>10733</v>
      </c>
      <c r="C266" s="2004" t="s">
        <v>9047</v>
      </c>
      <c r="D266" s="2004" t="s">
        <v>1628</v>
      </c>
      <c r="E266" s="2004" t="s">
        <v>9194</v>
      </c>
      <c r="F266" s="2004" t="s">
        <v>10724</v>
      </c>
      <c r="G266" s="2004" t="s">
        <v>9215</v>
      </c>
      <c r="H266" s="2004" t="s">
        <v>10734</v>
      </c>
      <c r="I266" s="2004" t="s">
        <v>10735</v>
      </c>
      <c r="J266" s="2004" t="s">
        <v>9210</v>
      </c>
      <c r="K266" s="2004" t="s">
        <v>9545</v>
      </c>
      <c r="L266" s="2004"/>
      <c r="M266" s="2004" t="s">
        <v>2334</v>
      </c>
      <c r="N266" s="2004" t="s">
        <v>9260</v>
      </c>
      <c r="O266" s="2004" t="s">
        <v>766</v>
      </c>
      <c r="P266" s="2004" t="s">
        <v>10736</v>
      </c>
      <c r="Q266" s="516">
        <v>0</v>
      </c>
      <c r="R266" s="2004" t="s">
        <v>9202</v>
      </c>
      <c r="S266" s="2004" t="s">
        <v>2338</v>
      </c>
      <c r="T266" s="2004" t="s">
        <v>10737</v>
      </c>
      <c r="U266" s="2004" t="s">
        <v>10737</v>
      </c>
      <c r="V266" s="2004" t="s">
        <v>10737</v>
      </c>
      <c r="W266" s="2004" t="s">
        <v>10738</v>
      </c>
      <c r="X266" s="2004" t="s">
        <v>10738</v>
      </c>
      <c r="Y266" s="2004"/>
      <c r="Z266" s="2004"/>
      <c r="AA266" s="2004"/>
      <c r="AB266" s="2004"/>
      <c r="AC266" s="2004"/>
      <c r="AD266" s="2004"/>
      <c r="AE266" s="2004" t="s">
        <v>2337</v>
      </c>
      <c r="AF266" s="2004"/>
      <c r="AG266" s="2004"/>
      <c r="AH266" s="2004">
        <v>0</v>
      </c>
      <c r="AI266" s="2004" t="s">
        <v>2337</v>
      </c>
      <c r="AJ266" s="2004" t="s">
        <v>2337</v>
      </c>
      <c r="AK266" s="2004" t="s">
        <v>2337</v>
      </c>
      <c r="AL266" s="2004" t="s">
        <v>2337</v>
      </c>
      <c r="AM266" s="2004" t="s">
        <v>2337</v>
      </c>
      <c r="AN266" s="2004">
        <v>999999</v>
      </c>
      <c r="AO266" s="2004">
        <v>999999</v>
      </c>
      <c r="AP266" s="2004">
        <v>999999</v>
      </c>
      <c r="AQ266" s="2004">
        <v>999999</v>
      </c>
      <c r="AR266" s="2004">
        <v>999999</v>
      </c>
      <c r="AS266" s="2004">
        <v>8</v>
      </c>
      <c r="AT266" s="2004">
        <v>8</v>
      </c>
      <c r="AU266" s="2004">
        <v>8</v>
      </c>
      <c r="AV266" s="2004">
        <v>6</v>
      </c>
      <c r="AW266" s="2004">
        <v>6</v>
      </c>
      <c r="AX266" s="2004"/>
      <c r="AY266" s="2004"/>
      <c r="AZ266" s="2004"/>
      <c r="BA266" s="2004"/>
      <c r="BB266" s="2004"/>
      <c r="BC266" s="2004"/>
      <c r="BD266" s="2004"/>
      <c r="BE266" s="2004"/>
      <c r="BF266" s="2004"/>
      <c r="BG266" s="2004"/>
      <c r="BH266" s="2004">
        <v>0.46300000000000002</v>
      </c>
      <c r="BI266" s="2004"/>
      <c r="BJ266" s="2004"/>
      <c r="BK266" s="2004"/>
      <c r="BL266" s="2004"/>
      <c r="BM266" s="2004"/>
      <c r="BN266" s="2004">
        <v>1</v>
      </c>
      <c r="BO266" s="2004" t="s">
        <v>9203</v>
      </c>
      <c r="BP266" s="516">
        <v>13</v>
      </c>
      <c r="BQ266" s="688">
        <v>5</v>
      </c>
      <c r="BR266" s="2004" t="s">
        <v>2337</v>
      </c>
      <c r="BS266" s="2004" t="s">
        <v>9204</v>
      </c>
      <c r="BT266" s="2004">
        <v>0</v>
      </c>
      <c r="BU266" s="2004" t="s">
        <v>9204</v>
      </c>
      <c r="BV266" s="2004">
        <v>0</v>
      </c>
      <c r="BW266" s="2004">
        <v>5</v>
      </c>
      <c r="BX266" s="2004" t="s">
        <v>2337</v>
      </c>
      <c r="BY266" s="2004">
        <v>0</v>
      </c>
      <c r="BZ266" s="2004">
        <v>0</v>
      </c>
      <c r="CA266" s="2004">
        <v>0</v>
      </c>
      <c r="CB266" s="2004">
        <v>0</v>
      </c>
      <c r="CC266" s="2004">
        <v>8</v>
      </c>
      <c r="CD266" s="2004" t="s">
        <v>2334</v>
      </c>
      <c r="CF266" s="2004">
        <v>0</v>
      </c>
      <c r="CG266" s="2004" t="s">
        <v>2336</v>
      </c>
      <c r="CH266" s="2004">
        <v>-0.46300000000000002</v>
      </c>
      <c r="CI266" s="2004" t="s">
        <v>9204</v>
      </c>
      <c r="CJ266" s="2004" t="s">
        <v>9204</v>
      </c>
      <c r="CK266" s="2004" t="s">
        <v>9204</v>
      </c>
      <c r="CL266" s="2004">
        <v>0</v>
      </c>
      <c r="CM266" s="2004" t="s">
        <v>9204</v>
      </c>
      <c r="CN266" s="2004">
        <v>0</v>
      </c>
      <c r="CP266" s="2004" t="s">
        <v>10739</v>
      </c>
    </row>
    <row r="267" spans="1:94">
      <c r="A267" s="2004" t="s">
        <v>9060</v>
      </c>
      <c r="B267" s="2004" t="s">
        <v>10740</v>
      </c>
      <c r="C267" s="2004" t="s">
        <v>9047</v>
      </c>
      <c r="D267" s="2004" t="s">
        <v>1628</v>
      </c>
      <c r="E267" s="2004" t="s">
        <v>9194</v>
      </c>
      <c r="F267" s="2004" t="s">
        <v>10724</v>
      </c>
      <c r="G267" s="2004" t="s">
        <v>9221</v>
      </c>
      <c r="H267" s="2004" t="s">
        <v>10741</v>
      </c>
      <c r="I267" s="2004" t="s">
        <v>10742</v>
      </c>
      <c r="J267" s="2004" t="s">
        <v>9199</v>
      </c>
      <c r="K267" s="2004" t="s">
        <v>9200</v>
      </c>
      <c r="L267" s="2004" t="s">
        <v>2337</v>
      </c>
      <c r="M267" s="2004" t="s">
        <v>2334</v>
      </c>
      <c r="N267" s="2004" t="s">
        <v>10743</v>
      </c>
      <c r="O267" s="2004" t="s">
        <v>766</v>
      </c>
      <c r="P267" s="2004" t="s">
        <v>10744</v>
      </c>
      <c r="Q267" s="516">
        <v>0</v>
      </c>
      <c r="R267" s="2004" t="s">
        <v>9240</v>
      </c>
      <c r="S267" s="2004"/>
      <c r="T267" s="2004"/>
      <c r="U267" s="2004"/>
      <c r="V267" s="2004"/>
      <c r="W267" s="2004">
        <v>12</v>
      </c>
      <c r="X267" s="2004"/>
      <c r="Y267" s="2004"/>
      <c r="Z267" s="2004"/>
      <c r="AA267" s="2004"/>
      <c r="AB267" s="2004"/>
      <c r="AC267" s="2004"/>
      <c r="AD267" s="2004"/>
      <c r="AE267" s="2004"/>
      <c r="AF267" s="2004" t="s">
        <v>2337</v>
      </c>
      <c r="AG267" s="2004"/>
      <c r="AH267" s="2004">
        <v>0</v>
      </c>
      <c r="AI267" s="2004"/>
      <c r="AJ267" s="2004"/>
      <c r="AK267" s="2004"/>
      <c r="AL267" s="2004" t="s">
        <v>2337</v>
      </c>
      <c r="AM267" s="2004"/>
      <c r="AN267" s="2004"/>
      <c r="AO267" s="2004"/>
      <c r="AP267" s="2004"/>
      <c r="AQ267" s="2004">
        <v>0</v>
      </c>
      <c r="AR267" s="2004"/>
      <c r="AS267" s="2004"/>
      <c r="AT267" s="2004"/>
      <c r="AU267" s="2004"/>
      <c r="AV267" s="2004">
        <v>12</v>
      </c>
      <c r="AW267" s="2004"/>
      <c r="AX267" s="2004"/>
      <c r="AY267" s="2004"/>
      <c r="AZ267" s="2004"/>
      <c r="BA267" s="2004">
        <v>12</v>
      </c>
      <c r="BB267" s="2004"/>
      <c r="BC267" s="2004"/>
      <c r="BD267" s="2004"/>
      <c r="BE267" s="2004"/>
      <c r="BF267" s="2004">
        <v>21</v>
      </c>
      <c r="BG267" s="2004"/>
      <c r="BH267" s="2004">
        <v>1.03</v>
      </c>
      <c r="BI267" s="2004"/>
      <c r="BJ267" s="2004"/>
      <c r="BK267" s="2004"/>
      <c r="BL267" s="2004">
        <v>1.03</v>
      </c>
      <c r="BM267" s="2004"/>
      <c r="BN267" s="2004">
        <v>1</v>
      </c>
      <c r="BO267" s="2004" t="s">
        <v>9203</v>
      </c>
      <c r="BP267" s="516">
        <v>0</v>
      </c>
      <c r="BQ267" s="689">
        <v>0</v>
      </c>
      <c r="BR267" s="2004" t="s">
        <v>9204</v>
      </c>
      <c r="BS267" s="2004" t="s">
        <v>9204</v>
      </c>
      <c r="BT267" s="2004">
        <v>0</v>
      </c>
      <c r="BU267" s="2004" t="s">
        <v>9204</v>
      </c>
      <c r="BV267" s="2004">
        <v>0</v>
      </c>
      <c r="BW267" s="2004">
        <v>0</v>
      </c>
      <c r="BX267" s="2004" t="s">
        <v>2335</v>
      </c>
      <c r="BY267" s="2004">
        <v>0</v>
      </c>
      <c r="BZ267" s="2004">
        <v>0</v>
      </c>
      <c r="CA267" s="2004">
        <v>0</v>
      </c>
      <c r="CB267" s="2004">
        <v>0</v>
      </c>
      <c r="CC267" s="2004">
        <v>0</v>
      </c>
      <c r="CD267" s="2004" t="s">
        <v>2335</v>
      </c>
      <c r="CE267" s="2004">
        <v>0</v>
      </c>
      <c r="CF267" s="2004">
        <v>0</v>
      </c>
      <c r="CG267" s="2004">
        <v>0</v>
      </c>
      <c r="CH267" s="2004">
        <v>0</v>
      </c>
      <c r="CI267" s="2004" t="s">
        <v>9204</v>
      </c>
      <c r="CJ267" s="2004" t="s">
        <v>9204</v>
      </c>
      <c r="CK267" s="2004" t="s">
        <v>9204</v>
      </c>
      <c r="CL267" s="2004">
        <v>0</v>
      </c>
      <c r="CM267" s="2004" t="s">
        <v>9204</v>
      </c>
      <c r="CN267" s="2004">
        <v>0</v>
      </c>
      <c r="CP267" s="2004" t="s">
        <v>10745</v>
      </c>
    </row>
    <row r="268" spans="1:94">
      <c r="A268" s="2004" t="s">
        <v>9060</v>
      </c>
      <c r="B268" s="2004" t="s">
        <v>10746</v>
      </c>
      <c r="C268" s="2004" t="s">
        <v>9047</v>
      </c>
      <c r="D268" s="2004" t="s">
        <v>1628</v>
      </c>
      <c r="E268" s="2004" t="s">
        <v>9194</v>
      </c>
      <c r="F268" s="2004" t="s">
        <v>10747</v>
      </c>
      <c r="G268" s="2004" t="s">
        <v>9235</v>
      </c>
      <c r="H268" s="2004" t="s">
        <v>10748</v>
      </c>
      <c r="I268" s="2004" t="s">
        <v>10749</v>
      </c>
      <c r="J268" s="2004" t="s">
        <v>9230</v>
      </c>
      <c r="K268" s="2004"/>
      <c r="L268" s="2004"/>
      <c r="M268" s="2004"/>
      <c r="N268" s="2004" t="s">
        <v>9224</v>
      </c>
      <c r="O268" s="2004" t="s">
        <v>766</v>
      </c>
      <c r="P268" s="2004" t="s">
        <v>9212</v>
      </c>
      <c r="Q268" s="516">
        <v>0</v>
      </c>
      <c r="R268" s="2004" t="s">
        <v>9202</v>
      </c>
      <c r="S268" s="2004">
        <v>229</v>
      </c>
      <c r="T268" s="2004">
        <v>225</v>
      </c>
      <c r="U268" s="2004">
        <v>222</v>
      </c>
      <c r="V268" s="2004">
        <v>219</v>
      </c>
      <c r="W268" s="2004">
        <v>216</v>
      </c>
      <c r="X268" s="2004">
        <v>213</v>
      </c>
      <c r="Y268" s="2004"/>
      <c r="Z268" s="2004"/>
      <c r="AA268" s="2004"/>
      <c r="AB268" s="2004"/>
      <c r="AC268" s="2004"/>
      <c r="AD268" s="2004"/>
      <c r="AE268" s="2004"/>
      <c r="AF268" s="2004"/>
      <c r="AG268" s="2004"/>
      <c r="AH268" s="2004">
        <v>0</v>
      </c>
      <c r="AI268" s="2004"/>
      <c r="AJ268" s="2004"/>
      <c r="AK268" s="2004"/>
      <c r="AL268" s="2004"/>
      <c r="AM268" s="2004"/>
      <c r="AN268" s="2004"/>
      <c r="AO268" s="2004"/>
      <c r="AP268" s="2004"/>
      <c r="AQ268" s="2004"/>
      <c r="AR268" s="2004"/>
      <c r="AS268" s="2004"/>
      <c r="AT268" s="2004"/>
      <c r="AU268" s="2004"/>
      <c r="AV268" s="2004"/>
      <c r="AW268" s="2004"/>
      <c r="AX268" s="2004"/>
      <c r="AY268" s="2004"/>
      <c r="AZ268" s="2004"/>
      <c r="BA268" s="2004"/>
      <c r="BB268" s="2004"/>
      <c r="BC268" s="2004"/>
      <c r="BD268" s="2004"/>
      <c r="BE268" s="2004"/>
      <c r="BF268" s="2004"/>
      <c r="BG268" s="2004"/>
      <c r="BH268" s="2004"/>
      <c r="BI268" s="2004"/>
      <c r="BJ268" s="2004"/>
      <c r="BK268" s="2004"/>
      <c r="BL268" s="2004"/>
      <c r="BM268" s="2004"/>
      <c r="BN268" s="2004"/>
      <c r="BO268" s="2004"/>
      <c r="BP268" s="516">
        <v>230</v>
      </c>
      <c r="BQ268" s="689">
        <v>237</v>
      </c>
      <c r="BR268" s="2004" t="s">
        <v>2334</v>
      </c>
      <c r="BS268" s="2004" t="s">
        <v>9204</v>
      </c>
      <c r="BT268" s="2004">
        <v>0</v>
      </c>
      <c r="BU268" s="2004" t="s">
        <v>9204</v>
      </c>
      <c r="BV268" s="2004">
        <v>0</v>
      </c>
      <c r="BW268" s="2004">
        <v>236</v>
      </c>
      <c r="BX268" s="2004" t="s">
        <v>2334</v>
      </c>
      <c r="BY268" s="2004">
        <v>0</v>
      </c>
      <c r="BZ268" s="2004">
        <v>0</v>
      </c>
      <c r="CA268" s="2004">
        <v>0</v>
      </c>
      <c r="CB268" s="2004">
        <v>0</v>
      </c>
      <c r="CC268" s="2004">
        <v>235</v>
      </c>
      <c r="CD268" s="2004" t="s">
        <v>2334</v>
      </c>
      <c r="CE268" s="2004">
        <v>0</v>
      </c>
      <c r="CF268" s="2004">
        <v>0</v>
      </c>
      <c r="CG268" s="2004">
        <v>0</v>
      </c>
      <c r="CH268" s="2004">
        <v>0</v>
      </c>
      <c r="CI268" s="2004" t="s">
        <v>9204</v>
      </c>
      <c r="CJ268" s="2004" t="s">
        <v>9204</v>
      </c>
      <c r="CK268" s="2004" t="s">
        <v>9204</v>
      </c>
      <c r="CL268" s="2004">
        <v>0</v>
      </c>
      <c r="CM268" s="2004" t="s">
        <v>9204</v>
      </c>
      <c r="CN268" s="2004">
        <v>0</v>
      </c>
      <c r="CP268" s="2004" t="s">
        <v>10750</v>
      </c>
    </row>
    <row r="269" spans="1:94">
      <c r="A269" s="2004" t="s">
        <v>9060</v>
      </c>
      <c r="B269" s="2004" t="s">
        <v>10751</v>
      </c>
      <c r="C269" s="2004" t="s">
        <v>9047</v>
      </c>
      <c r="D269" s="2004" t="s">
        <v>1628</v>
      </c>
      <c r="E269" s="2004" t="s">
        <v>9194</v>
      </c>
      <c r="F269" s="2004" t="s">
        <v>10747</v>
      </c>
      <c r="G269" s="2004" t="s">
        <v>9243</v>
      </c>
      <c r="H269" s="2004" t="s">
        <v>10752</v>
      </c>
      <c r="I269" s="2004" t="s">
        <v>10753</v>
      </c>
      <c r="J269" s="2004" t="s">
        <v>9199</v>
      </c>
      <c r="K269" s="2004" t="s">
        <v>9200</v>
      </c>
      <c r="L269" s="2004" t="s">
        <v>2337</v>
      </c>
      <c r="M269" s="2004" t="s">
        <v>2334</v>
      </c>
      <c r="N269" s="2004" t="s">
        <v>2927</v>
      </c>
      <c r="O269" s="2004" t="s">
        <v>766</v>
      </c>
      <c r="P269" s="2004" t="s">
        <v>9201</v>
      </c>
      <c r="Q269" s="516">
        <v>0</v>
      </c>
      <c r="R269" s="2004" t="s">
        <v>9202</v>
      </c>
      <c r="S269" s="2004">
        <v>450</v>
      </c>
      <c r="T269" s="2004">
        <v>444</v>
      </c>
      <c r="U269" s="2004">
        <v>439</v>
      </c>
      <c r="V269" s="2004">
        <v>434</v>
      </c>
      <c r="W269" s="2004">
        <v>429</v>
      </c>
      <c r="X269" s="2004">
        <v>424</v>
      </c>
      <c r="Y269" s="2004"/>
      <c r="Z269" s="2004"/>
      <c r="AA269" s="2004"/>
      <c r="AB269" s="2004"/>
      <c r="AC269" s="2004"/>
      <c r="AD269" s="2004"/>
      <c r="AE269" s="2004" t="s">
        <v>2337</v>
      </c>
      <c r="AF269" s="2004"/>
      <c r="AG269" s="2004"/>
      <c r="AH269" s="2004">
        <v>0</v>
      </c>
      <c r="AI269" s="2004" t="s">
        <v>2337</v>
      </c>
      <c r="AJ269" s="2004" t="s">
        <v>2337</v>
      </c>
      <c r="AK269" s="2004" t="s">
        <v>2337</v>
      </c>
      <c r="AL269" s="2004" t="s">
        <v>2337</v>
      </c>
      <c r="AM269" s="2004" t="s">
        <v>2337</v>
      </c>
      <c r="AN269" s="2004">
        <v>999999</v>
      </c>
      <c r="AO269" s="2004">
        <v>999999</v>
      </c>
      <c r="AP269" s="2004">
        <v>999999</v>
      </c>
      <c r="AQ269" s="2004">
        <v>999999</v>
      </c>
      <c r="AR269" s="2004">
        <v>999999</v>
      </c>
      <c r="AS269" s="2004">
        <v>444</v>
      </c>
      <c r="AT269" s="2004">
        <v>439</v>
      </c>
      <c r="AU269" s="2004">
        <v>434</v>
      </c>
      <c r="AV269" s="2004">
        <v>429</v>
      </c>
      <c r="AW269" s="2004">
        <v>424</v>
      </c>
      <c r="AX269" s="2004">
        <v>444</v>
      </c>
      <c r="AY269" s="2004">
        <v>439</v>
      </c>
      <c r="AZ269" s="2004">
        <v>434</v>
      </c>
      <c r="BA269" s="2004">
        <v>429</v>
      </c>
      <c r="BB269" s="2004">
        <v>424</v>
      </c>
      <c r="BC269" s="2004">
        <v>0</v>
      </c>
      <c r="BD269" s="2004">
        <v>0</v>
      </c>
      <c r="BE269" s="2004">
        <v>0</v>
      </c>
      <c r="BF269" s="2004">
        <v>0</v>
      </c>
      <c r="BG269" s="2004">
        <v>0</v>
      </c>
      <c r="BH269" s="2004">
        <v>0.123</v>
      </c>
      <c r="BI269" s="2004">
        <v>0.2</v>
      </c>
      <c r="BJ269" s="2004"/>
      <c r="BK269" s="2004"/>
      <c r="BL269" s="2004">
        <v>0.123</v>
      </c>
      <c r="BM269" s="2004"/>
      <c r="BN269" s="2004">
        <v>1</v>
      </c>
      <c r="BO269" s="2004" t="s">
        <v>9203</v>
      </c>
      <c r="BP269" s="516">
        <v>444</v>
      </c>
      <c r="BQ269" s="689">
        <v>434</v>
      </c>
      <c r="BR269" s="2004" t="s">
        <v>2337</v>
      </c>
      <c r="BS269" s="2004" t="s">
        <v>2339</v>
      </c>
      <c r="BT269" s="2004">
        <v>1.107</v>
      </c>
      <c r="BU269" s="2004" t="s">
        <v>9204</v>
      </c>
      <c r="BV269" s="2004">
        <v>0</v>
      </c>
      <c r="BW269" s="2004">
        <v>432</v>
      </c>
      <c r="BX269" s="2004" t="s">
        <v>2337</v>
      </c>
      <c r="BY269" s="2004">
        <v>0</v>
      </c>
      <c r="BZ269" s="2004">
        <v>0</v>
      </c>
      <c r="CA269" s="2004">
        <v>0</v>
      </c>
      <c r="CB269" s="2004">
        <v>0</v>
      </c>
      <c r="CC269" s="2004">
        <v>443</v>
      </c>
      <c r="CD269" s="2004" t="s">
        <v>2334</v>
      </c>
      <c r="CE269" s="2004" t="s">
        <v>2336</v>
      </c>
      <c r="CF269" s="2004">
        <v>-1.722</v>
      </c>
      <c r="CG269" s="2004">
        <v>0</v>
      </c>
      <c r="CH269" s="2004">
        <v>0</v>
      </c>
      <c r="CI269" s="2004" t="s">
        <v>9204</v>
      </c>
      <c r="CJ269" s="2004" t="s">
        <v>9204</v>
      </c>
      <c r="CK269" s="2004" t="s">
        <v>9204</v>
      </c>
      <c r="CL269" s="2004">
        <v>0</v>
      </c>
      <c r="CM269" s="2004" t="s">
        <v>9204</v>
      </c>
      <c r="CN269" s="2004">
        <v>0</v>
      </c>
      <c r="CP269" s="2004" t="s">
        <v>10754</v>
      </c>
    </row>
    <row r="270" spans="1:94">
      <c r="A270" s="2004" t="s">
        <v>9060</v>
      </c>
      <c r="B270" s="2004" t="s">
        <v>10755</v>
      </c>
      <c r="C270" s="2004" t="s">
        <v>9047</v>
      </c>
      <c r="D270" s="2004" t="s">
        <v>1628</v>
      </c>
      <c r="E270" s="2004" t="s">
        <v>9194</v>
      </c>
      <c r="F270" s="2004" t="s">
        <v>10747</v>
      </c>
      <c r="G270" s="2004" t="s">
        <v>9775</v>
      </c>
      <c r="H270" s="2004" t="s">
        <v>10756</v>
      </c>
      <c r="I270" s="2004" t="s">
        <v>10757</v>
      </c>
      <c r="J270" s="2004" t="s">
        <v>9199</v>
      </c>
      <c r="K270" s="2004" t="s">
        <v>9200</v>
      </c>
      <c r="L270" s="2004" t="s">
        <v>2337</v>
      </c>
      <c r="M270" s="2004"/>
      <c r="N270" s="2004" t="s">
        <v>2927</v>
      </c>
      <c r="O270" s="2004" t="s">
        <v>734</v>
      </c>
      <c r="P270" s="2004" t="s">
        <v>10758</v>
      </c>
      <c r="Q270" s="516">
        <v>0</v>
      </c>
      <c r="R270" s="2004" t="s">
        <v>9240</v>
      </c>
      <c r="S270" s="2004">
        <v>50</v>
      </c>
      <c r="T270" s="2004">
        <v>70</v>
      </c>
      <c r="U270" s="2004">
        <v>80</v>
      </c>
      <c r="V270" s="2004">
        <v>90</v>
      </c>
      <c r="W270" s="2004">
        <v>95</v>
      </c>
      <c r="X270" s="2004">
        <v>100</v>
      </c>
      <c r="Y270" s="2004"/>
      <c r="Z270" s="2004"/>
      <c r="AA270" s="2004"/>
      <c r="AB270" s="2004"/>
      <c r="AC270" s="2004"/>
      <c r="AD270" s="2004"/>
      <c r="AE270" s="2004" t="s">
        <v>2337</v>
      </c>
      <c r="AF270" s="2004"/>
      <c r="AG270" s="2004"/>
      <c r="AH270" s="2004">
        <v>0</v>
      </c>
      <c r="AI270" s="2004" t="s">
        <v>2337</v>
      </c>
      <c r="AJ270" s="2004" t="s">
        <v>2337</v>
      </c>
      <c r="AK270" s="2004" t="s">
        <v>2337</v>
      </c>
      <c r="AL270" s="2004" t="s">
        <v>2337</v>
      </c>
      <c r="AM270" s="2004" t="s">
        <v>2337</v>
      </c>
      <c r="AN270" s="2004">
        <v>0</v>
      </c>
      <c r="AO270" s="2004">
        <v>0</v>
      </c>
      <c r="AP270" s="2004">
        <v>0</v>
      </c>
      <c r="AQ270" s="2004">
        <v>0</v>
      </c>
      <c r="AR270" s="2004">
        <v>0</v>
      </c>
      <c r="AS270" s="2004">
        <v>60</v>
      </c>
      <c r="AT270" s="2004">
        <v>70</v>
      </c>
      <c r="AU270" s="2004">
        <v>80</v>
      </c>
      <c r="AV270" s="2004">
        <v>85</v>
      </c>
      <c r="AW270" s="2004">
        <v>90</v>
      </c>
      <c r="AX270" s="2004">
        <v>70</v>
      </c>
      <c r="AY270" s="2004">
        <v>80</v>
      </c>
      <c r="AZ270" s="2004">
        <v>90</v>
      </c>
      <c r="BA270" s="2004">
        <v>95</v>
      </c>
      <c r="BB270" s="2004">
        <v>100</v>
      </c>
      <c r="BC270" s="2004">
        <v>100</v>
      </c>
      <c r="BD270" s="2004">
        <v>100</v>
      </c>
      <c r="BE270" s="2004">
        <v>100</v>
      </c>
      <c r="BF270" s="2004">
        <v>100</v>
      </c>
      <c r="BG270" s="2004">
        <v>100</v>
      </c>
      <c r="BH270" s="2004">
        <v>2.4663000000000001E-2</v>
      </c>
      <c r="BI270" s="2004"/>
      <c r="BJ270" s="2004"/>
      <c r="BK270" s="2004"/>
      <c r="BL270" s="2004">
        <v>2.4663000000000001E-2</v>
      </c>
      <c r="BM270" s="2004"/>
      <c r="BN270" s="2004">
        <v>1</v>
      </c>
      <c r="BO270" s="2004" t="s">
        <v>9203</v>
      </c>
      <c r="BP270" s="516">
        <v>43.6</v>
      </c>
      <c r="BQ270" s="689">
        <v>53</v>
      </c>
      <c r="BR270" s="2004" t="s">
        <v>2334</v>
      </c>
      <c r="BS270" s="2004" t="s">
        <v>9254</v>
      </c>
      <c r="BT270" s="2004">
        <v>-0.17264099999999999</v>
      </c>
      <c r="BU270" s="2004" t="s">
        <v>9204</v>
      </c>
      <c r="BV270" s="2004">
        <v>0</v>
      </c>
      <c r="BW270" s="2004">
        <v>33</v>
      </c>
      <c r="BX270" s="2004" t="s">
        <v>2334</v>
      </c>
      <c r="BY270" s="2004" t="s">
        <v>9254</v>
      </c>
      <c r="BZ270" s="2004">
        <v>-0.91253099999999998</v>
      </c>
      <c r="CA270" s="2004">
        <v>0</v>
      </c>
      <c r="CB270" s="2004">
        <v>0</v>
      </c>
      <c r="CC270" s="2004">
        <v>23</v>
      </c>
      <c r="CD270" s="2004" t="s">
        <v>2334</v>
      </c>
      <c r="CE270" s="2004" t="s">
        <v>2336</v>
      </c>
      <c r="CF270" s="2004">
        <v>-1.405791</v>
      </c>
      <c r="CG270" s="2004">
        <v>0</v>
      </c>
      <c r="CH270" s="2004">
        <v>0</v>
      </c>
      <c r="CI270" s="2004" t="s">
        <v>9204</v>
      </c>
      <c r="CJ270" s="2004" t="s">
        <v>9204</v>
      </c>
      <c r="CK270" s="2004" t="s">
        <v>9204</v>
      </c>
      <c r="CL270" s="2004">
        <v>0</v>
      </c>
      <c r="CM270" s="2004" t="s">
        <v>9204</v>
      </c>
      <c r="CN270" s="2004">
        <v>0</v>
      </c>
      <c r="CP270" s="2004" t="s">
        <v>10759</v>
      </c>
    </row>
    <row r="271" spans="1:94">
      <c r="A271" s="2004" t="s">
        <v>9060</v>
      </c>
      <c r="B271" s="2004" t="s">
        <v>10760</v>
      </c>
      <c r="C271" s="2004" t="s">
        <v>9047</v>
      </c>
      <c r="D271" s="2004" t="s">
        <v>1628</v>
      </c>
      <c r="E271" s="2004" t="s">
        <v>9194</v>
      </c>
      <c r="F271" s="2004" t="s">
        <v>10747</v>
      </c>
      <c r="G271" s="2004" t="s">
        <v>10761</v>
      </c>
      <c r="H271" s="2004" t="s">
        <v>10762</v>
      </c>
      <c r="I271" s="2004" t="s">
        <v>10763</v>
      </c>
      <c r="J271" s="2004" t="s">
        <v>9199</v>
      </c>
      <c r="K271" s="2004" t="s">
        <v>9200</v>
      </c>
      <c r="L271" s="2004" t="s">
        <v>2337</v>
      </c>
      <c r="M271" s="2004" t="s">
        <v>2334</v>
      </c>
      <c r="N271" s="2004" t="s">
        <v>2951</v>
      </c>
      <c r="O271" s="2004" t="s">
        <v>9298</v>
      </c>
      <c r="P271" s="2004" t="s">
        <v>9299</v>
      </c>
      <c r="Q271" s="516">
        <v>2</v>
      </c>
      <c r="R271" s="2004" t="s">
        <v>9202</v>
      </c>
      <c r="S271" s="2004">
        <v>15</v>
      </c>
      <c r="T271" s="2004">
        <v>13.6</v>
      </c>
      <c r="U271" s="2004">
        <v>12.2</v>
      </c>
      <c r="V271" s="2004">
        <v>10.8</v>
      </c>
      <c r="W271" s="2004">
        <v>9.4</v>
      </c>
      <c r="X271" s="2004">
        <v>8</v>
      </c>
      <c r="Y271" s="2004"/>
      <c r="Z271" s="2004"/>
      <c r="AA271" s="2004" t="s">
        <v>2337</v>
      </c>
      <c r="AB271" s="2004"/>
      <c r="AC271" s="2004"/>
      <c r="AD271" s="2004"/>
      <c r="AE271" s="2004" t="s">
        <v>2337</v>
      </c>
      <c r="AF271" s="2004"/>
      <c r="AG271" s="2004"/>
      <c r="AH271" s="2004">
        <v>0</v>
      </c>
      <c r="AI271" s="2004" t="s">
        <v>2337</v>
      </c>
      <c r="AJ271" s="2004" t="s">
        <v>2337</v>
      </c>
      <c r="AK271" s="2004" t="s">
        <v>2337</v>
      </c>
      <c r="AL271" s="2004" t="s">
        <v>2337</v>
      </c>
      <c r="AM271" s="2004" t="s">
        <v>2337</v>
      </c>
      <c r="AN271" s="2004">
        <v>999999.99</v>
      </c>
      <c r="AO271" s="2004">
        <v>999999.99</v>
      </c>
      <c r="AP271" s="2004">
        <v>999999.99</v>
      </c>
      <c r="AQ271" s="2004">
        <v>999999.99</v>
      </c>
      <c r="AR271" s="2004">
        <v>999999.99</v>
      </c>
      <c r="AS271" s="2004">
        <v>14.5</v>
      </c>
      <c r="AT271" s="2004">
        <v>14</v>
      </c>
      <c r="AU271" s="2004">
        <v>12</v>
      </c>
      <c r="AV271" s="2004">
        <v>12</v>
      </c>
      <c r="AW271" s="2004">
        <v>12</v>
      </c>
      <c r="AX271" s="2004">
        <v>12</v>
      </c>
      <c r="AY271" s="2004">
        <v>12</v>
      </c>
      <c r="AZ271" s="2004">
        <v>10.8</v>
      </c>
      <c r="BA271" s="2004">
        <v>9.4</v>
      </c>
      <c r="BB271" s="2004">
        <v>8</v>
      </c>
      <c r="BC271" s="2004">
        <v>0</v>
      </c>
      <c r="BD271" s="2004">
        <v>0</v>
      </c>
      <c r="BE271" s="2004">
        <v>0</v>
      </c>
      <c r="BF271" s="2004">
        <v>0</v>
      </c>
      <c r="BG271" s="2004">
        <v>0</v>
      </c>
      <c r="BH271" s="2004">
        <v>1.1000000000000001</v>
      </c>
      <c r="BI271" s="2004"/>
      <c r="BJ271" s="2004"/>
      <c r="BK271" s="2004"/>
      <c r="BL271" s="2004">
        <v>1.1000000000000001</v>
      </c>
      <c r="BM271" s="2004"/>
      <c r="BN271" s="2004">
        <v>1</v>
      </c>
      <c r="BO271" s="2004" t="s">
        <v>9203</v>
      </c>
      <c r="BP271" s="516">
        <v>9.9</v>
      </c>
      <c r="BQ271" s="690">
        <v>11.17</v>
      </c>
      <c r="BR271" s="2004" t="s">
        <v>2337</v>
      </c>
      <c r="BS271" s="2004"/>
      <c r="BT271" s="2004">
        <v>0</v>
      </c>
      <c r="BU271" s="2004" t="s">
        <v>9204</v>
      </c>
      <c r="BV271" s="2004">
        <v>0</v>
      </c>
      <c r="BW271" s="2004">
        <v>10.130000000000001</v>
      </c>
      <c r="BX271" s="2004" t="s">
        <v>2337</v>
      </c>
      <c r="BY271" s="2004" t="s">
        <v>2339</v>
      </c>
      <c r="BZ271" s="2004">
        <v>2.0569999999999995</v>
      </c>
      <c r="CA271" s="2004">
        <v>0</v>
      </c>
      <c r="CB271" s="2004">
        <v>0</v>
      </c>
      <c r="CC271" s="2004">
        <v>34.29</v>
      </c>
      <c r="CD271" s="2004" t="s">
        <v>2334</v>
      </c>
      <c r="CE271" s="2004" t="s">
        <v>2336</v>
      </c>
      <c r="CF271" s="2004">
        <v>-23.716000000000001</v>
      </c>
      <c r="CG271" s="2004">
        <v>0</v>
      </c>
      <c r="CH271" s="2004">
        <v>0</v>
      </c>
      <c r="CI271" s="2004" t="s">
        <v>9204</v>
      </c>
      <c r="CJ271" s="2004" t="s">
        <v>9204</v>
      </c>
      <c r="CK271" s="2004" t="s">
        <v>9204</v>
      </c>
      <c r="CL271" s="2004">
        <v>0</v>
      </c>
      <c r="CM271" s="2004" t="s">
        <v>9204</v>
      </c>
      <c r="CN271" s="2004">
        <v>0</v>
      </c>
      <c r="CP271" s="2004" t="s">
        <v>10764</v>
      </c>
    </row>
    <row r="272" spans="1:94">
      <c r="A272" s="2004" t="s">
        <v>9060</v>
      </c>
      <c r="B272" s="2004" t="s">
        <v>10765</v>
      </c>
      <c r="C272" s="2004" t="s">
        <v>9047</v>
      </c>
      <c r="D272" s="2004" t="s">
        <v>1628</v>
      </c>
      <c r="E272" s="2004" t="s">
        <v>9194</v>
      </c>
      <c r="F272" s="2004" t="s">
        <v>10747</v>
      </c>
      <c r="G272" s="2004" t="s">
        <v>10766</v>
      </c>
      <c r="H272" s="2004" t="s">
        <v>10767</v>
      </c>
      <c r="I272" s="2004" t="s">
        <v>10768</v>
      </c>
      <c r="J272" s="2004" t="s">
        <v>9199</v>
      </c>
      <c r="K272" s="2004" t="s">
        <v>9200</v>
      </c>
      <c r="L272" s="2004"/>
      <c r="M272" s="2004"/>
      <c r="N272" s="2004" t="s">
        <v>5533</v>
      </c>
      <c r="O272" s="2004" t="s">
        <v>734</v>
      </c>
      <c r="P272" s="2004" t="s">
        <v>10769</v>
      </c>
      <c r="Q272" s="516">
        <v>1</v>
      </c>
      <c r="R272" s="2004" t="s">
        <v>9240</v>
      </c>
      <c r="S272" s="2004">
        <v>77</v>
      </c>
      <c r="T272" s="2004"/>
      <c r="U272" s="2004"/>
      <c r="V272" s="2004"/>
      <c r="W272" s="2004"/>
      <c r="X272" s="2004">
        <v>77.7</v>
      </c>
      <c r="Y272" s="2004"/>
      <c r="Z272" s="2004"/>
      <c r="AA272" s="2004"/>
      <c r="AB272" s="2004"/>
      <c r="AC272" s="2004"/>
      <c r="AD272" s="2004"/>
      <c r="AE272" s="2004" t="s">
        <v>2337</v>
      </c>
      <c r="AF272" s="2004"/>
      <c r="AG272" s="2004"/>
      <c r="AH272" s="2004">
        <v>0</v>
      </c>
      <c r="AI272" s="2004"/>
      <c r="AJ272" s="2004"/>
      <c r="AK272" s="2004"/>
      <c r="AL272" s="2004"/>
      <c r="AM272" s="2004" t="s">
        <v>2337</v>
      </c>
      <c r="AN272" s="2004"/>
      <c r="AO272" s="2004"/>
      <c r="AP272" s="2004"/>
      <c r="AQ272" s="2004"/>
      <c r="AR272" s="2004">
        <v>0</v>
      </c>
      <c r="AS272" s="2004"/>
      <c r="AT272" s="2004"/>
      <c r="AU272" s="2004"/>
      <c r="AV272" s="2004"/>
      <c r="AW272" s="2004">
        <v>77.7</v>
      </c>
      <c r="AX272" s="2004"/>
      <c r="AY272" s="2004"/>
      <c r="AZ272" s="2004"/>
      <c r="BA272" s="2004"/>
      <c r="BB272" s="2004">
        <v>77.7</v>
      </c>
      <c r="BC272" s="2004"/>
      <c r="BD272" s="2004"/>
      <c r="BE272" s="2004"/>
      <c r="BF272" s="2004"/>
      <c r="BG272" s="2004">
        <v>100</v>
      </c>
      <c r="BH272" s="2004">
        <v>1.77</v>
      </c>
      <c r="BI272" s="2004"/>
      <c r="BJ272" s="2004"/>
      <c r="BK272" s="2004"/>
      <c r="BL272" s="2004">
        <v>1.77</v>
      </c>
      <c r="BM272" s="2004"/>
      <c r="BN272" s="2004">
        <v>1</v>
      </c>
      <c r="BO272" s="2004" t="s">
        <v>9203</v>
      </c>
      <c r="BP272" s="516">
        <v>77.099999999999994</v>
      </c>
      <c r="BQ272" s="686">
        <v>77</v>
      </c>
      <c r="BR272" s="2004" t="s">
        <v>9204</v>
      </c>
      <c r="BS272" s="2004" t="s">
        <v>9204</v>
      </c>
      <c r="BT272" s="2004">
        <v>0</v>
      </c>
      <c r="BU272" s="2004" t="s">
        <v>9204</v>
      </c>
      <c r="BV272" s="2004">
        <v>0</v>
      </c>
      <c r="BW272" s="2004">
        <v>77</v>
      </c>
      <c r="BX272" s="2004" t="s">
        <v>2335</v>
      </c>
      <c r="BY272" s="2004">
        <v>0</v>
      </c>
      <c r="BZ272" s="2004">
        <v>0</v>
      </c>
      <c r="CA272" s="2004">
        <v>0</v>
      </c>
      <c r="CB272" s="2004">
        <v>0</v>
      </c>
      <c r="CC272" s="2004">
        <v>77.400000000000006</v>
      </c>
      <c r="CD272" s="2004" t="s">
        <v>2335</v>
      </c>
      <c r="CE272" s="2004">
        <v>0</v>
      </c>
      <c r="CF272" s="2004">
        <v>0</v>
      </c>
      <c r="CG272" s="2004">
        <v>0</v>
      </c>
      <c r="CH272" s="2004">
        <v>0</v>
      </c>
      <c r="CI272" s="2004" t="s">
        <v>9204</v>
      </c>
      <c r="CJ272" s="2004" t="s">
        <v>9204</v>
      </c>
      <c r="CK272" s="2004" t="s">
        <v>9204</v>
      </c>
      <c r="CL272" s="2004">
        <v>0</v>
      </c>
      <c r="CM272" s="2004" t="s">
        <v>9204</v>
      </c>
      <c r="CN272" s="2004">
        <v>0</v>
      </c>
      <c r="CP272" s="2004" t="s">
        <v>10770</v>
      </c>
    </row>
    <row r="273" spans="1:94">
      <c r="A273" s="2004" t="s">
        <v>9060</v>
      </c>
      <c r="B273" s="2004" t="s">
        <v>10771</v>
      </c>
      <c r="C273" s="2004" t="s">
        <v>9047</v>
      </c>
      <c r="D273" s="2004" t="s">
        <v>1628</v>
      </c>
      <c r="E273" s="2004" t="s">
        <v>9194</v>
      </c>
      <c r="F273" s="2004" t="s">
        <v>10747</v>
      </c>
      <c r="G273" s="2004" t="s">
        <v>10772</v>
      </c>
      <c r="H273" s="2004" t="s">
        <v>10773</v>
      </c>
      <c r="I273" s="2004" t="s">
        <v>10774</v>
      </c>
      <c r="J273" s="2004" t="s">
        <v>9210</v>
      </c>
      <c r="K273" s="2004" t="s">
        <v>9545</v>
      </c>
      <c r="L273" s="2004"/>
      <c r="M273" s="2004" t="s">
        <v>2334</v>
      </c>
      <c r="N273" s="2004" t="s">
        <v>9260</v>
      </c>
      <c r="O273" s="2004" t="s">
        <v>766</v>
      </c>
      <c r="P273" s="2004" t="s">
        <v>9261</v>
      </c>
      <c r="Q273" s="516">
        <v>0</v>
      </c>
      <c r="R273" s="2004" t="s">
        <v>9202</v>
      </c>
      <c r="S273" s="2004" t="s">
        <v>2338</v>
      </c>
      <c r="T273" s="2004" t="s">
        <v>10775</v>
      </c>
      <c r="U273" s="2004" t="s">
        <v>10775</v>
      </c>
      <c r="V273" s="2004" t="s">
        <v>10775</v>
      </c>
      <c r="W273" s="2004" t="s">
        <v>10775</v>
      </c>
      <c r="X273" s="2004" t="s">
        <v>10775</v>
      </c>
      <c r="Y273" s="2004"/>
      <c r="Z273" s="2004"/>
      <c r="AA273" s="2004"/>
      <c r="AB273" s="2004"/>
      <c r="AC273" s="2004"/>
      <c r="AD273" s="2004"/>
      <c r="AE273" s="2004" t="s">
        <v>2337</v>
      </c>
      <c r="AF273" s="2004"/>
      <c r="AG273" s="2004"/>
      <c r="AH273" s="2004">
        <v>0</v>
      </c>
      <c r="AI273" s="2004" t="s">
        <v>2337</v>
      </c>
      <c r="AJ273" s="2004" t="s">
        <v>2337</v>
      </c>
      <c r="AK273" s="2004" t="s">
        <v>2337</v>
      </c>
      <c r="AL273" s="2004" t="s">
        <v>2337</v>
      </c>
      <c r="AM273" s="2004" t="s">
        <v>2337</v>
      </c>
      <c r="AN273" s="2004">
        <v>999999</v>
      </c>
      <c r="AO273" s="2004">
        <v>999999</v>
      </c>
      <c r="AP273" s="2004">
        <v>999999</v>
      </c>
      <c r="AQ273" s="2004">
        <v>999999</v>
      </c>
      <c r="AR273" s="2004">
        <v>999999</v>
      </c>
      <c r="AS273" s="2004">
        <v>6905</v>
      </c>
      <c r="AT273" s="2004">
        <v>6905</v>
      </c>
      <c r="AU273" s="2004">
        <v>6905</v>
      </c>
      <c r="AV273" s="2004">
        <v>6905</v>
      </c>
      <c r="AW273" s="2004">
        <v>6905</v>
      </c>
      <c r="AX273" s="2004"/>
      <c r="AY273" s="2004"/>
      <c r="AZ273" s="2004"/>
      <c r="BA273" s="2004"/>
      <c r="BB273" s="2004"/>
      <c r="BC273" s="2004"/>
      <c r="BD273" s="2004"/>
      <c r="BE273" s="2004"/>
      <c r="BF273" s="2004"/>
      <c r="BG273" s="2004"/>
      <c r="BH273" s="2004">
        <v>2.307E-3</v>
      </c>
      <c r="BI273" s="2004"/>
      <c r="BJ273" s="2004"/>
      <c r="BK273" s="2004"/>
      <c r="BL273" s="2004"/>
      <c r="BM273" s="2004"/>
      <c r="BN273" s="2004">
        <v>1</v>
      </c>
      <c r="BO273" s="2004" t="s">
        <v>9203</v>
      </c>
      <c r="BP273" s="516">
        <v>6253</v>
      </c>
      <c r="BQ273" s="689">
        <v>4784</v>
      </c>
      <c r="BR273" s="2004" t="s">
        <v>2337</v>
      </c>
      <c r="BS273" s="2004" t="s">
        <v>9204</v>
      </c>
      <c r="BT273" s="2004">
        <v>0</v>
      </c>
      <c r="BU273" s="2004" t="s">
        <v>9204</v>
      </c>
      <c r="BV273" s="2004">
        <v>0</v>
      </c>
      <c r="BW273" s="2004">
        <v>5173</v>
      </c>
      <c r="BX273" s="2004" t="s">
        <v>2337</v>
      </c>
      <c r="BY273" s="2004">
        <v>0</v>
      </c>
      <c r="BZ273" s="2004">
        <v>0</v>
      </c>
      <c r="CA273" s="2004">
        <v>0</v>
      </c>
      <c r="CB273" s="2004">
        <v>0</v>
      </c>
      <c r="CC273" s="2004">
        <v>5825</v>
      </c>
      <c r="CD273" s="2004" t="s">
        <v>2337</v>
      </c>
      <c r="CE273" s="2004">
        <v>0</v>
      </c>
      <c r="CF273" s="2004">
        <v>0</v>
      </c>
      <c r="CG273" s="2004">
        <v>0</v>
      </c>
      <c r="CH273" s="2004">
        <v>0</v>
      </c>
      <c r="CI273" s="2004" t="s">
        <v>9204</v>
      </c>
      <c r="CJ273" s="2004" t="s">
        <v>9204</v>
      </c>
      <c r="CK273" s="2004" t="s">
        <v>9204</v>
      </c>
      <c r="CL273" s="2004">
        <v>0</v>
      </c>
      <c r="CM273" s="2004" t="s">
        <v>9204</v>
      </c>
      <c r="CN273" s="2004">
        <v>0</v>
      </c>
      <c r="CP273" s="2004" t="s">
        <v>10776</v>
      </c>
    </row>
    <row r="274" spans="1:94">
      <c r="A274" s="2004" t="s">
        <v>9060</v>
      </c>
      <c r="B274" s="2004" t="s">
        <v>10777</v>
      </c>
      <c r="C274" s="2004" t="s">
        <v>9047</v>
      </c>
      <c r="D274" s="2004" t="s">
        <v>1628</v>
      </c>
      <c r="E274" s="2004" t="s">
        <v>9194</v>
      </c>
      <c r="F274" s="2004" t="s">
        <v>10747</v>
      </c>
      <c r="G274" s="2004" t="s">
        <v>10778</v>
      </c>
      <c r="H274" s="2004" t="s">
        <v>10779</v>
      </c>
      <c r="I274" s="2004" t="s">
        <v>10780</v>
      </c>
      <c r="J274" s="2004" t="s">
        <v>9199</v>
      </c>
      <c r="K274" s="2004" t="s">
        <v>9200</v>
      </c>
      <c r="L274" s="2004" t="s">
        <v>2337</v>
      </c>
      <c r="M274" s="2004"/>
      <c r="N274" s="2004" t="s">
        <v>9304</v>
      </c>
      <c r="O274" s="2004" t="s">
        <v>766</v>
      </c>
      <c r="P274" s="2004" t="s">
        <v>10781</v>
      </c>
      <c r="Q274" s="516">
        <v>0</v>
      </c>
      <c r="R274" s="2004" t="s">
        <v>9202</v>
      </c>
      <c r="S274" s="2004">
        <v>300</v>
      </c>
      <c r="T274" s="2004">
        <v>250</v>
      </c>
      <c r="U274" s="2004">
        <v>250</v>
      </c>
      <c r="V274" s="2004">
        <v>250</v>
      </c>
      <c r="W274" s="2004">
        <v>250</v>
      </c>
      <c r="X274" s="2004">
        <v>250</v>
      </c>
      <c r="Y274" s="2004"/>
      <c r="Z274" s="2004"/>
      <c r="AA274" s="2004"/>
      <c r="AB274" s="2004"/>
      <c r="AC274" s="2004"/>
      <c r="AD274" s="2004"/>
      <c r="AE274" s="2004" t="s">
        <v>2337</v>
      </c>
      <c r="AF274" s="2004"/>
      <c r="AG274" s="2004"/>
      <c r="AH274" s="2004">
        <v>0</v>
      </c>
      <c r="AI274" s="2004" t="s">
        <v>2337</v>
      </c>
      <c r="AJ274" s="2004" t="s">
        <v>2337</v>
      </c>
      <c r="AK274" s="2004" t="s">
        <v>2337</v>
      </c>
      <c r="AL274" s="2004" t="s">
        <v>2337</v>
      </c>
      <c r="AM274" s="2004" t="s">
        <v>2337</v>
      </c>
      <c r="AN274" s="2004">
        <v>999999</v>
      </c>
      <c r="AO274" s="2004">
        <v>999999</v>
      </c>
      <c r="AP274" s="2004">
        <v>999999</v>
      </c>
      <c r="AQ274" s="2004">
        <v>999999</v>
      </c>
      <c r="AR274" s="2004">
        <v>999999</v>
      </c>
      <c r="AS274" s="2004">
        <v>250</v>
      </c>
      <c r="AT274" s="2004">
        <v>250</v>
      </c>
      <c r="AU274" s="2004">
        <v>250</v>
      </c>
      <c r="AV274" s="2004">
        <v>250</v>
      </c>
      <c r="AW274" s="2004">
        <v>250</v>
      </c>
      <c r="AX274" s="2004">
        <v>250</v>
      </c>
      <c r="AY274" s="2004">
        <v>250</v>
      </c>
      <c r="AZ274" s="2004">
        <v>250</v>
      </c>
      <c r="BA274" s="2004">
        <v>250</v>
      </c>
      <c r="BB274" s="2004">
        <v>250</v>
      </c>
      <c r="BC274" s="2004">
        <v>0</v>
      </c>
      <c r="BD274" s="2004">
        <v>0</v>
      </c>
      <c r="BE274" s="2004">
        <v>0</v>
      </c>
      <c r="BF274" s="2004">
        <v>0</v>
      </c>
      <c r="BG274" s="2004">
        <v>0</v>
      </c>
      <c r="BH274" s="2004">
        <v>7.9000000000000001E-4</v>
      </c>
      <c r="BI274" s="2004"/>
      <c r="BJ274" s="2004"/>
      <c r="BK274" s="2004"/>
      <c r="BL274" s="2004">
        <v>7.9000000000000001E-4</v>
      </c>
      <c r="BM274" s="2004"/>
      <c r="BN274" s="2004">
        <v>1</v>
      </c>
      <c r="BO274" s="2004" t="s">
        <v>9203</v>
      </c>
      <c r="BP274" s="516">
        <v>230</v>
      </c>
      <c r="BQ274" s="689">
        <v>162</v>
      </c>
      <c r="BR274" s="2004" t="s">
        <v>2337</v>
      </c>
      <c r="BS274" s="2004" t="s">
        <v>2339</v>
      </c>
      <c r="BT274" s="2004">
        <v>6.9519999999999998E-2</v>
      </c>
      <c r="BU274" s="2004" t="s">
        <v>9204</v>
      </c>
      <c r="BV274" s="2004">
        <v>0</v>
      </c>
      <c r="BW274" s="2004">
        <v>187</v>
      </c>
      <c r="BX274" s="2004" t="s">
        <v>2337</v>
      </c>
      <c r="BY274" s="2004" t="s">
        <v>2339</v>
      </c>
      <c r="BZ274" s="2004">
        <v>4.9770000000000002E-2</v>
      </c>
      <c r="CA274" s="2004">
        <v>0</v>
      </c>
      <c r="CB274" s="2004">
        <v>0</v>
      </c>
      <c r="CC274" s="2004">
        <v>204</v>
      </c>
      <c r="CD274" s="2004" t="s">
        <v>2337</v>
      </c>
      <c r="CE274" s="2004" t="s">
        <v>2339</v>
      </c>
      <c r="CF274" s="2004">
        <v>3.6339999999999997E-2</v>
      </c>
      <c r="CG274" s="2004">
        <v>0</v>
      </c>
      <c r="CH274" s="2004">
        <v>0</v>
      </c>
      <c r="CI274" s="2004" t="s">
        <v>9204</v>
      </c>
      <c r="CJ274" s="2004" t="s">
        <v>9204</v>
      </c>
      <c r="CK274" s="2004" t="s">
        <v>9204</v>
      </c>
      <c r="CL274" s="2004">
        <v>0</v>
      </c>
      <c r="CM274" s="2004" t="s">
        <v>9204</v>
      </c>
      <c r="CN274" s="2004">
        <v>0</v>
      </c>
      <c r="CP274" s="2004" t="s">
        <v>10782</v>
      </c>
    </row>
    <row r="275" spans="1:94">
      <c r="A275" s="2004" t="s">
        <v>9060</v>
      </c>
      <c r="B275" s="2004" t="s">
        <v>10783</v>
      </c>
      <c r="C275" s="2004" t="s">
        <v>9047</v>
      </c>
      <c r="D275" s="2004" t="s">
        <v>1628</v>
      </c>
      <c r="E275" s="2004" t="s">
        <v>9194</v>
      </c>
      <c r="F275" s="2004" t="s">
        <v>10747</v>
      </c>
      <c r="G275" s="2004" t="s">
        <v>10784</v>
      </c>
      <c r="H275" s="2004" t="s">
        <v>10785</v>
      </c>
      <c r="I275" s="2004" t="s">
        <v>10786</v>
      </c>
      <c r="J275" s="2004" t="s">
        <v>9199</v>
      </c>
      <c r="K275" s="2004" t="s">
        <v>9200</v>
      </c>
      <c r="L275" s="2004" t="s">
        <v>2337</v>
      </c>
      <c r="M275" s="2004" t="s">
        <v>2334</v>
      </c>
      <c r="N275" s="2004" t="s">
        <v>9326</v>
      </c>
      <c r="O275" s="2004" t="s">
        <v>766</v>
      </c>
      <c r="P275" s="2004" t="s">
        <v>10787</v>
      </c>
      <c r="Q275" s="516">
        <v>0</v>
      </c>
      <c r="R275" s="2004" t="s">
        <v>9202</v>
      </c>
      <c r="S275" s="2004">
        <v>0</v>
      </c>
      <c r="T275" s="2004">
        <v>0</v>
      </c>
      <c r="U275" s="2004">
        <v>0</v>
      </c>
      <c r="V275" s="2004">
        <v>0</v>
      </c>
      <c r="W275" s="2004">
        <v>0</v>
      </c>
      <c r="X275" s="2004">
        <v>0</v>
      </c>
      <c r="Y275" s="2004"/>
      <c r="Z275" s="2004"/>
      <c r="AA275" s="2004"/>
      <c r="AB275" s="2004"/>
      <c r="AC275" s="2004"/>
      <c r="AD275" s="2004"/>
      <c r="AE275" s="2004"/>
      <c r="AF275" s="2004"/>
      <c r="AG275" s="2004"/>
      <c r="AH275" s="2004">
        <v>0</v>
      </c>
      <c r="AI275" s="2004" t="s">
        <v>2337</v>
      </c>
      <c r="AJ275" s="2004" t="s">
        <v>2337</v>
      </c>
      <c r="AK275" s="2004" t="s">
        <v>2337</v>
      </c>
      <c r="AL275" s="2004" t="s">
        <v>2337</v>
      </c>
      <c r="AM275" s="2004" t="s">
        <v>2337</v>
      </c>
      <c r="AN275" s="2004">
        <v>999999</v>
      </c>
      <c r="AO275" s="2004">
        <v>999999</v>
      </c>
      <c r="AP275" s="2004">
        <v>999999</v>
      </c>
      <c r="AQ275" s="2004">
        <v>999999</v>
      </c>
      <c r="AR275" s="2004">
        <v>999999</v>
      </c>
      <c r="AS275" s="2004">
        <v>0</v>
      </c>
      <c r="AT275" s="2004">
        <v>0</v>
      </c>
      <c r="AU275" s="2004">
        <v>0</v>
      </c>
      <c r="AV275" s="2004">
        <v>0</v>
      </c>
      <c r="AW275" s="2004">
        <v>0</v>
      </c>
      <c r="AX275" s="2004">
        <v>0</v>
      </c>
      <c r="AY275" s="2004">
        <v>0</v>
      </c>
      <c r="AZ275" s="2004">
        <v>0</v>
      </c>
      <c r="BA275" s="2004">
        <v>0</v>
      </c>
      <c r="BB275" s="2004">
        <v>0</v>
      </c>
      <c r="BC275" s="2004">
        <v>0</v>
      </c>
      <c r="BD275" s="2004">
        <v>0</v>
      </c>
      <c r="BE275" s="2004">
        <v>0</v>
      </c>
      <c r="BF275" s="2004">
        <v>0</v>
      </c>
      <c r="BG275" s="2004">
        <v>0</v>
      </c>
      <c r="BH275" s="2004">
        <v>7.5</v>
      </c>
      <c r="BI275" s="2004">
        <v>18.75</v>
      </c>
      <c r="BJ275" s="2004"/>
      <c r="BK275" s="2004"/>
      <c r="BL275" s="2004">
        <v>1.36</v>
      </c>
      <c r="BM275" s="2004"/>
      <c r="BN275" s="2004">
        <v>1</v>
      </c>
      <c r="BO275" s="2004" t="s">
        <v>9203</v>
      </c>
      <c r="BP275" s="516">
        <v>0</v>
      </c>
      <c r="BQ275" s="689">
        <v>0</v>
      </c>
      <c r="BR275" s="2004" t="s">
        <v>2337</v>
      </c>
      <c r="BS275" s="2004" t="s">
        <v>9204</v>
      </c>
      <c r="BT275" s="2004">
        <v>0</v>
      </c>
      <c r="BU275" s="2004" t="s">
        <v>9204</v>
      </c>
      <c r="BV275" s="2004">
        <v>0</v>
      </c>
      <c r="BW275" s="2004">
        <v>0</v>
      </c>
      <c r="BX275" s="2004" t="s">
        <v>2337</v>
      </c>
      <c r="BY275" s="2004">
        <v>0</v>
      </c>
      <c r="BZ275" s="2004">
        <v>0</v>
      </c>
      <c r="CA275" s="2004">
        <v>0</v>
      </c>
      <c r="CB275" s="2004">
        <v>0</v>
      </c>
      <c r="CC275" s="2004">
        <v>0</v>
      </c>
      <c r="CD275" s="2004" t="s">
        <v>2337</v>
      </c>
      <c r="CE275" s="2004">
        <v>0</v>
      </c>
      <c r="CF275" s="2004">
        <v>0</v>
      </c>
      <c r="CG275" s="2004">
        <v>0</v>
      </c>
      <c r="CH275" s="2004">
        <v>0</v>
      </c>
      <c r="CI275" s="2004" t="s">
        <v>9204</v>
      </c>
      <c r="CJ275" s="2004" t="s">
        <v>9204</v>
      </c>
      <c r="CK275" s="2004" t="s">
        <v>9204</v>
      </c>
      <c r="CL275" s="2004">
        <v>0</v>
      </c>
      <c r="CM275" s="2004" t="s">
        <v>9204</v>
      </c>
      <c r="CN275" s="2004">
        <v>0</v>
      </c>
      <c r="CP275" s="2004" t="s">
        <v>10788</v>
      </c>
    </row>
    <row r="276" spans="1:94">
      <c r="A276" s="2004" t="s">
        <v>9060</v>
      </c>
      <c r="B276" s="2004" t="s">
        <v>10789</v>
      </c>
      <c r="C276" s="2004" t="s">
        <v>9047</v>
      </c>
      <c r="D276" s="2004" t="s">
        <v>1628</v>
      </c>
      <c r="E276" s="2004" t="s">
        <v>9194</v>
      </c>
      <c r="F276" s="2004" t="s">
        <v>10747</v>
      </c>
      <c r="G276" s="2004" t="s">
        <v>10790</v>
      </c>
      <c r="H276" s="2004" t="s">
        <v>10791</v>
      </c>
      <c r="I276" s="2004" t="s">
        <v>10792</v>
      </c>
      <c r="J276" s="2004" t="s">
        <v>9210</v>
      </c>
      <c r="K276" s="2004" t="s">
        <v>9200</v>
      </c>
      <c r="L276" s="2004"/>
      <c r="M276" s="2004" t="s">
        <v>2334</v>
      </c>
      <c r="N276" s="2004" t="s">
        <v>5533</v>
      </c>
      <c r="O276" s="2004" t="s">
        <v>9487</v>
      </c>
      <c r="P276" s="2004" t="s">
        <v>10793</v>
      </c>
      <c r="Q276" s="516" t="s">
        <v>9203</v>
      </c>
      <c r="R276" s="2004"/>
      <c r="S276" s="2004" t="s">
        <v>4140</v>
      </c>
      <c r="T276" s="2004"/>
      <c r="U276" s="2004"/>
      <c r="V276" s="2004"/>
      <c r="W276" s="2004" t="s">
        <v>10794</v>
      </c>
      <c r="X276" s="2004" t="s">
        <v>10795</v>
      </c>
      <c r="Y276" s="2004"/>
      <c r="Z276" s="2004"/>
      <c r="AA276" s="2004"/>
      <c r="AB276" s="2004"/>
      <c r="AC276" s="2004"/>
      <c r="AD276" s="2004" t="s">
        <v>2337</v>
      </c>
      <c r="AE276" s="2004" t="s">
        <v>2337</v>
      </c>
      <c r="AF276" s="2004"/>
      <c r="AG276" s="2004"/>
      <c r="AH276" s="2004">
        <v>0</v>
      </c>
      <c r="AI276" s="2004"/>
      <c r="AJ276" s="2004"/>
      <c r="AK276" s="2004"/>
      <c r="AL276" s="2004"/>
      <c r="AM276" s="2004" t="s">
        <v>2337</v>
      </c>
      <c r="AN276" s="2004"/>
      <c r="AO276" s="2004"/>
      <c r="AP276" s="2004"/>
      <c r="AQ276" s="2004"/>
      <c r="AR276" s="2004"/>
      <c r="AS276" s="2004"/>
      <c r="AT276" s="2004"/>
      <c r="AU276" s="2004"/>
      <c r="AV276" s="2004"/>
      <c r="AW276" s="2004"/>
      <c r="AX276" s="2004"/>
      <c r="AY276" s="2004"/>
      <c r="AZ276" s="2004"/>
      <c r="BA276" s="2004"/>
      <c r="BB276" s="2004"/>
      <c r="BC276" s="2004"/>
      <c r="BD276" s="2004"/>
      <c r="BE276" s="2004"/>
      <c r="BF276" s="2004"/>
      <c r="BG276" s="2004"/>
      <c r="BH276" s="2004" t="s">
        <v>10441</v>
      </c>
      <c r="BI276" s="2004" t="s">
        <v>10441</v>
      </c>
      <c r="BJ276" s="2004" t="s">
        <v>10441</v>
      </c>
      <c r="BK276" s="2004" t="s">
        <v>10441</v>
      </c>
      <c r="BL276" s="2004"/>
      <c r="BM276" s="2004"/>
      <c r="BN276" s="2004">
        <v>1</v>
      </c>
      <c r="BO276" s="2004" t="s">
        <v>9203</v>
      </c>
      <c r="BP276" s="516" t="s">
        <v>10796</v>
      </c>
      <c r="BQ276" s="688" t="s">
        <v>10796</v>
      </c>
      <c r="BR276" s="2004" t="s">
        <v>9204</v>
      </c>
      <c r="BS276" s="2004" t="s">
        <v>9204</v>
      </c>
      <c r="BT276" s="2004">
        <v>0</v>
      </c>
      <c r="BU276" s="2004" t="s">
        <v>9204</v>
      </c>
      <c r="BV276" s="2004">
        <v>0</v>
      </c>
      <c r="BW276" s="2004" t="s">
        <v>10797</v>
      </c>
      <c r="BX276" s="2004" t="s">
        <v>2335</v>
      </c>
      <c r="BY276" s="2004">
        <v>0</v>
      </c>
      <c r="BZ276" s="2004">
        <v>0</v>
      </c>
      <c r="CA276" s="2004">
        <v>0</v>
      </c>
      <c r="CB276" s="2004">
        <v>0</v>
      </c>
      <c r="CC276" s="2004" t="s">
        <v>10797</v>
      </c>
      <c r="CD276" s="2004" t="s">
        <v>2337</v>
      </c>
      <c r="CE276" s="2004">
        <v>0</v>
      </c>
      <c r="CF276" s="2004">
        <v>0</v>
      </c>
      <c r="CG276" s="2004">
        <v>0</v>
      </c>
      <c r="CH276" s="2004">
        <v>0</v>
      </c>
      <c r="CI276" s="2004" t="s">
        <v>9204</v>
      </c>
      <c r="CJ276" s="2004" t="s">
        <v>9204</v>
      </c>
      <c r="CK276" s="2004" t="s">
        <v>9204</v>
      </c>
      <c r="CL276" s="2004">
        <v>0</v>
      </c>
      <c r="CM276" s="2004" t="s">
        <v>9204</v>
      </c>
      <c r="CN276" s="2004">
        <v>0</v>
      </c>
      <c r="CP276" s="2004" t="s">
        <v>10798</v>
      </c>
    </row>
    <row r="277" spans="1:94">
      <c r="A277" s="2004" t="s">
        <v>9060</v>
      </c>
      <c r="B277" s="2004" t="s">
        <v>10799</v>
      </c>
      <c r="C277" s="2004" t="s">
        <v>9047</v>
      </c>
      <c r="D277" s="2004" t="s">
        <v>1628</v>
      </c>
      <c r="E277" s="2004" t="s">
        <v>9194</v>
      </c>
      <c r="F277" s="2004" t="s">
        <v>10747</v>
      </c>
      <c r="G277" s="2004" t="s">
        <v>10800</v>
      </c>
      <c r="H277" s="2004" t="s">
        <v>10801</v>
      </c>
      <c r="I277" s="2004" t="s">
        <v>10802</v>
      </c>
      <c r="J277" s="2004" t="s">
        <v>9210</v>
      </c>
      <c r="K277" s="2004" t="s">
        <v>9545</v>
      </c>
      <c r="L277" s="2004"/>
      <c r="M277" s="2004" t="s">
        <v>2334</v>
      </c>
      <c r="N277" s="2004" t="s">
        <v>5533</v>
      </c>
      <c r="O277" s="2004" t="s">
        <v>9487</v>
      </c>
      <c r="P277" s="2004" t="s">
        <v>10793</v>
      </c>
      <c r="Q277" s="516" t="s">
        <v>9203</v>
      </c>
      <c r="R277" s="2004"/>
      <c r="S277" s="2004" t="s">
        <v>4140</v>
      </c>
      <c r="T277" s="2004"/>
      <c r="U277" s="2004"/>
      <c r="V277" s="2004" t="s">
        <v>10794</v>
      </c>
      <c r="W277" s="2004"/>
      <c r="X277" s="2004" t="s">
        <v>10795</v>
      </c>
      <c r="Y277" s="2004"/>
      <c r="Z277" s="2004"/>
      <c r="AA277" s="2004"/>
      <c r="AB277" s="2004"/>
      <c r="AC277" s="2004"/>
      <c r="AD277" s="2004" t="s">
        <v>2337</v>
      </c>
      <c r="AE277" s="2004" t="s">
        <v>2337</v>
      </c>
      <c r="AF277" s="2004"/>
      <c r="AG277" s="2004"/>
      <c r="AH277" s="2004">
        <v>0</v>
      </c>
      <c r="AI277" s="2004"/>
      <c r="AJ277" s="2004"/>
      <c r="AK277" s="2004"/>
      <c r="AL277" s="2004"/>
      <c r="AM277" s="2004" t="s">
        <v>2337</v>
      </c>
      <c r="AN277" s="2004"/>
      <c r="AO277" s="2004"/>
      <c r="AP277" s="2004"/>
      <c r="AQ277" s="2004"/>
      <c r="AR277" s="2004"/>
      <c r="AS277" s="2004"/>
      <c r="AT277" s="2004"/>
      <c r="AU277" s="2004"/>
      <c r="AV277" s="2004"/>
      <c r="AW277" s="2004"/>
      <c r="AX277" s="2004"/>
      <c r="AY277" s="2004"/>
      <c r="AZ277" s="2004"/>
      <c r="BA277" s="2004"/>
      <c r="BB277" s="2004"/>
      <c r="BC277" s="2004"/>
      <c r="BD277" s="2004"/>
      <c r="BE277" s="2004"/>
      <c r="BF277" s="2004"/>
      <c r="BG277" s="2004"/>
      <c r="BH277" s="2004" t="s">
        <v>10441</v>
      </c>
      <c r="BI277" s="2004" t="s">
        <v>10441</v>
      </c>
      <c r="BJ277" s="2004" t="s">
        <v>10441</v>
      </c>
      <c r="BK277" s="2004" t="s">
        <v>10441</v>
      </c>
      <c r="BL277" s="2004"/>
      <c r="BM277" s="2004"/>
      <c r="BN277" s="2004">
        <v>1</v>
      </c>
      <c r="BO277" s="2004" t="s">
        <v>9203</v>
      </c>
      <c r="BP277" s="516" t="s">
        <v>10796</v>
      </c>
      <c r="BQ277" s="688" t="s">
        <v>10796</v>
      </c>
      <c r="BR277" s="2004" t="s">
        <v>9204</v>
      </c>
      <c r="BS277" s="2004" t="s">
        <v>9204</v>
      </c>
      <c r="BT277" s="2004">
        <v>0</v>
      </c>
      <c r="BU277" s="2004" t="s">
        <v>9204</v>
      </c>
      <c r="BV277" s="2004">
        <v>0</v>
      </c>
      <c r="BW277" s="2004" t="s">
        <v>10797</v>
      </c>
      <c r="BX277" s="2004" t="s">
        <v>2335</v>
      </c>
      <c r="BY277" s="2004">
        <v>0</v>
      </c>
      <c r="BZ277" s="2004">
        <v>0</v>
      </c>
      <c r="CA277" s="2004">
        <v>0</v>
      </c>
      <c r="CB277" s="2004">
        <v>0</v>
      </c>
      <c r="CC277" s="2004" t="s">
        <v>10797</v>
      </c>
      <c r="CD277" s="2004" t="s">
        <v>2337</v>
      </c>
      <c r="CE277" s="2004">
        <v>0</v>
      </c>
      <c r="CF277" s="2004">
        <v>0</v>
      </c>
      <c r="CG277" s="2004">
        <v>0</v>
      </c>
      <c r="CH277" s="2004">
        <v>0</v>
      </c>
      <c r="CI277" s="2004" t="s">
        <v>9204</v>
      </c>
      <c r="CJ277" s="2004" t="s">
        <v>9204</v>
      </c>
      <c r="CK277" s="2004" t="s">
        <v>9204</v>
      </c>
      <c r="CL277" s="2004">
        <v>0</v>
      </c>
      <c r="CM277" s="2004" t="s">
        <v>9204</v>
      </c>
      <c r="CN277" s="2004">
        <v>0</v>
      </c>
      <c r="CP277" s="2004" t="s">
        <v>10803</v>
      </c>
    </row>
    <row r="278" spans="1:94">
      <c r="A278" s="2004" t="s">
        <v>9060</v>
      </c>
      <c r="B278" s="2004" t="s">
        <v>10804</v>
      </c>
      <c r="C278" s="2004" t="s">
        <v>9047</v>
      </c>
      <c r="D278" s="2004" t="s">
        <v>1628</v>
      </c>
      <c r="E278" s="2004" t="s">
        <v>9194</v>
      </c>
      <c r="F278" s="2004" t="s">
        <v>10747</v>
      </c>
      <c r="G278" s="2004" t="s">
        <v>10805</v>
      </c>
      <c r="H278" s="2004" t="s">
        <v>10806</v>
      </c>
      <c r="I278" s="2004" t="s">
        <v>10807</v>
      </c>
      <c r="J278" s="2004" t="s">
        <v>9210</v>
      </c>
      <c r="K278" s="2004" t="s">
        <v>9200</v>
      </c>
      <c r="L278" s="2004"/>
      <c r="M278" s="2004" t="s">
        <v>2334</v>
      </c>
      <c r="N278" s="2004" t="s">
        <v>5533</v>
      </c>
      <c r="O278" s="2004" t="s">
        <v>9487</v>
      </c>
      <c r="P278" s="2004" t="s">
        <v>10793</v>
      </c>
      <c r="Q278" s="516" t="s">
        <v>9203</v>
      </c>
      <c r="R278" s="2004"/>
      <c r="S278" s="2004" t="s">
        <v>4140</v>
      </c>
      <c r="T278" s="2004"/>
      <c r="U278" s="2004"/>
      <c r="V278" s="2004" t="s">
        <v>10794</v>
      </c>
      <c r="W278" s="2004" t="s">
        <v>10808</v>
      </c>
      <c r="X278" s="2004" t="s">
        <v>10809</v>
      </c>
      <c r="Y278" s="2004"/>
      <c r="Z278" s="2004"/>
      <c r="AA278" s="2004"/>
      <c r="AB278" s="2004"/>
      <c r="AC278" s="2004"/>
      <c r="AD278" s="2004" t="s">
        <v>2337</v>
      </c>
      <c r="AE278" s="2004" t="s">
        <v>2337</v>
      </c>
      <c r="AF278" s="2004"/>
      <c r="AG278" s="2004"/>
      <c r="AH278" s="2004">
        <v>0</v>
      </c>
      <c r="AI278" s="2004"/>
      <c r="AJ278" s="2004"/>
      <c r="AK278" s="2004"/>
      <c r="AL278" s="2004" t="s">
        <v>2337</v>
      </c>
      <c r="AM278" s="2004" t="s">
        <v>2337</v>
      </c>
      <c r="AN278" s="2004"/>
      <c r="AO278" s="2004"/>
      <c r="AP278" s="2004"/>
      <c r="AQ278" s="2004"/>
      <c r="AR278" s="2004"/>
      <c r="AS278" s="2004"/>
      <c r="AT278" s="2004"/>
      <c r="AU278" s="2004"/>
      <c r="AV278" s="2004"/>
      <c r="AW278" s="2004"/>
      <c r="AX278" s="2004"/>
      <c r="AY278" s="2004"/>
      <c r="AZ278" s="2004"/>
      <c r="BA278" s="2004"/>
      <c r="BB278" s="2004"/>
      <c r="BC278" s="2004"/>
      <c r="BD278" s="2004"/>
      <c r="BE278" s="2004"/>
      <c r="BF278" s="2004"/>
      <c r="BG278" s="2004"/>
      <c r="BH278" s="2004">
        <v>2.63</v>
      </c>
      <c r="BI278" s="2004">
        <v>0.86</v>
      </c>
      <c r="BJ278" s="2004">
        <v>0.34</v>
      </c>
      <c r="BK278" s="2004"/>
      <c r="BL278" s="2004"/>
      <c r="BM278" s="2004"/>
      <c r="BN278" s="2004">
        <v>1</v>
      </c>
      <c r="BO278" s="2004" t="s">
        <v>9203</v>
      </c>
      <c r="BP278" s="516" t="s">
        <v>10796</v>
      </c>
      <c r="BQ278" s="688" t="s">
        <v>10796</v>
      </c>
      <c r="BR278" s="2004" t="s">
        <v>9204</v>
      </c>
      <c r="BS278" s="2004" t="s">
        <v>9204</v>
      </c>
      <c r="BT278" s="2004">
        <v>0</v>
      </c>
      <c r="BU278" s="2004" t="s">
        <v>9204</v>
      </c>
      <c r="BV278" s="2004">
        <v>0</v>
      </c>
      <c r="BW278" s="2004" t="s">
        <v>10797</v>
      </c>
      <c r="BX278" s="2004" t="s">
        <v>2335</v>
      </c>
      <c r="BY278" s="2004">
        <v>0</v>
      </c>
      <c r="BZ278" s="2004">
        <v>0</v>
      </c>
      <c r="CA278" s="2004">
        <v>0</v>
      </c>
      <c r="CB278" s="2004">
        <v>0</v>
      </c>
      <c r="CC278" s="2004" t="s">
        <v>10797</v>
      </c>
      <c r="CD278" s="2004" t="s">
        <v>2337</v>
      </c>
      <c r="CE278" s="2004">
        <v>0</v>
      </c>
      <c r="CF278" s="2004">
        <v>0</v>
      </c>
      <c r="CG278" s="2004">
        <v>0</v>
      </c>
      <c r="CH278" s="2004">
        <v>0</v>
      </c>
      <c r="CI278" s="2004" t="s">
        <v>9204</v>
      </c>
      <c r="CJ278" s="2004" t="s">
        <v>9204</v>
      </c>
      <c r="CK278" s="2004" t="s">
        <v>9204</v>
      </c>
      <c r="CL278" s="2004">
        <v>0</v>
      </c>
      <c r="CM278" s="2004" t="s">
        <v>9204</v>
      </c>
      <c r="CN278" s="2004">
        <v>0</v>
      </c>
      <c r="CP278" s="2004" t="s">
        <v>10810</v>
      </c>
    </row>
    <row r="279" spans="1:94">
      <c r="A279" s="2004" t="s">
        <v>9060</v>
      </c>
      <c r="B279" s="2004" t="s">
        <v>10811</v>
      </c>
      <c r="C279" s="2004" t="s">
        <v>9047</v>
      </c>
      <c r="D279" s="2004" t="s">
        <v>1628</v>
      </c>
      <c r="E279" s="2004" t="s">
        <v>9194</v>
      </c>
      <c r="F279" s="2004" t="s">
        <v>10747</v>
      </c>
      <c r="G279" s="2004" t="s">
        <v>10812</v>
      </c>
      <c r="H279" s="2004" t="s">
        <v>10813</v>
      </c>
      <c r="I279" s="2004" t="s">
        <v>10814</v>
      </c>
      <c r="J279" s="2004" t="s">
        <v>9210</v>
      </c>
      <c r="K279" s="2004" t="s">
        <v>9545</v>
      </c>
      <c r="L279" s="2004"/>
      <c r="M279" s="2004" t="s">
        <v>2334</v>
      </c>
      <c r="N279" s="2004" t="s">
        <v>5533</v>
      </c>
      <c r="O279" s="2004" t="s">
        <v>9487</v>
      </c>
      <c r="P279" s="2004" t="s">
        <v>10793</v>
      </c>
      <c r="Q279" s="516" t="s">
        <v>9203</v>
      </c>
      <c r="R279" s="2004"/>
      <c r="S279" s="2004" t="s">
        <v>4140</v>
      </c>
      <c r="T279" s="2004"/>
      <c r="U279" s="2004"/>
      <c r="V279" s="2004" t="s">
        <v>10794</v>
      </c>
      <c r="W279" s="2004" t="s">
        <v>10808</v>
      </c>
      <c r="X279" s="2004" t="s">
        <v>10809</v>
      </c>
      <c r="Y279" s="2004"/>
      <c r="Z279" s="2004"/>
      <c r="AA279" s="2004"/>
      <c r="AB279" s="2004"/>
      <c r="AC279" s="2004"/>
      <c r="AD279" s="2004" t="s">
        <v>2337</v>
      </c>
      <c r="AE279" s="2004" t="s">
        <v>2337</v>
      </c>
      <c r="AF279" s="2004"/>
      <c r="AG279" s="2004"/>
      <c r="AH279" s="2004">
        <v>0</v>
      </c>
      <c r="AI279" s="2004"/>
      <c r="AJ279" s="2004"/>
      <c r="AK279" s="2004"/>
      <c r="AL279" s="2004" t="s">
        <v>2337</v>
      </c>
      <c r="AM279" s="2004" t="s">
        <v>2337</v>
      </c>
      <c r="AN279" s="2004"/>
      <c r="AO279" s="2004"/>
      <c r="AP279" s="2004"/>
      <c r="AQ279" s="2004"/>
      <c r="AR279" s="2004"/>
      <c r="AS279" s="2004"/>
      <c r="AT279" s="2004"/>
      <c r="AU279" s="2004"/>
      <c r="AV279" s="2004"/>
      <c r="AW279" s="2004"/>
      <c r="AX279" s="2004"/>
      <c r="AY279" s="2004"/>
      <c r="AZ279" s="2004"/>
      <c r="BA279" s="2004"/>
      <c r="BB279" s="2004"/>
      <c r="BC279" s="2004"/>
      <c r="BD279" s="2004"/>
      <c r="BE279" s="2004"/>
      <c r="BF279" s="2004"/>
      <c r="BG279" s="2004"/>
      <c r="BH279" s="2004">
        <v>0.497</v>
      </c>
      <c r="BI279" s="2004">
        <v>0.16300000000000001</v>
      </c>
      <c r="BJ279" s="2004">
        <v>6.4000000000000001E-2</v>
      </c>
      <c r="BK279" s="2004"/>
      <c r="BL279" s="2004"/>
      <c r="BM279" s="2004"/>
      <c r="BN279" s="2004">
        <v>1</v>
      </c>
      <c r="BO279" s="2004" t="s">
        <v>9203</v>
      </c>
      <c r="BP279" s="516" t="s">
        <v>10796</v>
      </c>
      <c r="BQ279" s="688" t="s">
        <v>10796</v>
      </c>
      <c r="BR279" s="2004" t="s">
        <v>9204</v>
      </c>
      <c r="BS279" s="2004" t="s">
        <v>9204</v>
      </c>
      <c r="BT279" s="2004">
        <v>0</v>
      </c>
      <c r="BU279" s="2004" t="s">
        <v>9204</v>
      </c>
      <c r="BV279" s="2004">
        <v>0</v>
      </c>
      <c r="BW279" s="2004" t="s">
        <v>10797</v>
      </c>
      <c r="BX279" s="2004" t="s">
        <v>2335</v>
      </c>
      <c r="BY279" s="2004">
        <v>0</v>
      </c>
      <c r="BZ279" s="2004">
        <v>0</v>
      </c>
      <c r="CA279" s="2004">
        <v>0</v>
      </c>
      <c r="CB279" s="2004">
        <v>0</v>
      </c>
      <c r="CC279" s="2004" t="s">
        <v>10797</v>
      </c>
      <c r="CD279" s="2004" t="s">
        <v>2337</v>
      </c>
      <c r="CE279" s="2004">
        <v>0</v>
      </c>
      <c r="CF279" s="2004">
        <v>0</v>
      </c>
      <c r="CG279" s="2004">
        <v>0</v>
      </c>
      <c r="CH279" s="2004">
        <v>0</v>
      </c>
      <c r="CI279" s="2004" t="s">
        <v>9204</v>
      </c>
      <c r="CJ279" s="2004" t="s">
        <v>9204</v>
      </c>
      <c r="CK279" s="2004" t="s">
        <v>9204</v>
      </c>
      <c r="CL279" s="2004">
        <v>0</v>
      </c>
      <c r="CM279" s="2004" t="s">
        <v>9204</v>
      </c>
      <c r="CN279" s="2004">
        <v>0</v>
      </c>
      <c r="CP279" s="2004" t="s">
        <v>10815</v>
      </c>
    </row>
    <row r="280" spans="1:94">
      <c r="A280" s="2004" t="s">
        <v>9060</v>
      </c>
      <c r="B280" s="2004" t="s">
        <v>10816</v>
      </c>
      <c r="C280" s="2004" t="s">
        <v>9047</v>
      </c>
      <c r="D280" s="2004" t="s">
        <v>1628</v>
      </c>
      <c r="E280" s="2004" t="s">
        <v>9194</v>
      </c>
      <c r="F280" s="2004" t="s">
        <v>10747</v>
      </c>
      <c r="G280" s="2004" t="s">
        <v>10817</v>
      </c>
      <c r="H280" s="2004" t="s">
        <v>10818</v>
      </c>
      <c r="I280" s="2004" t="s">
        <v>10819</v>
      </c>
      <c r="J280" s="2004" t="s">
        <v>9210</v>
      </c>
      <c r="K280" s="2004" t="s">
        <v>9200</v>
      </c>
      <c r="L280" s="2004"/>
      <c r="M280" s="2004" t="s">
        <v>2334</v>
      </c>
      <c r="N280" s="2004" t="s">
        <v>5533</v>
      </c>
      <c r="O280" s="2004" t="s">
        <v>9487</v>
      </c>
      <c r="P280" s="2004" t="s">
        <v>10594</v>
      </c>
      <c r="Q280" s="516" t="s">
        <v>9203</v>
      </c>
      <c r="R280" s="2004"/>
      <c r="S280" s="2004" t="s">
        <v>4140</v>
      </c>
      <c r="T280" s="2004"/>
      <c r="U280" s="2004" t="s">
        <v>43</v>
      </c>
      <c r="V280" s="2004"/>
      <c r="W280" s="2004"/>
      <c r="X280" s="2004"/>
      <c r="Y280" s="2004"/>
      <c r="Z280" s="2004"/>
      <c r="AA280" s="2004"/>
      <c r="AB280" s="2004"/>
      <c r="AC280" s="2004"/>
      <c r="AD280" s="2004" t="s">
        <v>2337</v>
      </c>
      <c r="AE280" s="2004" t="s">
        <v>2337</v>
      </c>
      <c r="AF280" s="2004"/>
      <c r="AG280" s="2004"/>
      <c r="AH280" s="2004">
        <v>0</v>
      </c>
      <c r="AI280" s="2004"/>
      <c r="AJ280" s="2004" t="s">
        <v>2337</v>
      </c>
      <c r="AK280" s="2004" t="s">
        <v>2337</v>
      </c>
      <c r="AL280" s="2004" t="s">
        <v>2337</v>
      </c>
      <c r="AM280" s="2004" t="s">
        <v>2337</v>
      </c>
      <c r="AN280" s="2004"/>
      <c r="AO280" s="2004"/>
      <c r="AP280" s="2004"/>
      <c r="AQ280" s="2004"/>
      <c r="AR280" s="2004"/>
      <c r="AS280" s="2004"/>
      <c r="AT280" s="2004"/>
      <c r="AU280" s="2004"/>
      <c r="AV280" s="2004"/>
      <c r="AW280" s="2004"/>
      <c r="AX280" s="2004"/>
      <c r="AY280" s="2004"/>
      <c r="AZ280" s="2004"/>
      <c r="BA280" s="2004"/>
      <c r="BB280" s="2004"/>
      <c r="BC280" s="2004"/>
      <c r="BD280" s="2004"/>
      <c r="BE280" s="2004"/>
      <c r="BF280" s="2004"/>
      <c r="BG280" s="2004"/>
      <c r="BH280" s="2004">
        <v>2.0499999999999998</v>
      </c>
      <c r="BI280" s="2004"/>
      <c r="BJ280" s="2004"/>
      <c r="BK280" s="2004"/>
      <c r="BL280" s="2004"/>
      <c r="BM280" s="2004"/>
      <c r="BN280" s="2004">
        <v>1</v>
      </c>
      <c r="BO280" s="2004" t="s">
        <v>9203</v>
      </c>
      <c r="BP280" s="516" t="s">
        <v>10796</v>
      </c>
      <c r="BQ280" s="688" t="s">
        <v>10796</v>
      </c>
      <c r="BR280" s="2004" t="s">
        <v>9204</v>
      </c>
      <c r="BS280" s="2004" t="s">
        <v>9204</v>
      </c>
      <c r="BT280" s="2004">
        <v>0</v>
      </c>
      <c r="BU280" s="2004" t="s">
        <v>9204</v>
      </c>
      <c r="BV280" s="2004">
        <v>0</v>
      </c>
      <c r="BW280" s="2004" t="s">
        <v>10820</v>
      </c>
      <c r="BX280" s="2004" t="s">
        <v>2337</v>
      </c>
      <c r="BY280" s="2004">
        <v>0</v>
      </c>
      <c r="BZ280" s="2004">
        <v>0</v>
      </c>
      <c r="CA280" s="2004">
        <v>0</v>
      </c>
      <c r="CB280" s="2004">
        <v>0</v>
      </c>
      <c r="CC280" s="2004" t="s">
        <v>10820</v>
      </c>
      <c r="CD280" s="2004" t="s">
        <v>2337</v>
      </c>
      <c r="CE280" s="2004">
        <v>0</v>
      </c>
      <c r="CF280" s="2004">
        <v>0</v>
      </c>
      <c r="CG280" s="2004">
        <v>0</v>
      </c>
      <c r="CH280" s="2004">
        <v>0</v>
      </c>
      <c r="CI280" s="2004" t="s">
        <v>9204</v>
      </c>
      <c r="CJ280" s="2004" t="s">
        <v>9204</v>
      </c>
      <c r="CK280" s="2004" t="s">
        <v>9204</v>
      </c>
      <c r="CL280" s="2004">
        <v>0</v>
      </c>
      <c r="CM280" s="2004" t="s">
        <v>9204</v>
      </c>
      <c r="CN280" s="2004">
        <v>0</v>
      </c>
      <c r="CP280" s="2004" t="s">
        <v>10821</v>
      </c>
    </row>
    <row r="281" spans="1:94">
      <c r="A281" s="2004" t="s">
        <v>9060</v>
      </c>
      <c r="B281" s="2004" t="s">
        <v>10822</v>
      </c>
      <c r="C281" s="2004" t="s">
        <v>9047</v>
      </c>
      <c r="D281" s="2004" t="s">
        <v>1628</v>
      </c>
      <c r="E281" s="2004" t="s">
        <v>9194</v>
      </c>
      <c r="F281" s="2004" t="s">
        <v>10747</v>
      </c>
      <c r="G281" s="2004" t="s">
        <v>10823</v>
      </c>
      <c r="H281" s="2004" t="s">
        <v>10824</v>
      </c>
      <c r="I281" s="2004" t="s">
        <v>10825</v>
      </c>
      <c r="J281" s="2004" t="s">
        <v>9210</v>
      </c>
      <c r="K281" s="2004" t="s">
        <v>9545</v>
      </c>
      <c r="L281" s="2004"/>
      <c r="M281" s="2004" t="s">
        <v>2334</v>
      </c>
      <c r="N281" s="2004" t="s">
        <v>5533</v>
      </c>
      <c r="O281" s="2004" t="s">
        <v>9487</v>
      </c>
      <c r="P281" s="2004" t="s">
        <v>10594</v>
      </c>
      <c r="Q281" s="516" t="s">
        <v>9203</v>
      </c>
      <c r="R281" s="2004"/>
      <c r="S281" s="2004" t="s">
        <v>4140</v>
      </c>
      <c r="T281" s="2004"/>
      <c r="U281" s="2004" t="s">
        <v>43</v>
      </c>
      <c r="V281" s="2004"/>
      <c r="W281" s="2004"/>
      <c r="X281" s="2004"/>
      <c r="Y281" s="2004"/>
      <c r="Z281" s="2004"/>
      <c r="AA281" s="2004"/>
      <c r="AB281" s="2004"/>
      <c r="AC281" s="2004"/>
      <c r="AD281" s="2004" t="s">
        <v>2337</v>
      </c>
      <c r="AE281" s="2004" t="s">
        <v>2337</v>
      </c>
      <c r="AF281" s="2004"/>
      <c r="AG281" s="2004"/>
      <c r="AH281" s="2004">
        <v>0</v>
      </c>
      <c r="AI281" s="2004"/>
      <c r="AJ281" s="2004" t="s">
        <v>2337</v>
      </c>
      <c r="AK281" s="2004"/>
      <c r="AL281" s="2004"/>
      <c r="AM281" s="2004"/>
      <c r="AN281" s="2004"/>
      <c r="AO281" s="2004"/>
      <c r="AP281" s="2004"/>
      <c r="AQ281" s="2004"/>
      <c r="AR281" s="2004"/>
      <c r="AS281" s="2004"/>
      <c r="AT281" s="2004"/>
      <c r="AU281" s="2004"/>
      <c r="AV281" s="2004"/>
      <c r="AW281" s="2004"/>
      <c r="AX281" s="2004"/>
      <c r="AY281" s="2004"/>
      <c r="AZ281" s="2004"/>
      <c r="BA281" s="2004"/>
      <c r="BB281" s="2004"/>
      <c r="BC281" s="2004"/>
      <c r="BD281" s="2004"/>
      <c r="BE281" s="2004"/>
      <c r="BF281" s="2004"/>
      <c r="BG281" s="2004"/>
      <c r="BH281" s="2004">
        <v>38.6</v>
      </c>
      <c r="BI281" s="2004"/>
      <c r="BJ281" s="2004"/>
      <c r="BK281" s="2004"/>
      <c r="BL281" s="2004"/>
      <c r="BM281" s="2004"/>
      <c r="BN281" s="2004">
        <v>1</v>
      </c>
      <c r="BO281" s="2004" t="s">
        <v>9203</v>
      </c>
      <c r="BP281" s="516" t="s">
        <v>10796</v>
      </c>
      <c r="BQ281" s="688" t="s">
        <v>10796</v>
      </c>
      <c r="BR281" s="2004" t="s">
        <v>9204</v>
      </c>
      <c r="BS281" s="2004" t="s">
        <v>9204</v>
      </c>
      <c r="BT281" s="2004">
        <v>0</v>
      </c>
      <c r="BU281" s="2004" t="s">
        <v>9204</v>
      </c>
      <c r="BV281" s="2004">
        <v>0</v>
      </c>
      <c r="BW281" s="2004" t="s">
        <v>10820</v>
      </c>
      <c r="BX281" s="2004" t="s">
        <v>2337</v>
      </c>
      <c r="BY281" s="2004">
        <v>0</v>
      </c>
      <c r="BZ281" s="2004">
        <v>0</v>
      </c>
      <c r="CA281" s="2004">
        <v>0</v>
      </c>
      <c r="CB281" s="2004">
        <v>0</v>
      </c>
      <c r="CC281" s="2004" t="s">
        <v>10820</v>
      </c>
      <c r="CD281" s="2004" t="s">
        <v>2337</v>
      </c>
      <c r="CE281" s="2004">
        <v>0</v>
      </c>
      <c r="CF281" s="2004">
        <v>0</v>
      </c>
      <c r="CG281" s="2004">
        <v>0</v>
      </c>
      <c r="CH281" s="2004">
        <v>0</v>
      </c>
      <c r="CI281" s="2004" t="s">
        <v>9204</v>
      </c>
      <c r="CJ281" s="2004" t="s">
        <v>9204</v>
      </c>
      <c r="CK281" s="2004" t="s">
        <v>9204</v>
      </c>
      <c r="CL281" s="2004">
        <v>0</v>
      </c>
      <c r="CM281" s="2004" t="s">
        <v>9204</v>
      </c>
      <c r="CN281" s="2004">
        <v>0</v>
      </c>
      <c r="CP281" s="2004" t="s">
        <v>10826</v>
      </c>
    </row>
    <row r="282" spans="1:94">
      <c r="A282" s="2004" t="s">
        <v>9060</v>
      </c>
      <c r="B282" s="2004" t="s">
        <v>10827</v>
      </c>
      <c r="C282" s="2004" t="s">
        <v>9047</v>
      </c>
      <c r="D282" s="2004" t="s">
        <v>1628</v>
      </c>
      <c r="E282" s="2004" t="s">
        <v>9194</v>
      </c>
      <c r="F282" s="2004" t="s">
        <v>10828</v>
      </c>
      <c r="G282" s="2004" t="s">
        <v>9250</v>
      </c>
      <c r="H282" s="2004" t="s">
        <v>10829</v>
      </c>
      <c r="I282" s="2004" t="s">
        <v>10830</v>
      </c>
      <c r="J282" s="2004" t="s">
        <v>9199</v>
      </c>
      <c r="K282" s="2004" t="s">
        <v>9200</v>
      </c>
      <c r="L282" s="2004" t="s">
        <v>2337</v>
      </c>
      <c r="M282" s="2004"/>
      <c r="N282" s="2004" t="s">
        <v>9290</v>
      </c>
      <c r="O282" s="2004" t="s">
        <v>734</v>
      </c>
      <c r="P282" s="2004" t="s">
        <v>9387</v>
      </c>
      <c r="Q282" s="516">
        <v>0</v>
      </c>
      <c r="R282" s="2004" t="s">
        <v>9240</v>
      </c>
      <c r="S282" s="2004">
        <v>45</v>
      </c>
      <c r="T282" s="2004">
        <v>47</v>
      </c>
      <c r="U282" s="2004">
        <v>47</v>
      </c>
      <c r="V282" s="2004">
        <v>52</v>
      </c>
      <c r="W282" s="2004">
        <v>53</v>
      </c>
      <c r="X282" s="2004">
        <v>55</v>
      </c>
      <c r="Y282" s="2004"/>
      <c r="Z282" s="2004"/>
      <c r="AA282" s="2004"/>
      <c r="AB282" s="2004"/>
      <c r="AC282" s="2004"/>
      <c r="AD282" s="2004"/>
      <c r="AE282" s="2004"/>
      <c r="AF282" s="2004"/>
      <c r="AG282" s="2004"/>
      <c r="AH282" s="2004">
        <v>0</v>
      </c>
      <c r="AI282" s="2004" t="s">
        <v>2337</v>
      </c>
      <c r="AJ282" s="2004" t="s">
        <v>2337</v>
      </c>
      <c r="AK282" s="2004" t="s">
        <v>2337</v>
      </c>
      <c r="AL282" s="2004" t="s">
        <v>2337</v>
      </c>
      <c r="AM282" s="2004" t="s">
        <v>2337</v>
      </c>
      <c r="AN282" s="2004">
        <v>0</v>
      </c>
      <c r="AO282" s="2004">
        <v>0</v>
      </c>
      <c r="AP282" s="2004">
        <v>0</v>
      </c>
      <c r="AQ282" s="2004">
        <v>0</v>
      </c>
      <c r="AR282" s="2004">
        <v>0</v>
      </c>
      <c r="AS282" s="2004">
        <v>37</v>
      </c>
      <c r="AT282" s="2004">
        <v>37</v>
      </c>
      <c r="AU282" s="2004">
        <v>42</v>
      </c>
      <c r="AV282" s="2004">
        <v>43</v>
      </c>
      <c r="AW282" s="2004">
        <v>45</v>
      </c>
      <c r="AX282" s="2004">
        <v>57</v>
      </c>
      <c r="AY282" s="2004">
        <v>57</v>
      </c>
      <c r="AZ282" s="2004">
        <v>62</v>
      </c>
      <c r="BA282" s="2004">
        <v>63</v>
      </c>
      <c r="BB282" s="2004">
        <v>65</v>
      </c>
      <c r="BC282" s="2004">
        <v>100</v>
      </c>
      <c r="BD282" s="2004">
        <v>100</v>
      </c>
      <c r="BE282" s="2004">
        <v>100</v>
      </c>
      <c r="BF282" s="2004">
        <v>100</v>
      </c>
      <c r="BG282" s="2004">
        <v>100</v>
      </c>
      <c r="BH282" s="2004">
        <v>0.125</v>
      </c>
      <c r="BI282" s="2004"/>
      <c r="BJ282" s="2004"/>
      <c r="BK282" s="2004"/>
      <c r="BL282" s="2004">
        <v>0.125</v>
      </c>
      <c r="BM282" s="2004"/>
      <c r="BN282" s="2004">
        <v>1</v>
      </c>
      <c r="BO282" s="2004" t="s">
        <v>9203</v>
      </c>
      <c r="BP282" s="516">
        <v>51</v>
      </c>
      <c r="BQ282" s="689">
        <v>57.5</v>
      </c>
      <c r="BR282" s="2004" t="s">
        <v>2337</v>
      </c>
      <c r="BS282" s="2004" t="s">
        <v>2339</v>
      </c>
      <c r="BT282" s="2004">
        <v>0.125</v>
      </c>
      <c r="BU282" s="2004" t="s">
        <v>9204</v>
      </c>
      <c r="BV282" s="2004">
        <v>0</v>
      </c>
      <c r="BW282" s="2004">
        <v>58</v>
      </c>
      <c r="BX282" s="2004" t="s">
        <v>2337</v>
      </c>
      <c r="BY282" s="2004" t="s">
        <v>2339</v>
      </c>
      <c r="BZ282" s="2004">
        <v>0.125</v>
      </c>
      <c r="CA282" s="2004">
        <v>0</v>
      </c>
      <c r="CB282" s="2004">
        <v>0</v>
      </c>
      <c r="CC282" s="2004">
        <v>59</v>
      </c>
      <c r="CD282" s="2004" t="s">
        <v>2337</v>
      </c>
      <c r="CE282" s="2004" t="s">
        <v>9074</v>
      </c>
      <c r="CF282" s="2004">
        <v>0</v>
      </c>
      <c r="CG282" s="2004">
        <v>0</v>
      </c>
      <c r="CH282" s="2004">
        <v>0</v>
      </c>
      <c r="CI282" s="2004" t="s">
        <v>9204</v>
      </c>
      <c r="CJ282" s="2004" t="s">
        <v>9204</v>
      </c>
      <c r="CK282" s="2004" t="s">
        <v>9204</v>
      </c>
      <c r="CL282" s="2004">
        <v>0</v>
      </c>
      <c r="CM282" s="2004" t="s">
        <v>9204</v>
      </c>
      <c r="CN282" s="2004">
        <v>0</v>
      </c>
      <c r="CP282" s="2004" t="s">
        <v>10831</v>
      </c>
    </row>
    <row r="283" spans="1:94">
      <c r="A283" s="2004" t="s">
        <v>9060</v>
      </c>
      <c r="B283" s="2004" t="s">
        <v>10832</v>
      </c>
      <c r="C283" s="2004" t="s">
        <v>9047</v>
      </c>
      <c r="D283" s="2004" t="s">
        <v>1628</v>
      </c>
      <c r="E283" s="2004" t="s">
        <v>9194</v>
      </c>
      <c r="F283" s="2004" t="s">
        <v>10833</v>
      </c>
      <c r="G283" s="2004" t="s">
        <v>9331</v>
      </c>
      <c r="H283" s="2004" t="s">
        <v>10834</v>
      </c>
      <c r="I283" s="2004" t="s">
        <v>10835</v>
      </c>
      <c r="J283" s="2004" t="s">
        <v>9199</v>
      </c>
      <c r="K283" s="2004" t="s">
        <v>9200</v>
      </c>
      <c r="L283" s="2004"/>
      <c r="M283" s="2004"/>
      <c r="N283" s="2004" t="s">
        <v>9364</v>
      </c>
      <c r="O283" s="2004" t="s">
        <v>766</v>
      </c>
      <c r="P283" s="2004" t="s">
        <v>10836</v>
      </c>
      <c r="Q283" s="516">
        <v>0</v>
      </c>
      <c r="R283" s="2004" t="s">
        <v>9240</v>
      </c>
      <c r="S283" s="2004"/>
      <c r="T283" s="2004"/>
      <c r="U283" s="2004"/>
      <c r="V283" s="2004"/>
      <c r="W283" s="2004"/>
      <c r="X283" s="2004">
        <v>31</v>
      </c>
      <c r="Y283" s="2004"/>
      <c r="Z283" s="2004"/>
      <c r="AA283" s="2004"/>
      <c r="AB283" s="2004"/>
      <c r="AC283" s="2004"/>
      <c r="AD283" s="2004"/>
      <c r="AE283" s="2004"/>
      <c r="AF283" s="2004" t="s">
        <v>2337</v>
      </c>
      <c r="AG283" s="2004"/>
      <c r="AH283" s="2004">
        <v>0</v>
      </c>
      <c r="AI283" s="2004"/>
      <c r="AJ283" s="2004"/>
      <c r="AK283" s="2004"/>
      <c r="AL283" s="2004"/>
      <c r="AM283" s="2004" t="s">
        <v>2337</v>
      </c>
      <c r="AN283" s="2004"/>
      <c r="AO283" s="2004"/>
      <c r="AP283" s="2004"/>
      <c r="AQ283" s="2004"/>
      <c r="AR283" s="2004">
        <v>0</v>
      </c>
      <c r="AS283" s="2004"/>
      <c r="AT283" s="2004"/>
      <c r="AU283" s="2004"/>
      <c r="AV283" s="2004"/>
      <c r="AW283" s="2004">
        <v>31</v>
      </c>
      <c r="AX283" s="2004"/>
      <c r="AY283" s="2004"/>
      <c r="AZ283" s="2004"/>
      <c r="BA283" s="2004"/>
      <c r="BB283" s="2004">
        <v>31</v>
      </c>
      <c r="BC283" s="2004"/>
      <c r="BD283" s="2004"/>
      <c r="BE283" s="2004"/>
      <c r="BF283" s="2004"/>
      <c r="BG283" s="2004">
        <v>999999</v>
      </c>
      <c r="BH283" s="2004">
        <v>0.15</v>
      </c>
      <c r="BI283" s="2004"/>
      <c r="BJ283" s="2004"/>
      <c r="BK283" s="2004"/>
      <c r="BL283" s="2004">
        <v>0.15</v>
      </c>
      <c r="BM283" s="2004"/>
      <c r="BN283" s="2004">
        <v>1</v>
      </c>
      <c r="BO283" s="2004" t="s">
        <v>9203</v>
      </c>
      <c r="BP283" s="516">
        <v>0</v>
      </c>
      <c r="BQ283" s="689">
        <v>0</v>
      </c>
      <c r="BR283" s="2004" t="s">
        <v>9204</v>
      </c>
      <c r="BS283" s="2004" t="s">
        <v>9204</v>
      </c>
      <c r="BT283" s="2004">
        <v>0</v>
      </c>
      <c r="BU283" s="2004" t="s">
        <v>9204</v>
      </c>
      <c r="BV283" s="2004">
        <v>0</v>
      </c>
      <c r="BW283" s="2004">
        <v>7</v>
      </c>
      <c r="BX283" s="2004" t="s">
        <v>2335</v>
      </c>
      <c r="BY283" s="2004">
        <v>0</v>
      </c>
      <c r="BZ283" s="2004">
        <v>0</v>
      </c>
      <c r="CA283" s="2004">
        <v>0</v>
      </c>
      <c r="CB283" s="2004">
        <v>0</v>
      </c>
      <c r="CC283" s="2004">
        <v>3</v>
      </c>
      <c r="CD283" s="2004" t="s">
        <v>2335</v>
      </c>
      <c r="CE283" s="2004">
        <v>0</v>
      </c>
      <c r="CF283" s="2004">
        <v>0</v>
      </c>
      <c r="CG283" s="2004">
        <v>0</v>
      </c>
      <c r="CH283" s="2004">
        <v>0</v>
      </c>
      <c r="CI283" s="2004" t="s">
        <v>9204</v>
      </c>
      <c r="CJ283" s="2004" t="s">
        <v>9204</v>
      </c>
      <c r="CK283" s="2004" t="s">
        <v>9204</v>
      </c>
      <c r="CL283" s="2004">
        <v>0</v>
      </c>
      <c r="CM283" s="2004" t="s">
        <v>9204</v>
      </c>
      <c r="CN283" s="2004">
        <v>0</v>
      </c>
      <c r="CP283" s="2004" t="s">
        <v>10837</v>
      </c>
    </row>
    <row r="284" spans="1:94">
      <c r="A284" s="2004" t="s">
        <v>9060</v>
      </c>
      <c r="B284" s="2004" t="s">
        <v>10838</v>
      </c>
      <c r="C284" s="2004" t="s">
        <v>9047</v>
      </c>
      <c r="D284" s="2004" t="s">
        <v>1628</v>
      </c>
      <c r="E284" s="2004" t="s">
        <v>9194</v>
      </c>
      <c r="F284" s="2004" t="s">
        <v>10833</v>
      </c>
      <c r="G284" s="2004" t="s">
        <v>9337</v>
      </c>
      <c r="H284" s="2004" t="s">
        <v>10839</v>
      </c>
      <c r="I284" s="2004" t="s">
        <v>10840</v>
      </c>
      <c r="J284" s="2004" t="s">
        <v>9230</v>
      </c>
      <c r="K284" s="2004"/>
      <c r="L284" s="2004"/>
      <c r="M284" s="2004"/>
      <c r="N284" s="2004" t="s">
        <v>9364</v>
      </c>
      <c r="O284" s="2004" t="s">
        <v>734</v>
      </c>
      <c r="P284" s="2004" t="s">
        <v>10841</v>
      </c>
      <c r="Q284" s="516">
        <v>0</v>
      </c>
      <c r="R284" s="2004" t="s">
        <v>9240</v>
      </c>
      <c r="S284" s="2004" t="s">
        <v>2338</v>
      </c>
      <c r="T284" s="2004">
        <v>100</v>
      </c>
      <c r="U284" s="2004">
        <v>100</v>
      </c>
      <c r="V284" s="2004">
        <v>100</v>
      </c>
      <c r="W284" s="2004">
        <v>100</v>
      </c>
      <c r="X284" s="2004">
        <v>100</v>
      </c>
      <c r="Y284" s="2004"/>
      <c r="Z284" s="2004"/>
      <c r="AA284" s="2004"/>
      <c r="AB284" s="2004"/>
      <c r="AC284" s="2004"/>
      <c r="AD284" s="2004"/>
      <c r="AE284" s="2004"/>
      <c r="AF284" s="2004" t="s">
        <v>2337</v>
      </c>
      <c r="AG284" s="2004"/>
      <c r="AH284" s="2004">
        <v>0</v>
      </c>
      <c r="AI284" s="2004"/>
      <c r="AJ284" s="2004"/>
      <c r="AK284" s="2004"/>
      <c r="AL284" s="2004"/>
      <c r="AM284" s="2004"/>
      <c r="AN284" s="2004"/>
      <c r="AO284" s="2004"/>
      <c r="AP284" s="2004"/>
      <c r="AQ284" s="2004"/>
      <c r="AR284" s="2004"/>
      <c r="AS284" s="2004"/>
      <c r="AT284" s="2004"/>
      <c r="AU284" s="2004"/>
      <c r="AV284" s="2004"/>
      <c r="AW284" s="2004"/>
      <c r="AX284" s="2004"/>
      <c r="AY284" s="2004"/>
      <c r="AZ284" s="2004"/>
      <c r="BA284" s="2004"/>
      <c r="BB284" s="2004"/>
      <c r="BC284" s="2004"/>
      <c r="BD284" s="2004"/>
      <c r="BE284" s="2004"/>
      <c r="BF284" s="2004"/>
      <c r="BG284" s="2004"/>
      <c r="BH284" s="2004"/>
      <c r="BI284" s="2004"/>
      <c r="BJ284" s="2004"/>
      <c r="BK284" s="2004"/>
      <c r="BL284" s="2004"/>
      <c r="BM284" s="2004"/>
      <c r="BN284" s="2004"/>
      <c r="BO284" s="2004"/>
      <c r="BP284" s="516">
        <v>95.740000000000009</v>
      </c>
      <c r="BQ284" s="689">
        <v>97.508496246767137</v>
      </c>
      <c r="BR284" s="2004" t="s">
        <v>2334</v>
      </c>
      <c r="BS284" s="2004" t="s">
        <v>9204</v>
      </c>
      <c r="BT284" s="2004">
        <v>0</v>
      </c>
      <c r="BU284" s="2004" t="s">
        <v>9204</v>
      </c>
      <c r="BV284" s="2004">
        <v>0</v>
      </c>
      <c r="BW284" s="2004">
        <v>97.988160870777804</v>
      </c>
      <c r="BX284" s="2004" t="s">
        <v>2334</v>
      </c>
      <c r="BY284" s="2004">
        <v>0</v>
      </c>
      <c r="BZ284" s="2004">
        <v>0</v>
      </c>
      <c r="CA284" s="2004">
        <v>0</v>
      </c>
      <c r="CB284" s="2004">
        <v>0</v>
      </c>
      <c r="CC284" s="2004">
        <v>97.7</v>
      </c>
      <c r="CD284" s="2004" t="s">
        <v>2334</v>
      </c>
      <c r="CE284" s="2004">
        <v>0</v>
      </c>
      <c r="CF284" s="2004">
        <v>0</v>
      </c>
      <c r="CG284" s="2004">
        <v>0</v>
      </c>
      <c r="CH284" s="2004">
        <v>0</v>
      </c>
      <c r="CI284" s="2004" t="s">
        <v>9204</v>
      </c>
      <c r="CJ284" s="2004" t="s">
        <v>9204</v>
      </c>
      <c r="CK284" s="2004" t="s">
        <v>9204</v>
      </c>
      <c r="CL284" s="2004">
        <v>0</v>
      </c>
      <c r="CM284" s="2004" t="s">
        <v>9204</v>
      </c>
      <c r="CN284" s="2004">
        <v>0</v>
      </c>
      <c r="CP284" s="2004" t="s">
        <v>10842</v>
      </c>
    </row>
    <row r="285" spans="1:94">
      <c r="A285" s="2004" t="s">
        <v>9060</v>
      </c>
      <c r="B285" s="2004" t="s">
        <v>10843</v>
      </c>
      <c r="C285" s="2004" t="s">
        <v>9047</v>
      </c>
      <c r="D285" s="2004" t="s">
        <v>1628</v>
      </c>
      <c r="E285" s="2004" t="s">
        <v>9194</v>
      </c>
      <c r="F285" s="2004" t="s">
        <v>10833</v>
      </c>
      <c r="G285" s="2004" t="s">
        <v>9342</v>
      </c>
      <c r="H285" s="2004" t="s">
        <v>10844</v>
      </c>
      <c r="I285" s="2004" t="s">
        <v>10845</v>
      </c>
      <c r="J285" s="2004" t="s">
        <v>9230</v>
      </c>
      <c r="K285" s="2004"/>
      <c r="L285" s="2004"/>
      <c r="M285" s="2004"/>
      <c r="N285" s="2004" t="s">
        <v>9357</v>
      </c>
      <c r="O285" s="2004" t="s">
        <v>766</v>
      </c>
      <c r="P285" s="2004" t="s">
        <v>10846</v>
      </c>
      <c r="Q285" s="516">
        <v>0</v>
      </c>
      <c r="R285" s="2004" t="s">
        <v>9240</v>
      </c>
      <c r="S285" s="2004">
        <v>334</v>
      </c>
      <c r="T285" s="2004"/>
      <c r="U285" s="2004"/>
      <c r="V285" s="2004"/>
      <c r="W285" s="2004"/>
      <c r="X285" s="2004">
        <v>409</v>
      </c>
      <c r="Y285" s="2004"/>
      <c r="Z285" s="2004"/>
      <c r="AA285" s="2004"/>
      <c r="AB285" s="2004"/>
      <c r="AC285" s="2004"/>
      <c r="AD285" s="2004"/>
      <c r="AE285" s="2004"/>
      <c r="AF285" s="2004" t="s">
        <v>2337</v>
      </c>
      <c r="AG285" s="2004"/>
      <c r="AH285" s="2004">
        <v>0</v>
      </c>
      <c r="AI285" s="2004"/>
      <c r="AJ285" s="2004"/>
      <c r="AK285" s="2004"/>
      <c r="AL285" s="2004"/>
      <c r="AM285" s="2004"/>
      <c r="AN285" s="2004"/>
      <c r="AO285" s="2004"/>
      <c r="AP285" s="2004"/>
      <c r="AQ285" s="2004"/>
      <c r="AR285" s="2004"/>
      <c r="AS285" s="2004"/>
      <c r="AT285" s="2004"/>
      <c r="AU285" s="2004"/>
      <c r="AV285" s="2004"/>
      <c r="AW285" s="2004"/>
      <c r="AX285" s="2004"/>
      <c r="AY285" s="2004"/>
      <c r="AZ285" s="2004"/>
      <c r="BA285" s="2004"/>
      <c r="BB285" s="2004"/>
      <c r="BC285" s="2004"/>
      <c r="BD285" s="2004"/>
      <c r="BE285" s="2004"/>
      <c r="BF285" s="2004"/>
      <c r="BG285" s="2004"/>
      <c r="BH285" s="2004"/>
      <c r="BI285" s="2004"/>
      <c r="BJ285" s="2004"/>
      <c r="BK285" s="2004"/>
      <c r="BL285" s="2004"/>
      <c r="BM285" s="2004"/>
      <c r="BN285" s="2004"/>
      <c r="BO285" s="2004"/>
      <c r="BP285" s="516">
        <v>328</v>
      </c>
      <c r="BQ285" s="689">
        <v>322.89999999999998</v>
      </c>
      <c r="BR285" s="2004" t="s">
        <v>9204</v>
      </c>
      <c r="BS285" s="2004" t="s">
        <v>9204</v>
      </c>
      <c r="BT285" s="2004">
        <v>0</v>
      </c>
      <c r="BU285" s="2004" t="s">
        <v>9204</v>
      </c>
      <c r="BV285" s="2004">
        <v>0</v>
      </c>
      <c r="BW285" s="2004">
        <v>293</v>
      </c>
      <c r="BX285" s="2004" t="s">
        <v>2335</v>
      </c>
      <c r="BY285" s="2004">
        <v>0</v>
      </c>
      <c r="BZ285" s="2004">
        <v>0</v>
      </c>
      <c r="CA285" s="2004">
        <v>0</v>
      </c>
      <c r="CB285" s="2004">
        <v>0</v>
      </c>
      <c r="CC285" s="2004">
        <v>337</v>
      </c>
      <c r="CD285" s="2004" t="s">
        <v>2335</v>
      </c>
      <c r="CE285" s="2004">
        <v>0</v>
      </c>
      <c r="CF285" s="2004">
        <v>0</v>
      </c>
      <c r="CG285" s="2004">
        <v>0</v>
      </c>
      <c r="CH285" s="2004">
        <v>0</v>
      </c>
      <c r="CI285" s="2004" t="s">
        <v>9204</v>
      </c>
      <c r="CJ285" s="2004" t="s">
        <v>9204</v>
      </c>
      <c r="CK285" s="2004" t="s">
        <v>9204</v>
      </c>
      <c r="CL285" s="2004">
        <v>0</v>
      </c>
      <c r="CM285" s="2004" t="s">
        <v>9204</v>
      </c>
      <c r="CN285" s="2004">
        <v>0</v>
      </c>
      <c r="CP285" s="2004" t="s">
        <v>10847</v>
      </c>
    </row>
    <row r="286" spans="1:94">
      <c r="A286" s="2004" t="s">
        <v>9060</v>
      </c>
      <c r="B286" s="2004" t="s">
        <v>10848</v>
      </c>
      <c r="C286" s="2004" t="s">
        <v>9047</v>
      </c>
      <c r="D286" s="2004" t="s">
        <v>1628</v>
      </c>
      <c r="E286" s="2004" t="s">
        <v>9194</v>
      </c>
      <c r="F286" s="2004" t="s">
        <v>10833</v>
      </c>
      <c r="G286" s="2004" t="s">
        <v>9348</v>
      </c>
      <c r="H286" s="2004" t="s">
        <v>10849</v>
      </c>
      <c r="I286" s="2004" t="s">
        <v>10850</v>
      </c>
      <c r="J286" s="2004" t="s">
        <v>9230</v>
      </c>
      <c r="K286" s="2004"/>
      <c r="L286" s="2004"/>
      <c r="M286" s="2004"/>
      <c r="N286" s="2004" t="s">
        <v>9364</v>
      </c>
      <c r="O286" s="2004" t="s">
        <v>766</v>
      </c>
      <c r="P286" s="2004" t="s">
        <v>10851</v>
      </c>
      <c r="Q286" s="516">
        <v>0</v>
      </c>
      <c r="R286" s="2004"/>
      <c r="S286" s="2004"/>
      <c r="T286" s="2004"/>
      <c r="U286" s="2004"/>
      <c r="V286" s="2004"/>
      <c r="W286" s="2004" t="s">
        <v>9689</v>
      </c>
      <c r="X286" s="2004"/>
      <c r="Y286" s="2004"/>
      <c r="Z286" s="2004"/>
      <c r="AA286" s="2004"/>
      <c r="AB286" s="2004"/>
      <c r="AC286" s="2004"/>
      <c r="AD286" s="2004"/>
      <c r="AE286" s="2004"/>
      <c r="AF286" s="2004" t="s">
        <v>2337</v>
      </c>
      <c r="AG286" s="2004"/>
      <c r="AH286" s="2004">
        <v>0</v>
      </c>
      <c r="AI286" s="2004"/>
      <c r="AJ286" s="2004"/>
      <c r="AK286" s="2004"/>
      <c r="AL286" s="2004"/>
      <c r="AM286" s="2004"/>
      <c r="AN286" s="2004"/>
      <c r="AO286" s="2004"/>
      <c r="AP286" s="2004"/>
      <c r="AQ286" s="2004"/>
      <c r="AR286" s="2004"/>
      <c r="AS286" s="2004"/>
      <c r="AT286" s="2004"/>
      <c r="AU286" s="2004"/>
      <c r="AV286" s="2004"/>
      <c r="AW286" s="2004"/>
      <c r="AX286" s="2004"/>
      <c r="AY286" s="2004"/>
      <c r="AZ286" s="2004"/>
      <c r="BA286" s="2004"/>
      <c r="BB286" s="2004"/>
      <c r="BC286" s="2004"/>
      <c r="BD286" s="2004"/>
      <c r="BE286" s="2004"/>
      <c r="BF286" s="2004"/>
      <c r="BG286" s="2004"/>
      <c r="BH286" s="2004"/>
      <c r="BI286" s="2004"/>
      <c r="BJ286" s="2004"/>
      <c r="BK286" s="2004"/>
      <c r="BL286" s="2004"/>
      <c r="BM286" s="2004"/>
      <c r="BN286" s="2004"/>
      <c r="BO286" s="2004"/>
      <c r="BP286" s="516">
        <v>0</v>
      </c>
      <c r="BQ286" s="688">
        <v>0</v>
      </c>
      <c r="BR286" s="2004" t="s">
        <v>9204</v>
      </c>
      <c r="BS286" s="2004" t="s">
        <v>9204</v>
      </c>
      <c r="BT286" s="2004">
        <v>0</v>
      </c>
      <c r="BU286" s="2004" t="s">
        <v>9204</v>
      </c>
      <c r="BV286" s="2004">
        <v>0</v>
      </c>
      <c r="BW286" s="2004">
        <v>0</v>
      </c>
      <c r="BX286" s="2004" t="s">
        <v>2335</v>
      </c>
      <c r="BY286" s="2004">
        <v>0</v>
      </c>
      <c r="BZ286" s="2004">
        <v>0</v>
      </c>
      <c r="CA286" s="2004">
        <v>0</v>
      </c>
      <c r="CB286" s="2004">
        <v>0</v>
      </c>
      <c r="CC286" s="2004">
        <v>0</v>
      </c>
      <c r="CD286" s="2004" t="s">
        <v>2335</v>
      </c>
      <c r="CE286" s="2004">
        <v>0</v>
      </c>
      <c r="CF286" s="2004">
        <v>0</v>
      </c>
      <c r="CG286" s="2004">
        <v>0</v>
      </c>
      <c r="CH286" s="2004">
        <v>0</v>
      </c>
      <c r="CI286" s="2004" t="s">
        <v>9204</v>
      </c>
      <c r="CJ286" s="2004" t="s">
        <v>9204</v>
      </c>
      <c r="CK286" s="2004" t="s">
        <v>9204</v>
      </c>
      <c r="CL286" s="2004">
        <v>0</v>
      </c>
      <c r="CM286" s="2004" t="s">
        <v>9204</v>
      </c>
      <c r="CN286" s="2004">
        <v>0</v>
      </c>
      <c r="CP286" s="2004" t="s">
        <v>10852</v>
      </c>
    </row>
    <row r="287" spans="1:94">
      <c r="A287" s="2004" t="s">
        <v>9060</v>
      </c>
      <c r="B287" s="2004" t="s">
        <v>10853</v>
      </c>
      <c r="C287" s="2004" t="s">
        <v>9047</v>
      </c>
      <c r="D287" s="2004" t="s">
        <v>1628</v>
      </c>
      <c r="E287" s="2004" t="s">
        <v>9194</v>
      </c>
      <c r="F287" s="2004" t="s">
        <v>10854</v>
      </c>
      <c r="G287" s="2004" t="s">
        <v>9354</v>
      </c>
      <c r="H287" s="2004" t="s">
        <v>10855</v>
      </c>
      <c r="I287" s="2004" t="s">
        <v>10856</v>
      </c>
      <c r="J287" s="2004" t="s">
        <v>9199</v>
      </c>
      <c r="K287" s="2004" t="s">
        <v>9200</v>
      </c>
      <c r="L287" s="2004" t="s">
        <v>2337</v>
      </c>
      <c r="M287" s="2004"/>
      <c r="N287" s="2004" t="s">
        <v>9372</v>
      </c>
      <c r="O287" s="2004" t="s">
        <v>766</v>
      </c>
      <c r="P287" s="2004" t="s">
        <v>9870</v>
      </c>
      <c r="Q287" s="516">
        <v>3</v>
      </c>
      <c r="R287" s="2004" t="s">
        <v>9202</v>
      </c>
      <c r="S287" s="2004">
        <v>229</v>
      </c>
      <c r="T287" s="2004">
        <v>228</v>
      </c>
      <c r="U287" s="2004">
        <v>224</v>
      </c>
      <c r="V287" s="2004">
        <v>222</v>
      </c>
      <c r="W287" s="2004">
        <v>220</v>
      </c>
      <c r="X287" s="2004">
        <v>216</v>
      </c>
      <c r="Y287" s="2004"/>
      <c r="Z287" s="2004"/>
      <c r="AA287" s="2004"/>
      <c r="AB287" s="2004"/>
      <c r="AC287" s="2004"/>
      <c r="AD287" s="2004"/>
      <c r="AE287" s="2004"/>
      <c r="AF287" s="2004"/>
      <c r="AG287" s="2004"/>
      <c r="AH287" s="2004">
        <v>0</v>
      </c>
      <c r="AI287" s="2004" t="s">
        <v>2337</v>
      </c>
      <c r="AJ287" s="2004" t="s">
        <v>2337</v>
      </c>
      <c r="AK287" s="2004" t="s">
        <v>2337</v>
      </c>
      <c r="AL287" s="2004" t="s">
        <v>2337</v>
      </c>
      <c r="AM287" s="2004" t="s">
        <v>2337</v>
      </c>
      <c r="AN287" s="2004">
        <v>999999</v>
      </c>
      <c r="AO287" s="2004">
        <v>999999</v>
      </c>
      <c r="AP287" s="2004">
        <v>999999</v>
      </c>
      <c r="AQ287" s="2004">
        <v>999999</v>
      </c>
      <c r="AR287" s="2004">
        <v>999999</v>
      </c>
      <c r="AS287" s="2004">
        <v>228</v>
      </c>
      <c r="AT287" s="2004">
        <v>224</v>
      </c>
      <c r="AU287" s="2004">
        <v>222</v>
      </c>
      <c r="AV287" s="2004">
        <v>220</v>
      </c>
      <c r="AW287" s="2004">
        <v>216</v>
      </c>
      <c r="AX287" s="2004">
        <v>228</v>
      </c>
      <c r="AY287" s="2004">
        <v>224</v>
      </c>
      <c r="AZ287" s="2004">
        <v>222</v>
      </c>
      <c r="BA287" s="2004">
        <v>220</v>
      </c>
      <c r="BB287" s="2004">
        <v>216</v>
      </c>
      <c r="BC287" s="2004">
        <v>0</v>
      </c>
      <c r="BD287" s="2004">
        <v>0</v>
      </c>
      <c r="BE287" s="2004">
        <v>0</v>
      </c>
      <c r="BF287" s="2004">
        <v>0</v>
      </c>
      <c r="BG287" s="2004">
        <v>0</v>
      </c>
      <c r="BH287" s="2004">
        <v>1.4630000000000001E-2</v>
      </c>
      <c r="BI287" s="2004"/>
      <c r="BJ287" s="2004"/>
      <c r="BK287" s="2004"/>
      <c r="BL287" s="2004">
        <v>1.4630000000000001E-2</v>
      </c>
      <c r="BM287" s="2004"/>
      <c r="BN287" s="2004">
        <v>1</v>
      </c>
      <c r="BO287" s="2004" t="s">
        <v>9203</v>
      </c>
      <c r="BP287" s="516">
        <v>239.07913858581199</v>
      </c>
      <c r="BQ287" s="700">
        <v>246.63200000000001</v>
      </c>
      <c r="BR287" s="2004" t="s">
        <v>2334</v>
      </c>
      <c r="BS287" s="2004" t="s">
        <v>9254</v>
      </c>
      <c r="BT287" s="2004">
        <v>-0.27258616000000002</v>
      </c>
      <c r="BU287" s="2004" t="s">
        <v>9204</v>
      </c>
      <c r="BV287" s="2004">
        <v>0</v>
      </c>
      <c r="BW287" s="2004">
        <v>250</v>
      </c>
      <c r="BX287" s="2004" t="s">
        <v>2334</v>
      </c>
      <c r="BY287" s="2004" t="s">
        <v>9254</v>
      </c>
      <c r="BZ287" s="2004">
        <v>-0.38038</v>
      </c>
      <c r="CA287" s="2004">
        <v>0</v>
      </c>
      <c r="CB287" s="2004">
        <v>0</v>
      </c>
      <c r="CC287" s="2004">
        <v>256</v>
      </c>
      <c r="CD287" s="2004" t="s">
        <v>2334</v>
      </c>
      <c r="CE287" s="2004" t="s">
        <v>2336</v>
      </c>
      <c r="CF287" s="2004">
        <v>-0.49741999999999997</v>
      </c>
      <c r="CG287" s="2004">
        <v>0</v>
      </c>
      <c r="CH287" s="2004">
        <v>0</v>
      </c>
      <c r="CI287" s="2004" t="s">
        <v>9204</v>
      </c>
      <c r="CJ287" s="2004" t="s">
        <v>9204</v>
      </c>
      <c r="CK287" s="2004" t="s">
        <v>9204</v>
      </c>
      <c r="CL287" s="2004">
        <v>0</v>
      </c>
      <c r="CM287" s="2004" t="s">
        <v>9204</v>
      </c>
      <c r="CN287" s="2004">
        <v>0</v>
      </c>
      <c r="CP287" s="2004" t="s">
        <v>10857</v>
      </c>
    </row>
    <row r="288" spans="1:94">
      <c r="A288" s="2004" t="s">
        <v>9060</v>
      </c>
      <c r="B288" s="2004" t="s">
        <v>10858</v>
      </c>
      <c r="C288" s="2004" t="s">
        <v>9047</v>
      </c>
      <c r="D288" s="2004" t="s">
        <v>1628</v>
      </c>
      <c r="E288" s="2004" t="s">
        <v>9194</v>
      </c>
      <c r="F288" s="2004" t="s">
        <v>10859</v>
      </c>
      <c r="G288" s="2004" t="s">
        <v>9369</v>
      </c>
      <c r="H288" s="2004" t="s">
        <v>10860</v>
      </c>
      <c r="I288" s="2004" t="s">
        <v>10861</v>
      </c>
      <c r="J288" s="2004" t="s">
        <v>9230</v>
      </c>
      <c r="K288" s="2004"/>
      <c r="L288" s="2004"/>
      <c r="M288" s="2004"/>
      <c r="N288" s="2004" t="s">
        <v>10282</v>
      </c>
      <c r="O288" s="2004" t="s">
        <v>766</v>
      </c>
      <c r="P288" s="2004" t="s">
        <v>10862</v>
      </c>
      <c r="Q288" s="516">
        <v>0</v>
      </c>
      <c r="R288" s="2004"/>
      <c r="S288" s="2004">
        <v>75000</v>
      </c>
      <c r="T288" s="2004">
        <v>155000</v>
      </c>
      <c r="U288" s="2004">
        <v>160000</v>
      </c>
      <c r="V288" s="2004">
        <v>140000</v>
      </c>
      <c r="W288" s="2004">
        <v>120000</v>
      </c>
      <c r="X288" s="2004">
        <v>125000</v>
      </c>
      <c r="Y288" s="2004"/>
      <c r="Z288" s="2004"/>
      <c r="AA288" s="2004"/>
      <c r="AB288" s="2004"/>
      <c r="AC288" s="2004"/>
      <c r="AD288" s="2004"/>
      <c r="AE288" s="2004"/>
      <c r="AF288" s="2004"/>
      <c r="AG288" s="2004"/>
      <c r="AH288" s="2004">
        <v>0</v>
      </c>
      <c r="AI288" s="2004"/>
      <c r="AJ288" s="2004"/>
      <c r="AK288" s="2004"/>
      <c r="AL288" s="2004"/>
      <c r="AM288" s="2004"/>
      <c r="AN288" s="2004"/>
      <c r="AO288" s="2004"/>
      <c r="AP288" s="2004"/>
      <c r="AQ288" s="2004"/>
      <c r="AR288" s="2004"/>
      <c r="AS288" s="2004"/>
      <c r="AT288" s="2004"/>
      <c r="AU288" s="2004"/>
      <c r="AV288" s="2004"/>
      <c r="AW288" s="2004"/>
      <c r="AX288" s="2004"/>
      <c r="AY288" s="2004"/>
      <c r="AZ288" s="2004"/>
      <c r="BA288" s="2004"/>
      <c r="BB288" s="2004"/>
      <c r="BC288" s="2004"/>
      <c r="BD288" s="2004"/>
      <c r="BE288" s="2004"/>
      <c r="BF288" s="2004"/>
      <c r="BG288" s="2004"/>
      <c r="BH288" s="2004"/>
      <c r="BI288" s="2004"/>
      <c r="BJ288" s="2004"/>
      <c r="BK288" s="2004"/>
      <c r="BL288" s="2004"/>
      <c r="BM288" s="2004"/>
      <c r="BN288" s="2004"/>
      <c r="BO288" s="2004"/>
      <c r="BP288" s="516">
        <v>52127</v>
      </c>
      <c r="BQ288" s="689">
        <v>117728</v>
      </c>
      <c r="BR288" s="2004" t="s">
        <v>2334</v>
      </c>
      <c r="BS288" s="2004" t="s">
        <v>9204</v>
      </c>
      <c r="BT288" s="2004">
        <v>0</v>
      </c>
      <c r="BU288" s="2004" t="s">
        <v>9204</v>
      </c>
      <c r="BV288" s="2004">
        <v>0</v>
      </c>
      <c r="BW288" s="2004">
        <v>167024</v>
      </c>
      <c r="BX288" s="2004" t="s">
        <v>2337</v>
      </c>
      <c r="BY288" s="2004">
        <v>0</v>
      </c>
      <c r="BZ288" s="2004">
        <v>0</v>
      </c>
      <c r="CA288" s="2004">
        <v>0</v>
      </c>
      <c r="CB288" s="2004">
        <v>0</v>
      </c>
      <c r="CC288" s="2004">
        <v>200536</v>
      </c>
      <c r="CD288" s="2004" t="s">
        <v>2337</v>
      </c>
      <c r="CE288" s="2004">
        <v>0</v>
      </c>
      <c r="CF288" s="2004">
        <v>0</v>
      </c>
      <c r="CG288" s="2004">
        <v>0</v>
      </c>
      <c r="CH288" s="2004">
        <v>0</v>
      </c>
      <c r="CI288" s="2004" t="s">
        <v>9204</v>
      </c>
      <c r="CJ288" s="2004" t="s">
        <v>9204</v>
      </c>
      <c r="CK288" s="2004" t="s">
        <v>9204</v>
      </c>
      <c r="CL288" s="2004">
        <v>0</v>
      </c>
      <c r="CM288" s="2004" t="s">
        <v>9204</v>
      </c>
      <c r="CN288" s="2004">
        <v>0</v>
      </c>
      <c r="CP288" s="2004" t="s">
        <v>10863</v>
      </c>
    </row>
    <row r="289" spans="1:94">
      <c r="A289" s="2004" t="s">
        <v>9060</v>
      </c>
      <c r="B289" s="2004" t="s">
        <v>10864</v>
      </c>
      <c r="C289" s="2004" t="s">
        <v>9047</v>
      </c>
      <c r="D289" s="2004" t="s">
        <v>1629</v>
      </c>
      <c r="E289" s="2004" t="s">
        <v>9410</v>
      </c>
      <c r="F289" s="2004" t="s">
        <v>10865</v>
      </c>
      <c r="G289" s="2004" t="s">
        <v>9883</v>
      </c>
      <c r="H289" s="2004" t="s">
        <v>10866</v>
      </c>
      <c r="I289" s="2004" t="s">
        <v>10867</v>
      </c>
      <c r="J289" s="2004" t="s">
        <v>9199</v>
      </c>
      <c r="K289" s="2004" t="s">
        <v>9200</v>
      </c>
      <c r="L289" s="2004" t="s">
        <v>2337</v>
      </c>
      <c r="M289" s="2004" t="s">
        <v>2334</v>
      </c>
      <c r="N289" s="2004" t="s">
        <v>9414</v>
      </c>
      <c r="O289" s="2004" t="s">
        <v>766</v>
      </c>
      <c r="P289" s="2004" t="s">
        <v>10537</v>
      </c>
      <c r="Q289" s="516">
        <v>0</v>
      </c>
      <c r="R289" s="2004" t="s">
        <v>9202</v>
      </c>
      <c r="S289" s="2004">
        <v>1031</v>
      </c>
      <c r="T289" s="2004">
        <v>1014</v>
      </c>
      <c r="U289" s="2004">
        <v>989</v>
      </c>
      <c r="V289" s="2004">
        <v>960</v>
      </c>
      <c r="W289" s="2004">
        <v>927</v>
      </c>
      <c r="X289" s="2004">
        <v>892</v>
      </c>
      <c r="Y289" s="2004"/>
      <c r="Z289" s="2004"/>
      <c r="AA289" s="2004"/>
      <c r="AB289" s="2004"/>
      <c r="AC289" s="2004" t="s">
        <v>2337</v>
      </c>
      <c r="AD289" s="2004"/>
      <c r="AE289" s="2004" t="s">
        <v>2337</v>
      </c>
      <c r="AF289" s="2004"/>
      <c r="AG289" s="2004"/>
      <c r="AH289" s="2004">
        <v>0</v>
      </c>
      <c r="AI289" s="2004" t="s">
        <v>2337</v>
      </c>
      <c r="AJ289" s="2004" t="s">
        <v>2337</v>
      </c>
      <c r="AK289" s="2004" t="s">
        <v>2337</v>
      </c>
      <c r="AL289" s="2004" t="s">
        <v>2337</v>
      </c>
      <c r="AM289" s="2004" t="s">
        <v>2337</v>
      </c>
      <c r="AN289" s="2004">
        <v>999999</v>
      </c>
      <c r="AO289" s="2004">
        <v>999999</v>
      </c>
      <c r="AP289" s="2004">
        <v>999999</v>
      </c>
      <c r="AQ289" s="2004">
        <v>999999</v>
      </c>
      <c r="AR289" s="2004">
        <v>999999</v>
      </c>
      <c r="AS289" s="2004">
        <v>1014</v>
      </c>
      <c r="AT289" s="2004">
        <v>989</v>
      </c>
      <c r="AU289" s="2004">
        <v>960</v>
      </c>
      <c r="AV289" s="2004">
        <v>927</v>
      </c>
      <c r="AW289" s="2004">
        <v>892</v>
      </c>
      <c r="AX289" s="2004">
        <v>1014</v>
      </c>
      <c r="AY289" s="2004">
        <v>989</v>
      </c>
      <c r="AZ289" s="2004">
        <v>960</v>
      </c>
      <c r="BA289" s="2004">
        <v>927</v>
      </c>
      <c r="BB289" s="2004">
        <v>892</v>
      </c>
      <c r="BC289" s="2004">
        <v>0</v>
      </c>
      <c r="BD289" s="2004">
        <v>0</v>
      </c>
      <c r="BE289" s="2004">
        <v>0</v>
      </c>
      <c r="BF289" s="2004">
        <v>0</v>
      </c>
      <c r="BG289" s="2004">
        <v>0</v>
      </c>
      <c r="BH289" s="2004">
        <v>4.2819999999999997E-2</v>
      </c>
      <c r="BI289" s="2004"/>
      <c r="BJ289" s="2004"/>
      <c r="BK289" s="2004"/>
      <c r="BL289" s="2004">
        <v>4.2819999999999997E-2</v>
      </c>
      <c r="BM289" s="2004"/>
      <c r="BN289" s="2004">
        <v>1</v>
      </c>
      <c r="BO289" s="2004" t="s">
        <v>9203</v>
      </c>
      <c r="BP289" s="516">
        <v>1168</v>
      </c>
      <c r="BQ289" s="689">
        <v>809</v>
      </c>
      <c r="BR289" s="2004" t="s">
        <v>2337</v>
      </c>
      <c r="BS289" s="2004" t="s">
        <v>2339</v>
      </c>
      <c r="BT289" s="2004">
        <v>8.9922000000000004</v>
      </c>
      <c r="BU289" s="2004" t="s">
        <v>9204</v>
      </c>
      <c r="BV289" s="2004">
        <v>0</v>
      </c>
      <c r="BW289" s="2004">
        <v>901</v>
      </c>
      <c r="BX289" s="2004" t="s">
        <v>2337</v>
      </c>
      <c r="BY289" s="2004" t="s">
        <v>2339</v>
      </c>
      <c r="BZ289" s="2004">
        <v>3.5463520000000002</v>
      </c>
      <c r="CA289" s="2004">
        <v>0</v>
      </c>
      <c r="CB289" s="2004">
        <v>0</v>
      </c>
      <c r="CC289" s="2004">
        <v>662</v>
      </c>
      <c r="CD289" s="2004" t="s">
        <v>2337</v>
      </c>
      <c r="CE289" s="2004" t="s">
        <v>2339</v>
      </c>
      <c r="CF289" s="2004">
        <v>12.760359999999999</v>
      </c>
      <c r="CG289" s="2004">
        <v>0</v>
      </c>
      <c r="CH289" s="2004">
        <v>0</v>
      </c>
      <c r="CI289" s="2004" t="s">
        <v>9204</v>
      </c>
      <c r="CJ289" s="2004" t="s">
        <v>9204</v>
      </c>
      <c r="CK289" s="2004" t="s">
        <v>9204</v>
      </c>
      <c r="CL289" s="2004">
        <v>0</v>
      </c>
      <c r="CM289" s="2004" t="s">
        <v>9204</v>
      </c>
      <c r="CN289" s="2004">
        <v>0</v>
      </c>
      <c r="CP289" s="2004" t="s">
        <v>10868</v>
      </c>
    </row>
    <row r="290" spans="1:94">
      <c r="A290" s="2004" t="s">
        <v>9060</v>
      </c>
      <c r="B290" s="2004" t="s">
        <v>10869</v>
      </c>
      <c r="C290" s="2004" t="s">
        <v>9047</v>
      </c>
      <c r="D290" s="2004" t="s">
        <v>1629</v>
      </c>
      <c r="E290" s="2004" t="s">
        <v>9410</v>
      </c>
      <c r="F290" s="2004" t="s">
        <v>10865</v>
      </c>
      <c r="G290" s="2004" t="s">
        <v>9411</v>
      </c>
      <c r="H290" s="2004" t="s">
        <v>10870</v>
      </c>
      <c r="I290" s="2004" t="s">
        <v>10871</v>
      </c>
      <c r="J290" s="2004" t="s">
        <v>9199</v>
      </c>
      <c r="K290" s="2004" t="s">
        <v>9200</v>
      </c>
      <c r="L290" s="2004" t="s">
        <v>2337</v>
      </c>
      <c r="M290" s="2004" t="s">
        <v>2334</v>
      </c>
      <c r="N290" s="2004" t="s">
        <v>9414</v>
      </c>
      <c r="O290" s="2004" t="s">
        <v>766</v>
      </c>
      <c r="P290" s="2004" t="s">
        <v>10542</v>
      </c>
      <c r="Q290" s="516">
        <v>0</v>
      </c>
      <c r="R290" s="2004" t="s">
        <v>9202</v>
      </c>
      <c r="S290" s="2004">
        <v>7714</v>
      </c>
      <c r="T290" s="2004">
        <v>7639</v>
      </c>
      <c r="U290" s="2004">
        <v>7548</v>
      </c>
      <c r="V290" s="2004">
        <v>7447</v>
      </c>
      <c r="W290" s="2004">
        <v>7336</v>
      </c>
      <c r="X290" s="2004">
        <v>7220</v>
      </c>
      <c r="Y290" s="2004"/>
      <c r="Z290" s="2004"/>
      <c r="AA290" s="2004"/>
      <c r="AB290" s="2004"/>
      <c r="AC290" s="2004"/>
      <c r="AD290" s="2004"/>
      <c r="AE290" s="2004" t="s">
        <v>2337</v>
      </c>
      <c r="AF290" s="2004"/>
      <c r="AG290" s="2004"/>
      <c r="AH290" s="2004">
        <v>0</v>
      </c>
      <c r="AI290" s="2004" t="s">
        <v>2337</v>
      </c>
      <c r="AJ290" s="2004" t="s">
        <v>2337</v>
      </c>
      <c r="AK290" s="2004" t="s">
        <v>2337</v>
      </c>
      <c r="AL290" s="2004" t="s">
        <v>2337</v>
      </c>
      <c r="AM290" s="2004" t="s">
        <v>2337</v>
      </c>
      <c r="AN290" s="2004">
        <v>999999</v>
      </c>
      <c r="AO290" s="2004">
        <v>999999</v>
      </c>
      <c r="AP290" s="2004">
        <v>999999</v>
      </c>
      <c r="AQ290" s="2004">
        <v>999999</v>
      </c>
      <c r="AR290" s="2004">
        <v>999999</v>
      </c>
      <c r="AS290" s="2004">
        <v>7639</v>
      </c>
      <c r="AT290" s="2004">
        <v>7548</v>
      </c>
      <c r="AU290" s="2004">
        <v>7447</v>
      </c>
      <c r="AV290" s="2004">
        <v>7336</v>
      </c>
      <c r="AW290" s="2004">
        <v>7220</v>
      </c>
      <c r="AX290" s="2004">
        <v>7452</v>
      </c>
      <c r="AY290" s="2004">
        <v>7452</v>
      </c>
      <c r="AZ290" s="2004">
        <v>7447</v>
      </c>
      <c r="BA290" s="2004">
        <v>7336</v>
      </c>
      <c r="BB290" s="2004">
        <v>7220</v>
      </c>
      <c r="BC290" s="2004">
        <v>0</v>
      </c>
      <c r="BD290" s="2004">
        <v>0</v>
      </c>
      <c r="BE290" s="2004">
        <v>0</v>
      </c>
      <c r="BF290" s="2004">
        <v>0</v>
      </c>
      <c r="BG290" s="2004">
        <v>0</v>
      </c>
      <c r="BH290" s="2004">
        <v>1.9779000000000001E-2</v>
      </c>
      <c r="BI290" s="2004"/>
      <c r="BJ290" s="2004"/>
      <c r="BK290" s="2004"/>
      <c r="BL290" s="2004">
        <v>1.9779000000000001E-2</v>
      </c>
      <c r="BM290" s="2004"/>
      <c r="BN290" s="2004">
        <v>1</v>
      </c>
      <c r="BO290" s="2004" t="s">
        <v>9203</v>
      </c>
      <c r="BP290" s="516">
        <v>9896</v>
      </c>
      <c r="BQ290" s="689">
        <v>7163</v>
      </c>
      <c r="BR290" s="2004" t="s">
        <v>2337</v>
      </c>
      <c r="BS290" s="2004" t="s">
        <v>2339</v>
      </c>
      <c r="BT290" s="2004">
        <v>6.1314900000000003</v>
      </c>
      <c r="BU290" s="2004" t="s">
        <v>9204</v>
      </c>
      <c r="BV290" s="2004">
        <v>0</v>
      </c>
      <c r="BW290" s="2004">
        <v>5801</v>
      </c>
      <c r="BX290" s="2004" t="s">
        <v>2337</v>
      </c>
      <c r="BY290" s="2004" t="s">
        <v>2339</v>
      </c>
      <c r="BZ290" s="2004">
        <v>32.225189</v>
      </c>
      <c r="CA290" s="2004">
        <v>0</v>
      </c>
      <c r="CB290" s="2004">
        <v>0</v>
      </c>
      <c r="CC290" s="2004">
        <v>3763</v>
      </c>
      <c r="CD290" s="2004" t="s">
        <v>2337</v>
      </c>
      <c r="CE290" s="2004" t="s">
        <v>2339</v>
      </c>
      <c r="CF290" s="2004">
        <v>72.865836000000002</v>
      </c>
      <c r="CG290" s="2004">
        <v>0</v>
      </c>
      <c r="CH290" s="2004">
        <v>0</v>
      </c>
      <c r="CI290" s="2004" t="s">
        <v>9204</v>
      </c>
      <c r="CJ290" s="2004" t="s">
        <v>9204</v>
      </c>
      <c r="CK290" s="2004" t="s">
        <v>9204</v>
      </c>
      <c r="CL290" s="2004">
        <v>0</v>
      </c>
      <c r="CM290" s="2004" t="s">
        <v>9204</v>
      </c>
      <c r="CN290" s="2004">
        <v>0</v>
      </c>
      <c r="CP290" s="2004" t="s">
        <v>10872</v>
      </c>
    </row>
    <row r="291" spans="1:94">
      <c r="A291" s="2004" t="s">
        <v>9060</v>
      </c>
      <c r="B291" s="2004" t="s">
        <v>10873</v>
      </c>
      <c r="C291" s="2004" t="s">
        <v>9047</v>
      </c>
      <c r="D291" s="2004" t="s">
        <v>1629</v>
      </c>
      <c r="E291" s="2004" t="s">
        <v>9410</v>
      </c>
      <c r="F291" s="2004" t="s">
        <v>10865</v>
      </c>
      <c r="G291" s="2004" t="s">
        <v>9418</v>
      </c>
      <c r="H291" s="2004" t="s">
        <v>10874</v>
      </c>
      <c r="I291" s="2004" t="s">
        <v>10875</v>
      </c>
      <c r="J291" s="2004" t="s">
        <v>9199</v>
      </c>
      <c r="K291" s="2004" t="s">
        <v>9200</v>
      </c>
      <c r="L291" s="2004"/>
      <c r="M291" s="2004"/>
      <c r="N291" s="2004" t="s">
        <v>10208</v>
      </c>
      <c r="O291" s="2004" t="s">
        <v>766</v>
      </c>
      <c r="P291" s="2004" t="s">
        <v>10876</v>
      </c>
      <c r="Q291" s="516">
        <v>0</v>
      </c>
      <c r="R291" s="2004" t="s">
        <v>9240</v>
      </c>
      <c r="S291" s="2004">
        <v>7</v>
      </c>
      <c r="T291" s="2004"/>
      <c r="U291" s="2004"/>
      <c r="V291" s="2004"/>
      <c r="W291" s="2004"/>
      <c r="X291" s="2004">
        <v>21</v>
      </c>
      <c r="Y291" s="2004"/>
      <c r="Z291" s="2004"/>
      <c r="AA291" s="2004"/>
      <c r="AB291" s="2004"/>
      <c r="AC291" s="2004"/>
      <c r="AD291" s="2004"/>
      <c r="AE291" s="2004"/>
      <c r="AF291" s="2004"/>
      <c r="AG291" s="2004"/>
      <c r="AH291" s="2004">
        <v>0</v>
      </c>
      <c r="AI291" s="2004"/>
      <c r="AJ291" s="2004"/>
      <c r="AK291" s="2004"/>
      <c r="AL291" s="2004"/>
      <c r="AM291" s="2004" t="s">
        <v>2337</v>
      </c>
      <c r="AN291" s="2004"/>
      <c r="AO291" s="2004"/>
      <c r="AP291" s="2004"/>
      <c r="AQ291" s="2004"/>
      <c r="AR291" s="2004">
        <v>0</v>
      </c>
      <c r="AS291" s="2004"/>
      <c r="AT291" s="2004"/>
      <c r="AU291" s="2004"/>
      <c r="AV291" s="2004"/>
      <c r="AW291" s="2004">
        <v>21</v>
      </c>
      <c r="AX291" s="2004"/>
      <c r="AY291" s="2004"/>
      <c r="AZ291" s="2004"/>
      <c r="BA291" s="2004"/>
      <c r="BB291" s="2004">
        <v>21</v>
      </c>
      <c r="BC291" s="2004"/>
      <c r="BD291" s="2004"/>
      <c r="BE291" s="2004"/>
      <c r="BF291" s="2004"/>
      <c r="BG291" s="2004">
        <v>999999</v>
      </c>
      <c r="BH291" s="2004">
        <v>6.1171999999999997E-2</v>
      </c>
      <c r="BI291" s="2004"/>
      <c r="BJ291" s="2004"/>
      <c r="BK291" s="2004"/>
      <c r="BL291" s="2004">
        <v>6.1171999999999997E-2</v>
      </c>
      <c r="BM291" s="2004"/>
      <c r="BN291" s="2004">
        <v>1</v>
      </c>
      <c r="BO291" s="2004" t="s">
        <v>9203</v>
      </c>
      <c r="BP291" s="516">
        <v>0</v>
      </c>
      <c r="BQ291" s="689">
        <v>0</v>
      </c>
      <c r="BR291" s="2004" t="s">
        <v>9204</v>
      </c>
      <c r="BS291" s="2004" t="s">
        <v>9204</v>
      </c>
      <c r="BT291" s="2004">
        <v>0</v>
      </c>
      <c r="BU291" s="2004" t="s">
        <v>9204</v>
      </c>
      <c r="BV291" s="2004">
        <v>0</v>
      </c>
      <c r="BW291" s="2004">
        <v>0</v>
      </c>
      <c r="BX291" s="2004" t="s">
        <v>2335</v>
      </c>
      <c r="BY291" s="2004">
        <v>0</v>
      </c>
      <c r="BZ291" s="2004">
        <v>0</v>
      </c>
      <c r="CA291" s="2004">
        <v>0</v>
      </c>
      <c r="CB291" s="2004">
        <v>0</v>
      </c>
      <c r="CC291" s="2004">
        <v>8</v>
      </c>
      <c r="CD291" s="2004" t="s">
        <v>2335</v>
      </c>
      <c r="CE291" s="2004">
        <v>0</v>
      </c>
      <c r="CF291" s="2004">
        <v>0</v>
      </c>
      <c r="CG291" s="2004">
        <v>0</v>
      </c>
      <c r="CH291" s="2004">
        <v>0</v>
      </c>
      <c r="CI291" s="2004" t="s">
        <v>9204</v>
      </c>
      <c r="CJ291" s="2004" t="s">
        <v>9204</v>
      </c>
      <c r="CK291" s="2004" t="s">
        <v>9204</v>
      </c>
      <c r="CL291" s="2004">
        <v>0</v>
      </c>
      <c r="CM291" s="2004" t="s">
        <v>9204</v>
      </c>
      <c r="CN291" s="2004">
        <v>0</v>
      </c>
      <c r="CP291" s="2004" t="s">
        <v>10877</v>
      </c>
    </row>
    <row r="292" spans="1:94">
      <c r="A292" s="2004" t="s">
        <v>9060</v>
      </c>
      <c r="B292" s="2004" t="s">
        <v>10878</v>
      </c>
      <c r="C292" s="2004" t="s">
        <v>9047</v>
      </c>
      <c r="D292" s="2004" t="s">
        <v>1629</v>
      </c>
      <c r="E292" s="2004" t="s">
        <v>9410</v>
      </c>
      <c r="F292" s="2004" t="s">
        <v>10865</v>
      </c>
      <c r="G292" s="2004" t="s">
        <v>9424</v>
      </c>
      <c r="H292" s="2004" t="s">
        <v>10879</v>
      </c>
      <c r="I292" s="2004" t="s">
        <v>10880</v>
      </c>
      <c r="J292" s="2004" t="s">
        <v>9210</v>
      </c>
      <c r="K292" s="2004" t="s">
        <v>9545</v>
      </c>
      <c r="L292" s="2004"/>
      <c r="M292" s="2004"/>
      <c r="N292" s="2004" t="s">
        <v>9477</v>
      </c>
      <c r="O292" s="2004" t="s">
        <v>766</v>
      </c>
      <c r="P292" s="2004" t="s">
        <v>10881</v>
      </c>
      <c r="Q292" s="516">
        <v>0</v>
      </c>
      <c r="R292" s="2004" t="s">
        <v>9202</v>
      </c>
      <c r="S292" s="2004" t="s">
        <v>9548</v>
      </c>
      <c r="T292" s="2004" t="s">
        <v>10882</v>
      </c>
      <c r="U292" s="2004" t="s">
        <v>10883</v>
      </c>
      <c r="V292" s="2004" t="s">
        <v>10884</v>
      </c>
      <c r="W292" s="2004" t="s">
        <v>10885</v>
      </c>
      <c r="X292" s="2004" t="s">
        <v>10886</v>
      </c>
      <c r="Y292" s="2004"/>
      <c r="Z292" s="2004"/>
      <c r="AA292" s="2004"/>
      <c r="AB292" s="2004"/>
      <c r="AC292" s="2004"/>
      <c r="AD292" s="2004"/>
      <c r="AE292" s="2004" t="s">
        <v>2337</v>
      </c>
      <c r="AF292" s="2004"/>
      <c r="AG292" s="2004"/>
      <c r="AH292" s="2004">
        <v>0</v>
      </c>
      <c r="AI292" s="2004" t="s">
        <v>2337</v>
      </c>
      <c r="AJ292" s="2004" t="s">
        <v>2337</v>
      </c>
      <c r="AK292" s="2004" t="s">
        <v>2337</v>
      </c>
      <c r="AL292" s="2004" t="s">
        <v>2337</v>
      </c>
      <c r="AM292" s="2004" t="s">
        <v>2337</v>
      </c>
      <c r="AN292" s="2004">
        <v>999999</v>
      </c>
      <c r="AO292" s="2004">
        <v>999999</v>
      </c>
      <c r="AP292" s="2004">
        <v>999999</v>
      </c>
      <c r="AQ292" s="2004">
        <v>999999</v>
      </c>
      <c r="AR292" s="2004">
        <v>999999</v>
      </c>
      <c r="AS292" s="2004">
        <v>50470</v>
      </c>
      <c r="AT292" s="2004">
        <v>50078</v>
      </c>
      <c r="AU292" s="2004">
        <v>49685</v>
      </c>
      <c r="AV292" s="2004">
        <v>49293</v>
      </c>
      <c r="AW292" s="2004">
        <v>48900</v>
      </c>
      <c r="AX292" s="2004"/>
      <c r="AY292" s="2004"/>
      <c r="AZ292" s="2004"/>
      <c r="BA292" s="2004"/>
      <c r="BB292" s="2004"/>
      <c r="BC292" s="2004"/>
      <c r="BD292" s="2004"/>
      <c r="BE292" s="2004"/>
      <c r="BF292" s="2004"/>
      <c r="BG292" s="2004"/>
      <c r="BH292" s="2004">
        <v>2.0790000000000001E-3</v>
      </c>
      <c r="BI292" s="2004"/>
      <c r="BJ292" s="2004"/>
      <c r="BK292" s="2004"/>
      <c r="BL292" s="2004"/>
      <c r="BM292" s="2004"/>
      <c r="BN292" s="2004">
        <v>1</v>
      </c>
      <c r="BO292" s="2004" t="s">
        <v>9203</v>
      </c>
      <c r="BP292" s="516">
        <v>45920</v>
      </c>
      <c r="BQ292" s="689">
        <v>44107</v>
      </c>
      <c r="BR292" s="2004" t="s">
        <v>2337</v>
      </c>
      <c r="BS292" s="2004" t="s">
        <v>9204</v>
      </c>
      <c r="BT292" s="2004">
        <v>0</v>
      </c>
      <c r="BU292" s="2004" t="s">
        <v>9204</v>
      </c>
      <c r="BV292" s="2004">
        <v>0</v>
      </c>
      <c r="BW292" s="2004">
        <v>45240</v>
      </c>
      <c r="BX292" s="2004" t="s">
        <v>2337</v>
      </c>
      <c r="BY292" s="2004">
        <v>0</v>
      </c>
      <c r="BZ292" s="2004">
        <v>0</v>
      </c>
      <c r="CA292" s="2004">
        <v>0</v>
      </c>
      <c r="CB292" s="2004">
        <v>0</v>
      </c>
      <c r="CC292" s="2004">
        <v>45401</v>
      </c>
      <c r="CD292" s="2004" t="s">
        <v>2337</v>
      </c>
      <c r="CE292" s="2004">
        <v>0</v>
      </c>
      <c r="CF292" s="2004">
        <v>0</v>
      </c>
      <c r="CG292" s="2004">
        <v>0</v>
      </c>
      <c r="CH292" s="2004">
        <v>0</v>
      </c>
      <c r="CI292" s="2004" t="s">
        <v>9204</v>
      </c>
      <c r="CJ292" s="2004" t="s">
        <v>9204</v>
      </c>
      <c r="CK292" s="2004" t="s">
        <v>9204</v>
      </c>
      <c r="CL292" s="2004">
        <v>0</v>
      </c>
      <c r="CM292" s="2004" t="s">
        <v>9204</v>
      </c>
      <c r="CN292" s="2004">
        <v>0</v>
      </c>
      <c r="CP292" s="2004" t="s">
        <v>10887</v>
      </c>
    </row>
    <row r="293" spans="1:94">
      <c r="A293" s="2004" t="s">
        <v>9060</v>
      </c>
      <c r="B293" s="2004" t="s">
        <v>10888</v>
      </c>
      <c r="C293" s="2004" t="s">
        <v>9047</v>
      </c>
      <c r="D293" s="2004" t="s">
        <v>1629</v>
      </c>
      <c r="E293" s="2004" t="s">
        <v>9410</v>
      </c>
      <c r="F293" s="2004" t="s">
        <v>10865</v>
      </c>
      <c r="G293" s="2004" t="s">
        <v>10889</v>
      </c>
      <c r="H293" s="2004" t="s">
        <v>10890</v>
      </c>
      <c r="I293" s="2004" t="s">
        <v>10891</v>
      </c>
      <c r="J293" s="2004" t="s">
        <v>9230</v>
      </c>
      <c r="K293" s="2004"/>
      <c r="L293" s="2004"/>
      <c r="M293" s="2004"/>
      <c r="N293" s="2004" t="s">
        <v>9364</v>
      </c>
      <c r="O293" s="2004" t="s">
        <v>766</v>
      </c>
      <c r="P293" s="2004" t="s">
        <v>10892</v>
      </c>
      <c r="Q293" s="516">
        <v>0</v>
      </c>
      <c r="R293" s="2004" t="s">
        <v>9240</v>
      </c>
      <c r="S293" s="2004">
        <v>595</v>
      </c>
      <c r="T293" s="2004"/>
      <c r="U293" s="2004"/>
      <c r="V293" s="2004"/>
      <c r="W293" s="2004"/>
      <c r="X293" s="2004">
        <v>312</v>
      </c>
      <c r="Y293" s="2004"/>
      <c r="Z293" s="2004"/>
      <c r="AA293" s="2004"/>
      <c r="AB293" s="2004"/>
      <c r="AC293" s="2004"/>
      <c r="AD293" s="2004"/>
      <c r="AE293" s="2004"/>
      <c r="AF293" s="2004"/>
      <c r="AG293" s="2004"/>
      <c r="AH293" s="2004">
        <v>0</v>
      </c>
      <c r="AI293" s="2004"/>
      <c r="AJ293" s="2004"/>
      <c r="AK293" s="2004"/>
      <c r="AL293" s="2004"/>
      <c r="AM293" s="2004"/>
      <c r="AN293" s="2004"/>
      <c r="AO293" s="2004"/>
      <c r="AP293" s="2004"/>
      <c r="AQ293" s="2004"/>
      <c r="AR293" s="2004"/>
      <c r="AS293" s="2004"/>
      <c r="AT293" s="2004"/>
      <c r="AU293" s="2004"/>
      <c r="AV293" s="2004"/>
      <c r="AW293" s="2004"/>
      <c r="AX293" s="2004"/>
      <c r="AY293" s="2004"/>
      <c r="AZ293" s="2004"/>
      <c r="BA293" s="2004"/>
      <c r="BB293" s="2004"/>
      <c r="BC293" s="2004"/>
      <c r="BD293" s="2004"/>
      <c r="BE293" s="2004"/>
      <c r="BF293" s="2004"/>
      <c r="BG293" s="2004"/>
      <c r="BH293" s="2004"/>
      <c r="BI293" s="2004"/>
      <c r="BJ293" s="2004"/>
      <c r="BK293" s="2004"/>
      <c r="BL293" s="2004"/>
      <c r="BM293" s="2004"/>
      <c r="BN293" s="2004"/>
      <c r="BO293" s="2004"/>
      <c r="BP293" s="516">
        <v>0</v>
      </c>
      <c r="BQ293" s="689">
        <v>35</v>
      </c>
      <c r="BR293" s="2004" t="s">
        <v>9204</v>
      </c>
      <c r="BS293" s="2004" t="s">
        <v>9204</v>
      </c>
      <c r="BT293" s="2004">
        <v>0</v>
      </c>
      <c r="BU293" s="2004" t="s">
        <v>9204</v>
      </c>
      <c r="BV293" s="2004">
        <v>0</v>
      </c>
      <c r="BW293" s="2004">
        <v>14</v>
      </c>
      <c r="BX293" s="2004" t="s">
        <v>2335</v>
      </c>
      <c r="BY293" s="2004">
        <v>0</v>
      </c>
      <c r="BZ293" s="2004">
        <v>0</v>
      </c>
      <c r="CA293" s="2004">
        <v>0</v>
      </c>
      <c r="CB293" s="2004">
        <v>0</v>
      </c>
      <c r="CC293" s="2004">
        <v>32</v>
      </c>
      <c r="CD293" s="2004" t="s">
        <v>2335</v>
      </c>
      <c r="CE293" s="2004">
        <v>0</v>
      </c>
      <c r="CF293" s="2004">
        <v>0</v>
      </c>
      <c r="CG293" s="2004">
        <v>0</v>
      </c>
      <c r="CH293" s="2004">
        <v>0</v>
      </c>
      <c r="CI293" s="2004" t="s">
        <v>9204</v>
      </c>
      <c r="CJ293" s="2004" t="s">
        <v>9204</v>
      </c>
      <c r="CK293" s="2004" t="s">
        <v>9204</v>
      </c>
      <c r="CL293" s="2004">
        <v>0</v>
      </c>
      <c r="CM293" s="2004" t="s">
        <v>9204</v>
      </c>
      <c r="CN293" s="2004">
        <v>0</v>
      </c>
      <c r="CP293" s="2004" t="s">
        <v>10893</v>
      </c>
    </row>
    <row r="294" spans="1:94">
      <c r="A294" s="2004" t="s">
        <v>9060</v>
      </c>
      <c r="B294" s="2004" t="s">
        <v>10894</v>
      </c>
      <c r="C294" s="2004" t="s">
        <v>9047</v>
      </c>
      <c r="D294" s="2004" t="s">
        <v>1629</v>
      </c>
      <c r="E294" s="2004" t="s">
        <v>9410</v>
      </c>
      <c r="F294" s="2004" t="s">
        <v>10828</v>
      </c>
      <c r="G294" s="2004" t="s">
        <v>9431</v>
      </c>
      <c r="H294" s="2004" t="s">
        <v>10895</v>
      </c>
      <c r="I294" s="2004" t="s">
        <v>10896</v>
      </c>
      <c r="J294" s="2004" t="s">
        <v>9199</v>
      </c>
      <c r="K294" s="2004" t="s">
        <v>9200</v>
      </c>
      <c r="L294" s="2004" t="s">
        <v>2337</v>
      </c>
      <c r="M294" s="2004"/>
      <c r="N294" s="2004" t="s">
        <v>9290</v>
      </c>
      <c r="O294" s="2004" t="s">
        <v>734</v>
      </c>
      <c r="P294" s="2004" t="s">
        <v>9387</v>
      </c>
      <c r="Q294" s="516">
        <v>0</v>
      </c>
      <c r="R294" s="2004" t="s">
        <v>9240</v>
      </c>
      <c r="S294" s="2004">
        <v>45</v>
      </c>
      <c r="T294" s="2004">
        <v>47</v>
      </c>
      <c r="U294" s="2004">
        <v>47</v>
      </c>
      <c r="V294" s="2004">
        <v>52</v>
      </c>
      <c r="W294" s="2004">
        <v>53</v>
      </c>
      <c r="X294" s="2004">
        <v>55</v>
      </c>
      <c r="Y294" s="2004"/>
      <c r="Z294" s="2004"/>
      <c r="AA294" s="2004"/>
      <c r="AB294" s="2004"/>
      <c r="AC294" s="2004"/>
      <c r="AD294" s="2004"/>
      <c r="AE294" s="2004"/>
      <c r="AF294" s="2004"/>
      <c r="AG294" s="2004"/>
      <c r="AH294" s="2004">
        <v>0</v>
      </c>
      <c r="AI294" s="2004" t="s">
        <v>2337</v>
      </c>
      <c r="AJ294" s="2004" t="s">
        <v>2337</v>
      </c>
      <c r="AK294" s="2004" t="s">
        <v>2337</v>
      </c>
      <c r="AL294" s="2004" t="s">
        <v>2337</v>
      </c>
      <c r="AM294" s="2004" t="s">
        <v>2337</v>
      </c>
      <c r="AN294" s="2004">
        <v>0</v>
      </c>
      <c r="AO294" s="2004">
        <v>0</v>
      </c>
      <c r="AP294" s="2004">
        <v>0</v>
      </c>
      <c r="AQ294" s="2004">
        <v>0</v>
      </c>
      <c r="AR294" s="2004">
        <v>0</v>
      </c>
      <c r="AS294" s="2004">
        <v>37</v>
      </c>
      <c r="AT294" s="2004">
        <v>37</v>
      </c>
      <c r="AU294" s="2004">
        <v>42</v>
      </c>
      <c r="AV294" s="2004">
        <v>43</v>
      </c>
      <c r="AW294" s="2004">
        <v>45</v>
      </c>
      <c r="AX294" s="2004">
        <v>57</v>
      </c>
      <c r="AY294" s="2004">
        <v>57</v>
      </c>
      <c r="AZ294" s="2004">
        <v>62</v>
      </c>
      <c r="BA294" s="2004">
        <v>63</v>
      </c>
      <c r="BB294" s="2004">
        <v>65</v>
      </c>
      <c r="BC294" s="2004">
        <v>100</v>
      </c>
      <c r="BD294" s="2004">
        <v>100</v>
      </c>
      <c r="BE294" s="2004">
        <v>100</v>
      </c>
      <c r="BF294" s="2004">
        <v>100</v>
      </c>
      <c r="BG294" s="2004">
        <v>100</v>
      </c>
      <c r="BH294" s="2004">
        <v>0.125</v>
      </c>
      <c r="BI294" s="2004"/>
      <c r="BJ294" s="2004"/>
      <c r="BK294" s="2004"/>
      <c r="BL294" s="2004">
        <v>0.125</v>
      </c>
      <c r="BM294" s="2004"/>
      <c r="BN294" s="2004">
        <v>1</v>
      </c>
      <c r="BO294" s="2004" t="s">
        <v>9203</v>
      </c>
      <c r="BP294" s="516">
        <v>51</v>
      </c>
      <c r="BQ294" s="689">
        <v>57.5</v>
      </c>
      <c r="BR294" s="2004" t="s">
        <v>2337</v>
      </c>
      <c r="BS294" s="2004" t="s">
        <v>2339</v>
      </c>
      <c r="BT294" s="2004">
        <v>0.125</v>
      </c>
      <c r="BU294" s="2004" t="s">
        <v>9204</v>
      </c>
      <c r="BV294" s="2004">
        <v>0</v>
      </c>
      <c r="BW294" s="2004">
        <v>58</v>
      </c>
      <c r="BX294" s="2004" t="s">
        <v>2337</v>
      </c>
      <c r="BY294" s="2004" t="s">
        <v>2339</v>
      </c>
      <c r="BZ294" s="2004">
        <v>0.125</v>
      </c>
      <c r="CA294" s="2004">
        <v>0</v>
      </c>
      <c r="CB294" s="2004">
        <v>0</v>
      </c>
      <c r="CC294" s="2004">
        <v>59</v>
      </c>
      <c r="CD294" s="2004" t="s">
        <v>2337</v>
      </c>
      <c r="CE294" s="2004" t="s">
        <v>9074</v>
      </c>
      <c r="CF294" s="2004">
        <v>0</v>
      </c>
      <c r="CG294" s="2004">
        <v>0</v>
      </c>
      <c r="CH294" s="2004">
        <v>0</v>
      </c>
      <c r="CI294" s="2004" t="s">
        <v>9204</v>
      </c>
      <c r="CJ294" s="2004" t="s">
        <v>9204</v>
      </c>
      <c r="CK294" s="2004" t="s">
        <v>9204</v>
      </c>
      <c r="CL294" s="2004">
        <v>0</v>
      </c>
      <c r="CM294" s="2004" t="s">
        <v>9204</v>
      </c>
      <c r="CN294" s="2004">
        <v>0</v>
      </c>
      <c r="CP294" s="2004" t="s">
        <v>10897</v>
      </c>
    </row>
    <row r="295" spans="1:94">
      <c r="A295" s="2004" t="s">
        <v>9060</v>
      </c>
      <c r="B295" s="2004" t="s">
        <v>10898</v>
      </c>
      <c r="C295" s="2004" t="s">
        <v>9047</v>
      </c>
      <c r="D295" s="2004" t="s">
        <v>1629</v>
      </c>
      <c r="E295" s="2004" t="s">
        <v>9410</v>
      </c>
      <c r="F295" s="2004" t="s">
        <v>10833</v>
      </c>
      <c r="G295" s="2004" t="s">
        <v>9436</v>
      </c>
      <c r="H295" s="2004" t="s">
        <v>10899</v>
      </c>
      <c r="I295" s="2004" t="s">
        <v>10900</v>
      </c>
      <c r="J295" s="2004" t="s">
        <v>9199</v>
      </c>
      <c r="K295" s="2004" t="s">
        <v>9200</v>
      </c>
      <c r="L295" s="2004"/>
      <c r="M295" s="2004" t="s">
        <v>2334</v>
      </c>
      <c r="N295" s="2004" t="s">
        <v>9364</v>
      </c>
      <c r="O295" s="2004" t="s">
        <v>766</v>
      </c>
      <c r="P295" s="2004" t="s">
        <v>10901</v>
      </c>
      <c r="Q295" s="516">
        <v>0</v>
      </c>
      <c r="R295" s="2004" t="s">
        <v>9240</v>
      </c>
      <c r="S295" s="2004"/>
      <c r="T295" s="2004"/>
      <c r="U295" s="2004"/>
      <c r="V295" s="2004"/>
      <c r="W295" s="2004"/>
      <c r="X295" s="2004">
        <v>202</v>
      </c>
      <c r="Y295" s="2004"/>
      <c r="Z295" s="2004"/>
      <c r="AA295" s="2004"/>
      <c r="AB295" s="2004"/>
      <c r="AC295" s="2004"/>
      <c r="AD295" s="2004"/>
      <c r="AE295" s="2004"/>
      <c r="AF295" s="2004" t="s">
        <v>2337</v>
      </c>
      <c r="AG295" s="2004"/>
      <c r="AH295" s="2004">
        <v>0</v>
      </c>
      <c r="AI295" s="2004"/>
      <c r="AJ295" s="2004"/>
      <c r="AK295" s="2004"/>
      <c r="AL295" s="2004"/>
      <c r="AM295" s="2004" t="s">
        <v>2337</v>
      </c>
      <c r="AN295" s="2004"/>
      <c r="AO295" s="2004"/>
      <c r="AP295" s="2004"/>
      <c r="AQ295" s="2004"/>
      <c r="AR295" s="2004">
        <v>0</v>
      </c>
      <c r="AS295" s="2004"/>
      <c r="AT295" s="2004"/>
      <c r="AU295" s="2004"/>
      <c r="AV295" s="2004"/>
      <c r="AW295" s="2004">
        <v>202</v>
      </c>
      <c r="AX295" s="2004"/>
      <c r="AY295" s="2004"/>
      <c r="AZ295" s="2004"/>
      <c r="BA295" s="2004"/>
      <c r="BB295" s="2004">
        <v>202</v>
      </c>
      <c r="BC295" s="2004"/>
      <c r="BD295" s="2004"/>
      <c r="BE295" s="2004"/>
      <c r="BF295" s="2004"/>
      <c r="BG295" s="2004">
        <v>999999</v>
      </c>
      <c r="BH295" s="2004">
        <v>0.15</v>
      </c>
      <c r="BI295" s="2004"/>
      <c r="BJ295" s="2004"/>
      <c r="BK295" s="2004"/>
      <c r="BL295" s="2004">
        <v>0.15</v>
      </c>
      <c r="BM295" s="2004"/>
      <c r="BN295" s="2004">
        <v>1</v>
      </c>
      <c r="BO295" s="2004" t="s">
        <v>9203</v>
      </c>
      <c r="BP295" s="516">
        <v>0</v>
      </c>
      <c r="BQ295" s="689">
        <v>0</v>
      </c>
      <c r="BR295" s="2004" t="s">
        <v>9204</v>
      </c>
      <c r="BS295" s="2004" t="s">
        <v>9204</v>
      </c>
      <c r="BT295" s="2004">
        <v>0</v>
      </c>
      <c r="BU295" s="2004" t="s">
        <v>9204</v>
      </c>
      <c r="BV295" s="2004">
        <v>0</v>
      </c>
      <c r="BW295" s="2004">
        <v>8</v>
      </c>
      <c r="BX295" s="2004" t="s">
        <v>2335</v>
      </c>
      <c r="BY295" s="2004">
        <v>0</v>
      </c>
      <c r="BZ295" s="2004">
        <v>0</v>
      </c>
      <c r="CA295" s="2004">
        <v>0</v>
      </c>
      <c r="CB295" s="2004">
        <v>0</v>
      </c>
      <c r="CC295" s="2004">
        <v>16</v>
      </c>
      <c r="CD295" s="2004" t="s">
        <v>2335</v>
      </c>
      <c r="CE295" s="2004">
        <v>0</v>
      </c>
      <c r="CF295" s="2004">
        <v>0</v>
      </c>
      <c r="CG295" s="2004">
        <v>0</v>
      </c>
      <c r="CH295" s="2004">
        <v>0</v>
      </c>
      <c r="CI295" s="2004" t="s">
        <v>9204</v>
      </c>
      <c r="CJ295" s="2004" t="s">
        <v>9204</v>
      </c>
      <c r="CK295" s="2004" t="s">
        <v>9204</v>
      </c>
      <c r="CL295" s="2004">
        <v>0</v>
      </c>
      <c r="CM295" s="2004" t="s">
        <v>9204</v>
      </c>
      <c r="CN295" s="2004">
        <v>0</v>
      </c>
      <c r="CP295" s="2004" t="s">
        <v>10902</v>
      </c>
    </row>
    <row r="296" spans="1:94">
      <c r="A296" s="2004" t="s">
        <v>9060</v>
      </c>
      <c r="B296" s="2004" t="s">
        <v>10903</v>
      </c>
      <c r="C296" s="2004" t="s">
        <v>9047</v>
      </c>
      <c r="D296" s="2004" t="s">
        <v>1629</v>
      </c>
      <c r="E296" s="2004" t="s">
        <v>9410</v>
      </c>
      <c r="F296" s="2004" t="s">
        <v>10833</v>
      </c>
      <c r="G296" s="2004" t="s">
        <v>9442</v>
      </c>
      <c r="H296" s="2004" t="s">
        <v>10904</v>
      </c>
      <c r="I296" s="2004" t="s">
        <v>10905</v>
      </c>
      <c r="J296" s="2004" t="s">
        <v>9199</v>
      </c>
      <c r="K296" s="2004" t="s">
        <v>9200</v>
      </c>
      <c r="L296" s="2004" t="s">
        <v>2337</v>
      </c>
      <c r="M296" s="2004" t="s">
        <v>2334</v>
      </c>
      <c r="N296" s="2004" t="s">
        <v>9450</v>
      </c>
      <c r="O296" s="2004" t="s">
        <v>766</v>
      </c>
      <c r="P296" s="2004" t="s">
        <v>9451</v>
      </c>
      <c r="Q296" s="516">
        <v>0</v>
      </c>
      <c r="R296" s="2004" t="s">
        <v>9202</v>
      </c>
      <c r="S296" s="2004">
        <v>457</v>
      </c>
      <c r="T296" s="2004">
        <v>429</v>
      </c>
      <c r="U296" s="2004">
        <v>402</v>
      </c>
      <c r="V296" s="2004">
        <v>374</v>
      </c>
      <c r="W296" s="2004">
        <v>374</v>
      </c>
      <c r="X296" s="2004">
        <v>374</v>
      </c>
      <c r="Y296" s="2004"/>
      <c r="Z296" s="2004"/>
      <c r="AA296" s="2004"/>
      <c r="AB296" s="2004" t="s">
        <v>2337</v>
      </c>
      <c r="AC296" s="2004"/>
      <c r="AD296" s="2004"/>
      <c r="AE296" s="2004" t="s">
        <v>2337</v>
      </c>
      <c r="AF296" s="2004"/>
      <c r="AG296" s="2004"/>
      <c r="AH296" s="2004">
        <v>0</v>
      </c>
      <c r="AI296" s="2004" t="s">
        <v>2337</v>
      </c>
      <c r="AJ296" s="2004" t="s">
        <v>2337</v>
      </c>
      <c r="AK296" s="2004" t="s">
        <v>2337</v>
      </c>
      <c r="AL296" s="2004" t="s">
        <v>2337</v>
      </c>
      <c r="AM296" s="2004" t="s">
        <v>2337</v>
      </c>
      <c r="AN296" s="2004">
        <v>999999</v>
      </c>
      <c r="AO296" s="2004">
        <v>999999</v>
      </c>
      <c r="AP296" s="2004">
        <v>999999</v>
      </c>
      <c r="AQ296" s="2004">
        <v>999999</v>
      </c>
      <c r="AR296" s="2004">
        <v>999999</v>
      </c>
      <c r="AS296" s="2004">
        <v>457</v>
      </c>
      <c r="AT296" s="2004">
        <v>457</v>
      </c>
      <c r="AU296" s="2004">
        <v>374</v>
      </c>
      <c r="AV296" s="2004">
        <v>374</v>
      </c>
      <c r="AW296" s="2004">
        <v>374</v>
      </c>
      <c r="AX296" s="2004">
        <v>374</v>
      </c>
      <c r="AY296" s="2004">
        <v>374</v>
      </c>
      <c r="AZ296" s="2004">
        <v>374</v>
      </c>
      <c r="BA296" s="2004">
        <v>374</v>
      </c>
      <c r="BB296" s="2004">
        <v>374</v>
      </c>
      <c r="BC296" s="2004">
        <v>0</v>
      </c>
      <c r="BD296" s="2004">
        <v>0</v>
      </c>
      <c r="BE296" s="2004">
        <v>0</v>
      </c>
      <c r="BF296" s="2004">
        <v>0</v>
      </c>
      <c r="BG296" s="2004">
        <v>0</v>
      </c>
      <c r="BH296" s="2004">
        <v>5.3900000000000003E-2</v>
      </c>
      <c r="BI296" s="2004"/>
      <c r="BJ296" s="2004"/>
      <c r="BK296" s="2004"/>
      <c r="BL296" s="2004">
        <v>5.3900000000000003E-2</v>
      </c>
      <c r="BM296" s="2004"/>
      <c r="BN296" s="2004">
        <v>1</v>
      </c>
      <c r="BO296" s="2004" t="s">
        <v>9203</v>
      </c>
      <c r="BP296" s="516">
        <v>369</v>
      </c>
      <c r="BQ296" s="689">
        <v>293</v>
      </c>
      <c r="BR296" s="2004" t="s">
        <v>2337</v>
      </c>
      <c r="BS296" s="2004" t="s">
        <v>2339</v>
      </c>
      <c r="BT296" s="2004">
        <v>4.3658999999999999</v>
      </c>
      <c r="BU296" s="2004" t="s">
        <v>9204</v>
      </c>
      <c r="BV296" s="2004">
        <v>0</v>
      </c>
      <c r="BW296" s="2004">
        <v>301</v>
      </c>
      <c r="BX296" s="2004" t="s">
        <v>2337</v>
      </c>
      <c r="BY296" s="2004" t="s">
        <v>2339</v>
      </c>
      <c r="BZ296" s="2004">
        <v>3.9347000000000003</v>
      </c>
      <c r="CA296" s="2004">
        <v>0</v>
      </c>
      <c r="CB296" s="2004">
        <v>0</v>
      </c>
      <c r="CC296" s="2004">
        <v>327</v>
      </c>
      <c r="CD296" s="2004" t="s">
        <v>2337</v>
      </c>
      <c r="CE296" s="2004" t="s">
        <v>2339</v>
      </c>
      <c r="CF296" s="2004">
        <v>2.5333000000000001</v>
      </c>
      <c r="CG296" s="2004">
        <v>0</v>
      </c>
      <c r="CH296" s="2004">
        <v>0</v>
      </c>
      <c r="CI296" s="2004" t="s">
        <v>9204</v>
      </c>
      <c r="CJ296" s="2004" t="s">
        <v>9204</v>
      </c>
      <c r="CK296" s="2004" t="s">
        <v>9204</v>
      </c>
      <c r="CL296" s="2004">
        <v>0</v>
      </c>
      <c r="CM296" s="2004" t="s">
        <v>9204</v>
      </c>
      <c r="CN296" s="2004">
        <v>0</v>
      </c>
      <c r="CP296" s="2004" t="s">
        <v>10906</v>
      </c>
    </row>
    <row r="297" spans="1:94">
      <c r="A297" s="2004" t="s">
        <v>9060</v>
      </c>
      <c r="B297" s="2004" t="s">
        <v>10907</v>
      </c>
      <c r="C297" s="2004" t="s">
        <v>9047</v>
      </c>
      <c r="D297" s="2004" t="s">
        <v>1629</v>
      </c>
      <c r="E297" s="2004" t="s">
        <v>9410</v>
      </c>
      <c r="F297" s="2004" t="s">
        <v>10833</v>
      </c>
      <c r="G297" s="2004" t="s">
        <v>9447</v>
      </c>
      <c r="H297" s="2004" t="s">
        <v>10908</v>
      </c>
      <c r="I297" s="2004" t="s">
        <v>10909</v>
      </c>
      <c r="J297" s="2004" t="s">
        <v>9210</v>
      </c>
      <c r="K297" s="2004" t="s">
        <v>9545</v>
      </c>
      <c r="L297" s="2004"/>
      <c r="M297" s="2004" t="s">
        <v>2334</v>
      </c>
      <c r="N297" s="2004" t="s">
        <v>9364</v>
      </c>
      <c r="O297" s="2004" t="s">
        <v>734</v>
      </c>
      <c r="P297" s="2004" t="s">
        <v>10558</v>
      </c>
      <c r="Q297" s="516">
        <v>2</v>
      </c>
      <c r="R297" s="2004" t="s">
        <v>9240</v>
      </c>
      <c r="S297" s="2004" t="s">
        <v>2338</v>
      </c>
      <c r="T297" s="2004">
        <v>100</v>
      </c>
      <c r="U297" s="2004">
        <v>100</v>
      </c>
      <c r="V297" s="2004">
        <v>100</v>
      </c>
      <c r="W297" s="2004">
        <v>100</v>
      </c>
      <c r="X297" s="2004">
        <v>100</v>
      </c>
      <c r="Y297" s="2004"/>
      <c r="Z297" s="2004"/>
      <c r="AA297" s="2004"/>
      <c r="AB297" s="2004"/>
      <c r="AC297" s="2004"/>
      <c r="AD297" s="2004"/>
      <c r="AE297" s="2004" t="s">
        <v>2337</v>
      </c>
      <c r="AF297" s="2004" t="s">
        <v>2337</v>
      </c>
      <c r="AG297" s="2004"/>
      <c r="AH297" s="2004">
        <v>4</v>
      </c>
      <c r="AI297" s="2004" t="s">
        <v>2337</v>
      </c>
      <c r="AJ297" s="2004" t="s">
        <v>2337</v>
      </c>
      <c r="AK297" s="2004" t="s">
        <v>2337</v>
      </c>
      <c r="AL297" s="2004" t="s">
        <v>2337</v>
      </c>
      <c r="AM297" s="2004" t="s">
        <v>2337</v>
      </c>
      <c r="AN297" s="2004">
        <v>0</v>
      </c>
      <c r="AO297" s="2004">
        <v>0</v>
      </c>
      <c r="AP297" s="2004">
        <v>0</v>
      </c>
      <c r="AQ297" s="2004">
        <v>0</v>
      </c>
      <c r="AR297" s="2004">
        <v>0</v>
      </c>
      <c r="AS297" s="2004">
        <v>95.3</v>
      </c>
      <c r="AT297" s="2004">
        <v>95.3</v>
      </c>
      <c r="AU297" s="2004">
        <v>95.3</v>
      </c>
      <c r="AV297" s="2004">
        <v>95.3</v>
      </c>
      <c r="AW297" s="2004">
        <v>95.3</v>
      </c>
      <c r="AX297" s="2004"/>
      <c r="AY297" s="2004"/>
      <c r="AZ297" s="2004"/>
      <c r="BA297" s="2004"/>
      <c r="BB297" s="2004"/>
      <c r="BC297" s="2004"/>
      <c r="BD297" s="2004"/>
      <c r="BE297" s="2004"/>
      <c r="BF297" s="2004"/>
      <c r="BG297" s="2004"/>
      <c r="BH297" s="2004">
        <v>1.4</v>
      </c>
      <c r="BI297" s="2004"/>
      <c r="BJ297" s="2004"/>
      <c r="BK297" s="2004"/>
      <c r="BL297" s="2004"/>
      <c r="BM297" s="2004"/>
      <c r="BN297" s="2004">
        <v>1</v>
      </c>
      <c r="BO297" s="2004" t="s">
        <v>9203</v>
      </c>
      <c r="BP297" s="516">
        <v>95.740000000000009</v>
      </c>
      <c r="BQ297" s="690">
        <v>97.508496246767137</v>
      </c>
      <c r="BR297" s="2004" t="s">
        <v>2334</v>
      </c>
      <c r="BS297" s="2004" t="s">
        <v>9204</v>
      </c>
      <c r="BT297" s="2004">
        <v>0</v>
      </c>
      <c r="BU297" s="2004" t="s">
        <v>9120</v>
      </c>
      <c r="BV297" s="2004">
        <v>0</v>
      </c>
      <c r="BW297" s="2004">
        <v>97.988160870777804</v>
      </c>
      <c r="BX297" s="2004" t="s">
        <v>2334</v>
      </c>
      <c r="BY297" s="2004">
        <v>0</v>
      </c>
      <c r="BZ297" s="2004">
        <v>0</v>
      </c>
      <c r="CA297" s="2004" t="s">
        <v>9120</v>
      </c>
      <c r="CB297" s="2004">
        <v>0</v>
      </c>
      <c r="CC297" s="2004">
        <v>97.67</v>
      </c>
      <c r="CD297" s="2004" t="s">
        <v>2334</v>
      </c>
      <c r="CE297" s="2004">
        <v>0</v>
      </c>
      <c r="CF297" s="2004">
        <v>0</v>
      </c>
      <c r="CG297" s="2004" t="s">
        <v>2340</v>
      </c>
      <c r="CH297" s="2004">
        <v>0</v>
      </c>
      <c r="CI297" s="2004" t="s">
        <v>9204</v>
      </c>
      <c r="CJ297" s="2004" t="s">
        <v>9204</v>
      </c>
      <c r="CK297" s="2004" t="s">
        <v>9204</v>
      </c>
      <c r="CL297" s="2004">
        <v>0</v>
      </c>
      <c r="CM297" s="2004" t="s">
        <v>9204</v>
      </c>
      <c r="CN297" s="2004">
        <v>0</v>
      </c>
      <c r="CP297" s="2004" t="s">
        <v>10910</v>
      </c>
    </row>
    <row r="298" spans="1:94">
      <c r="A298" s="2004" t="s">
        <v>9060</v>
      </c>
      <c r="B298" s="2004" t="s">
        <v>10911</v>
      </c>
      <c r="C298" s="2004" t="s">
        <v>9047</v>
      </c>
      <c r="D298" s="2004" t="s">
        <v>1629</v>
      </c>
      <c r="E298" s="2004" t="s">
        <v>9410</v>
      </c>
      <c r="F298" s="2004" t="s">
        <v>10833</v>
      </c>
      <c r="G298" s="2004" t="s">
        <v>9454</v>
      </c>
      <c r="H298" s="2004" t="s">
        <v>10912</v>
      </c>
      <c r="I298" s="2004" t="s">
        <v>10913</v>
      </c>
      <c r="J298" s="2004" t="s">
        <v>9199</v>
      </c>
      <c r="K298" s="2004" t="s">
        <v>9200</v>
      </c>
      <c r="L298" s="2004"/>
      <c r="M298" s="2004"/>
      <c r="N298" s="2004" t="s">
        <v>9357</v>
      </c>
      <c r="O298" s="2004" t="s">
        <v>766</v>
      </c>
      <c r="P298" s="2004" t="s">
        <v>10846</v>
      </c>
      <c r="Q298" s="516">
        <v>0</v>
      </c>
      <c r="R298" s="2004" t="s">
        <v>9240</v>
      </c>
      <c r="S298" s="2004">
        <v>334</v>
      </c>
      <c r="T298" s="2004"/>
      <c r="U298" s="2004"/>
      <c r="V298" s="2004"/>
      <c r="W298" s="2004"/>
      <c r="X298" s="2004">
        <v>409</v>
      </c>
      <c r="Y298" s="2004"/>
      <c r="Z298" s="2004"/>
      <c r="AA298" s="2004"/>
      <c r="AB298" s="2004"/>
      <c r="AC298" s="2004"/>
      <c r="AD298" s="2004"/>
      <c r="AE298" s="2004"/>
      <c r="AF298" s="2004" t="s">
        <v>2337</v>
      </c>
      <c r="AG298" s="2004"/>
      <c r="AH298" s="2004">
        <v>0</v>
      </c>
      <c r="AI298" s="2004"/>
      <c r="AJ298" s="2004"/>
      <c r="AK298" s="2004"/>
      <c r="AL298" s="2004"/>
      <c r="AM298" s="2004" t="s">
        <v>2337</v>
      </c>
      <c r="AN298" s="2004"/>
      <c r="AO298" s="2004"/>
      <c r="AP298" s="2004"/>
      <c r="AQ298" s="2004"/>
      <c r="AR298" s="2004">
        <v>0</v>
      </c>
      <c r="AS298" s="2004"/>
      <c r="AT298" s="2004"/>
      <c r="AU298" s="2004"/>
      <c r="AV298" s="2004"/>
      <c r="AW298" s="2004">
        <v>409</v>
      </c>
      <c r="AX298" s="2004"/>
      <c r="AY298" s="2004"/>
      <c r="AZ298" s="2004"/>
      <c r="BA298" s="2004"/>
      <c r="BB298" s="2004">
        <v>409</v>
      </c>
      <c r="BC298" s="2004"/>
      <c r="BD298" s="2004"/>
      <c r="BE298" s="2004"/>
      <c r="BF298" s="2004"/>
      <c r="BG298" s="2004">
        <v>999999</v>
      </c>
      <c r="BH298" s="2004">
        <v>9.5600000000000004E-4</v>
      </c>
      <c r="BI298" s="2004"/>
      <c r="BJ298" s="2004"/>
      <c r="BK298" s="2004"/>
      <c r="BL298" s="2004">
        <v>9.5600000000000004E-4</v>
      </c>
      <c r="BM298" s="2004"/>
      <c r="BN298" s="2004">
        <v>1</v>
      </c>
      <c r="BO298" s="2004" t="s">
        <v>9203</v>
      </c>
      <c r="BP298" s="516">
        <v>328</v>
      </c>
      <c r="BQ298" s="689">
        <v>322.89999999999998</v>
      </c>
      <c r="BR298" s="2004" t="s">
        <v>9204</v>
      </c>
      <c r="BS298" s="2004" t="s">
        <v>9204</v>
      </c>
      <c r="BT298" s="2004">
        <v>0</v>
      </c>
      <c r="BU298" s="2004" t="s">
        <v>9204</v>
      </c>
      <c r="BV298" s="2004">
        <v>0</v>
      </c>
      <c r="BW298" s="2004">
        <v>293</v>
      </c>
      <c r="BX298" s="2004" t="s">
        <v>2335</v>
      </c>
      <c r="BY298" s="2004">
        <v>0</v>
      </c>
      <c r="BZ298" s="2004">
        <v>0</v>
      </c>
      <c r="CA298" s="2004">
        <v>0</v>
      </c>
      <c r="CB298" s="2004">
        <v>0</v>
      </c>
      <c r="CC298" s="2004">
        <v>337</v>
      </c>
      <c r="CD298" s="2004" t="s">
        <v>2335</v>
      </c>
      <c r="CE298" s="2004">
        <v>0</v>
      </c>
      <c r="CF298" s="2004">
        <v>0</v>
      </c>
      <c r="CG298" s="2004">
        <v>0</v>
      </c>
      <c r="CH298" s="2004">
        <v>0</v>
      </c>
      <c r="CI298" s="2004" t="s">
        <v>9204</v>
      </c>
      <c r="CJ298" s="2004" t="s">
        <v>9204</v>
      </c>
      <c r="CK298" s="2004" t="s">
        <v>9204</v>
      </c>
      <c r="CL298" s="2004">
        <v>0</v>
      </c>
      <c r="CM298" s="2004" t="s">
        <v>9204</v>
      </c>
      <c r="CN298" s="2004">
        <v>0</v>
      </c>
      <c r="CP298" s="2004" t="s">
        <v>10914</v>
      </c>
    </row>
    <row r="299" spans="1:94">
      <c r="A299" s="2004" t="s">
        <v>9060</v>
      </c>
      <c r="B299" s="2004" t="s">
        <v>10915</v>
      </c>
      <c r="C299" s="2004" t="s">
        <v>9047</v>
      </c>
      <c r="D299" s="2004" t="s">
        <v>1629</v>
      </c>
      <c r="E299" s="2004" t="s">
        <v>9410</v>
      </c>
      <c r="F299" s="2004" t="s">
        <v>10833</v>
      </c>
      <c r="G299" s="2004" t="s">
        <v>10916</v>
      </c>
      <c r="H299" s="2004" t="s">
        <v>10917</v>
      </c>
      <c r="I299" s="2004" t="s">
        <v>10918</v>
      </c>
      <c r="J299" s="2004" t="s">
        <v>10919</v>
      </c>
      <c r="K299" s="2004" t="s">
        <v>9200</v>
      </c>
      <c r="L299" s="2004"/>
      <c r="M299" s="2004"/>
      <c r="N299" s="2004" t="s">
        <v>9427</v>
      </c>
      <c r="O299" s="2004" t="s">
        <v>766</v>
      </c>
      <c r="P299" s="2004" t="s">
        <v>10920</v>
      </c>
      <c r="Q299" s="516">
        <v>0</v>
      </c>
      <c r="R299" s="2004" t="s">
        <v>9240</v>
      </c>
      <c r="S299" s="2004"/>
      <c r="T299" s="2004"/>
      <c r="U299" s="2004"/>
      <c r="V299" s="2004"/>
      <c r="W299" s="2004"/>
      <c r="X299" s="2004">
        <v>0</v>
      </c>
      <c r="Y299" s="2004"/>
      <c r="Z299" s="2004"/>
      <c r="AA299" s="2004"/>
      <c r="AB299" s="2004"/>
      <c r="AC299" s="2004"/>
      <c r="AD299" s="2004"/>
      <c r="AE299" s="2004"/>
      <c r="AF299" s="2004"/>
      <c r="AG299" s="2004"/>
      <c r="AH299" s="2004">
        <v>0</v>
      </c>
      <c r="AI299" s="2004"/>
      <c r="AJ299" s="2004"/>
      <c r="AK299" s="2004"/>
      <c r="AL299" s="2004"/>
      <c r="AM299" s="2004" t="s">
        <v>2337</v>
      </c>
      <c r="AN299" s="2004"/>
      <c r="AO299" s="2004"/>
      <c r="AP299" s="2004"/>
      <c r="AQ299" s="2004"/>
      <c r="AR299" s="2004"/>
      <c r="AS299" s="2004"/>
      <c r="AT299" s="2004"/>
      <c r="AU299" s="2004"/>
      <c r="AV299" s="2004"/>
      <c r="AW299" s="2004"/>
      <c r="AX299" s="2004"/>
      <c r="AY299" s="2004"/>
      <c r="AZ299" s="2004"/>
      <c r="BA299" s="2004"/>
      <c r="BB299" s="2004">
        <v>0</v>
      </c>
      <c r="BC299" s="2004"/>
      <c r="BD299" s="2004"/>
      <c r="BE299" s="2004"/>
      <c r="BF299" s="2004"/>
      <c r="BG299" s="2004">
        <v>999999</v>
      </c>
      <c r="BH299" s="2004"/>
      <c r="BI299" s="2004"/>
      <c r="BJ299" s="2004"/>
      <c r="BK299" s="2004"/>
      <c r="BL299" s="2004">
        <v>2.8546999999999999E-2</v>
      </c>
      <c r="BM299" s="2004"/>
      <c r="BN299" s="2004">
        <v>1</v>
      </c>
      <c r="BO299" s="2004" t="s">
        <v>9203</v>
      </c>
      <c r="BP299" s="516">
        <v>0</v>
      </c>
      <c r="BQ299" s="689">
        <v>0</v>
      </c>
      <c r="BR299" s="2004" t="s">
        <v>9204</v>
      </c>
      <c r="BS299" s="2004" t="s">
        <v>9204</v>
      </c>
      <c r="BT299" s="2004">
        <v>0</v>
      </c>
      <c r="BU299" s="2004" t="s">
        <v>9204</v>
      </c>
      <c r="BV299" s="2004">
        <v>0</v>
      </c>
      <c r="BW299" s="2004">
        <v>0</v>
      </c>
      <c r="BX299" s="2004" t="s">
        <v>2337</v>
      </c>
      <c r="BY299" s="2004">
        <v>0</v>
      </c>
      <c r="BZ299" s="2004">
        <v>0</v>
      </c>
      <c r="CA299" s="2004">
        <v>0</v>
      </c>
      <c r="CB299" s="2004">
        <v>0</v>
      </c>
      <c r="CC299" s="2004">
        <v>0</v>
      </c>
      <c r="CD299" s="2004" t="s">
        <v>2335</v>
      </c>
      <c r="CE299" s="2004">
        <v>0</v>
      </c>
      <c r="CF299" s="2004">
        <v>0</v>
      </c>
      <c r="CG299" s="2004">
        <v>0</v>
      </c>
      <c r="CH299" s="2004">
        <v>0</v>
      </c>
      <c r="CI299" s="2004" t="s">
        <v>9204</v>
      </c>
      <c r="CJ299" s="2004" t="s">
        <v>9204</v>
      </c>
      <c r="CK299" s="2004" t="s">
        <v>9204</v>
      </c>
      <c r="CL299" s="2004">
        <v>0</v>
      </c>
      <c r="CM299" s="2004" t="s">
        <v>9204</v>
      </c>
      <c r="CN299" s="2004">
        <v>0</v>
      </c>
      <c r="CP299" s="2004" t="s">
        <v>10921</v>
      </c>
    </row>
    <row r="300" spans="1:94">
      <c r="A300" s="2004" t="s">
        <v>9060</v>
      </c>
      <c r="B300" s="2004" t="s">
        <v>10922</v>
      </c>
      <c r="C300" s="2004" t="s">
        <v>9047</v>
      </c>
      <c r="D300" s="2004" t="s">
        <v>1629</v>
      </c>
      <c r="E300" s="2004" t="s">
        <v>9410</v>
      </c>
      <c r="F300" s="2004" t="s">
        <v>10833</v>
      </c>
      <c r="G300" s="2004" t="s">
        <v>10923</v>
      </c>
      <c r="H300" s="2004" t="s">
        <v>10924</v>
      </c>
      <c r="I300" s="2004" t="s">
        <v>10925</v>
      </c>
      <c r="J300" s="2004" t="s">
        <v>9230</v>
      </c>
      <c r="K300" s="2004"/>
      <c r="L300" s="2004"/>
      <c r="M300" s="2004"/>
      <c r="N300" s="2004" t="s">
        <v>9450</v>
      </c>
      <c r="O300" s="2004" t="s">
        <v>766</v>
      </c>
      <c r="P300" s="2004" t="s">
        <v>10583</v>
      </c>
      <c r="Q300" s="516">
        <v>0</v>
      </c>
      <c r="R300" s="2004" t="s">
        <v>9202</v>
      </c>
      <c r="S300" s="2004">
        <v>8</v>
      </c>
      <c r="T300" s="2004">
        <v>8</v>
      </c>
      <c r="U300" s="2004">
        <v>6</v>
      </c>
      <c r="V300" s="2004">
        <v>4</v>
      </c>
      <c r="W300" s="2004">
        <v>2</v>
      </c>
      <c r="X300" s="2004">
        <v>0</v>
      </c>
      <c r="Y300" s="2004"/>
      <c r="Z300" s="2004"/>
      <c r="AA300" s="2004"/>
      <c r="AB300" s="2004"/>
      <c r="AC300" s="2004"/>
      <c r="AD300" s="2004"/>
      <c r="AE300" s="2004" t="s">
        <v>2337</v>
      </c>
      <c r="AF300" s="2004"/>
      <c r="AG300" s="2004"/>
      <c r="AH300" s="2004">
        <v>0</v>
      </c>
      <c r="AI300" s="2004"/>
      <c r="AJ300" s="2004"/>
      <c r="AK300" s="2004"/>
      <c r="AL300" s="2004"/>
      <c r="AM300" s="2004"/>
      <c r="AN300" s="2004"/>
      <c r="AO300" s="2004"/>
      <c r="AP300" s="2004"/>
      <c r="AQ300" s="2004"/>
      <c r="AR300" s="2004"/>
      <c r="AS300" s="2004"/>
      <c r="AT300" s="2004"/>
      <c r="AU300" s="2004"/>
      <c r="AV300" s="2004"/>
      <c r="AW300" s="2004"/>
      <c r="AX300" s="2004"/>
      <c r="AY300" s="2004"/>
      <c r="AZ300" s="2004"/>
      <c r="BA300" s="2004"/>
      <c r="BB300" s="2004"/>
      <c r="BC300" s="2004"/>
      <c r="BD300" s="2004"/>
      <c r="BE300" s="2004"/>
      <c r="BF300" s="2004"/>
      <c r="BG300" s="2004"/>
      <c r="BH300" s="2004"/>
      <c r="BI300" s="2004"/>
      <c r="BJ300" s="2004"/>
      <c r="BK300" s="2004"/>
      <c r="BL300" s="2004"/>
      <c r="BM300" s="2004"/>
      <c r="BN300" s="2004"/>
      <c r="BO300" s="2004"/>
      <c r="BP300" s="516">
        <v>10</v>
      </c>
      <c r="BQ300" s="689">
        <v>2</v>
      </c>
      <c r="BR300" s="2004" t="s">
        <v>2337</v>
      </c>
      <c r="BS300" s="2004" t="s">
        <v>9204</v>
      </c>
      <c r="BT300" s="2004">
        <v>0</v>
      </c>
      <c r="BU300" s="2004" t="s">
        <v>9204</v>
      </c>
      <c r="BV300" s="2004">
        <v>0</v>
      </c>
      <c r="BW300" s="2004">
        <v>7</v>
      </c>
      <c r="BX300" s="2004" t="s">
        <v>2334</v>
      </c>
      <c r="BY300" s="2004">
        <v>0</v>
      </c>
      <c r="BZ300" s="2004">
        <v>0</v>
      </c>
      <c r="CA300" s="2004">
        <v>0</v>
      </c>
      <c r="CB300" s="2004">
        <v>0</v>
      </c>
      <c r="CC300" s="2004">
        <v>2</v>
      </c>
      <c r="CD300" s="2004" t="s">
        <v>2337</v>
      </c>
      <c r="CE300" s="2004">
        <v>0</v>
      </c>
      <c r="CF300" s="2004">
        <v>0</v>
      </c>
      <c r="CG300" s="2004">
        <v>0</v>
      </c>
      <c r="CH300" s="2004">
        <v>0</v>
      </c>
      <c r="CI300" s="2004" t="s">
        <v>9204</v>
      </c>
      <c r="CJ300" s="2004" t="s">
        <v>9204</v>
      </c>
      <c r="CK300" s="2004" t="s">
        <v>9204</v>
      </c>
      <c r="CL300" s="2004">
        <v>0</v>
      </c>
      <c r="CM300" s="2004" t="s">
        <v>9204</v>
      </c>
      <c r="CN300" s="2004">
        <v>0</v>
      </c>
      <c r="CP300" s="2004" t="s">
        <v>10926</v>
      </c>
    </row>
    <row r="301" spans="1:94" ht="25.5">
      <c r="A301" s="2004" t="s">
        <v>9060</v>
      </c>
      <c r="B301" s="2004" t="s">
        <v>10927</v>
      </c>
      <c r="C301" s="2004" t="s">
        <v>9047</v>
      </c>
      <c r="D301" s="2004" t="s">
        <v>1629</v>
      </c>
      <c r="E301" s="2004" t="s">
        <v>9410</v>
      </c>
      <c r="F301" s="2004" t="s">
        <v>10833</v>
      </c>
      <c r="G301" s="2004" t="s">
        <v>10928</v>
      </c>
      <c r="H301" s="2004" t="s">
        <v>10929</v>
      </c>
      <c r="I301" s="2004" t="s">
        <v>10930</v>
      </c>
      <c r="J301" s="2004" t="s">
        <v>9199</v>
      </c>
      <c r="K301" s="2004" t="s">
        <v>9200</v>
      </c>
      <c r="L301" s="2004"/>
      <c r="M301" s="2004"/>
      <c r="N301" s="2004" t="s">
        <v>9364</v>
      </c>
      <c r="O301" s="2004" t="s">
        <v>766</v>
      </c>
      <c r="P301" s="2004" t="s">
        <v>10931</v>
      </c>
      <c r="Q301" s="516">
        <v>0</v>
      </c>
      <c r="R301" s="2004" t="s">
        <v>9240</v>
      </c>
      <c r="S301" s="2004"/>
      <c r="T301" s="2004"/>
      <c r="U301" s="2004"/>
      <c r="V301" s="2004"/>
      <c r="W301" s="2004"/>
      <c r="X301" s="2004">
        <v>3</v>
      </c>
      <c r="Y301" s="2004"/>
      <c r="Z301" s="2004"/>
      <c r="AA301" s="2004"/>
      <c r="AB301" s="2004"/>
      <c r="AC301" s="2004"/>
      <c r="AD301" s="2004"/>
      <c r="AE301" s="2004" t="s">
        <v>2337</v>
      </c>
      <c r="AF301" s="2004" t="s">
        <v>2337</v>
      </c>
      <c r="AG301" s="2004"/>
      <c r="AH301" s="2004">
        <v>4</v>
      </c>
      <c r="AI301" s="2004"/>
      <c r="AJ301" s="2004"/>
      <c r="AK301" s="2004"/>
      <c r="AL301" s="2004"/>
      <c r="AM301" s="2004" t="s">
        <v>2337</v>
      </c>
      <c r="AN301" s="2004"/>
      <c r="AO301" s="2004"/>
      <c r="AP301" s="2004"/>
      <c r="AQ301" s="2004"/>
      <c r="AR301" s="2004">
        <v>0</v>
      </c>
      <c r="AS301" s="2004"/>
      <c r="AT301" s="2004"/>
      <c r="AU301" s="2004"/>
      <c r="AV301" s="2004"/>
      <c r="AW301" s="2004">
        <v>3</v>
      </c>
      <c r="AX301" s="2004"/>
      <c r="AY301" s="2004"/>
      <c r="AZ301" s="2004"/>
      <c r="BA301" s="2004"/>
      <c r="BB301" s="2004">
        <v>3</v>
      </c>
      <c r="BC301" s="2004"/>
      <c r="BD301" s="2004"/>
      <c r="BE301" s="2004"/>
      <c r="BF301" s="2004"/>
      <c r="BG301" s="2004">
        <v>999999</v>
      </c>
      <c r="BH301" s="2004">
        <v>2.4</v>
      </c>
      <c r="BI301" s="2004"/>
      <c r="BJ301" s="2004"/>
      <c r="BK301" s="2004"/>
      <c r="BL301" s="2004">
        <v>2.4</v>
      </c>
      <c r="BM301" s="2004"/>
      <c r="BN301" s="2004">
        <v>1</v>
      </c>
      <c r="BO301" s="2004" t="s">
        <v>9203</v>
      </c>
      <c r="BP301" s="516" t="s">
        <v>10932</v>
      </c>
      <c r="BQ301" s="689" t="s">
        <v>10932</v>
      </c>
      <c r="BR301" s="2004" t="s">
        <v>9204</v>
      </c>
      <c r="BS301" s="2004" t="s">
        <v>9204</v>
      </c>
      <c r="BT301" s="2004">
        <v>0</v>
      </c>
      <c r="BU301" s="2004" t="s">
        <v>9204</v>
      </c>
      <c r="BV301" s="2004">
        <v>0</v>
      </c>
      <c r="BW301" s="2004" t="s">
        <v>10933</v>
      </c>
      <c r="BX301" s="2004" t="s">
        <v>2335</v>
      </c>
      <c r="BY301" s="2004">
        <v>0</v>
      </c>
      <c r="BZ301" s="2004">
        <v>0</v>
      </c>
      <c r="CA301" s="2004">
        <v>0</v>
      </c>
      <c r="CB301" s="2004">
        <v>0</v>
      </c>
      <c r="CC301" s="2004">
        <v>0</v>
      </c>
      <c r="CD301" s="2004" t="s">
        <v>2335</v>
      </c>
      <c r="CE301" s="2004">
        <v>0</v>
      </c>
      <c r="CF301" s="2004">
        <v>0</v>
      </c>
      <c r="CG301" s="2004">
        <v>0</v>
      </c>
      <c r="CH301" s="2004">
        <v>0</v>
      </c>
      <c r="CI301" s="2004" t="s">
        <v>9204</v>
      </c>
      <c r="CJ301" s="2004" t="s">
        <v>9204</v>
      </c>
      <c r="CK301" s="2004" t="s">
        <v>9204</v>
      </c>
      <c r="CL301" s="2004">
        <v>0</v>
      </c>
      <c r="CM301" s="2004" t="s">
        <v>9204</v>
      </c>
      <c r="CN301" s="2004">
        <v>0</v>
      </c>
      <c r="CP301" s="2004" t="s">
        <v>10934</v>
      </c>
    </row>
    <row r="302" spans="1:94">
      <c r="A302" s="2004" t="s">
        <v>9060</v>
      </c>
      <c r="B302" s="2004" t="s">
        <v>10935</v>
      </c>
      <c r="C302" s="2004" t="s">
        <v>9047</v>
      </c>
      <c r="D302" s="2004" t="s">
        <v>1629</v>
      </c>
      <c r="E302" s="2004" t="s">
        <v>9410</v>
      </c>
      <c r="F302" s="2004" t="s">
        <v>10833</v>
      </c>
      <c r="G302" s="2004" t="s">
        <v>10936</v>
      </c>
      <c r="H302" s="2004" t="s">
        <v>10937</v>
      </c>
      <c r="I302" s="2004" t="s">
        <v>10938</v>
      </c>
      <c r="J302" s="2004" t="s">
        <v>9230</v>
      </c>
      <c r="K302" s="2004"/>
      <c r="L302" s="2004"/>
      <c r="M302" s="2004"/>
      <c r="N302" s="2004" t="s">
        <v>9450</v>
      </c>
      <c r="O302" s="2004" t="s">
        <v>766</v>
      </c>
      <c r="P302" s="2004" t="s">
        <v>10939</v>
      </c>
      <c r="Q302" s="516">
        <v>0</v>
      </c>
      <c r="R302" s="2004" t="s">
        <v>9202</v>
      </c>
      <c r="S302" s="2004">
        <v>246</v>
      </c>
      <c r="T302" s="2004">
        <v>225</v>
      </c>
      <c r="U302" s="2004">
        <v>203</v>
      </c>
      <c r="V302" s="2004">
        <v>182</v>
      </c>
      <c r="W302" s="2004">
        <v>182</v>
      </c>
      <c r="X302" s="2004">
        <v>182</v>
      </c>
      <c r="Y302" s="2004"/>
      <c r="Z302" s="2004"/>
      <c r="AA302" s="2004"/>
      <c r="AB302" s="2004"/>
      <c r="AC302" s="2004"/>
      <c r="AD302" s="2004"/>
      <c r="AE302" s="2004" t="s">
        <v>2337</v>
      </c>
      <c r="AF302" s="2004"/>
      <c r="AG302" s="2004"/>
      <c r="AH302" s="2004">
        <v>0</v>
      </c>
      <c r="AI302" s="2004"/>
      <c r="AJ302" s="2004"/>
      <c r="AK302" s="2004"/>
      <c r="AL302" s="2004"/>
      <c r="AM302" s="2004"/>
      <c r="AN302" s="2004"/>
      <c r="AO302" s="2004"/>
      <c r="AP302" s="2004"/>
      <c r="AQ302" s="2004"/>
      <c r="AR302" s="2004"/>
      <c r="AS302" s="2004"/>
      <c r="AT302" s="2004"/>
      <c r="AU302" s="2004"/>
      <c r="AV302" s="2004"/>
      <c r="AW302" s="2004"/>
      <c r="AX302" s="2004"/>
      <c r="AY302" s="2004"/>
      <c r="AZ302" s="2004"/>
      <c r="BA302" s="2004"/>
      <c r="BB302" s="2004"/>
      <c r="BC302" s="2004"/>
      <c r="BD302" s="2004"/>
      <c r="BE302" s="2004"/>
      <c r="BF302" s="2004"/>
      <c r="BG302" s="2004"/>
      <c r="BH302" s="2004"/>
      <c r="BI302" s="2004"/>
      <c r="BJ302" s="2004"/>
      <c r="BK302" s="2004"/>
      <c r="BL302" s="2004"/>
      <c r="BM302" s="2004"/>
      <c r="BN302" s="2004"/>
      <c r="BO302" s="2004"/>
      <c r="BP302" s="516">
        <v>200</v>
      </c>
      <c r="BQ302" s="689">
        <v>186</v>
      </c>
      <c r="BR302" s="2004" t="s">
        <v>2337</v>
      </c>
      <c r="BS302" s="2004" t="s">
        <v>9204</v>
      </c>
      <c r="BT302" s="2004">
        <v>0</v>
      </c>
      <c r="BU302" s="2004" t="s">
        <v>9204</v>
      </c>
      <c r="BV302" s="2004">
        <v>0</v>
      </c>
      <c r="BW302" s="2004">
        <v>239</v>
      </c>
      <c r="BX302" s="2004" t="s">
        <v>2334</v>
      </c>
      <c r="BY302" s="2004">
        <v>0</v>
      </c>
      <c r="BZ302" s="2004">
        <v>0</v>
      </c>
      <c r="CA302" s="2004">
        <v>0</v>
      </c>
      <c r="CB302" s="2004">
        <v>0</v>
      </c>
      <c r="CC302" s="2004">
        <v>157</v>
      </c>
      <c r="CD302" s="2004" t="s">
        <v>2337</v>
      </c>
      <c r="CE302" s="2004">
        <v>0</v>
      </c>
      <c r="CF302" s="2004">
        <v>0</v>
      </c>
      <c r="CG302" s="2004">
        <v>0</v>
      </c>
      <c r="CH302" s="2004">
        <v>0</v>
      </c>
      <c r="CI302" s="2004" t="s">
        <v>9204</v>
      </c>
      <c r="CJ302" s="2004" t="s">
        <v>9204</v>
      </c>
      <c r="CK302" s="2004" t="s">
        <v>9204</v>
      </c>
      <c r="CL302" s="2004">
        <v>0</v>
      </c>
      <c r="CM302" s="2004" t="s">
        <v>9204</v>
      </c>
      <c r="CN302" s="2004">
        <v>0</v>
      </c>
      <c r="CP302" s="2004" t="s">
        <v>10940</v>
      </c>
    </row>
    <row r="303" spans="1:94">
      <c r="A303" s="2004" t="s">
        <v>9060</v>
      </c>
      <c r="B303" s="2004" t="s">
        <v>10941</v>
      </c>
      <c r="C303" s="2004" t="s">
        <v>9047</v>
      </c>
      <c r="D303" s="2004" t="s">
        <v>1629</v>
      </c>
      <c r="E303" s="2004" t="s">
        <v>9410</v>
      </c>
      <c r="F303" s="2004" t="s">
        <v>10854</v>
      </c>
      <c r="G303" s="2004" t="s">
        <v>9459</v>
      </c>
      <c r="H303" s="2004" t="s">
        <v>10942</v>
      </c>
      <c r="I303" s="2004" t="s">
        <v>10943</v>
      </c>
      <c r="J303" s="2004" t="s">
        <v>9199</v>
      </c>
      <c r="K303" s="2004" t="s">
        <v>9200</v>
      </c>
      <c r="L303" s="2004" t="s">
        <v>2337</v>
      </c>
      <c r="M303" s="2004"/>
      <c r="N303" s="2004" t="s">
        <v>9372</v>
      </c>
      <c r="O303" s="2004" t="s">
        <v>766</v>
      </c>
      <c r="P303" s="2004" t="s">
        <v>9870</v>
      </c>
      <c r="Q303" s="516">
        <v>3</v>
      </c>
      <c r="R303" s="2004" t="s">
        <v>9202</v>
      </c>
      <c r="S303" s="2004"/>
      <c r="T303" s="2004">
        <v>217</v>
      </c>
      <c r="U303" s="2004">
        <v>215</v>
      </c>
      <c r="V303" s="2004">
        <v>209</v>
      </c>
      <c r="W303" s="2004">
        <v>208</v>
      </c>
      <c r="X303" s="2004">
        <v>212</v>
      </c>
      <c r="Y303" s="2004"/>
      <c r="Z303" s="2004"/>
      <c r="AA303" s="2004"/>
      <c r="AB303" s="2004"/>
      <c r="AC303" s="2004"/>
      <c r="AD303" s="2004"/>
      <c r="AE303" s="2004"/>
      <c r="AF303" s="2004"/>
      <c r="AG303" s="2004"/>
      <c r="AH303" s="2004">
        <v>0</v>
      </c>
      <c r="AI303" s="2004" t="s">
        <v>2337</v>
      </c>
      <c r="AJ303" s="2004" t="s">
        <v>2337</v>
      </c>
      <c r="AK303" s="2004" t="s">
        <v>2337</v>
      </c>
      <c r="AL303" s="2004" t="s">
        <v>2337</v>
      </c>
      <c r="AM303" s="2004" t="s">
        <v>2337</v>
      </c>
      <c r="AN303" s="2004">
        <v>999999</v>
      </c>
      <c r="AO303" s="2004">
        <v>999999</v>
      </c>
      <c r="AP303" s="2004">
        <v>999999</v>
      </c>
      <c r="AQ303" s="2004">
        <v>999999</v>
      </c>
      <c r="AR303" s="2004">
        <v>999999</v>
      </c>
      <c r="AS303" s="2004">
        <v>217</v>
      </c>
      <c r="AT303" s="2004">
        <v>215</v>
      </c>
      <c r="AU303" s="2004">
        <v>209</v>
      </c>
      <c r="AV303" s="2004">
        <v>208</v>
      </c>
      <c r="AW303" s="2004">
        <v>212</v>
      </c>
      <c r="AX303" s="2004">
        <v>217</v>
      </c>
      <c r="AY303" s="2004">
        <v>215</v>
      </c>
      <c r="AZ303" s="2004">
        <v>209</v>
      </c>
      <c r="BA303" s="2004">
        <v>208</v>
      </c>
      <c r="BB303" s="2004">
        <v>212</v>
      </c>
      <c r="BC303" s="2004">
        <v>0</v>
      </c>
      <c r="BD303" s="2004">
        <v>0</v>
      </c>
      <c r="BE303" s="2004">
        <v>0</v>
      </c>
      <c r="BF303" s="2004">
        <v>0</v>
      </c>
      <c r="BG303" s="2004">
        <v>0</v>
      </c>
      <c r="BH303" s="2004">
        <v>1.4630000000000001E-2</v>
      </c>
      <c r="BI303" s="2004"/>
      <c r="BJ303" s="2004"/>
      <c r="BK303" s="2004"/>
      <c r="BL303" s="2004">
        <v>1.4630000000000001E-2</v>
      </c>
      <c r="BM303" s="2004"/>
      <c r="BN303" s="2004">
        <v>1</v>
      </c>
      <c r="BO303" s="2004" t="s">
        <v>9203</v>
      </c>
      <c r="BP303" s="516">
        <v>227</v>
      </c>
      <c r="BQ303" s="700">
        <v>204</v>
      </c>
      <c r="BR303" s="2004" t="s">
        <v>2337</v>
      </c>
      <c r="BS303" s="2004" t="s">
        <v>2339</v>
      </c>
      <c r="BT303" s="2004">
        <v>0.15267868000000001</v>
      </c>
      <c r="BU303" s="2004" t="s">
        <v>9204</v>
      </c>
      <c r="BV303" s="2004">
        <v>0</v>
      </c>
      <c r="BW303" s="2004">
        <v>207</v>
      </c>
      <c r="BX303" s="2004" t="s">
        <v>2337</v>
      </c>
      <c r="BY303" s="2004" t="s">
        <v>2339</v>
      </c>
      <c r="BZ303" s="2004">
        <v>0.16250999999999999</v>
      </c>
      <c r="CA303" s="2004">
        <v>0</v>
      </c>
      <c r="CB303" s="2004">
        <v>0</v>
      </c>
      <c r="CC303" s="2004">
        <v>206</v>
      </c>
      <c r="CD303" s="2004" t="s">
        <v>2337</v>
      </c>
      <c r="CE303" s="2004" t="s">
        <v>2339</v>
      </c>
      <c r="CF303" s="2004">
        <v>4.3889999999999998E-2</v>
      </c>
      <c r="CG303" s="2004">
        <v>0</v>
      </c>
      <c r="CH303" s="2004">
        <v>0</v>
      </c>
      <c r="CI303" s="2004" t="s">
        <v>9204</v>
      </c>
      <c r="CJ303" s="2004" t="s">
        <v>9204</v>
      </c>
      <c r="CK303" s="2004" t="s">
        <v>9204</v>
      </c>
      <c r="CL303" s="2004">
        <v>0</v>
      </c>
      <c r="CM303" s="2004" t="s">
        <v>9204</v>
      </c>
      <c r="CN303" s="2004">
        <v>0</v>
      </c>
      <c r="CP303" s="2004" t="s">
        <v>10944</v>
      </c>
    </row>
    <row r="304" spans="1:94">
      <c r="A304" s="2004" t="s">
        <v>9060</v>
      </c>
      <c r="B304" s="2004" t="s">
        <v>10945</v>
      </c>
      <c r="C304" s="2004" t="s">
        <v>9047</v>
      </c>
      <c r="D304" s="2004" t="s">
        <v>1629</v>
      </c>
      <c r="E304" s="2004" t="s">
        <v>9410</v>
      </c>
      <c r="F304" s="2004" t="s">
        <v>10859</v>
      </c>
      <c r="G304" s="2004" t="s">
        <v>9469</v>
      </c>
      <c r="H304" s="2004" t="s">
        <v>10946</v>
      </c>
      <c r="I304" s="2004" t="s">
        <v>10947</v>
      </c>
      <c r="J304" s="2004" t="s">
        <v>9230</v>
      </c>
      <c r="K304" s="2004"/>
      <c r="L304" s="2004"/>
      <c r="M304" s="2004"/>
      <c r="N304" s="2004" t="s">
        <v>10282</v>
      </c>
      <c r="O304" s="2004" t="s">
        <v>766</v>
      </c>
      <c r="P304" s="2004" t="s">
        <v>10862</v>
      </c>
      <c r="Q304" s="516">
        <v>0</v>
      </c>
      <c r="R304" s="2004"/>
      <c r="S304" s="2004">
        <v>75000</v>
      </c>
      <c r="T304" s="2004">
        <v>155000</v>
      </c>
      <c r="U304" s="2004">
        <v>160000</v>
      </c>
      <c r="V304" s="2004">
        <v>140000</v>
      </c>
      <c r="W304" s="2004">
        <v>120000</v>
      </c>
      <c r="X304" s="2004">
        <v>125000</v>
      </c>
      <c r="Y304" s="2004"/>
      <c r="Z304" s="2004"/>
      <c r="AA304" s="2004"/>
      <c r="AB304" s="2004"/>
      <c r="AC304" s="2004"/>
      <c r="AD304" s="2004"/>
      <c r="AE304" s="2004"/>
      <c r="AF304" s="2004"/>
      <c r="AG304" s="2004"/>
      <c r="AH304" s="2004">
        <v>0</v>
      </c>
      <c r="AI304" s="2004"/>
      <c r="AJ304" s="2004"/>
      <c r="AK304" s="2004"/>
      <c r="AL304" s="2004"/>
      <c r="AM304" s="2004"/>
      <c r="AN304" s="2004"/>
      <c r="AO304" s="2004"/>
      <c r="AP304" s="2004"/>
      <c r="AQ304" s="2004"/>
      <c r="AR304" s="2004"/>
      <c r="AS304" s="2004"/>
      <c r="AT304" s="2004"/>
      <c r="AU304" s="2004"/>
      <c r="AV304" s="2004"/>
      <c r="AW304" s="2004"/>
      <c r="AX304" s="2004"/>
      <c r="AY304" s="2004"/>
      <c r="AZ304" s="2004"/>
      <c r="BA304" s="2004"/>
      <c r="BB304" s="2004"/>
      <c r="BC304" s="2004"/>
      <c r="BD304" s="2004"/>
      <c r="BE304" s="2004"/>
      <c r="BF304" s="2004"/>
      <c r="BG304" s="2004"/>
      <c r="BH304" s="2004"/>
      <c r="BI304" s="2004"/>
      <c r="BJ304" s="2004"/>
      <c r="BK304" s="2004"/>
      <c r="BL304" s="2004"/>
      <c r="BM304" s="2004"/>
      <c r="BN304" s="2004"/>
      <c r="BO304" s="2004"/>
      <c r="BP304" s="516">
        <v>52127</v>
      </c>
      <c r="BQ304" s="689">
        <v>117728</v>
      </c>
      <c r="BR304" s="2004" t="s">
        <v>2334</v>
      </c>
      <c r="BS304" s="2004" t="s">
        <v>9204</v>
      </c>
      <c r="BT304" s="2004">
        <v>0</v>
      </c>
      <c r="BU304" s="2004" t="s">
        <v>9204</v>
      </c>
      <c r="BV304" s="2004">
        <v>0</v>
      </c>
      <c r="BW304" s="2004">
        <v>167024</v>
      </c>
      <c r="BX304" s="2004" t="s">
        <v>2337</v>
      </c>
      <c r="BY304" s="2004">
        <v>0</v>
      </c>
      <c r="BZ304" s="2004">
        <v>0</v>
      </c>
      <c r="CA304" s="2004">
        <v>0</v>
      </c>
      <c r="CB304" s="2004">
        <v>0</v>
      </c>
      <c r="CC304" s="2004">
        <v>200536</v>
      </c>
      <c r="CD304" s="2004" t="s">
        <v>2337</v>
      </c>
      <c r="CE304" s="2004">
        <v>0</v>
      </c>
      <c r="CF304" s="2004">
        <v>0</v>
      </c>
      <c r="CG304" s="2004">
        <v>0</v>
      </c>
      <c r="CH304" s="2004">
        <v>0</v>
      </c>
      <c r="CI304" s="2004" t="s">
        <v>9204</v>
      </c>
      <c r="CJ304" s="2004" t="s">
        <v>9204</v>
      </c>
      <c r="CK304" s="2004" t="s">
        <v>9204</v>
      </c>
      <c r="CL304" s="2004">
        <v>0</v>
      </c>
      <c r="CM304" s="2004" t="s">
        <v>9204</v>
      </c>
      <c r="CN304" s="2004">
        <v>0</v>
      </c>
      <c r="CP304" s="2004" t="s">
        <v>10948</v>
      </c>
    </row>
    <row r="305" spans="1:94">
      <c r="A305" s="2004" t="s">
        <v>9060</v>
      </c>
      <c r="B305" s="2004" t="s">
        <v>10949</v>
      </c>
      <c r="C305" s="2004" t="s">
        <v>9047</v>
      </c>
      <c r="D305" s="2004" t="s">
        <v>9275</v>
      </c>
      <c r="E305" s="2004" t="s">
        <v>9276</v>
      </c>
      <c r="F305" s="2004" t="s">
        <v>10950</v>
      </c>
      <c r="G305" s="2004" t="s">
        <v>9278</v>
      </c>
      <c r="H305" s="2004" t="s">
        <v>10951</v>
      </c>
      <c r="I305" s="2004" t="s">
        <v>10952</v>
      </c>
      <c r="J305" s="2004" t="s">
        <v>9230</v>
      </c>
      <c r="K305" s="2004"/>
      <c r="L305" s="2004"/>
      <c r="M305" s="2004"/>
      <c r="N305" s="2004" t="s">
        <v>9386</v>
      </c>
      <c r="O305" s="2004" t="s">
        <v>9487</v>
      </c>
      <c r="P305" s="2004" t="s">
        <v>10953</v>
      </c>
      <c r="Q305" s="516" t="s">
        <v>9203</v>
      </c>
      <c r="R305" s="2004" t="s">
        <v>9240</v>
      </c>
      <c r="S305" s="2004" t="s">
        <v>10954</v>
      </c>
      <c r="T305" s="2004" t="s">
        <v>10954</v>
      </c>
      <c r="U305" s="2004" t="s">
        <v>10954</v>
      </c>
      <c r="V305" s="2004" t="s">
        <v>10131</v>
      </c>
      <c r="W305" s="2004" t="s">
        <v>10131</v>
      </c>
      <c r="X305" s="2004" t="s">
        <v>10131</v>
      </c>
      <c r="Y305" s="2004"/>
      <c r="Z305" s="2004"/>
      <c r="AA305" s="2004"/>
      <c r="AB305" s="2004"/>
      <c r="AC305" s="2004"/>
      <c r="AD305" s="2004"/>
      <c r="AE305" s="2004"/>
      <c r="AF305" s="2004"/>
      <c r="AG305" s="2004"/>
      <c r="AH305" s="2004">
        <v>0</v>
      </c>
      <c r="AI305" s="2004"/>
      <c r="AJ305" s="2004"/>
      <c r="AK305" s="2004"/>
      <c r="AL305" s="2004"/>
      <c r="AM305" s="2004"/>
      <c r="AN305" s="2004"/>
      <c r="AO305" s="2004"/>
      <c r="AP305" s="2004"/>
      <c r="AQ305" s="2004"/>
      <c r="AR305" s="2004"/>
      <c r="AS305" s="2004"/>
      <c r="AT305" s="2004"/>
      <c r="AU305" s="2004"/>
      <c r="AV305" s="2004"/>
      <c r="AW305" s="2004"/>
      <c r="AX305" s="2004"/>
      <c r="AY305" s="2004"/>
      <c r="AZ305" s="2004"/>
      <c r="BA305" s="2004"/>
      <c r="BB305" s="2004"/>
      <c r="BC305" s="2004"/>
      <c r="BD305" s="2004"/>
      <c r="BE305" s="2004"/>
      <c r="BF305" s="2004"/>
      <c r="BG305" s="2004"/>
      <c r="BH305" s="2004"/>
      <c r="BI305" s="2004"/>
      <c r="BJ305" s="2004"/>
      <c r="BK305" s="2004"/>
      <c r="BL305" s="2004"/>
      <c r="BM305" s="2004"/>
      <c r="BN305" s="2004"/>
      <c r="BO305" s="2004"/>
      <c r="BP305" s="516" t="s">
        <v>10954</v>
      </c>
      <c r="BQ305" s="688" t="s">
        <v>10954</v>
      </c>
      <c r="BR305" s="2004" t="s">
        <v>2337</v>
      </c>
      <c r="BS305" s="2004" t="s">
        <v>9204</v>
      </c>
      <c r="BT305" s="2004">
        <v>0</v>
      </c>
      <c r="BU305" s="2004" t="s">
        <v>9204</v>
      </c>
      <c r="BV305" s="2004">
        <v>0</v>
      </c>
      <c r="BW305" s="2004" t="s">
        <v>10954</v>
      </c>
      <c r="BX305" s="2004" t="s">
        <v>2337</v>
      </c>
      <c r="BY305" s="2004">
        <v>0</v>
      </c>
      <c r="BZ305" s="2004">
        <v>0</v>
      </c>
      <c r="CA305" s="2004">
        <v>0</v>
      </c>
      <c r="CB305" s="2004">
        <v>0</v>
      </c>
      <c r="CC305" s="2004" t="s">
        <v>10955</v>
      </c>
      <c r="CD305" s="2004" t="s">
        <v>2337</v>
      </c>
      <c r="CE305" s="2004">
        <v>0</v>
      </c>
      <c r="CF305" s="2004">
        <v>0</v>
      </c>
      <c r="CG305" s="2004">
        <v>0</v>
      </c>
      <c r="CH305" s="2004">
        <v>0</v>
      </c>
      <c r="CI305" s="2004" t="s">
        <v>9204</v>
      </c>
      <c r="CJ305" s="2004" t="s">
        <v>9204</v>
      </c>
      <c r="CK305" s="2004" t="s">
        <v>9204</v>
      </c>
      <c r="CL305" s="2004">
        <v>0</v>
      </c>
      <c r="CM305" s="2004" t="s">
        <v>9204</v>
      </c>
      <c r="CN305" s="2004">
        <v>0</v>
      </c>
      <c r="CP305" s="2004" t="s">
        <v>10956</v>
      </c>
    </row>
    <row r="306" spans="1:94">
      <c r="A306" s="2004" t="s">
        <v>9060</v>
      </c>
      <c r="B306" s="2004" t="s">
        <v>10957</v>
      </c>
      <c r="C306" s="2004" t="s">
        <v>9047</v>
      </c>
      <c r="D306" s="2004" t="s">
        <v>9275</v>
      </c>
      <c r="E306" s="2004" t="s">
        <v>9276</v>
      </c>
      <c r="F306" s="2004" t="s">
        <v>10950</v>
      </c>
      <c r="G306" s="2004" t="s">
        <v>9287</v>
      </c>
      <c r="H306" s="2004" t="s">
        <v>10958</v>
      </c>
      <c r="I306" s="2004" t="s">
        <v>10959</v>
      </c>
      <c r="J306" s="2004" t="s">
        <v>9199</v>
      </c>
      <c r="K306" s="2004" t="s">
        <v>9200</v>
      </c>
      <c r="L306" s="2004"/>
      <c r="M306" s="2004" t="s">
        <v>2334</v>
      </c>
      <c r="N306" s="2004" t="s">
        <v>9281</v>
      </c>
      <c r="O306" s="2004" t="s">
        <v>9487</v>
      </c>
      <c r="P306" s="2004" t="s">
        <v>9641</v>
      </c>
      <c r="Q306" s="516" t="s">
        <v>9203</v>
      </c>
      <c r="R306" s="2004" t="s">
        <v>9240</v>
      </c>
      <c r="S306" s="2004" t="s">
        <v>10954</v>
      </c>
      <c r="T306" s="2004" t="s">
        <v>10131</v>
      </c>
      <c r="U306" s="2004" t="s">
        <v>10131</v>
      </c>
      <c r="V306" s="2004" t="s">
        <v>10131</v>
      </c>
      <c r="W306" s="2004" t="s">
        <v>10131</v>
      </c>
      <c r="X306" s="2004" t="s">
        <v>10131</v>
      </c>
      <c r="Y306" s="2004"/>
      <c r="Z306" s="2004"/>
      <c r="AA306" s="2004"/>
      <c r="AB306" s="2004"/>
      <c r="AC306" s="2004"/>
      <c r="AD306" s="2004"/>
      <c r="AE306" s="2004"/>
      <c r="AF306" s="2004"/>
      <c r="AG306" s="2004"/>
      <c r="AH306" s="2004">
        <v>0</v>
      </c>
      <c r="AI306" s="2004" t="s">
        <v>2337</v>
      </c>
      <c r="AJ306" s="2004" t="s">
        <v>2337</v>
      </c>
      <c r="AK306" s="2004" t="s">
        <v>2337</v>
      </c>
      <c r="AL306" s="2004" t="s">
        <v>2337</v>
      </c>
      <c r="AM306" s="2004" t="s">
        <v>2337</v>
      </c>
      <c r="AN306" s="2004" t="s">
        <v>9284</v>
      </c>
      <c r="AO306" s="2004" t="s">
        <v>9284</v>
      </c>
      <c r="AP306" s="2004" t="s">
        <v>9284</v>
      </c>
      <c r="AQ306" s="2004" t="s">
        <v>9284</v>
      </c>
      <c r="AR306" s="2004" t="s">
        <v>9284</v>
      </c>
      <c r="AS306" s="2004" t="s">
        <v>9284</v>
      </c>
      <c r="AT306" s="2004" t="s">
        <v>9284</v>
      </c>
      <c r="AU306" s="2004" t="s">
        <v>9284</v>
      </c>
      <c r="AV306" s="2004" t="s">
        <v>9284</v>
      </c>
      <c r="AW306" s="2004" t="s">
        <v>9284</v>
      </c>
      <c r="AX306" s="2004" t="s">
        <v>9284</v>
      </c>
      <c r="AY306" s="2004" t="s">
        <v>9284</v>
      </c>
      <c r="AZ306" s="2004" t="s">
        <v>9284</v>
      </c>
      <c r="BA306" s="2004" t="s">
        <v>9284</v>
      </c>
      <c r="BB306" s="2004" t="s">
        <v>9284</v>
      </c>
      <c r="BC306" s="2004" t="s">
        <v>9284</v>
      </c>
      <c r="BD306" s="2004" t="s">
        <v>9284</v>
      </c>
      <c r="BE306" s="2004" t="s">
        <v>9284</v>
      </c>
      <c r="BF306" s="2004" t="s">
        <v>9284</v>
      </c>
      <c r="BG306" s="2004" t="s">
        <v>9284</v>
      </c>
      <c r="BH306" s="2004" t="s">
        <v>9284</v>
      </c>
      <c r="BI306" s="2004"/>
      <c r="BJ306" s="2004"/>
      <c r="BK306" s="2004"/>
      <c r="BL306" s="2004" t="s">
        <v>9284</v>
      </c>
      <c r="BM306" s="2004"/>
      <c r="BN306" s="2004">
        <v>1</v>
      </c>
      <c r="BO306" s="2004" t="s">
        <v>9203</v>
      </c>
      <c r="BP306" s="516" t="s">
        <v>9092</v>
      </c>
      <c r="BQ306" s="688">
        <v>83.7</v>
      </c>
      <c r="BR306" s="2004" t="s">
        <v>2334</v>
      </c>
      <c r="BS306" s="2004" t="s">
        <v>9204</v>
      </c>
      <c r="BT306" s="2004">
        <v>0</v>
      </c>
      <c r="BU306" s="2004" t="s">
        <v>9204</v>
      </c>
      <c r="BV306" s="2004">
        <v>0</v>
      </c>
      <c r="BW306" s="2004">
        <v>83.61</v>
      </c>
      <c r="BX306" s="2004" t="s">
        <v>2334</v>
      </c>
      <c r="BY306" s="2004">
        <v>0</v>
      </c>
      <c r="BZ306" s="2004">
        <v>0</v>
      </c>
      <c r="CA306" s="2004">
        <v>0</v>
      </c>
      <c r="CB306" s="2004">
        <v>0</v>
      </c>
      <c r="CC306" s="2004">
        <v>83.2</v>
      </c>
      <c r="CD306" s="2004" t="s">
        <v>2334</v>
      </c>
      <c r="CE306" s="2004">
        <v>0</v>
      </c>
      <c r="CF306" s="2004">
        <v>0</v>
      </c>
      <c r="CG306" s="2004">
        <v>0</v>
      </c>
      <c r="CH306" s="2004">
        <v>0</v>
      </c>
      <c r="CI306" s="2004" t="s">
        <v>9204</v>
      </c>
      <c r="CJ306" s="2004" t="s">
        <v>9204</v>
      </c>
      <c r="CK306" s="2004" t="s">
        <v>9204</v>
      </c>
      <c r="CL306" s="2004">
        <v>0</v>
      </c>
      <c r="CM306" s="2004" t="s">
        <v>9204</v>
      </c>
      <c r="CN306" s="2004">
        <v>0</v>
      </c>
      <c r="CP306" s="2004" t="s">
        <v>10960</v>
      </c>
    </row>
    <row r="307" spans="1:94">
      <c r="A307" s="2004" t="s">
        <v>9060</v>
      </c>
      <c r="B307" s="2004" t="s">
        <v>10961</v>
      </c>
      <c r="C307" s="2004" t="s">
        <v>9047</v>
      </c>
      <c r="D307" s="2004" t="s">
        <v>9275</v>
      </c>
      <c r="E307" s="2004" t="s">
        <v>9276</v>
      </c>
      <c r="F307" s="2004" t="s">
        <v>10962</v>
      </c>
      <c r="G307" s="2004" t="s">
        <v>9512</v>
      </c>
      <c r="H307" s="2004" t="s">
        <v>10963</v>
      </c>
      <c r="I307" s="2004" t="s">
        <v>10964</v>
      </c>
      <c r="J307" s="2004" t="s">
        <v>9230</v>
      </c>
      <c r="K307" s="2004"/>
      <c r="L307" s="2004"/>
      <c r="M307" s="2004"/>
      <c r="N307" s="2004" t="s">
        <v>9290</v>
      </c>
      <c r="O307" s="2004" t="s">
        <v>766</v>
      </c>
      <c r="P307" s="2004" t="s">
        <v>10707</v>
      </c>
      <c r="Q307" s="516">
        <v>0</v>
      </c>
      <c r="R307" s="2004" t="s">
        <v>9240</v>
      </c>
      <c r="S307" s="2004">
        <v>11500</v>
      </c>
      <c r="T307" s="2004">
        <v>35000</v>
      </c>
      <c r="U307" s="2004">
        <v>50000</v>
      </c>
      <c r="V307" s="2004">
        <v>50000</v>
      </c>
      <c r="W307" s="2004">
        <v>50000</v>
      </c>
      <c r="X307" s="2004">
        <v>50000</v>
      </c>
      <c r="Y307" s="2004"/>
      <c r="Z307" s="2004"/>
      <c r="AA307" s="2004"/>
      <c r="AB307" s="2004"/>
      <c r="AC307" s="2004"/>
      <c r="AD307" s="2004"/>
      <c r="AE307" s="2004"/>
      <c r="AF307" s="2004"/>
      <c r="AG307" s="2004"/>
      <c r="AH307" s="2004">
        <v>0</v>
      </c>
      <c r="AI307" s="2004"/>
      <c r="AJ307" s="2004"/>
      <c r="AK307" s="2004"/>
      <c r="AL307" s="2004"/>
      <c r="AM307" s="2004"/>
      <c r="AN307" s="2004"/>
      <c r="AO307" s="2004"/>
      <c r="AP307" s="2004"/>
      <c r="AQ307" s="2004"/>
      <c r="AR307" s="2004"/>
      <c r="AS307" s="2004"/>
      <c r="AT307" s="2004"/>
      <c r="AU307" s="2004"/>
      <c r="AV307" s="2004"/>
      <c r="AW307" s="2004"/>
      <c r="AX307" s="2004"/>
      <c r="AY307" s="2004"/>
      <c r="AZ307" s="2004"/>
      <c r="BA307" s="2004"/>
      <c r="BB307" s="2004"/>
      <c r="BC307" s="2004"/>
      <c r="BD307" s="2004"/>
      <c r="BE307" s="2004"/>
      <c r="BF307" s="2004"/>
      <c r="BG307" s="2004"/>
      <c r="BH307" s="2004"/>
      <c r="BI307" s="2004"/>
      <c r="BJ307" s="2004"/>
      <c r="BK307" s="2004"/>
      <c r="BL307" s="2004"/>
      <c r="BM307" s="2004"/>
      <c r="BN307" s="2004"/>
      <c r="BO307" s="2004"/>
      <c r="BP307" s="516" t="s">
        <v>9092</v>
      </c>
      <c r="BQ307" s="689">
        <v>24110</v>
      </c>
      <c r="BR307" s="2004" t="s">
        <v>2334</v>
      </c>
      <c r="BS307" s="2004" t="s">
        <v>9204</v>
      </c>
      <c r="BT307" s="2004">
        <v>0</v>
      </c>
      <c r="BU307" s="2004" t="s">
        <v>9204</v>
      </c>
      <c r="BV307" s="2004">
        <v>0</v>
      </c>
      <c r="BW307" s="2004">
        <v>50903</v>
      </c>
      <c r="BX307" s="2004" t="s">
        <v>2337</v>
      </c>
      <c r="BY307" s="2004">
        <v>0</v>
      </c>
      <c r="BZ307" s="2004">
        <v>0</v>
      </c>
      <c r="CA307" s="2004">
        <v>0</v>
      </c>
      <c r="CB307" s="2004">
        <v>0</v>
      </c>
      <c r="CC307" s="2004">
        <v>51652</v>
      </c>
      <c r="CD307" s="2004" t="s">
        <v>2337</v>
      </c>
      <c r="CE307" s="2004">
        <v>0</v>
      </c>
      <c r="CF307" s="2004">
        <v>0</v>
      </c>
      <c r="CG307" s="2004">
        <v>0</v>
      </c>
      <c r="CH307" s="2004">
        <v>0</v>
      </c>
      <c r="CI307" s="2004" t="s">
        <v>9204</v>
      </c>
      <c r="CJ307" s="2004" t="s">
        <v>9204</v>
      </c>
      <c r="CK307" s="2004" t="s">
        <v>9204</v>
      </c>
      <c r="CL307" s="2004">
        <v>0</v>
      </c>
      <c r="CM307" s="2004" t="s">
        <v>9204</v>
      </c>
      <c r="CN307" s="2004">
        <v>0</v>
      </c>
      <c r="CP307" s="2004" t="s">
        <v>10965</v>
      </c>
    </row>
    <row r="308" spans="1:94">
      <c r="A308" s="2004" t="s">
        <v>9060</v>
      </c>
      <c r="B308" s="2004" t="s">
        <v>10966</v>
      </c>
      <c r="C308" s="2004" t="s">
        <v>9047</v>
      </c>
      <c r="D308" s="2004" t="s">
        <v>9275</v>
      </c>
      <c r="E308" s="2004" t="s">
        <v>9276</v>
      </c>
      <c r="F308" s="2004" t="s">
        <v>10962</v>
      </c>
      <c r="G308" s="2004" t="s">
        <v>9517</v>
      </c>
      <c r="H308" s="2004" t="s">
        <v>10967</v>
      </c>
      <c r="I308" s="2004" t="s">
        <v>10968</v>
      </c>
      <c r="J308" s="2004" t="s">
        <v>9230</v>
      </c>
      <c r="K308" s="2004"/>
      <c r="L308" s="2004"/>
      <c r="M308" s="2004"/>
      <c r="N308" s="2004" t="s">
        <v>9290</v>
      </c>
      <c r="O308" s="2004" t="s">
        <v>734</v>
      </c>
      <c r="P308" s="2004" t="s">
        <v>10969</v>
      </c>
      <c r="Q308" s="516">
        <v>2</v>
      </c>
      <c r="R308" s="2004" t="s">
        <v>9202</v>
      </c>
      <c r="S308" s="2004">
        <v>2.69</v>
      </c>
      <c r="T308" s="2004">
        <v>2.7</v>
      </c>
      <c r="U308" s="2004">
        <v>2.7</v>
      </c>
      <c r="V308" s="2004">
        <v>2.7</v>
      </c>
      <c r="W308" s="2004">
        <v>2.7</v>
      </c>
      <c r="X308" s="2004">
        <v>2.7</v>
      </c>
      <c r="Y308" s="2004"/>
      <c r="Z308" s="2004"/>
      <c r="AA308" s="2004"/>
      <c r="AB308" s="2004"/>
      <c r="AC308" s="2004"/>
      <c r="AD308" s="2004"/>
      <c r="AE308" s="2004"/>
      <c r="AF308" s="2004"/>
      <c r="AG308" s="2004"/>
      <c r="AH308" s="2004">
        <v>0</v>
      </c>
      <c r="AI308" s="2004"/>
      <c r="AJ308" s="2004"/>
      <c r="AK308" s="2004"/>
      <c r="AL308" s="2004"/>
      <c r="AM308" s="2004"/>
      <c r="AN308" s="2004"/>
      <c r="AO308" s="2004"/>
      <c r="AP308" s="2004"/>
      <c r="AQ308" s="2004"/>
      <c r="AR308" s="2004"/>
      <c r="AS308" s="2004"/>
      <c r="AT308" s="2004"/>
      <c r="AU308" s="2004"/>
      <c r="AV308" s="2004"/>
      <c r="AW308" s="2004"/>
      <c r="AX308" s="2004"/>
      <c r="AY308" s="2004"/>
      <c r="AZ308" s="2004"/>
      <c r="BA308" s="2004"/>
      <c r="BB308" s="2004"/>
      <c r="BC308" s="2004"/>
      <c r="BD308" s="2004"/>
      <c r="BE308" s="2004"/>
      <c r="BF308" s="2004"/>
      <c r="BG308" s="2004"/>
      <c r="BH308" s="2004"/>
      <c r="BI308" s="2004"/>
      <c r="BJ308" s="2004"/>
      <c r="BK308" s="2004"/>
      <c r="BL308" s="2004"/>
      <c r="BM308" s="2004"/>
      <c r="BN308" s="2004"/>
      <c r="BO308" s="2004"/>
      <c r="BP308" s="516">
        <v>2.2000000000000002</v>
      </c>
      <c r="BQ308" s="690">
        <v>1.8</v>
      </c>
      <c r="BR308" s="2004" t="s">
        <v>2337</v>
      </c>
      <c r="BS308" s="2004" t="s">
        <v>9204</v>
      </c>
      <c r="BT308" s="2004">
        <v>0</v>
      </c>
      <c r="BU308" s="2004" t="s">
        <v>9204</v>
      </c>
      <c r="BV308" s="2004">
        <v>0</v>
      </c>
      <c r="BW308" s="2004">
        <v>1.8</v>
      </c>
      <c r="BX308" s="2004" t="s">
        <v>2337</v>
      </c>
      <c r="BY308" s="2004">
        <v>0</v>
      </c>
      <c r="BZ308" s="2004">
        <v>0</v>
      </c>
      <c r="CA308" s="2004">
        <v>0</v>
      </c>
      <c r="CB308" s="2004">
        <v>0</v>
      </c>
      <c r="CC308" s="2004">
        <v>2.2000000000000002</v>
      </c>
      <c r="CD308" s="2004" t="s">
        <v>2337</v>
      </c>
      <c r="CE308" s="2004">
        <v>0</v>
      </c>
      <c r="CF308" s="2004">
        <v>0</v>
      </c>
      <c r="CG308" s="2004">
        <v>0</v>
      </c>
      <c r="CH308" s="2004">
        <v>0</v>
      </c>
      <c r="CI308" s="2004" t="s">
        <v>9204</v>
      </c>
      <c r="CJ308" s="2004" t="s">
        <v>9204</v>
      </c>
      <c r="CK308" s="2004" t="s">
        <v>9204</v>
      </c>
      <c r="CL308" s="2004">
        <v>0</v>
      </c>
      <c r="CM308" s="2004" t="s">
        <v>9204</v>
      </c>
      <c r="CN308" s="2004">
        <v>0</v>
      </c>
      <c r="CP308" s="2004" t="s">
        <v>10970</v>
      </c>
    </row>
    <row r="309" spans="1:94">
      <c r="A309" s="2004" t="s">
        <v>9066</v>
      </c>
      <c r="B309" s="2004" t="s">
        <v>10971</v>
      </c>
      <c r="C309" s="2004" t="s">
        <v>9047</v>
      </c>
      <c r="D309" s="2004" t="s">
        <v>1628</v>
      </c>
      <c r="E309" s="2004" t="s">
        <v>9194</v>
      </c>
      <c r="F309" s="2004" t="s">
        <v>10972</v>
      </c>
      <c r="G309" s="2004" t="s">
        <v>9196</v>
      </c>
      <c r="H309" s="2004" t="s">
        <v>10973</v>
      </c>
      <c r="I309" s="2004" t="s">
        <v>10974</v>
      </c>
      <c r="J309" s="2004" t="s">
        <v>9210</v>
      </c>
      <c r="K309" s="2004" t="s">
        <v>9200</v>
      </c>
      <c r="L309" s="2004" t="s">
        <v>2337</v>
      </c>
      <c r="M309" s="2004"/>
      <c r="N309" s="2004" t="s">
        <v>9238</v>
      </c>
      <c r="O309" s="2004" t="s">
        <v>734</v>
      </c>
      <c r="P309" s="2004" t="s">
        <v>9239</v>
      </c>
      <c r="Q309" s="516">
        <v>2</v>
      </c>
      <c r="R309" s="2004" t="s">
        <v>9240</v>
      </c>
      <c r="S309" s="2004">
        <v>99.98</v>
      </c>
      <c r="T309" s="2004">
        <v>99.98</v>
      </c>
      <c r="U309" s="2004">
        <v>99.98</v>
      </c>
      <c r="V309" s="2004">
        <v>99.98</v>
      </c>
      <c r="W309" s="2004">
        <v>99.98</v>
      </c>
      <c r="X309" s="2004">
        <v>99.98</v>
      </c>
      <c r="Y309" s="2004" t="s">
        <v>2337</v>
      </c>
      <c r="Z309" s="2004"/>
      <c r="AA309" s="2004"/>
      <c r="AB309" s="2004"/>
      <c r="AC309" s="2004"/>
      <c r="AD309" s="2004"/>
      <c r="AE309" s="2004" t="s">
        <v>2337</v>
      </c>
      <c r="AF309" s="2004"/>
      <c r="AG309" s="2004"/>
      <c r="AH309" s="2004">
        <v>0</v>
      </c>
      <c r="AI309" s="2004" t="s">
        <v>2337</v>
      </c>
      <c r="AJ309" s="2004" t="s">
        <v>2337</v>
      </c>
      <c r="AK309" s="2004" t="s">
        <v>2337</v>
      </c>
      <c r="AL309" s="2004" t="s">
        <v>2337</v>
      </c>
      <c r="AM309" s="2004" t="s">
        <v>2337</v>
      </c>
      <c r="AN309" s="2004">
        <v>90</v>
      </c>
      <c r="AO309" s="2004">
        <v>90</v>
      </c>
      <c r="AP309" s="2004">
        <v>90</v>
      </c>
      <c r="AQ309" s="2004">
        <v>90</v>
      </c>
      <c r="AR309" s="2004">
        <v>90</v>
      </c>
      <c r="AS309" s="2004">
        <v>99.9</v>
      </c>
      <c r="AT309" s="2004">
        <v>99.9</v>
      </c>
      <c r="AU309" s="2004">
        <v>99.9</v>
      </c>
      <c r="AV309" s="2004">
        <v>99.9</v>
      </c>
      <c r="AW309" s="2004">
        <v>99.9</v>
      </c>
      <c r="AX309" s="2004"/>
      <c r="AY309" s="2004"/>
      <c r="AZ309" s="2004"/>
      <c r="BA309" s="2004"/>
      <c r="BB309" s="2004"/>
      <c r="BC309" s="2004"/>
      <c r="BD309" s="2004"/>
      <c r="BE309" s="2004"/>
      <c r="BF309" s="2004"/>
      <c r="BG309" s="2004"/>
      <c r="BH309" s="2004">
        <v>0.05</v>
      </c>
      <c r="BI309" s="2004"/>
      <c r="BJ309" s="2004"/>
      <c r="BK309" s="2004"/>
      <c r="BL309" s="2004"/>
      <c r="BM309" s="2004"/>
      <c r="BN309" s="2004">
        <v>1</v>
      </c>
      <c r="BO309" s="2004" t="s">
        <v>9203</v>
      </c>
      <c r="BP309" s="516">
        <v>99.96</v>
      </c>
      <c r="BQ309" s="690">
        <v>99.97</v>
      </c>
      <c r="BR309" s="2004" t="s">
        <v>2334</v>
      </c>
      <c r="BS309" s="2004" t="s">
        <v>9120</v>
      </c>
      <c r="BT309" s="2004">
        <v>0</v>
      </c>
      <c r="BU309" s="2004" t="s">
        <v>9204</v>
      </c>
      <c r="BV309" s="2004">
        <v>0</v>
      </c>
      <c r="BW309" s="2004">
        <v>99.96</v>
      </c>
      <c r="BX309" s="2004" t="s">
        <v>2334</v>
      </c>
      <c r="BY309" s="2004" t="s">
        <v>9120</v>
      </c>
      <c r="BZ309" s="2004">
        <v>0</v>
      </c>
      <c r="CA309" s="2004">
        <v>0</v>
      </c>
      <c r="CB309" s="2004">
        <v>0</v>
      </c>
      <c r="CC309" s="2004">
        <v>99.96</v>
      </c>
      <c r="CD309" s="2004" t="s">
        <v>2334</v>
      </c>
      <c r="CE309" s="2004" t="s">
        <v>2340</v>
      </c>
      <c r="CF309" s="2004">
        <v>0</v>
      </c>
      <c r="CG309" s="2004">
        <v>0</v>
      </c>
      <c r="CH309" s="2004">
        <v>0</v>
      </c>
      <c r="CI309" s="2004">
        <v>99.99</v>
      </c>
      <c r="CJ309" s="2004" t="s">
        <v>2337</v>
      </c>
      <c r="CK309" s="2004">
        <v>0</v>
      </c>
      <c r="CL309" s="2004">
        <v>0</v>
      </c>
      <c r="CM309" s="2004">
        <v>0</v>
      </c>
      <c r="CN309" s="2004">
        <v>0</v>
      </c>
      <c r="CP309" s="2004" t="s">
        <v>10975</v>
      </c>
    </row>
    <row r="310" spans="1:94">
      <c r="A310" s="2004" t="s">
        <v>9066</v>
      </c>
      <c r="B310" s="2004" t="s">
        <v>10976</v>
      </c>
      <c r="C310" s="2004" t="s">
        <v>9047</v>
      </c>
      <c r="D310" s="2004" t="s">
        <v>1628</v>
      </c>
      <c r="E310" s="2004" t="s">
        <v>9194</v>
      </c>
      <c r="F310" s="2004" t="s">
        <v>10972</v>
      </c>
      <c r="G310" s="2004" t="s">
        <v>9207</v>
      </c>
      <c r="H310" s="2004" t="s">
        <v>10977</v>
      </c>
      <c r="I310" s="2004" t="s">
        <v>10978</v>
      </c>
      <c r="J310" s="2004" t="s">
        <v>9199</v>
      </c>
      <c r="K310" s="2004" t="s">
        <v>9200</v>
      </c>
      <c r="L310" s="2004" t="s">
        <v>2337</v>
      </c>
      <c r="M310" s="2004" t="s">
        <v>2334</v>
      </c>
      <c r="N310" s="2004" t="s">
        <v>9154</v>
      </c>
      <c r="O310" s="2004" t="s">
        <v>766</v>
      </c>
      <c r="P310" s="2004" t="s">
        <v>10657</v>
      </c>
      <c r="Q310" s="516">
        <v>2</v>
      </c>
      <c r="R310" s="2004" t="s">
        <v>9202</v>
      </c>
      <c r="S310" s="2004">
        <v>4.5</v>
      </c>
      <c r="T310" s="2004">
        <v>4.2</v>
      </c>
      <c r="U310" s="2004">
        <v>3.9</v>
      </c>
      <c r="V310" s="2004">
        <v>3.6</v>
      </c>
      <c r="W310" s="2004">
        <v>3.3</v>
      </c>
      <c r="X310" s="2004">
        <v>3</v>
      </c>
      <c r="Y310" s="2004"/>
      <c r="Z310" s="2004" t="s">
        <v>2337</v>
      </c>
      <c r="AA310" s="2004"/>
      <c r="AB310" s="2004"/>
      <c r="AC310" s="2004"/>
      <c r="AD310" s="2004"/>
      <c r="AE310" s="2004" t="s">
        <v>2337</v>
      </c>
      <c r="AF310" s="2004"/>
      <c r="AG310" s="2004"/>
      <c r="AH310" s="2004">
        <v>0</v>
      </c>
      <c r="AI310" s="2004" t="s">
        <v>2337</v>
      </c>
      <c r="AJ310" s="2004" t="s">
        <v>2337</v>
      </c>
      <c r="AK310" s="2004" t="s">
        <v>2337</v>
      </c>
      <c r="AL310" s="2004" t="s">
        <v>2337</v>
      </c>
      <c r="AM310" s="2004" t="s">
        <v>2337</v>
      </c>
      <c r="AN310" s="2004">
        <v>8</v>
      </c>
      <c r="AO310" s="2004">
        <v>8</v>
      </c>
      <c r="AP310" s="2004">
        <v>8</v>
      </c>
      <c r="AQ310" s="2004">
        <v>8</v>
      </c>
      <c r="AR310" s="2004">
        <v>8</v>
      </c>
      <c r="AS310" s="2004">
        <v>4.2</v>
      </c>
      <c r="AT310" s="2004">
        <v>3.9</v>
      </c>
      <c r="AU310" s="2004">
        <v>3.6</v>
      </c>
      <c r="AV310" s="2004">
        <v>3.3</v>
      </c>
      <c r="AW310" s="2004">
        <v>3</v>
      </c>
      <c r="AX310" s="2004">
        <v>2.02</v>
      </c>
      <c r="AY310" s="2004">
        <v>2.02</v>
      </c>
      <c r="AZ310" s="2004">
        <v>2.02</v>
      </c>
      <c r="BA310" s="2004">
        <v>2.02</v>
      </c>
      <c r="BB310" s="2004">
        <v>2.02</v>
      </c>
      <c r="BC310" s="2004">
        <v>1.5</v>
      </c>
      <c r="BD310" s="2004">
        <v>1.5</v>
      </c>
      <c r="BE310" s="2004">
        <v>1.5</v>
      </c>
      <c r="BF310" s="2004">
        <v>1.5</v>
      </c>
      <c r="BG310" s="2004">
        <v>1.5</v>
      </c>
      <c r="BH310" s="2004">
        <v>0.65700000000000003</v>
      </c>
      <c r="BI310" s="2004">
        <v>0.879</v>
      </c>
      <c r="BJ310" s="2004"/>
      <c r="BK310" s="2004"/>
      <c r="BL310" s="2004">
        <v>0.94399999999999995</v>
      </c>
      <c r="BM310" s="2004"/>
      <c r="BN310" s="2004">
        <v>1</v>
      </c>
      <c r="BO310" s="2004" t="s">
        <v>9203</v>
      </c>
      <c r="BP310" s="516">
        <v>3.42</v>
      </c>
      <c r="BQ310" s="690">
        <v>2.92</v>
      </c>
      <c r="BR310" s="2004" t="s">
        <v>2337</v>
      </c>
      <c r="BS310" s="2004" t="s">
        <v>9074</v>
      </c>
      <c r="BT310" s="2004">
        <v>0</v>
      </c>
      <c r="BU310" s="2004" t="s">
        <v>9204</v>
      </c>
      <c r="BV310" s="2004">
        <v>0</v>
      </c>
      <c r="BW310" s="2004">
        <v>2.7</v>
      </c>
      <c r="BX310" s="2004" t="s">
        <v>2337</v>
      </c>
      <c r="BY310" s="2004" t="s">
        <v>9074</v>
      </c>
      <c r="BZ310" s="2004">
        <v>0</v>
      </c>
      <c r="CA310" s="2004">
        <v>0</v>
      </c>
      <c r="CB310" s="2004">
        <v>0</v>
      </c>
      <c r="CC310" s="2004">
        <v>2.2000000000000002</v>
      </c>
      <c r="CD310" s="2004" t="s">
        <v>2337</v>
      </c>
      <c r="CE310" s="2004" t="s">
        <v>9074</v>
      </c>
      <c r="CF310" s="2004">
        <v>0</v>
      </c>
      <c r="CG310" s="2004">
        <v>0</v>
      </c>
      <c r="CH310" s="2004">
        <v>0</v>
      </c>
      <c r="CI310" s="2004">
        <v>2.13</v>
      </c>
      <c r="CJ310" s="2004" t="s">
        <v>2337</v>
      </c>
      <c r="CK310" s="2004" t="s">
        <v>9074</v>
      </c>
      <c r="CL310" s="2004">
        <v>0</v>
      </c>
      <c r="CM310" s="2004">
        <v>0</v>
      </c>
      <c r="CN310" s="2004">
        <v>0</v>
      </c>
      <c r="CP310" s="2004" t="s">
        <v>10979</v>
      </c>
    </row>
    <row r="311" spans="1:94">
      <c r="A311" s="2004" t="s">
        <v>9066</v>
      </c>
      <c r="B311" s="2004" t="s">
        <v>10980</v>
      </c>
      <c r="C311" s="2004" t="s">
        <v>9047</v>
      </c>
      <c r="D311" s="2004" t="s">
        <v>1628</v>
      </c>
      <c r="E311" s="2004" t="s">
        <v>9194</v>
      </c>
      <c r="F311" s="2004" t="s">
        <v>10972</v>
      </c>
      <c r="G311" s="2004" t="s">
        <v>9215</v>
      </c>
      <c r="H311" s="2004" t="s">
        <v>10981</v>
      </c>
      <c r="I311" s="2004" t="s">
        <v>10982</v>
      </c>
      <c r="J311" s="2004" t="s">
        <v>9210</v>
      </c>
      <c r="K311" s="2004" t="s">
        <v>9545</v>
      </c>
      <c r="L311" s="2004"/>
      <c r="M311" s="2004" t="s">
        <v>2334</v>
      </c>
      <c r="N311" s="2004" t="s">
        <v>9260</v>
      </c>
      <c r="O311" s="2004" t="s">
        <v>9395</v>
      </c>
      <c r="P311" s="2004" t="s">
        <v>9546</v>
      </c>
      <c r="Q311" s="516" t="s">
        <v>9203</v>
      </c>
      <c r="R311" s="2004"/>
      <c r="S311" s="2004" t="s">
        <v>2338</v>
      </c>
      <c r="T311" s="2004" t="s">
        <v>2338</v>
      </c>
      <c r="U311" s="2004" t="s">
        <v>2338</v>
      </c>
      <c r="V311" s="2004" t="s">
        <v>2338</v>
      </c>
      <c r="W311" s="2004" t="s">
        <v>2338</v>
      </c>
      <c r="X311" s="2004" t="s">
        <v>2338</v>
      </c>
      <c r="Y311" s="2004"/>
      <c r="Z311" s="2004"/>
      <c r="AA311" s="2004"/>
      <c r="AB311" s="2004"/>
      <c r="AC311" s="2004"/>
      <c r="AD311" s="2004"/>
      <c r="AE311" s="2004" t="s">
        <v>2337</v>
      </c>
      <c r="AF311" s="2004"/>
      <c r="AG311" s="2004"/>
      <c r="AH311" s="2004">
        <v>6</v>
      </c>
      <c r="AI311" s="2004" t="s">
        <v>2337</v>
      </c>
      <c r="AJ311" s="2004" t="s">
        <v>2337</v>
      </c>
      <c r="AK311" s="2004" t="s">
        <v>2337</v>
      </c>
      <c r="AL311" s="2004" t="s">
        <v>2337</v>
      </c>
      <c r="AM311" s="2004" t="s">
        <v>2337</v>
      </c>
      <c r="AN311" s="2004" t="s">
        <v>9547</v>
      </c>
      <c r="AO311" s="2004" t="s">
        <v>9547</v>
      </c>
      <c r="AP311" s="2004" t="s">
        <v>9547</v>
      </c>
      <c r="AQ311" s="2004" t="s">
        <v>9547</v>
      </c>
      <c r="AR311" s="2004" t="s">
        <v>9547</v>
      </c>
      <c r="AS311" s="2004" t="s">
        <v>9548</v>
      </c>
      <c r="AT311" s="2004" t="s">
        <v>9548</v>
      </c>
      <c r="AU311" s="2004" t="s">
        <v>9548</v>
      </c>
      <c r="AV311" s="2004" t="s">
        <v>9548</v>
      </c>
      <c r="AW311" s="2004" t="s">
        <v>9548</v>
      </c>
      <c r="AX311" s="2004"/>
      <c r="AY311" s="2004"/>
      <c r="AZ311" s="2004"/>
      <c r="BA311" s="2004"/>
      <c r="BB311" s="2004"/>
      <c r="BC311" s="2004"/>
      <c r="BD311" s="2004"/>
      <c r="BE311" s="2004"/>
      <c r="BF311" s="2004"/>
      <c r="BG311" s="2004"/>
      <c r="BH311" s="2004">
        <v>0.45800000000000002</v>
      </c>
      <c r="BI311" s="2004"/>
      <c r="BJ311" s="2004"/>
      <c r="BK311" s="2004"/>
      <c r="BL311" s="2004"/>
      <c r="BM311" s="2004"/>
      <c r="BN311" s="2004">
        <v>1</v>
      </c>
      <c r="BO311" s="2004" t="s">
        <v>9203</v>
      </c>
      <c r="BP311" s="516" t="s">
        <v>2338</v>
      </c>
      <c r="BQ311" s="701" t="s">
        <v>2338</v>
      </c>
      <c r="BR311" s="2004" t="s">
        <v>2337</v>
      </c>
      <c r="BS311" s="2004" t="s">
        <v>9204</v>
      </c>
      <c r="BT311" s="2004">
        <v>0</v>
      </c>
      <c r="BU311" s="2004" t="s">
        <v>9204</v>
      </c>
      <c r="BV311" s="2004">
        <v>0</v>
      </c>
      <c r="BW311" s="2004" t="s">
        <v>2338</v>
      </c>
      <c r="BX311" s="2004" t="s">
        <v>2337</v>
      </c>
      <c r="BY311" s="2004">
        <v>0</v>
      </c>
      <c r="BZ311" s="2004">
        <v>0</v>
      </c>
      <c r="CA311" s="2004">
        <v>0</v>
      </c>
      <c r="CB311" s="2004">
        <v>0</v>
      </c>
      <c r="CC311" s="2004" t="s">
        <v>2338</v>
      </c>
      <c r="CD311" s="2004" t="s">
        <v>2337</v>
      </c>
      <c r="CE311" s="2004">
        <v>0</v>
      </c>
      <c r="CF311" s="2004">
        <v>0</v>
      </c>
      <c r="CG311" s="2004">
        <v>0</v>
      </c>
      <c r="CH311" s="2004">
        <v>0</v>
      </c>
      <c r="CI311" s="2004" t="s">
        <v>2338</v>
      </c>
      <c r="CJ311" s="2004" t="s">
        <v>2337</v>
      </c>
      <c r="CK311" s="2004">
        <v>0</v>
      </c>
      <c r="CL311" s="2004">
        <v>0</v>
      </c>
      <c r="CM311" s="2004">
        <v>0</v>
      </c>
      <c r="CN311" s="2004">
        <v>0</v>
      </c>
      <c r="CP311" s="2004" t="s">
        <v>10983</v>
      </c>
    </row>
    <row r="312" spans="1:94">
      <c r="A312" s="2004" t="s">
        <v>9066</v>
      </c>
      <c r="B312" s="2004" t="s">
        <v>10984</v>
      </c>
      <c r="C312" s="2004" t="s">
        <v>9047</v>
      </c>
      <c r="D312" s="2004" t="s">
        <v>1628</v>
      </c>
      <c r="E312" s="2004" t="s">
        <v>9194</v>
      </c>
      <c r="F312" s="2004" t="s">
        <v>10972</v>
      </c>
      <c r="G312" s="2004" t="s">
        <v>9221</v>
      </c>
      <c r="H312" s="2004" t="s">
        <v>10985</v>
      </c>
      <c r="I312" s="2004" t="s">
        <v>10986</v>
      </c>
      <c r="J312" s="2004" t="s">
        <v>9210</v>
      </c>
      <c r="K312" s="2004" t="s">
        <v>9545</v>
      </c>
      <c r="L312" s="2004"/>
      <c r="M312" s="2004" t="s">
        <v>2334</v>
      </c>
      <c r="N312" s="2004" t="s">
        <v>9260</v>
      </c>
      <c r="O312" s="2004" t="s">
        <v>9395</v>
      </c>
      <c r="P312" s="2004" t="s">
        <v>9546</v>
      </c>
      <c r="Q312" s="516" t="s">
        <v>9203</v>
      </c>
      <c r="R312" s="2004"/>
      <c r="S312" s="2004" t="s">
        <v>2338</v>
      </c>
      <c r="T312" s="2004" t="s">
        <v>2338</v>
      </c>
      <c r="U312" s="2004" t="s">
        <v>2338</v>
      </c>
      <c r="V312" s="2004" t="s">
        <v>2338</v>
      </c>
      <c r="W312" s="2004" t="s">
        <v>2338</v>
      </c>
      <c r="X312" s="2004" t="s">
        <v>2338</v>
      </c>
      <c r="Y312" s="2004"/>
      <c r="Z312" s="2004"/>
      <c r="AA312" s="2004"/>
      <c r="AB312" s="2004"/>
      <c r="AC312" s="2004"/>
      <c r="AD312" s="2004"/>
      <c r="AE312" s="2004" t="s">
        <v>2337</v>
      </c>
      <c r="AF312" s="2004"/>
      <c r="AG312" s="2004"/>
      <c r="AH312" s="2004">
        <v>5</v>
      </c>
      <c r="AI312" s="2004" t="s">
        <v>2337</v>
      </c>
      <c r="AJ312" s="2004" t="s">
        <v>2337</v>
      </c>
      <c r="AK312" s="2004" t="s">
        <v>2337</v>
      </c>
      <c r="AL312" s="2004" t="s">
        <v>2337</v>
      </c>
      <c r="AM312" s="2004" t="s">
        <v>2337</v>
      </c>
      <c r="AN312" s="2004" t="s">
        <v>9547</v>
      </c>
      <c r="AO312" s="2004" t="s">
        <v>9547</v>
      </c>
      <c r="AP312" s="2004" t="s">
        <v>9547</v>
      </c>
      <c r="AQ312" s="2004" t="s">
        <v>9547</v>
      </c>
      <c r="AR312" s="2004" t="s">
        <v>9547</v>
      </c>
      <c r="AS312" s="2004" t="s">
        <v>9548</v>
      </c>
      <c r="AT312" s="2004" t="s">
        <v>9548</v>
      </c>
      <c r="AU312" s="2004" t="s">
        <v>9548</v>
      </c>
      <c r="AV312" s="2004" t="s">
        <v>9548</v>
      </c>
      <c r="AW312" s="2004" t="s">
        <v>9548</v>
      </c>
      <c r="AX312" s="2004"/>
      <c r="AY312" s="2004"/>
      <c r="AZ312" s="2004"/>
      <c r="BA312" s="2004"/>
      <c r="BB312" s="2004"/>
      <c r="BC312" s="2004"/>
      <c r="BD312" s="2004"/>
      <c r="BE312" s="2004"/>
      <c r="BF312" s="2004"/>
      <c r="BG312" s="2004"/>
      <c r="BH312" s="2004">
        <v>1.2689999999999999</v>
      </c>
      <c r="BI312" s="2004"/>
      <c r="BJ312" s="2004"/>
      <c r="BK312" s="2004"/>
      <c r="BL312" s="2004"/>
      <c r="BM312" s="2004"/>
      <c r="BN312" s="2004">
        <v>1</v>
      </c>
      <c r="BO312" s="2004" t="s">
        <v>9203</v>
      </c>
      <c r="BP312" s="516" t="s">
        <v>2338</v>
      </c>
      <c r="BQ312" s="701" t="s">
        <v>2338</v>
      </c>
      <c r="BR312" s="2004" t="s">
        <v>2337</v>
      </c>
      <c r="BS312" s="2004" t="s">
        <v>9204</v>
      </c>
      <c r="BT312" s="2004">
        <v>0</v>
      </c>
      <c r="BU312" s="2004" t="s">
        <v>9204</v>
      </c>
      <c r="BV312" s="2004">
        <v>0</v>
      </c>
      <c r="BW312" s="2004" t="s">
        <v>2338</v>
      </c>
      <c r="BX312" s="2004" t="s">
        <v>2337</v>
      </c>
      <c r="BY312" s="2004">
        <v>0</v>
      </c>
      <c r="BZ312" s="2004">
        <v>0</v>
      </c>
      <c r="CA312" s="2004">
        <v>0</v>
      </c>
      <c r="CB312" s="2004">
        <v>0</v>
      </c>
      <c r="CC312" s="2004" t="s">
        <v>2338</v>
      </c>
      <c r="CD312" s="2004" t="s">
        <v>2337</v>
      </c>
      <c r="CE312" s="2004">
        <v>0</v>
      </c>
      <c r="CF312" s="2004">
        <v>0</v>
      </c>
      <c r="CG312" s="2004">
        <v>0</v>
      </c>
      <c r="CH312" s="2004">
        <v>0</v>
      </c>
      <c r="CI312" s="2004" t="s">
        <v>2338</v>
      </c>
      <c r="CJ312" s="2004" t="s">
        <v>2337</v>
      </c>
      <c r="CK312" s="2004">
        <v>0</v>
      </c>
      <c r="CL312" s="2004">
        <v>0</v>
      </c>
      <c r="CM312" s="2004">
        <v>0</v>
      </c>
      <c r="CN312" s="2004">
        <v>0</v>
      </c>
      <c r="CP312" s="2004" t="s">
        <v>10987</v>
      </c>
    </row>
    <row r="313" spans="1:94">
      <c r="A313" s="2004" t="s">
        <v>9066</v>
      </c>
      <c r="B313" s="2004" t="s">
        <v>10988</v>
      </c>
      <c r="C313" s="2004" t="s">
        <v>9047</v>
      </c>
      <c r="D313" s="2004" t="s">
        <v>1628</v>
      </c>
      <c r="E313" s="2004" t="s">
        <v>9194</v>
      </c>
      <c r="F313" s="2004" t="s">
        <v>10972</v>
      </c>
      <c r="G313" s="2004" t="s">
        <v>9227</v>
      </c>
      <c r="H313" s="2004" t="s">
        <v>10989</v>
      </c>
      <c r="I313" s="2004" t="s">
        <v>10990</v>
      </c>
      <c r="J313" s="2004" t="s">
        <v>9199</v>
      </c>
      <c r="K313" s="2004" t="s">
        <v>9545</v>
      </c>
      <c r="L313" s="2004"/>
      <c r="M313" s="2004" t="s">
        <v>2334</v>
      </c>
      <c r="N313" s="2004" t="s">
        <v>2951</v>
      </c>
      <c r="O313" s="2004" t="s">
        <v>9298</v>
      </c>
      <c r="P313" s="2004" t="s">
        <v>9696</v>
      </c>
      <c r="Q313" s="516">
        <v>3</v>
      </c>
      <c r="R313" s="2004" t="s">
        <v>9202</v>
      </c>
      <c r="S313" s="2004">
        <v>0.27</v>
      </c>
      <c r="T313" s="2004">
        <v>0.25600000000000001</v>
      </c>
      <c r="U313" s="2004">
        <v>0.24199999999999999</v>
      </c>
      <c r="V313" s="2004">
        <v>0.22800000000000001</v>
      </c>
      <c r="W313" s="2004">
        <v>0.214</v>
      </c>
      <c r="X313" s="2004">
        <v>0.2</v>
      </c>
      <c r="Y313" s="2004"/>
      <c r="Z313" s="2004"/>
      <c r="AA313" s="2004" t="s">
        <v>2337</v>
      </c>
      <c r="AB313" s="2004"/>
      <c r="AC313" s="2004"/>
      <c r="AD313" s="2004"/>
      <c r="AE313" s="2004" t="s">
        <v>2337</v>
      </c>
      <c r="AF313" s="2004"/>
      <c r="AG313" s="2004"/>
      <c r="AH313" s="2004">
        <v>0</v>
      </c>
      <c r="AI313" s="2004" t="s">
        <v>2337</v>
      </c>
      <c r="AJ313" s="2004" t="s">
        <v>2337</v>
      </c>
      <c r="AK313" s="2004" t="s">
        <v>2337</v>
      </c>
      <c r="AL313" s="2004" t="s">
        <v>2337</v>
      </c>
      <c r="AM313" s="2004" t="s">
        <v>2337</v>
      </c>
      <c r="AN313" s="2004">
        <v>0.8</v>
      </c>
      <c r="AO313" s="2004">
        <v>0.8</v>
      </c>
      <c r="AP313" s="2004">
        <v>0.8</v>
      </c>
      <c r="AQ313" s="2004">
        <v>0.8</v>
      </c>
      <c r="AR313" s="2004">
        <v>0.8</v>
      </c>
      <c r="AS313" s="2004">
        <v>0.25600000000000001</v>
      </c>
      <c r="AT313" s="2004">
        <v>0.24199999999999999</v>
      </c>
      <c r="AU313" s="2004">
        <v>0.22800000000000001</v>
      </c>
      <c r="AV313" s="2004">
        <v>0.214</v>
      </c>
      <c r="AW313" s="2004">
        <v>0.2</v>
      </c>
      <c r="AX313" s="2004">
        <v>0.25600000000000001</v>
      </c>
      <c r="AY313" s="2004">
        <v>0.24199999999999999</v>
      </c>
      <c r="AZ313" s="2004">
        <v>0.22800000000000001</v>
      </c>
      <c r="BA313" s="2004">
        <v>0.214</v>
      </c>
      <c r="BB313" s="2004">
        <v>0.2</v>
      </c>
      <c r="BC313" s="2004">
        <v>0.1</v>
      </c>
      <c r="BD313" s="2004">
        <v>0.1</v>
      </c>
      <c r="BE313" s="2004">
        <v>0.1</v>
      </c>
      <c r="BF313" s="2004">
        <v>0.1</v>
      </c>
      <c r="BG313" s="2004">
        <v>0.1</v>
      </c>
      <c r="BH313" s="2004">
        <v>5.5529999999999999</v>
      </c>
      <c r="BI313" s="2004">
        <v>8.2240000000000002</v>
      </c>
      <c r="BJ313" s="2004"/>
      <c r="BK313" s="2004"/>
      <c r="BL313" s="2004">
        <v>6.5030000000000001</v>
      </c>
      <c r="BM313" s="2004"/>
      <c r="BN313" s="2004">
        <v>1</v>
      </c>
      <c r="BO313" s="2004" t="s">
        <v>9203</v>
      </c>
      <c r="BP313" s="516">
        <v>0.38100000000000001</v>
      </c>
      <c r="BQ313" s="700">
        <v>0.41899999999999998</v>
      </c>
      <c r="BR313" s="2004" t="s">
        <v>2334</v>
      </c>
      <c r="BS313" s="2004" t="s">
        <v>9204</v>
      </c>
      <c r="BT313" s="2004">
        <v>0</v>
      </c>
      <c r="BU313" s="2004" t="s">
        <v>9254</v>
      </c>
      <c r="BV313" s="2004">
        <v>-0.94253299999999995</v>
      </c>
      <c r="BW313" s="2004">
        <v>0.221</v>
      </c>
      <c r="BX313" s="2004" t="s">
        <v>2337</v>
      </c>
      <c r="BY313" s="2004">
        <v>0</v>
      </c>
      <c r="BZ313" s="2004">
        <v>0</v>
      </c>
      <c r="CA313" s="2004" t="s">
        <v>2339</v>
      </c>
      <c r="CB313" s="2004">
        <v>0.1366</v>
      </c>
      <c r="CC313" s="2004">
        <v>0.54400000000000004</v>
      </c>
      <c r="CD313" s="2004" t="s">
        <v>2334</v>
      </c>
      <c r="CE313" s="2004">
        <v>0</v>
      </c>
      <c r="CF313" s="2004">
        <v>0</v>
      </c>
      <c r="CG313" s="2004" t="s">
        <v>2336</v>
      </c>
      <c r="CH313" s="2004">
        <v>-1.8669</v>
      </c>
      <c r="CI313" s="2004">
        <v>0.161</v>
      </c>
      <c r="CJ313" s="2004" t="s">
        <v>2337</v>
      </c>
      <c r="CK313" s="2004">
        <v>0</v>
      </c>
      <c r="CL313" s="2004">
        <v>0</v>
      </c>
      <c r="CM313" s="2004" t="s">
        <v>2339</v>
      </c>
      <c r="CN313" s="2004">
        <v>0.34470000000000001</v>
      </c>
      <c r="CP313" s="2004" t="s">
        <v>10991</v>
      </c>
    </row>
    <row r="314" spans="1:94">
      <c r="A314" s="2004" t="s">
        <v>9066</v>
      </c>
      <c r="B314" s="2004" t="s">
        <v>10992</v>
      </c>
      <c r="C314" s="2004" t="s">
        <v>9047</v>
      </c>
      <c r="D314" s="2004" t="s">
        <v>1628</v>
      </c>
      <c r="E314" s="2004" t="s">
        <v>9194</v>
      </c>
      <c r="F314" s="2004" t="s">
        <v>10993</v>
      </c>
      <c r="G314" s="2004" t="s">
        <v>9235</v>
      </c>
      <c r="H314" s="2004" t="s">
        <v>10994</v>
      </c>
      <c r="I314" s="2004" t="s">
        <v>10995</v>
      </c>
      <c r="J314" s="2004" t="s">
        <v>9199</v>
      </c>
      <c r="K314" s="2004" t="s">
        <v>9200</v>
      </c>
      <c r="L314" s="2004" t="s">
        <v>2337</v>
      </c>
      <c r="M314" s="2004" t="s">
        <v>2334</v>
      </c>
      <c r="N314" s="2004" t="s">
        <v>9326</v>
      </c>
      <c r="O314" s="2004" t="s">
        <v>766</v>
      </c>
      <c r="P314" s="2004" t="s">
        <v>10996</v>
      </c>
      <c r="Q314" s="516">
        <v>0</v>
      </c>
      <c r="R314" s="2004" t="s">
        <v>9202</v>
      </c>
      <c r="S314" s="2004">
        <v>0</v>
      </c>
      <c r="T314" s="2004">
        <v>0</v>
      </c>
      <c r="U314" s="2004">
        <v>0</v>
      </c>
      <c r="V314" s="2004">
        <v>0</v>
      </c>
      <c r="W314" s="2004">
        <v>0</v>
      </c>
      <c r="X314" s="2004">
        <v>0</v>
      </c>
      <c r="Y314" s="2004"/>
      <c r="Z314" s="2004"/>
      <c r="AA314" s="2004"/>
      <c r="AB314" s="2004"/>
      <c r="AC314" s="2004"/>
      <c r="AD314" s="2004"/>
      <c r="AE314" s="2004"/>
      <c r="AF314" s="2004"/>
      <c r="AG314" s="2004"/>
      <c r="AH314" s="2004">
        <v>0</v>
      </c>
      <c r="AI314" s="2004" t="s">
        <v>2337</v>
      </c>
      <c r="AJ314" s="2004" t="s">
        <v>2337</v>
      </c>
      <c r="AK314" s="2004" t="s">
        <v>2337</v>
      </c>
      <c r="AL314" s="2004" t="s">
        <v>2337</v>
      </c>
      <c r="AM314" s="2004" t="s">
        <v>2337</v>
      </c>
      <c r="AN314" s="2004"/>
      <c r="AO314" s="2004"/>
      <c r="AP314" s="2004"/>
      <c r="AQ314" s="2004"/>
      <c r="AR314" s="2004">
        <v>2</v>
      </c>
      <c r="AS314" s="2004"/>
      <c r="AT314" s="2004"/>
      <c r="AU314" s="2004"/>
      <c r="AV314" s="2004"/>
      <c r="AW314" s="2004">
        <v>1</v>
      </c>
      <c r="AX314" s="2004">
        <v>0</v>
      </c>
      <c r="AY314" s="2004">
        <v>0</v>
      </c>
      <c r="AZ314" s="2004">
        <v>0</v>
      </c>
      <c r="BA314" s="2004">
        <v>0</v>
      </c>
      <c r="BB314" s="2004">
        <v>0</v>
      </c>
      <c r="BC314" s="2004">
        <v>0</v>
      </c>
      <c r="BD314" s="2004">
        <v>0</v>
      </c>
      <c r="BE314" s="2004">
        <v>0</v>
      </c>
      <c r="BF314" s="2004">
        <v>0</v>
      </c>
      <c r="BG314" s="2004">
        <v>0</v>
      </c>
      <c r="BH314" s="2004">
        <v>3.206</v>
      </c>
      <c r="BI314" s="2004"/>
      <c r="BJ314" s="2004"/>
      <c r="BK314" s="2004"/>
      <c r="BL314" s="2004">
        <v>1.6240000000000001</v>
      </c>
      <c r="BM314" s="2004"/>
      <c r="BN314" s="2004">
        <v>1</v>
      </c>
      <c r="BO314" s="2004" t="s">
        <v>9203</v>
      </c>
      <c r="BP314" s="516">
        <v>0</v>
      </c>
      <c r="BQ314" s="689">
        <v>0</v>
      </c>
      <c r="BR314" s="2004" t="s">
        <v>2337</v>
      </c>
      <c r="BS314" s="2004"/>
      <c r="BT314" s="2004">
        <v>0</v>
      </c>
      <c r="BU314" s="2004" t="s">
        <v>9204</v>
      </c>
      <c r="BV314" s="2004">
        <v>0</v>
      </c>
      <c r="BW314" s="2004">
        <v>0</v>
      </c>
      <c r="BX314" s="2004" t="s">
        <v>2337</v>
      </c>
      <c r="BY314" s="2004">
        <v>0</v>
      </c>
      <c r="BZ314" s="2004">
        <v>0</v>
      </c>
      <c r="CA314" s="2004"/>
      <c r="CB314" s="2004">
        <v>0</v>
      </c>
      <c r="CC314" s="2004">
        <v>0</v>
      </c>
      <c r="CD314" s="2004" t="s">
        <v>2337</v>
      </c>
      <c r="CE314" s="2004">
        <v>0</v>
      </c>
      <c r="CF314" s="2004">
        <v>0</v>
      </c>
      <c r="CH314" s="2004"/>
      <c r="CI314" s="2004">
        <v>0</v>
      </c>
      <c r="CJ314" s="2004" t="s">
        <v>2337</v>
      </c>
      <c r="CK314" s="2004">
        <v>0</v>
      </c>
      <c r="CL314" s="2004">
        <v>0</v>
      </c>
      <c r="CM314" s="2004" t="s">
        <v>2339</v>
      </c>
      <c r="CN314" s="2004">
        <v>1.6240000000000001</v>
      </c>
      <c r="CP314" s="2004" t="s">
        <v>10997</v>
      </c>
    </row>
    <row r="315" spans="1:94">
      <c r="A315" s="2004" t="s">
        <v>9066</v>
      </c>
      <c r="B315" s="2004" t="s">
        <v>10998</v>
      </c>
      <c r="C315" s="2004" t="s">
        <v>9047</v>
      </c>
      <c r="D315" s="2004" t="s">
        <v>1628</v>
      </c>
      <c r="E315" s="2004" t="s">
        <v>9194</v>
      </c>
      <c r="F315" s="2004" t="s">
        <v>10993</v>
      </c>
      <c r="G315" s="2004" t="s">
        <v>9243</v>
      </c>
      <c r="H315" s="2004" t="s">
        <v>10999</v>
      </c>
      <c r="I315" s="2004" t="s">
        <v>11000</v>
      </c>
      <c r="J315" s="2004" t="s">
        <v>9230</v>
      </c>
      <c r="K315" s="2004"/>
      <c r="L315" s="2004"/>
      <c r="M315" s="2004"/>
      <c r="N315" s="2004" t="s">
        <v>5533</v>
      </c>
      <c r="O315" s="2004" t="s">
        <v>9487</v>
      </c>
      <c r="P315" s="2004" t="s">
        <v>11001</v>
      </c>
      <c r="Q315" s="516" t="s">
        <v>9203</v>
      </c>
      <c r="R315" s="2004"/>
      <c r="S315" s="2004" t="s">
        <v>11002</v>
      </c>
      <c r="T315" s="2004"/>
      <c r="U315" s="2004"/>
      <c r="V315" s="2004"/>
      <c r="W315" s="2004"/>
      <c r="X315" s="2004" t="s">
        <v>11003</v>
      </c>
      <c r="Y315" s="2004"/>
      <c r="Z315" s="2004"/>
      <c r="AA315" s="2004"/>
      <c r="AB315" s="2004"/>
      <c r="AC315" s="2004"/>
      <c r="AD315" s="2004"/>
      <c r="AE315" s="2004" t="s">
        <v>2337</v>
      </c>
      <c r="AF315" s="2004"/>
      <c r="AG315" s="2004"/>
      <c r="AH315" s="2004">
        <v>0</v>
      </c>
      <c r="AI315" s="2004"/>
      <c r="AJ315" s="2004"/>
      <c r="AK315" s="2004"/>
      <c r="AL315" s="2004"/>
      <c r="AM315" s="2004"/>
      <c r="AN315" s="2004"/>
      <c r="AO315" s="2004"/>
      <c r="AP315" s="2004"/>
      <c r="AQ315" s="2004"/>
      <c r="AR315" s="2004"/>
      <c r="AS315" s="2004"/>
      <c r="AT315" s="2004"/>
      <c r="AU315" s="2004"/>
      <c r="AV315" s="2004"/>
      <c r="AW315" s="2004"/>
      <c r="AX315" s="2004"/>
      <c r="AY315" s="2004"/>
      <c r="AZ315" s="2004"/>
      <c r="BA315" s="2004"/>
      <c r="BB315" s="2004"/>
      <c r="BC315" s="2004"/>
      <c r="BD315" s="2004"/>
      <c r="BE315" s="2004"/>
      <c r="BF315" s="2004"/>
      <c r="BG315" s="2004"/>
      <c r="BH315" s="2004"/>
      <c r="BI315" s="2004"/>
      <c r="BJ315" s="2004"/>
      <c r="BK315" s="2004"/>
      <c r="BL315" s="2004"/>
      <c r="BM315" s="2004"/>
      <c r="BN315" s="2004"/>
      <c r="BO315" s="2004"/>
      <c r="BP315" s="516" t="s">
        <v>11002</v>
      </c>
      <c r="BQ315" s="688" t="s">
        <v>11002</v>
      </c>
      <c r="BR315" s="2004" t="s">
        <v>9204</v>
      </c>
      <c r="BS315" s="2004" t="s">
        <v>9204</v>
      </c>
      <c r="BT315" s="2004">
        <v>0</v>
      </c>
      <c r="BU315" s="2004" t="s">
        <v>9204</v>
      </c>
      <c r="BV315" s="2004">
        <v>0</v>
      </c>
      <c r="BW315" s="2004" t="s">
        <v>11002</v>
      </c>
      <c r="BX315" s="2004" t="s">
        <v>2335</v>
      </c>
      <c r="BY315" s="2004">
        <v>0</v>
      </c>
      <c r="BZ315" s="2004">
        <v>0</v>
      </c>
      <c r="CA315" s="2004">
        <v>0</v>
      </c>
      <c r="CB315" s="2004">
        <v>0</v>
      </c>
      <c r="CC315" s="2004" t="s">
        <v>11002</v>
      </c>
      <c r="CD315" s="2004" t="s">
        <v>2335</v>
      </c>
      <c r="CE315" s="2004">
        <v>0</v>
      </c>
      <c r="CF315" s="2004">
        <v>0</v>
      </c>
      <c r="CG315" s="2004">
        <v>0</v>
      </c>
      <c r="CH315" s="2004">
        <v>0</v>
      </c>
      <c r="CI315" s="2004" t="s">
        <v>11002</v>
      </c>
      <c r="CJ315" s="2004" t="s">
        <v>2335</v>
      </c>
      <c r="CK315" s="2004">
        <v>0</v>
      </c>
      <c r="CL315" s="2004">
        <v>0</v>
      </c>
      <c r="CM315" s="2004">
        <v>0</v>
      </c>
      <c r="CN315" s="2004">
        <v>0</v>
      </c>
      <c r="CP315" s="2004" t="s">
        <v>11004</v>
      </c>
    </row>
    <row r="316" spans="1:94">
      <c r="A316" s="2004" t="s">
        <v>9066</v>
      </c>
      <c r="B316" s="2004" t="s">
        <v>11005</v>
      </c>
      <c r="C316" s="2004" t="s">
        <v>9047</v>
      </c>
      <c r="D316" s="2004" t="s">
        <v>1628</v>
      </c>
      <c r="E316" s="2004" t="s">
        <v>9194</v>
      </c>
      <c r="F316" s="2004" t="s">
        <v>10993</v>
      </c>
      <c r="G316" s="2004" t="s">
        <v>9775</v>
      </c>
      <c r="H316" s="2004" t="s">
        <v>11006</v>
      </c>
      <c r="I316" s="2004" t="s">
        <v>11007</v>
      </c>
      <c r="J316" s="2004" t="s">
        <v>9199</v>
      </c>
      <c r="K316" s="2004" t="s">
        <v>9200</v>
      </c>
      <c r="L316" s="2004" t="s">
        <v>2337</v>
      </c>
      <c r="M316" s="2004"/>
      <c r="N316" s="2004" t="s">
        <v>2927</v>
      </c>
      <c r="O316" s="2004" t="s">
        <v>766</v>
      </c>
      <c r="P316" s="2004" t="s">
        <v>9201</v>
      </c>
      <c r="Q316" s="516">
        <v>0</v>
      </c>
      <c r="R316" s="2004" t="s">
        <v>9202</v>
      </c>
      <c r="S316" s="2004">
        <v>84</v>
      </c>
      <c r="T316" s="2004">
        <v>84</v>
      </c>
      <c r="U316" s="2004">
        <v>84</v>
      </c>
      <c r="V316" s="2004">
        <v>84</v>
      </c>
      <c r="W316" s="2004">
        <v>84</v>
      </c>
      <c r="X316" s="2004">
        <v>84</v>
      </c>
      <c r="Y316" s="2004"/>
      <c r="Z316" s="2004"/>
      <c r="AA316" s="2004"/>
      <c r="AB316" s="2004"/>
      <c r="AC316" s="2004"/>
      <c r="AD316" s="2004"/>
      <c r="AE316" s="2004" t="s">
        <v>2337</v>
      </c>
      <c r="AF316" s="2004"/>
      <c r="AG316" s="2004"/>
      <c r="AH316" s="2004">
        <v>0</v>
      </c>
      <c r="AI316" s="2004" t="s">
        <v>2337</v>
      </c>
      <c r="AJ316" s="2004" t="s">
        <v>2337</v>
      </c>
      <c r="AK316" s="2004" t="s">
        <v>2337</v>
      </c>
      <c r="AL316" s="2004" t="s">
        <v>2337</v>
      </c>
      <c r="AM316" s="2004" t="s">
        <v>2337</v>
      </c>
      <c r="AN316" s="2004">
        <v>97</v>
      </c>
      <c r="AO316" s="2004">
        <v>97</v>
      </c>
      <c r="AP316" s="2004">
        <v>97</v>
      </c>
      <c r="AQ316" s="2004">
        <v>97</v>
      </c>
      <c r="AR316" s="2004">
        <v>97</v>
      </c>
      <c r="AS316" s="2004">
        <v>84</v>
      </c>
      <c r="AT316" s="2004">
        <v>84</v>
      </c>
      <c r="AU316" s="2004">
        <v>84</v>
      </c>
      <c r="AV316" s="2004">
        <v>84</v>
      </c>
      <c r="AW316" s="2004">
        <v>84</v>
      </c>
      <c r="AX316" s="2004">
        <v>84</v>
      </c>
      <c r="AY316" s="2004">
        <v>84</v>
      </c>
      <c r="AZ316" s="2004">
        <v>84</v>
      </c>
      <c r="BA316" s="2004">
        <v>84</v>
      </c>
      <c r="BB316" s="2004">
        <v>84</v>
      </c>
      <c r="BC316" s="2004">
        <v>64</v>
      </c>
      <c r="BD316" s="2004">
        <v>64</v>
      </c>
      <c r="BE316" s="2004">
        <v>64</v>
      </c>
      <c r="BF316" s="2004">
        <v>64</v>
      </c>
      <c r="BG316" s="2004">
        <v>64</v>
      </c>
      <c r="BH316" s="2004">
        <v>0.57699999999999996</v>
      </c>
      <c r="BI316" s="2004"/>
      <c r="BJ316" s="2004"/>
      <c r="BK316" s="2004"/>
      <c r="BL316" s="2004">
        <v>0.40300000000000002</v>
      </c>
      <c r="BM316" s="2004"/>
      <c r="BN316" s="2004">
        <v>1</v>
      </c>
      <c r="BO316" s="2004" t="s">
        <v>9203</v>
      </c>
      <c r="BP316" s="516">
        <v>84</v>
      </c>
      <c r="BQ316" s="689">
        <v>84</v>
      </c>
      <c r="BR316" s="2004" t="s">
        <v>2337</v>
      </c>
      <c r="BS316" s="2004" t="s">
        <v>9204</v>
      </c>
      <c r="BT316" s="2004">
        <v>0</v>
      </c>
      <c r="BU316" s="2004" t="s">
        <v>9204</v>
      </c>
      <c r="BV316" s="2004">
        <v>0</v>
      </c>
      <c r="BW316" s="2004">
        <v>82</v>
      </c>
      <c r="BX316" s="2004" t="s">
        <v>2337</v>
      </c>
      <c r="BY316" s="2004" t="s">
        <v>2339</v>
      </c>
      <c r="BZ316" s="2004">
        <v>0.80600000000000005</v>
      </c>
      <c r="CA316" s="2004">
        <v>0</v>
      </c>
      <c r="CB316" s="2004">
        <v>0</v>
      </c>
      <c r="CC316" s="2004">
        <v>83</v>
      </c>
      <c r="CD316" s="2004" t="s">
        <v>2337</v>
      </c>
      <c r="CE316" s="2004" t="s">
        <v>2339</v>
      </c>
      <c r="CF316" s="2004">
        <v>0.40300000000000002</v>
      </c>
      <c r="CG316" s="2004">
        <v>0</v>
      </c>
      <c r="CH316" s="2004">
        <v>0</v>
      </c>
      <c r="CI316" s="2004">
        <v>84.49</v>
      </c>
      <c r="CJ316" s="2004" t="s">
        <v>2337</v>
      </c>
      <c r="CK316" s="2004">
        <v>0</v>
      </c>
      <c r="CL316" s="2004">
        <v>0</v>
      </c>
      <c r="CM316" s="2004">
        <v>0</v>
      </c>
      <c r="CN316" s="2004">
        <v>0</v>
      </c>
      <c r="CP316" s="2004" t="s">
        <v>11008</v>
      </c>
    </row>
    <row r="317" spans="1:94">
      <c r="A317" s="2004" t="s">
        <v>9066</v>
      </c>
      <c r="B317" s="2004" t="s">
        <v>11009</v>
      </c>
      <c r="C317" s="2004" t="s">
        <v>9047</v>
      </c>
      <c r="D317" s="2004" t="s">
        <v>1628</v>
      </c>
      <c r="E317" s="2004" t="s">
        <v>9194</v>
      </c>
      <c r="F317" s="2004" t="s">
        <v>10993</v>
      </c>
      <c r="G317" s="2004" t="s">
        <v>10761</v>
      </c>
      <c r="H317" s="2004" t="s">
        <v>11010</v>
      </c>
      <c r="I317" s="2004" t="s">
        <v>11011</v>
      </c>
      <c r="J317" s="2004" t="s">
        <v>9230</v>
      </c>
      <c r="K317" s="2004"/>
      <c r="L317" s="2004"/>
      <c r="M317" s="2004"/>
      <c r="N317" s="2004" t="s">
        <v>2927</v>
      </c>
      <c r="O317" s="2004" t="s">
        <v>766</v>
      </c>
      <c r="P317" s="2004" t="s">
        <v>11012</v>
      </c>
      <c r="Q317" s="516">
        <v>0</v>
      </c>
      <c r="R317" s="2004" t="s">
        <v>9202</v>
      </c>
      <c r="S317" s="2004" t="s">
        <v>11013</v>
      </c>
      <c r="T317" s="2004"/>
      <c r="U317" s="2004"/>
      <c r="V317" s="2004"/>
      <c r="W317" s="2004"/>
      <c r="X317" s="2004" t="s">
        <v>11014</v>
      </c>
      <c r="Y317" s="2004"/>
      <c r="Z317" s="2004"/>
      <c r="AA317" s="2004"/>
      <c r="AB317" s="2004"/>
      <c r="AC317" s="2004"/>
      <c r="AD317" s="2004"/>
      <c r="AE317" s="2004" t="s">
        <v>2337</v>
      </c>
      <c r="AF317" s="2004"/>
      <c r="AG317" s="2004"/>
      <c r="AH317" s="2004">
        <v>0</v>
      </c>
      <c r="AI317" s="2004"/>
      <c r="AJ317" s="2004"/>
      <c r="AK317" s="2004"/>
      <c r="AL317" s="2004"/>
      <c r="AM317" s="2004"/>
      <c r="AN317" s="2004"/>
      <c r="AO317" s="2004"/>
      <c r="AP317" s="2004"/>
      <c r="AQ317" s="2004"/>
      <c r="AR317" s="2004"/>
      <c r="AS317" s="2004"/>
      <c r="AT317" s="2004"/>
      <c r="AU317" s="2004"/>
      <c r="AV317" s="2004"/>
      <c r="AW317" s="2004"/>
      <c r="AX317" s="2004"/>
      <c r="AY317" s="2004"/>
      <c r="AZ317" s="2004"/>
      <c r="BA317" s="2004"/>
      <c r="BB317" s="2004"/>
      <c r="BC317" s="2004"/>
      <c r="BD317" s="2004"/>
      <c r="BE317" s="2004"/>
      <c r="BF317" s="2004"/>
      <c r="BG317" s="2004"/>
      <c r="BH317" s="2004"/>
      <c r="BI317" s="2004"/>
      <c r="BJ317" s="2004"/>
      <c r="BK317" s="2004"/>
      <c r="BL317" s="2004"/>
      <c r="BM317" s="2004"/>
      <c r="BN317" s="2004"/>
      <c r="BO317" s="2004"/>
      <c r="BP317" s="516">
        <v>2.83</v>
      </c>
      <c r="BQ317" s="689">
        <v>2.8</v>
      </c>
      <c r="BR317" s="2004" t="s">
        <v>9204</v>
      </c>
      <c r="BS317" s="2004" t="s">
        <v>9204</v>
      </c>
      <c r="BT317" s="2004">
        <v>0</v>
      </c>
      <c r="BU317" s="2004" t="s">
        <v>9204</v>
      </c>
      <c r="BV317" s="2004">
        <v>0</v>
      </c>
      <c r="BW317" s="2004">
        <v>2.23</v>
      </c>
      <c r="BX317" s="2004" t="s">
        <v>2335</v>
      </c>
      <c r="BY317" s="2004">
        <v>0</v>
      </c>
      <c r="BZ317" s="2004">
        <v>0</v>
      </c>
      <c r="CA317" s="2004">
        <v>0</v>
      </c>
      <c r="CB317" s="2004">
        <v>0</v>
      </c>
      <c r="CC317" s="2004">
        <v>2.93</v>
      </c>
      <c r="CD317" s="2004" t="s">
        <v>2335</v>
      </c>
      <c r="CE317" s="2004">
        <v>0</v>
      </c>
      <c r="CF317" s="2004">
        <v>0</v>
      </c>
      <c r="CG317" s="2004">
        <v>0</v>
      </c>
      <c r="CH317" s="2004">
        <v>0</v>
      </c>
      <c r="CI317" s="2004">
        <v>2.89</v>
      </c>
      <c r="CJ317" s="2004" t="s">
        <v>2335</v>
      </c>
      <c r="CK317" s="2004">
        <v>0</v>
      </c>
      <c r="CL317" s="2004">
        <v>0</v>
      </c>
      <c r="CM317" s="2004">
        <v>0</v>
      </c>
      <c r="CN317" s="2004">
        <v>0</v>
      </c>
      <c r="CP317" s="2004" t="s">
        <v>11015</v>
      </c>
    </row>
    <row r="318" spans="1:94">
      <c r="A318" s="2004" t="s">
        <v>9066</v>
      </c>
      <c r="B318" s="2004" t="s">
        <v>11016</v>
      </c>
      <c r="C318" s="2004" t="s">
        <v>9047</v>
      </c>
      <c r="D318" s="2004" t="s">
        <v>1628</v>
      </c>
      <c r="E318" s="2004" t="s">
        <v>9194</v>
      </c>
      <c r="F318" s="2004" t="s">
        <v>10993</v>
      </c>
      <c r="G318" s="2004" t="s">
        <v>10766</v>
      </c>
      <c r="H318" s="2004" t="s">
        <v>11017</v>
      </c>
      <c r="I318" s="2004" t="s">
        <v>11018</v>
      </c>
      <c r="J318" s="2004" t="s">
        <v>9230</v>
      </c>
      <c r="K318" s="2004"/>
      <c r="L318" s="2004"/>
      <c r="M318" s="2004"/>
      <c r="N318" s="2004" t="s">
        <v>9218</v>
      </c>
      <c r="O318" s="2004" t="s">
        <v>9282</v>
      </c>
      <c r="P318" s="2004" t="s">
        <v>9334</v>
      </c>
      <c r="Q318" s="516">
        <v>0</v>
      </c>
      <c r="R318" s="2004" t="s">
        <v>9240</v>
      </c>
      <c r="S318" s="2004">
        <v>100</v>
      </c>
      <c r="T318" s="2004"/>
      <c r="U318" s="2004"/>
      <c r="V318" s="2004"/>
      <c r="W318" s="2004"/>
      <c r="X318" s="2004">
        <v>100</v>
      </c>
      <c r="Y318" s="2004"/>
      <c r="Z318" s="2004"/>
      <c r="AA318" s="2004"/>
      <c r="AB318" s="2004"/>
      <c r="AC318" s="2004"/>
      <c r="AD318" s="2004"/>
      <c r="AE318" s="2004"/>
      <c r="AF318" s="2004"/>
      <c r="AG318" s="2004"/>
      <c r="AH318" s="2004">
        <v>0</v>
      </c>
      <c r="AI318" s="2004"/>
      <c r="AJ318" s="2004"/>
      <c r="AK318" s="2004"/>
      <c r="AL318" s="2004"/>
      <c r="AM318" s="2004"/>
      <c r="AN318" s="2004"/>
      <c r="AO318" s="2004"/>
      <c r="AP318" s="2004"/>
      <c r="AQ318" s="2004"/>
      <c r="AR318" s="2004"/>
      <c r="AS318" s="2004"/>
      <c r="AT318" s="2004"/>
      <c r="AU318" s="2004"/>
      <c r="AV318" s="2004"/>
      <c r="AW318" s="2004"/>
      <c r="AX318" s="2004"/>
      <c r="AY318" s="2004"/>
      <c r="AZ318" s="2004"/>
      <c r="BA318" s="2004"/>
      <c r="BB318" s="2004"/>
      <c r="BC318" s="2004"/>
      <c r="BD318" s="2004"/>
      <c r="BE318" s="2004"/>
      <c r="BF318" s="2004"/>
      <c r="BG318" s="2004"/>
      <c r="BH318" s="2004"/>
      <c r="BI318" s="2004"/>
      <c r="BJ318" s="2004"/>
      <c r="BK318" s="2004"/>
      <c r="BL318" s="2004"/>
      <c r="BM318" s="2004"/>
      <c r="BN318" s="2004"/>
      <c r="BO318" s="2004"/>
      <c r="BP318" s="516">
        <v>100</v>
      </c>
      <c r="BQ318" s="689">
        <v>100</v>
      </c>
      <c r="BR318" s="2004" t="s">
        <v>9204</v>
      </c>
      <c r="BS318" s="2004" t="s">
        <v>9204</v>
      </c>
      <c r="BT318" s="2004">
        <v>0</v>
      </c>
      <c r="BU318" s="2004" t="s">
        <v>9204</v>
      </c>
      <c r="BV318" s="2004">
        <v>0</v>
      </c>
      <c r="BW318" s="2004">
        <v>100</v>
      </c>
      <c r="BX318" s="2004" t="s">
        <v>2335</v>
      </c>
      <c r="BY318" s="2004">
        <v>0</v>
      </c>
      <c r="BZ318" s="2004">
        <v>0</v>
      </c>
      <c r="CA318" s="2004">
        <v>0</v>
      </c>
      <c r="CB318" s="2004">
        <v>0</v>
      </c>
      <c r="CC318" s="2004">
        <v>100</v>
      </c>
      <c r="CD318" s="2004" t="s">
        <v>2335</v>
      </c>
      <c r="CE318" s="2004">
        <v>0</v>
      </c>
      <c r="CF318" s="2004">
        <v>0</v>
      </c>
      <c r="CG318" s="2004">
        <v>0</v>
      </c>
      <c r="CH318" s="2004">
        <v>0</v>
      </c>
      <c r="CI318" s="2004">
        <v>100</v>
      </c>
      <c r="CJ318" s="2004" t="s">
        <v>2335</v>
      </c>
      <c r="CK318" s="2004">
        <v>0</v>
      </c>
      <c r="CL318" s="2004">
        <v>0</v>
      </c>
      <c r="CM318" s="2004">
        <v>0</v>
      </c>
      <c r="CN318" s="2004">
        <v>0</v>
      </c>
      <c r="CP318" s="2004" t="s">
        <v>11019</v>
      </c>
    </row>
    <row r="319" spans="1:94">
      <c r="A319" s="2004" t="s">
        <v>9066</v>
      </c>
      <c r="B319" s="2004" t="s">
        <v>11020</v>
      </c>
      <c r="C319" s="2004" t="s">
        <v>9047</v>
      </c>
      <c r="D319" s="2004" t="s">
        <v>1628</v>
      </c>
      <c r="E319" s="2004" t="s">
        <v>9194</v>
      </c>
      <c r="F319" s="2004" t="s">
        <v>11021</v>
      </c>
      <c r="G319" s="2004" t="s">
        <v>9250</v>
      </c>
      <c r="H319" s="2004" t="s">
        <v>11022</v>
      </c>
      <c r="I319" s="2004" t="s">
        <v>11023</v>
      </c>
      <c r="J319" s="2004" t="s">
        <v>9199</v>
      </c>
      <c r="K319" s="2004" t="s">
        <v>9545</v>
      </c>
      <c r="L319" s="2004"/>
      <c r="M319" s="2004"/>
      <c r="N319" s="2004" t="s">
        <v>5533</v>
      </c>
      <c r="O319" s="2004" t="s">
        <v>766</v>
      </c>
      <c r="P319" s="2004" t="s">
        <v>11024</v>
      </c>
      <c r="Q319" s="516">
        <v>0</v>
      </c>
      <c r="R319" s="2004" t="s">
        <v>9202</v>
      </c>
      <c r="S319" s="2004">
        <v>0</v>
      </c>
      <c r="T319" s="2004"/>
      <c r="U319" s="2004"/>
      <c r="V319" s="2004"/>
      <c r="W319" s="2004"/>
      <c r="X319" s="2004">
        <v>0</v>
      </c>
      <c r="Y319" s="2004"/>
      <c r="Z319" s="2004"/>
      <c r="AA319" s="2004"/>
      <c r="AB319" s="2004"/>
      <c r="AC319" s="2004"/>
      <c r="AD319" s="2004"/>
      <c r="AE319" s="2004" t="s">
        <v>2337</v>
      </c>
      <c r="AF319" s="2004"/>
      <c r="AG319" s="2004"/>
      <c r="AH319" s="2004">
        <v>0</v>
      </c>
      <c r="AI319" s="2004"/>
      <c r="AJ319" s="2004"/>
      <c r="AK319" s="2004"/>
      <c r="AL319" s="2004"/>
      <c r="AM319" s="2004" t="s">
        <v>2337</v>
      </c>
      <c r="AN319" s="2004"/>
      <c r="AO319" s="2004"/>
      <c r="AP319" s="2004"/>
      <c r="AQ319" s="2004"/>
      <c r="AR319" s="2004">
        <v>193035</v>
      </c>
      <c r="AS319" s="2004"/>
      <c r="AT319" s="2004"/>
      <c r="AU319" s="2004"/>
      <c r="AV319" s="2004"/>
      <c r="AW319" s="2004">
        <v>38607</v>
      </c>
      <c r="AX319" s="2004"/>
      <c r="AY319" s="2004"/>
      <c r="AZ319" s="2004"/>
      <c r="BA319" s="2004"/>
      <c r="BB319" s="2004">
        <v>38607</v>
      </c>
      <c r="BC319" s="2004"/>
      <c r="BD319" s="2004"/>
      <c r="BE319" s="2004"/>
      <c r="BF319" s="2004"/>
      <c r="BG319" s="2004">
        <v>0</v>
      </c>
      <c r="BH319" s="2004">
        <v>6.2400000000000004E-6</v>
      </c>
      <c r="BI319" s="2004"/>
      <c r="BJ319" s="2004"/>
      <c r="BK319" s="2004"/>
      <c r="BL319" s="2004">
        <v>6.2400000000000004E-6</v>
      </c>
      <c r="BM319" s="2004"/>
      <c r="BN319" s="2004">
        <v>1</v>
      </c>
      <c r="BO319" s="2004" t="s">
        <v>9203</v>
      </c>
      <c r="BP319" s="516">
        <v>0</v>
      </c>
      <c r="BQ319" s="689">
        <v>0</v>
      </c>
      <c r="BR319" s="2004" t="s">
        <v>9204</v>
      </c>
      <c r="BS319" s="2004" t="s">
        <v>9204</v>
      </c>
      <c r="BT319" s="2004">
        <v>0</v>
      </c>
      <c r="BU319" s="2004" t="s">
        <v>9204</v>
      </c>
      <c r="BV319" s="2004">
        <v>0</v>
      </c>
      <c r="BW319" s="2004">
        <v>0</v>
      </c>
      <c r="BX319" s="2004" t="s">
        <v>2335</v>
      </c>
      <c r="BY319" s="2004">
        <v>0</v>
      </c>
      <c r="BZ319" s="2004">
        <v>0</v>
      </c>
      <c r="CA319" s="2004">
        <v>0</v>
      </c>
      <c r="CB319" s="2004">
        <v>0</v>
      </c>
      <c r="CC319" s="2004">
        <v>0</v>
      </c>
      <c r="CD319" s="2004" t="s">
        <v>2335</v>
      </c>
      <c r="CE319" s="2004">
        <v>0</v>
      </c>
      <c r="CF319" s="2004">
        <v>0</v>
      </c>
      <c r="CG319" s="2004">
        <v>0</v>
      </c>
      <c r="CH319" s="2004">
        <v>0</v>
      </c>
      <c r="CI319" s="2004">
        <v>0</v>
      </c>
      <c r="CJ319" s="2004" t="s">
        <v>2335</v>
      </c>
      <c r="CK319" s="2004">
        <v>0</v>
      </c>
      <c r="CL319" s="2004">
        <v>0</v>
      </c>
      <c r="CM319" s="2004">
        <v>0</v>
      </c>
      <c r="CN319" s="2004">
        <v>0</v>
      </c>
      <c r="CP319" s="2004" t="s">
        <v>11025</v>
      </c>
    </row>
    <row r="320" spans="1:94">
      <c r="A320" s="2004" t="s">
        <v>9066</v>
      </c>
      <c r="B320" s="2004" t="s">
        <v>11026</v>
      </c>
      <c r="C320" s="2004" t="s">
        <v>9047</v>
      </c>
      <c r="D320" s="2004" t="s">
        <v>1628</v>
      </c>
      <c r="E320" s="2004" t="s">
        <v>9194</v>
      </c>
      <c r="F320" s="2004" t="s">
        <v>11027</v>
      </c>
      <c r="G320" s="2004" t="s">
        <v>9331</v>
      </c>
      <c r="H320" s="2004" t="s">
        <v>11028</v>
      </c>
      <c r="I320" s="2004" t="s">
        <v>11029</v>
      </c>
      <c r="J320" s="2004" t="s">
        <v>9199</v>
      </c>
      <c r="K320" s="2004" t="s">
        <v>9200</v>
      </c>
      <c r="L320" s="2004" t="s">
        <v>2337</v>
      </c>
      <c r="M320" s="2004"/>
      <c r="N320" s="2004" t="s">
        <v>9386</v>
      </c>
      <c r="O320" s="2004" t="s">
        <v>734</v>
      </c>
      <c r="P320" s="2004" t="s">
        <v>10610</v>
      </c>
      <c r="Q320" s="516">
        <v>1</v>
      </c>
      <c r="R320" s="2004" t="s">
        <v>9240</v>
      </c>
      <c r="S320" s="2004">
        <v>90</v>
      </c>
      <c r="T320" s="2004">
        <v>91</v>
      </c>
      <c r="U320" s="2004">
        <v>92</v>
      </c>
      <c r="V320" s="2004">
        <v>93</v>
      </c>
      <c r="W320" s="2004">
        <v>94</v>
      </c>
      <c r="X320" s="2004">
        <v>95</v>
      </c>
      <c r="Y320" s="2004"/>
      <c r="Z320" s="2004"/>
      <c r="AA320" s="2004"/>
      <c r="AB320" s="2004"/>
      <c r="AC320" s="2004"/>
      <c r="AD320" s="2004"/>
      <c r="AE320" s="2004"/>
      <c r="AF320" s="2004"/>
      <c r="AG320" s="2004"/>
      <c r="AH320" s="2004">
        <v>0</v>
      </c>
      <c r="AI320" s="2004" t="s">
        <v>2337</v>
      </c>
      <c r="AJ320" s="2004" t="s">
        <v>2337</v>
      </c>
      <c r="AK320" s="2004" t="s">
        <v>2337</v>
      </c>
      <c r="AL320" s="2004" t="s">
        <v>2337</v>
      </c>
      <c r="AM320" s="2004" t="s">
        <v>2337</v>
      </c>
      <c r="AN320" s="2004">
        <v>75</v>
      </c>
      <c r="AO320" s="2004">
        <v>75</v>
      </c>
      <c r="AP320" s="2004">
        <v>75</v>
      </c>
      <c r="AQ320" s="2004">
        <v>75</v>
      </c>
      <c r="AR320" s="2004">
        <v>75</v>
      </c>
      <c r="AS320" s="2004">
        <v>91</v>
      </c>
      <c r="AT320" s="2004">
        <v>92</v>
      </c>
      <c r="AU320" s="2004">
        <v>93</v>
      </c>
      <c r="AV320" s="2004">
        <v>94</v>
      </c>
      <c r="AW320" s="2004">
        <v>95</v>
      </c>
      <c r="AX320" s="2004">
        <v>91</v>
      </c>
      <c r="AY320" s="2004">
        <v>92</v>
      </c>
      <c r="AZ320" s="2004">
        <v>93</v>
      </c>
      <c r="BA320" s="2004">
        <v>94</v>
      </c>
      <c r="BB320" s="2004">
        <v>95</v>
      </c>
      <c r="BC320" s="2004">
        <v>100</v>
      </c>
      <c r="BD320" s="2004">
        <v>100</v>
      </c>
      <c r="BE320" s="2004">
        <v>100</v>
      </c>
      <c r="BF320" s="2004">
        <v>100</v>
      </c>
      <c r="BG320" s="2004">
        <v>100</v>
      </c>
      <c r="BH320" s="2004">
        <v>4.2999999999999997E-2</v>
      </c>
      <c r="BI320" s="2004"/>
      <c r="BJ320" s="2004"/>
      <c r="BK320" s="2004"/>
      <c r="BL320" s="2004">
        <v>4.2999999999999997E-2</v>
      </c>
      <c r="BM320" s="2004"/>
      <c r="BN320" s="2004">
        <v>1</v>
      </c>
      <c r="BO320" s="2004" t="s">
        <v>9203</v>
      </c>
      <c r="BP320" s="516">
        <v>93.5</v>
      </c>
      <c r="BQ320" s="686">
        <v>94.8</v>
      </c>
      <c r="BR320" s="2004" t="s">
        <v>2337</v>
      </c>
      <c r="BS320" s="2004" t="s">
        <v>2339</v>
      </c>
      <c r="BT320" s="2004">
        <v>0.16339999999999999</v>
      </c>
      <c r="BU320" s="2004" t="s">
        <v>9204</v>
      </c>
      <c r="BV320" s="2004">
        <v>0</v>
      </c>
      <c r="BW320" s="2004">
        <v>95.5</v>
      </c>
      <c r="BX320" s="2004" t="s">
        <v>2337</v>
      </c>
      <c r="BY320" s="2004" t="s">
        <v>2339</v>
      </c>
      <c r="BZ320" s="2004">
        <v>0.15049999999999999</v>
      </c>
      <c r="CA320" s="2004">
        <v>0</v>
      </c>
      <c r="CB320" s="2004">
        <v>0</v>
      </c>
      <c r="CC320" s="2004">
        <v>96.1</v>
      </c>
      <c r="CD320" s="2004" t="s">
        <v>2337</v>
      </c>
      <c r="CE320" s="2004" t="s">
        <v>2339</v>
      </c>
      <c r="CF320" s="2004">
        <v>0.1333</v>
      </c>
      <c r="CG320" s="2004">
        <v>0</v>
      </c>
      <c r="CH320" s="2004">
        <v>0</v>
      </c>
      <c r="CI320" s="2004">
        <v>95.4</v>
      </c>
      <c r="CJ320" s="2004" t="s">
        <v>2337</v>
      </c>
      <c r="CK320" s="2004" t="s">
        <v>2339</v>
      </c>
      <c r="CL320" s="2004">
        <v>6.0199999999999997E-2</v>
      </c>
      <c r="CM320" s="2004">
        <v>0</v>
      </c>
      <c r="CN320" s="2004">
        <v>0</v>
      </c>
      <c r="CP320" s="2004" t="s">
        <v>11030</v>
      </c>
    </row>
    <row r="321" spans="1:94">
      <c r="A321" s="2004" t="s">
        <v>9066</v>
      </c>
      <c r="B321" s="2004" t="s">
        <v>11031</v>
      </c>
      <c r="C321" s="2004" t="s">
        <v>9047</v>
      </c>
      <c r="D321" s="2004" t="s">
        <v>1628</v>
      </c>
      <c r="E321" s="2004" t="s">
        <v>9194</v>
      </c>
      <c r="F321" s="2004" t="s">
        <v>11032</v>
      </c>
      <c r="G321" s="2004" t="s">
        <v>9354</v>
      </c>
      <c r="H321" s="2004" t="s">
        <v>11033</v>
      </c>
      <c r="I321" s="2004" t="s">
        <v>11034</v>
      </c>
      <c r="J321" s="2004" t="s">
        <v>9230</v>
      </c>
      <c r="K321" s="2004"/>
      <c r="L321" s="2004"/>
      <c r="M321" s="2004"/>
      <c r="N321" s="2004" t="s">
        <v>9224</v>
      </c>
      <c r="O321" s="2004" t="s">
        <v>766</v>
      </c>
      <c r="P321" s="2004" t="s">
        <v>11035</v>
      </c>
      <c r="Q321" s="516">
        <v>0</v>
      </c>
      <c r="R321" s="2004" t="s">
        <v>9202</v>
      </c>
      <c r="S321" s="2004">
        <v>0</v>
      </c>
      <c r="T321" s="2004"/>
      <c r="U321" s="2004"/>
      <c r="V321" s="2004"/>
      <c r="W321" s="2004"/>
      <c r="X321" s="2004">
        <v>0</v>
      </c>
      <c r="Y321" s="2004"/>
      <c r="Z321" s="2004"/>
      <c r="AA321" s="2004"/>
      <c r="AB321" s="2004"/>
      <c r="AC321" s="2004"/>
      <c r="AD321" s="2004"/>
      <c r="AE321" s="2004"/>
      <c r="AF321" s="2004" t="s">
        <v>2337</v>
      </c>
      <c r="AG321" s="2004"/>
      <c r="AH321" s="2004">
        <v>0</v>
      </c>
      <c r="AI321" s="2004"/>
      <c r="AJ321" s="2004"/>
      <c r="AK321" s="2004"/>
      <c r="AL321" s="2004"/>
      <c r="AM321" s="2004"/>
      <c r="AN321" s="2004"/>
      <c r="AO321" s="2004"/>
      <c r="AP321" s="2004"/>
      <c r="AQ321" s="2004"/>
      <c r="AR321" s="2004"/>
      <c r="AS321" s="2004"/>
      <c r="AT321" s="2004"/>
      <c r="AU321" s="2004"/>
      <c r="AV321" s="2004"/>
      <c r="AW321" s="2004"/>
      <c r="AX321" s="2004"/>
      <c r="AY321" s="2004"/>
      <c r="AZ321" s="2004"/>
      <c r="BA321" s="2004"/>
      <c r="BB321" s="2004"/>
      <c r="BC321" s="2004"/>
      <c r="BD321" s="2004"/>
      <c r="BE321" s="2004"/>
      <c r="BF321" s="2004"/>
      <c r="BG321" s="2004"/>
      <c r="BH321" s="2004"/>
      <c r="BI321" s="2004"/>
      <c r="BJ321" s="2004"/>
      <c r="BK321" s="2004"/>
      <c r="BL321" s="2004"/>
      <c r="BM321" s="2004"/>
      <c r="BN321" s="2004"/>
      <c r="BO321" s="2004"/>
      <c r="BP321" s="516">
        <v>0</v>
      </c>
      <c r="BQ321" s="689">
        <v>0</v>
      </c>
      <c r="BR321" s="2004" t="s">
        <v>9204</v>
      </c>
      <c r="BS321" s="2004" t="s">
        <v>9204</v>
      </c>
      <c r="BT321" s="2004">
        <v>0</v>
      </c>
      <c r="BU321" s="2004" t="s">
        <v>9204</v>
      </c>
      <c r="BV321" s="2004">
        <v>0</v>
      </c>
      <c r="BW321" s="2004">
        <v>0</v>
      </c>
      <c r="BX321" s="2004" t="s">
        <v>2335</v>
      </c>
      <c r="BY321" s="2004">
        <v>0</v>
      </c>
      <c r="BZ321" s="2004">
        <v>0</v>
      </c>
      <c r="CA321" s="2004">
        <v>0</v>
      </c>
      <c r="CB321" s="2004">
        <v>0</v>
      </c>
      <c r="CC321" s="2004">
        <v>0</v>
      </c>
      <c r="CD321" s="2004" t="s">
        <v>2335</v>
      </c>
      <c r="CE321" s="2004">
        <v>0</v>
      </c>
      <c r="CF321" s="2004">
        <v>0</v>
      </c>
      <c r="CG321" s="2004">
        <v>0</v>
      </c>
      <c r="CH321" s="2004">
        <v>0</v>
      </c>
      <c r="CI321" s="2004">
        <v>0</v>
      </c>
      <c r="CJ321" s="2004" t="s">
        <v>2335</v>
      </c>
      <c r="CK321" s="2004">
        <v>0</v>
      </c>
      <c r="CL321" s="2004">
        <v>0</v>
      </c>
      <c r="CM321" s="2004">
        <v>0</v>
      </c>
      <c r="CN321" s="2004">
        <v>0</v>
      </c>
      <c r="CP321" s="2004" t="s">
        <v>11036</v>
      </c>
    </row>
    <row r="322" spans="1:94" ht="25.5">
      <c r="A322" s="2004" t="s">
        <v>9066</v>
      </c>
      <c r="B322" s="2004" t="s">
        <v>11037</v>
      </c>
      <c r="C322" s="2004" t="s">
        <v>9047</v>
      </c>
      <c r="D322" s="2004" t="s">
        <v>1628</v>
      </c>
      <c r="E322" s="2004" t="s">
        <v>9194</v>
      </c>
      <c r="F322" s="2004" t="s">
        <v>11032</v>
      </c>
      <c r="G322" s="2004" t="s">
        <v>9361</v>
      </c>
      <c r="H322" s="2004" t="s">
        <v>11038</v>
      </c>
      <c r="I322" s="2004" t="s">
        <v>11039</v>
      </c>
      <c r="J322" s="2004" t="s">
        <v>9210</v>
      </c>
      <c r="K322" s="2004" t="s">
        <v>9545</v>
      </c>
      <c r="L322" s="2004"/>
      <c r="M322" s="2004" t="s">
        <v>2334</v>
      </c>
      <c r="N322" s="2004" t="s">
        <v>9224</v>
      </c>
      <c r="O322" s="2004" t="s">
        <v>9395</v>
      </c>
      <c r="P322" s="2004" t="s">
        <v>11040</v>
      </c>
      <c r="Q322" s="516" t="s">
        <v>9203</v>
      </c>
      <c r="R322" s="2004"/>
      <c r="S322" s="2004" t="s">
        <v>11041</v>
      </c>
      <c r="T322" s="2004" t="s">
        <v>11041</v>
      </c>
      <c r="U322" s="2004" t="s">
        <v>11041</v>
      </c>
      <c r="V322" s="2004" t="s">
        <v>11041</v>
      </c>
      <c r="W322" s="2004" t="s">
        <v>11041</v>
      </c>
      <c r="X322" s="2004" t="s">
        <v>11041</v>
      </c>
      <c r="Y322" s="2004"/>
      <c r="Z322" s="2004"/>
      <c r="AA322" s="2004"/>
      <c r="AB322" s="2004"/>
      <c r="AC322" s="2004"/>
      <c r="AD322" s="2004"/>
      <c r="AE322" s="2004"/>
      <c r="AF322" s="2004" t="s">
        <v>2337</v>
      </c>
      <c r="AG322" s="2004"/>
      <c r="AH322" s="2004">
        <v>0</v>
      </c>
      <c r="AI322" s="2004"/>
      <c r="AJ322" s="2004"/>
      <c r="AK322" s="2004"/>
      <c r="AL322" s="2004"/>
      <c r="AM322" s="2004" t="s">
        <v>2337</v>
      </c>
      <c r="AN322" s="2004" t="s">
        <v>11042</v>
      </c>
      <c r="AO322" s="2004" t="s">
        <v>11042</v>
      </c>
      <c r="AP322" s="2004" t="s">
        <v>11042</v>
      </c>
      <c r="AQ322" s="2004" t="s">
        <v>11042</v>
      </c>
      <c r="AR322" s="2004" t="s">
        <v>11042</v>
      </c>
      <c r="AS322" s="2004" t="s">
        <v>11041</v>
      </c>
      <c r="AT322" s="2004" t="s">
        <v>11041</v>
      </c>
      <c r="AU322" s="2004" t="s">
        <v>11041</v>
      </c>
      <c r="AV322" s="2004" t="s">
        <v>11041</v>
      </c>
      <c r="AW322" s="2004" t="s">
        <v>11041</v>
      </c>
      <c r="AX322" s="2004"/>
      <c r="AY322" s="2004"/>
      <c r="AZ322" s="2004"/>
      <c r="BA322" s="2004"/>
      <c r="BB322" s="2004"/>
      <c r="BC322" s="2004"/>
      <c r="BD322" s="2004"/>
      <c r="BE322" s="2004"/>
      <c r="BF322" s="2004"/>
      <c r="BG322" s="2004"/>
      <c r="BH322" s="2004">
        <v>1.054</v>
      </c>
      <c r="BI322" s="2004"/>
      <c r="BJ322" s="2004"/>
      <c r="BK322" s="2004"/>
      <c r="BL322" s="2004"/>
      <c r="BM322" s="2004"/>
      <c r="BN322" s="2004">
        <v>1</v>
      </c>
      <c r="BO322" s="2004" t="s">
        <v>9203</v>
      </c>
      <c r="BP322" s="516" t="s">
        <v>11043</v>
      </c>
      <c r="BQ322" s="688" t="s">
        <v>11043</v>
      </c>
      <c r="BR322" s="2004" t="s">
        <v>2337</v>
      </c>
      <c r="BS322" s="2004" t="s">
        <v>9204</v>
      </c>
      <c r="BT322" s="2004">
        <v>0</v>
      </c>
      <c r="BU322" s="2004" t="s">
        <v>9204</v>
      </c>
      <c r="BV322" s="2004">
        <v>0</v>
      </c>
      <c r="BW322" s="2004" t="s">
        <v>11041</v>
      </c>
      <c r="BX322" s="2004" t="s">
        <v>2337</v>
      </c>
      <c r="BY322" s="2004">
        <v>0</v>
      </c>
      <c r="BZ322" s="2004">
        <v>0</v>
      </c>
      <c r="CA322" s="2004">
        <v>0</v>
      </c>
      <c r="CB322" s="2004">
        <v>0</v>
      </c>
      <c r="CC322" s="2004" t="s">
        <v>11041</v>
      </c>
      <c r="CD322" s="2004" t="s">
        <v>2337</v>
      </c>
      <c r="CE322" s="2004">
        <v>0</v>
      </c>
      <c r="CF322" s="2004">
        <v>0</v>
      </c>
      <c r="CG322" s="2004">
        <v>0</v>
      </c>
      <c r="CH322" s="2004">
        <v>0</v>
      </c>
      <c r="CI322" s="2004" t="s">
        <v>11041</v>
      </c>
      <c r="CJ322" s="2004" t="s">
        <v>2337</v>
      </c>
      <c r="CK322" s="2004">
        <v>0</v>
      </c>
      <c r="CL322" s="2004">
        <v>0</v>
      </c>
      <c r="CM322" s="2004">
        <v>0</v>
      </c>
      <c r="CN322" s="2004">
        <v>0</v>
      </c>
      <c r="CP322" s="2004" t="s">
        <v>11044</v>
      </c>
    </row>
    <row r="323" spans="1:94">
      <c r="A323" s="2004" t="s">
        <v>9066</v>
      </c>
      <c r="B323" s="2004" t="s">
        <v>11045</v>
      </c>
      <c r="C323" s="2004" t="s">
        <v>9047</v>
      </c>
      <c r="D323" s="2004" t="s">
        <v>1628</v>
      </c>
      <c r="E323" s="2004" t="s">
        <v>9194</v>
      </c>
      <c r="F323" s="2004" t="s">
        <v>11032</v>
      </c>
      <c r="G323" s="2004" t="s">
        <v>11046</v>
      </c>
      <c r="H323" s="2004" t="s">
        <v>11047</v>
      </c>
      <c r="I323" s="2004" t="s">
        <v>11048</v>
      </c>
      <c r="J323" s="2004" t="s">
        <v>9230</v>
      </c>
      <c r="K323" s="2004"/>
      <c r="L323" s="2004"/>
      <c r="M323" s="2004"/>
      <c r="N323" s="2004" t="s">
        <v>10743</v>
      </c>
      <c r="O323" s="2004" t="s">
        <v>766</v>
      </c>
      <c r="P323" s="2004" t="s">
        <v>11049</v>
      </c>
      <c r="Q323" s="516">
        <v>0</v>
      </c>
      <c r="R323" s="2004" t="s">
        <v>9240</v>
      </c>
      <c r="S323" s="2004">
        <v>4942</v>
      </c>
      <c r="T323" s="2004"/>
      <c r="U323" s="2004"/>
      <c r="V323" s="2004"/>
      <c r="W323" s="2004"/>
      <c r="X323" s="2004">
        <v>8154</v>
      </c>
      <c r="Y323" s="2004"/>
      <c r="Z323" s="2004"/>
      <c r="AA323" s="2004"/>
      <c r="AB323" s="2004"/>
      <c r="AC323" s="2004"/>
      <c r="AD323" s="2004"/>
      <c r="AE323" s="2004"/>
      <c r="AF323" s="2004" t="s">
        <v>2337</v>
      </c>
      <c r="AG323" s="2004"/>
      <c r="AH323" s="2004">
        <v>0</v>
      </c>
      <c r="AI323" s="2004"/>
      <c r="AJ323" s="2004"/>
      <c r="AK323" s="2004"/>
      <c r="AL323" s="2004"/>
      <c r="AM323" s="2004"/>
      <c r="AN323" s="2004"/>
      <c r="AO323" s="2004"/>
      <c r="AP323" s="2004"/>
      <c r="AQ323" s="2004"/>
      <c r="AR323" s="2004"/>
      <c r="AS323" s="2004"/>
      <c r="AT323" s="2004"/>
      <c r="AU323" s="2004"/>
      <c r="AV323" s="2004"/>
      <c r="AW323" s="2004"/>
      <c r="AX323" s="2004"/>
      <c r="AY323" s="2004"/>
      <c r="AZ323" s="2004"/>
      <c r="BA323" s="2004"/>
      <c r="BB323" s="2004"/>
      <c r="BC323" s="2004"/>
      <c r="BD323" s="2004"/>
      <c r="BE323" s="2004"/>
      <c r="BF323" s="2004"/>
      <c r="BG323" s="2004"/>
      <c r="BH323" s="2004"/>
      <c r="BI323" s="2004"/>
      <c r="BJ323" s="2004"/>
      <c r="BK323" s="2004"/>
      <c r="BL323" s="2004"/>
      <c r="BM323" s="2004"/>
      <c r="BN323" s="2004"/>
      <c r="BO323" s="2004"/>
      <c r="BP323" s="516">
        <v>4942</v>
      </c>
      <c r="BQ323" s="689">
        <v>5673</v>
      </c>
      <c r="BR323" s="2004" t="s">
        <v>9204</v>
      </c>
      <c r="BS323" s="2004" t="s">
        <v>9204</v>
      </c>
      <c r="BT323" s="2004">
        <v>0</v>
      </c>
      <c r="BU323" s="2004" t="s">
        <v>9204</v>
      </c>
      <c r="BV323" s="2004">
        <v>0</v>
      </c>
      <c r="BW323" s="2004">
        <v>7568</v>
      </c>
      <c r="BX323" s="2004" t="s">
        <v>2335</v>
      </c>
      <c r="BY323" s="2004">
        <v>0</v>
      </c>
      <c r="BZ323" s="2004">
        <v>0</v>
      </c>
      <c r="CA323" s="2004">
        <v>0</v>
      </c>
      <c r="CB323" s="2004">
        <v>0</v>
      </c>
      <c r="CC323" s="2004">
        <v>7997</v>
      </c>
      <c r="CD323" s="2004" t="s">
        <v>2335</v>
      </c>
      <c r="CE323" s="2004">
        <v>0</v>
      </c>
      <c r="CF323" s="2004">
        <v>0</v>
      </c>
      <c r="CG323" s="2004">
        <v>0</v>
      </c>
      <c r="CH323" s="2004">
        <v>0</v>
      </c>
      <c r="CI323" s="2004">
        <v>10192</v>
      </c>
      <c r="CJ323" s="2004" t="s">
        <v>2335</v>
      </c>
      <c r="CK323" s="2004">
        <v>0</v>
      </c>
      <c r="CL323" s="2004">
        <v>0</v>
      </c>
      <c r="CM323" s="2004">
        <v>0</v>
      </c>
      <c r="CN323" s="2004">
        <v>0</v>
      </c>
      <c r="CP323" s="2004" t="s">
        <v>11050</v>
      </c>
    </row>
    <row r="324" spans="1:94">
      <c r="A324" s="2004" t="s">
        <v>9066</v>
      </c>
      <c r="B324" s="2004" t="s">
        <v>11051</v>
      </c>
      <c r="C324" s="2004" t="s">
        <v>9047</v>
      </c>
      <c r="D324" s="2004" t="s">
        <v>1628</v>
      </c>
      <c r="E324" s="2004" t="s">
        <v>9194</v>
      </c>
      <c r="F324" s="2004" t="s">
        <v>11032</v>
      </c>
      <c r="G324" s="2004" t="s">
        <v>11052</v>
      </c>
      <c r="H324" s="2004" t="s">
        <v>11053</v>
      </c>
      <c r="I324" s="2004" t="s">
        <v>11054</v>
      </c>
      <c r="J324" s="2004" t="s">
        <v>9230</v>
      </c>
      <c r="K324" s="2004"/>
      <c r="L324" s="2004"/>
      <c r="M324" s="2004"/>
      <c r="N324" s="2004" t="s">
        <v>10743</v>
      </c>
      <c r="O324" s="2004" t="s">
        <v>766</v>
      </c>
      <c r="P324" s="2004" t="s">
        <v>11055</v>
      </c>
      <c r="Q324" s="516">
        <v>0</v>
      </c>
      <c r="R324" s="2004" t="s">
        <v>9240</v>
      </c>
      <c r="S324" s="2004">
        <v>650</v>
      </c>
      <c r="T324" s="2004"/>
      <c r="U324" s="2004"/>
      <c r="V324" s="2004"/>
      <c r="W324" s="2004"/>
      <c r="X324" s="2004">
        <v>1400</v>
      </c>
      <c r="Y324" s="2004"/>
      <c r="Z324" s="2004"/>
      <c r="AA324" s="2004"/>
      <c r="AB324" s="2004"/>
      <c r="AC324" s="2004"/>
      <c r="AD324" s="2004"/>
      <c r="AE324" s="2004"/>
      <c r="AF324" s="2004" t="s">
        <v>2337</v>
      </c>
      <c r="AG324" s="2004"/>
      <c r="AH324" s="2004">
        <v>0</v>
      </c>
      <c r="AI324" s="2004"/>
      <c r="AJ324" s="2004"/>
      <c r="AK324" s="2004"/>
      <c r="AL324" s="2004"/>
      <c r="AM324" s="2004"/>
      <c r="AN324" s="2004"/>
      <c r="AO324" s="2004"/>
      <c r="AP324" s="2004"/>
      <c r="AQ324" s="2004"/>
      <c r="AR324" s="2004"/>
      <c r="AS324" s="2004"/>
      <c r="AT324" s="2004"/>
      <c r="AU324" s="2004"/>
      <c r="AV324" s="2004"/>
      <c r="AW324" s="2004"/>
      <c r="AX324" s="2004"/>
      <c r="AY324" s="2004"/>
      <c r="AZ324" s="2004"/>
      <c r="BA324" s="2004"/>
      <c r="BB324" s="2004"/>
      <c r="BC324" s="2004"/>
      <c r="BD324" s="2004"/>
      <c r="BE324" s="2004"/>
      <c r="BF324" s="2004"/>
      <c r="BG324" s="2004"/>
      <c r="BH324" s="2004"/>
      <c r="BI324" s="2004"/>
      <c r="BJ324" s="2004"/>
      <c r="BK324" s="2004"/>
      <c r="BL324" s="2004"/>
      <c r="BM324" s="2004"/>
      <c r="BN324" s="2004"/>
      <c r="BO324" s="2004"/>
      <c r="BP324" s="516">
        <v>743</v>
      </c>
      <c r="BQ324" s="689">
        <v>849</v>
      </c>
      <c r="BR324" s="2004" t="s">
        <v>9204</v>
      </c>
      <c r="BS324" s="2004" t="s">
        <v>9204</v>
      </c>
      <c r="BT324" s="2004">
        <v>0</v>
      </c>
      <c r="BU324" s="2004" t="s">
        <v>9204</v>
      </c>
      <c r="BV324" s="2004">
        <v>0</v>
      </c>
      <c r="BW324" s="2004">
        <v>1056</v>
      </c>
      <c r="BX324" s="2004" t="s">
        <v>2335</v>
      </c>
      <c r="BY324" s="2004">
        <v>0</v>
      </c>
      <c r="BZ324" s="2004">
        <v>0</v>
      </c>
      <c r="CA324" s="2004">
        <v>0</v>
      </c>
      <c r="CB324" s="2004">
        <v>0</v>
      </c>
      <c r="CC324" s="2004">
        <v>1290</v>
      </c>
      <c r="CD324" s="2004" t="s">
        <v>2335</v>
      </c>
      <c r="CE324" s="2004">
        <v>0</v>
      </c>
      <c r="CF324" s="2004">
        <v>0</v>
      </c>
      <c r="CG324" s="2004">
        <v>0</v>
      </c>
      <c r="CH324" s="2004">
        <v>0</v>
      </c>
      <c r="CI324" s="2004">
        <v>1537</v>
      </c>
      <c r="CJ324" s="2004" t="s">
        <v>2335</v>
      </c>
      <c r="CK324" s="2004">
        <v>0</v>
      </c>
      <c r="CL324" s="2004">
        <v>0</v>
      </c>
      <c r="CM324" s="2004">
        <v>0</v>
      </c>
      <c r="CN324" s="2004">
        <v>0</v>
      </c>
      <c r="CP324" s="2004" t="s">
        <v>11056</v>
      </c>
    </row>
    <row r="325" spans="1:94">
      <c r="A325" s="2004" t="s">
        <v>9066</v>
      </c>
      <c r="B325" s="2004" t="s">
        <v>11057</v>
      </c>
      <c r="C325" s="2004" t="s">
        <v>9047</v>
      </c>
      <c r="D325" s="2004" t="s">
        <v>1628</v>
      </c>
      <c r="E325" s="2004" t="s">
        <v>9194</v>
      </c>
      <c r="F325" s="2004" t="s">
        <v>11032</v>
      </c>
      <c r="G325" s="2004" t="s">
        <v>11058</v>
      </c>
      <c r="H325" s="2004" t="s">
        <v>11059</v>
      </c>
      <c r="I325" s="2004" t="s">
        <v>11060</v>
      </c>
      <c r="J325" s="2004" t="s">
        <v>9210</v>
      </c>
      <c r="K325" s="2004" t="s">
        <v>9200</v>
      </c>
      <c r="L325" s="2004" t="s">
        <v>2337</v>
      </c>
      <c r="M325" s="2004"/>
      <c r="N325" s="2004" t="s">
        <v>9450</v>
      </c>
      <c r="O325" s="2004" t="s">
        <v>766</v>
      </c>
      <c r="P325" s="2004" t="s">
        <v>10583</v>
      </c>
      <c r="Q325" s="516">
        <v>0</v>
      </c>
      <c r="R325" s="2004" t="s">
        <v>9202</v>
      </c>
      <c r="S325" s="2004">
        <v>0</v>
      </c>
      <c r="T325" s="2004">
        <v>0</v>
      </c>
      <c r="U325" s="2004">
        <v>0</v>
      </c>
      <c r="V325" s="2004">
        <v>0</v>
      </c>
      <c r="W325" s="2004">
        <v>0</v>
      </c>
      <c r="X325" s="2004">
        <v>0</v>
      </c>
      <c r="Y325" s="2004"/>
      <c r="Z325" s="2004"/>
      <c r="AA325" s="2004"/>
      <c r="AB325" s="2004"/>
      <c r="AC325" s="2004"/>
      <c r="AD325" s="2004"/>
      <c r="AE325" s="2004" t="s">
        <v>2337</v>
      </c>
      <c r="AF325" s="2004"/>
      <c r="AG325" s="2004"/>
      <c r="AH325" s="2004">
        <v>0</v>
      </c>
      <c r="AI325" s="2004" t="s">
        <v>2337</v>
      </c>
      <c r="AJ325" s="2004" t="s">
        <v>2337</v>
      </c>
      <c r="AK325" s="2004" t="s">
        <v>2337</v>
      </c>
      <c r="AL325" s="2004" t="s">
        <v>2337</v>
      </c>
      <c r="AM325" s="2004" t="s">
        <v>2337</v>
      </c>
      <c r="AN325" s="2004">
        <v>2</v>
      </c>
      <c r="AO325" s="2004">
        <v>2</v>
      </c>
      <c r="AP325" s="2004">
        <v>2</v>
      </c>
      <c r="AQ325" s="2004">
        <v>2</v>
      </c>
      <c r="AR325" s="2004">
        <v>2</v>
      </c>
      <c r="AS325" s="2004">
        <v>0</v>
      </c>
      <c r="AT325" s="2004">
        <v>0</v>
      </c>
      <c r="AU325" s="2004">
        <v>0</v>
      </c>
      <c r="AV325" s="2004">
        <v>0</v>
      </c>
      <c r="AW325" s="2004">
        <v>0</v>
      </c>
      <c r="AX325" s="2004"/>
      <c r="AY325" s="2004"/>
      <c r="AZ325" s="2004"/>
      <c r="BA325" s="2004"/>
      <c r="BB325" s="2004"/>
      <c r="BC325" s="2004"/>
      <c r="BD325" s="2004"/>
      <c r="BE325" s="2004"/>
      <c r="BF325" s="2004"/>
      <c r="BG325" s="2004"/>
      <c r="BH325" s="2004">
        <v>0.35599999999999998</v>
      </c>
      <c r="BI325" s="2004"/>
      <c r="BJ325" s="2004"/>
      <c r="BK325" s="2004"/>
      <c r="BL325" s="2004"/>
      <c r="BM325" s="2004"/>
      <c r="BN325" s="2004">
        <v>1</v>
      </c>
      <c r="BO325" s="2004" t="s">
        <v>9203</v>
      </c>
      <c r="BP325" s="516">
        <v>0</v>
      </c>
      <c r="BQ325" s="689">
        <v>0</v>
      </c>
      <c r="BR325" s="2004" t="s">
        <v>2337</v>
      </c>
      <c r="BS325" s="2004" t="s">
        <v>9204</v>
      </c>
      <c r="BT325" s="2004">
        <v>0</v>
      </c>
      <c r="BU325" s="2004" t="s">
        <v>9204</v>
      </c>
      <c r="BV325" s="2004">
        <v>0</v>
      </c>
      <c r="BW325" s="2004">
        <v>0</v>
      </c>
      <c r="BX325" s="2004" t="s">
        <v>2337</v>
      </c>
      <c r="BY325" s="2004">
        <v>0</v>
      </c>
      <c r="BZ325" s="2004">
        <v>0</v>
      </c>
      <c r="CA325" s="2004">
        <v>0</v>
      </c>
      <c r="CB325" s="2004">
        <v>0</v>
      </c>
      <c r="CC325" s="2004">
        <v>0</v>
      </c>
      <c r="CD325" s="2004" t="s">
        <v>2337</v>
      </c>
      <c r="CE325" s="2004">
        <v>0</v>
      </c>
      <c r="CF325" s="2004">
        <v>0</v>
      </c>
      <c r="CG325" s="2004">
        <v>0</v>
      </c>
      <c r="CH325" s="2004">
        <v>0</v>
      </c>
      <c r="CI325" s="2004">
        <v>0</v>
      </c>
      <c r="CJ325" s="2004" t="s">
        <v>2337</v>
      </c>
      <c r="CK325" s="2004">
        <v>0</v>
      </c>
      <c r="CL325" s="2004">
        <v>0</v>
      </c>
      <c r="CM325" s="2004">
        <v>0</v>
      </c>
      <c r="CN325" s="2004">
        <v>0</v>
      </c>
      <c r="CP325" s="2004" t="s">
        <v>11061</v>
      </c>
    </row>
    <row r="326" spans="1:94">
      <c r="A326" s="2004" t="s">
        <v>9066</v>
      </c>
      <c r="B326" s="2004" t="s">
        <v>11062</v>
      </c>
      <c r="C326" s="2004" t="s">
        <v>9047</v>
      </c>
      <c r="D326" s="2004" t="s">
        <v>1628</v>
      </c>
      <c r="E326" s="2004" t="s">
        <v>9194</v>
      </c>
      <c r="F326" s="2004" t="s">
        <v>11032</v>
      </c>
      <c r="G326" s="2004" t="s">
        <v>11063</v>
      </c>
      <c r="H326" s="2004" t="s">
        <v>11064</v>
      </c>
      <c r="I326" s="2004" t="s">
        <v>11065</v>
      </c>
      <c r="J326" s="2004" t="s">
        <v>9210</v>
      </c>
      <c r="K326" s="2004" t="s">
        <v>9200</v>
      </c>
      <c r="L326" s="2004" t="s">
        <v>2337</v>
      </c>
      <c r="M326" s="2004"/>
      <c r="N326" s="2004" t="s">
        <v>9450</v>
      </c>
      <c r="O326" s="2004" t="s">
        <v>766</v>
      </c>
      <c r="P326" s="2004" t="s">
        <v>11066</v>
      </c>
      <c r="Q326" s="516">
        <v>0</v>
      </c>
      <c r="R326" s="2004" t="s">
        <v>9202</v>
      </c>
      <c r="S326" s="2004">
        <v>2</v>
      </c>
      <c r="T326" s="2004">
        <v>2</v>
      </c>
      <c r="U326" s="2004">
        <v>2</v>
      </c>
      <c r="V326" s="2004">
        <v>2</v>
      </c>
      <c r="W326" s="2004">
        <v>2</v>
      </c>
      <c r="X326" s="2004">
        <v>2</v>
      </c>
      <c r="Y326" s="2004"/>
      <c r="Z326" s="2004"/>
      <c r="AA326" s="2004"/>
      <c r="AB326" s="2004"/>
      <c r="AC326" s="2004"/>
      <c r="AD326" s="2004"/>
      <c r="AE326" s="2004" t="s">
        <v>2337</v>
      </c>
      <c r="AF326" s="2004"/>
      <c r="AG326" s="2004"/>
      <c r="AH326" s="2004">
        <v>0</v>
      </c>
      <c r="AI326" s="2004" t="s">
        <v>2337</v>
      </c>
      <c r="AJ326" s="2004" t="s">
        <v>2337</v>
      </c>
      <c r="AK326" s="2004" t="s">
        <v>2337</v>
      </c>
      <c r="AL326" s="2004" t="s">
        <v>2337</v>
      </c>
      <c r="AM326" s="2004" t="s">
        <v>2337</v>
      </c>
      <c r="AN326" s="2004">
        <v>4</v>
      </c>
      <c r="AO326" s="2004">
        <v>4</v>
      </c>
      <c r="AP326" s="2004">
        <v>4</v>
      </c>
      <c r="AQ326" s="2004">
        <v>4</v>
      </c>
      <c r="AR326" s="2004">
        <v>4</v>
      </c>
      <c r="AS326" s="2004">
        <v>2</v>
      </c>
      <c r="AT326" s="2004">
        <v>2</v>
      </c>
      <c r="AU326" s="2004">
        <v>2</v>
      </c>
      <c r="AV326" s="2004">
        <v>2</v>
      </c>
      <c r="AW326" s="2004">
        <v>2</v>
      </c>
      <c r="AX326" s="2004"/>
      <c r="AY326" s="2004"/>
      <c r="AZ326" s="2004"/>
      <c r="BA326" s="2004"/>
      <c r="BB326" s="2004"/>
      <c r="BC326" s="2004"/>
      <c r="BD326" s="2004"/>
      <c r="BE326" s="2004"/>
      <c r="BF326" s="2004"/>
      <c r="BG326" s="2004"/>
      <c r="BH326" s="2004">
        <v>1.0999999999999999E-2</v>
      </c>
      <c r="BI326" s="2004"/>
      <c r="BJ326" s="2004"/>
      <c r="BK326" s="2004"/>
      <c r="BL326" s="2004"/>
      <c r="BM326" s="2004"/>
      <c r="BN326" s="2004">
        <v>1</v>
      </c>
      <c r="BO326" s="2004" t="s">
        <v>9203</v>
      </c>
      <c r="BP326" s="516">
        <v>3</v>
      </c>
      <c r="BQ326" s="689">
        <v>5</v>
      </c>
      <c r="BR326" s="2004" t="s">
        <v>2334</v>
      </c>
      <c r="BS326" s="2004" t="s">
        <v>9254</v>
      </c>
      <c r="BT326" s="2004">
        <v>-2.1999999999999999E-2</v>
      </c>
      <c r="BU326" s="2004" t="s">
        <v>9204</v>
      </c>
      <c r="BV326" s="2004">
        <v>0</v>
      </c>
      <c r="BW326" s="2004">
        <v>9</v>
      </c>
      <c r="BX326" s="2004" t="s">
        <v>2334</v>
      </c>
      <c r="BY326" s="2004" t="s">
        <v>9254</v>
      </c>
      <c r="BZ326" s="2004">
        <v>-2.1999999999999999E-2</v>
      </c>
      <c r="CA326" s="2004">
        <v>0</v>
      </c>
      <c r="CB326" s="2004">
        <v>0</v>
      </c>
      <c r="CC326" s="2004">
        <v>18</v>
      </c>
      <c r="CD326" s="2004" t="s">
        <v>2334</v>
      </c>
      <c r="CE326" s="2004" t="s">
        <v>2336</v>
      </c>
      <c r="CF326" s="2004">
        <v>-2.1999999999999999E-2</v>
      </c>
      <c r="CG326" s="2004">
        <v>0</v>
      </c>
      <c r="CH326" s="2004">
        <v>0</v>
      </c>
      <c r="CI326" s="2004">
        <v>12</v>
      </c>
      <c r="CJ326" s="2004" t="s">
        <v>2334</v>
      </c>
      <c r="CK326" s="2004" t="s">
        <v>2336</v>
      </c>
      <c r="CL326" s="2004">
        <v>-2.1999999999999999E-2</v>
      </c>
      <c r="CM326" s="2004">
        <v>0</v>
      </c>
      <c r="CN326" s="2004">
        <v>0</v>
      </c>
      <c r="CP326" s="2004" t="s">
        <v>11067</v>
      </c>
    </row>
    <row r="327" spans="1:94">
      <c r="A327" s="2004" t="s">
        <v>9066</v>
      </c>
      <c r="B327" s="2004" t="s">
        <v>11068</v>
      </c>
      <c r="C327" s="2004" t="s">
        <v>9047</v>
      </c>
      <c r="D327" s="2004" t="s">
        <v>1628</v>
      </c>
      <c r="E327" s="2004" t="s">
        <v>9194</v>
      </c>
      <c r="F327" s="2004" t="s">
        <v>11032</v>
      </c>
      <c r="G327" s="2004" t="s">
        <v>11069</v>
      </c>
      <c r="H327" s="2004" t="s">
        <v>11070</v>
      </c>
      <c r="I327" s="2004" t="s">
        <v>11071</v>
      </c>
      <c r="J327" s="2004" t="s">
        <v>9230</v>
      </c>
      <c r="K327" s="2004"/>
      <c r="L327" s="2004"/>
      <c r="M327" s="2004"/>
      <c r="N327" s="2004" t="s">
        <v>9372</v>
      </c>
      <c r="O327" s="2004" t="s">
        <v>766</v>
      </c>
      <c r="P327" s="2004" t="s">
        <v>9870</v>
      </c>
      <c r="Q327" s="516">
        <v>1</v>
      </c>
      <c r="R327" s="2004" t="s">
        <v>9202</v>
      </c>
      <c r="S327" s="2004">
        <v>49.5</v>
      </c>
      <c r="T327" s="2004"/>
      <c r="U327" s="2004"/>
      <c r="V327" s="2004"/>
      <c r="W327" s="2004"/>
      <c r="X327" s="2004">
        <v>48</v>
      </c>
      <c r="Y327" s="2004"/>
      <c r="Z327" s="2004"/>
      <c r="AA327" s="2004"/>
      <c r="AB327" s="2004"/>
      <c r="AC327" s="2004"/>
      <c r="AD327" s="2004"/>
      <c r="AE327" s="2004"/>
      <c r="AF327" s="2004"/>
      <c r="AG327" s="2004"/>
      <c r="AH327" s="2004">
        <v>0</v>
      </c>
      <c r="AI327" s="2004"/>
      <c r="AJ327" s="2004"/>
      <c r="AK327" s="2004"/>
      <c r="AL327" s="2004"/>
      <c r="AM327" s="2004"/>
      <c r="AN327" s="2004"/>
      <c r="AO327" s="2004"/>
      <c r="AP327" s="2004"/>
      <c r="AQ327" s="2004"/>
      <c r="AR327" s="2004"/>
      <c r="AS327" s="2004"/>
      <c r="AT327" s="2004"/>
      <c r="AU327" s="2004"/>
      <c r="AV327" s="2004"/>
      <c r="AW327" s="2004"/>
      <c r="AX327" s="2004"/>
      <c r="AY327" s="2004"/>
      <c r="AZ327" s="2004"/>
      <c r="BA327" s="2004"/>
      <c r="BB327" s="2004"/>
      <c r="BC327" s="2004"/>
      <c r="BD327" s="2004"/>
      <c r="BE327" s="2004"/>
      <c r="BF327" s="2004"/>
      <c r="BG327" s="2004"/>
      <c r="BH327" s="2004"/>
      <c r="BI327" s="2004"/>
      <c r="BJ327" s="2004"/>
      <c r="BK327" s="2004"/>
      <c r="BL327" s="2004"/>
      <c r="BM327" s="2004"/>
      <c r="BN327" s="2004"/>
      <c r="BO327" s="2004"/>
      <c r="BP327" s="516">
        <v>56.7</v>
      </c>
      <c r="BQ327" s="686">
        <v>61.8</v>
      </c>
      <c r="BR327" s="2004" t="s">
        <v>9204</v>
      </c>
      <c r="BS327" s="2004" t="s">
        <v>9204</v>
      </c>
      <c r="BT327" s="2004">
        <v>0</v>
      </c>
      <c r="BU327" s="2004" t="s">
        <v>9204</v>
      </c>
      <c r="BV327" s="2004">
        <v>0</v>
      </c>
      <c r="BW327" s="2004">
        <v>67.2</v>
      </c>
      <c r="BX327" s="2004" t="s">
        <v>2335</v>
      </c>
      <c r="BY327" s="2004">
        <v>0</v>
      </c>
      <c r="BZ327" s="2004">
        <v>0</v>
      </c>
      <c r="CA327" s="2004">
        <v>0</v>
      </c>
      <c r="CB327" s="2004">
        <v>0</v>
      </c>
      <c r="CC327" s="2004">
        <v>57</v>
      </c>
      <c r="CD327" s="2004" t="s">
        <v>2335</v>
      </c>
      <c r="CE327" s="2004">
        <v>0</v>
      </c>
      <c r="CF327" s="2004">
        <v>0</v>
      </c>
      <c r="CG327" s="2004">
        <v>0</v>
      </c>
      <c r="CH327" s="2004">
        <v>0</v>
      </c>
      <c r="CI327" s="2004">
        <v>56.646525515988195</v>
      </c>
      <c r="CJ327" s="2004" t="s">
        <v>2335</v>
      </c>
      <c r="CK327" s="2004">
        <v>0</v>
      </c>
      <c r="CL327" s="2004">
        <v>0</v>
      </c>
      <c r="CM327" s="2004">
        <v>0</v>
      </c>
      <c r="CN327" s="2004">
        <v>0</v>
      </c>
      <c r="CP327" s="2004" t="s">
        <v>11072</v>
      </c>
    </row>
    <row r="328" spans="1:94">
      <c r="A328" s="2004" t="s">
        <v>9066</v>
      </c>
      <c r="B328" s="2004" t="s">
        <v>11073</v>
      </c>
      <c r="C328" s="2004" t="s">
        <v>9047</v>
      </c>
      <c r="D328" s="2004" t="s">
        <v>1628</v>
      </c>
      <c r="E328" s="2004" t="s">
        <v>9194</v>
      </c>
      <c r="F328" s="2004" t="s">
        <v>11032</v>
      </c>
      <c r="G328" s="2004" t="s">
        <v>11074</v>
      </c>
      <c r="H328" s="2004" t="s">
        <v>11075</v>
      </c>
      <c r="I328" s="2004" t="s">
        <v>11076</v>
      </c>
      <c r="J328" s="2004" t="s">
        <v>9230</v>
      </c>
      <c r="K328" s="2004"/>
      <c r="L328" s="2004"/>
      <c r="M328" s="2004"/>
      <c r="N328" s="2004" t="s">
        <v>9372</v>
      </c>
      <c r="O328" s="2004" t="s">
        <v>734</v>
      </c>
      <c r="P328" s="2004" t="s">
        <v>10564</v>
      </c>
      <c r="Q328" s="516">
        <v>2</v>
      </c>
      <c r="R328" s="2004" t="s">
        <v>9240</v>
      </c>
      <c r="S328" s="2004">
        <v>8.36</v>
      </c>
      <c r="T328" s="2004"/>
      <c r="U328" s="2004"/>
      <c r="V328" s="2004"/>
      <c r="W328" s="2004"/>
      <c r="X328" s="2004">
        <v>12.2</v>
      </c>
      <c r="Y328" s="2004"/>
      <c r="Z328" s="2004"/>
      <c r="AA328" s="2004"/>
      <c r="AB328" s="2004"/>
      <c r="AC328" s="2004"/>
      <c r="AD328" s="2004"/>
      <c r="AE328" s="2004"/>
      <c r="AF328" s="2004"/>
      <c r="AG328" s="2004"/>
      <c r="AH328" s="2004">
        <v>0</v>
      </c>
      <c r="AI328" s="2004"/>
      <c r="AJ328" s="2004"/>
      <c r="AK328" s="2004"/>
      <c r="AL328" s="2004"/>
      <c r="AM328" s="2004"/>
      <c r="AN328" s="2004"/>
      <c r="AO328" s="2004"/>
      <c r="AP328" s="2004"/>
      <c r="AQ328" s="2004"/>
      <c r="AR328" s="2004"/>
      <c r="AS328" s="2004"/>
      <c r="AT328" s="2004"/>
      <c r="AU328" s="2004"/>
      <c r="AV328" s="2004"/>
      <c r="AW328" s="2004"/>
      <c r="AX328" s="2004"/>
      <c r="AY328" s="2004"/>
      <c r="AZ328" s="2004"/>
      <c r="BA328" s="2004"/>
      <c r="BB328" s="2004"/>
      <c r="BC328" s="2004"/>
      <c r="BD328" s="2004"/>
      <c r="BE328" s="2004"/>
      <c r="BF328" s="2004"/>
      <c r="BG328" s="2004"/>
      <c r="BH328" s="2004"/>
      <c r="BI328" s="2004"/>
      <c r="BJ328" s="2004"/>
      <c r="BK328" s="2004"/>
      <c r="BL328" s="2004"/>
      <c r="BM328" s="2004"/>
      <c r="BN328" s="2004"/>
      <c r="BO328" s="2004"/>
      <c r="BP328" s="516">
        <v>5.75</v>
      </c>
      <c r="BQ328" s="690">
        <v>7.14</v>
      </c>
      <c r="BR328" s="2004" t="s">
        <v>9204</v>
      </c>
      <c r="BS328" s="2004" t="s">
        <v>9204</v>
      </c>
      <c r="BT328" s="2004">
        <v>0</v>
      </c>
      <c r="BU328" s="2004" t="s">
        <v>9204</v>
      </c>
      <c r="BV328" s="2004">
        <v>0</v>
      </c>
      <c r="BW328" s="2004">
        <v>5.61</v>
      </c>
      <c r="BX328" s="2004" t="s">
        <v>2335</v>
      </c>
      <c r="BY328" s="2004">
        <v>0</v>
      </c>
      <c r="BZ328" s="2004">
        <v>0</v>
      </c>
      <c r="CA328" s="2004">
        <v>0</v>
      </c>
      <c r="CB328" s="2004">
        <v>0</v>
      </c>
      <c r="CC328" s="2004">
        <v>8.9700000000000006</v>
      </c>
      <c r="CD328" s="2004" t="s">
        <v>2335</v>
      </c>
      <c r="CE328" s="2004">
        <v>0</v>
      </c>
      <c r="CF328" s="2004">
        <v>0</v>
      </c>
      <c r="CG328" s="2004">
        <v>0</v>
      </c>
      <c r="CH328" s="2004">
        <v>0</v>
      </c>
      <c r="CI328" s="2004">
        <v>9.476146685660094</v>
      </c>
      <c r="CJ328" s="2004" t="s">
        <v>2335</v>
      </c>
      <c r="CK328" s="2004">
        <v>0</v>
      </c>
      <c r="CL328" s="2004">
        <v>0</v>
      </c>
      <c r="CM328" s="2004">
        <v>0</v>
      </c>
      <c r="CN328" s="2004">
        <v>0</v>
      </c>
      <c r="CP328" s="2004" t="s">
        <v>11077</v>
      </c>
    </row>
    <row r="329" spans="1:94">
      <c r="A329" s="2004" t="s">
        <v>9066</v>
      </c>
      <c r="B329" s="2004" t="s">
        <v>11078</v>
      </c>
      <c r="C329" s="2004" t="s">
        <v>9047</v>
      </c>
      <c r="D329" s="2004" t="s">
        <v>1628</v>
      </c>
      <c r="E329" s="2004" t="s">
        <v>9194</v>
      </c>
      <c r="F329" s="2004" t="s">
        <v>11079</v>
      </c>
      <c r="G329" s="2004" t="s">
        <v>9369</v>
      </c>
      <c r="H329" s="2004" t="s">
        <v>11080</v>
      </c>
      <c r="I329" s="2004" t="s">
        <v>11081</v>
      </c>
      <c r="J329" s="2004" t="s">
        <v>9210</v>
      </c>
      <c r="K329" s="2004" t="s">
        <v>9545</v>
      </c>
      <c r="L329" s="2004"/>
      <c r="M329" s="2004"/>
      <c r="N329" s="2004" t="s">
        <v>9592</v>
      </c>
      <c r="O329" s="2004" t="s">
        <v>734</v>
      </c>
      <c r="P329" s="2004" t="s">
        <v>11082</v>
      </c>
      <c r="Q329" s="516">
        <v>1</v>
      </c>
      <c r="R329" s="2004" t="s">
        <v>9240</v>
      </c>
      <c r="S329" s="2004">
        <v>79</v>
      </c>
      <c r="T329" s="2004">
        <v>80.400000000000006</v>
      </c>
      <c r="U329" s="2004">
        <v>81.599999999999994</v>
      </c>
      <c r="V329" s="2004">
        <v>82.8</v>
      </c>
      <c r="W329" s="2004">
        <v>83.8</v>
      </c>
      <c r="X329" s="2004">
        <v>84.7</v>
      </c>
      <c r="Y329" s="2004"/>
      <c r="Z329" s="2004"/>
      <c r="AA329" s="2004"/>
      <c r="AB329" s="2004"/>
      <c r="AC329" s="2004"/>
      <c r="AD329" s="2004"/>
      <c r="AE329" s="2004"/>
      <c r="AF329" s="2004"/>
      <c r="AG329" s="2004"/>
      <c r="AH329" s="2004">
        <v>0</v>
      </c>
      <c r="AI329" s="2004" t="s">
        <v>2337</v>
      </c>
      <c r="AJ329" s="2004" t="s">
        <v>2337</v>
      </c>
      <c r="AK329" s="2004" t="s">
        <v>2337</v>
      </c>
      <c r="AL329" s="2004" t="s">
        <v>2337</v>
      </c>
      <c r="AM329" s="2004" t="s">
        <v>2337</v>
      </c>
      <c r="AN329" s="2004">
        <v>79</v>
      </c>
      <c r="AO329" s="2004">
        <v>79</v>
      </c>
      <c r="AP329" s="2004">
        <v>79</v>
      </c>
      <c r="AQ329" s="2004">
        <v>79</v>
      </c>
      <c r="AR329" s="2004">
        <v>79</v>
      </c>
      <c r="AS329" s="2004">
        <v>79.400000000000006</v>
      </c>
      <c r="AT329" s="2004">
        <v>80.599999999999994</v>
      </c>
      <c r="AU329" s="2004">
        <v>81.8</v>
      </c>
      <c r="AV329" s="2004">
        <v>82.8</v>
      </c>
      <c r="AW329" s="2004">
        <v>83.7</v>
      </c>
      <c r="AX329" s="2004"/>
      <c r="AY329" s="2004"/>
      <c r="AZ329" s="2004"/>
      <c r="BA329" s="2004"/>
      <c r="BB329" s="2004"/>
      <c r="BC329" s="2004"/>
      <c r="BD329" s="2004"/>
      <c r="BE329" s="2004"/>
      <c r="BF329" s="2004"/>
      <c r="BG329" s="2004"/>
      <c r="BH329" s="2004">
        <v>0.71199999999999997</v>
      </c>
      <c r="BI329" s="2004"/>
      <c r="BJ329" s="2004"/>
      <c r="BK329" s="2004"/>
      <c r="BL329" s="2004"/>
      <c r="BM329" s="2004"/>
      <c r="BN329" s="2004">
        <v>1</v>
      </c>
      <c r="BO329" s="2004" t="s">
        <v>9203</v>
      </c>
      <c r="BP329" s="516">
        <v>78.099999999999994</v>
      </c>
      <c r="BQ329" s="686">
        <v>79.099999999999994</v>
      </c>
      <c r="BR329" s="2004" t="s">
        <v>2334</v>
      </c>
      <c r="BS329" s="2004" t="s">
        <v>9204</v>
      </c>
      <c r="BT329" s="2004">
        <v>0</v>
      </c>
      <c r="BU329" s="2004" t="s">
        <v>9254</v>
      </c>
      <c r="BV329" s="2004">
        <v>-0.21360000000000001</v>
      </c>
      <c r="BW329" s="2004">
        <v>80.8</v>
      </c>
      <c r="BX329" s="2004" t="s">
        <v>2334</v>
      </c>
      <c r="BY329" s="2004">
        <v>0</v>
      </c>
      <c r="BZ329" s="2004">
        <v>0</v>
      </c>
      <c r="CA329" s="2004" t="s">
        <v>9120</v>
      </c>
      <c r="CB329" s="2004">
        <v>0</v>
      </c>
      <c r="CC329" s="2004">
        <v>81.8</v>
      </c>
      <c r="CD329" s="2004" t="s">
        <v>2334</v>
      </c>
      <c r="CE329" s="2004">
        <v>0</v>
      </c>
      <c r="CF329" s="2004">
        <v>0</v>
      </c>
      <c r="CG329" s="2004" t="s">
        <v>2340</v>
      </c>
      <c r="CH329" s="2004">
        <v>0</v>
      </c>
      <c r="CI329" s="2004">
        <v>82.763504392661929</v>
      </c>
      <c r="CJ329" s="2004" t="s">
        <v>2334</v>
      </c>
      <c r="CK329" s="2004">
        <v>0</v>
      </c>
      <c r="CL329" s="2004">
        <v>0</v>
      </c>
      <c r="CM329" s="2004" t="s">
        <v>2340</v>
      </c>
      <c r="CN329" s="2004">
        <v>0</v>
      </c>
      <c r="CP329" s="2004" t="s">
        <v>11083</v>
      </c>
    </row>
    <row r="330" spans="1:94">
      <c r="A330" s="2004" t="s">
        <v>9066</v>
      </c>
      <c r="B330" s="2004" t="s">
        <v>11084</v>
      </c>
      <c r="C330" s="2004" t="s">
        <v>9047</v>
      </c>
      <c r="D330" s="2004" t="s">
        <v>1629</v>
      </c>
      <c r="E330" s="2004" t="s">
        <v>9410</v>
      </c>
      <c r="F330" s="2004" t="s">
        <v>11085</v>
      </c>
      <c r="G330" s="2004" t="s">
        <v>9883</v>
      </c>
      <c r="H330" s="2004" t="s">
        <v>11086</v>
      </c>
      <c r="I330" s="2004" t="s">
        <v>11087</v>
      </c>
      <c r="J330" s="2004" t="s">
        <v>9199</v>
      </c>
      <c r="K330" s="2004" t="s">
        <v>9545</v>
      </c>
      <c r="L330" s="2004"/>
      <c r="M330" s="2004"/>
      <c r="N330" s="2004" t="s">
        <v>9414</v>
      </c>
      <c r="O330" s="2004" t="s">
        <v>766</v>
      </c>
      <c r="P330" s="2004" t="s">
        <v>10537</v>
      </c>
      <c r="Q330" s="516">
        <v>0</v>
      </c>
      <c r="R330" s="2004" t="s">
        <v>9202</v>
      </c>
      <c r="S330" s="2004">
        <v>157</v>
      </c>
      <c r="T330" s="2004">
        <v>153</v>
      </c>
      <c r="U330" s="2004">
        <v>148</v>
      </c>
      <c r="V330" s="2004">
        <v>144</v>
      </c>
      <c r="W330" s="2004">
        <v>139</v>
      </c>
      <c r="X330" s="2004">
        <v>135</v>
      </c>
      <c r="Y330" s="2004"/>
      <c r="Z330" s="2004"/>
      <c r="AA330" s="2004"/>
      <c r="AB330" s="2004"/>
      <c r="AC330" s="2004" t="s">
        <v>2337</v>
      </c>
      <c r="AD330" s="2004"/>
      <c r="AE330" s="2004" t="s">
        <v>2337</v>
      </c>
      <c r="AF330" s="2004"/>
      <c r="AG330" s="2004"/>
      <c r="AH330" s="2004">
        <v>0</v>
      </c>
      <c r="AI330" s="2004" t="s">
        <v>2337</v>
      </c>
      <c r="AJ330" s="2004" t="s">
        <v>2337</v>
      </c>
      <c r="AK330" s="2004" t="s">
        <v>2337</v>
      </c>
      <c r="AL330" s="2004" t="s">
        <v>2337</v>
      </c>
      <c r="AM330" s="2004" t="s">
        <v>2337</v>
      </c>
      <c r="AN330" s="2004">
        <v>212</v>
      </c>
      <c r="AO330" s="2004">
        <v>212</v>
      </c>
      <c r="AP330" s="2004">
        <v>212</v>
      </c>
      <c r="AQ330" s="2004">
        <v>212</v>
      </c>
      <c r="AR330" s="2004">
        <v>212</v>
      </c>
      <c r="AS330" s="2004">
        <v>193</v>
      </c>
      <c r="AT330" s="2004">
        <v>188</v>
      </c>
      <c r="AU330" s="2004">
        <v>184</v>
      </c>
      <c r="AV330" s="2004">
        <v>179</v>
      </c>
      <c r="AW330" s="2004">
        <v>175</v>
      </c>
      <c r="AX330" s="2004">
        <v>153</v>
      </c>
      <c r="AY330" s="2004">
        <v>148</v>
      </c>
      <c r="AZ330" s="2004">
        <v>144</v>
      </c>
      <c r="BA330" s="2004">
        <v>139</v>
      </c>
      <c r="BB330" s="2004">
        <v>135</v>
      </c>
      <c r="BC330" s="2004">
        <v>107</v>
      </c>
      <c r="BD330" s="2004">
        <v>107</v>
      </c>
      <c r="BE330" s="2004">
        <v>107</v>
      </c>
      <c r="BF330" s="2004">
        <v>107</v>
      </c>
      <c r="BG330" s="2004">
        <v>107</v>
      </c>
      <c r="BH330" s="2004">
        <v>8.8999999999999996E-2</v>
      </c>
      <c r="BI330" s="2004"/>
      <c r="BJ330" s="2004"/>
      <c r="BK330" s="2004"/>
      <c r="BL330" s="2004">
        <v>6.8000000000000005E-2</v>
      </c>
      <c r="BM330" s="2004"/>
      <c r="BN330" s="2004">
        <v>1</v>
      </c>
      <c r="BO330" s="2004" t="s">
        <v>9203</v>
      </c>
      <c r="BP330" s="516">
        <v>182</v>
      </c>
      <c r="BQ330" s="689">
        <v>189</v>
      </c>
      <c r="BR330" s="2004" t="s">
        <v>2334</v>
      </c>
      <c r="BS330" s="2004" t="s">
        <v>9204</v>
      </c>
      <c r="BT330" s="2004">
        <v>0</v>
      </c>
      <c r="BU330" s="2004" t="s">
        <v>9120</v>
      </c>
      <c r="BV330" s="2004">
        <v>0</v>
      </c>
      <c r="BW330" s="2004">
        <v>165</v>
      </c>
      <c r="BX330" s="2004" t="s">
        <v>2334</v>
      </c>
      <c r="BY330" s="2004">
        <v>0</v>
      </c>
      <c r="BZ330" s="2004">
        <v>0</v>
      </c>
      <c r="CA330" s="2004" t="s">
        <v>9120</v>
      </c>
      <c r="CB330" s="2004">
        <v>0</v>
      </c>
      <c r="CC330" s="2004">
        <v>141</v>
      </c>
      <c r="CD330" s="2004" t="s">
        <v>2337</v>
      </c>
      <c r="CE330" s="2004">
        <v>0</v>
      </c>
      <c r="CF330" s="2004">
        <v>0</v>
      </c>
      <c r="CG330" s="2004" t="s">
        <v>2339</v>
      </c>
      <c r="CH330" s="2004">
        <v>0.20399999999999999</v>
      </c>
      <c r="CI330" s="2004">
        <v>93</v>
      </c>
      <c r="CJ330" s="2004" t="s">
        <v>2337</v>
      </c>
      <c r="CK330" s="2004">
        <v>0</v>
      </c>
      <c r="CL330" s="2004">
        <v>0</v>
      </c>
      <c r="CM330" s="2004" t="s">
        <v>2339</v>
      </c>
      <c r="CN330" s="2004">
        <v>2.1760000000000002</v>
      </c>
      <c r="CP330" s="2004" t="s">
        <v>11088</v>
      </c>
    </row>
    <row r="331" spans="1:94">
      <c r="A331" s="2004" t="s">
        <v>9066</v>
      </c>
      <c r="B331" s="2004" t="s">
        <v>11089</v>
      </c>
      <c r="C331" s="2004" t="s">
        <v>9047</v>
      </c>
      <c r="D331" s="2004" t="s">
        <v>1629</v>
      </c>
      <c r="E331" s="2004" t="s">
        <v>9410</v>
      </c>
      <c r="F331" s="2004" t="s">
        <v>11085</v>
      </c>
      <c r="G331" s="2004" t="s">
        <v>9411</v>
      </c>
      <c r="H331" s="2004" t="s">
        <v>11090</v>
      </c>
      <c r="I331" s="2004" t="s">
        <v>11091</v>
      </c>
      <c r="J331" s="2004" t="s">
        <v>9199</v>
      </c>
      <c r="K331" s="2004" t="s">
        <v>9545</v>
      </c>
      <c r="L331" s="2004"/>
      <c r="M331" s="2004"/>
      <c r="N331" s="2004" t="s">
        <v>9414</v>
      </c>
      <c r="O331" s="2004" t="s">
        <v>766</v>
      </c>
      <c r="P331" s="2004" t="s">
        <v>10542</v>
      </c>
      <c r="Q331" s="516">
        <v>0</v>
      </c>
      <c r="R331" s="2004" t="s">
        <v>9202</v>
      </c>
      <c r="S331" s="2004">
        <v>3500</v>
      </c>
      <c r="T331" s="2004">
        <v>3440</v>
      </c>
      <c r="U331" s="2004">
        <v>3380</v>
      </c>
      <c r="V331" s="2004">
        <v>3320</v>
      </c>
      <c r="W331" s="2004">
        <v>3260</v>
      </c>
      <c r="X331" s="2004">
        <v>3200</v>
      </c>
      <c r="Y331" s="2004"/>
      <c r="Z331" s="2004"/>
      <c r="AA331" s="2004"/>
      <c r="AB331" s="2004"/>
      <c r="AC331" s="2004"/>
      <c r="AD331" s="2004"/>
      <c r="AE331" s="2004" t="s">
        <v>2337</v>
      </c>
      <c r="AF331" s="2004"/>
      <c r="AG331" s="2004"/>
      <c r="AH331" s="2004">
        <v>0</v>
      </c>
      <c r="AI331" s="2004" t="s">
        <v>2337</v>
      </c>
      <c r="AJ331" s="2004" t="s">
        <v>2337</v>
      </c>
      <c r="AK331" s="2004" t="s">
        <v>2337</v>
      </c>
      <c r="AL331" s="2004" t="s">
        <v>2337</v>
      </c>
      <c r="AM331" s="2004" t="s">
        <v>2337</v>
      </c>
      <c r="AN331" s="2004">
        <v>3800</v>
      </c>
      <c r="AO331" s="2004">
        <v>3800</v>
      </c>
      <c r="AP331" s="2004">
        <v>3800</v>
      </c>
      <c r="AQ331" s="2004">
        <v>3800</v>
      </c>
      <c r="AR331" s="2004">
        <v>3800</v>
      </c>
      <c r="AS331" s="2004">
        <v>3490</v>
      </c>
      <c r="AT331" s="2004">
        <v>3430</v>
      </c>
      <c r="AU331" s="2004">
        <v>3370</v>
      </c>
      <c r="AV331" s="2004">
        <v>3310</v>
      </c>
      <c r="AW331" s="2004">
        <v>3250</v>
      </c>
      <c r="AX331" s="2004">
        <v>3390</v>
      </c>
      <c r="AY331" s="2004">
        <v>3330</v>
      </c>
      <c r="AZ331" s="2004">
        <v>3270</v>
      </c>
      <c r="BA331" s="2004">
        <v>3210</v>
      </c>
      <c r="BB331" s="2004">
        <v>3150</v>
      </c>
      <c r="BC331" s="2004">
        <v>3150</v>
      </c>
      <c r="BD331" s="2004">
        <v>3150</v>
      </c>
      <c r="BE331" s="2004">
        <v>3150</v>
      </c>
      <c r="BF331" s="2004">
        <v>3150</v>
      </c>
      <c r="BG331" s="2004">
        <v>3150</v>
      </c>
      <c r="BH331" s="2004">
        <v>1E-3</v>
      </c>
      <c r="BI331" s="2004">
        <v>4.0000000000000001E-3</v>
      </c>
      <c r="BJ331" s="2004"/>
      <c r="BK331" s="2004"/>
      <c r="BL331" s="2004">
        <v>2.3E-3</v>
      </c>
      <c r="BM331" s="2004"/>
      <c r="BN331" s="2004">
        <v>1</v>
      </c>
      <c r="BO331" s="2004" t="s">
        <v>9203</v>
      </c>
      <c r="BP331" s="516">
        <v>3179</v>
      </c>
      <c r="BQ331" s="689">
        <v>3702</v>
      </c>
      <c r="BR331" s="2004" t="s">
        <v>2334</v>
      </c>
      <c r="BS331" s="2004" t="s">
        <v>9204</v>
      </c>
      <c r="BT331" s="2004">
        <v>0</v>
      </c>
      <c r="BU331" s="2004" t="s">
        <v>9254</v>
      </c>
      <c r="BV331" s="2004">
        <v>-0.24199999999999999</v>
      </c>
      <c r="BW331" s="2004">
        <v>3504</v>
      </c>
      <c r="BX331" s="2004" t="s">
        <v>2334</v>
      </c>
      <c r="BY331" s="2004">
        <v>0</v>
      </c>
      <c r="BZ331" s="2004">
        <v>0</v>
      </c>
      <c r="CA331" s="2004" t="s">
        <v>9254</v>
      </c>
      <c r="CB331" s="2004">
        <v>-0.28399999999999997</v>
      </c>
      <c r="CC331" s="2004">
        <v>2924</v>
      </c>
      <c r="CD331" s="2004" t="s">
        <v>2337</v>
      </c>
      <c r="CE331" s="2004">
        <v>0</v>
      </c>
      <c r="CF331" s="2004">
        <v>0</v>
      </c>
      <c r="CG331" s="2004" t="s">
        <v>2339</v>
      </c>
      <c r="CH331" s="2004">
        <v>0.27600000000000002</v>
      </c>
      <c r="CI331" s="2004">
        <v>2938</v>
      </c>
      <c r="CJ331" s="2004" t="s">
        <v>2337</v>
      </c>
      <c r="CK331" s="2004">
        <v>0</v>
      </c>
      <c r="CL331" s="2004">
        <v>0</v>
      </c>
      <c r="CM331" s="2004" t="s">
        <v>2339</v>
      </c>
      <c r="CN331" s="2004">
        <v>0.13800000000000001</v>
      </c>
      <c r="CP331" s="2004" t="s">
        <v>11092</v>
      </c>
    </row>
    <row r="332" spans="1:94">
      <c r="A332" s="2004" t="s">
        <v>9066</v>
      </c>
      <c r="B332" s="2004" t="s">
        <v>11093</v>
      </c>
      <c r="C332" s="2004" t="s">
        <v>9047</v>
      </c>
      <c r="D332" s="2004" t="s">
        <v>1629</v>
      </c>
      <c r="E332" s="2004" t="s">
        <v>9410</v>
      </c>
      <c r="F332" s="2004" t="s">
        <v>11085</v>
      </c>
      <c r="G332" s="2004" t="s">
        <v>9418</v>
      </c>
      <c r="H332" s="2004" t="s">
        <v>11094</v>
      </c>
      <c r="I332" s="2004" t="s">
        <v>11095</v>
      </c>
      <c r="J332" s="2004" t="s">
        <v>9199</v>
      </c>
      <c r="K332" s="2004" t="s">
        <v>9545</v>
      </c>
      <c r="L332" s="2004"/>
      <c r="M332" s="2004"/>
      <c r="N332" s="2004" t="s">
        <v>10552</v>
      </c>
      <c r="O332" s="2004" t="s">
        <v>766</v>
      </c>
      <c r="P332" s="2004" t="s">
        <v>11096</v>
      </c>
      <c r="Q332" s="516">
        <v>0</v>
      </c>
      <c r="R332" s="2004" t="s">
        <v>9202</v>
      </c>
      <c r="S332" s="2004">
        <v>410</v>
      </c>
      <c r="T332" s="2004">
        <v>388</v>
      </c>
      <c r="U332" s="2004">
        <v>366</v>
      </c>
      <c r="V332" s="2004">
        <v>344</v>
      </c>
      <c r="W332" s="2004">
        <v>322</v>
      </c>
      <c r="X332" s="2004">
        <v>300</v>
      </c>
      <c r="Y332" s="2004"/>
      <c r="Z332" s="2004"/>
      <c r="AA332" s="2004"/>
      <c r="AB332" s="2004"/>
      <c r="AC332" s="2004"/>
      <c r="AD332" s="2004"/>
      <c r="AE332" s="2004" t="s">
        <v>2337</v>
      </c>
      <c r="AF332" s="2004"/>
      <c r="AG332" s="2004"/>
      <c r="AH332" s="2004">
        <v>0</v>
      </c>
      <c r="AI332" s="2004" t="s">
        <v>2337</v>
      </c>
      <c r="AJ332" s="2004" t="s">
        <v>2337</v>
      </c>
      <c r="AK332" s="2004" t="s">
        <v>2337</v>
      </c>
      <c r="AL332" s="2004" t="s">
        <v>2337</v>
      </c>
      <c r="AM332" s="2004" t="s">
        <v>2337</v>
      </c>
      <c r="AN332" s="2004">
        <v>500</v>
      </c>
      <c r="AO332" s="2004">
        <v>500</v>
      </c>
      <c r="AP332" s="2004">
        <v>500</v>
      </c>
      <c r="AQ332" s="2004">
        <v>500</v>
      </c>
      <c r="AR332" s="2004">
        <v>500</v>
      </c>
      <c r="AS332" s="2004">
        <v>388</v>
      </c>
      <c r="AT332" s="2004">
        <v>366</v>
      </c>
      <c r="AU332" s="2004">
        <v>344</v>
      </c>
      <c r="AV332" s="2004">
        <v>322</v>
      </c>
      <c r="AW332" s="2004">
        <v>300</v>
      </c>
      <c r="AX332" s="2004">
        <v>388</v>
      </c>
      <c r="AY332" s="2004">
        <v>366</v>
      </c>
      <c r="AZ332" s="2004">
        <v>344</v>
      </c>
      <c r="BA332" s="2004">
        <v>322</v>
      </c>
      <c r="BB332" s="2004">
        <v>300</v>
      </c>
      <c r="BC332" s="2004">
        <v>0</v>
      </c>
      <c r="BD332" s="2004">
        <v>0</v>
      </c>
      <c r="BE332" s="2004">
        <v>0</v>
      </c>
      <c r="BF332" s="2004">
        <v>0</v>
      </c>
      <c r="BG332" s="2004">
        <v>0</v>
      </c>
      <c r="BH332" s="2004">
        <v>5.3E-3</v>
      </c>
      <c r="BI332" s="2004">
        <v>3.5999999999999999E-3</v>
      </c>
      <c r="BJ332" s="2004"/>
      <c r="BK332" s="2004"/>
      <c r="BL332" s="2004">
        <v>2.2000000000000001E-3</v>
      </c>
      <c r="BM332" s="2004"/>
      <c r="BN332" s="2004">
        <v>1</v>
      </c>
      <c r="BO332" s="2004" t="s">
        <v>9203</v>
      </c>
      <c r="BP332" s="516">
        <v>333</v>
      </c>
      <c r="BQ332" s="689">
        <v>230</v>
      </c>
      <c r="BR332" s="2004" t="s">
        <v>2337</v>
      </c>
      <c r="BS332" s="2004" t="s">
        <v>9204</v>
      </c>
      <c r="BT332" s="2004">
        <v>0</v>
      </c>
      <c r="BU332" s="2004" t="s">
        <v>2339</v>
      </c>
      <c r="BV332" s="2004">
        <v>0.34760000000000002</v>
      </c>
      <c r="BW332" s="2004">
        <v>278</v>
      </c>
      <c r="BX332" s="2004" t="s">
        <v>2337</v>
      </c>
      <c r="BY332" s="2004">
        <v>0</v>
      </c>
      <c r="BZ332" s="2004">
        <v>0</v>
      </c>
      <c r="CA332" s="2004" t="s">
        <v>2339</v>
      </c>
      <c r="CB332" s="2004">
        <v>0.19359999999999999</v>
      </c>
      <c r="CC332" s="2004">
        <v>242</v>
      </c>
      <c r="CD332" s="2004" t="s">
        <v>2337</v>
      </c>
      <c r="CE332" s="2004">
        <v>0</v>
      </c>
      <c r="CF332" s="2004">
        <v>0</v>
      </c>
      <c r="CG332" s="2004" t="s">
        <v>2339</v>
      </c>
      <c r="CH332" s="2004">
        <v>0.22439999999999999</v>
      </c>
      <c r="CI332" s="2004">
        <v>335</v>
      </c>
      <c r="CJ332" s="2004" t="s">
        <v>2334</v>
      </c>
      <c r="CK332" s="2004">
        <v>0</v>
      </c>
      <c r="CL332" s="2004">
        <v>0</v>
      </c>
      <c r="CM332" s="2004" t="s">
        <v>2336</v>
      </c>
      <c r="CN332" s="2004">
        <v>-4.6800000000000001E-2</v>
      </c>
      <c r="CP332" s="2004" t="s">
        <v>11097</v>
      </c>
    </row>
    <row r="333" spans="1:94">
      <c r="A333" s="2004" t="s">
        <v>9066</v>
      </c>
      <c r="B333" s="2004" t="s">
        <v>11098</v>
      </c>
      <c r="C333" s="2004" t="s">
        <v>9047</v>
      </c>
      <c r="D333" s="2004" t="s">
        <v>1629</v>
      </c>
      <c r="E333" s="2004" t="s">
        <v>9410</v>
      </c>
      <c r="F333" s="2004" t="s">
        <v>11085</v>
      </c>
      <c r="G333" s="2004" t="s">
        <v>9424</v>
      </c>
      <c r="H333" s="2004" t="s">
        <v>11099</v>
      </c>
      <c r="I333" s="2004" t="s">
        <v>11100</v>
      </c>
      <c r="J333" s="2004" t="s">
        <v>9210</v>
      </c>
      <c r="K333" s="2004" t="s">
        <v>9545</v>
      </c>
      <c r="L333" s="2004"/>
      <c r="M333" s="2004" t="s">
        <v>2334</v>
      </c>
      <c r="N333" s="2004" t="s">
        <v>9477</v>
      </c>
      <c r="O333" s="2004" t="s">
        <v>9395</v>
      </c>
      <c r="P333" s="2004" t="s">
        <v>9546</v>
      </c>
      <c r="Q333" s="516" t="s">
        <v>9203</v>
      </c>
      <c r="R333" s="2004"/>
      <c r="S333" s="2004" t="s">
        <v>2338</v>
      </c>
      <c r="T333" s="2004" t="s">
        <v>2338</v>
      </c>
      <c r="U333" s="2004" t="s">
        <v>2338</v>
      </c>
      <c r="V333" s="2004" t="s">
        <v>2338</v>
      </c>
      <c r="W333" s="2004" t="s">
        <v>2338</v>
      </c>
      <c r="X333" s="2004" t="s">
        <v>2338</v>
      </c>
      <c r="Y333" s="2004"/>
      <c r="Z333" s="2004"/>
      <c r="AA333" s="2004"/>
      <c r="AB333" s="2004"/>
      <c r="AC333" s="2004"/>
      <c r="AD333" s="2004"/>
      <c r="AE333" s="2004" t="s">
        <v>2337</v>
      </c>
      <c r="AF333" s="2004"/>
      <c r="AG333" s="2004"/>
      <c r="AH333" s="2004">
        <v>6</v>
      </c>
      <c r="AI333" s="2004" t="s">
        <v>2337</v>
      </c>
      <c r="AJ333" s="2004" t="s">
        <v>2337</v>
      </c>
      <c r="AK333" s="2004" t="s">
        <v>2337</v>
      </c>
      <c r="AL333" s="2004" t="s">
        <v>2337</v>
      </c>
      <c r="AM333" s="2004" t="s">
        <v>2337</v>
      </c>
      <c r="AN333" s="2004" t="s">
        <v>9547</v>
      </c>
      <c r="AO333" s="2004" t="s">
        <v>9547</v>
      </c>
      <c r="AP333" s="2004" t="s">
        <v>9547</v>
      </c>
      <c r="AQ333" s="2004" t="s">
        <v>9547</v>
      </c>
      <c r="AR333" s="2004" t="s">
        <v>9547</v>
      </c>
      <c r="AS333" s="2004" t="s">
        <v>9548</v>
      </c>
      <c r="AT333" s="2004" t="s">
        <v>9548</v>
      </c>
      <c r="AU333" s="2004" t="s">
        <v>9548</v>
      </c>
      <c r="AV333" s="2004" t="s">
        <v>9548</v>
      </c>
      <c r="AW333" s="2004" t="s">
        <v>9548</v>
      </c>
      <c r="AX333" s="2004"/>
      <c r="AY333" s="2004"/>
      <c r="AZ333" s="2004"/>
      <c r="BA333" s="2004"/>
      <c r="BB333" s="2004"/>
      <c r="BC333" s="2004"/>
      <c r="BD333" s="2004"/>
      <c r="BE333" s="2004"/>
      <c r="BF333" s="2004"/>
      <c r="BG333" s="2004"/>
      <c r="BH333" s="2004">
        <v>0.68799999999999994</v>
      </c>
      <c r="BI333" s="2004"/>
      <c r="BJ333" s="2004"/>
      <c r="BK333" s="2004"/>
      <c r="BL333" s="2004"/>
      <c r="BM333" s="2004"/>
      <c r="BN333" s="2004">
        <v>1</v>
      </c>
      <c r="BO333" s="2004" t="s">
        <v>9203</v>
      </c>
      <c r="BP333" s="516" t="s">
        <v>2338</v>
      </c>
      <c r="BQ333" s="701" t="s">
        <v>2338</v>
      </c>
      <c r="BR333" s="2004" t="s">
        <v>2337</v>
      </c>
      <c r="BS333" s="2004" t="s">
        <v>9204</v>
      </c>
      <c r="BT333" s="2004">
        <v>0</v>
      </c>
      <c r="BU333" s="2004" t="s">
        <v>9204</v>
      </c>
      <c r="BV333" s="2004">
        <v>0</v>
      </c>
      <c r="BW333" s="2004" t="s">
        <v>2338</v>
      </c>
      <c r="BX333" s="2004" t="s">
        <v>2337</v>
      </c>
      <c r="BY333" s="2004">
        <v>0</v>
      </c>
      <c r="BZ333" s="2004">
        <v>0</v>
      </c>
      <c r="CA333" s="2004">
        <v>0</v>
      </c>
      <c r="CB333" s="2004">
        <v>0</v>
      </c>
      <c r="CC333" s="2004" t="s">
        <v>2338</v>
      </c>
      <c r="CD333" s="2004" t="s">
        <v>2337</v>
      </c>
      <c r="CE333" s="2004">
        <v>0</v>
      </c>
      <c r="CF333" s="2004">
        <v>0</v>
      </c>
      <c r="CG333" s="2004">
        <v>0</v>
      </c>
      <c r="CH333" s="2004">
        <v>0</v>
      </c>
      <c r="CI333" s="2004" t="s">
        <v>2338</v>
      </c>
      <c r="CJ333" s="2004" t="s">
        <v>2337</v>
      </c>
      <c r="CK333" s="2004">
        <v>0</v>
      </c>
      <c r="CL333" s="2004">
        <v>0</v>
      </c>
      <c r="CM333" s="2004">
        <v>0</v>
      </c>
      <c r="CN333" s="2004">
        <v>0</v>
      </c>
      <c r="CP333" s="2004" t="s">
        <v>11101</v>
      </c>
    </row>
    <row r="334" spans="1:94">
      <c r="A334" s="2004" t="s">
        <v>9066</v>
      </c>
      <c r="B334" s="2004" t="s">
        <v>11102</v>
      </c>
      <c r="C334" s="2004" t="s">
        <v>9047</v>
      </c>
      <c r="D334" s="2004" t="s">
        <v>1629</v>
      </c>
      <c r="E334" s="2004" t="s">
        <v>9410</v>
      </c>
      <c r="F334" s="2004" t="s">
        <v>11085</v>
      </c>
      <c r="G334" s="2004" t="s">
        <v>10889</v>
      </c>
      <c r="H334" s="2004" t="s">
        <v>11103</v>
      </c>
      <c r="I334" s="2004" t="s">
        <v>11104</v>
      </c>
      <c r="J334" s="2004" t="s">
        <v>9210</v>
      </c>
      <c r="K334" s="2004" t="s">
        <v>9545</v>
      </c>
      <c r="L334" s="2004"/>
      <c r="M334" s="2004" t="s">
        <v>2334</v>
      </c>
      <c r="N334" s="2004" t="s">
        <v>9477</v>
      </c>
      <c r="O334" s="2004" t="s">
        <v>9395</v>
      </c>
      <c r="P334" s="2004" t="s">
        <v>9546</v>
      </c>
      <c r="Q334" s="516" t="s">
        <v>9203</v>
      </c>
      <c r="R334" s="2004"/>
      <c r="S334" s="2004" t="s">
        <v>2338</v>
      </c>
      <c r="T334" s="2004" t="s">
        <v>2338</v>
      </c>
      <c r="U334" s="2004" t="s">
        <v>2338</v>
      </c>
      <c r="V334" s="2004" t="s">
        <v>2338</v>
      </c>
      <c r="W334" s="2004" t="s">
        <v>2338</v>
      </c>
      <c r="X334" s="2004" t="s">
        <v>2338</v>
      </c>
      <c r="Y334" s="2004"/>
      <c r="Z334" s="2004"/>
      <c r="AA334" s="2004"/>
      <c r="AB334" s="2004"/>
      <c r="AC334" s="2004"/>
      <c r="AD334" s="2004"/>
      <c r="AE334" s="2004" t="s">
        <v>2337</v>
      </c>
      <c r="AF334" s="2004"/>
      <c r="AG334" s="2004"/>
      <c r="AH334" s="2004">
        <v>3</v>
      </c>
      <c r="AI334" s="2004" t="s">
        <v>2337</v>
      </c>
      <c r="AJ334" s="2004" t="s">
        <v>2337</v>
      </c>
      <c r="AK334" s="2004" t="s">
        <v>2337</v>
      </c>
      <c r="AL334" s="2004" t="s">
        <v>2337</v>
      </c>
      <c r="AM334" s="2004" t="s">
        <v>2337</v>
      </c>
      <c r="AN334" s="2004" t="s">
        <v>9547</v>
      </c>
      <c r="AO334" s="2004" t="s">
        <v>9547</v>
      </c>
      <c r="AP334" s="2004" t="s">
        <v>9547</v>
      </c>
      <c r="AQ334" s="2004" t="s">
        <v>9547</v>
      </c>
      <c r="AR334" s="2004" t="s">
        <v>9547</v>
      </c>
      <c r="AS334" s="2004" t="s">
        <v>9548</v>
      </c>
      <c r="AT334" s="2004" t="s">
        <v>9548</v>
      </c>
      <c r="AU334" s="2004" t="s">
        <v>9548</v>
      </c>
      <c r="AV334" s="2004" t="s">
        <v>9548</v>
      </c>
      <c r="AW334" s="2004" t="s">
        <v>9548</v>
      </c>
      <c r="AX334" s="2004"/>
      <c r="AY334" s="2004"/>
      <c r="AZ334" s="2004"/>
      <c r="BA334" s="2004"/>
      <c r="BB334" s="2004"/>
      <c r="BC334" s="2004"/>
      <c r="BD334" s="2004"/>
      <c r="BE334" s="2004"/>
      <c r="BF334" s="2004"/>
      <c r="BG334" s="2004"/>
      <c r="BH334" s="2004">
        <v>1.359</v>
      </c>
      <c r="BI334" s="2004"/>
      <c r="BJ334" s="2004"/>
      <c r="BK334" s="2004"/>
      <c r="BL334" s="2004"/>
      <c r="BM334" s="2004"/>
      <c r="BN334" s="2004">
        <v>1</v>
      </c>
      <c r="BO334" s="2004" t="s">
        <v>9203</v>
      </c>
      <c r="BP334" s="516" t="s">
        <v>2338</v>
      </c>
      <c r="BQ334" s="701" t="s">
        <v>2338</v>
      </c>
      <c r="BR334" s="2004" t="s">
        <v>2337</v>
      </c>
      <c r="BS334" s="2004" t="s">
        <v>9204</v>
      </c>
      <c r="BT334" s="2004">
        <v>0</v>
      </c>
      <c r="BU334" s="2004" t="s">
        <v>9204</v>
      </c>
      <c r="BV334" s="2004">
        <v>0</v>
      </c>
      <c r="BW334" s="2004" t="s">
        <v>2338</v>
      </c>
      <c r="BX334" s="2004" t="s">
        <v>2337</v>
      </c>
      <c r="BY334" s="2004">
        <v>0</v>
      </c>
      <c r="BZ334" s="2004">
        <v>0</v>
      </c>
      <c r="CA334" s="2004">
        <v>0</v>
      </c>
      <c r="CB334" s="2004">
        <v>0</v>
      </c>
      <c r="CC334" s="2004" t="s">
        <v>2338</v>
      </c>
      <c r="CD334" s="2004" t="s">
        <v>2337</v>
      </c>
      <c r="CE334" s="2004">
        <v>0</v>
      </c>
      <c r="CF334" s="2004">
        <v>0</v>
      </c>
      <c r="CG334" s="2004">
        <v>0</v>
      </c>
      <c r="CH334" s="2004">
        <v>0</v>
      </c>
      <c r="CI334" s="2004" t="s">
        <v>2338</v>
      </c>
      <c r="CJ334" s="2004" t="s">
        <v>2337</v>
      </c>
      <c r="CK334" s="2004">
        <v>0</v>
      </c>
      <c r="CL334" s="2004">
        <v>0</v>
      </c>
      <c r="CM334" s="2004">
        <v>0</v>
      </c>
      <c r="CN334" s="2004">
        <v>0</v>
      </c>
      <c r="CP334" s="2004" t="s">
        <v>11105</v>
      </c>
    </row>
    <row r="335" spans="1:94">
      <c r="A335" s="2004" t="s">
        <v>9066</v>
      </c>
      <c r="B335" s="2004" t="s">
        <v>11106</v>
      </c>
      <c r="C335" s="2004" t="s">
        <v>9047</v>
      </c>
      <c r="D335" s="2004" t="s">
        <v>1629</v>
      </c>
      <c r="E335" s="2004" t="s">
        <v>9410</v>
      </c>
      <c r="F335" s="2004" t="s">
        <v>11085</v>
      </c>
      <c r="G335" s="2004" t="s">
        <v>11107</v>
      </c>
      <c r="H335" s="2004" t="s">
        <v>11108</v>
      </c>
      <c r="I335" s="2004" t="s">
        <v>11109</v>
      </c>
      <c r="J335" s="2004" t="s">
        <v>9230</v>
      </c>
      <c r="K335" s="2004"/>
      <c r="L335" s="2004"/>
      <c r="M335" s="2004"/>
      <c r="N335" s="2004" t="s">
        <v>911</v>
      </c>
      <c r="O335" s="2004" t="s">
        <v>734</v>
      </c>
      <c r="P335" s="2004" t="s">
        <v>11110</v>
      </c>
      <c r="Q335" s="516">
        <v>2</v>
      </c>
      <c r="R335" s="2004" t="s">
        <v>9240</v>
      </c>
      <c r="S335" s="2004">
        <v>100</v>
      </c>
      <c r="T335" s="2004">
        <v>100</v>
      </c>
      <c r="U335" s="2004">
        <v>100</v>
      </c>
      <c r="V335" s="2004">
        <v>100</v>
      </c>
      <c r="W335" s="2004">
        <v>100</v>
      </c>
      <c r="X335" s="2004">
        <v>100</v>
      </c>
      <c r="Y335" s="2004"/>
      <c r="Z335" s="2004"/>
      <c r="AA335" s="2004"/>
      <c r="AB335" s="2004"/>
      <c r="AC335" s="2004"/>
      <c r="AD335" s="2004"/>
      <c r="AE335" s="2004"/>
      <c r="AF335" s="2004"/>
      <c r="AG335" s="2004"/>
      <c r="AH335" s="2004">
        <v>0</v>
      </c>
      <c r="AI335" s="2004"/>
      <c r="AJ335" s="2004"/>
      <c r="AK335" s="2004"/>
      <c r="AL335" s="2004"/>
      <c r="AM335" s="2004"/>
      <c r="AN335" s="2004"/>
      <c r="AO335" s="2004"/>
      <c r="AP335" s="2004"/>
      <c r="AQ335" s="2004"/>
      <c r="AR335" s="2004"/>
      <c r="AS335" s="2004"/>
      <c r="AT335" s="2004"/>
      <c r="AU335" s="2004"/>
      <c r="AV335" s="2004"/>
      <c r="AW335" s="2004"/>
      <c r="AX335" s="2004"/>
      <c r="AY335" s="2004"/>
      <c r="AZ335" s="2004"/>
      <c r="BA335" s="2004"/>
      <c r="BB335" s="2004"/>
      <c r="BC335" s="2004"/>
      <c r="BD335" s="2004"/>
      <c r="BE335" s="2004"/>
      <c r="BF335" s="2004"/>
      <c r="BG335" s="2004"/>
      <c r="BH335" s="2004"/>
      <c r="BI335" s="2004"/>
      <c r="BJ335" s="2004"/>
      <c r="BK335" s="2004"/>
      <c r="BL335" s="2004"/>
      <c r="BM335" s="2004"/>
      <c r="BN335" s="2004"/>
      <c r="BO335" s="2004"/>
      <c r="BP335" s="516">
        <v>100</v>
      </c>
      <c r="BQ335" s="689">
        <v>99.94</v>
      </c>
      <c r="BR335" s="2004" t="s">
        <v>2334</v>
      </c>
      <c r="BS335" s="2004" t="s">
        <v>9204</v>
      </c>
      <c r="BT335" s="2004">
        <v>0</v>
      </c>
      <c r="BU335" s="2004" t="s">
        <v>9204</v>
      </c>
      <c r="BV335" s="2004">
        <v>0</v>
      </c>
      <c r="BW335" s="2004">
        <v>100</v>
      </c>
      <c r="BX335" s="2004" t="s">
        <v>2337</v>
      </c>
      <c r="BY335" s="2004">
        <v>0</v>
      </c>
      <c r="BZ335" s="2004">
        <v>0</v>
      </c>
      <c r="CA335" s="2004">
        <v>0</v>
      </c>
      <c r="CB335" s="2004">
        <v>0</v>
      </c>
      <c r="CC335" s="2004">
        <v>100</v>
      </c>
      <c r="CD335" s="2004" t="s">
        <v>2337</v>
      </c>
      <c r="CE335" s="2004">
        <v>0</v>
      </c>
      <c r="CF335" s="2004">
        <v>0</v>
      </c>
      <c r="CG335" s="2004">
        <v>0</v>
      </c>
      <c r="CH335" s="2004">
        <v>0</v>
      </c>
      <c r="CI335" s="2004">
        <v>98.7</v>
      </c>
      <c r="CJ335" s="2004" t="s">
        <v>2334</v>
      </c>
      <c r="CK335" s="2004">
        <v>0</v>
      </c>
      <c r="CL335" s="2004">
        <v>0</v>
      </c>
      <c r="CM335" s="2004">
        <v>0</v>
      </c>
      <c r="CN335" s="2004">
        <v>0</v>
      </c>
      <c r="CP335" s="2004" t="s">
        <v>11111</v>
      </c>
    </row>
    <row r="336" spans="1:94">
      <c r="A336" s="2004" t="s">
        <v>9066</v>
      </c>
      <c r="B336" s="2004" t="s">
        <v>11112</v>
      </c>
      <c r="C336" s="2004" t="s">
        <v>9047</v>
      </c>
      <c r="D336" s="2004" t="s">
        <v>1629</v>
      </c>
      <c r="E336" s="2004" t="s">
        <v>9410</v>
      </c>
      <c r="F336" s="2004" t="s">
        <v>11027</v>
      </c>
      <c r="G336" s="2004" t="s">
        <v>9431</v>
      </c>
      <c r="H336" s="2004" t="s">
        <v>11113</v>
      </c>
      <c r="I336" s="2004" t="s">
        <v>11114</v>
      </c>
      <c r="J336" s="2004" t="s">
        <v>9199</v>
      </c>
      <c r="K336" s="2004" t="s">
        <v>9200</v>
      </c>
      <c r="L336" s="2004" t="s">
        <v>2337</v>
      </c>
      <c r="M336" s="2004"/>
      <c r="N336" s="2004" t="s">
        <v>9386</v>
      </c>
      <c r="O336" s="2004" t="s">
        <v>734</v>
      </c>
      <c r="P336" s="2004" t="s">
        <v>10610</v>
      </c>
      <c r="Q336" s="516">
        <v>1</v>
      </c>
      <c r="R336" s="2004" t="s">
        <v>9240</v>
      </c>
      <c r="S336" s="2004">
        <v>90</v>
      </c>
      <c r="T336" s="2004">
        <v>91</v>
      </c>
      <c r="U336" s="2004">
        <v>92</v>
      </c>
      <c r="V336" s="2004">
        <v>93</v>
      </c>
      <c r="W336" s="2004">
        <v>94</v>
      </c>
      <c r="X336" s="2004">
        <v>95</v>
      </c>
      <c r="Y336" s="2004"/>
      <c r="Z336" s="2004"/>
      <c r="AA336" s="2004"/>
      <c r="AB336" s="2004"/>
      <c r="AC336" s="2004"/>
      <c r="AD336" s="2004"/>
      <c r="AE336" s="2004"/>
      <c r="AF336" s="2004"/>
      <c r="AG336" s="2004"/>
      <c r="AH336" s="2004">
        <v>0</v>
      </c>
      <c r="AI336" s="2004" t="s">
        <v>2337</v>
      </c>
      <c r="AJ336" s="2004" t="s">
        <v>2337</v>
      </c>
      <c r="AK336" s="2004" t="s">
        <v>2337</v>
      </c>
      <c r="AL336" s="2004" t="s">
        <v>2337</v>
      </c>
      <c r="AM336" s="2004" t="s">
        <v>2337</v>
      </c>
      <c r="AN336" s="2004">
        <v>75</v>
      </c>
      <c r="AO336" s="2004">
        <v>75</v>
      </c>
      <c r="AP336" s="2004">
        <v>75</v>
      </c>
      <c r="AQ336" s="2004">
        <v>75</v>
      </c>
      <c r="AR336" s="2004">
        <v>75</v>
      </c>
      <c r="AS336" s="2004">
        <v>91</v>
      </c>
      <c r="AT336" s="2004">
        <v>92</v>
      </c>
      <c r="AU336" s="2004">
        <v>93</v>
      </c>
      <c r="AV336" s="2004">
        <v>94</v>
      </c>
      <c r="AW336" s="2004">
        <v>95</v>
      </c>
      <c r="AX336" s="2004">
        <v>91</v>
      </c>
      <c r="AY336" s="2004">
        <v>92</v>
      </c>
      <c r="AZ336" s="2004">
        <v>93</v>
      </c>
      <c r="BA336" s="2004">
        <v>94</v>
      </c>
      <c r="BB336" s="2004">
        <v>95</v>
      </c>
      <c r="BC336" s="2004">
        <v>100</v>
      </c>
      <c r="BD336" s="2004">
        <v>100</v>
      </c>
      <c r="BE336" s="2004">
        <v>100</v>
      </c>
      <c r="BF336" s="2004">
        <v>100</v>
      </c>
      <c r="BG336" s="2004">
        <v>100</v>
      </c>
      <c r="BH336" s="2004">
        <v>5.0999999999999997E-2</v>
      </c>
      <c r="BI336" s="2004"/>
      <c r="BJ336" s="2004"/>
      <c r="BK336" s="2004"/>
      <c r="BL336" s="2004">
        <v>4.2000000000000003E-2</v>
      </c>
      <c r="BM336" s="2004"/>
      <c r="BN336" s="2004">
        <v>1</v>
      </c>
      <c r="BO336" s="2004" t="s">
        <v>9203</v>
      </c>
      <c r="BP336" s="516">
        <v>87.1</v>
      </c>
      <c r="BQ336" s="686">
        <v>88.2</v>
      </c>
      <c r="BR336" s="2004" t="s">
        <v>2334</v>
      </c>
      <c r="BS336" s="2004" t="s">
        <v>9254</v>
      </c>
      <c r="BT336" s="2004">
        <v>-0.14280000000000001</v>
      </c>
      <c r="BU336" s="2004" t="s">
        <v>9204</v>
      </c>
      <c r="BV336" s="2004">
        <v>0</v>
      </c>
      <c r="BW336" s="2004">
        <v>89.9</v>
      </c>
      <c r="BX336" s="2004" t="s">
        <v>2334</v>
      </c>
      <c r="BY336" s="2004" t="s">
        <v>9254</v>
      </c>
      <c r="BZ336" s="2004">
        <v>-0.1071</v>
      </c>
      <c r="CA336" s="2004">
        <v>0</v>
      </c>
      <c r="CB336" s="2004">
        <v>0</v>
      </c>
      <c r="CC336" s="2004">
        <v>91.6</v>
      </c>
      <c r="CD336" s="2004" t="s">
        <v>2334</v>
      </c>
      <c r="CE336" s="2004" t="s">
        <v>2336</v>
      </c>
      <c r="CF336" s="2004">
        <v>-7.1400000000000005E-2</v>
      </c>
      <c r="CG336" s="2004">
        <v>0</v>
      </c>
      <c r="CH336" s="2004">
        <v>0</v>
      </c>
      <c r="CI336" s="2004">
        <v>91.7</v>
      </c>
      <c r="CJ336" s="2004" t="s">
        <v>2334</v>
      </c>
      <c r="CK336" s="2004" t="s">
        <v>2336</v>
      </c>
      <c r="CL336" s="2004">
        <v>-0.1173</v>
      </c>
      <c r="CM336" s="2004">
        <v>0</v>
      </c>
      <c r="CN336" s="2004">
        <v>0</v>
      </c>
      <c r="CP336" s="2004" t="s">
        <v>11115</v>
      </c>
    </row>
    <row r="337" spans="1:94">
      <c r="A337" s="2004" t="s">
        <v>9066</v>
      </c>
      <c r="B337" s="2004" t="s">
        <v>11116</v>
      </c>
      <c r="C337" s="2004" t="s">
        <v>9047</v>
      </c>
      <c r="D337" s="2004" t="s">
        <v>1629</v>
      </c>
      <c r="E337" s="2004" t="s">
        <v>9410</v>
      </c>
      <c r="F337" s="2004" t="s">
        <v>11032</v>
      </c>
      <c r="G337" s="2004" t="s">
        <v>9436</v>
      </c>
      <c r="H337" s="2004" t="s">
        <v>11117</v>
      </c>
      <c r="I337" s="2004" t="s">
        <v>11118</v>
      </c>
      <c r="J337" s="2004" t="s">
        <v>9210</v>
      </c>
      <c r="K337" s="2004" t="s">
        <v>9200</v>
      </c>
      <c r="L337" s="2004"/>
      <c r="M337" s="2004" t="s">
        <v>2334</v>
      </c>
      <c r="N337" s="2004" t="s">
        <v>9364</v>
      </c>
      <c r="O337" s="2004" t="s">
        <v>734</v>
      </c>
      <c r="P337" s="2004" t="s">
        <v>11119</v>
      </c>
      <c r="Q337" s="516">
        <v>1</v>
      </c>
      <c r="R337" s="2004" t="s">
        <v>9240</v>
      </c>
      <c r="S337" s="2004">
        <v>97.5</v>
      </c>
      <c r="T337" s="2004">
        <v>98</v>
      </c>
      <c r="U337" s="2004"/>
      <c r="V337" s="2004">
        <v>99</v>
      </c>
      <c r="W337" s="2004"/>
      <c r="X337" s="2004">
        <v>100</v>
      </c>
      <c r="Y337" s="2004"/>
      <c r="Z337" s="2004"/>
      <c r="AA337" s="2004"/>
      <c r="AB337" s="2004"/>
      <c r="AC337" s="2004"/>
      <c r="AD337" s="2004"/>
      <c r="AE337" s="2004" t="s">
        <v>2337</v>
      </c>
      <c r="AF337" s="2004"/>
      <c r="AG337" s="2004"/>
      <c r="AH337" s="2004">
        <v>0</v>
      </c>
      <c r="AI337" s="2004"/>
      <c r="AJ337" s="2004"/>
      <c r="AK337" s="2004"/>
      <c r="AL337" s="2004"/>
      <c r="AM337" s="2004" t="s">
        <v>2337</v>
      </c>
      <c r="AN337" s="2004"/>
      <c r="AO337" s="2004"/>
      <c r="AP337" s="2004"/>
      <c r="AQ337" s="2004"/>
      <c r="AR337" s="2004">
        <v>80</v>
      </c>
      <c r="AS337" s="2004"/>
      <c r="AT337" s="2004"/>
      <c r="AU337" s="2004"/>
      <c r="AV337" s="2004"/>
      <c r="AW337" s="2004">
        <v>99</v>
      </c>
      <c r="AX337" s="2004"/>
      <c r="AY337" s="2004"/>
      <c r="AZ337" s="2004"/>
      <c r="BA337" s="2004"/>
      <c r="BB337" s="2004"/>
      <c r="BC337" s="2004"/>
      <c r="BD337" s="2004"/>
      <c r="BE337" s="2004"/>
      <c r="BF337" s="2004"/>
      <c r="BG337" s="2004"/>
      <c r="BH337" s="2004">
        <v>1.4E-2</v>
      </c>
      <c r="BI337" s="2004">
        <v>0.29599999999999999</v>
      </c>
      <c r="BJ337" s="2004"/>
      <c r="BK337" s="2004"/>
      <c r="BL337" s="2004"/>
      <c r="BM337" s="2004"/>
      <c r="BN337" s="2004">
        <v>1</v>
      </c>
      <c r="BO337" s="2004" t="s">
        <v>9203</v>
      </c>
      <c r="BP337" s="516">
        <v>96.1</v>
      </c>
      <c r="BQ337" s="686">
        <v>95.8</v>
      </c>
      <c r="BR337" s="2004" t="s">
        <v>2334</v>
      </c>
      <c r="BS337" s="2004" t="s">
        <v>9204</v>
      </c>
      <c r="BT337" s="2004">
        <v>0</v>
      </c>
      <c r="BU337" s="2004" t="s">
        <v>9204</v>
      </c>
      <c r="BV337" s="2004">
        <v>0</v>
      </c>
      <c r="BW337" s="2004">
        <v>98.4</v>
      </c>
      <c r="BX337" s="2004" t="s">
        <v>2335</v>
      </c>
      <c r="BY337" s="2004">
        <v>0</v>
      </c>
      <c r="BZ337" s="2004">
        <v>0</v>
      </c>
      <c r="CA337" s="2004">
        <v>0</v>
      </c>
      <c r="CB337" s="2004">
        <v>0</v>
      </c>
      <c r="CC337" s="2004">
        <v>97.1</v>
      </c>
      <c r="CD337" s="2004" t="s">
        <v>2334</v>
      </c>
      <c r="CE337" s="2004">
        <v>0</v>
      </c>
      <c r="CF337" s="2004">
        <v>0</v>
      </c>
      <c r="CG337" s="2004">
        <v>0</v>
      </c>
      <c r="CH337" s="2004">
        <v>0</v>
      </c>
      <c r="CI337" s="2004">
        <v>98.697068403908787</v>
      </c>
      <c r="CJ337" s="2004" t="s">
        <v>2335</v>
      </c>
      <c r="CK337" s="2004">
        <v>0</v>
      </c>
      <c r="CL337" s="2004">
        <v>0</v>
      </c>
      <c r="CM337" s="2004">
        <v>0</v>
      </c>
      <c r="CN337" s="2004">
        <v>0</v>
      </c>
      <c r="CP337" s="2004" t="s">
        <v>11120</v>
      </c>
    </row>
    <row r="338" spans="1:94">
      <c r="A338" s="2004" t="s">
        <v>9066</v>
      </c>
      <c r="B338" s="2004" t="s">
        <v>11121</v>
      </c>
      <c r="C338" s="2004" t="s">
        <v>9047</v>
      </c>
      <c r="D338" s="2004" t="s">
        <v>1629</v>
      </c>
      <c r="E338" s="2004" t="s">
        <v>9410</v>
      </c>
      <c r="F338" s="2004" t="s">
        <v>11032</v>
      </c>
      <c r="G338" s="2004" t="s">
        <v>9442</v>
      </c>
      <c r="H338" s="2004" t="s">
        <v>11122</v>
      </c>
      <c r="I338" s="2004" t="s">
        <v>11123</v>
      </c>
      <c r="J338" s="2004" t="s">
        <v>9230</v>
      </c>
      <c r="K338" s="2004"/>
      <c r="L338" s="2004"/>
      <c r="M338" s="2004"/>
      <c r="N338" s="2004" t="s">
        <v>9364</v>
      </c>
      <c r="O338" s="2004" t="s">
        <v>734</v>
      </c>
      <c r="P338" s="2004" t="s">
        <v>11124</v>
      </c>
      <c r="Q338" s="516">
        <v>1</v>
      </c>
      <c r="R338" s="2004" t="s">
        <v>9240</v>
      </c>
      <c r="S338" s="2004">
        <v>99.9</v>
      </c>
      <c r="T338" s="2004"/>
      <c r="U338" s="2004"/>
      <c r="V338" s="2004"/>
      <c r="W338" s="2004"/>
      <c r="X338" s="2004">
        <v>100</v>
      </c>
      <c r="Y338" s="2004"/>
      <c r="Z338" s="2004"/>
      <c r="AA338" s="2004"/>
      <c r="AB338" s="2004"/>
      <c r="AC338" s="2004"/>
      <c r="AD338" s="2004"/>
      <c r="AE338" s="2004" t="s">
        <v>2337</v>
      </c>
      <c r="AF338" s="2004"/>
      <c r="AG338" s="2004"/>
      <c r="AH338" s="2004">
        <v>0</v>
      </c>
      <c r="AI338" s="2004"/>
      <c r="AJ338" s="2004"/>
      <c r="AK338" s="2004"/>
      <c r="AL338" s="2004"/>
      <c r="AM338" s="2004"/>
      <c r="AN338" s="2004"/>
      <c r="AO338" s="2004"/>
      <c r="AP338" s="2004"/>
      <c r="AQ338" s="2004"/>
      <c r="AR338" s="2004"/>
      <c r="AS338" s="2004"/>
      <c r="AT338" s="2004"/>
      <c r="AU338" s="2004"/>
      <c r="AV338" s="2004"/>
      <c r="AW338" s="2004"/>
      <c r="AX338" s="2004"/>
      <c r="AY338" s="2004"/>
      <c r="AZ338" s="2004"/>
      <c r="BA338" s="2004"/>
      <c r="BB338" s="2004"/>
      <c r="BC338" s="2004"/>
      <c r="BD338" s="2004"/>
      <c r="BE338" s="2004"/>
      <c r="BF338" s="2004"/>
      <c r="BG338" s="2004"/>
      <c r="BH338" s="2004"/>
      <c r="BI338" s="2004"/>
      <c r="BJ338" s="2004"/>
      <c r="BK338" s="2004"/>
      <c r="BL338" s="2004"/>
      <c r="BM338" s="2004"/>
      <c r="BN338" s="2004"/>
      <c r="BO338" s="2004"/>
      <c r="BP338" s="516">
        <v>99.2</v>
      </c>
      <c r="BQ338" s="686">
        <v>99.13</v>
      </c>
      <c r="BR338" s="2004" t="s">
        <v>9204</v>
      </c>
      <c r="BS338" s="2004" t="s">
        <v>9204</v>
      </c>
      <c r="BT338" s="2004">
        <v>0</v>
      </c>
      <c r="BU338" s="2004" t="s">
        <v>9204</v>
      </c>
      <c r="BV338" s="2004">
        <v>0</v>
      </c>
      <c r="BW338" s="2004">
        <v>99.9</v>
      </c>
      <c r="BX338" s="2004" t="s">
        <v>2335</v>
      </c>
      <c r="BY338" s="2004">
        <v>0</v>
      </c>
      <c r="BZ338" s="2004">
        <v>0</v>
      </c>
      <c r="CA338" s="2004">
        <v>0</v>
      </c>
      <c r="CB338" s="2004">
        <v>0</v>
      </c>
      <c r="CC338" s="2004">
        <v>99.9</v>
      </c>
      <c r="CD338" s="2004" t="s">
        <v>2335</v>
      </c>
      <c r="CE338" s="2004">
        <v>0</v>
      </c>
      <c r="CF338" s="2004">
        <v>0</v>
      </c>
      <c r="CG338" s="2004">
        <v>0</v>
      </c>
      <c r="CH338" s="2004">
        <v>0</v>
      </c>
      <c r="CI338" s="2004">
        <v>99.890662080261677</v>
      </c>
      <c r="CJ338" s="2004" t="s">
        <v>2335</v>
      </c>
      <c r="CK338" s="2004">
        <v>0</v>
      </c>
      <c r="CL338" s="2004">
        <v>0</v>
      </c>
      <c r="CM338" s="2004">
        <v>0</v>
      </c>
      <c r="CN338" s="2004">
        <v>0</v>
      </c>
      <c r="CP338" s="2004" t="s">
        <v>11125</v>
      </c>
    </row>
    <row r="339" spans="1:94">
      <c r="A339" s="2004" t="s">
        <v>9066</v>
      </c>
      <c r="B339" s="2004" t="s">
        <v>11126</v>
      </c>
      <c r="C339" s="2004" t="s">
        <v>9047</v>
      </c>
      <c r="D339" s="2004" t="s">
        <v>1629</v>
      </c>
      <c r="E339" s="2004" t="s">
        <v>9410</v>
      </c>
      <c r="F339" s="2004" t="s">
        <v>11032</v>
      </c>
      <c r="G339" s="2004" t="s">
        <v>9447</v>
      </c>
      <c r="H339" s="2004" t="s">
        <v>11127</v>
      </c>
      <c r="I339" s="2004" t="s">
        <v>11128</v>
      </c>
      <c r="J339" s="2004" t="s">
        <v>9210</v>
      </c>
      <c r="K339" s="2004" t="s">
        <v>9200</v>
      </c>
      <c r="L339" s="2004" t="s">
        <v>2337</v>
      </c>
      <c r="M339" s="2004" t="s">
        <v>2334</v>
      </c>
      <c r="N339" s="2004" t="s">
        <v>9364</v>
      </c>
      <c r="O339" s="2004" t="s">
        <v>734</v>
      </c>
      <c r="P339" s="2004" t="s">
        <v>11129</v>
      </c>
      <c r="Q339" s="516">
        <v>1</v>
      </c>
      <c r="R339" s="2004" t="s">
        <v>9240</v>
      </c>
      <c r="S339" s="2004">
        <v>95</v>
      </c>
      <c r="T339" s="2004">
        <v>100</v>
      </c>
      <c r="U339" s="2004">
        <v>100</v>
      </c>
      <c r="V339" s="2004">
        <v>100</v>
      </c>
      <c r="W339" s="2004">
        <v>100</v>
      </c>
      <c r="X339" s="2004">
        <v>100</v>
      </c>
      <c r="Y339" s="2004"/>
      <c r="Z339" s="2004"/>
      <c r="AA339" s="2004"/>
      <c r="AB339" s="2004"/>
      <c r="AC339" s="2004"/>
      <c r="AD339" s="2004"/>
      <c r="AE339" s="2004" t="s">
        <v>2337</v>
      </c>
      <c r="AF339" s="2004"/>
      <c r="AG339" s="2004"/>
      <c r="AH339" s="2004">
        <v>0</v>
      </c>
      <c r="AI339" s="2004" t="s">
        <v>2337</v>
      </c>
      <c r="AJ339" s="2004" t="s">
        <v>2337</v>
      </c>
      <c r="AK339" s="2004" t="s">
        <v>2337</v>
      </c>
      <c r="AL339" s="2004" t="s">
        <v>2337</v>
      </c>
      <c r="AM339" s="2004" t="s">
        <v>2337</v>
      </c>
      <c r="AN339" s="2004" t="s">
        <v>11130</v>
      </c>
      <c r="AO339" s="2004" t="s">
        <v>11130</v>
      </c>
      <c r="AP339" s="2004" t="s">
        <v>11130</v>
      </c>
      <c r="AQ339" s="2004" t="s">
        <v>11130</v>
      </c>
      <c r="AR339" s="2004" t="s">
        <v>11130</v>
      </c>
      <c r="AS339" s="2004">
        <v>95</v>
      </c>
      <c r="AT339" s="2004">
        <v>95</v>
      </c>
      <c r="AU339" s="2004">
        <v>95</v>
      </c>
      <c r="AV339" s="2004">
        <v>95</v>
      </c>
      <c r="AW339" s="2004">
        <v>95</v>
      </c>
      <c r="AX339" s="2004"/>
      <c r="AY339" s="2004"/>
      <c r="AZ339" s="2004"/>
      <c r="BA339" s="2004"/>
      <c r="BB339" s="2004"/>
      <c r="BC339" s="2004"/>
      <c r="BD339" s="2004"/>
      <c r="BE339" s="2004"/>
      <c r="BF339" s="2004"/>
      <c r="BG339" s="2004"/>
      <c r="BH339" s="2004">
        <v>0.25</v>
      </c>
      <c r="BI339" s="2004"/>
      <c r="BJ339" s="2004"/>
      <c r="BK339" s="2004"/>
      <c r="BL339" s="2004"/>
      <c r="BM339" s="2004"/>
      <c r="BN339" s="2004">
        <v>1</v>
      </c>
      <c r="BO339" s="2004" t="s">
        <v>9203</v>
      </c>
      <c r="BP339" s="516">
        <v>91.4</v>
      </c>
      <c r="BQ339" s="686">
        <v>99.09</v>
      </c>
      <c r="BR339" s="2004" t="s">
        <v>2334</v>
      </c>
      <c r="BS339" s="2004" t="s">
        <v>9120</v>
      </c>
      <c r="BT339" s="2004">
        <v>0</v>
      </c>
      <c r="BU339" s="2004" t="s">
        <v>9204</v>
      </c>
      <c r="BV339" s="2004">
        <v>0</v>
      </c>
      <c r="BW339" s="2004">
        <v>99.4</v>
      </c>
      <c r="BX339" s="2004" t="s">
        <v>2334</v>
      </c>
      <c r="BY339" s="2004" t="s">
        <v>9120</v>
      </c>
      <c r="BZ339" s="2004">
        <v>0</v>
      </c>
      <c r="CA339" s="2004">
        <v>0</v>
      </c>
      <c r="CB339" s="2004">
        <v>0</v>
      </c>
      <c r="CC339" s="2004">
        <v>100</v>
      </c>
      <c r="CD339" s="2004" t="s">
        <v>2337</v>
      </c>
      <c r="CE339" s="2004">
        <v>0</v>
      </c>
      <c r="CF339" s="2004">
        <v>0</v>
      </c>
      <c r="CG339" s="2004">
        <v>0</v>
      </c>
      <c r="CH339" s="2004">
        <v>0</v>
      </c>
      <c r="CI339" s="2004">
        <v>99.686520376175551</v>
      </c>
      <c r="CJ339" s="2004" t="s">
        <v>2334</v>
      </c>
      <c r="CK339" s="2004">
        <v>0</v>
      </c>
      <c r="CL339" s="2004">
        <v>0</v>
      </c>
      <c r="CM339" s="2004">
        <v>0</v>
      </c>
      <c r="CN339" s="2004">
        <v>0</v>
      </c>
      <c r="CP339" s="2004" t="s">
        <v>11131</v>
      </c>
    </row>
    <row r="340" spans="1:94">
      <c r="A340" s="2004" t="s">
        <v>9066</v>
      </c>
      <c r="B340" s="2004" t="s">
        <v>11132</v>
      </c>
      <c r="C340" s="2004" t="s">
        <v>9047</v>
      </c>
      <c r="D340" s="2004" t="s">
        <v>1629</v>
      </c>
      <c r="E340" s="2004" t="s">
        <v>9410</v>
      </c>
      <c r="F340" s="2004" t="s">
        <v>11032</v>
      </c>
      <c r="G340" s="2004" t="s">
        <v>9454</v>
      </c>
      <c r="H340" s="2004" t="s">
        <v>11133</v>
      </c>
      <c r="I340" s="2004" t="s">
        <v>11134</v>
      </c>
      <c r="J340" s="2004" t="s">
        <v>9210</v>
      </c>
      <c r="K340" s="2004" t="s">
        <v>9200</v>
      </c>
      <c r="L340" s="2004" t="s">
        <v>2337</v>
      </c>
      <c r="M340" s="2004"/>
      <c r="N340" s="2004" t="s">
        <v>9450</v>
      </c>
      <c r="O340" s="2004" t="s">
        <v>766</v>
      </c>
      <c r="P340" s="2004" t="s">
        <v>10583</v>
      </c>
      <c r="Q340" s="516">
        <v>0</v>
      </c>
      <c r="R340" s="2004" t="s">
        <v>9202</v>
      </c>
      <c r="S340" s="2004">
        <v>2</v>
      </c>
      <c r="T340" s="2004">
        <v>0</v>
      </c>
      <c r="U340" s="2004">
        <v>0</v>
      </c>
      <c r="V340" s="2004">
        <v>0</v>
      </c>
      <c r="W340" s="2004">
        <v>0</v>
      </c>
      <c r="X340" s="2004">
        <v>0</v>
      </c>
      <c r="Y340" s="2004"/>
      <c r="Z340" s="2004"/>
      <c r="AA340" s="2004"/>
      <c r="AB340" s="2004"/>
      <c r="AC340" s="2004"/>
      <c r="AD340" s="2004"/>
      <c r="AE340" s="2004" t="s">
        <v>2337</v>
      </c>
      <c r="AF340" s="2004"/>
      <c r="AG340" s="2004"/>
      <c r="AH340" s="2004">
        <v>0</v>
      </c>
      <c r="AI340" s="2004" t="s">
        <v>2337</v>
      </c>
      <c r="AJ340" s="2004" t="s">
        <v>2337</v>
      </c>
      <c r="AK340" s="2004" t="s">
        <v>2337</v>
      </c>
      <c r="AL340" s="2004" t="s">
        <v>2337</v>
      </c>
      <c r="AM340" s="2004" t="s">
        <v>2337</v>
      </c>
      <c r="AN340" s="2004">
        <v>8</v>
      </c>
      <c r="AO340" s="2004">
        <v>8</v>
      </c>
      <c r="AP340" s="2004">
        <v>8</v>
      </c>
      <c r="AQ340" s="2004">
        <v>8</v>
      </c>
      <c r="AR340" s="2004">
        <v>8</v>
      </c>
      <c r="AS340" s="2004">
        <v>2</v>
      </c>
      <c r="AT340" s="2004">
        <v>2</v>
      </c>
      <c r="AU340" s="2004">
        <v>2</v>
      </c>
      <c r="AV340" s="2004">
        <v>2</v>
      </c>
      <c r="AW340" s="2004">
        <v>2</v>
      </c>
      <c r="AX340" s="2004"/>
      <c r="AY340" s="2004"/>
      <c r="AZ340" s="2004"/>
      <c r="BA340" s="2004"/>
      <c r="BB340" s="2004"/>
      <c r="BC340" s="2004"/>
      <c r="BD340" s="2004"/>
      <c r="BE340" s="2004"/>
      <c r="BF340" s="2004"/>
      <c r="BG340" s="2004"/>
      <c r="BH340" s="2004">
        <v>0.34599999999999997</v>
      </c>
      <c r="BI340" s="2004"/>
      <c r="BJ340" s="2004"/>
      <c r="BK340" s="2004"/>
      <c r="BL340" s="2004"/>
      <c r="BM340" s="2004"/>
      <c r="BN340" s="2004">
        <v>1</v>
      </c>
      <c r="BO340" s="2004" t="s">
        <v>9203</v>
      </c>
      <c r="BP340" s="516">
        <v>3</v>
      </c>
      <c r="BQ340" s="689">
        <v>7</v>
      </c>
      <c r="BR340" s="2004" t="s">
        <v>2334</v>
      </c>
      <c r="BS340" s="2004" t="s">
        <v>9254</v>
      </c>
      <c r="BT340" s="2004">
        <v>-1.73</v>
      </c>
      <c r="BU340" s="2004" t="s">
        <v>9204</v>
      </c>
      <c r="BV340" s="2004">
        <v>0</v>
      </c>
      <c r="BW340" s="2004">
        <v>4</v>
      </c>
      <c r="BX340" s="2004" t="s">
        <v>2334</v>
      </c>
      <c r="BY340" s="2004" t="s">
        <v>9254</v>
      </c>
      <c r="BZ340" s="2004">
        <v>-0.69199999999999995</v>
      </c>
      <c r="CA340" s="2004">
        <v>0</v>
      </c>
      <c r="CB340" s="2004">
        <v>0</v>
      </c>
      <c r="CC340" s="2004">
        <v>3</v>
      </c>
      <c r="CD340" s="2004" t="s">
        <v>2334</v>
      </c>
      <c r="CE340" s="2004" t="s">
        <v>2336</v>
      </c>
      <c r="CF340" s="2004">
        <v>-0.34599999999999997</v>
      </c>
      <c r="CG340" s="2004">
        <v>0</v>
      </c>
      <c r="CH340" s="2004">
        <v>0</v>
      </c>
      <c r="CI340" s="2004">
        <v>2</v>
      </c>
      <c r="CJ340" s="2004" t="s">
        <v>2334</v>
      </c>
      <c r="CK340" s="2004" t="s">
        <v>2340</v>
      </c>
      <c r="CL340" s="2004">
        <v>0</v>
      </c>
      <c r="CM340" s="2004">
        <v>0</v>
      </c>
      <c r="CN340" s="2004">
        <v>0</v>
      </c>
      <c r="CP340" s="2004" t="s">
        <v>11135</v>
      </c>
    </row>
    <row r="341" spans="1:94">
      <c r="A341" s="2004" t="s">
        <v>9066</v>
      </c>
      <c r="B341" s="2004" t="s">
        <v>11136</v>
      </c>
      <c r="C341" s="2004" t="s">
        <v>9047</v>
      </c>
      <c r="D341" s="2004" t="s">
        <v>1629</v>
      </c>
      <c r="E341" s="2004" t="s">
        <v>9410</v>
      </c>
      <c r="F341" s="2004" t="s">
        <v>11032</v>
      </c>
      <c r="G341" s="2004" t="s">
        <v>10916</v>
      </c>
      <c r="H341" s="2004" t="s">
        <v>11137</v>
      </c>
      <c r="I341" s="2004" t="s">
        <v>11138</v>
      </c>
      <c r="J341" s="2004" t="s">
        <v>9210</v>
      </c>
      <c r="K341" s="2004" t="s">
        <v>9200</v>
      </c>
      <c r="L341" s="2004" t="s">
        <v>2337</v>
      </c>
      <c r="M341" s="2004" t="s">
        <v>2334</v>
      </c>
      <c r="N341" s="2004" t="s">
        <v>9450</v>
      </c>
      <c r="O341" s="2004" t="s">
        <v>766</v>
      </c>
      <c r="P341" s="2004" t="s">
        <v>11066</v>
      </c>
      <c r="Q341" s="516">
        <v>0</v>
      </c>
      <c r="R341" s="2004" t="s">
        <v>9202</v>
      </c>
      <c r="S341" s="2004">
        <v>248</v>
      </c>
      <c r="T341" s="2004">
        <v>238</v>
      </c>
      <c r="U341" s="2004">
        <v>228</v>
      </c>
      <c r="V341" s="2004">
        <v>218</v>
      </c>
      <c r="W341" s="2004">
        <v>208</v>
      </c>
      <c r="X341" s="2004">
        <v>198</v>
      </c>
      <c r="Y341" s="2004"/>
      <c r="Z341" s="2004"/>
      <c r="AA341" s="2004"/>
      <c r="AB341" s="2004"/>
      <c r="AC341" s="2004"/>
      <c r="AD341" s="2004"/>
      <c r="AE341" s="2004" t="s">
        <v>2337</v>
      </c>
      <c r="AF341" s="2004"/>
      <c r="AG341" s="2004"/>
      <c r="AH341" s="2004">
        <v>0</v>
      </c>
      <c r="AI341" s="2004" t="s">
        <v>2337</v>
      </c>
      <c r="AJ341" s="2004" t="s">
        <v>2337</v>
      </c>
      <c r="AK341" s="2004" t="s">
        <v>2337</v>
      </c>
      <c r="AL341" s="2004" t="s">
        <v>2337</v>
      </c>
      <c r="AM341" s="2004" t="s">
        <v>2337</v>
      </c>
      <c r="AN341" s="2004">
        <v>262</v>
      </c>
      <c r="AO341" s="2004">
        <v>262</v>
      </c>
      <c r="AP341" s="2004">
        <v>262</v>
      </c>
      <c r="AQ341" s="2004">
        <v>262</v>
      </c>
      <c r="AR341" s="2004">
        <v>262</v>
      </c>
      <c r="AS341" s="2004">
        <v>238</v>
      </c>
      <c r="AT341" s="2004">
        <v>228</v>
      </c>
      <c r="AU341" s="2004">
        <v>218</v>
      </c>
      <c r="AV341" s="2004">
        <v>208</v>
      </c>
      <c r="AW341" s="2004">
        <v>198</v>
      </c>
      <c r="AX341" s="2004"/>
      <c r="AY341" s="2004"/>
      <c r="AZ341" s="2004"/>
      <c r="BA341" s="2004"/>
      <c r="BB341" s="2004"/>
      <c r="BC341" s="2004"/>
      <c r="BD341" s="2004"/>
      <c r="BE341" s="2004"/>
      <c r="BF341" s="2004"/>
      <c r="BG341" s="2004"/>
      <c r="BH341" s="2004">
        <v>1.03E-2</v>
      </c>
      <c r="BI341" s="2004">
        <v>1.9300000000000001E-2</v>
      </c>
      <c r="BJ341" s="2004"/>
      <c r="BK341" s="2004"/>
      <c r="BL341" s="2004"/>
      <c r="BM341" s="2004"/>
      <c r="BN341" s="2004">
        <v>1</v>
      </c>
      <c r="BO341" s="2004" t="s">
        <v>9203</v>
      </c>
      <c r="BP341" s="516">
        <v>315</v>
      </c>
      <c r="BQ341" s="689">
        <v>222</v>
      </c>
      <c r="BR341" s="2004" t="s">
        <v>2337</v>
      </c>
      <c r="BS341" s="2004" t="s">
        <v>9204</v>
      </c>
      <c r="BT341" s="2004">
        <v>0</v>
      </c>
      <c r="BU341" s="2004" t="s">
        <v>9204</v>
      </c>
      <c r="BV341" s="2004">
        <v>0</v>
      </c>
      <c r="BW341" s="2004">
        <v>252</v>
      </c>
      <c r="BX341" s="2004" t="s">
        <v>2334</v>
      </c>
      <c r="BY341" s="2004" t="s">
        <v>9254</v>
      </c>
      <c r="BZ341" s="2004">
        <v>-0.42720000000000002</v>
      </c>
      <c r="CA341" s="2004">
        <v>0</v>
      </c>
      <c r="CB341" s="2004">
        <v>0</v>
      </c>
      <c r="CC341" s="2004">
        <v>237</v>
      </c>
      <c r="CD341" s="2004" t="s">
        <v>2334</v>
      </c>
      <c r="CE341" s="2004" t="s">
        <v>2336</v>
      </c>
      <c r="CF341" s="2004">
        <v>-0.36670000000000003</v>
      </c>
      <c r="CG341" s="2004">
        <v>0</v>
      </c>
      <c r="CH341" s="2004">
        <v>0</v>
      </c>
      <c r="CI341" s="2004">
        <v>248</v>
      </c>
      <c r="CJ341" s="2004" t="s">
        <v>2334</v>
      </c>
      <c r="CK341" s="2004" t="s">
        <v>2336</v>
      </c>
      <c r="CL341" s="2004">
        <v>-0.77200000000000002</v>
      </c>
      <c r="CM341" s="2004">
        <v>0</v>
      </c>
      <c r="CN341" s="2004">
        <v>0</v>
      </c>
      <c r="CP341" s="2004" t="s">
        <v>11139</v>
      </c>
    </row>
    <row r="342" spans="1:94">
      <c r="A342" s="2004" t="s">
        <v>9066</v>
      </c>
      <c r="B342" s="2004" t="s">
        <v>11140</v>
      </c>
      <c r="C342" s="2004" t="s">
        <v>9047</v>
      </c>
      <c r="D342" s="2004" t="s">
        <v>1629</v>
      </c>
      <c r="E342" s="2004" t="s">
        <v>9410</v>
      </c>
      <c r="F342" s="2004" t="s">
        <v>11032</v>
      </c>
      <c r="G342" s="2004" t="s">
        <v>10923</v>
      </c>
      <c r="H342" s="2004" t="s">
        <v>11141</v>
      </c>
      <c r="I342" s="2004" t="s">
        <v>11142</v>
      </c>
      <c r="J342" s="2004" t="s">
        <v>9230</v>
      </c>
      <c r="K342" s="2004"/>
      <c r="L342" s="2004"/>
      <c r="M342" s="2004"/>
      <c r="N342" s="2004" t="s">
        <v>9372</v>
      </c>
      <c r="O342" s="2004" t="s">
        <v>766</v>
      </c>
      <c r="P342" s="2004" t="s">
        <v>9870</v>
      </c>
      <c r="Q342" s="516">
        <v>1</v>
      </c>
      <c r="R342" s="2004" t="s">
        <v>9202</v>
      </c>
      <c r="S342" s="2004">
        <v>100.5</v>
      </c>
      <c r="T342" s="2004"/>
      <c r="U342" s="2004"/>
      <c r="V342" s="2004"/>
      <c r="W342" s="2004"/>
      <c r="X342" s="2004">
        <v>102</v>
      </c>
      <c r="Y342" s="2004"/>
      <c r="Z342" s="2004"/>
      <c r="AA342" s="2004"/>
      <c r="AB342" s="2004"/>
      <c r="AC342" s="2004"/>
      <c r="AD342" s="2004"/>
      <c r="AE342" s="2004"/>
      <c r="AF342" s="2004"/>
      <c r="AG342" s="2004"/>
      <c r="AH342" s="2004">
        <v>0</v>
      </c>
      <c r="AI342" s="2004"/>
      <c r="AJ342" s="2004"/>
      <c r="AK342" s="2004"/>
      <c r="AL342" s="2004"/>
      <c r="AM342" s="2004"/>
      <c r="AN342" s="2004"/>
      <c r="AO342" s="2004"/>
      <c r="AP342" s="2004"/>
      <c r="AQ342" s="2004"/>
      <c r="AR342" s="2004"/>
      <c r="AS342" s="2004"/>
      <c r="AT342" s="2004"/>
      <c r="AU342" s="2004"/>
      <c r="AV342" s="2004"/>
      <c r="AW342" s="2004"/>
      <c r="AX342" s="2004"/>
      <c r="AY342" s="2004"/>
      <c r="AZ342" s="2004"/>
      <c r="BA342" s="2004"/>
      <c r="BB342" s="2004"/>
      <c r="BC342" s="2004"/>
      <c r="BD342" s="2004"/>
      <c r="BE342" s="2004"/>
      <c r="BF342" s="2004"/>
      <c r="BG342" s="2004"/>
      <c r="BH342" s="2004"/>
      <c r="BI342" s="2004"/>
      <c r="BJ342" s="2004"/>
      <c r="BK342" s="2004"/>
      <c r="BL342" s="2004"/>
      <c r="BM342" s="2004"/>
      <c r="BN342" s="2004"/>
      <c r="BO342" s="2004"/>
      <c r="BP342" s="516">
        <v>93.5</v>
      </c>
      <c r="BQ342" s="686">
        <v>98.6</v>
      </c>
      <c r="BR342" s="2004" t="s">
        <v>9204</v>
      </c>
      <c r="BS342" s="2004" t="s">
        <v>9204</v>
      </c>
      <c r="BT342" s="2004">
        <v>0</v>
      </c>
      <c r="BU342" s="2004" t="s">
        <v>9204</v>
      </c>
      <c r="BV342" s="2004">
        <v>0</v>
      </c>
      <c r="BW342" s="2004">
        <v>85.9</v>
      </c>
      <c r="BX342" s="2004" t="s">
        <v>2335</v>
      </c>
      <c r="BY342" s="2004">
        <v>0</v>
      </c>
      <c r="BZ342" s="2004">
        <v>0</v>
      </c>
      <c r="CA342" s="2004">
        <v>0</v>
      </c>
      <c r="CB342" s="2004">
        <v>0</v>
      </c>
      <c r="CC342" s="2004">
        <v>83.2</v>
      </c>
      <c r="CD342" s="2004" t="s">
        <v>2335</v>
      </c>
      <c r="CE342" s="2004">
        <v>0</v>
      </c>
      <c r="CF342" s="2004">
        <v>0</v>
      </c>
      <c r="CG342" s="2004">
        <v>0</v>
      </c>
      <c r="CH342" s="2004">
        <v>0</v>
      </c>
      <c r="CI342" s="2004">
        <v>68.739592858627418</v>
      </c>
      <c r="CJ342" s="2004" t="s">
        <v>2335</v>
      </c>
      <c r="CK342" s="2004">
        <v>0</v>
      </c>
      <c r="CL342" s="2004">
        <v>0</v>
      </c>
      <c r="CM342" s="2004">
        <v>0</v>
      </c>
      <c r="CN342" s="2004">
        <v>0</v>
      </c>
      <c r="CP342" s="2004" t="s">
        <v>11143</v>
      </c>
    </row>
    <row r="343" spans="1:94">
      <c r="A343" s="2004" t="s">
        <v>9066</v>
      </c>
      <c r="B343" s="2004" t="s">
        <v>11144</v>
      </c>
      <c r="C343" s="2004" t="s">
        <v>9047</v>
      </c>
      <c r="D343" s="2004" t="s">
        <v>1629</v>
      </c>
      <c r="E343" s="2004" t="s">
        <v>9410</v>
      </c>
      <c r="F343" s="2004" t="s">
        <v>11032</v>
      </c>
      <c r="G343" s="2004" t="s">
        <v>10928</v>
      </c>
      <c r="H343" s="2004" t="s">
        <v>11145</v>
      </c>
      <c r="I343" s="2004" t="s">
        <v>11146</v>
      </c>
      <c r="J343" s="2004" t="s">
        <v>9230</v>
      </c>
      <c r="K343" s="2004"/>
      <c r="L343" s="2004"/>
      <c r="M343" s="2004"/>
      <c r="N343" s="2004" t="s">
        <v>9372</v>
      </c>
      <c r="O343" s="2004" t="s">
        <v>734</v>
      </c>
      <c r="P343" s="2004" t="s">
        <v>10564</v>
      </c>
      <c r="Q343" s="516">
        <v>2</v>
      </c>
      <c r="R343" s="2004" t="s">
        <v>9240</v>
      </c>
      <c r="S343" s="2004">
        <v>2.64</v>
      </c>
      <c r="T343" s="2004"/>
      <c r="U343" s="2004"/>
      <c r="V343" s="2004"/>
      <c r="W343" s="2004"/>
      <c r="X343" s="2004">
        <v>7.8</v>
      </c>
      <c r="Y343" s="2004"/>
      <c r="Z343" s="2004"/>
      <c r="AA343" s="2004"/>
      <c r="AB343" s="2004"/>
      <c r="AC343" s="2004"/>
      <c r="AD343" s="2004"/>
      <c r="AE343" s="2004"/>
      <c r="AF343" s="2004"/>
      <c r="AG343" s="2004"/>
      <c r="AH343" s="2004">
        <v>0</v>
      </c>
      <c r="AI343" s="2004"/>
      <c r="AJ343" s="2004"/>
      <c r="AK343" s="2004"/>
      <c r="AL343" s="2004"/>
      <c r="AM343" s="2004"/>
      <c r="AN343" s="2004"/>
      <c r="AO343" s="2004"/>
      <c r="AP343" s="2004"/>
      <c r="AQ343" s="2004"/>
      <c r="AR343" s="2004"/>
      <c r="AS343" s="2004"/>
      <c r="AT343" s="2004"/>
      <c r="AU343" s="2004"/>
      <c r="AV343" s="2004"/>
      <c r="AW343" s="2004"/>
      <c r="AX343" s="2004"/>
      <c r="AY343" s="2004"/>
      <c r="AZ343" s="2004"/>
      <c r="BA343" s="2004"/>
      <c r="BB343" s="2004"/>
      <c r="BC343" s="2004"/>
      <c r="BD343" s="2004"/>
      <c r="BE343" s="2004"/>
      <c r="BF343" s="2004"/>
      <c r="BG343" s="2004"/>
      <c r="BH343" s="2004"/>
      <c r="BI343" s="2004"/>
      <c r="BJ343" s="2004"/>
      <c r="BK343" s="2004"/>
      <c r="BL343" s="2004"/>
      <c r="BM343" s="2004"/>
      <c r="BN343" s="2004"/>
      <c r="BO343" s="2004"/>
      <c r="BP343" s="516">
        <v>1.4</v>
      </c>
      <c r="BQ343" s="690">
        <v>2.4</v>
      </c>
      <c r="BR343" s="2004" t="s">
        <v>9204</v>
      </c>
      <c r="BS343" s="2004" t="s">
        <v>9204</v>
      </c>
      <c r="BT343" s="2004">
        <v>0</v>
      </c>
      <c r="BU343" s="2004" t="s">
        <v>9204</v>
      </c>
      <c r="BV343" s="2004">
        <v>0</v>
      </c>
      <c r="BW343" s="2004">
        <v>2.75</v>
      </c>
      <c r="BX343" s="2004" t="s">
        <v>2335</v>
      </c>
      <c r="BY343" s="2004">
        <v>0</v>
      </c>
      <c r="BZ343" s="2004">
        <v>0</v>
      </c>
      <c r="CA343" s="2004">
        <v>0</v>
      </c>
      <c r="CB343" s="2004">
        <v>0</v>
      </c>
      <c r="CC343" s="2004">
        <v>3.95</v>
      </c>
      <c r="CD343" s="2004" t="s">
        <v>2335</v>
      </c>
      <c r="CE343" s="2004">
        <v>0</v>
      </c>
      <c r="CF343" s="2004">
        <v>0</v>
      </c>
      <c r="CG343" s="2004">
        <v>0</v>
      </c>
      <c r="CH343" s="2004">
        <v>0</v>
      </c>
      <c r="CI343" s="2004">
        <v>5.3513145688828558</v>
      </c>
      <c r="CJ343" s="2004" t="s">
        <v>2335</v>
      </c>
      <c r="CK343" s="2004">
        <v>0</v>
      </c>
      <c r="CL343" s="2004">
        <v>0</v>
      </c>
      <c r="CM343" s="2004">
        <v>0</v>
      </c>
      <c r="CN343" s="2004">
        <v>0</v>
      </c>
      <c r="CP343" s="2004" t="s">
        <v>11147</v>
      </c>
    </row>
    <row r="344" spans="1:94">
      <c r="A344" s="2004" t="s">
        <v>9066</v>
      </c>
      <c r="B344" s="2004" t="s">
        <v>11148</v>
      </c>
      <c r="C344" s="2004" t="s">
        <v>9047</v>
      </c>
      <c r="D344" s="2004" t="s">
        <v>1629</v>
      </c>
      <c r="E344" s="2004" t="s">
        <v>9410</v>
      </c>
      <c r="F344" s="2004" t="s">
        <v>11149</v>
      </c>
      <c r="G344" s="2004" t="s">
        <v>9459</v>
      </c>
      <c r="H344" s="2004" t="s">
        <v>11150</v>
      </c>
      <c r="I344" s="2004" t="s">
        <v>11151</v>
      </c>
      <c r="J344" s="2004" t="s">
        <v>9199</v>
      </c>
      <c r="K344" s="2004" t="s">
        <v>9545</v>
      </c>
      <c r="L344" s="2004"/>
      <c r="M344" s="2004"/>
      <c r="N344" s="2004" t="s">
        <v>9364</v>
      </c>
      <c r="O344" s="2004" t="s">
        <v>766</v>
      </c>
      <c r="P344" s="2004" t="s">
        <v>11152</v>
      </c>
      <c r="Q344" s="516">
        <v>0</v>
      </c>
      <c r="R344" s="2004" t="s">
        <v>9240</v>
      </c>
      <c r="S344" s="2004">
        <v>-15</v>
      </c>
      <c r="T344" s="2004">
        <v>-12</v>
      </c>
      <c r="U344" s="2004">
        <v>-9</v>
      </c>
      <c r="V344" s="2004">
        <v>-6</v>
      </c>
      <c r="W344" s="2004">
        <v>-3</v>
      </c>
      <c r="X344" s="2004">
        <v>0</v>
      </c>
      <c r="Y344" s="2004"/>
      <c r="Z344" s="2004"/>
      <c r="AA344" s="2004"/>
      <c r="AB344" s="2004"/>
      <c r="AC344" s="2004"/>
      <c r="AD344" s="2004"/>
      <c r="AE344" s="2004"/>
      <c r="AF344" s="2004" t="s">
        <v>2337</v>
      </c>
      <c r="AG344" s="2004"/>
      <c r="AH344" s="2004">
        <v>0</v>
      </c>
      <c r="AI344" s="2004" t="s">
        <v>2337</v>
      </c>
      <c r="AJ344" s="2004" t="s">
        <v>2337</v>
      </c>
      <c r="AK344" s="2004" t="s">
        <v>2337</v>
      </c>
      <c r="AL344" s="2004" t="s">
        <v>2337</v>
      </c>
      <c r="AM344" s="2004" t="s">
        <v>2337</v>
      </c>
      <c r="AN344" s="2004">
        <v>-15</v>
      </c>
      <c r="AO344" s="2004">
        <v>-15</v>
      </c>
      <c r="AP344" s="2004">
        <v>-15</v>
      </c>
      <c r="AQ344" s="2004">
        <v>-15</v>
      </c>
      <c r="AR344" s="2004">
        <v>-15</v>
      </c>
      <c r="AS344" s="2004">
        <v>-15</v>
      </c>
      <c r="AT344" s="2004">
        <v>-13</v>
      </c>
      <c r="AU344" s="2004">
        <v>-10</v>
      </c>
      <c r="AV344" s="2004">
        <v>-7</v>
      </c>
      <c r="AW344" s="2004">
        <v>-4</v>
      </c>
      <c r="AX344" s="2004">
        <v>-12</v>
      </c>
      <c r="AY344" s="2004">
        <v>-9</v>
      </c>
      <c r="AZ344" s="2004">
        <v>-6</v>
      </c>
      <c r="BA344" s="2004">
        <v>-3</v>
      </c>
      <c r="BB344" s="2004">
        <v>0</v>
      </c>
      <c r="BC344" s="2004">
        <v>20</v>
      </c>
      <c r="BD344" s="2004">
        <v>20</v>
      </c>
      <c r="BE344" s="2004">
        <v>20</v>
      </c>
      <c r="BF344" s="2004">
        <v>20</v>
      </c>
      <c r="BG344" s="2004">
        <v>20</v>
      </c>
      <c r="BH344" s="2004">
        <v>0.10299999999999999</v>
      </c>
      <c r="BI344" s="2004"/>
      <c r="BJ344" s="2004"/>
      <c r="BK344" s="2004"/>
      <c r="BL344" s="2004">
        <v>0.249</v>
      </c>
      <c r="BM344" s="2004"/>
      <c r="BN344" s="2004">
        <v>1</v>
      </c>
      <c r="BO344" s="2004" t="s">
        <v>9203</v>
      </c>
      <c r="BP344" s="516">
        <v>-6</v>
      </c>
      <c r="BQ344" s="689">
        <v>0</v>
      </c>
      <c r="BR344" s="2004" t="s">
        <v>2337</v>
      </c>
      <c r="BS344" s="2004" t="s">
        <v>9204</v>
      </c>
      <c r="BT344" s="2004">
        <v>0</v>
      </c>
      <c r="BU344" s="2004" t="s">
        <v>2339</v>
      </c>
      <c r="BV344" s="2004">
        <v>2.988</v>
      </c>
      <c r="BW344" s="2004">
        <v>0</v>
      </c>
      <c r="BX344" s="2004" t="s">
        <v>2337</v>
      </c>
      <c r="BY344" s="2004">
        <v>0</v>
      </c>
      <c r="BZ344" s="2004">
        <v>0</v>
      </c>
      <c r="CA344" s="2004" t="s">
        <v>2339</v>
      </c>
      <c r="CB344" s="2004">
        <v>2.2410000000000001</v>
      </c>
      <c r="CC344" s="2004">
        <v>0</v>
      </c>
      <c r="CD344" s="2004" t="s">
        <v>2337</v>
      </c>
      <c r="CE344" s="2004">
        <v>0</v>
      </c>
      <c r="CF344" s="2004">
        <v>0</v>
      </c>
      <c r="CG344" s="2004" t="s">
        <v>2339</v>
      </c>
      <c r="CH344" s="2004">
        <v>1.494</v>
      </c>
      <c r="CI344" s="2004">
        <v>0</v>
      </c>
      <c r="CJ344" s="2004" t="s">
        <v>2337</v>
      </c>
      <c r="CK344" s="2004">
        <v>0</v>
      </c>
      <c r="CL344" s="2004">
        <v>0</v>
      </c>
      <c r="CM344" s="2004" t="s">
        <v>2339</v>
      </c>
      <c r="CN344" s="2004">
        <v>0.747</v>
      </c>
      <c r="CP344" s="2004" t="s">
        <v>11153</v>
      </c>
    </row>
    <row r="345" spans="1:94">
      <c r="A345" s="2004" t="s">
        <v>9066</v>
      </c>
      <c r="B345" s="2004" t="s">
        <v>11154</v>
      </c>
      <c r="C345" s="2004" t="s">
        <v>9047</v>
      </c>
      <c r="D345" s="2004" t="s">
        <v>1629</v>
      </c>
      <c r="E345" s="2004" t="s">
        <v>9410</v>
      </c>
      <c r="F345" s="2004" t="s">
        <v>11149</v>
      </c>
      <c r="G345" s="2004" t="s">
        <v>9464</v>
      </c>
      <c r="H345" s="2004" t="s">
        <v>11155</v>
      </c>
      <c r="I345" s="2004" t="s">
        <v>11156</v>
      </c>
      <c r="J345" s="2004" t="s">
        <v>9230</v>
      </c>
      <c r="K345" s="2004"/>
      <c r="L345" s="2004"/>
      <c r="M345" s="2004"/>
      <c r="N345" s="2004" t="s">
        <v>9364</v>
      </c>
      <c r="O345" s="2004" t="s">
        <v>766</v>
      </c>
      <c r="P345" s="2004" t="s">
        <v>11157</v>
      </c>
      <c r="Q345" s="516">
        <v>0</v>
      </c>
      <c r="R345" s="2004" t="s">
        <v>9202</v>
      </c>
      <c r="S345" s="2004" t="s">
        <v>11158</v>
      </c>
      <c r="T345" s="2004" t="s">
        <v>11159</v>
      </c>
      <c r="U345" s="2004" t="s">
        <v>11159</v>
      </c>
      <c r="V345" s="2004" t="s">
        <v>11159</v>
      </c>
      <c r="W345" s="2004" t="s">
        <v>11159</v>
      </c>
      <c r="X345" s="2004" t="s">
        <v>11159</v>
      </c>
      <c r="Y345" s="2004"/>
      <c r="Z345" s="2004"/>
      <c r="AA345" s="2004"/>
      <c r="AB345" s="2004"/>
      <c r="AC345" s="2004"/>
      <c r="AD345" s="2004"/>
      <c r="AE345" s="2004"/>
      <c r="AF345" s="2004" t="s">
        <v>2337</v>
      </c>
      <c r="AG345" s="2004"/>
      <c r="AH345" s="2004">
        <v>0</v>
      </c>
      <c r="AI345" s="2004"/>
      <c r="AJ345" s="2004"/>
      <c r="AK345" s="2004"/>
      <c r="AL345" s="2004"/>
      <c r="AM345" s="2004"/>
      <c r="AN345" s="2004"/>
      <c r="AO345" s="2004"/>
      <c r="AP345" s="2004"/>
      <c r="AQ345" s="2004"/>
      <c r="AR345" s="2004"/>
      <c r="AS345" s="2004"/>
      <c r="AT345" s="2004"/>
      <c r="AU345" s="2004"/>
      <c r="AV345" s="2004"/>
      <c r="AW345" s="2004"/>
      <c r="AX345" s="2004"/>
      <c r="AY345" s="2004"/>
      <c r="AZ345" s="2004"/>
      <c r="BA345" s="2004"/>
      <c r="BB345" s="2004"/>
      <c r="BC345" s="2004"/>
      <c r="BD345" s="2004"/>
      <c r="BE345" s="2004"/>
      <c r="BF345" s="2004"/>
      <c r="BG345" s="2004"/>
      <c r="BH345" s="2004"/>
      <c r="BI345" s="2004"/>
      <c r="BJ345" s="2004"/>
      <c r="BK345" s="2004"/>
      <c r="BL345" s="2004"/>
      <c r="BM345" s="2004"/>
      <c r="BN345" s="2004"/>
      <c r="BO345" s="2004"/>
      <c r="BP345" s="516" t="s">
        <v>4150</v>
      </c>
      <c r="BQ345" s="702" t="s">
        <v>4150</v>
      </c>
      <c r="BR345" s="2004" t="s">
        <v>9204</v>
      </c>
      <c r="BS345" s="2004" t="s">
        <v>9204</v>
      </c>
      <c r="BT345" s="2004">
        <v>0</v>
      </c>
      <c r="BU345" s="2004" t="s">
        <v>9204</v>
      </c>
      <c r="BV345" s="2004">
        <v>0</v>
      </c>
      <c r="BW345" s="2004" t="s">
        <v>4140</v>
      </c>
      <c r="BX345" s="2004" t="s">
        <v>2335</v>
      </c>
      <c r="BY345" s="2004">
        <v>0</v>
      </c>
      <c r="BZ345" s="2004">
        <v>0</v>
      </c>
      <c r="CA345" s="2004">
        <v>0</v>
      </c>
      <c r="CB345" s="2004">
        <v>0</v>
      </c>
      <c r="CC345" s="2004" t="s">
        <v>4140</v>
      </c>
      <c r="CD345" s="2004" t="s">
        <v>2335</v>
      </c>
      <c r="CE345" s="2004">
        <v>0</v>
      </c>
      <c r="CF345" s="2004">
        <v>0</v>
      </c>
      <c r="CG345" s="2004">
        <v>0</v>
      </c>
      <c r="CH345" s="2004">
        <v>0</v>
      </c>
      <c r="CI345" s="2004" t="s">
        <v>4140</v>
      </c>
      <c r="CJ345" s="2004" t="s">
        <v>2335</v>
      </c>
      <c r="CK345" s="2004">
        <v>0</v>
      </c>
      <c r="CL345" s="2004">
        <v>0</v>
      </c>
      <c r="CM345" s="2004">
        <v>0</v>
      </c>
      <c r="CN345" s="2004">
        <v>0</v>
      </c>
      <c r="CP345" s="2004" t="s">
        <v>11160</v>
      </c>
    </row>
    <row r="346" spans="1:94">
      <c r="A346" s="2004" t="s">
        <v>9066</v>
      </c>
      <c r="B346" s="2004" t="s">
        <v>11161</v>
      </c>
      <c r="C346" s="2004" t="s">
        <v>9047</v>
      </c>
      <c r="D346" s="2004" t="s">
        <v>1629</v>
      </c>
      <c r="E346" s="2004" t="s">
        <v>9410</v>
      </c>
      <c r="F346" s="2004" t="s">
        <v>11149</v>
      </c>
      <c r="G346" s="2004" t="s">
        <v>9991</v>
      </c>
      <c r="H346" s="2004" t="s">
        <v>11162</v>
      </c>
      <c r="I346" s="2004" t="s">
        <v>11163</v>
      </c>
      <c r="J346" s="2004" t="s">
        <v>9230</v>
      </c>
      <c r="K346" s="2004"/>
      <c r="L346" s="2004"/>
      <c r="M346" s="2004"/>
      <c r="N346" s="2004" t="s">
        <v>9364</v>
      </c>
      <c r="O346" s="2004" t="s">
        <v>766</v>
      </c>
      <c r="P346" s="2004" t="s">
        <v>11164</v>
      </c>
      <c r="Q346" s="516">
        <v>0</v>
      </c>
      <c r="R346" s="2004" t="s">
        <v>9240</v>
      </c>
      <c r="S346" s="2004">
        <v>0</v>
      </c>
      <c r="T346" s="2004"/>
      <c r="U346" s="2004"/>
      <c r="V346" s="2004"/>
      <c r="W346" s="2004"/>
      <c r="X346" s="2004">
        <v>650</v>
      </c>
      <c r="Y346" s="2004"/>
      <c r="Z346" s="2004"/>
      <c r="AA346" s="2004"/>
      <c r="AB346" s="2004"/>
      <c r="AC346" s="2004"/>
      <c r="AD346" s="2004"/>
      <c r="AE346" s="2004"/>
      <c r="AF346" s="2004" t="s">
        <v>2337</v>
      </c>
      <c r="AG346" s="2004"/>
      <c r="AH346" s="2004">
        <v>0</v>
      </c>
      <c r="AI346" s="2004"/>
      <c r="AJ346" s="2004"/>
      <c r="AK346" s="2004"/>
      <c r="AL346" s="2004"/>
      <c r="AM346" s="2004"/>
      <c r="AN346" s="2004"/>
      <c r="AO346" s="2004"/>
      <c r="AP346" s="2004"/>
      <c r="AQ346" s="2004"/>
      <c r="AR346" s="2004"/>
      <c r="AS346" s="2004"/>
      <c r="AT346" s="2004"/>
      <c r="AU346" s="2004"/>
      <c r="AV346" s="2004"/>
      <c r="AW346" s="2004"/>
      <c r="AX346" s="2004"/>
      <c r="AY346" s="2004"/>
      <c r="AZ346" s="2004"/>
      <c r="BA346" s="2004"/>
      <c r="BB346" s="2004"/>
      <c r="BC346" s="2004"/>
      <c r="BD346" s="2004"/>
      <c r="BE346" s="2004"/>
      <c r="BF346" s="2004"/>
      <c r="BG346" s="2004"/>
      <c r="BH346" s="2004"/>
      <c r="BI346" s="2004"/>
      <c r="BJ346" s="2004"/>
      <c r="BK346" s="2004"/>
      <c r="BL346" s="2004"/>
      <c r="BM346" s="2004"/>
      <c r="BN346" s="2004"/>
      <c r="BO346" s="2004"/>
      <c r="BP346" s="516" t="s">
        <v>4150</v>
      </c>
      <c r="BQ346" s="689">
        <v>62</v>
      </c>
      <c r="BR346" s="2004" t="s">
        <v>9204</v>
      </c>
      <c r="BS346" s="2004" t="s">
        <v>9204</v>
      </c>
      <c r="BT346" s="2004">
        <v>0</v>
      </c>
      <c r="BU346" s="2004" t="s">
        <v>9204</v>
      </c>
      <c r="BV346" s="2004">
        <v>0</v>
      </c>
      <c r="BW346" s="2004">
        <v>68</v>
      </c>
      <c r="BX346" s="2004" t="s">
        <v>2335</v>
      </c>
      <c r="BY346" s="2004">
        <v>0</v>
      </c>
      <c r="BZ346" s="2004">
        <v>0</v>
      </c>
      <c r="CA346" s="2004">
        <v>0</v>
      </c>
      <c r="CB346" s="2004">
        <v>0</v>
      </c>
      <c r="CC346" s="2004">
        <v>156</v>
      </c>
      <c r="CD346" s="2004" t="s">
        <v>2335</v>
      </c>
      <c r="CE346" s="2004">
        <v>0</v>
      </c>
      <c r="CF346" s="2004">
        <v>0</v>
      </c>
      <c r="CG346" s="2004">
        <v>0</v>
      </c>
      <c r="CH346" s="2004">
        <v>0</v>
      </c>
      <c r="CI346" s="2004">
        <v>155.68900000000002</v>
      </c>
      <c r="CJ346" s="2004" t="s">
        <v>2335</v>
      </c>
      <c r="CK346" s="2004">
        <v>0</v>
      </c>
      <c r="CL346" s="2004">
        <v>0</v>
      </c>
      <c r="CM346" s="2004">
        <v>0</v>
      </c>
      <c r="CN346" s="2004">
        <v>0</v>
      </c>
      <c r="CP346" s="2004" t="s">
        <v>11165</v>
      </c>
    </row>
    <row r="347" spans="1:94">
      <c r="A347" s="2004" t="s">
        <v>9066</v>
      </c>
      <c r="B347" s="2004" t="s">
        <v>11166</v>
      </c>
      <c r="C347" s="2004" t="s">
        <v>9047</v>
      </c>
      <c r="D347" s="2004" t="s">
        <v>9275</v>
      </c>
      <c r="E347" s="2004" t="s">
        <v>9276</v>
      </c>
      <c r="F347" s="2004" t="s">
        <v>11027</v>
      </c>
      <c r="G347" s="2004" t="s">
        <v>9278</v>
      </c>
      <c r="H347" s="2004" t="s">
        <v>11167</v>
      </c>
      <c r="I347" s="2004" t="s">
        <v>11168</v>
      </c>
      <c r="J347" s="2004" t="s">
        <v>9230</v>
      </c>
      <c r="K347" s="2004"/>
      <c r="L347" s="2004"/>
      <c r="M347" s="2004"/>
      <c r="N347" s="2004" t="s">
        <v>9386</v>
      </c>
      <c r="O347" s="2004" t="s">
        <v>734</v>
      </c>
      <c r="P347" s="2004" t="s">
        <v>9387</v>
      </c>
      <c r="Q347" s="516">
        <v>1</v>
      </c>
      <c r="R347" s="2004" t="s">
        <v>9240</v>
      </c>
      <c r="S347" s="2004">
        <v>86</v>
      </c>
      <c r="T347" s="2004"/>
      <c r="U347" s="2004"/>
      <c r="V347" s="2004"/>
      <c r="W347" s="2004"/>
      <c r="X347" s="2004">
        <v>90</v>
      </c>
      <c r="Y347" s="2004"/>
      <c r="Z347" s="2004"/>
      <c r="AA347" s="2004"/>
      <c r="AB347" s="2004"/>
      <c r="AC347" s="2004"/>
      <c r="AD347" s="2004"/>
      <c r="AE347" s="2004"/>
      <c r="AF347" s="2004"/>
      <c r="AG347" s="2004"/>
      <c r="AH347" s="2004">
        <v>0</v>
      </c>
      <c r="AI347" s="2004"/>
      <c r="AJ347" s="2004"/>
      <c r="AK347" s="2004"/>
      <c r="AL347" s="2004"/>
      <c r="AM347" s="2004"/>
      <c r="AN347" s="2004"/>
      <c r="AO347" s="2004"/>
      <c r="AP347" s="2004"/>
      <c r="AQ347" s="2004"/>
      <c r="AR347" s="2004"/>
      <c r="AS347" s="2004"/>
      <c r="AT347" s="2004"/>
      <c r="AU347" s="2004"/>
      <c r="AV347" s="2004"/>
      <c r="AW347" s="2004"/>
      <c r="AX347" s="2004"/>
      <c r="AY347" s="2004"/>
      <c r="AZ347" s="2004"/>
      <c r="BA347" s="2004"/>
      <c r="BB347" s="2004"/>
      <c r="BC347" s="2004"/>
      <c r="BD347" s="2004"/>
      <c r="BE347" s="2004"/>
      <c r="BF347" s="2004"/>
      <c r="BG347" s="2004"/>
      <c r="BH347" s="2004"/>
      <c r="BI347" s="2004"/>
      <c r="BJ347" s="2004"/>
      <c r="BK347" s="2004"/>
      <c r="BL347" s="2004"/>
      <c r="BM347" s="2004"/>
      <c r="BN347" s="2004"/>
      <c r="BO347" s="2004"/>
      <c r="BP347" s="516">
        <v>90</v>
      </c>
      <c r="BQ347" s="686">
        <v>89</v>
      </c>
      <c r="BR347" s="2004" t="s">
        <v>9204</v>
      </c>
      <c r="BS347" s="2004" t="s">
        <v>9204</v>
      </c>
      <c r="BT347" s="2004">
        <v>0</v>
      </c>
      <c r="BU347" s="2004" t="s">
        <v>9204</v>
      </c>
      <c r="BV347" s="2004">
        <v>0</v>
      </c>
      <c r="BW347" s="2004">
        <v>89</v>
      </c>
      <c r="BX347" s="2004" t="s">
        <v>2335</v>
      </c>
      <c r="BY347" s="2004">
        <v>0</v>
      </c>
      <c r="BZ347" s="2004">
        <v>0</v>
      </c>
      <c r="CA347" s="2004">
        <v>0</v>
      </c>
      <c r="CB347" s="2004">
        <v>0</v>
      </c>
      <c r="CC347" s="2004">
        <v>91</v>
      </c>
      <c r="CD347" s="2004" t="s">
        <v>2335</v>
      </c>
      <c r="CE347" s="2004">
        <v>0</v>
      </c>
      <c r="CF347" s="2004">
        <v>0</v>
      </c>
      <c r="CG347" s="2004">
        <v>0</v>
      </c>
      <c r="CH347" s="2004">
        <v>0</v>
      </c>
      <c r="CI347" s="2004">
        <v>93</v>
      </c>
      <c r="CJ347" s="2004" t="s">
        <v>2335</v>
      </c>
      <c r="CK347" s="2004">
        <v>0</v>
      </c>
      <c r="CL347" s="2004">
        <v>0</v>
      </c>
      <c r="CM347" s="2004">
        <v>0</v>
      </c>
      <c r="CN347" s="2004">
        <v>0</v>
      </c>
      <c r="CP347" s="2004" t="s">
        <v>11169</v>
      </c>
    </row>
    <row r="348" spans="1:94">
      <c r="A348" s="2004" t="s">
        <v>9066</v>
      </c>
      <c r="B348" s="2004" t="s">
        <v>11170</v>
      </c>
      <c r="C348" s="2004" t="s">
        <v>9047</v>
      </c>
      <c r="D348" s="2004" t="s">
        <v>9275</v>
      </c>
      <c r="E348" s="2004" t="s">
        <v>9276</v>
      </c>
      <c r="F348" s="2004" t="s">
        <v>11027</v>
      </c>
      <c r="G348" s="2004" t="s">
        <v>9287</v>
      </c>
      <c r="H348" s="2004" t="s">
        <v>11171</v>
      </c>
      <c r="I348" s="2004" t="s">
        <v>9496</v>
      </c>
      <c r="J348" s="2004" t="s">
        <v>9199</v>
      </c>
      <c r="K348" s="2004" t="s">
        <v>9200</v>
      </c>
      <c r="L348" s="2004"/>
      <c r="M348" s="2004" t="s">
        <v>2334</v>
      </c>
      <c r="N348" s="2004" t="s">
        <v>9281</v>
      </c>
      <c r="O348" s="2004" t="s">
        <v>9282</v>
      </c>
      <c r="P348" s="2004" t="s">
        <v>9283</v>
      </c>
      <c r="Q348" s="516">
        <v>1</v>
      </c>
      <c r="R348" s="2004" t="s">
        <v>9240</v>
      </c>
      <c r="S348" s="2004">
        <v>77</v>
      </c>
      <c r="T348" s="2004"/>
      <c r="U348" s="2004"/>
      <c r="V348" s="2004"/>
      <c r="W348" s="2004"/>
      <c r="X348" s="2004">
        <v>85</v>
      </c>
      <c r="Y348" s="2004"/>
      <c r="Z348" s="2004"/>
      <c r="AA348" s="2004"/>
      <c r="AB348" s="2004"/>
      <c r="AC348" s="2004"/>
      <c r="AD348" s="2004"/>
      <c r="AE348" s="2004"/>
      <c r="AF348" s="2004"/>
      <c r="AG348" s="2004"/>
      <c r="AH348" s="2004">
        <v>0</v>
      </c>
      <c r="AI348" s="2004" t="s">
        <v>2337</v>
      </c>
      <c r="AJ348" s="2004" t="s">
        <v>2337</v>
      </c>
      <c r="AK348" s="2004" t="s">
        <v>2337</v>
      </c>
      <c r="AL348" s="2004" t="s">
        <v>2337</v>
      </c>
      <c r="AM348" s="2004" t="s">
        <v>2337</v>
      </c>
      <c r="AN348" s="2004" t="s">
        <v>9284</v>
      </c>
      <c r="AO348" s="2004" t="s">
        <v>9284</v>
      </c>
      <c r="AP348" s="2004" t="s">
        <v>9284</v>
      </c>
      <c r="AQ348" s="2004" t="s">
        <v>9284</v>
      </c>
      <c r="AR348" s="2004" t="s">
        <v>9284</v>
      </c>
      <c r="AS348" s="2004" t="s">
        <v>9284</v>
      </c>
      <c r="AT348" s="2004" t="s">
        <v>9284</v>
      </c>
      <c r="AU348" s="2004" t="s">
        <v>9284</v>
      </c>
      <c r="AV348" s="2004" t="s">
        <v>9284</v>
      </c>
      <c r="AW348" s="2004" t="s">
        <v>9284</v>
      </c>
      <c r="AX348" s="2004" t="s">
        <v>9284</v>
      </c>
      <c r="AY348" s="2004" t="s">
        <v>9284</v>
      </c>
      <c r="AZ348" s="2004" t="s">
        <v>9284</v>
      </c>
      <c r="BA348" s="2004" t="s">
        <v>9284</v>
      </c>
      <c r="BB348" s="2004" t="s">
        <v>9284</v>
      </c>
      <c r="BC348" s="2004" t="s">
        <v>9284</v>
      </c>
      <c r="BD348" s="2004" t="s">
        <v>9284</v>
      </c>
      <c r="BE348" s="2004" t="s">
        <v>9284</v>
      </c>
      <c r="BF348" s="2004" t="s">
        <v>9284</v>
      </c>
      <c r="BG348" s="2004" t="s">
        <v>9284</v>
      </c>
      <c r="BH348" s="2004" t="s">
        <v>9284</v>
      </c>
      <c r="BI348" s="2004"/>
      <c r="BJ348" s="2004"/>
      <c r="BK348" s="2004"/>
      <c r="BL348" s="2004" t="s">
        <v>9284</v>
      </c>
      <c r="BM348" s="2004"/>
      <c r="BN348" s="2004">
        <v>1</v>
      </c>
      <c r="BO348" s="2004" t="s">
        <v>9203</v>
      </c>
      <c r="BP348" s="516">
        <v>74.8</v>
      </c>
      <c r="BQ348" s="686">
        <v>78.599999999999994</v>
      </c>
      <c r="BR348" s="2004" t="s">
        <v>9204</v>
      </c>
      <c r="BS348" s="2004" t="s">
        <v>9204</v>
      </c>
      <c r="BT348" s="2004">
        <v>0</v>
      </c>
      <c r="BU348" s="2004" t="s">
        <v>9204</v>
      </c>
      <c r="BV348" s="2004">
        <v>0</v>
      </c>
      <c r="BW348" s="2004">
        <v>81.599999999999994</v>
      </c>
      <c r="BX348" s="2004" t="s">
        <v>2335</v>
      </c>
      <c r="BY348" s="2004">
        <v>0</v>
      </c>
      <c r="BZ348" s="2004">
        <v>0</v>
      </c>
      <c r="CA348" s="2004">
        <v>0</v>
      </c>
      <c r="CB348" s="2004">
        <v>0</v>
      </c>
      <c r="CC348" s="2004">
        <v>84.5</v>
      </c>
      <c r="CD348" s="2004" t="s">
        <v>2335</v>
      </c>
      <c r="CE348" s="2004">
        <v>0</v>
      </c>
      <c r="CF348" s="2004">
        <v>0</v>
      </c>
      <c r="CG348" s="2004">
        <v>0</v>
      </c>
      <c r="CH348" s="2004">
        <v>0</v>
      </c>
      <c r="CI348" s="2004">
        <v>87.62</v>
      </c>
      <c r="CJ348" s="2004" t="s">
        <v>2335</v>
      </c>
      <c r="CK348" s="2004">
        <v>0</v>
      </c>
      <c r="CL348" s="2004">
        <v>0</v>
      </c>
      <c r="CM348" s="2004">
        <v>0</v>
      </c>
      <c r="CN348" s="2004">
        <v>0</v>
      </c>
      <c r="CP348" s="2004" t="s">
        <v>11172</v>
      </c>
    </row>
    <row r="349" spans="1:94">
      <c r="A349" s="2004" t="s">
        <v>9066</v>
      </c>
      <c r="B349" s="2004" t="s">
        <v>11173</v>
      </c>
      <c r="C349" s="2004" t="s">
        <v>9047</v>
      </c>
      <c r="D349" s="2004" t="s">
        <v>9275</v>
      </c>
      <c r="E349" s="2004" t="s">
        <v>9276</v>
      </c>
      <c r="F349" s="2004" t="s">
        <v>11027</v>
      </c>
      <c r="G349" s="2004" t="s">
        <v>9499</v>
      </c>
      <c r="H349" s="2004" t="s">
        <v>11174</v>
      </c>
      <c r="I349" s="2004" t="s">
        <v>11175</v>
      </c>
      <c r="J349" s="2004" t="s">
        <v>9230</v>
      </c>
      <c r="K349" s="2004"/>
      <c r="L349" s="2004"/>
      <c r="M349" s="2004"/>
      <c r="N349" s="2004" t="s">
        <v>9290</v>
      </c>
      <c r="O349" s="2004" t="s">
        <v>734</v>
      </c>
      <c r="P349" s="2004" t="s">
        <v>9387</v>
      </c>
      <c r="Q349" s="516">
        <v>1</v>
      </c>
      <c r="R349" s="2004" t="s">
        <v>9240</v>
      </c>
      <c r="S349" s="2004">
        <v>47</v>
      </c>
      <c r="T349" s="2004"/>
      <c r="U349" s="2004"/>
      <c r="V349" s="2004"/>
      <c r="W349" s="2004"/>
      <c r="X349" s="2004">
        <v>90</v>
      </c>
      <c r="Y349" s="2004"/>
      <c r="Z349" s="2004"/>
      <c r="AA349" s="2004"/>
      <c r="AB349" s="2004"/>
      <c r="AC349" s="2004"/>
      <c r="AD349" s="2004"/>
      <c r="AE349" s="2004"/>
      <c r="AF349" s="2004"/>
      <c r="AG349" s="2004"/>
      <c r="AH349" s="2004">
        <v>0</v>
      </c>
      <c r="AI349" s="2004"/>
      <c r="AJ349" s="2004"/>
      <c r="AK349" s="2004"/>
      <c r="AL349" s="2004"/>
      <c r="AM349" s="2004"/>
      <c r="AN349" s="2004"/>
      <c r="AO349" s="2004"/>
      <c r="AP349" s="2004"/>
      <c r="AQ349" s="2004"/>
      <c r="AR349" s="2004"/>
      <c r="AS349" s="2004"/>
      <c r="AT349" s="2004"/>
      <c r="AU349" s="2004"/>
      <c r="AV349" s="2004"/>
      <c r="AW349" s="2004"/>
      <c r="AX349" s="2004"/>
      <c r="AY349" s="2004"/>
      <c r="AZ349" s="2004"/>
      <c r="BA349" s="2004"/>
      <c r="BB349" s="2004"/>
      <c r="BC349" s="2004"/>
      <c r="BD349" s="2004"/>
      <c r="BE349" s="2004"/>
      <c r="BF349" s="2004"/>
      <c r="BG349" s="2004"/>
      <c r="BH349" s="2004"/>
      <c r="BI349" s="2004"/>
      <c r="BJ349" s="2004"/>
      <c r="BK349" s="2004"/>
      <c r="BL349" s="2004"/>
      <c r="BM349" s="2004"/>
      <c r="BN349" s="2004"/>
      <c r="BO349" s="2004"/>
      <c r="BP349" s="516">
        <v>57.8</v>
      </c>
      <c r="BQ349" s="686">
        <v>59</v>
      </c>
      <c r="BR349" s="2004" t="s">
        <v>9204</v>
      </c>
      <c r="BS349" s="2004" t="s">
        <v>9204</v>
      </c>
      <c r="BT349" s="2004">
        <v>0</v>
      </c>
      <c r="BU349" s="2004" t="s">
        <v>9204</v>
      </c>
      <c r="BV349" s="2004">
        <v>0</v>
      </c>
      <c r="BW349" s="2004">
        <v>61</v>
      </c>
      <c r="BX349" s="2004" t="s">
        <v>2335</v>
      </c>
      <c r="BY349" s="2004">
        <v>0</v>
      </c>
      <c r="BZ349" s="2004">
        <v>0</v>
      </c>
      <c r="CA349" s="2004">
        <v>0</v>
      </c>
      <c r="CB349" s="2004">
        <v>0</v>
      </c>
      <c r="CC349" s="2004">
        <v>62</v>
      </c>
      <c r="CD349" s="2004" t="s">
        <v>2335</v>
      </c>
      <c r="CE349" s="2004">
        <v>0</v>
      </c>
      <c r="CF349" s="2004">
        <v>0</v>
      </c>
      <c r="CG349" s="2004">
        <v>0</v>
      </c>
      <c r="CH349" s="2004">
        <v>0</v>
      </c>
      <c r="CI349" s="2004">
        <v>66</v>
      </c>
      <c r="CJ349" s="2004" t="s">
        <v>2335</v>
      </c>
      <c r="CK349" s="2004">
        <v>0</v>
      </c>
      <c r="CL349" s="2004">
        <v>0</v>
      </c>
      <c r="CM349" s="2004">
        <v>0</v>
      </c>
      <c r="CN349" s="2004">
        <v>0</v>
      </c>
      <c r="CP349" s="2004" t="s">
        <v>11176</v>
      </c>
    </row>
    <row r="350" spans="1:94">
      <c r="A350" s="2004" t="s">
        <v>9066</v>
      </c>
      <c r="B350" s="2004" t="s">
        <v>11177</v>
      </c>
      <c r="C350" s="2004" t="s">
        <v>9047</v>
      </c>
      <c r="D350" s="2004" t="s">
        <v>9275</v>
      </c>
      <c r="E350" s="2004" t="s">
        <v>9276</v>
      </c>
      <c r="F350" s="2004" t="s">
        <v>11079</v>
      </c>
      <c r="G350" s="2004" t="s">
        <v>9512</v>
      </c>
      <c r="H350" s="2004" t="s">
        <v>11178</v>
      </c>
      <c r="I350" s="2004" t="s">
        <v>11179</v>
      </c>
      <c r="J350" s="2004" t="s">
        <v>9230</v>
      </c>
      <c r="K350" s="2004"/>
      <c r="L350" s="2004"/>
      <c r="M350" s="2004"/>
      <c r="N350" s="2004" t="s">
        <v>9290</v>
      </c>
      <c r="O350" s="2004" t="s">
        <v>766</v>
      </c>
      <c r="P350" s="2004" t="s">
        <v>11180</v>
      </c>
      <c r="Q350" s="516">
        <v>0</v>
      </c>
      <c r="R350" s="2004" t="s">
        <v>9240</v>
      </c>
      <c r="S350" s="2004">
        <v>21500</v>
      </c>
      <c r="T350" s="2004"/>
      <c r="U350" s="2004"/>
      <c r="V350" s="2004"/>
      <c r="W350" s="2004"/>
      <c r="X350" s="2004">
        <v>23210</v>
      </c>
      <c r="Y350" s="2004"/>
      <c r="Z350" s="2004"/>
      <c r="AA350" s="2004"/>
      <c r="AB350" s="2004"/>
      <c r="AC350" s="2004"/>
      <c r="AD350" s="2004"/>
      <c r="AE350" s="2004"/>
      <c r="AF350" s="2004"/>
      <c r="AG350" s="2004"/>
      <c r="AH350" s="2004">
        <v>0</v>
      </c>
      <c r="AI350" s="2004"/>
      <c r="AJ350" s="2004"/>
      <c r="AK350" s="2004"/>
      <c r="AL350" s="2004"/>
      <c r="AM350" s="2004"/>
      <c r="AN350" s="2004"/>
      <c r="AO350" s="2004"/>
      <c r="AP350" s="2004"/>
      <c r="AQ350" s="2004"/>
      <c r="AR350" s="2004"/>
      <c r="AS350" s="2004"/>
      <c r="AT350" s="2004"/>
      <c r="AU350" s="2004"/>
      <c r="AV350" s="2004"/>
      <c r="AW350" s="2004"/>
      <c r="AX350" s="2004"/>
      <c r="AY350" s="2004"/>
      <c r="AZ350" s="2004"/>
      <c r="BA350" s="2004"/>
      <c r="BB350" s="2004"/>
      <c r="BC350" s="2004"/>
      <c r="BD350" s="2004"/>
      <c r="BE350" s="2004"/>
      <c r="BF350" s="2004"/>
      <c r="BG350" s="2004"/>
      <c r="BH350" s="2004"/>
      <c r="BI350" s="2004"/>
      <c r="BJ350" s="2004"/>
      <c r="BK350" s="2004"/>
      <c r="BL350" s="2004"/>
      <c r="BM350" s="2004"/>
      <c r="BN350" s="2004"/>
      <c r="BO350" s="2004"/>
      <c r="BP350" s="516">
        <v>24899</v>
      </c>
      <c r="BQ350" s="689">
        <v>26837</v>
      </c>
      <c r="BR350" s="2004" t="s">
        <v>9204</v>
      </c>
      <c r="BS350" s="2004" t="s">
        <v>9204</v>
      </c>
      <c r="BT350" s="2004">
        <v>0</v>
      </c>
      <c r="BU350" s="2004" t="s">
        <v>9204</v>
      </c>
      <c r="BV350" s="2004">
        <v>0</v>
      </c>
      <c r="BW350" s="2004">
        <v>28409</v>
      </c>
      <c r="BX350" s="2004" t="s">
        <v>2335</v>
      </c>
      <c r="BY350" s="2004">
        <v>0</v>
      </c>
      <c r="BZ350" s="2004">
        <v>0</v>
      </c>
      <c r="CA350" s="2004">
        <v>0</v>
      </c>
      <c r="CB350" s="2004">
        <v>0</v>
      </c>
      <c r="CC350" s="2004">
        <v>29631</v>
      </c>
      <c r="CD350" s="2004" t="s">
        <v>2335</v>
      </c>
      <c r="CE350" s="2004">
        <v>0</v>
      </c>
      <c r="CF350" s="2004">
        <v>0</v>
      </c>
      <c r="CG350" s="2004">
        <v>0</v>
      </c>
      <c r="CH350" s="2004">
        <v>0</v>
      </c>
      <c r="CI350" s="2004">
        <v>30875</v>
      </c>
      <c r="CJ350" s="2004" t="s">
        <v>2335</v>
      </c>
      <c r="CK350" s="2004">
        <v>0</v>
      </c>
      <c r="CL350" s="2004">
        <v>0</v>
      </c>
      <c r="CM350" s="2004">
        <v>0</v>
      </c>
      <c r="CN350" s="2004">
        <v>0</v>
      </c>
      <c r="CP350" s="2004" t="s">
        <v>11181</v>
      </c>
    </row>
    <row r="351" spans="1:94">
      <c r="A351" s="2004" t="s">
        <v>9073</v>
      </c>
      <c r="B351" s="2004" t="s">
        <v>11182</v>
      </c>
      <c r="C351" s="2004" t="s">
        <v>9047</v>
      </c>
      <c r="D351" s="2004" t="s">
        <v>1628</v>
      </c>
      <c r="E351" s="2004" t="s">
        <v>9194</v>
      </c>
      <c r="F351" s="2004" t="s">
        <v>11183</v>
      </c>
      <c r="G351" s="2004" t="s">
        <v>11184</v>
      </c>
      <c r="H351" s="2004" t="s">
        <v>11185</v>
      </c>
      <c r="I351" s="2004" t="s">
        <v>11186</v>
      </c>
      <c r="J351" s="2004" t="s">
        <v>9230</v>
      </c>
      <c r="K351" s="2004"/>
      <c r="L351" s="2004"/>
      <c r="M351" s="2004"/>
      <c r="N351" s="2004" t="s">
        <v>9386</v>
      </c>
      <c r="O351" s="2004" t="s">
        <v>734</v>
      </c>
      <c r="P351" s="2004" t="s">
        <v>11187</v>
      </c>
      <c r="Q351" s="516">
        <v>0</v>
      </c>
      <c r="R351" s="2004" t="s">
        <v>9240</v>
      </c>
      <c r="S351" s="2004">
        <v>90</v>
      </c>
      <c r="T351" s="2004">
        <v>95</v>
      </c>
      <c r="U351" s="2004">
        <v>95</v>
      </c>
      <c r="V351" s="2004">
        <v>95</v>
      </c>
      <c r="W351" s="2004">
        <v>95</v>
      </c>
      <c r="X351" s="2004">
        <v>95</v>
      </c>
      <c r="Y351" s="2004"/>
      <c r="Z351" s="2004"/>
      <c r="AA351" s="2004"/>
      <c r="AB351" s="2004"/>
      <c r="AC351" s="2004"/>
      <c r="AD351" s="2004"/>
      <c r="AE351" s="2004"/>
      <c r="AF351" s="2004"/>
      <c r="AG351" s="2004"/>
      <c r="AH351" s="2004">
        <v>0</v>
      </c>
      <c r="AI351" s="2004"/>
      <c r="AJ351" s="2004"/>
      <c r="AK351" s="2004"/>
      <c r="AL351" s="2004"/>
      <c r="AM351" s="2004"/>
      <c r="AN351" s="2004"/>
      <c r="AO351" s="2004"/>
      <c r="AP351" s="2004"/>
      <c r="AQ351" s="2004"/>
      <c r="AR351" s="2004"/>
      <c r="AS351" s="2004"/>
      <c r="AT351" s="2004"/>
      <c r="AU351" s="2004"/>
      <c r="AV351" s="2004"/>
      <c r="AW351" s="2004"/>
      <c r="AX351" s="2004"/>
      <c r="AY351" s="2004"/>
      <c r="AZ351" s="2004"/>
      <c r="BA351" s="2004"/>
      <c r="BB351" s="2004"/>
      <c r="BC351" s="2004"/>
      <c r="BD351" s="2004"/>
      <c r="BE351" s="2004"/>
      <c r="BF351" s="2004"/>
      <c r="BG351" s="2004"/>
      <c r="BH351" s="2004"/>
      <c r="BI351" s="2004"/>
      <c r="BJ351" s="2004"/>
      <c r="BK351" s="2004"/>
      <c r="BL351" s="2004"/>
      <c r="BM351" s="2004"/>
      <c r="BN351" s="2004"/>
      <c r="BO351" s="2004"/>
      <c r="BP351" s="516">
        <v>89.87</v>
      </c>
      <c r="BQ351" s="689">
        <v>91.25</v>
      </c>
      <c r="BR351" s="2004" t="s">
        <v>2334</v>
      </c>
      <c r="BS351" s="2004" t="s">
        <v>9204</v>
      </c>
      <c r="BT351" s="2004">
        <v>0</v>
      </c>
      <c r="BU351" s="2004" t="s">
        <v>9204</v>
      </c>
      <c r="BV351" s="2004">
        <v>0</v>
      </c>
      <c r="BW351" s="2004">
        <v>95.63</v>
      </c>
      <c r="BX351" s="2004" t="s">
        <v>2337</v>
      </c>
      <c r="BY351" s="2004">
        <v>0</v>
      </c>
      <c r="BZ351" s="2004">
        <v>0</v>
      </c>
      <c r="CA351" s="2004">
        <v>0</v>
      </c>
      <c r="CB351" s="2004">
        <v>0</v>
      </c>
      <c r="CC351" s="2236">
        <v>96.03</v>
      </c>
      <c r="CD351" s="2004" t="s">
        <v>2337</v>
      </c>
      <c r="CE351" s="2004">
        <v>0</v>
      </c>
      <c r="CF351" s="2004">
        <v>0</v>
      </c>
      <c r="CG351" s="2004">
        <v>0</v>
      </c>
      <c r="CH351" s="2004">
        <v>0</v>
      </c>
      <c r="CI351" s="2236">
        <v>87.782413076603007</v>
      </c>
      <c r="CJ351" s="2004" t="s">
        <v>2334</v>
      </c>
      <c r="CK351" s="2004">
        <v>0</v>
      </c>
      <c r="CL351" s="2004">
        <v>0</v>
      </c>
      <c r="CM351" s="2004">
        <v>0</v>
      </c>
      <c r="CN351" s="2004">
        <v>0</v>
      </c>
      <c r="CP351" s="2004" t="s">
        <v>11188</v>
      </c>
    </row>
    <row r="352" spans="1:94">
      <c r="A352" s="2004" t="s">
        <v>9073</v>
      </c>
      <c r="B352" s="2004" t="s">
        <v>11189</v>
      </c>
      <c r="C352" s="2004" t="s">
        <v>9047</v>
      </c>
      <c r="D352" s="2004" t="s">
        <v>1628</v>
      </c>
      <c r="E352" s="2004" t="s">
        <v>9194</v>
      </c>
      <c r="F352" s="2004" t="s">
        <v>11183</v>
      </c>
      <c r="G352" s="2004" t="s">
        <v>11190</v>
      </c>
      <c r="H352" s="2004" t="s">
        <v>11191</v>
      </c>
      <c r="I352" s="2004" t="s">
        <v>11192</v>
      </c>
      <c r="J352" s="2004" t="s">
        <v>9230</v>
      </c>
      <c r="K352" s="2004"/>
      <c r="L352" s="2004"/>
      <c r="M352" s="2004"/>
      <c r="N352" s="2004" t="s">
        <v>9386</v>
      </c>
      <c r="O352" s="2004" t="s">
        <v>766</v>
      </c>
      <c r="P352" s="2004" t="s">
        <v>11193</v>
      </c>
      <c r="Q352" s="516">
        <v>2</v>
      </c>
      <c r="R352" s="2004" t="s">
        <v>9202</v>
      </c>
      <c r="S352" s="2004">
        <v>11.66</v>
      </c>
      <c r="T352" s="2004">
        <v>10.64</v>
      </c>
      <c r="U352" s="2004">
        <v>9.61</v>
      </c>
      <c r="V352" s="2004">
        <v>8.58</v>
      </c>
      <c r="W352" s="2004">
        <v>7.55</v>
      </c>
      <c r="X352" s="2004">
        <v>6.53</v>
      </c>
      <c r="Y352" s="2004"/>
      <c r="Z352" s="2004"/>
      <c r="AA352" s="2004"/>
      <c r="AB352" s="2004"/>
      <c r="AC352" s="2004"/>
      <c r="AD352" s="2004"/>
      <c r="AE352" s="2004"/>
      <c r="AF352" s="2004"/>
      <c r="AG352" s="2004"/>
      <c r="AH352" s="2004">
        <v>0</v>
      </c>
      <c r="AI352" s="2004"/>
      <c r="AJ352" s="2004"/>
      <c r="AK352" s="2004"/>
      <c r="AL352" s="2004"/>
      <c r="AM352" s="2004"/>
      <c r="AN352" s="2004"/>
      <c r="AO352" s="2004"/>
      <c r="AP352" s="2004"/>
      <c r="AQ352" s="2004"/>
      <c r="AR352" s="2004"/>
      <c r="AS352" s="2004"/>
      <c r="AT352" s="2004"/>
      <c r="AU352" s="2004"/>
      <c r="AV352" s="2004"/>
      <c r="AW352" s="2004"/>
      <c r="AX352" s="2004"/>
      <c r="AY352" s="2004"/>
      <c r="AZ352" s="2004"/>
      <c r="BA352" s="2004"/>
      <c r="BB352" s="2004"/>
      <c r="BC352" s="2004"/>
      <c r="BD352" s="2004"/>
      <c r="BE352" s="2004"/>
      <c r="BF352" s="2004"/>
      <c r="BG352" s="2004"/>
      <c r="BH352" s="2004"/>
      <c r="BI352" s="2004"/>
      <c r="BJ352" s="2004"/>
      <c r="BK352" s="2004"/>
      <c r="BL352" s="2004"/>
      <c r="BM352" s="2004"/>
      <c r="BN352" s="2004"/>
      <c r="BO352" s="2004"/>
      <c r="BP352" s="516">
        <v>11.53</v>
      </c>
      <c r="BQ352" s="690">
        <v>8.84</v>
      </c>
      <c r="BR352" s="2004" t="s">
        <v>2337</v>
      </c>
      <c r="BS352" s="2004" t="s">
        <v>9204</v>
      </c>
      <c r="BT352" s="2004">
        <v>0</v>
      </c>
      <c r="BU352" s="2004" t="s">
        <v>9204</v>
      </c>
      <c r="BV352" s="2004">
        <v>0</v>
      </c>
      <c r="BW352" s="2004">
        <v>9.1249206385227879</v>
      </c>
      <c r="BX352" s="2004" t="s">
        <v>2337</v>
      </c>
      <c r="BY352" s="2004">
        <v>0</v>
      </c>
      <c r="BZ352" s="2004">
        <v>0</v>
      </c>
      <c r="CA352" s="2004">
        <v>0</v>
      </c>
      <c r="CB352" s="2004">
        <v>0</v>
      </c>
      <c r="CC352" s="2004">
        <v>12.386340875657</v>
      </c>
      <c r="CD352" s="2004" t="s">
        <v>2337</v>
      </c>
      <c r="CE352" s="2004">
        <v>0</v>
      </c>
      <c r="CF352" s="2004">
        <v>0</v>
      </c>
      <c r="CG352" s="2004">
        <v>0</v>
      </c>
      <c r="CH352" s="2004">
        <v>0</v>
      </c>
      <c r="CI352" s="2004">
        <v>18.6056988747921</v>
      </c>
      <c r="CJ352" s="2004" t="s">
        <v>2334</v>
      </c>
      <c r="CK352" s="2004">
        <v>0</v>
      </c>
      <c r="CL352" s="2004">
        <v>0</v>
      </c>
      <c r="CM352" s="2004">
        <v>0</v>
      </c>
      <c r="CN352" s="2004">
        <v>0</v>
      </c>
      <c r="CP352" s="2004" t="s">
        <v>11194</v>
      </c>
    </row>
    <row r="353" spans="1:94">
      <c r="A353" s="2004" t="s">
        <v>9073</v>
      </c>
      <c r="B353" s="2004" t="s">
        <v>11195</v>
      </c>
      <c r="C353" s="2004" t="s">
        <v>9047</v>
      </c>
      <c r="D353" s="2004" t="s">
        <v>1628</v>
      </c>
      <c r="E353" s="2004" t="s">
        <v>9194</v>
      </c>
      <c r="F353" s="2004" t="s">
        <v>11183</v>
      </c>
      <c r="G353" s="2004" t="s">
        <v>11196</v>
      </c>
      <c r="H353" s="2004" t="s">
        <v>11197</v>
      </c>
      <c r="I353" s="2004" t="s">
        <v>11198</v>
      </c>
      <c r="J353" s="2004" t="s">
        <v>9230</v>
      </c>
      <c r="K353" s="2004"/>
      <c r="L353" s="2004"/>
      <c r="M353" s="2004"/>
      <c r="N353" s="2004" t="s">
        <v>9386</v>
      </c>
      <c r="O353" s="2004" t="s">
        <v>9282</v>
      </c>
      <c r="P353" s="2004" t="s">
        <v>11199</v>
      </c>
      <c r="Q353" s="516">
        <v>2</v>
      </c>
      <c r="R353" s="2004" t="s">
        <v>9240</v>
      </c>
      <c r="S353" s="2004">
        <v>4.0999999999999996</v>
      </c>
      <c r="T353" s="2004">
        <v>4.3499999999999996</v>
      </c>
      <c r="U353" s="2004">
        <v>4.45</v>
      </c>
      <c r="V353" s="2004">
        <v>4.5</v>
      </c>
      <c r="W353" s="2004">
        <v>4.55</v>
      </c>
      <c r="X353" s="2004">
        <v>4.5999999999999996</v>
      </c>
      <c r="Y353" s="2004"/>
      <c r="Z353" s="2004"/>
      <c r="AA353" s="2004"/>
      <c r="AB353" s="2004"/>
      <c r="AC353" s="2004"/>
      <c r="AD353" s="2004"/>
      <c r="AE353" s="2004"/>
      <c r="AF353" s="2004"/>
      <c r="AG353" s="2004"/>
      <c r="AH353" s="2004">
        <v>0</v>
      </c>
      <c r="AI353" s="2004"/>
      <c r="AJ353" s="2004"/>
      <c r="AK353" s="2004"/>
      <c r="AL353" s="2004"/>
      <c r="AM353" s="2004"/>
      <c r="AN353" s="2004"/>
      <c r="AO353" s="2004"/>
      <c r="AP353" s="2004"/>
      <c r="AQ353" s="2004"/>
      <c r="AR353" s="2004"/>
      <c r="AS353" s="2004"/>
      <c r="AT353" s="2004"/>
      <c r="AU353" s="2004"/>
      <c r="AV353" s="2004"/>
      <c r="AW353" s="2004"/>
      <c r="AX353" s="2004"/>
      <c r="AY353" s="2004"/>
      <c r="AZ353" s="2004"/>
      <c r="BA353" s="2004"/>
      <c r="BB353" s="2004"/>
      <c r="BC353" s="2004"/>
      <c r="BD353" s="2004"/>
      <c r="BE353" s="2004"/>
      <c r="BF353" s="2004"/>
      <c r="BG353" s="2004"/>
      <c r="BH353" s="2004"/>
      <c r="BI353" s="2004"/>
      <c r="BJ353" s="2004"/>
      <c r="BK353" s="2004"/>
      <c r="BL353" s="2004"/>
      <c r="BM353" s="2004"/>
      <c r="BN353" s="2004"/>
      <c r="BO353" s="2004"/>
      <c r="BP353" s="516">
        <v>3.97</v>
      </c>
      <c r="BQ353" s="690">
        <v>4.4400000000000004</v>
      </c>
      <c r="BR353" s="2004" t="s">
        <v>2337</v>
      </c>
      <c r="BS353" s="2004" t="s">
        <v>9204</v>
      </c>
      <c r="BT353" s="2004">
        <v>0</v>
      </c>
      <c r="BU353" s="2004" t="s">
        <v>9204</v>
      </c>
      <c r="BV353" s="2004">
        <v>0</v>
      </c>
      <c r="BW353" s="2004">
        <v>4.50023588614562</v>
      </c>
      <c r="BX353" s="2004" t="s">
        <v>2337</v>
      </c>
      <c r="BY353" s="2004">
        <v>0</v>
      </c>
      <c r="BZ353" s="2004">
        <v>0</v>
      </c>
      <c r="CA353" s="2004">
        <v>0</v>
      </c>
      <c r="CB353" s="2004">
        <v>0</v>
      </c>
      <c r="CC353" s="2004">
        <v>4.4216950913340796</v>
      </c>
      <c r="CD353" s="2004" t="s">
        <v>2334</v>
      </c>
      <c r="CE353" s="2004">
        <v>0</v>
      </c>
      <c r="CF353" s="2004">
        <v>0</v>
      </c>
      <c r="CG353" s="2004">
        <v>0</v>
      </c>
      <c r="CH353" s="2004">
        <v>0</v>
      </c>
      <c r="CI353" s="2004">
        <v>4.3935037719999999</v>
      </c>
      <c r="CJ353" s="2004" t="s">
        <v>2334</v>
      </c>
      <c r="CK353" s="2004">
        <v>0</v>
      </c>
      <c r="CL353" s="2004">
        <v>0</v>
      </c>
      <c r="CM353" s="2004">
        <v>0</v>
      </c>
      <c r="CN353" s="2004">
        <v>0</v>
      </c>
      <c r="CP353" s="2004" t="s">
        <v>11200</v>
      </c>
    </row>
    <row r="354" spans="1:94" ht="25.5">
      <c r="A354" s="2004" t="s">
        <v>9073</v>
      </c>
      <c r="B354" s="2004" t="s">
        <v>11201</v>
      </c>
      <c r="C354" s="2004" t="s">
        <v>9047</v>
      </c>
      <c r="D354" s="2004" t="s">
        <v>1628</v>
      </c>
      <c r="E354" s="2004" t="s">
        <v>9194</v>
      </c>
      <c r="F354" s="2004" t="s">
        <v>11183</v>
      </c>
      <c r="G354" s="2004" t="s">
        <v>11202</v>
      </c>
      <c r="H354" s="2004" t="s">
        <v>11203</v>
      </c>
      <c r="I354" s="2004" t="s">
        <v>11204</v>
      </c>
      <c r="J354" s="2004" t="s">
        <v>9210</v>
      </c>
      <c r="K354" s="2004" t="s">
        <v>9200</v>
      </c>
      <c r="L354" s="2004"/>
      <c r="M354" s="2004"/>
      <c r="N354" s="2004" t="s">
        <v>9211</v>
      </c>
      <c r="O354" s="2004" t="s">
        <v>766</v>
      </c>
      <c r="P354" s="2004" t="s">
        <v>11205</v>
      </c>
      <c r="Q354" s="516">
        <v>2</v>
      </c>
      <c r="R354" s="2004" t="s">
        <v>9240</v>
      </c>
      <c r="S354" s="2004">
        <v>4.24</v>
      </c>
      <c r="T354" s="2004"/>
      <c r="U354" s="2004"/>
      <c r="V354" s="2004"/>
      <c r="W354" s="2004"/>
      <c r="X354" s="2004">
        <v>15.45</v>
      </c>
      <c r="Y354" s="2004"/>
      <c r="Z354" s="2004"/>
      <c r="AA354" s="2004"/>
      <c r="AB354" s="2004"/>
      <c r="AC354" s="2004"/>
      <c r="AD354" s="2004"/>
      <c r="AE354" s="2004"/>
      <c r="AF354" s="2004"/>
      <c r="AG354" s="2004"/>
      <c r="AH354" s="2004">
        <v>0</v>
      </c>
      <c r="AI354" s="2004"/>
      <c r="AJ354" s="2004"/>
      <c r="AK354" s="2004"/>
      <c r="AL354" s="2004"/>
      <c r="AM354" s="2004" t="s">
        <v>2337</v>
      </c>
      <c r="AN354" s="2004"/>
      <c r="AO354" s="2004"/>
      <c r="AP354" s="2004"/>
      <c r="AQ354" s="2004"/>
      <c r="AR354" s="2004">
        <v>11.7</v>
      </c>
      <c r="AS354" s="2004"/>
      <c r="AT354" s="2004"/>
      <c r="AU354" s="2004"/>
      <c r="AV354" s="2004"/>
      <c r="AW354" s="2004">
        <v>15.45</v>
      </c>
      <c r="AX354" s="2004"/>
      <c r="AY354" s="2004"/>
      <c r="AZ354" s="2004"/>
      <c r="BA354" s="2004"/>
      <c r="BB354" s="2004"/>
      <c r="BC354" s="2004"/>
      <c r="BD354" s="2004"/>
      <c r="BE354" s="2004"/>
      <c r="BF354" s="2004"/>
      <c r="BG354" s="2004"/>
      <c r="BH354" s="2004">
        <v>0.88500000000000001</v>
      </c>
      <c r="BI354" s="2004"/>
      <c r="BJ354" s="2004"/>
      <c r="BK354" s="2004"/>
      <c r="BL354" s="2004"/>
      <c r="BM354" s="2004"/>
      <c r="BN354" s="2004">
        <v>1</v>
      </c>
      <c r="BO354" s="2004" t="s">
        <v>9203</v>
      </c>
      <c r="BP354" s="516" t="s">
        <v>9388</v>
      </c>
      <c r="BQ354" s="690" t="s">
        <v>9388</v>
      </c>
      <c r="BR354" s="2004" t="s">
        <v>9204</v>
      </c>
      <c r="BS354" s="2004" t="s">
        <v>9204</v>
      </c>
      <c r="BT354" s="2004">
        <v>0</v>
      </c>
      <c r="BU354" s="2004" t="s">
        <v>9204</v>
      </c>
      <c r="BV354" s="2004">
        <v>0</v>
      </c>
      <c r="BW354" s="2004" t="s">
        <v>9388</v>
      </c>
      <c r="BX354" s="2004" t="s">
        <v>2335</v>
      </c>
      <c r="BY354" s="2004">
        <v>0</v>
      </c>
      <c r="BZ354" s="2004">
        <v>0</v>
      </c>
      <c r="CA354" s="2004">
        <v>0</v>
      </c>
      <c r="CB354" s="2004">
        <v>0</v>
      </c>
      <c r="CC354" s="2004">
        <v>20.22</v>
      </c>
      <c r="CD354" s="2004" t="s">
        <v>2335</v>
      </c>
      <c r="CE354" s="2004">
        <v>0</v>
      </c>
      <c r="CF354" s="2004">
        <v>0</v>
      </c>
      <c r="CG354" s="2004">
        <v>0</v>
      </c>
      <c r="CH354" s="2004">
        <v>0</v>
      </c>
      <c r="CI354" s="2004">
        <v>28.25</v>
      </c>
      <c r="CJ354" s="2004" t="s">
        <v>2335</v>
      </c>
      <c r="CK354" s="2004">
        <v>0</v>
      </c>
      <c r="CL354" s="2004">
        <v>0</v>
      </c>
      <c r="CM354" s="2004">
        <v>0</v>
      </c>
      <c r="CN354" s="2004">
        <v>0</v>
      </c>
      <c r="CP354" s="2004" t="s">
        <v>11206</v>
      </c>
    </row>
    <row r="355" spans="1:94">
      <c r="A355" s="2004" t="s">
        <v>9073</v>
      </c>
      <c r="B355" s="2004" t="s">
        <v>11207</v>
      </c>
      <c r="C355" s="2004" t="s">
        <v>9047</v>
      </c>
      <c r="D355" s="2004" t="s">
        <v>1628</v>
      </c>
      <c r="E355" s="2004" t="s">
        <v>9194</v>
      </c>
      <c r="F355" s="2004" t="s">
        <v>11183</v>
      </c>
      <c r="G355" s="2004" t="s">
        <v>11208</v>
      </c>
      <c r="H355" s="2004" t="s">
        <v>11209</v>
      </c>
      <c r="I355" s="2004" t="s">
        <v>11210</v>
      </c>
      <c r="J355" s="2004" t="s">
        <v>9230</v>
      </c>
      <c r="K355" s="2004"/>
      <c r="L355" s="2004"/>
      <c r="M355" s="2004"/>
      <c r="N355" s="2004" t="s">
        <v>2927</v>
      </c>
      <c r="O355" s="2004" t="s">
        <v>766</v>
      </c>
      <c r="P355" s="2004" t="s">
        <v>11211</v>
      </c>
      <c r="Q355" s="516">
        <v>0</v>
      </c>
      <c r="R355" s="2004" t="s">
        <v>9240</v>
      </c>
      <c r="S355" s="2004" t="s">
        <v>11212</v>
      </c>
      <c r="T355" s="2004">
        <v>1170</v>
      </c>
      <c r="U355" s="2004">
        <v>1450</v>
      </c>
      <c r="V355" s="2004">
        <v>1410</v>
      </c>
      <c r="W355" s="2004">
        <v>900</v>
      </c>
      <c r="X355" s="2004">
        <v>890</v>
      </c>
      <c r="Y355" s="2004"/>
      <c r="Z355" s="2004"/>
      <c r="AA355" s="2004"/>
      <c r="AB355" s="2004"/>
      <c r="AC355" s="2004"/>
      <c r="AD355" s="2004"/>
      <c r="AE355" s="2004" t="s">
        <v>2337</v>
      </c>
      <c r="AF355" s="2004"/>
      <c r="AG355" s="2004"/>
      <c r="AH355" s="2004">
        <v>0</v>
      </c>
      <c r="AI355" s="2004"/>
      <c r="AJ355" s="2004"/>
      <c r="AK355" s="2004"/>
      <c r="AL355" s="2004"/>
      <c r="AM355" s="2004"/>
      <c r="AN355" s="2004"/>
      <c r="AO355" s="2004"/>
      <c r="AP355" s="2004"/>
      <c r="AQ355" s="2004"/>
      <c r="AR355" s="2004"/>
      <c r="AS355" s="2004"/>
      <c r="AT355" s="2004"/>
      <c r="AU355" s="2004"/>
      <c r="AV355" s="2004"/>
      <c r="AW355" s="2004"/>
      <c r="AX355" s="2004"/>
      <c r="AY355" s="2004"/>
      <c r="AZ355" s="2004"/>
      <c r="BA355" s="2004"/>
      <c r="BB355" s="2004"/>
      <c r="BC355" s="2004"/>
      <c r="BD355" s="2004"/>
      <c r="BE355" s="2004"/>
      <c r="BF355" s="2004"/>
      <c r="BG355" s="2004"/>
      <c r="BH355" s="2004"/>
      <c r="BI355" s="2004"/>
      <c r="BJ355" s="2004"/>
      <c r="BK355" s="2004"/>
      <c r="BL355" s="2004"/>
      <c r="BM355" s="2004"/>
      <c r="BN355" s="2004"/>
      <c r="BO355" s="2004"/>
      <c r="BP355" s="516" t="s">
        <v>9388</v>
      </c>
      <c r="BQ355" s="689">
        <v>1404</v>
      </c>
      <c r="BR355" s="2004" t="s">
        <v>2337</v>
      </c>
      <c r="BS355" s="2004" t="s">
        <v>9204</v>
      </c>
      <c r="BT355" s="2004">
        <v>0</v>
      </c>
      <c r="BU355" s="2004" t="s">
        <v>9204</v>
      </c>
      <c r="BV355" s="2004">
        <v>0</v>
      </c>
      <c r="BW355" s="2004">
        <v>2089</v>
      </c>
      <c r="BX355" s="2004" t="s">
        <v>2337</v>
      </c>
      <c r="BY355" s="2004">
        <v>0</v>
      </c>
      <c r="BZ355" s="2004">
        <v>0</v>
      </c>
      <c r="CA355" s="2004">
        <v>0</v>
      </c>
      <c r="CB355" s="2004">
        <v>0</v>
      </c>
      <c r="CC355" s="2004">
        <v>4834</v>
      </c>
      <c r="CD355" s="2004" t="s">
        <v>2337</v>
      </c>
      <c r="CE355" s="2004">
        <v>0</v>
      </c>
      <c r="CF355" s="2004">
        <v>0</v>
      </c>
      <c r="CG355" s="2004">
        <v>0</v>
      </c>
      <c r="CH355" s="2004">
        <v>0</v>
      </c>
      <c r="CI355" s="2004">
        <v>7957</v>
      </c>
      <c r="CJ355" s="2004" t="s">
        <v>2337</v>
      </c>
      <c r="CK355" s="2004">
        <v>0</v>
      </c>
      <c r="CL355" s="2004">
        <v>0</v>
      </c>
      <c r="CM355" s="2004">
        <v>0</v>
      </c>
      <c r="CN355" s="2004">
        <v>0</v>
      </c>
      <c r="CP355" s="2004" t="s">
        <v>11213</v>
      </c>
    </row>
    <row r="356" spans="1:94">
      <c r="A356" s="2004" t="s">
        <v>9073</v>
      </c>
      <c r="B356" s="2004" t="s">
        <v>11214</v>
      </c>
      <c r="C356" s="2004" t="s">
        <v>9047</v>
      </c>
      <c r="D356" s="2004" t="s">
        <v>1628</v>
      </c>
      <c r="E356" s="2004" t="s">
        <v>9194</v>
      </c>
      <c r="F356" s="2004" t="s">
        <v>11215</v>
      </c>
      <c r="G356" s="2004" t="s">
        <v>11216</v>
      </c>
      <c r="H356" s="2004" t="s">
        <v>11217</v>
      </c>
      <c r="I356" s="2004" t="s">
        <v>11218</v>
      </c>
      <c r="J356" s="2004" t="s">
        <v>9210</v>
      </c>
      <c r="K356" s="2004" t="s">
        <v>9200</v>
      </c>
      <c r="L356" s="2004"/>
      <c r="M356" s="2004" t="s">
        <v>2334</v>
      </c>
      <c r="N356" s="2004" t="s">
        <v>9260</v>
      </c>
      <c r="O356" s="2004" t="s">
        <v>9395</v>
      </c>
      <c r="P356" s="2004" t="s">
        <v>9546</v>
      </c>
      <c r="Q356" s="516" t="s">
        <v>9203</v>
      </c>
      <c r="R356" s="2004"/>
      <c r="S356" s="2004" t="s">
        <v>2338</v>
      </c>
      <c r="T356" s="2004" t="s">
        <v>2338</v>
      </c>
      <c r="U356" s="2004" t="s">
        <v>2338</v>
      </c>
      <c r="V356" s="2004" t="s">
        <v>2338</v>
      </c>
      <c r="W356" s="2004" t="s">
        <v>2338</v>
      </c>
      <c r="X356" s="2004" t="s">
        <v>2338</v>
      </c>
      <c r="Y356" s="2004"/>
      <c r="Z356" s="2004"/>
      <c r="AA356" s="2004"/>
      <c r="AB356" s="2004"/>
      <c r="AC356" s="2004"/>
      <c r="AD356" s="2004"/>
      <c r="AE356" s="2004" t="s">
        <v>2337</v>
      </c>
      <c r="AF356" s="2004"/>
      <c r="AG356" s="2004"/>
      <c r="AH356" s="2004">
        <v>6</v>
      </c>
      <c r="AI356" s="2004" t="s">
        <v>2337</v>
      </c>
      <c r="AJ356" s="2004" t="s">
        <v>2337</v>
      </c>
      <c r="AK356" s="2004" t="s">
        <v>2337</v>
      </c>
      <c r="AL356" s="2004" t="s">
        <v>2337</v>
      </c>
      <c r="AM356" s="2004" t="s">
        <v>2337</v>
      </c>
      <c r="AN356" s="2004" t="s">
        <v>9547</v>
      </c>
      <c r="AO356" s="2004" t="s">
        <v>9547</v>
      </c>
      <c r="AP356" s="2004" t="s">
        <v>9547</v>
      </c>
      <c r="AQ356" s="2004" t="s">
        <v>9547</v>
      </c>
      <c r="AR356" s="2004" t="s">
        <v>9547</v>
      </c>
      <c r="AS356" s="2004" t="s">
        <v>9548</v>
      </c>
      <c r="AT356" s="2004" t="s">
        <v>9548</v>
      </c>
      <c r="AU356" s="2004" t="s">
        <v>9548</v>
      </c>
      <c r="AV356" s="2004" t="s">
        <v>9548</v>
      </c>
      <c r="AW356" s="2004" t="s">
        <v>9548</v>
      </c>
      <c r="AX356" s="2004"/>
      <c r="AY356" s="2004"/>
      <c r="AZ356" s="2004"/>
      <c r="BA356" s="2004"/>
      <c r="BB356" s="2004"/>
      <c r="BC356" s="2004"/>
      <c r="BD356" s="2004"/>
      <c r="BE356" s="2004"/>
      <c r="BF356" s="2004"/>
      <c r="BG356" s="2004"/>
      <c r="BH356" s="2004">
        <v>4.6749999999999998</v>
      </c>
      <c r="BI356" s="2004"/>
      <c r="BJ356" s="2004"/>
      <c r="BK356" s="2004"/>
      <c r="BL356" s="2004"/>
      <c r="BM356" s="2004"/>
      <c r="BN356" s="2004">
        <v>1</v>
      </c>
      <c r="BO356" s="2004" t="s">
        <v>9203</v>
      </c>
      <c r="BP356" s="516" t="s">
        <v>2338</v>
      </c>
      <c r="BQ356" s="688" t="s">
        <v>9548</v>
      </c>
      <c r="BR356" s="2004" t="s">
        <v>2334</v>
      </c>
      <c r="BS356" s="2004" t="s">
        <v>9204</v>
      </c>
      <c r="BT356" s="2004">
        <v>0</v>
      </c>
      <c r="BU356" s="2004" t="s">
        <v>9254</v>
      </c>
      <c r="BV356" s="2004">
        <v>-4.6749999999999998</v>
      </c>
      <c r="BW356" s="2004" t="s">
        <v>9548</v>
      </c>
      <c r="BX356" s="2004" t="s">
        <v>2334</v>
      </c>
      <c r="BY356" s="2004">
        <v>0</v>
      </c>
      <c r="BZ356" s="2004">
        <v>0</v>
      </c>
      <c r="CA356" s="2004" t="s">
        <v>9254</v>
      </c>
      <c r="CB356" s="2004">
        <v>-4.6749999999999998</v>
      </c>
      <c r="CC356" s="2004" t="s">
        <v>9548</v>
      </c>
      <c r="CD356" s="2004" t="s">
        <v>2334</v>
      </c>
      <c r="CE356" s="2004">
        <v>0</v>
      </c>
      <c r="CF356" s="2004">
        <v>0</v>
      </c>
      <c r="CG356" s="2004" t="s">
        <v>2336</v>
      </c>
      <c r="CH356" s="2004">
        <v>-4.6749999999999998</v>
      </c>
      <c r="CI356" s="2004" t="s">
        <v>9548</v>
      </c>
      <c r="CJ356" s="2004" t="s">
        <v>2334</v>
      </c>
      <c r="CK356" s="2004">
        <v>0</v>
      </c>
      <c r="CL356" s="2004">
        <v>0</v>
      </c>
      <c r="CM356" s="2004" t="s">
        <v>2336</v>
      </c>
      <c r="CN356" s="2004">
        <v>-4.6749999999999998</v>
      </c>
      <c r="CP356" s="2004" t="s">
        <v>11219</v>
      </c>
    </row>
    <row r="357" spans="1:94">
      <c r="A357" s="2004" t="s">
        <v>9073</v>
      </c>
      <c r="B357" s="2004" t="s">
        <v>11220</v>
      </c>
      <c r="C357" s="2004" t="s">
        <v>9047</v>
      </c>
      <c r="D357" s="2004" t="s">
        <v>1628</v>
      </c>
      <c r="E357" s="2004" t="s">
        <v>9194</v>
      </c>
      <c r="F357" s="2004" t="s">
        <v>11215</v>
      </c>
      <c r="G357" s="2004" t="s">
        <v>11221</v>
      </c>
      <c r="H357" s="2004" t="s">
        <v>11222</v>
      </c>
      <c r="I357" s="2004" t="s">
        <v>11223</v>
      </c>
      <c r="J357" s="2004" t="s">
        <v>9210</v>
      </c>
      <c r="K357" s="2004" t="s">
        <v>9200</v>
      </c>
      <c r="L357" s="2004"/>
      <c r="M357" s="2004" t="s">
        <v>2334</v>
      </c>
      <c r="N357" s="2004" t="s">
        <v>9260</v>
      </c>
      <c r="O357" s="2004" t="s">
        <v>9395</v>
      </c>
      <c r="P357" s="2004" t="s">
        <v>9546</v>
      </c>
      <c r="Q357" s="516" t="s">
        <v>9203</v>
      </c>
      <c r="R357" s="2004"/>
      <c r="S357" s="2004" t="s">
        <v>2338</v>
      </c>
      <c r="T357" s="2004" t="s">
        <v>2338</v>
      </c>
      <c r="U357" s="2004" t="s">
        <v>2338</v>
      </c>
      <c r="V357" s="2004" t="s">
        <v>2338</v>
      </c>
      <c r="W357" s="2004" t="s">
        <v>2338</v>
      </c>
      <c r="X357" s="2004" t="s">
        <v>2338</v>
      </c>
      <c r="Y357" s="2004"/>
      <c r="Z357" s="2004"/>
      <c r="AA357" s="2004"/>
      <c r="AB357" s="2004"/>
      <c r="AC357" s="2004"/>
      <c r="AD357" s="2004"/>
      <c r="AE357" s="2004" t="s">
        <v>2337</v>
      </c>
      <c r="AF357" s="2004"/>
      <c r="AG357" s="2004"/>
      <c r="AH357" s="2004">
        <v>7</v>
      </c>
      <c r="AI357" s="2004" t="s">
        <v>2337</v>
      </c>
      <c r="AJ357" s="2004" t="s">
        <v>2337</v>
      </c>
      <c r="AK357" s="2004" t="s">
        <v>2337</v>
      </c>
      <c r="AL357" s="2004" t="s">
        <v>2337</v>
      </c>
      <c r="AM357" s="2004" t="s">
        <v>2337</v>
      </c>
      <c r="AN357" s="2004" t="s">
        <v>9547</v>
      </c>
      <c r="AO357" s="2004" t="s">
        <v>9547</v>
      </c>
      <c r="AP357" s="2004" t="s">
        <v>9547</v>
      </c>
      <c r="AQ357" s="2004" t="s">
        <v>9547</v>
      </c>
      <c r="AR357" s="2004" t="s">
        <v>9547</v>
      </c>
      <c r="AS357" s="2004" t="s">
        <v>9548</v>
      </c>
      <c r="AT357" s="2004" t="s">
        <v>9548</v>
      </c>
      <c r="AU357" s="2004" t="s">
        <v>9548</v>
      </c>
      <c r="AV357" s="2004" t="s">
        <v>9548</v>
      </c>
      <c r="AW357" s="2004" t="s">
        <v>9548</v>
      </c>
      <c r="AX357" s="2004"/>
      <c r="AY357" s="2004"/>
      <c r="AZ357" s="2004"/>
      <c r="BA357" s="2004"/>
      <c r="BB357" s="2004"/>
      <c r="BC357" s="2004"/>
      <c r="BD357" s="2004"/>
      <c r="BE357" s="2004"/>
      <c r="BF357" s="2004"/>
      <c r="BG357" s="2004"/>
      <c r="BH357" s="2004">
        <v>4.6749999999999998</v>
      </c>
      <c r="BI357" s="2004"/>
      <c r="BJ357" s="2004"/>
      <c r="BK357" s="2004"/>
      <c r="BL357" s="2004"/>
      <c r="BM357" s="2004"/>
      <c r="BN357" s="2004">
        <v>1</v>
      </c>
      <c r="BO357" s="2004" t="s">
        <v>9203</v>
      </c>
      <c r="BP357" s="516" t="s">
        <v>2338</v>
      </c>
      <c r="BQ357" s="688" t="s">
        <v>2338</v>
      </c>
      <c r="BR357" s="2004" t="s">
        <v>2337</v>
      </c>
      <c r="BS357" s="2004" t="s">
        <v>9204</v>
      </c>
      <c r="BT357" s="2004">
        <v>0</v>
      </c>
      <c r="BU357" s="2004" t="s">
        <v>9204</v>
      </c>
      <c r="BV357" s="2004">
        <v>0</v>
      </c>
      <c r="BW357" s="2004" t="s">
        <v>2338</v>
      </c>
      <c r="BX357" s="2004" t="s">
        <v>2337</v>
      </c>
      <c r="BY357" s="2004">
        <v>0</v>
      </c>
      <c r="BZ357" s="2004">
        <v>0</v>
      </c>
      <c r="CA357" s="2004">
        <v>0</v>
      </c>
      <c r="CB357" s="2004">
        <v>0</v>
      </c>
      <c r="CC357" s="2004" t="s">
        <v>2338</v>
      </c>
      <c r="CD357" s="2004" t="s">
        <v>2337</v>
      </c>
      <c r="CE357" s="2004">
        <v>0</v>
      </c>
      <c r="CF357" s="2004">
        <v>0</v>
      </c>
      <c r="CG357" s="2004">
        <v>0</v>
      </c>
      <c r="CH357" s="2004">
        <v>0</v>
      </c>
      <c r="CI357" s="2004" t="s">
        <v>2338</v>
      </c>
      <c r="CJ357" s="2004" t="s">
        <v>2337</v>
      </c>
      <c r="CK357" s="2004">
        <v>0</v>
      </c>
      <c r="CL357" s="2004">
        <v>0</v>
      </c>
      <c r="CM357" s="2004">
        <v>0</v>
      </c>
      <c r="CN357" s="2004">
        <v>0</v>
      </c>
      <c r="CP357" s="2004" t="s">
        <v>11224</v>
      </c>
    </row>
    <row r="358" spans="1:94">
      <c r="A358" s="2004" t="s">
        <v>9073</v>
      </c>
      <c r="B358" s="2004" t="s">
        <v>11225</v>
      </c>
      <c r="C358" s="2004" t="s">
        <v>9047</v>
      </c>
      <c r="D358" s="2004" t="s">
        <v>1628</v>
      </c>
      <c r="E358" s="2004" t="s">
        <v>9194</v>
      </c>
      <c r="F358" s="2004" t="s">
        <v>11215</v>
      </c>
      <c r="G358" s="2004" t="s">
        <v>11226</v>
      </c>
      <c r="H358" s="2004" t="s">
        <v>11227</v>
      </c>
      <c r="I358" s="2004" t="s">
        <v>11228</v>
      </c>
      <c r="J358" s="2004" t="s">
        <v>9210</v>
      </c>
      <c r="K358" s="2004" t="s">
        <v>9200</v>
      </c>
      <c r="L358" s="2004"/>
      <c r="M358" s="2004"/>
      <c r="N358" s="2004" t="s">
        <v>9238</v>
      </c>
      <c r="O358" s="2004" t="s">
        <v>734</v>
      </c>
      <c r="P358" s="2004" t="s">
        <v>9239</v>
      </c>
      <c r="Q358" s="516">
        <v>2</v>
      </c>
      <c r="R358" s="2004" t="s">
        <v>9240</v>
      </c>
      <c r="S358" s="2004">
        <v>99.94</v>
      </c>
      <c r="T358" s="2004">
        <v>99.94</v>
      </c>
      <c r="U358" s="2004">
        <v>99.94</v>
      </c>
      <c r="V358" s="2004">
        <v>100</v>
      </c>
      <c r="W358" s="2004">
        <v>100</v>
      </c>
      <c r="X358" s="2004">
        <v>100</v>
      </c>
      <c r="Y358" s="2004" t="s">
        <v>2337</v>
      </c>
      <c r="Z358" s="2004"/>
      <c r="AA358" s="2004"/>
      <c r="AB358" s="2004"/>
      <c r="AC358" s="2004"/>
      <c r="AD358" s="2004"/>
      <c r="AE358" s="2004" t="s">
        <v>2337</v>
      </c>
      <c r="AF358" s="2004"/>
      <c r="AG358" s="2004"/>
      <c r="AH358" s="2004">
        <v>0</v>
      </c>
      <c r="AI358" s="2004" t="s">
        <v>2337</v>
      </c>
      <c r="AJ358" s="2004" t="s">
        <v>2337</v>
      </c>
      <c r="AK358" s="2004" t="s">
        <v>2337</v>
      </c>
      <c r="AL358" s="2004" t="s">
        <v>2337</v>
      </c>
      <c r="AM358" s="2004" t="s">
        <v>2337</v>
      </c>
      <c r="AN358" s="2004">
        <v>99.91</v>
      </c>
      <c r="AO358" s="2004">
        <v>99.91</v>
      </c>
      <c r="AP358" s="2004">
        <v>99.93</v>
      </c>
      <c r="AQ358" s="2004">
        <v>99.93</v>
      </c>
      <c r="AR358" s="2004">
        <v>99.93</v>
      </c>
      <c r="AS358" s="2004">
        <v>99.93</v>
      </c>
      <c r="AT358" s="2004">
        <v>99.93</v>
      </c>
      <c r="AU358" s="2004">
        <v>99.95</v>
      </c>
      <c r="AV358" s="2004">
        <v>99.95</v>
      </c>
      <c r="AW358" s="2004">
        <v>99.95</v>
      </c>
      <c r="AX358" s="2004"/>
      <c r="AY358" s="2004"/>
      <c r="AZ358" s="2004"/>
      <c r="BA358" s="2004"/>
      <c r="BB358" s="2004"/>
      <c r="BC358" s="2004"/>
      <c r="BD358" s="2004"/>
      <c r="BE358" s="2004"/>
      <c r="BF358" s="2004"/>
      <c r="BG358" s="2004"/>
      <c r="BH358" s="2004">
        <v>3.915</v>
      </c>
      <c r="BI358" s="2004"/>
      <c r="BJ358" s="2004"/>
      <c r="BK358" s="2004"/>
      <c r="BL358" s="2004"/>
      <c r="BM358" s="2004"/>
      <c r="BN358" s="2004">
        <v>100</v>
      </c>
      <c r="BO358" s="2004" t="s">
        <v>9574</v>
      </c>
      <c r="BP358" s="516">
        <v>99.96</v>
      </c>
      <c r="BQ358" s="690">
        <v>99.956000000000003</v>
      </c>
      <c r="BR358" s="2004" t="s">
        <v>2337</v>
      </c>
      <c r="BS358" s="2004" t="s">
        <v>9204</v>
      </c>
      <c r="BT358" s="2004">
        <v>0</v>
      </c>
      <c r="BU358" s="2004" t="s">
        <v>9204</v>
      </c>
      <c r="BV358" s="2004">
        <v>0</v>
      </c>
      <c r="BW358" s="2004">
        <v>99.96</v>
      </c>
      <c r="BX358" s="2004" t="s">
        <v>2337</v>
      </c>
      <c r="BY358" s="2004">
        <v>0</v>
      </c>
      <c r="BZ358" s="2004">
        <v>0</v>
      </c>
      <c r="CA358" s="2004">
        <v>0</v>
      </c>
      <c r="CB358" s="2004">
        <v>0</v>
      </c>
      <c r="CC358" s="2004">
        <v>99.96</v>
      </c>
      <c r="CD358" s="2004" t="s">
        <v>2334</v>
      </c>
      <c r="CE358" s="2004">
        <v>0</v>
      </c>
      <c r="CF358" s="2004">
        <v>0</v>
      </c>
      <c r="CG358" s="2004" t="s">
        <v>2340</v>
      </c>
      <c r="CH358" s="2004">
        <v>0</v>
      </c>
      <c r="CI358" s="2004">
        <v>99.96</v>
      </c>
      <c r="CJ358" s="2004" t="s">
        <v>2334</v>
      </c>
      <c r="CK358" s="2004">
        <v>0</v>
      </c>
      <c r="CL358" s="2004">
        <v>0</v>
      </c>
      <c r="CM358" s="2004" t="s">
        <v>2340</v>
      </c>
      <c r="CN358" s="2004">
        <v>0</v>
      </c>
      <c r="CP358" s="2004" t="s">
        <v>11229</v>
      </c>
    </row>
    <row r="359" spans="1:94">
      <c r="A359" s="2004" t="s">
        <v>9073</v>
      </c>
      <c r="B359" s="2004" t="s">
        <v>11230</v>
      </c>
      <c r="C359" s="2004" t="s">
        <v>9047</v>
      </c>
      <c r="D359" s="2004" t="s">
        <v>1628</v>
      </c>
      <c r="E359" s="2004" t="s">
        <v>9194</v>
      </c>
      <c r="F359" s="2004" t="s">
        <v>11215</v>
      </c>
      <c r="G359" s="2004" t="s">
        <v>11231</v>
      </c>
      <c r="H359" s="2004" t="s">
        <v>11232</v>
      </c>
      <c r="I359" s="2004" t="s">
        <v>11233</v>
      </c>
      <c r="J359" s="2004" t="s">
        <v>9230</v>
      </c>
      <c r="K359" s="2004"/>
      <c r="L359" s="2004"/>
      <c r="M359" s="2004"/>
      <c r="N359" s="2004" t="s">
        <v>9304</v>
      </c>
      <c r="O359" s="2004" t="s">
        <v>766</v>
      </c>
      <c r="P359" s="2004" t="s">
        <v>11234</v>
      </c>
      <c r="Q359" s="516">
        <v>0</v>
      </c>
      <c r="R359" s="2004" t="s">
        <v>9202</v>
      </c>
      <c r="S359" s="2004">
        <v>34</v>
      </c>
      <c r="T359" s="2004">
        <v>34</v>
      </c>
      <c r="U359" s="2004">
        <v>34</v>
      </c>
      <c r="V359" s="2004">
        <v>34</v>
      </c>
      <c r="W359" s="2004">
        <v>34</v>
      </c>
      <c r="X359" s="2004">
        <v>34</v>
      </c>
      <c r="Y359" s="2004"/>
      <c r="Z359" s="2004"/>
      <c r="AA359" s="2004"/>
      <c r="AB359" s="2004"/>
      <c r="AC359" s="2004"/>
      <c r="AD359" s="2004"/>
      <c r="AE359" s="2004" t="s">
        <v>2337</v>
      </c>
      <c r="AF359" s="2004"/>
      <c r="AG359" s="2004"/>
      <c r="AH359" s="2004">
        <v>0</v>
      </c>
      <c r="AI359" s="2004"/>
      <c r="AJ359" s="2004"/>
      <c r="AK359" s="2004"/>
      <c r="AL359" s="2004"/>
      <c r="AM359" s="2004"/>
      <c r="AN359" s="2004"/>
      <c r="AO359" s="2004"/>
      <c r="AP359" s="2004"/>
      <c r="AQ359" s="2004"/>
      <c r="AR359" s="2004"/>
      <c r="AS359" s="2004"/>
      <c r="AT359" s="2004"/>
      <c r="AU359" s="2004"/>
      <c r="AV359" s="2004"/>
      <c r="AW359" s="2004"/>
      <c r="AX359" s="2004"/>
      <c r="AY359" s="2004"/>
      <c r="AZ359" s="2004"/>
      <c r="BA359" s="2004"/>
      <c r="BB359" s="2004"/>
      <c r="BC359" s="2004"/>
      <c r="BD359" s="2004"/>
      <c r="BE359" s="2004"/>
      <c r="BF359" s="2004"/>
      <c r="BG359" s="2004"/>
      <c r="BH359" s="2004"/>
      <c r="BI359" s="2004"/>
      <c r="BJ359" s="2004"/>
      <c r="BK359" s="2004"/>
      <c r="BL359" s="2004"/>
      <c r="BM359" s="2004"/>
      <c r="BN359" s="2004"/>
      <c r="BO359" s="2004"/>
      <c r="BP359" s="516">
        <v>0</v>
      </c>
      <c r="BQ359" s="689">
        <v>0</v>
      </c>
      <c r="BR359" s="2004" t="s">
        <v>2337</v>
      </c>
      <c r="BS359" s="2004" t="s">
        <v>9204</v>
      </c>
      <c r="BT359" s="2004">
        <v>0</v>
      </c>
      <c r="BU359" s="2004" t="s">
        <v>9204</v>
      </c>
      <c r="BV359" s="2004">
        <v>0</v>
      </c>
      <c r="BW359" s="2004">
        <v>5</v>
      </c>
      <c r="BX359" s="2004" t="s">
        <v>2337</v>
      </c>
      <c r="BY359" s="2004">
        <v>0</v>
      </c>
      <c r="BZ359" s="2004">
        <v>0</v>
      </c>
      <c r="CA359" s="2004">
        <v>0</v>
      </c>
      <c r="CB359" s="2004">
        <v>0</v>
      </c>
      <c r="CC359" s="2004">
        <v>206</v>
      </c>
      <c r="CD359" s="2004" t="s">
        <v>2334</v>
      </c>
      <c r="CE359" s="2004">
        <v>0</v>
      </c>
      <c r="CF359" s="2004">
        <v>0</v>
      </c>
      <c r="CG359" s="2004">
        <v>0</v>
      </c>
      <c r="CH359" s="2004">
        <v>0</v>
      </c>
      <c r="CI359" s="2004">
        <v>7</v>
      </c>
      <c r="CJ359" s="2004" t="s">
        <v>2337</v>
      </c>
      <c r="CK359" s="2004">
        <v>0</v>
      </c>
      <c r="CL359" s="2004">
        <v>0</v>
      </c>
      <c r="CM359" s="2004">
        <v>0</v>
      </c>
      <c r="CN359" s="2004">
        <v>0</v>
      </c>
      <c r="CP359" s="2004" t="s">
        <v>11235</v>
      </c>
    </row>
    <row r="360" spans="1:94">
      <c r="A360" s="2004" t="s">
        <v>9073</v>
      </c>
      <c r="B360" s="2004" t="s">
        <v>11236</v>
      </c>
      <c r="C360" s="2004" t="s">
        <v>9047</v>
      </c>
      <c r="D360" s="2004" t="s">
        <v>1628</v>
      </c>
      <c r="E360" s="2004" t="s">
        <v>9194</v>
      </c>
      <c r="F360" s="2004" t="s">
        <v>11215</v>
      </c>
      <c r="G360" s="2004" t="s">
        <v>11237</v>
      </c>
      <c r="H360" s="2004" t="s">
        <v>11238</v>
      </c>
      <c r="I360" s="2004" t="s">
        <v>11239</v>
      </c>
      <c r="J360" s="2004" t="s">
        <v>9199</v>
      </c>
      <c r="K360" s="2004" t="s">
        <v>9200</v>
      </c>
      <c r="L360" s="2004"/>
      <c r="M360" s="2004"/>
      <c r="N360" s="2004" t="s">
        <v>2951</v>
      </c>
      <c r="O360" s="2004" t="s">
        <v>9298</v>
      </c>
      <c r="P360" s="2004" t="s">
        <v>11240</v>
      </c>
      <c r="Q360" s="516">
        <v>2</v>
      </c>
      <c r="R360" s="2004" t="s">
        <v>9202</v>
      </c>
      <c r="S360" s="2004">
        <v>0.13</v>
      </c>
      <c r="T360" s="2004">
        <v>0.13</v>
      </c>
      <c r="U360" s="2004">
        <v>0.13</v>
      </c>
      <c r="V360" s="2004">
        <v>0.13</v>
      </c>
      <c r="W360" s="2004">
        <v>0.13</v>
      </c>
      <c r="X360" s="2004">
        <v>0.13</v>
      </c>
      <c r="Y360" s="2004"/>
      <c r="Z360" s="2004"/>
      <c r="AA360" s="2004" t="s">
        <v>2337</v>
      </c>
      <c r="AB360" s="2004"/>
      <c r="AC360" s="2004"/>
      <c r="AD360" s="2004"/>
      <c r="AE360" s="2004" t="s">
        <v>2337</v>
      </c>
      <c r="AF360" s="2004"/>
      <c r="AG360" s="2004"/>
      <c r="AH360" s="2004">
        <v>0</v>
      </c>
      <c r="AI360" s="2004" t="s">
        <v>2337</v>
      </c>
      <c r="AJ360" s="2004" t="s">
        <v>2337</v>
      </c>
      <c r="AK360" s="2004" t="s">
        <v>2337</v>
      </c>
      <c r="AL360" s="2004" t="s">
        <v>2337</v>
      </c>
      <c r="AM360" s="2004" t="s">
        <v>2337</v>
      </c>
      <c r="AN360" s="2004">
        <v>0.15</v>
      </c>
      <c r="AO360" s="2004">
        <v>0.15</v>
      </c>
      <c r="AP360" s="2004">
        <v>0.15</v>
      </c>
      <c r="AQ360" s="2004">
        <v>0.15</v>
      </c>
      <c r="AR360" s="2004">
        <v>0.15</v>
      </c>
      <c r="AS360" s="2004">
        <v>0.13</v>
      </c>
      <c r="AT360" s="2004">
        <v>0.13</v>
      </c>
      <c r="AU360" s="2004">
        <v>0.13</v>
      </c>
      <c r="AV360" s="2004">
        <v>0.13</v>
      </c>
      <c r="AW360" s="2004">
        <v>0.13</v>
      </c>
      <c r="AX360" s="2004">
        <v>0.13</v>
      </c>
      <c r="AY360" s="2004">
        <v>0.13</v>
      </c>
      <c r="AZ360" s="2004">
        <v>0.13</v>
      </c>
      <c r="BA360" s="2004">
        <v>0.13</v>
      </c>
      <c r="BB360" s="2004">
        <v>0.13</v>
      </c>
      <c r="BC360" s="2004">
        <v>0.1</v>
      </c>
      <c r="BD360" s="2004">
        <v>0.1</v>
      </c>
      <c r="BE360" s="2004">
        <v>0.1</v>
      </c>
      <c r="BF360" s="2004">
        <v>0.1</v>
      </c>
      <c r="BG360" s="2004">
        <v>0.1</v>
      </c>
      <c r="BH360" s="2004">
        <v>5.335</v>
      </c>
      <c r="BI360" s="2004"/>
      <c r="BJ360" s="2004"/>
      <c r="BK360" s="2004"/>
      <c r="BL360" s="2004">
        <v>3.125</v>
      </c>
      <c r="BM360" s="2004"/>
      <c r="BN360" s="2004">
        <v>100</v>
      </c>
      <c r="BO360" s="2004" t="s">
        <v>9697</v>
      </c>
      <c r="BP360" s="516" t="s">
        <v>9388</v>
      </c>
      <c r="BQ360" s="690">
        <v>0.122</v>
      </c>
      <c r="BR360" s="2004" t="s">
        <v>2337</v>
      </c>
      <c r="BS360" s="2004" t="s">
        <v>9204</v>
      </c>
      <c r="BT360" s="2004">
        <v>0</v>
      </c>
      <c r="BU360" s="2004" t="s">
        <v>2339</v>
      </c>
      <c r="BV360" s="2004">
        <v>3.125</v>
      </c>
      <c r="BW360" s="2004">
        <v>0.12</v>
      </c>
      <c r="BX360" s="2004" t="s">
        <v>2337</v>
      </c>
      <c r="BY360" s="2004">
        <v>0</v>
      </c>
      <c r="BZ360" s="2004">
        <v>0</v>
      </c>
      <c r="CA360" s="2004" t="s">
        <v>2339</v>
      </c>
      <c r="CB360" s="2004">
        <v>3.1250000000000027</v>
      </c>
      <c r="CC360" s="2004">
        <v>0.21</v>
      </c>
      <c r="CD360" s="2004" t="s">
        <v>2334</v>
      </c>
      <c r="CE360" s="2004">
        <v>0</v>
      </c>
      <c r="CF360" s="2004">
        <v>0</v>
      </c>
      <c r="CG360" s="2004" t="s">
        <v>2336</v>
      </c>
      <c r="CH360" s="2004">
        <v>-10.67</v>
      </c>
      <c r="CI360" s="2004">
        <v>0.26</v>
      </c>
      <c r="CJ360" s="2004" t="s">
        <v>2334</v>
      </c>
      <c r="CK360" s="2004">
        <v>0</v>
      </c>
      <c r="CL360" s="2004">
        <v>0</v>
      </c>
      <c r="CM360" s="2004" t="s">
        <v>2336</v>
      </c>
      <c r="CN360" s="2004">
        <v>-10.67</v>
      </c>
      <c r="CP360" s="2004" t="s">
        <v>11241</v>
      </c>
    </row>
    <row r="361" spans="1:94">
      <c r="A361" s="2004" t="s">
        <v>9073</v>
      </c>
      <c r="B361" s="2004" t="s">
        <v>11242</v>
      </c>
      <c r="C361" s="2004" t="s">
        <v>9047</v>
      </c>
      <c r="D361" s="2004" t="s">
        <v>1628</v>
      </c>
      <c r="E361" s="2004" t="s">
        <v>9194</v>
      </c>
      <c r="F361" s="2004" t="s">
        <v>11215</v>
      </c>
      <c r="G361" s="2004" t="s">
        <v>11243</v>
      </c>
      <c r="H361" s="2004" t="s">
        <v>11244</v>
      </c>
      <c r="I361" s="2004" t="s">
        <v>11245</v>
      </c>
      <c r="J361" s="2004" t="s">
        <v>9210</v>
      </c>
      <c r="K361" s="2004" t="s">
        <v>9200</v>
      </c>
      <c r="L361" s="2004"/>
      <c r="M361" s="2004"/>
      <c r="N361" s="2004" t="s">
        <v>9218</v>
      </c>
      <c r="O361" s="2004" t="s">
        <v>9282</v>
      </c>
      <c r="P361" s="2004" t="s">
        <v>9334</v>
      </c>
      <c r="Q361" s="516">
        <v>0</v>
      </c>
      <c r="R361" s="2004" t="s">
        <v>9240</v>
      </c>
      <c r="S361" s="2004">
        <v>100</v>
      </c>
      <c r="T361" s="2004">
        <v>100</v>
      </c>
      <c r="U361" s="2004">
        <v>100</v>
      </c>
      <c r="V361" s="2004">
        <v>100</v>
      </c>
      <c r="W361" s="2004">
        <v>100</v>
      </c>
      <c r="X361" s="2004">
        <v>100</v>
      </c>
      <c r="Y361" s="2004"/>
      <c r="Z361" s="2004"/>
      <c r="AA361" s="2004"/>
      <c r="AB361" s="2004"/>
      <c r="AC361" s="2004"/>
      <c r="AD361" s="2004"/>
      <c r="AE361" s="2004"/>
      <c r="AF361" s="2004"/>
      <c r="AG361" s="2004"/>
      <c r="AH361" s="2004">
        <v>0</v>
      </c>
      <c r="AI361" s="2004" t="s">
        <v>2337</v>
      </c>
      <c r="AJ361" s="2004" t="s">
        <v>2337</v>
      </c>
      <c r="AK361" s="2004" t="s">
        <v>2337</v>
      </c>
      <c r="AL361" s="2004" t="s">
        <v>2337</v>
      </c>
      <c r="AM361" s="2004" t="s">
        <v>2337</v>
      </c>
      <c r="AN361" s="2004">
        <v>97</v>
      </c>
      <c r="AO361" s="2004">
        <v>97</v>
      </c>
      <c r="AP361" s="2004">
        <v>97</v>
      </c>
      <c r="AQ361" s="2004">
        <v>97</v>
      </c>
      <c r="AR361" s="2004">
        <v>97</v>
      </c>
      <c r="AS361" s="2004">
        <v>100</v>
      </c>
      <c r="AT361" s="2004">
        <v>100</v>
      </c>
      <c r="AU361" s="2004">
        <v>100</v>
      </c>
      <c r="AV361" s="2004">
        <v>100</v>
      </c>
      <c r="AW361" s="2004">
        <v>100</v>
      </c>
      <c r="AX361" s="2004"/>
      <c r="AY361" s="2004"/>
      <c r="AZ361" s="2004"/>
      <c r="BA361" s="2004"/>
      <c r="BB361" s="2004"/>
      <c r="BC361" s="2004"/>
      <c r="BD361" s="2004"/>
      <c r="BE361" s="2004"/>
      <c r="BF361" s="2004"/>
      <c r="BG361" s="2004"/>
      <c r="BH361" s="2004">
        <v>2.2650000000000001</v>
      </c>
      <c r="BI361" s="2004"/>
      <c r="BJ361" s="2004"/>
      <c r="BK361" s="2004"/>
      <c r="BL361" s="2004"/>
      <c r="BM361" s="2004"/>
      <c r="BN361" s="2004">
        <v>1</v>
      </c>
      <c r="BO361" s="2004" t="s">
        <v>9203</v>
      </c>
      <c r="BP361" s="516">
        <v>100</v>
      </c>
      <c r="BQ361" s="689">
        <v>100</v>
      </c>
      <c r="BR361" s="2004" t="s">
        <v>2337</v>
      </c>
      <c r="BS361" s="2004" t="s">
        <v>9204</v>
      </c>
      <c r="BT361" s="2004">
        <v>0</v>
      </c>
      <c r="BU361" s="2004" t="s">
        <v>9204</v>
      </c>
      <c r="BV361" s="2004">
        <v>0</v>
      </c>
      <c r="BW361" s="2004">
        <v>99</v>
      </c>
      <c r="BX361" s="2004" t="s">
        <v>2334</v>
      </c>
      <c r="BY361" s="2004">
        <v>0</v>
      </c>
      <c r="BZ361" s="2004">
        <v>0</v>
      </c>
      <c r="CA361" s="2004" t="s">
        <v>9254</v>
      </c>
      <c r="CB361" s="2004">
        <v>-2.2650000000000001</v>
      </c>
      <c r="CC361" s="2004">
        <v>97</v>
      </c>
      <c r="CD361" s="2004" t="s">
        <v>2334</v>
      </c>
      <c r="CE361" s="2004">
        <v>0</v>
      </c>
      <c r="CF361" s="2004">
        <v>0</v>
      </c>
      <c r="CG361" s="2004" t="s">
        <v>2336</v>
      </c>
      <c r="CH361" s="2004">
        <v>-6.7949999999999999</v>
      </c>
      <c r="CI361" s="2004">
        <v>98</v>
      </c>
      <c r="CJ361" s="2004" t="s">
        <v>2334</v>
      </c>
      <c r="CK361" s="2004">
        <v>0</v>
      </c>
      <c r="CL361" s="2004">
        <v>0</v>
      </c>
      <c r="CM361" s="2004" t="s">
        <v>2336</v>
      </c>
      <c r="CN361" s="2004">
        <v>-4.53</v>
      </c>
      <c r="CP361" s="2004" t="s">
        <v>11246</v>
      </c>
    </row>
    <row r="362" spans="1:94">
      <c r="A362" s="2004" t="s">
        <v>9073</v>
      </c>
      <c r="B362" s="2004" t="s">
        <v>11247</v>
      </c>
      <c r="C362" s="2004" t="s">
        <v>9047</v>
      </c>
      <c r="D362" s="2004" t="s">
        <v>1628</v>
      </c>
      <c r="E362" s="2004" t="s">
        <v>9194</v>
      </c>
      <c r="F362" s="2004" t="s">
        <v>11215</v>
      </c>
      <c r="G362" s="2004" t="s">
        <v>11248</v>
      </c>
      <c r="H362" s="2004" t="s">
        <v>11249</v>
      </c>
      <c r="I362" s="2004" t="s">
        <v>11250</v>
      </c>
      <c r="J362" s="2004" t="s">
        <v>9210</v>
      </c>
      <c r="K362" s="2004" t="s">
        <v>9200</v>
      </c>
      <c r="L362" s="2004"/>
      <c r="M362" s="2004" t="s">
        <v>2334</v>
      </c>
      <c r="N362" s="2004" t="s">
        <v>5549</v>
      </c>
      <c r="O362" s="2004" t="s">
        <v>734</v>
      </c>
      <c r="P362" s="2004" t="s">
        <v>11251</v>
      </c>
      <c r="Q362" s="516">
        <v>0</v>
      </c>
      <c r="R362" s="2004" t="s">
        <v>9240</v>
      </c>
      <c r="S362" s="2004">
        <v>100</v>
      </c>
      <c r="T362" s="2004"/>
      <c r="U362" s="2004"/>
      <c r="V362" s="2004"/>
      <c r="W362" s="2004"/>
      <c r="X362" s="2004">
        <v>100</v>
      </c>
      <c r="Y362" s="2004"/>
      <c r="Z362" s="2004"/>
      <c r="AA362" s="2004"/>
      <c r="AB362" s="2004"/>
      <c r="AC362" s="2004"/>
      <c r="AD362" s="2004" t="s">
        <v>2337</v>
      </c>
      <c r="AE362" s="2004" t="s">
        <v>2337</v>
      </c>
      <c r="AF362" s="2004"/>
      <c r="AG362" s="2004"/>
      <c r="AH362" s="2004">
        <v>0</v>
      </c>
      <c r="AI362" s="2004"/>
      <c r="AJ362" s="2004"/>
      <c r="AK362" s="2004"/>
      <c r="AL362" s="2004"/>
      <c r="AM362" s="2004" t="s">
        <v>2337</v>
      </c>
      <c r="AN362" s="2004"/>
      <c r="AO362" s="2004"/>
      <c r="AP362" s="2004"/>
      <c r="AQ362" s="2004"/>
      <c r="AR362" s="2004">
        <v>0</v>
      </c>
      <c r="AS362" s="2004"/>
      <c r="AT362" s="2004"/>
      <c r="AU362" s="2004"/>
      <c r="AV362" s="2004"/>
      <c r="AW362" s="2004">
        <v>100</v>
      </c>
      <c r="AX362" s="2004"/>
      <c r="AY362" s="2004"/>
      <c r="AZ362" s="2004"/>
      <c r="BA362" s="2004"/>
      <c r="BB362" s="2004"/>
      <c r="BC362" s="2004"/>
      <c r="BD362" s="2004"/>
      <c r="BE362" s="2004"/>
      <c r="BF362" s="2004"/>
      <c r="BG362" s="2004"/>
      <c r="BH362" s="2004">
        <v>0.40939999999999999</v>
      </c>
      <c r="BI362" s="2004"/>
      <c r="BJ362" s="2004"/>
      <c r="BK362" s="2004"/>
      <c r="BL362" s="2004"/>
      <c r="BM362" s="2004"/>
      <c r="BN362" s="2004">
        <v>1</v>
      </c>
      <c r="BO362" s="2004" t="s">
        <v>9203</v>
      </c>
      <c r="BP362" s="516" t="s">
        <v>9388</v>
      </c>
      <c r="BQ362" s="689">
        <v>0</v>
      </c>
      <c r="BR362" s="2004" t="s">
        <v>9204</v>
      </c>
      <c r="BS362" s="2004" t="s">
        <v>9204</v>
      </c>
      <c r="BT362" s="2004">
        <v>0</v>
      </c>
      <c r="BU362" s="2004" t="s">
        <v>9204</v>
      </c>
      <c r="BV362" s="2004">
        <v>0</v>
      </c>
      <c r="BW362" s="2004" t="s">
        <v>9388</v>
      </c>
      <c r="BX362" s="2004" t="s">
        <v>2335</v>
      </c>
      <c r="BY362" s="2004">
        <v>0</v>
      </c>
      <c r="BZ362" s="2004">
        <v>0</v>
      </c>
      <c r="CA362" s="2004">
        <v>0</v>
      </c>
      <c r="CB362" s="2004">
        <v>0</v>
      </c>
      <c r="CC362" s="2236">
        <v>21</v>
      </c>
      <c r="CD362" s="2004" t="s">
        <v>2335</v>
      </c>
      <c r="CE362" s="2004">
        <v>0</v>
      </c>
      <c r="CF362" s="2004">
        <v>0</v>
      </c>
      <c r="CG362" s="2004">
        <v>0</v>
      </c>
      <c r="CH362" s="2004">
        <v>0</v>
      </c>
      <c r="CI362" s="2236">
        <v>42</v>
      </c>
      <c r="CJ362" s="2004" t="s">
        <v>2335</v>
      </c>
      <c r="CK362" s="2004">
        <v>0</v>
      </c>
      <c r="CL362" s="2004">
        <v>0</v>
      </c>
      <c r="CM362" s="2004">
        <v>0</v>
      </c>
      <c r="CN362" s="2004">
        <v>0</v>
      </c>
      <c r="CP362" s="2004" t="s">
        <v>11252</v>
      </c>
    </row>
    <row r="363" spans="1:94" ht="25.5">
      <c r="A363" s="2004" t="s">
        <v>9073</v>
      </c>
      <c r="B363" s="2004" t="s">
        <v>11253</v>
      </c>
      <c r="C363" s="2004" t="s">
        <v>9047</v>
      </c>
      <c r="D363" s="2004" t="s">
        <v>1628</v>
      </c>
      <c r="E363" s="2004" t="s">
        <v>9194</v>
      </c>
      <c r="F363" s="2004" t="s">
        <v>11215</v>
      </c>
      <c r="G363" s="2004" t="s">
        <v>11254</v>
      </c>
      <c r="H363" s="2004" t="s">
        <v>11255</v>
      </c>
      <c r="I363" s="2004" t="s">
        <v>11256</v>
      </c>
      <c r="J363" s="2004" t="s">
        <v>9199</v>
      </c>
      <c r="K363" s="2004" t="s">
        <v>9200</v>
      </c>
      <c r="L363" s="2004"/>
      <c r="M363" s="2004"/>
      <c r="N363" s="2004" t="s">
        <v>5533</v>
      </c>
      <c r="O363" s="2004" t="s">
        <v>766</v>
      </c>
      <c r="P363" s="2004" t="s">
        <v>11257</v>
      </c>
      <c r="Q363" s="516">
        <v>0</v>
      </c>
      <c r="R363" s="2004" t="s">
        <v>9240</v>
      </c>
      <c r="S363" s="2004" t="s">
        <v>4140</v>
      </c>
      <c r="T363" s="2004"/>
      <c r="U363" s="2004"/>
      <c r="V363" s="2004"/>
      <c r="W363" s="2004"/>
      <c r="X363" s="2004">
        <v>1015</v>
      </c>
      <c r="Y363" s="2004"/>
      <c r="Z363" s="2004"/>
      <c r="AA363" s="2004"/>
      <c r="AB363" s="2004"/>
      <c r="AC363" s="2004"/>
      <c r="AD363" s="2004"/>
      <c r="AE363" s="2004" t="s">
        <v>2337</v>
      </c>
      <c r="AF363" s="2004"/>
      <c r="AG363" s="2004"/>
      <c r="AH363" s="2004">
        <v>0</v>
      </c>
      <c r="AI363" s="2004"/>
      <c r="AJ363" s="2004"/>
      <c r="AK363" s="2004"/>
      <c r="AL363" s="2004"/>
      <c r="AM363" s="2004" t="s">
        <v>2337</v>
      </c>
      <c r="AN363" s="2004"/>
      <c r="AO363" s="2004"/>
      <c r="AP363" s="2004"/>
      <c r="AQ363" s="2004"/>
      <c r="AR363" s="2004">
        <v>812</v>
      </c>
      <c r="AS363" s="2004"/>
      <c r="AT363" s="2004"/>
      <c r="AU363" s="2004"/>
      <c r="AV363" s="2004"/>
      <c r="AW363" s="2004">
        <v>1015</v>
      </c>
      <c r="AX363" s="2004"/>
      <c r="AY363" s="2004"/>
      <c r="AZ363" s="2004"/>
      <c r="BA363" s="2004"/>
      <c r="BB363" s="2004">
        <v>1015</v>
      </c>
      <c r="BC363" s="2004"/>
      <c r="BD363" s="2004"/>
      <c r="BE363" s="2004"/>
      <c r="BF363" s="2004"/>
      <c r="BG363" s="2004">
        <v>1218</v>
      </c>
      <c r="BH363" s="2004">
        <v>5.0000000000000001E-3</v>
      </c>
      <c r="BI363" s="2004"/>
      <c r="BJ363" s="2004"/>
      <c r="BK363" s="2004"/>
      <c r="BL363" s="2004">
        <v>5.0000000000000001E-3</v>
      </c>
      <c r="BM363" s="2004"/>
      <c r="BN363" s="2004">
        <v>1</v>
      </c>
      <c r="BO363" s="2004" t="s">
        <v>9203</v>
      </c>
      <c r="BP363" s="516" t="s">
        <v>9388</v>
      </c>
      <c r="BQ363" s="688" t="s">
        <v>9388</v>
      </c>
      <c r="BR363" s="2004" t="s">
        <v>9204</v>
      </c>
      <c r="BS363" s="2004" t="s">
        <v>9204</v>
      </c>
      <c r="BT363" s="2004">
        <v>0</v>
      </c>
      <c r="BU363" s="2004" t="s">
        <v>9204</v>
      </c>
      <c r="BV363" s="2004">
        <v>0</v>
      </c>
      <c r="BW363" s="2004">
        <v>0</v>
      </c>
      <c r="BX363" s="2004" t="s">
        <v>2335</v>
      </c>
      <c r="BY363" s="2004">
        <v>0</v>
      </c>
      <c r="BZ363" s="2004">
        <v>0</v>
      </c>
      <c r="CA363" s="2004">
        <v>0</v>
      </c>
      <c r="CB363" s="2004">
        <v>0</v>
      </c>
      <c r="CC363" s="2004">
        <v>4</v>
      </c>
      <c r="CD363" s="2004" t="s">
        <v>2335</v>
      </c>
      <c r="CE363" s="2004">
        <v>0</v>
      </c>
      <c r="CF363" s="2004">
        <v>0</v>
      </c>
      <c r="CG363" s="2004">
        <v>0</v>
      </c>
      <c r="CH363" s="2004">
        <v>0</v>
      </c>
      <c r="CI363" s="2004">
        <v>747</v>
      </c>
      <c r="CJ363" s="2004" t="s">
        <v>2335</v>
      </c>
      <c r="CK363" s="2004">
        <v>0</v>
      </c>
      <c r="CL363" s="2004">
        <v>0</v>
      </c>
      <c r="CM363" s="2004">
        <v>0</v>
      </c>
      <c r="CN363" s="2004">
        <v>0</v>
      </c>
      <c r="CP363" s="2004" t="s">
        <v>11258</v>
      </c>
    </row>
    <row r="364" spans="1:94">
      <c r="A364" s="2004" t="s">
        <v>9073</v>
      </c>
      <c r="B364" s="2004" t="s">
        <v>11259</v>
      </c>
      <c r="C364" s="2004" t="s">
        <v>9047</v>
      </c>
      <c r="D364" s="2004" t="s">
        <v>1628</v>
      </c>
      <c r="E364" s="2004" t="s">
        <v>9194</v>
      </c>
      <c r="F364" s="2004" t="s">
        <v>11260</v>
      </c>
      <c r="G364" s="2004" t="s">
        <v>11261</v>
      </c>
      <c r="H364" s="2004" t="s">
        <v>11262</v>
      </c>
      <c r="I364" s="2004" t="s">
        <v>11263</v>
      </c>
      <c r="J364" s="2004" t="s">
        <v>9230</v>
      </c>
      <c r="K364" s="2004"/>
      <c r="L364" s="2004"/>
      <c r="M364" s="2004"/>
      <c r="N364" s="2004" t="s">
        <v>9372</v>
      </c>
      <c r="O364" s="2004" t="s">
        <v>766</v>
      </c>
      <c r="P364" s="2004" t="s">
        <v>9870</v>
      </c>
      <c r="Q364" s="516">
        <v>1</v>
      </c>
      <c r="R364" s="2004" t="s">
        <v>9202</v>
      </c>
      <c r="S364" s="2004">
        <v>247.8</v>
      </c>
      <c r="T364" s="2004">
        <v>227</v>
      </c>
      <c r="U364" s="2004">
        <v>185</v>
      </c>
      <c r="V364" s="2004">
        <v>166.1</v>
      </c>
      <c r="W364" s="2004">
        <v>146.6</v>
      </c>
      <c r="X364" s="2004">
        <v>136.19999999999999</v>
      </c>
      <c r="Y364" s="2004"/>
      <c r="Z364" s="2004"/>
      <c r="AA364" s="2004"/>
      <c r="AB364" s="2004"/>
      <c r="AC364" s="2004"/>
      <c r="AD364" s="2004"/>
      <c r="AE364" s="2004"/>
      <c r="AF364" s="2004"/>
      <c r="AG364" s="2004"/>
      <c r="AH364" s="2004">
        <v>0</v>
      </c>
      <c r="AI364" s="2004"/>
      <c r="AJ364" s="2004"/>
      <c r="AK364" s="2004"/>
      <c r="AL364" s="2004"/>
      <c r="AM364" s="2004"/>
      <c r="AN364" s="2004"/>
      <c r="AO364" s="2004"/>
      <c r="AP364" s="2004"/>
      <c r="AQ364" s="2004"/>
      <c r="AR364" s="2004"/>
      <c r="AS364" s="2004"/>
      <c r="AT364" s="2004"/>
      <c r="AU364" s="2004"/>
      <c r="AV364" s="2004"/>
      <c r="AW364" s="2004"/>
      <c r="AX364" s="2004"/>
      <c r="AY364" s="2004"/>
      <c r="AZ364" s="2004"/>
      <c r="BA364" s="2004"/>
      <c r="BB364" s="2004"/>
      <c r="BC364" s="2004"/>
      <c r="BD364" s="2004"/>
      <c r="BE364" s="2004"/>
      <c r="BF364" s="2004"/>
      <c r="BG364" s="2004"/>
      <c r="BH364" s="2004"/>
      <c r="BI364" s="2004"/>
      <c r="BJ364" s="2004"/>
      <c r="BK364" s="2004"/>
      <c r="BL364" s="2004"/>
      <c r="BM364" s="2004"/>
      <c r="BN364" s="2004"/>
      <c r="BO364" s="2004"/>
      <c r="BP364" s="516" t="s">
        <v>9388</v>
      </c>
      <c r="BQ364" s="686">
        <v>284.78500000000003</v>
      </c>
      <c r="BR364" s="2004" t="s">
        <v>2334</v>
      </c>
      <c r="BS364" s="2004" t="s">
        <v>9204</v>
      </c>
      <c r="BT364" s="2004">
        <v>0</v>
      </c>
      <c r="BU364" s="2004" t="s">
        <v>9204</v>
      </c>
      <c r="BV364" s="2004">
        <v>0</v>
      </c>
      <c r="BW364" s="2004">
        <v>160.69999999999999</v>
      </c>
      <c r="BX364" s="2004" t="s">
        <v>2337</v>
      </c>
      <c r="BY364" s="2004">
        <v>0</v>
      </c>
      <c r="BZ364" s="2004">
        <v>0</v>
      </c>
      <c r="CA364" s="2004">
        <v>0</v>
      </c>
      <c r="CB364" s="2004">
        <v>0</v>
      </c>
      <c r="CC364" s="2004">
        <v>46.2</v>
      </c>
      <c r="CD364" s="2004" t="s">
        <v>2337</v>
      </c>
      <c r="CE364" s="2004">
        <v>0</v>
      </c>
      <c r="CF364" s="2004">
        <v>0</v>
      </c>
      <c r="CG364" s="2004">
        <v>0</v>
      </c>
      <c r="CH364" s="2004">
        <v>0</v>
      </c>
      <c r="CI364" s="2004">
        <v>45.7</v>
      </c>
      <c r="CJ364" s="2004" t="s">
        <v>2337</v>
      </c>
      <c r="CK364" s="2004">
        <v>0</v>
      </c>
      <c r="CL364" s="2004">
        <v>0</v>
      </c>
      <c r="CM364" s="2004">
        <v>0</v>
      </c>
      <c r="CN364" s="2004">
        <v>0</v>
      </c>
      <c r="CP364" s="2004" t="s">
        <v>11264</v>
      </c>
    </row>
    <row r="365" spans="1:94">
      <c r="A365" s="2004" t="s">
        <v>9073</v>
      </c>
      <c r="B365" s="2004" t="s">
        <v>11265</v>
      </c>
      <c r="C365" s="2004" t="s">
        <v>9047</v>
      </c>
      <c r="D365" s="2004" t="s">
        <v>1628</v>
      </c>
      <c r="E365" s="2004" t="s">
        <v>9194</v>
      </c>
      <c r="F365" s="2004" t="s">
        <v>11260</v>
      </c>
      <c r="G365" s="2004" t="s">
        <v>11266</v>
      </c>
      <c r="H365" s="2004" t="s">
        <v>11267</v>
      </c>
      <c r="I365" s="2004" t="s">
        <v>11268</v>
      </c>
      <c r="J365" s="2004" t="s">
        <v>9199</v>
      </c>
      <c r="K365" s="2004" t="s">
        <v>9200</v>
      </c>
      <c r="L365" s="2004"/>
      <c r="M365" s="2004"/>
      <c r="N365" s="2004" t="s">
        <v>2927</v>
      </c>
      <c r="O365" s="2004" t="s">
        <v>766</v>
      </c>
      <c r="P365" s="2004" t="s">
        <v>11269</v>
      </c>
      <c r="Q365" s="516">
        <v>0</v>
      </c>
      <c r="R365" s="2004" t="s">
        <v>9202</v>
      </c>
      <c r="S365" s="2004">
        <v>665</v>
      </c>
      <c r="T365" s="2004">
        <v>649</v>
      </c>
      <c r="U365" s="2004">
        <v>630</v>
      </c>
      <c r="V365" s="2004">
        <v>620</v>
      </c>
      <c r="W365" s="2004">
        <v>612</v>
      </c>
      <c r="X365" s="2004">
        <v>606</v>
      </c>
      <c r="Y365" s="2004"/>
      <c r="Z365" s="2004"/>
      <c r="AA365" s="2004"/>
      <c r="AB365" s="2004"/>
      <c r="AC365" s="2004"/>
      <c r="AD365" s="2004"/>
      <c r="AE365" s="2004" t="s">
        <v>2337</v>
      </c>
      <c r="AF365" s="2004"/>
      <c r="AG365" s="2004"/>
      <c r="AH365" s="2004">
        <v>0</v>
      </c>
      <c r="AI365" s="2004" t="s">
        <v>2337</v>
      </c>
      <c r="AJ365" s="2004" t="s">
        <v>2337</v>
      </c>
      <c r="AK365" s="2004" t="s">
        <v>2337</v>
      </c>
      <c r="AL365" s="2004" t="s">
        <v>2337</v>
      </c>
      <c r="AM365" s="2004" t="s">
        <v>2337</v>
      </c>
      <c r="AN365" s="2004">
        <v>657</v>
      </c>
      <c r="AO365" s="2004">
        <v>649</v>
      </c>
      <c r="AP365" s="2004">
        <v>649</v>
      </c>
      <c r="AQ365" s="2004">
        <v>649</v>
      </c>
      <c r="AR365" s="2004">
        <v>649</v>
      </c>
      <c r="AS365" s="2004">
        <v>649</v>
      </c>
      <c r="AT365" s="2004">
        <v>630</v>
      </c>
      <c r="AU365" s="2004">
        <v>620</v>
      </c>
      <c r="AV365" s="2004">
        <v>612</v>
      </c>
      <c r="AW365" s="2004">
        <v>606</v>
      </c>
      <c r="AX365" s="2004">
        <v>637</v>
      </c>
      <c r="AY365" s="2004">
        <v>619</v>
      </c>
      <c r="AZ365" s="2004">
        <v>609</v>
      </c>
      <c r="BA365" s="2004">
        <v>600</v>
      </c>
      <c r="BB365" s="2004">
        <v>594</v>
      </c>
      <c r="BC365" s="2004">
        <v>626</v>
      </c>
      <c r="BD365" s="2004">
        <v>607</v>
      </c>
      <c r="BE365" s="2004">
        <v>596</v>
      </c>
      <c r="BF365" s="2004">
        <v>588</v>
      </c>
      <c r="BG365" s="2004">
        <v>582</v>
      </c>
      <c r="BH365" s="2004">
        <v>0.45</v>
      </c>
      <c r="BI365" s="2004"/>
      <c r="BJ365" s="2004"/>
      <c r="BK365" s="2004"/>
      <c r="BL365" s="2004">
        <v>0.27</v>
      </c>
      <c r="BM365" s="2004"/>
      <c r="BN365" s="2004">
        <v>1</v>
      </c>
      <c r="BO365" s="2004" t="s">
        <v>9203</v>
      </c>
      <c r="BP365" s="516">
        <v>653.96</v>
      </c>
      <c r="BQ365" s="689">
        <v>642.46</v>
      </c>
      <c r="BR365" s="2004" t="s">
        <v>2337</v>
      </c>
      <c r="BS365" s="2004" t="s">
        <v>9204</v>
      </c>
      <c r="BT365" s="2004">
        <v>0</v>
      </c>
      <c r="BU365" s="2004" t="s">
        <v>9074</v>
      </c>
      <c r="BV365" s="2004">
        <v>0</v>
      </c>
      <c r="BW365" s="2004">
        <v>677</v>
      </c>
      <c r="BX365" s="2004" t="s">
        <v>2334</v>
      </c>
      <c r="BY365" s="2004">
        <v>0</v>
      </c>
      <c r="BZ365" s="2004">
        <v>0</v>
      </c>
      <c r="CA365" s="2004" t="s">
        <v>9254</v>
      </c>
      <c r="CB365" s="2004">
        <v>-8.5500000000000007</v>
      </c>
      <c r="CC365" s="2004">
        <v>695</v>
      </c>
      <c r="CD365" s="2004" t="s">
        <v>2334</v>
      </c>
      <c r="CE365" s="2004">
        <v>0</v>
      </c>
      <c r="CF365" s="2004">
        <v>0</v>
      </c>
      <c r="CG365" s="2004" t="s">
        <v>2336</v>
      </c>
      <c r="CH365" s="2004">
        <v>-13.05</v>
      </c>
      <c r="CI365" s="2004">
        <v>690</v>
      </c>
      <c r="CJ365" s="2004" t="s">
        <v>2334</v>
      </c>
      <c r="CK365" s="2004">
        <v>0</v>
      </c>
      <c r="CL365" s="2004">
        <v>0</v>
      </c>
      <c r="CM365" s="2004" t="s">
        <v>2336</v>
      </c>
      <c r="CN365" s="2004">
        <v>-35.1</v>
      </c>
      <c r="CP365" s="2004" t="s">
        <v>11270</v>
      </c>
    </row>
    <row r="366" spans="1:94" ht="25.5">
      <c r="A366" s="2004" t="s">
        <v>9073</v>
      </c>
      <c r="B366" s="2004" t="s">
        <v>11271</v>
      </c>
      <c r="C366" s="2004" t="s">
        <v>9047</v>
      </c>
      <c r="D366" s="2004" t="s">
        <v>1628</v>
      </c>
      <c r="E366" s="2004" t="s">
        <v>9194</v>
      </c>
      <c r="F366" s="2004" t="s">
        <v>11260</v>
      </c>
      <c r="G366" s="2004" t="s">
        <v>11272</v>
      </c>
      <c r="H366" s="2004" t="s">
        <v>11273</v>
      </c>
      <c r="I366" s="2004" t="s">
        <v>11274</v>
      </c>
      <c r="J366" s="2004" t="s">
        <v>9230</v>
      </c>
      <c r="K366" s="2004"/>
      <c r="L366" s="2004"/>
      <c r="M366" s="2004"/>
      <c r="N366" s="2004" t="s">
        <v>9224</v>
      </c>
      <c r="O366" s="2004" t="s">
        <v>766</v>
      </c>
      <c r="P366" s="2004" t="s">
        <v>11275</v>
      </c>
      <c r="Q366" s="516">
        <v>2</v>
      </c>
      <c r="R366" s="2004"/>
      <c r="S366" s="2004" t="s">
        <v>4140</v>
      </c>
      <c r="T366" s="2004" t="s">
        <v>11276</v>
      </c>
      <c r="U366" s="2004" t="s">
        <v>11276</v>
      </c>
      <c r="V366" s="2004" t="s">
        <v>11276</v>
      </c>
      <c r="W366" s="2004" t="s">
        <v>11276</v>
      </c>
      <c r="X366" s="2004" t="s">
        <v>11276</v>
      </c>
      <c r="Y366" s="2004"/>
      <c r="Z366" s="2004"/>
      <c r="AA366" s="2004"/>
      <c r="AB366" s="2004"/>
      <c r="AC366" s="2004"/>
      <c r="AD366" s="2004"/>
      <c r="AE366" s="2004"/>
      <c r="AF366" s="2004"/>
      <c r="AG366" s="2004" t="s">
        <v>2337</v>
      </c>
      <c r="AH366" s="2004">
        <v>0</v>
      </c>
      <c r="AI366" s="2004"/>
      <c r="AJ366" s="2004"/>
      <c r="AK366" s="2004"/>
      <c r="AL366" s="2004"/>
      <c r="AM366" s="2004"/>
      <c r="AN366" s="2004"/>
      <c r="AO366" s="2004"/>
      <c r="AP366" s="2004"/>
      <c r="AQ366" s="2004"/>
      <c r="AR366" s="2004"/>
      <c r="AS366" s="2004"/>
      <c r="AT366" s="2004"/>
      <c r="AU366" s="2004"/>
      <c r="AV366" s="2004"/>
      <c r="AW366" s="2004"/>
      <c r="AX366" s="2004"/>
      <c r="AY366" s="2004"/>
      <c r="AZ366" s="2004"/>
      <c r="BA366" s="2004"/>
      <c r="BB366" s="2004"/>
      <c r="BC366" s="2004"/>
      <c r="BD366" s="2004"/>
      <c r="BE366" s="2004"/>
      <c r="BF366" s="2004"/>
      <c r="BG366" s="2004"/>
      <c r="BH366" s="2004"/>
      <c r="BI366" s="2004"/>
      <c r="BJ366" s="2004"/>
      <c r="BK366" s="2004"/>
      <c r="BL366" s="2004"/>
      <c r="BM366" s="2004"/>
      <c r="BN366" s="2004"/>
      <c r="BO366" s="2004"/>
      <c r="BP366" s="516" t="s">
        <v>9388</v>
      </c>
      <c r="BQ366" s="688" t="s">
        <v>9388</v>
      </c>
      <c r="BR366" s="2004" t="s">
        <v>9204</v>
      </c>
      <c r="BS366" s="2004" t="s">
        <v>9204</v>
      </c>
      <c r="BT366" s="2004">
        <v>0</v>
      </c>
      <c r="BU366" s="2004" t="s">
        <v>9204</v>
      </c>
      <c r="BV366" s="2004">
        <v>0</v>
      </c>
      <c r="BW366" s="2004" t="s">
        <v>11277</v>
      </c>
      <c r="BX366" s="2004" t="s">
        <v>2337</v>
      </c>
      <c r="BY366" s="2004">
        <v>0</v>
      </c>
      <c r="BZ366" s="2004">
        <v>0</v>
      </c>
      <c r="CA366" s="2004">
        <v>0</v>
      </c>
      <c r="CB366" s="2004">
        <v>0</v>
      </c>
      <c r="CC366" s="2004">
        <v>-1676.29</v>
      </c>
      <c r="CD366" s="2004" t="s">
        <v>2337</v>
      </c>
      <c r="CE366" s="2004">
        <v>0</v>
      </c>
      <c r="CF366" s="2004">
        <v>0</v>
      </c>
      <c r="CG366" s="2004">
        <v>0</v>
      </c>
      <c r="CH366" s="2004">
        <v>0</v>
      </c>
      <c r="CI366" s="2004">
        <v>-170.69</v>
      </c>
      <c r="CJ366" s="2004" t="s">
        <v>2337</v>
      </c>
      <c r="CK366" s="2004">
        <v>0</v>
      </c>
      <c r="CL366" s="2004">
        <v>0</v>
      </c>
      <c r="CM366" s="2004">
        <v>0</v>
      </c>
      <c r="CN366" s="2004">
        <v>0</v>
      </c>
      <c r="CP366" s="2004" t="s">
        <v>11278</v>
      </c>
    </row>
    <row r="367" spans="1:94">
      <c r="A367" s="2004" t="s">
        <v>9073</v>
      </c>
      <c r="B367" s="2004" t="s">
        <v>11279</v>
      </c>
      <c r="C367" s="2004" t="s">
        <v>9047</v>
      </c>
      <c r="D367" s="2004" t="s">
        <v>1628</v>
      </c>
      <c r="E367" s="2004" t="s">
        <v>9194</v>
      </c>
      <c r="F367" s="2004" t="s">
        <v>11260</v>
      </c>
      <c r="G367" s="2004" t="s">
        <v>11280</v>
      </c>
      <c r="H367" s="2004" t="s">
        <v>11281</v>
      </c>
      <c r="I367" s="2004" t="s">
        <v>11282</v>
      </c>
      <c r="J367" s="2004" t="s">
        <v>9230</v>
      </c>
      <c r="K367" s="2004"/>
      <c r="L367" s="2004"/>
      <c r="M367" s="2004"/>
      <c r="N367" s="2004" t="s">
        <v>10282</v>
      </c>
      <c r="O367" s="2004" t="s">
        <v>766</v>
      </c>
      <c r="P367" s="2004" t="s">
        <v>11283</v>
      </c>
      <c r="Q367" s="516">
        <v>0</v>
      </c>
      <c r="R367" s="2004" t="s">
        <v>9240</v>
      </c>
      <c r="S367" s="2004">
        <v>14000</v>
      </c>
      <c r="T367" s="2004">
        <v>15000</v>
      </c>
      <c r="U367" s="2004">
        <v>16000</v>
      </c>
      <c r="V367" s="2004">
        <v>17000</v>
      </c>
      <c r="W367" s="2004">
        <v>18000</v>
      </c>
      <c r="X367" s="2004">
        <v>20000</v>
      </c>
      <c r="Y367" s="2004"/>
      <c r="Z367" s="2004"/>
      <c r="AA367" s="2004"/>
      <c r="AB367" s="2004"/>
      <c r="AC367" s="2004"/>
      <c r="AD367" s="2004"/>
      <c r="AE367" s="2004"/>
      <c r="AF367" s="2004"/>
      <c r="AG367" s="2004"/>
      <c r="AH367" s="2004">
        <v>0</v>
      </c>
      <c r="AI367" s="2004"/>
      <c r="AJ367" s="2004"/>
      <c r="AK367" s="2004"/>
      <c r="AL367" s="2004"/>
      <c r="AM367" s="2004"/>
      <c r="AN367" s="2004"/>
      <c r="AO367" s="2004"/>
      <c r="AP367" s="2004"/>
      <c r="AQ367" s="2004"/>
      <c r="AR367" s="2004"/>
      <c r="AS367" s="2004"/>
      <c r="AT367" s="2004"/>
      <c r="AU367" s="2004"/>
      <c r="AV367" s="2004"/>
      <c r="AW367" s="2004"/>
      <c r="AX367" s="2004"/>
      <c r="AY367" s="2004"/>
      <c r="AZ367" s="2004"/>
      <c r="BA367" s="2004"/>
      <c r="BB367" s="2004"/>
      <c r="BC367" s="2004"/>
      <c r="BD367" s="2004"/>
      <c r="BE367" s="2004"/>
      <c r="BF367" s="2004"/>
      <c r="BG367" s="2004"/>
      <c r="BH367" s="2004"/>
      <c r="BI367" s="2004"/>
      <c r="BJ367" s="2004"/>
      <c r="BK367" s="2004"/>
      <c r="BL367" s="2004"/>
      <c r="BM367" s="2004"/>
      <c r="BN367" s="2004"/>
      <c r="BO367" s="2004"/>
      <c r="BP367" s="516" t="s">
        <v>9388</v>
      </c>
      <c r="BQ367" s="689">
        <v>17491</v>
      </c>
      <c r="BR367" s="2004" t="s">
        <v>2337</v>
      </c>
      <c r="BS367" s="2004" t="s">
        <v>9204</v>
      </c>
      <c r="BT367" s="2004">
        <v>0</v>
      </c>
      <c r="BU367" s="2004" t="s">
        <v>9204</v>
      </c>
      <c r="BV367" s="2004">
        <v>0</v>
      </c>
      <c r="BW367" s="2004">
        <v>20898</v>
      </c>
      <c r="BX367" s="2004" t="s">
        <v>2337</v>
      </c>
      <c r="BY367" s="2004">
        <v>0</v>
      </c>
      <c r="BZ367" s="2004">
        <v>0</v>
      </c>
      <c r="CA367" s="2004">
        <v>0</v>
      </c>
      <c r="CB367" s="2004">
        <v>0</v>
      </c>
      <c r="CC367" s="2004">
        <v>21341</v>
      </c>
      <c r="CD367" s="2004" t="s">
        <v>2337</v>
      </c>
      <c r="CE367" s="2004">
        <v>0</v>
      </c>
      <c r="CF367" s="2004">
        <v>0</v>
      </c>
      <c r="CG367" s="2004">
        <v>0</v>
      </c>
      <c r="CH367" s="2004">
        <v>0</v>
      </c>
      <c r="CI367" s="2004">
        <v>24897</v>
      </c>
      <c r="CJ367" s="2004" t="s">
        <v>2337</v>
      </c>
      <c r="CK367" s="2004">
        <v>0</v>
      </c>
      <c r="CL367" s="2004">
        <v>0</v>
      </c>
      <c r="CM367" s="2004">
        <v>0</v>
      </c>
      <c r="CN367" s="2004">
        <v>0</v>
      </c>
      <c r="CP367" s="2004" t="s">
        <v>11284</v>
      </c>
    </row>
    <row r="368" spans="1:94">
      <c r="A368" s="2004" t="s">
        <v>9073</v>
      </c>
      <c r="B368" s="2004" t="s">
        <v>11285</v>
      </c>
      <c r="C368" s="2004" t="s">
        <v>9047</v>
      </c>
      <c r="D368" s="2004" t="s">
        <v>1628</v>
      </c>
      <c r="E368" s="2004" t="s">
        <v>9194</v>
      </c>
      <c r="F368" s="2004" t="s">
        <v>11260</v>
      </c>
      <c r="G368" s="2004" t="s">
        <v>11286</v>
      </c>
      <c r="H368" s="2004" t="s">
        <v>11287</v>
      </c>
      <c r="I368" s="2004" t="s">
        <v>11288</v>
      </c>
      <c r="J368" s="2004" t="s">
        <v>9210</v>
      </c>
      <c r="K368" s="2004" t="s">
        <v>9545</v>
      </c>
      <c r="L368" s="2004"/>
      <c r="M368" s="2004" t="s">
        <v>2334</v>
      </c>
      <c r="N368" s="2004" t="s">
        <v>9364</v>
      </c>
      <c r="O368" s="2004" t="s">
        <v>734</v>
      </c>
      <c r="P368" s="2004" t="s">
        <v>11289</v>
      </c>
      <c r="Q368" s="516">
        <v>0</v>
      </c>
      <c r="R368" s="2004" t="s">
        <v>9240</v>
      </c>
      <c r="S368" s="2004" t="s">
        <v>4140</v>
      </c>
      <c r="T368" s="2004"/>
      <c r="U368" s="2004"/>
      <c r="V368" s="2004"/>
      <c r="W368" s="2004"/>
      <c r="X368" s="2004">
        <v>100</v>
      </c>
      <c r="Y368" s="2004"/>
      <c r="Z368" s="2004"/>
      <c r="AA368" s="2004"/>
      <c r="AB368" s="2004"/>
      <c r="AC368" s="2004"/>
      <c r="AD368" s="2004" t="s">
        <v>2337</v>
      </c>
      <c r="AE368" s="2004"/>
      <c r="AF368" s="2004" t="s">
        <v>2337</v>
      </c>
      <c r="AG368" s="2004"/>
      <c r="AH368" s="2004">
        <v>0</v>
      </c>
      <c r="AI368" s="2004"/>
      <c r="AJ368" s="2004"/>
      <c r="AK368" s="2004"/>
      <c r="AL368" s="2004"/>
      <c r="AM368" s="2004" t="s">
        <v>2337</v>
      </c>
      <c r="AN368" s="2004"/>
      <c r="AO368" s="2004"/>
      <c r="AP368" s="2004"/>
      <c r="AQ368" s="2004"/>
      <c r="AR368" s="2004">
        <v>0</v>
      </c>
      <c r="AS368" s="2004"/>
      <c r="AT368" s="2004"/>
      <c r="AU368" s="2004"/>
      <c r="AV368" s="2004"/>
      <c r="AW368" s="2004">
        <v>100</v>
      </c>
      <c r="AX368" s="2004"/>
      <c r="AY368" s="2004"/>
      <c r="AZ368" s="2004"/>
      <c r="BA368" s="2004"/>
      <c r="BB368" s="2004"/>
      <c r="BC368" s="2004"/>
      <c r="BD368" s="2004"/>
      <c r="BE368" s="2004"/>
      <c r="BF368" s="2004"/>
      <c r="BG368" s="2004"/>
      <c r="BH368" s="2004">
        <v>0.40939999999999999</v>
      </c>
      <c r="BI368" s="2004"/>
      <c r="BJ368" s="2004"/>
      <c r="BK368" s="2004"/>
      <c r="BL368" s="2004"/>
      <c r="BM368" s="2004"/>
      <c r="BN368" s="2004">
        <v>1</v>
      </c>
      <c r="BO368" s="2004" t="s">
        <v>9203</v>
      </c>
      <c r="BP368" s="516" t="s">
        <v>9388</v>
      </c>
      <c r="BQ368" s="688">
        <v>0</v>
      </c>
      <c r="BR368" s="2004" t="s">
        <v>9204</v>
      </c>
      <c r="BS368" s="2004" t="s">
        <v>9204</v>
      </c>
      <c r="BT368" s="2004">
        <v>0</v>
      </c>
      <c r="BU368" s="2004" t="s">
        <v>9204</v>
      </c>
      <c r="BV368" s="2004">
        <v>0</v>
      </c>
      <c r="BW368" s="2004">
        <v>0</v>
      </c>
      <c r="BX368" s="2004" t="s">
        <v>2335</v>
      </c>
      <c r="BY368" s="2004">
        <v>0</v>
      </c>
      <c r="BZ368" s="2004">
        <v>0</v>
      </c>
      <c r="CA368" s="2004">
        <v>0</v>
      </c>
      <c r="CB368" s="2004">
        <v>0</v>
      </c>
      <c r="CC368" s="2004" t="s">
        <v>9388</v>
      </c>
      <c r="CD368" s="2004" t="s">
        <v>2335</v>
      </c>
      <c r="CE368" s="2004">
        <v>0</v>
      </c>
      <c r="CF368" s="2004">
        <v>0</v>
      </c>
      <c r="CG368" s="2004">
        <v>0</v>
      </c>
      <c r="CH368" s="2004">
        <v>0</v>
      </c>
      <c r="CI368" s="2004" t="s">
        <v>9388</v>
      </c>
      <c r="CJ368" s="2004" t="s">
        <v>2335</v>
      </c>
      <c r="CK368" s="2004">
        <v>0</v>
      </c>
      <c r="CL368" s="2004">
        <v>0</v>
      </c>
      <c r="CM368" s="2004">
        <v>0</v>
      </c>
      <c r="CN368" s="2004">
        <v>0</v>
      </c>
      <c r="CP368" s="2004" t="s">
        <v>11290</v>
      </c>
    </row>
    <row r="369" spans="1:94">
      <c r="A369" s="2004" t="s">
        <v>9073</v>
      </c>
      <c r="B369" s="2004" t="s">
        <v>11291</v>
      </c>
      <c r="C369" s="2004" t="s">
        <v>9047</v>
      </c>
      <c r="D369" s="2004" t="s">
        <v>1628</v>
      </c>
      <c r="E369" s="2004" t="s">
        <v>9194</v>
      </c>
      <c r="F369" s="2004" t="s">
        <v>11292</v>
      </c>
      <c r="G369" s="2004" t="s">
        <v>11293</v>
      </c>
      <c r="H369" s="2004" t="s">
        <v>11294</v>
      </c>
      <c r="I369" s="2004" t="s">
        <v>11295</v>
      </c>
      <c r="J369" s="2004" t="s">
        <v>9230</v>
      </c>
      <c r="K369" s="2004"/>
      <c r="L369" s="2004"/>
      <c r="M369" s="2004"/>
      <c r="N369" s="2004" t="s">
        <v>9372</v>
      </c>
      <c r="O369" s="2004" t="s">
        <v>766</v>
      </c>
      <c r="P369" s="2004" t="s">
        <v>11296</v>
      </c>
      <c r="Q369" s="516">
        <v>0</v>
      </c>
      <c r="R369" s="2004" t="s">
        <v>9202</v>
      </c>
      <c r="S369" s="2004">
        <v>505</v>
      </c>
      <c r="T369" s="2004">
        <v>494</v>
      </c>
      <c r="U369" s="2004">
        <v>483</v>
      </c>
      <c r="V369" s="2004">
        <v>472</v>
      </c>
      <c r="W369" s="2004">
        <v>472</v>
      </c>
      <c r="X369" s="2004">
        <v>476</v>
      </c>
      <c r="Y369" s="2004"/>
      <c r="Z369" s="2004"/>
      <c r="AA369" s="2004"/>
      <c r="AB369" s="2004"/>
      <c r="AC369" s="2004"/>
      <c r="AD369" s="2004"/>
      <c r="AE369" s="2004"/>
      <c r="AF369" s="2004"/>
      <c r="AG369" s="2004"/>
      <c r="AH369" s="2004">
        <v>0</v>
      </c>
      <c r="AI369" s="2004"/>
      <c r="AJ369" s="2004"/>
      <c r="AK369" s="2004"/>
      <c r="AL369" s="2004"/>
      <c r="AM369" s="2004"/>
      <c r="AN369" s="2004"/>
      <c r="AO369" s="2004"/>
      <c r="AP369" s="2004"/>
      <c r="AQ369" s="2004"/>
      <c r="AR369" s="2004"/>
      <c r="AS369" s="2004"/>
      <c r="AT369" s="2004"/>
      <c r="AU369" s="2004"/>
      <c r="AV369" s="2004"/>
      <c r="AW369" s="2004"/>
      <c r="AX369" s="2004"/>
      <c r="AY369" s="2004"/>
      <c r="AZ369" s="2004"/>
      <c r="BA369" s="2004"/>
      <c r="BB369" s="2004"/>
      <c r="BC369" s="2004"/>
      <c r="BD369" s="2004"/>
      <c r="BE369" s="2004"/>
      <c r="BF369" s="2004"/>
      <c r="BG369" s="2004"/>
      <c r="BH369" s="2004"/>
      <c r="BI369" s="2004"/>
      <c r="BJ369" s="2004"/>
      <c r="BK369" s="2004"/>
      <c r="BL369" s="2004"/>
      <c r="BM369" s="2004"/>
      <c r="BN369" s="2004"/>
      <c r="BO369" s="2004"/>
      <c r="BP369" s="516" t="s">
        <v>9388</v>
      </c>
      <c r="BQ369" s="689">
        <v>495.80599999999998</v>
      </c>
      <c r="BR369" s="2004" t="s">
        <v>2334</v>
      </c>
      <c r="BS369" s="2004" t="s">
        <v>9204</v>
      </c>
      <c r="BT369" s="2004">
        <v>0</v>
      </c>
      <c r="BU369" s="2004" t="s">
        <v>9204</v>
      </c>
      <c r="BV369" s="2004">
        <v>0</v>
      </c>
      <c r="BW369" s="2004">
        <v>490.5</v>
      </c>
      <c r="BX369" s="2004" t="s">
        <v>2334</v>
      </c>
      <c r="BY369" s="2004">
        <v>0</v>
      </c>
      <c r="BZ369" s="2004">
        <v>0</v>
      </c>
      <c r="CA369" s="2004">
        <v>0</v>
      </c>
      <c r="CB369" s="2004">
        <v>0</v>
      </c>
      <c r="CC369" s="2004">
        <v>510</v>
      </c>
      <c r="CD369" s="2004" t="s">
        <v>2334</v>
      </c>
      <c r="CE369" s="2004">
        <v>0</v>
      </c>
      <c r="CF369" s="2004">
        <v>0</v>
      </c>
      <c r="CG369" s="2004">
        <v>0</v>
      </c>
      <c r="CH369" s="2004">
        <v>0</v>
      </c>
      <c r="CI369" s="2004">
        <v>520</v>
      </c>
      <c r="CJ369" s="2004" t="s">
        <v>2334</v>
      </c>
      <c r="CK369" s="2004">
        <v>0</v>
      </c>
      <c r="CL369" s="2004">
        <v>0</v>
      </c>
      <c r="CM369" s="2004">
        <v>0</v>
      </c>
      <c r="CN369" s="2004">
        <v>0</v>
      </c>
      <c r="CP369" s="2004" t="s">
        <v>11297</v>
      </c>
    </row>
    <row r="370" spans="1:94">
      <c r="A370" s="2004" t="s">
        <v>9073</v>
      </c>
      <c r="B370" s="2004" t="s">
        <v>11298</v>
      </c>
      <c r="C370" s="2004" t="s">
        <v>9047</v>
      </c>
      <c r="D370" s="2004" t="s">
        <v>1629</v>
      </c>
      <c r="E370" s="2004" t="s">
        <v>9410</v>
      </c>
      <c r="F370" s="2004" t="s">
        <v>11183</v>
      </c>
      <c r="G370" s="2004" t="s">
        <v>11299</v>
      </c>
      <c r="H370" s="2004" t="s">
        <v>11300</v>
      </c>
      <c r="I370" s="2004" t="s">
        <v>11301</v>
      </c>
      <c r="J370" s="2004" t="s">
        <v>9230</v>
      </c>
      <c r="K370" s="2004"/>
      <c r="L370" s="2004"/>
      <c r="M370" s="2004"/>
      <c r="N370" s="2004" t="s">
        <v>9386</v>
      </c>
      <c r="O370" s="2004" t="s">
        <v>734</v>
      </c>
      <c r="P370" s="2004" t="s">
        <v>11187</v>
      </c>
      <c r="Q370" s="516">
        <v>0</v>
      </c>
      <c r="R370" s="2004" t="s">
        <v>9240</v>
      </c>
      <c r="S370" s="2004">
        <v>90</v>
      </c>
      <c r="T370" s="2004">
        <v>95</v>
      </c>
      <c r="U370" s="2004">
        <v>95</v>
      </c>
      <c r="V370" s="2004">
        <v>95</v>
      </c>
      <c r="W370" s="2004">
        <v>95</v>
      </c>
      <c r="X370" s="2004">
        <v>95</v>
      </c>
      <c r="Y370" s="2004"/>
      <c r="Z370" s="2004"/>
      <c r="AA370" s="2004"/>
      <c r="AB370" s="2004"/>
      <c r="AC370" s="2004"/>
      <c r="AD370" s="2004"/>
      <c r="AE370" s="2004"/>
      <c r="AF370" s="2004"/>
      <c r="AG370" s="2004"/>
      <c r="AH370" s="2004">
        <v>0</v>
      </c>
      <c r="AI370" s="2004"/>
      <c r="AJ370" s="2004"/>
      <c r="AK370" s="2004"/>
      <c r="AL370" s="2004"/>
      <c r="AM370" s="2004"/>
      <c r="AN370" s="2004"/>
      <c r="AO370" s="2004"/>
      <c r="AP370" s="2004"/>
      <c r="AQ370" s="2004"/>
      <c r="AR370" s="2004"/>
      <c r="AS370" s="2004"/>
      <c r="AT370" s="2004"/>
      <c r="AU370" s="2004"/>
      <c r="AV370" s="2004"/>
      <c r="AW370" s="2004"/>
      <c r="AX370" s="2004"/>
      <c r="AY370" s="2004"/>
      <c r="AZ370" s="2004"/>
      <c r="BA370" s="2004"/>
      <c r="BB370" s="2004"/>
      <c r="BC370" s="2004"/>
      <c r="BD370" s="2004"/>
      <c r="BE370" s="2004"/>
      <c r="BF370" s="2004"/>
      <c r="BG370" s="2004"/>
      <c r="BH370" s="2004"/>
      <c r="BI370" s="2004"/>
      <c r="BJ370" s="2004"/>
      <c r="BK370" s="2004"/>
      <c r="BL370" s="2004"/>
      <c r="BM370" s="2004"/>
      <c r="BN370" s="2004"/>
      <c r="BO370" s="2004"/>
      <c r="BP370" s="516">
        <v>86.57</v>
      </c>
      <c r="BQ370" s="689">
        <v>86.72</v>
      </c>
      <c r="BR370" s="2004" t="s">
        <v>2334</v>
      </c>
      <c r="BS370" s="2004" t="s">
        <v>9204</v>
      </c>
      <c r="BT370" s="2004">
        <v>0</v>
      </c>
      <c r="BU370" s="2004" t="s">
        <v>9204</v>
      </c>
      <c r="BV370" s="2004">
        <v>0</v>
      </c>
      <c r="BW370" s="2004">
        <v>93.49</v>
      </c>
      <c r="BX370" s="2004" t="s">
        <v>2334</v>
      </c>
      <c r="BY370" s="2004">
        <v>0</v>
      </c>
      <c r="BZ370" s="2004">
        <v>0</v>
      </c>
      <c r="CA370" s="2004">
        <v>0</v>
      </c>
      <c r="CB370" s="2004">
        <v>0</v>
      </c>
      <c r="CC370" s="2236">
        <v>93.55</v>
      </c>
      <c r="CD370" s="2004" t="s">
        <v>2334</v>
      </c>
      <c r="CE370" s="2004">
        <v>0</v>
      </c>
      <c r="CF370" s="2004">
        <v>0</v>
      </c>
      <c r="CG370" s="2004">
        <v>0</v>
      </c>
      <c r="CH370" s="2004">
        <v>0</v>
      </c>
      <c r="CI370" s="2236">
        <v>83.617424242424207</v>
      </c>
      <c r="CJ370" s="2004" t="s">
        <v>2334</v>
      </c>
      <c r="CK370" s="2004">
        <v>0</v>
      </c>
      <c r="CL370" s="2004">
        <v>0</v>
      </c>
      <c r="CM370" s="2004">
        <v>0</v>
      </c>
      <c r="CN370" s="2004">
        <v>0</v>
      </c>
      <c r="CP370" s="2004" t="s">
        <v>11302</v>
      </c>
    </row>
    <row r="371" spans="1:94">
      <c r="A371" s="2004" t="s">
        <v>9073</v>
      </c>
      <c r="B371" s="2004" t="s">
        <v>11303</v>
      </c>
      <c r="C371" s="2004" t="s">
        <v>9047</v>
      </c>
      <c r="D371" s="2004" t="s">
        <v>1629</v>
      </c>
      <c r="E371" s="2004" t="s">
        <v>9410</v>
      </c>
      <c r="F371" s="2004" t="s">
        <v>11183</v>
      </c>
      <c r="G371" s="2004" t="s">
        <v>11304</v>
      </c>
      <c r="H371" s="2004" t="s">
        <v>11305</v>
      </c>
      <c r="I371" s="2004" t="s">
        <v>11306</v>
      </c>
      <c r="J371" s="2004" t="s">
        <v>9230</v>
      </c>
      <c r="K371" s="2004"/>
      <c r="L371" s="2004"/>
      <c r="M371" s="2004"/>
      <c r="N371" s="2004" t="s">
        <v>9386</v>
      </c>
      <c r="O371" s="2004" t="s">
        <v>766</v>
      </c>
      <c r="P371" s="2004" t="s">
        <v>11193</v>
      </c>
      <c r="Q371" s="516">
        <v>2</v>
      </c>
      <c r="R371" s="2004" t="s">
        <v>9202</v>
      </c>
      <c r="S371" s="2004">
        <v>8.0500000000000007</v>
      </c>
      <c r="T371" s="2004">
        <v>7.6</v>
      </c>
      <c r="U371" s="2004">
        <v>7.15</v>
      </c>
      <c r="V371" s="2004">
        <v>6.7</v>
      </c>
      <c r="W371" s="2004">
        <v>6.25</v>
      </c>
      <c r="X371" s="2004">
        <v>5.8</v>
      </c>
      <c r="Y371" s="2004"/>
      <c r="Z371" s="2004"/>
      <c r="AA371" s="2004"/>
      <c r="AB371" s="2004"/>
      <c r="AC371" s="2004"/>
      <c r="AD371" s="2004"/>
      <c r="AE371" s="2004"/>
      <c r="AF371" s="2004"/>
      <c r="AG371" s="2004"/>
      <c r="AH371" s="2004">
        <v>0</v>
      </c>
      <c r="AI371" s="2004"/>
      <c r="AJ371" s="2004"/>
      <c r="AK371" s="2004"/>
      <c r="AL371" s="2004"/>
      <c r="AM371" s="2004"/>
      <c r="AN371" s="2004"/>
      <c r="AO371" s="2004"/>
      <c r="AP371" s="2004"/>
      <c r="AQ371" s="2004"/>
      <c r="AR371" s="2004"/>
      <c r="AS371" s="2004"/>
      <c r="AT371" s="2004"/>
      <c r="AU371" s="2004"/>
      <c r="AV371" s="2004"/>
      <c r="AW371" s="2004"/>
      <c r="AX371" s="2004"/>
      <c r="AY371" s="2004"/>
      <c r="AZ371" s="2004"/>
      <c r="BA371" s="2004"/>
      <c r="BB371" s="2004"/>
      <c r="BC371" s="2004"/>
      <c r="BD371" s="2004"/>
      <c r="BE371" s="2004"/>
      <c r="BF371" s="2004"/>
      <c r="BG371" s="2004"/>
      <c r="BH371" s="2004"/>
      <c r="BI371" s="2004"/>
      <c r="BJ371" s="2004"/>
      <c r="BK371" s="2004"/>
      <c r="BL371" s="2004"/>
      <c r="BM371" s="2004"/>
      <c r="BN371" s="2004"/>
      <c r="BO371" s="2004"/>
      <c r="BP371" s="516">
        <v>8.8000000000000007</v>
      </c>
      <c r="BQ371" s="690">
        <v>6.46</v>
      </c>
      <c r="BR371" s="2004" t="s">
        <v>2337</v>
      </c>
      <c r="BS371" s="2004" t="s">
        <v>9204</v>
      </c>
      <c r="BT371" s="2004">
        <v>0</v>
      </c>
      <c r="BU371" s="2004" t="s">
        <v>9204</v>
      </c>
      <c r="BV371" s="2004">
        <v>0</v>
      </c>
      <c r="BW371" s="2004">
        <v>6.2140513602011351</v>
      </c>
      <c r="BX371" s="2004" t="s">
        <v>2337</v>
      </c>
      <c r="BY371" s="2004">
        <v>0</v>
      </c>
      <c r="BZ371" s="2004">
        <v>0</v>
      </c>
      <c r="CA371" s="2004">
        <v>0</v>
      </c>
      <c r="CB371" s="2004">
        <v>0</v>
      </c>
      <c r="CC371" s="2004">
        <v>4.39210083649479</v>
      </c>
      <c r="CD371" s="2004" t="s">
        <v>2337</v>
      </c>
      <c r="CE371" s="2004">
        <v>0</v>
      </c>
      <c r="CF371" s="2004">
        <v>0</v>
      </c>
      <c r="CG371" s="2004">
        <v>0</v>
      </c>
      <c r="CH371" s="2004">
        <v>0</v>
      </c>
      <c r="CI371" s="2004">
        <v>5.3385370588502896</v>
      </c>
      <c r="CJ371" s="2004" t="s">
        <v>2337</v>
      </c>
      <c r="CK371" s="2004">
        <v>0</v>
      </c>
      <c r="CL371" s="2004">
        <v>0</v>
      </c>
      <c r="CM371" s="2004">
        <v>0</v>
      </c>
      <c r="CN371" s="2004">
        <v>0</v>
      </c>
      <c r="CP371" s="2004" t="s">
        <v>11307</v>
      </c>
    </row>
    <row r="372" spans="1:94">
      <c r="A372" s="2004" t="s">
        <v>9073</v>
      </c>
      <c r="B372" s="2004" t="s">
        <v>11308</v>
      </c>
      <c r="C372" s="2004" t="s">
        <v>9047</v>
      </c>
      <c r="D372" s="2004" t="s">
        <v>1629</v>
      </c>
      <c r="E372" s="2004" t="s">
        <v>9410</v>
      </c>
      <c r="F372" s="2004" t="s">
        <v>11183</v>
      </c>
      <c r="G372" s="2004" t="s">
        <v>11309</v>
      </c>
      <c r="H372" s="2004" t="s">
        <v>11310</v>
      </c>
      <c r="I372" s="2004" t="s">
        <v>11311</v>
      </c>
      <c r="J372" s="2004" t="s">
        <v>9230</v>
      </c>
      <c r="K372" s="2004"/>
      <c r="L372" s="2004"/>
      <c r="M372" s="2004"/>
      <c r="N372" s="2004" t="s">
        <v>9386</v>
      </c>
      <c r="O372" s="2004" t="s">
        <v>9282</v>
      </c>
      <c r="P372" s="2004" t="s">
        <v>11199</v>
      </c>
      <c r="Q372" s="516">
        <v>2</v>
      </c>
      <c r="R372" s="2004" t="s">
        <v>9240</v>
      </c>
      <c r="S372" s="2004">
        <v>4.3</v>
      </c>
      <c r="T372" s="2004">
        <v>4.55</v>
      </c>
      <c r="U372" s="2004">
        <v>4.5999999999999996</v>
      </c>
      <c r="V372" s="2004">
        <v>4.6500000000000004</v>
      </c>
      <c r="W372" s="2004">
        <v>4.6500000000000004</v>
      </c>
      <c r="X372" s="2004">
        <v>4.7</v>
      </c>
      <c r="Y372" s="2004"/>
      <c r="Z372" s="2004"/>
      <c r="AA372" s="2004"/>
      <c r="AB372" s="2004"/>
      <c r="AC372" s="2004"/>
      <c r="AD372" s="2004"/>
      <c r="AE372" s="2004"/>
      <c r="AF372" s="2004"/>
      <c r="AG372" s="2004"/>
      <c r="AH372" s="2004">
        <v>0</v>
      </c>
      <c r="AI372" s="2004"/>
      <c r="AJ372" s="2004"/>
      <c r="AK372" s="2004"/>
      <c r="AL372" s="2004"/>
      <c r="AM372" s="2004"/>
      <c r="AN372" s="2004"/>
      <c r="AO372" s="2004"/>
      <c r="AP372" s="2004"/>
      <c r="AQ372" s="2004"/>
      <c r="AR372" s="2004"/>
      <c r="AS372" s="2004"/>
      <c r="AT372" s="2004"/>
      <c r="AU372" s="2004"/>
      <c r="AV372" s="2004"/>
      <c r="AW372" s="2004"/>
      <c r="AX372" s="2004"/>
      <c r="AY372" s="2004"/>
      <c r="AZ372" s="2004"/>
      <c r="BA372" s="2004"/>
      <c r="BB372" s="2004"/>
      <c r="BC372" s="2004"/>
      <c r="BD372" s="2004"/>
      <c r="BE372" s="2004"/>
      <c r="BF372" s="2004"/>
      <c r="BG372" s="2004"/>
      <c r="BH372" s="2004"/>
      <c r="BI372" s="2004"/>
      <c r="BJ372" s="2004"/>
      <c r="BK372" s="2004"/>
      <c r="BL372" s="2004"/>
      <c r="BM372" s="2004"/>
      <c r="BN372" s="2004"/>
      <c r="BO372" s="2004"/>
      <c r="BP372" s="516">
        <v>4.21</v>
      </c>
      <c r="BQ372" s="690">
        <v>4.5</v>
      </c>
      <c r="BR372" s="2004" t="s">
        <v>2334</v>
      </c>
      <c r="BS372" s="2004" t="s">
        <v>9204</v>
      </c>
      <c r="BT372" s="2004">
        <v>0</v>
      </c>
      <c r="BU372" s="2004" t="s">
        <v>9204</v>
      </c>
      <c r="BV372" s="2004">
        <v>0</v>
      </c>
      <c r="BW372" s="2004">
        <v>4.5690574498919911</v>
      </c>
      <c r="BX372" s="2004" t="s">
        <v>2334</v>
      </c>
      <c r="BY372" s="2004">
        <v>0</v>
      </c>
      <c r="BZ372" s="2004">
        <v>0</v>
      </c>
      <c r="CA372" s="2004">
        <v>0</v>
      </c>
      <c r="CB372" s="2004">
        <v>0</v>
      </c>
      <c r="CC372" s="2004">
        <v>4.5506045678459497</v>
      </c>
      <c r="CD372" s="2004" t="s">
        <v>2334</v>
      </c>
      <c r="CE372" s="2004">
        <v>0</v>
      </c>
      <c r="CF372" s="2004">
        <v>0</v>
      </c>
      <c r="CG372" s="2004">
        <v>0</v>
      </c>
      <c r="CH372" s="2004">
        <v>0</v>
      </c>
      <c r="CI372" s="2004">
        <v>4.5813281010000004</v>
      </c>
      <c r="CJ372" s="2004" t="s">
        <v>2334</v>
      </c>
      <c r="CK372" s="2004">
        <v>0</v>
      </c>
      <c r="CL372" s="2004">
        <v>0</v>
      </c>
      <c r="CM372" s="2004">
        <v>0</v>
      </c>
      <c r="CN372" s="2004">
        <v>0</v>
      </c>
      <c r="CP372" s="2004" t="s">
        <v>11312</v>
      </c>
    </row>
    <row r="373" spans="1:94">
      <c r="A373" s="2004" t="s">
        <v>9073</v>
      </c>
      <c r="B373" s="2004" t="s">
        <v>11313</v>
      </c>
      <c r="C373" s="2004" t="s">
        <v>9047</v>
      </c>
      <c r="D373" s="2004" t="s">
        <v>1629</v>
      </c>
      <c r="E373" s="2004" t="s">
        <v>9410</v>
      </c>
      <c r="F373" s="2004" t="s">
        <v>11314</v>
      </c>
      <c r="G373" s="2004" t="s">
        <v>11315</v>
      </c>
      <c r="H373" s="2004" t="s">
        <v>11316</v>
      </c>
      <c r="I373" s="2004" t="s">
        <v>11317</v>
      </c>
      <c r="J373" s="2004" t="s">
        <v>9210</v>
      </c>
      <c r="K373" s="2004" t="s">
        <v>9200</v>
      </c>
      <c r="L373" s="2004"/>
      <c r="M373" s="2004" t="s">
        <v>2334</v>
      </c>
      <c r="N373" s="2004" t="s">
        <v>9477</v>
      </c>
      <c r="O373" s="2004" t="s">
        <v>9395</v>
      </c>
      <c r="P373" s="2004" t="s">
        <v>9546</v>
      </c>
      <c r="Q373" s="516" t="s">
        <v>9203</v>
      </c>
      <c r="R373" s="2004"/>
      <c r="S373" s="2004" t="s">
        <v>2338</v>
      </c>
      <c r="T373" s="2004" t="s">
        <v>2338</v>
      </c>
      <c r="U373" s="2004" t="s">
        <v>2338</v>
      </c>
      <c r="V373" s="2004" t="s">
        <v>2338</v>
      </c>
      <c r="W373" s="2004" t="s">
        <v>2338</v>
      </c>
      <c r="X373" s="2004" t="s">
        <v>2338</v>
      </c>
      <c r="Y373" s="2004"/>
      <c r="Z373" s="2004"/>
      <c r="AA373" s="2004"/>
      <c r="AB373" s="2004"/>
      <c r="AC373" s="2004"/>
      <c r="AD373" s="2004"/>
      <c r="AE373" s="2004" t="s">
        <v>2337</v>
      </c>
      <c r="AF373" s="2004"/>
      <c r="AG373" s="2004"/>
      <c r="AH373" s="2004">
        <v>3</v>
      </c>
      <c r="AI373" s="2004" t="s">
        <v>2337</v>
      </c>
      <c r="AJ373" s="2004" t="s">
        <v>2337</v>
      </c>
      <c r="AK373" s="2004" t="s">
        <v>2337</v>
      </c>
      <c r="AL373" s="2004" t="s">
        <v>2337</v>
      </c>
      <c r="AM373" s="2004" t="s">
        <v>2337</v>
      </c>
      <c r="AN373" s="2004" t="s">
        <v>9547</v>
      </c>
      <c r="AO373" s="2004" t="s">
        <v>9547</v>
      </c>
      <c r="AP373" s="2004" t="s">
        <v>9547</v>
      </c>
      <c r="AQ373" s="2004" t="s">
        <v>9547</v>
      </c>
      <c r="AR373" s="2004" t="s">
        <v>9547</v>
      </c>
      <c r="AS373" s="2004" t="s">
        <v>9548</v>
      </c>
      <c r="AT373" s="2004" t="s">
        <v>9548</v>
      </c>
      <c r="AU373" s="2004" t="s">
        <v>9548</v>
      </c>
      <c r="AV373" s="2004" t="s">
        <v>9548</v>
      </c>
      <c r="AW373" s="2004" t="s">
        <v>9548</v>
      </c>
      <c r="AX373" s="2004"/>
      <c r="AY373" s="2004"/>
      <c r="AZ373" s="2004"/>
      <c r="BA373" s="2004"/>
      <c r="BB373" s="2004"/>
      <c r="BC373" s="2004"/>
      <c r="BD373" s="2004"/>
      <c r="BE373" s="2004"/>
      <c r="BF373" s="2004"/>
      <c r="BG373" s="2004"/>
      <c r="BH373" s="2004">
        <v>4.5350000000000001</v>
      </c>
      <c r="BI373" s="2004"/>
      <c r="BJ373" s="2004"/>
      <c r="BK373" s="2004"/>
      <c r="BL373" s="2004"/>
      <c r="BM373" s="2004"/>
      <c r="BN373" s="2004">
        <v>1</v>
      </c>
      <c r="BO373" s="2004" t="s">
        <v>9203</v>
      </c>
      <c r="BP373" s="516" t="s">
        <v>2338</v>
      </c>
      <c r="BQ373" s="688" t="s">
        <v>2338</v>
      </c>
      <c r="BR373" s="2004" t="s">
        <v>2337</v>
      </c>
      <c r="BS373" s="2004" t="s">
        <v>9204</v>
      </c>
      <c r="BT373" s="2004">
        <v>0</v>
      </c>
      <c r="BU373" s="2004" t="s">
        <v>9204</v>
      </c>
      <c r="BV373" s="2004">
        <v>0</v>
      </c>
      <c r="BW373" s="2004" t="s">
        <v>2338</v>
      </c>
      <c r="BX373" s="2004" t="s">
        <v>2337</v>
      </c>
      <c r="BY373" s="2004">
        <v>0</v>
      </c>
      <c r="BZ373" s="2004">
        <v>0</v>
      </c>
      <c r="CA373" s="2004">
        <v>0</v>
      </c>
      <c r="CB373" s="2004">
        <v>0</v>
      </c>
      <c r="CC373" s="2004" t="s">
        <v>2338</v>
      </c>
      <c r="CD373" s="2004" t="s">
        <v>2337</v>
      </c>
      <c r="CE373" s="2004">
        <v>0</v>
      </c>
      <c r="CF373" s="2004">
        <v>0</v>
      </c>
      <c r="CG373" s="2004">
        <v>0</v>
      </c>
      <c r="CH373" s="2004">
        <v>0</v>
      </c>
      <c r="CI373" s="2004" t="s">
        <v>2338</v>
      </c>
      <c r="CJ373" s="2004" t="s">
        <v>2337</v>
      </c>
      <c r="CK373" s="2004">
        <v>0</v>
      </c>
      <c r="CL373" s="2004">
        <v>0</v>
      </c>
      <c r="CM373" s="2004">
        <v>0</v>
      </c>
      <c r="CN373" s="2004">
        <v>0</v>
      </c>
      <c r="CP373" s="2004" t="s">
        <v>11318</v>
      </c>
    </row>
    <row r="374" spans="1:94">
      <c r="A374" s="2004" t="s">
        <v>9073</v>
      </c>
      <c r="B374" s="2004" t="s">
        <v>11319</v>
      </c>
      <c r="C374" s="2004" t="s">
        <v>9047</v>
      </c>
      <c r="D374" s="2004" t="s">
        <v>1629</v>
      </c>
      <c r="E374" s="2004" t="s">
        <v>9410</v>
      </c>
      <c r="F374" s="2004" t="s">
        <v>11314</v>
      </c>
      <c r="G374" s="2004" t="s">
        <v>11320</v>
      </c>
      <c r="H374" s="2004" t="s">
        <v>11321</v>
      </c>
      <c r="I374" s="2004" t="s">
        <v>11322</v>
      </c>
      <c r="J374" s="2004" t="s">
        <v>9210</v>
      </c>
      <c r="K374" s="2004" t="s">
        <v>9200</v>
      </c>
      <c r="L374" s="2004"/>
      <c r="M374" s="2004" t="s">
        <v>2334</v>
      </c>
      <c r="N374" s="2004" t="s">
        <v>9477</v>
      </c>
      <c r="O374" s="2004" t="s">
        <v>9395</v>
      </c>
      <c r="P374" s="2004" t="s">
        <v>9546</v>
      </c>
      <c r="Q374" s="516" t="s">
        <v>9203</v>
      </c>
      <c r="R374" s="2004"/>
      <c r="S374" s="2004" t="s">
        <v>2338</v>
      </c>
      <c r="T374" s="2004" t="s">
        <v>2338</v>
      </c>
      <c r="U374" s="2004" t="s">
        <v>2338</v>
      </c>
      <c r="V374" s="2004" t="s">
        <v>2338</v>
      </c>
      <c r="W374" s="2004" t="s">
        <v>2338</v>
      </c>
      <c r="X374" s="2004" t="s">
        <v>2338</v>
      </c>
      <c r="Y374" s="2004"/>
      <c r="Z374" s="2004"/>
      <c r="AA374" s="2004"/>
      <c r="AB374" s="2004"/>
      <c r="AC374" s="2004"/>
      <c r="AD374" s="2004"/>
      <c r="AE374" s="2004" t="s">
        <v>2337</v>
      </c>
      <c r="AF374" s="2004"/>
      <c r="AG374" s="2004"/>
      <c r="AH374" s="2004">
        <v>4</v>
      </c>
      <c r="AI374" s="2004" t="s">
        <v>2337</v>
      </c>
      <c r="AJ374" s="2004" t="s">
        <v>2337</v>
      </c>
      <c r="AK374" s="2004" t="s">
        <v>2337</v>
      </c>
      <c r="AL374" s="2004" t="s">
        <v>2337</v>
      </c>
      <c r="AM374" s="2004" t="s">
        <v>2337</v>
      </c>
      <c r="AN374" s="2004" t="s">
        <v>9547</v>
      </c>
      <c r="AO374" s="2004" t="s">
        <v>9547</v>
      </c>
      <c r="AP374" s="2004" t="s">
        <v>9547</v>
      </c>
      <c r="AQ374" s="2004" t="s">
        <v>9547</v>
      </c>
      <c r="AR374" s="2004" t="s">
        <v>9547</v>
      </c>
      <c r="AS374" s="2004" t="s">
        <v>9548</v>
      </c>
      <c r="AT374" s="2004" t="s">
        <v>9548</v>
      </c>
      <c r="AU374" s="2004" t="s">
        <v>9548</v>
      </c>
      <c r="AV374" s="2004" t="s">
        <v>9548</v>
      </c>
      <c r="AW374" s="2004" t="s">
        <v>9548</v>
      </c>
      <c r="AX374" s="2004"/>
      <c r="AY374" s="2004"/>
      <c r="AZ374" s="2004"/>
      <c r="BA374" s="2004"/>
      <c r="BB374" s="2004"/>
      <c r="BC374" s="2004"/>
      <c r="BD374" s="2004"/>
      <c r="BE374" s="2004"/>
      <c r="BF374" s="2004"/>
      <c r="BG374" s="2004"/>
      <c r="BH374" s="2004">
        <v>4.5350000000000001</v>
      </c>
      <c r="BI374" s="2004"/>
      <c r="BJ374" s="2004"/>
      <c r="BK374" s="2004"/>
      <c r="BL374" s="2004"/>
      <c r="BM374" s="2004"/>
      <c r="BN374" s="2004">
        <v>1</v>
      </c>
      <c r="BO374" s="2004" t="s">
        <v>9203</v>
      </c>
      <c r="BP374" s="516" t="s">
        <v>9547</v>
      </c>
      <c r="BQ374" s="688" t="s">
        <v>2338</v>
      </c>
      <c r="BR374" s="2004" t="s">
        <v>2337</v>
      </c>
      <c r="BS374" s="2004" t="s">
        <v>9204</v>
      </c>
      <c r="BT374" s="2004">
        <v>0</v>
      </c>
      <c r="BU374" s="2004" t="s">
        <v>9204</v>
      </c>
      <c r="BV374" s="2004">
        <v>0</v>
      </c>
      <c r="BW374" s="2004" t="s">
        <v>2338</v>
      </c>
      <c r="BX374" s="2004" t="s">
        <v>2337</v>
      </c>
      <c r="BY374" s="2004">
        <v>0</v>
      </c>
      <c r="BZ374" s="2004">
        <v>0</v>
      </c>
      <c r="CA374" s="2004">
        <v>0</v>
      </c>
      <c r="CB374" s="2004">
        <v>0</v>
      </c>
      <c r="CC374" s="2004" t="s">
        <v>2338</v>
      </c>
      <c r="CD374" s="2004" t="s">
        <v>2337</v>
      </c>
      <c r="CE374" s="2004">
        <v>0</v>
      </c>
      <c r="CF374" s="2004">
        <v>0</v>
      </c>
      <c r="CG374" s="2004">
        <v>0</v>
      </c>
      <c r="CH374" s="2004">
        <v>0</v>
      </c>
      <c r="CI374" s="2004" t="s">
        <v>2338</v>
      </c>
      <c r="CJ374" s="2004" t="s">
        <v>2337</v>
      </c>
      <c r="CK374" s="2004">
        <v>0</v>
      </c>
      <c r="CL374" s="2004">
        <v>0</v>
      </c>
      <c r="CM374" s="2004">
        <v>0</v>
      </c>
      <c r="CN374" s="2004">
        <v>0</v>
      </c>
      <c r="CP374" s="2004" t="s">
        <v>11323</v>
      </c>
    </row>
    <row r="375" spans="1:94" ht="25.5">
      <c r="A375" s="2004" t="s">
        <v>9073</v>
      </c>
      <c r="B375" s="2004" t="s">
        <v>11324</v>
      </c>
      <c r="C375" s="2004" t="s">
        <v>9047</v>
      </c>
      <c r="D375" s="2004" t="s">
        <v>1629</v>
      </c>
      <c r="E375" s="2004" t="s">
        <v>9410</v>
      </c>
      <c r="F375" s="2004" t="s">
        <v>11314</v>
      </c>
      <c r="G375" s="2004" t="s">
        <v>11325</v>
      </c>
      <c r="H375" s="2004" t="s">
        <v>11326</v>
      </c>
      <c r="I375" s="2004" t="s">
        <v>11327</v>
      </c>
      <c r="J375" s="2004" t="s">
        <v>9199</v>
      </c>
      <c r="K375" s="2004" t="s">
        <v>9545</v>
      </c>
      <c r="L375" s="2004"/>
      <c r="M375" s="2004" t="s">
        <v>2334</v>
      </c>
      <c r="N375" s="2004" t="s">
        <v>9414</v>
      </c>
      <c r="O375" s="2004" t="s">
        <v>766</v>
      </c>
      <c r="P375" s="2004" t="s">
        <v>11328</v>
      </c>
      <c r="Q375" s="516">
        <v>0</v>
      </c>
      <c r="R375" s="2004"/>
      <c r="S375" s="2004" t="s">
        <v>4140</v>
      </c>
      <c r="T375" s="2004"/>
      <c r="U375" s="2004"/>
      <c r="V375" s="2004"/>
      <c r="W375" s="2004"/>
      <c r="X375" s="2004">
        <v>2127</v>
      </c>
      <c r="Y375" s="2004"/>
      <c r="Z375" s="2004"/>
      <c r="AA375" s="2004"/>
      <c r="AB375" s="2004"/>
      <c r="AC375" s="2004"/>
      <c r="AD375" s="2004" t="s">
        <v>2337</v>
      </c>
      <c r="AE375" s="2004" t="s">
        <v>2337</v>
      </c>
      <c r="AF375" s="2004"/>
      <c r="AG375" s="2004"/>
      <c r="AH375" s="2004">
        <v>0</v>
      </c>
      <c r="AI375" s="2004"/>
      <c r="AJ375" s="2004"/>
      <c r="AK375" s="2004"/>
      <c r="AL375" s="2004"/>
      <c r="AM375" s="2004" t="s">
        <v>2337</v>
      </c>
      <c r="AN375" s="2004"/>
      <c r="AO375" s="2004"/>
      <c r="AP375" s="2004"/>
      <c r="AQ375" s="2004"/>
      <c r="AR375" s="2004">
        <v>1459</v>
      </c>
      <c r="AS375" s="2004"/>
      <c r="AT375" s="2004"/>
      <c r="AU375" s="2004"/>
      <c r="AV375" s="2004"/>
      <c r="AW375" s="2004">
        <v>2127</v>
      </c>
      <c r="AX375" s="2004"/>
      <c r="AY375" s="2004"/>
      <c r="AZ375" s="2004"/>
      <c r="BA375" s="2004"/>
      <c r="BB375" s="2004">
        <v>2127</v>
      </c>
      <c r="BC375" s="2004"/>
      <c r="BD375" s="2004"/>
      <c r="BE375" s="2004"/>
      <c r="BF375" s="2004"/>
      <c r="BG375" s="2004">
        <v>2753</v>
      </c>
      <c r="BH375" s="2004" t="s">
        <v>10441</v>
      </c>
      <c r="BI375" s="2004"/>
      <c r="BJ375" s="2004"/>
      <c r="BK375" s="2004"/>
      <c r="BL375" s="2004" t="s">
        <v>10441</v>
      </c>
      <c r="BM375" s="2004"/>
      <c r="BN375" s="2004">
        <v>1</v>
      </c>
      <c r="BO375" s="2004" t="s">
        <v>9203</v>
      </c>
      <c r="BP375" s="516" t="s">
        <v>9388</v>
      </c>
      <c r="BQ375" s="688" t="s">
        <v>9388</v>
      </c>
      <c r="BR375" s="2004" t="s">
        <v>9204</v>
      </c>
      <c r="BS375" s="2004" t="s">
        <v>9204</v>
      </c>
      <c r="BT375" s="2004">
        <v>0</v>
      </c>
      <c r="BU375" s="2004" t="s">
        <v>9204</v>
      </c>
      <c r="BV375" s="2004">
        <v>0</v>
      </c>
      <c r="BW375" s="2004" t="s">
        <v>9388</v>
      </c>
      <c r="BX375" s="2004" t="s">
        <v>2335</v>
      </c>
      <c r="BY375" s="2004">
        <v>0</v>
      </c>
      <c r="BZ375" s="2004">
        <v>0</v>
      </c>
      <c r="CA375" s="2004">
        <v>0</v>
      </c>
      <c r="CB375" s="2004">
        <v>0</v>
      </c>
      <c r="CC375" s="2004">
        <v>40</v>
      </c>
      <c r="CD375" s="2004" t="s">
        <v>2335</v>
      </c>
      <c r="CE375" s="2004">
        <v>0</v>
      </c>
      <c r="CF375" s="2004">
        <v>0</v>
      </c>
      <c r="CG375" s="2004">
        <v>0</v>
      </c>
      <c r="CH375" s="2004">
        <v>0</v>
      </c>
      <c r="CI375" s="2004">
        <v>49</v>
      </c>
      <c r="CJ375" s="2004" t="s">
        <v>2335</v>
      </c>
      <c r="CK375" s="2004">
        <v>0</v>
      </c>
      <c r="CL375" s="2004">
        <v>0</v>
      </c>
      <c r="CM375" s="2004">
        <v>0</v>
      </c>
      <c r="CN375" s="2004">
        <v>0</v>
      </c>
      <c r="CP375" s="2004" t="s">
        <v>11329</v>
      </c>
    </row>
    <row r="376" spans="1:94">
      <c r="A376" s="2004" t="s">
        <v>9073</v>
      </c>
      <c r="B376" s="2004" t="s">
        <v>11330</v>
      </c>
      <c r="C376" s="2004" t="s">
        <v>9047</v>
      </c>
      <c r="D376" s="2004" t="s">
        <v>1629</v>
      </c>
      <c r="E376" s="2004" t="s">
        <v>9410</v>
      </c>
      <c r="F376" s="2004" t="s">
        <v>11314</v>
      </c>
      <c r="G376" s="2004" t="s">
        <v>11331</v>
      </c>
      <c r="H376" s="2004" t="s">
        <v>11332</v>
      </c>
      <c r="I376" s="2004" t="s">
        <v>11333</v>
      </c>
      <c r="J376" s="2004" t="s">
        <v>9199</v>
      </c>
      <c r="K376" s="2004" t="s">
        <v>9200</v>
      </c>
      <c r="L376" s="2004"/>
      <c r="M376" s="2004"/>
      <c r="N376" s="2004" t="s">
        <v>9414</v>
      </c>
      <c r="O376" s="2004" t="s">
        <v>766</v>
      </c>
      <c r="P376" s="2004" t="s">
        <v>11334</v>
      </c>
      <c r="Q376" s="516">
        <v>0</v>
      </c>
      <c r="R376" s="2004" t="s">
        <v>9202</v>
      </c>
      <c r="S376" s="2004">
        <v>1209</v>
      </c>
      <c r="T376" s="2004">
        <v>1168</v>
      </c>
      <c r="U376" s="2004">
        <v>1126</v>
      </c>
      <c r="V376" s="2004">
        <v>1085</v>
      </c>
      <c r="W376" s="2004">
        <v>1085</v>
      </c>
      <c r="X376" s="2004">
        <v>1085</v>
      </c>
      <c r="Y376" s="2004"/>
      <c r="Z376" s="2004"/>
      <c r="AA376" s="2004"/>
      <c r="AB376" s="2004"/>
      <c r="AC376" s="2004" t="s">
        <v>2337</v>
      </c>
      <c r="AD376" s="2004"/>
      <c r="AE376" s="2004" t="s">
        <v>2337</v>
      </c>
      <c r="AF376" s="2004"/>
      <c r="AG376" s="2004"/>
      <c r="AH376" s="2004">
        <v>0</v>
      </c>
      <c r="AI376" s="2004" t="s">
        <v>2337</v>
      </c>
      <c r="AJ376" s="2004" t="s">
        <v>2337</v>
      </c>
      <c r="AK376" s="2004" t="s">
        <v>2337</v>
      </c>
      <c r="AL376" s="2004" t="s">
        <v>2337</v>
      </c>
      <c r="AM376" s="2004" t="s">
        <v>2337</v>
      </c>
      <c r="AN376" s="2004">
        <v>1339</v>
      </c>
      <c r="AO376" s="2004">
        <v>1339</v>
      </c>
      <c r="AP376" s="2004">
        <v>1215</v>
      </c>
      <c r="AQ376" s="2004">
        <v>1215</v>
      </c>
      <c r="AR376" s="2004">
        <v>1215</v>
      </c>
      <c r="AS376" s="2004">
        <v>1209</v>
      </c>
      <c r="AT376" s="2004">
        <v>1209</v>
      </c>
      <c r="AU376" s="2004">
        <v>1085</v>
      </c>
      <c r="AV376" s="2004">
        <v>1085</v>
      </c>
      <c r="AW376" s="2004">
        <v>1085</v>
      </c>
      <c r="AX376" s="2004">
        <v>1085</v>
      </c>
      <c r="AY376" s="2004">
        <v>1085</v>
      </c>
      <c r="AZ376" s="2004">
        <v>1085</v>
      </c>
      <c r="BA376" s="2004">
        <v>1085</v>
      </c>
      <c r="BB376" s="2004">
        <v>1085</v>
      </c>
      <c r="BC376" s="2004">
        <v>955</v>
      </c>
      <c r="BD376" s="2004">
        <v>955</v>
      </c>
      <c r="BE376" s="2004">
        <v>955</v>
      </c>
      <c r="BF376" s="2004">
        <v>955</v>
      </c>
      <c r="BG376" s="2004">
        <v>955</v>
      </c>
      <c r="BH376" s="2004">
        <v>0.09</v>
      </c>
      <c r="BI376" s="2004"/>
      <c r="BJ376" s="2004"/>
      <c r="BK376" s="2004"/>
      <c r="BL376" s="2004">
        <v>5.5E-2</v>
      </c>
      <c r="BM376" s="2004"/>
      <c r="BN376" s="2004">
        <v>1</v>
      </c>
      <c r="BO376" s="2004" t="s">
        <v>9203</v>
      </c>
      <c r="BP376" s="516">
        <v>1017</v>
      </c>
      <c r="BQ376" s="689">
        <v>1410</v>
      </c>
      <c r="BR376" s="2004" t="s">
        <v>2334</v>
      </c>
      <c r="BS376" s="2004" t="s">
        <v>9204</v>
      </c>
      <c r="BT376" s="2004">
        <v>0</v>
      </c>
      <c r="BU376" s="2004" t="s">
        <v>9254</v>
      </c>
      <c r="BV376" s="2004">
        <v>-11.7</v>
      </c>
      <c r="BW376" s="2004">
        <v>1214</v>
      </c>
      <c r="BX376" s="2004" t="s">
        <v>2334</v>
      </c>
      <c r="BY376" s="2004">
        <v>0</v>
      </c>
      <c r="BZ376" s="2004">
        <v>0</v>
      </c>
      <c r="CA376" s="2004" t="s">
        <v>9254</v>
      </c>
      <c r="CB376" s="2004">
        <v>-0.45</v>
      </c>
      <c r="CC376" s="2004">
        <v>1062</v>
      </c>
      <c r="CD376" s="2004" t="s">
        <v>2337</v>
      </c>
      <c r="CE376" s="2004">
        <v>0</v>
      </c>
      <c r="CF376" s="2004">
        <v>0</v>
      </c>
      <c r="CG376" s="2004" t="s">
        <v>2339</v>
      </c>
      <c r="CH376" s="2004">
        <v>1.2649999999999999</v>
      </c>
      <c r="CI376" s="2004">
        <v>1032</v>
      </c>
      <c r="CJ376" s="2004" t="s">
        <v>2337</v>
      </c>
      <c r="CK376" s="2004">
        <v>0</v>
      </c>
      <c r="CL376" s="2004">
        <v>0</v>
      </c>
      <c r="CM376" s="2004" t="s">
        <v>2339</v>
      </c>
      <c r="CN376" s="2004">
        <v>2.915</v>
      </c>
      <c r="CP376" s="2004" t="s">
        <v>11335</v>
      </c>
    </row>
    <row r="377" spans="1:94">
      <c r="A377" s="2004" t="s">
        <v>9073</v>
      </c>
      <c r="B377" s="2004" t="s">
        <v>11336</v>
      </c>
      <c r="C377" s="2004" t="s">
        <v>9047</v>
      </c>
      <c r="D377" s="2004" t="s">
        <v>1629</v>
      </c>
      <c r="E377" s="2004" t="s">
        <v>9410</v>
      </c>
      <c r="F377" s="2004" t="s">
        <v>11314</v>
      </c>
      <c r="G377" s="2004" t="s">
        <v>11337</v>
      </c>
      <c r="H377" s="2004" t="s">
        <v>11338</v>
      </c>
      <c r="I377" s="2004" t="s">
        <v>11339</v>
      </c>
      <c r="J377" s="2004" t="s">
        <v>9199</v>
      </c>
      <c r="K377" s="2004" t="s">
        <v>9200</v>
      </c>
      <c r="L377" s="2004"/>
      <c r="M377" s="2004"/>
      <c r="N377" s="2004" t="s">
        <v>9427</v>
      </c>
      <c r="O377" s="2004" t="s">
        <v>766</v>
      </c>
      <c r="P377" s="2004" t="s">
        <v>11340</v>
      </c>
      <c r="Q377" s="516">
        <v>0</v>
      </c>
      <c r="R377" s="2004" t="s">
        <v>9240</v>
      </c>
      <c r="S377" s="2004" t="s">
        <v>4140</v>
      </c>
      <c r="T377" s="2004"/>
      <c r="U377" s="2004"/>
      <c r="V377" s="2004"/>
      <c r="W377" s="2004"/>
      <c r="X377" s="2004">
        <v>20</v>
      </c>
      <c r="Y377" s="2004"/>
      <c r="Z377" s="2004"/>
      <c r="AA377" s="2004"/>
      <c r="AB377" s="2004"/>
      <c r="AC377" s="2004"/>
      <c r="AD377" s="2004"/>
      <c r="AE377" s="2004" t="s">
        <v>2337</v>
      </c>
      <c r="AF377" s="2004"/>
      <c r="AG377" s="2004"/>
      <c r="AH377" s="2004">
        <v>0</v>
      </c>
      <c r="AI377" s="2004"/>
      <c r="AJ377" s="2004"/>
      <c r="AK377" s="2004"/>
      <c r="AL377" s="2004"/>
      <c r="AM377" s="2004" t="s">
        <v>2337</v>
      </c>
      <c r="AN377" s="2004"/>
      <c r="AO377" s="2004"/>
      <c r="AP377" s="2004"/>
      <c r="AQ377" s="2004"/>
      <c r="AR377" s="2004">
        <v>10</v>
      </c>
      <c r="AS377" s="2004"/>
      <c r="AT377" s="2004"/>
      <c r="AU377" s="2004"/>
      <c r="AV377" s="2004"/>
      <c r="AW377" s="2004">
        <v>20</v>
      </c>
      <c r="AX377" s="2004"/>
      <c r="AY377" s="2004"/>
      <c r="AZ377" s="2004"/>
      <c r="BA377" s="2004"/>
      <c r="BB377" s="2004">
        <v>20</v>
      </c>
      <c r="BC377" s="2004"/>
      <c r="BD377" s="2004"/>
      <c r="BE377" s="2004"/>
      <c r="BF377" s="2004"/>
      <c r="BG377" s="2004">
        <v>50</v>
      </c>
      <c r="BH377" s="2004">
        <v>0.51500000000000001</v>
      </c>
      <c r="BI377" s="2004"/>
      <c r="BJ377" s="2004"/>
      <c r="BK377" s="2004"/>
      <c r="BL377" s="2004">
        <v>0.47499999999999998</v>
      </c>
      <c r="BM377" s="2004"/>
      <c r="BN377" s="2004">
        <v>1</v>
      </c>
      <c r="BO377" s="2004" t="s">
        <v>9203</v>
      </c>
      <c r="BP377" s="516" t="s">
        <v>9388</v>
      </c>
      <c r="BQ377" s="689">
        <v>0</v>
      </c>
      <c r="BR377" s="2004" t="s">
        <v>9204</v>
      </c>
      <c r="BS377" s="2004" t="s">
        <v>9204</v>
      </c>
      <c r="BT377" s="2004">
        <v>0</v>
      </c>
      <c r="BU377" s="2004" t="s">
        <v>9204</v>
      </c>
      <c r="BV377" s="2004">
        <v>0</v>
      </c>
      <c r="BW377" s="2004">
        <v>0</v>
      </c>
      <c r="BX377" s="2004" t="s">
        <v>2335</v>
      </c>
      <c r="BY377" s="2004">
        <v>0</v>
      </c>
      <c r="BZ377" s="2004">
        <v>0</v>
      </c>
      <c r="CA377" s="2004">
        <v>0</v>
      </c>
      <c r="CB377" s="2004">
        <v>0</v>
      </c>
      <c r="CC377" s="2004">
        <v>0</v>
      </c>
      <c r="CD377" s="2004" t="s">
        <v>2335</v>
      </c>
      <c r="CE377" s="2004">
        <v>0</v>
      </c>
      <c r="CF377" s="2004">
        <v>0</v>
      </c>
      <c r="CG377" s="2004">
        <v>0</v>
      </c>
      <c r="CH377" s="2004">
        <v>0</v>
      </c>
      <c r="CI377" s="2004">
        <v>0.24099999999999999</v>
      </c>
      <c r="CJ377" s="2004" t="s">
        <v>2335</v>
      </c>
      <c r="CK377" s="2004">
        <v>0</v>
      </c>
      <c r="CL377" s="2004">
        <v>0</v>
      </c>
      <c r="CM377" s="2004">
        <v>0</v>
      </c>
      <c r="CN377" s="2004">
        <v>0</v>
      </c>
      <c r="CP377" s="2004" t="s">
        <v>11341</v>
      </c>
    </row>
    <row r="378" spans="1:94">
      <c r="A378" s="2004" t="s">
        <v>9073</v>
      </c>
      <c r="B378" s="2004" t="s">
        <v>11342</v>
      </c>
      <c r="C378" s="2004" t="s">
        <v>9047</v>
      </c>
      <c r="D378" s="2004" t="s">
        <v>1629</v>
      </c>
      <c r="E378" s="2004" t="s">
        <v>9410</v>
      </c>
      <c r="F378" s="2004" t="s">
        <v>11314</v>
      </c>
      <c r="G378" s="2004" t="s">
        <v>11343</v>
      </c>
      <c r="H378" s="2004" t="s">
        <v>11344</v>
      </c>
      <c r="I378" s="2004" t="s">
        <v>11345</v>
      </c>
      <c r="J378" s="2004" t="s">
        <v>9210</v>
      </c>
      <c r="K378" s="2004" t="s">
        <v>9200</v>
      </c>
      <c r="L378" s="2004"/>
      <c r="M378" s="2004" t="s">
        <v>2334</v>
      </c>
      <c r="N378" s="2004" t="s">
        <v>5549</v>
      </c>
      <c r="O378" s="2004" t="s">
        <v>734</v>
      </c>
      <c r="P378" s="2004" t="s">
        <v>11251</v>
      </c>
      <c r="Q378" s="516">
        <v>0</v>
      </c>
      <c r="R378" s="2004" t="s">
        <v>9240</v>
      </c>
      <c r="S378" s="2004">
        <v>100</v>
      </c>
      <c r="T378" s="2004"/>
      <c r="U378" s="2004"/>
      <c r="V378" s="2004"/>
      <c r="W378" s="2004"/>
      <c r="X378" s="2004">
        <v>100</v>
      </c>
      <c r="Y378" s="2004"/>
      <c r="Z378" s="2004"/>
      <c r="AA378" s="2004"/>
      <c r="AB378" s="2004"/>
      <c r="AC378" s="2004"/>
      <c r="AD378" s="2004" t="s">
        <v>2337</v>
      </c>
      <c r="AE378" s="2004" t="s">
        <v>2337</v>
      </c>
      <c r="AF378" s="2004"/>
      <c r="AG378" s="2004"/>
      <c r="AH378" s="2004">
        <v>0</v>
      </c>
      <c r="AI378" s="2004"/>
      <c r="AJ378" s="2004"/>
      <c r="AK378" s="2004"/>
      <c r="AL378" s="2004"/>
      <c r="AM378" s="2004" t="s">
        <v>2337</v>
      </c>
      <c r="AN378" s="2004"/>
      <c r="AO378" s="2004"/>
      <c r="AP378" s="2004"/>
      <c r="AQ378" s="2004"/>
      <c r="AR378" s="2004">
        <v>0</v>
      </c>
      <c r="AS378" s="2004"/>
      <c r="AT378" s="2004"/>
      <c r="AU378" s="2004"/>
      <c r="AV378" s="2004"/>
      <c r="AW378" s="2004">
        <v>100</v>
      </c>
      <c r="AX378" s="2004"/>
      <c r="AY378" s="2004"/>
      <c r="AZ378" s="2004"/>
      <c r="BA378" s="2004"/>
      <c r="BB378" s="2004"/>
      <c r="BC378" s="2004"/>
      <c r="BD378" s="2004"/>
      <c r="BE378" s="2004"/>
      <c r="BF378" s="2004"/>
      <c r="BG378" s="2004"/>
      <c r="BH378" s="2004">
        <v>0.40400000000000003</v>
      </c>
      <c r="BI378" s="2004"/>
      <c r="BJ378" s="2004"/>
      <c r="BK378" s="2004"/>
      <c r="BL378" s="2004"/>
      <c r="BM378" s="2004"/>
      <c r="BN378" s="2004">
        <v>1</v>
      </c>
      <c r="BO378" s="2004" t="s">
        <v>9203</v>
      </c>
      <c r="BP378" s="516" t="s">
        <v>9388</v>
      </c>
      <c r="BQ378" s="689">
        <v>0</v>
      </c>
      <c r="BR378" s="2004" t="s">
        <v>9204</v>
      </c>
      <c r="BS378" s="2004" t="s">
        <v>9204</v>
      </c>
      <c r="BT378" s="2004">
        <v>0</v>
      </c>
      <c r="BU378" s="2004" t="s">
        <v>9204</v>
      </c>
      <c r="BV378" s="2004">
        <v>0</v>
      </c>
      <c r="BW378" s="2004" t="s">
        <v>9388</v>
      </c>
      <c r="BX378" s="2004" t="s">
        <v>2335</v>
      </c>
      <c r="BY378" s="2004">
        <v>0</v>
      </c>
      <c r="BZ378" s="2004">
        <v>0</v>
      </c>
      <c r="CA378" s="2004">
        <v>0</v>
      </c>
      <c r="CB378" s="2004">
        <v>0</v>
      </c>
      <c r="CC378" s="2236">
        <v>26</v>
      </c>
      <c r="CD378" s="2004" t="s">
        <v>2335</v>
      </c>
      <c r="CE378" s="2004">
        <v>0</v>
      </c>
      <c r="CF378" s="2004">
        <v>0</v>
      </c>
      <c r="CG378" s="2004">
        <v>0</v>
      </c>
      <c r="CH378" s="2004">
        <v>0</v>
      </c>
      <c r="CI378" s="2236">
        <v>45</v>
      </c>
      <c r="CJ378" s="2004" t="s">
        <v>2335</v>
      </c>
      <c r="CK378" s="2004">
        <v>0</v>
      </c>
      <c r="CL378" s="2004">
        <v>0</v>
      </c>
      <c r="CM378" s="2004">
        <v>0</v>
      </c>
      <c r="CN378" s="2004">
        <v>0</v>
      </c>
      <c r="CP378" s="2004" t="s">
        <v>11346</v>
      </c>
    </row>
    <row r="379" spans="1:94">
      <c r="A379" s="2004" t="s">
        <v>9073</v>
      </c>
      <c r="B379" s="2004" t="s">
        <v>11347</v>
      </c>
      <c r="C379" s="2004" t="s">
        <v>9047</v>
      </c>
      <c r="D379" s="2004" t="s">
        <v>1629</v>
      </c>
      <c r="E379" s="2004" t="s">
        <v>9410</v>
      </c>
      <c r="F379" s="2004" t="s">
        <v>11314</v>
      </c>
      <c r="G379" s="2004" t="s">
        <v>11348</v>
      </c>
      <c r="H379" s="2004" t="s">
        <v>11349</v>
      </c>
      <c r="I379" s="2004" t="s">
        <v>11350</v>
      </c>
      <c r="J379" s="2004" t="s">
        <v>9210</v>
      </c>
      <c r="K379" s="2004" t="s">
        <v>9200</v>
      </c>
      <c r="L379" s="2004"/>
      <c r="M379" s="2004"/>
      <c r="N379" s="2004" t="s">
        <v>5533</v>
      </c>
      <c r="O379" s="2004" t="s">
        <v>766</v>
      </c>
      <c r="P379" s="2004" t="s">
        <v>11351</v>
      </c>
      <c r="Q379" s="516">
        <v>0</v>
      </c>
      <c r="R379" s="2004" t="s">
        <v>9240</v>
      </c>
      <c r="S379" s="2004"/>
      <c r="T379" s="2004"/>
      <c r="U379" s="2004"/>
      <c r="V379" s="2004"/>
      <c r="W379" s="2004"/>
      <c r="X379" s="2004">
        <v>1700000</v>
      </c>
      <c r="Y379" s="2004"/>
      <c r="Z379" s="2004"/>
      <c r="AA379" s="2004"/>
      <c r="AB379" s="2004"/>
      <c r="AC379" s="2004"/>
      <c r="AD379" s="2004"/>
      <c r="AE379" s="2004" t="s">
        <v>2337</v>
      </c>
      <c r="AF379" s="2004"/>
      <c r="AG379" s="2004"/>
      <c r="AH379" s="2004">
        <v>0</v>
      </c>
      <c r="AI379" s="2004"/>
      <c r="AJ379" s="2004"/>
      <c r="AK379" s="2004"/>
      <c r="AL379" s="2004"/>
      <c r="AM379" s="2004" t="s">
        <v>2337</v>
      </c>
      <c r="AN379" s="2004"/>
      <c r="AO379" s="2004"/>
      <c r="AP379" s="2004"/>
      <c r="AQ379" s="2004"/>
      <c r="AR379" s="2004">
        <v>1360000</v>
      </c>
      <c r="AS379" s="2004"/>
      <c r="AT379" s="2004"/>
      <c r="AU379" s="2004"/>
      <c r="AV379" s="2004"/>
      <c r="AW379" s="2004">
        <v>1700000</v>
      </c>
      <c r="AX379" s="2004"/>
      <c r="AY379" s="2004"/>
      <c r="AZ379" s="2004"/>
      <c r="BA379" s="2004"/>
      <c r="BB379" s="2004"/>
      <c r="BC379" s="2004"/>
      <c r="BD379" s="2004"/>
      <c r="BE379" s="2004"/>
      <c r="BF379" s="2004"/>
      <c r="BG379" s="2004"/>
      <c r="BH379" s="2004">
        <v>7.1999999999999999E-7</v>
      </c>
      <c r="BI379" s="2004"/>
      <c r="BJ379" s="2004"/>
      <c r="BK379" s="2004"/>
      <c r="BL379" s="2004"/>
      <c r="BM379" s="2004"/>
      <c r="BN379" s="2004">
        <v>1</v>
      </c>
      <c r="BO379" s="2004" t="s">
        <v>9203</v>
      </c>
      <c r="BP379" s="516" t="s">
        <v>9388</v>
      </c>
      <c r="BQ379" s="689">
        <v>0</v>
      </c>
      <c r="BR379" s="2004" t="s">
        <v>9204</v>
      </c>
      <c r="BS379" s="2004" t="s">
        <v>9204</v>
      </c>
      <c r="BT379" s="2004">
        <v>0</v>
      </c>
      <c r="BU379" s="2004" t="s">
        <v>9204</v>
      </c>
      <c r="BV379" s="2004">
        <v>0</v>
      </c>
      <c r="BW379" s="2004">
        <v>0</v>
      </c>
      <c r="BX379" s="2004" t="s">
        <v>2335</v>
      </c>
      <c r="BY379" s="2004">
        <v>0</v>
      </c>
      <c r="BZ379" s="2004">
        <v>0</v>
      </c>
      <c r="CA379" s="2004">
        <v>0</v>
      </c>
      <c r="CB379" s="2004">
        <v>0</v>
      </c>
      <c r="CC379" s="2004">
        <v>537700</v>
      </c>
      <c r="CD379" s="2004" t="s">
        <v>2335</v>
      </c>
      <c r="CE379" s="2004">
        <v>0</v>
      </c>
      <c r="CF379" s="2004">
        <v>0</v>
      </c>
      <c r="CG379" s="2004">
        <v>0</v>
      </c>
      <c r="CH379" s="2004">
        <v>0</v>
      </c>
      <c r="CI379" s="2004">
        <v>962842</v>
      </c>
      <c r="CJ379" s="2004" t="s">
        <v>2335</v>
      </c>
      <c r="CK379" s="2004">
        <v>0</v>
      </c>
      <c r="CL379" s="2004">
        <v>0</v>
      </c>
      <c r="CM379" s="2004">
        <v>0</v>
      </c>
      <c r="CN379" s="2004">
        <v>0</v>
      </c>
      <c r="CP379" s="2004" t="s">
        <v>11352</v>
      </c>
    </row>
    <row r="380" spans="1:94" ht="25.5">
      <c r="A380" s="2004" t="s">
        <v>9073</v>
      </c>
      <c r="B380" s="2004" t="s">
        <v>11353</v>
      </c>
      <c r="C380" s="2004" t="s">
        <v>9047</v>
      </c>
      <c r="D380" s="2004" t="s">
        <v>1629</v>
      </c>
      <c r="E380" s="2004" t="s">
        <v>9410</v>
      </c>
      <c r="F380" s="2004" t="s">
        <v>11314</v>
      </c>
      <c r="G380" s="2004" t="s">
        <v>11354</v>
      </c>
      <c r="H380" s="2004" t="s">
        <v>11355</v>
      </c>
      <c r="I380" s="2004" t="s">
        <v>11356</v>
      </c>
      <c r="J380" s="2004" t="s">
        <v>9210</v>
      </c>
      <c r="K380" s="2004" t="s">
        <v>9200</v>
      </c>
      <c r="L380" s="2004"/>
      <c r="M380" s="2004" t="s">
        <v>2334</v>
      </c>
      <c r="N380" s="2004" t="s">
        <v>9364</v>
      </c>
      <c r="O380" s="2004" t="s">
        <v>9487</v>
      </c>
      <c r="P380" s="2004" t="s">
        <v>10594</v>
      </c>
      <c r="Q380" s="516" t="s">
        <v>9203</v>
      </c>
      <c r="R380" s="2004"/>
      <c r="S380" s="2004"/>
      <c r="T380" s="2004" t="s">
        <v>9978</v>
      </c>
      <c r="U380" s="2004"/>
      <c r="V380" s="2004"/>
      <c r="W380" s="2004"/>
      <c r="X380" s="2004"/>
      <c r="Y380" s="2004"/>
      <c r="Z380" s="2004"/>
      <c r="AA380" s="2004"/>
      <c r="AB380" s="2004"/>
      <c r="AC380" s="2004"/>
      <c r="AD380" s="2004" t="s">
        <v>2337</v>
      </c>
      <c r="AE380" s="2004"/>
      <c r="AF380" s="2004" t="s">
        <v>2337</v>
      </c>
      <c r="AG380" s="2004"/>
      <c r="AH380" s="2004">
        <v>0</v>
      </c>
      <c r="AI380" s="2004" t="s">
        <v>2337</v>
      </c>
      <c r="AJ380" s="2004" t="s">
        <v>2337</v>
      </c>
      <c r="AK380" s="2004" t="s">
        <v>2337</v>
      </c>
      <c r="AL380" s="2004" t="s">
        <v>2337</v>
      </c>
      <c r="AM380" s="2004" t="s">
        <v>2337</v>
      </c>
      <c r="AN380" s="2004" t="s">
        <v>11357</v>
      </c>
      <c r="AO380" s="2004" t="s">
        <v>11357</v>
      </c>
      <c r="AP380" s="2004" t="s">
        <v>11357</v>
      </c>
      <c r="AQ380" s="2004" t="s">
        <v>11357</v>
      </c>
      <c r="AR380" s="2004" t="s">
        <v>11357</v>
      </c>
      <c r="AS380" s="2004" t="s">
        <v>11357</v>
      </c>
      <c r="AT380" s="2004" t="s">
        <v>11357</v>
      </c>
      <c r="AU380" s="2004" t="s">
        <v>11357</v>
      </c>
      <c r="AV380" s="2004" t="s">
        <v>11357</v>
      </c>
      <c r="AW380" s="2004" t="s">
        <v>11357</v>
      </c>
      <c r="AX380" s="2004"/>
      <c r="AY380" s="2004"/>
      <c r="AZ380" s="2004"/>
      <c r="BA380" s="2004"/>
      <c r="BB380" s="2004"/>
      <c r="BC380" s="2004"/>
      <c r="BD380" s="2004"/>
      <c r="BE380" s="2004"/>
      <c r="BF380" s="2004"/>
      <c r="BG380" s="2004"/>
      <c r="BH380" s="2004">
        <v>6.7</v>
      </c>
      <c r="BI380" s="2004"/>
      <c r="BJ380" s="2004"/>
      <c r="BK380" s="2004"/>
      <c r="BL380" s="2004"/>
      <c r="BM380" s="2004"/>
      <c r="BN380" s="2004">
        <v>1</v>
      </c>
      <c r="BO380" s="2004" t="s">
        <v>9203</v>
      </c>
      <c r="BP380" s="516" t="s">
        <v>9388</v>
      </c>
      <c r="BQ380" s="688" t="s">
        <v>11358</v>
      </c>
      <c r="BR380" s="2004" t="s">
        <v>2337</v>
      </c>
      <c r="BS380" s="2004" t="s">
        <v>9204</v>
      </c>
      <c r="BT380" s="2004">
        <v>0</v>
      </c>
      <c r="BU380" s="2004" t="s">
        <v>9204</v>
      </c>
      <c r="BV380" s="2004">
        <v>0</v>
      </c>
      <c r="BW380" s="2004" t="s">
        <v>11359</v>
      </c>
      <c r="BX380" s="2004" t="s">
        <v>2335</v>
      </c>
      <c r="BY380" s="2004">
        <v>0</v>
      </c>
      <c r="BZ380" s="2004">
        <v>0</v>
      </c>
      <c r="CA380" s="2004">
        <v>0</v>
      </c>
      <c r="CB380" s="2004">
        <v>0</v>
      </c>
      <c r="CC380" s="2004" t="s">
        <v>11360</v>
      </c>
      <c r="CD380" s="2004" t="s">
        <v>2337</v>
      </c>
      <c r="CE380" s="2004">
        <v>0</v>
      </c>
      <c r="CF380" s="2004">
        <v>0</v>
      </c>
      <c r="CG380" s="2004">
        <v>0</v>
      </c>
      <c r="CH380" s="2004">
        <v>0</v>
      </c>
      <c r="CI380" s="2004" t="s">
        <v>11360</v>
      </c>
      <c r="CJ380" s="2004" t="s">
        <v>2335</v>
      </c>
      <c r="CK380" s="2004">
        <v>0</v>
      </c>
      <c r="CL380" s="2004">
        <v>0</v>
      </c>
      <c r="CM380" s="2004">
        <v>0</v>
      </c>
      <c r="CN380" s="2004">
        <v>0</v>
      </c>
      <c r="CP380" s="2004" t="s">
        <v>11361</v>
      </c>
    </row>
    <row r="381" spans="1:94" ht="25.5">
      <c r="A381" s="2004" t="s">
        <v>9073</v>
      </c>
      <c r="B381" s="2004" t="s">
        <v>11362</v>
      </c>
      <c r="C381" s="2004" t="s">
        <v>9047</v>
      </c>
      <c r="D381" s="2004" t="s">
        <v>1629</v>
      </c>
      <c r="E381" s="2004" t="s">
        <v>9410</v>
      </c>
      <c r="F381" s="2004" t="s">
        <v>11314</v>
      </c>
      <c r="G381" s="2004" t="s">
        <v>11363</v>
      </c>
      <c r="H381" s="2004" t="s">
        <v>11364</v>
      </c>
      <c r="I381" s="2004" t="s">
        <v>11365</v>
      </c>
      <c r="J381" s="2004" t="s">
        <v>9210</v>
      </c>
      <c r="K381" s="2004" t="s">
        <v>9200</v>
      </c>
      <c r="L381" s="2004"/>
      <c r="M381" s="2004" t="s">
        <v>2334</v>
      </c>
      <c r="N381" s="2004" t="s">
        <v>9364</v>
      </c>
      <c r="O381" s="2004" t="s">
        <v>9487</v>
      </c>
      <c r="P381" s="2004" t="s">
        <v>10594</v>
      </c>
      <c r="Q381" s="516" t="s">
        <v>9203</v>
      </c>
      <c r="R381" s="2004"/>
      <c r="S381" s="2004"/>
      <c r="T381" s="2004"/>
      <c r="U381" s="2004" t="s">
        <v>9978</v>
      </c>
      <c r="V381" s="2004"/>
      <c r="W381" s="2004"/>
      <c r="X381" s="2004"/>
      <c r="Y381" s="2004"/>
      <c r="Z381" s="2004"/>
      <c r="AA381" s="2004"/>
      <c r="AB381" s="2004"/>
      <c r="AC381" s="2004"/>
      <c r="AD381" s="2004" t="s">
        <v>2337</v>
      </c>
      <c r="AE381" s="2004"/>
      <c r="AF381" s="2004" t="s">
        <v>2337</v>
      </c>
      <c r="AG381" s="2004"/>
      <c r="AH381" s="2004">
        <v>0</v>
      </c>
      <c r="AI381" s="2004"/>
      <c r="AJ381" s="2004"/>
      <c r="AK381" s="2004"/>
      <c r="AL381" s="2004"/>
      <c r="AM381" s="2004" t="s">
        <v>2337</v>
      </c>
      <c r="AN381" s="2004"/>
      <c r="AO381" s="2004"/>
      <c r="AP381" s="2004"/>
      <c r="AQ381" s="2004"/>
      <c r="AR381" s="2004" t="s">
        <v>11357</v>
      </c>
      <c r="AS381" s="2004"/>
      <c r="AT381" s="2004"/>
      <c r="AU381" s="2004"/>
      <c r="AV381" s="2004"/>
      <c r="AW381" s="2004" t="s">
        <v>11357</v>
      </c>
      <c r="AX381" s="2004"/>
      <c r="AY381" s="2004"/>
      <c r="AZ381" s="2004"/>
      <c r="BA381" s="2004"/>
      <c r="BB381" s="2004"/>
      <c r="BC381" s="2004"/>
      <c r="BD381" s="2004"/>
      <c r="BE381" s="2004"/>
      <c r="BF381" s="2004"/>
      <c r="BG381" s="2004"/>
      <c r="BH381" s="2004">
        <v>198</v>
      </c>
      <c r="BI381" s="2004"/>
      <c r="BJ381" s="2004"/>
      <c r="BK381" s="2004"/>
      <c r="BL381" s="2004"/>
      <c r="BM381" s="2004"/>
      <c r="BN381" s="2004">
        <v>1</v>
      </c>
      <c r="BO381" s="2004" t="s">
        <v>9203</v>
      </c>
      <c r="BP381" s="516" t="s">
        <v>9388</v>
      </c>
      <c r="BQ381" s="689" t="s">
        <v>9388</v>
      </c>
      <c r="BR381" s="2004" t="s">
        <v>9204</v>
      </c>
      <c r="BS381" s="2004" t="s">
        <v>9204</v>
      </c>
      <c r="BT381" s="2004">
        <v>0</v>
      </c>
      <c r="BU381" s="2004" t="s">
        <v>9204</v>
      </c>
      <c r="BV381" s="2004">
        <v>0</v>
      </c>
      <c r="BW381" s="2004" t="s">
        <v>11366</v>
      </c>
      <c r="BX381" s="2004" t="s">
        <v>2337</v>
      </c>
      <c r="BY381" s="2004">
        <v>0</v>
      </c>
      <c r="BZ381" s="2004">
        <v>0</v>
      </c>
      <c r="CA381" s="2004">
        <v>0</v>
      </c>
      <c r="CB381" s="2004">
        <v>0</v>
      </c>
      <c r="CC381" s="2004" t="s">
        <v>11367</v>
      </c>
      <c r="CD381" s="2004" t="s">
        <v>2337</v>
      </c>
      <c r="CE381" s="2004">
        <v>0</v>
      </c>
      <c r="CF381" s="2004">
        <v>0</v>
      </c>
      <c r="CG381" s="2004">
        <v>0</v>
      </c>
      <c r="CH381" s="2004">
        <v>0</v>
      </c>
      <c r="CI381" s="2004" t="s">
        <v>11367</v>
      </c>
      <c r="CJ381" s="2004" t="s">
        <v>2335</v>
      </c>
      <c r="CK381" s="2004">
        <v>0</v>
      </c>
      <c r="CL381" s="2004">
        <v>0</v>
      </c>
      <c r="CM381" s="2004">
        <v>0</v>
      </c>
      <c r="CN381" s="2004">
        <v>0</v>
      </c>
      <c r="CP381" s="2004" t="s">
        <v>11368</v>
      </c>
    </row>
    <row r="382" spans="1:94">
      <c r="A382" s="2004" t="s">
        <v>9073</v>
      </c>
      <c r="B382" s="2004" t="s">
        <v>11369</v>
      </c>
      <c r="C382" s="2004" t="s">
        <v>9047</v>
      </c>
      <c r="D382" s="2004" t="s">
        <v>1629</v>
      </c>
      <c r="E382" s="2004" t="s">
        <v>9410</v>
      </c>
      <c r="F382" s="2004" t="s">
        <v>11260</v>
      </c>
      <c r="G382" s="2004" t="s">
        <v>11370</v>
      </c>
      <c r="H382" s="2004" t="s">
        <v>11371</v>
      </c>
      <c r="I382" s="2004" t="s">
        <v>11372</v>
      </c>
      <c r="J382" s="2004" t="s">
        <v>9230</v>
      </c>
      <c r="K382" s="2004"/>
      <c r="L382" s="2004"/>
      <c r="M382" s="2004"/>
      <c r="N382" s="2004" t="s">
        <v>9372</v>
      </c>
      <c r="O382" s="2004" t="s">
        <v>766</v>
      </c>
      <c r="P382" s="2004" t="s">
        <v>9870</v>
      </c>
      <c r="Q382" s="516">
        <v>1</v>
      </c>
      <c r="R382" s="2004" t="s">
        <v>9202</v>
      </c>
      <c r="S382" s="2004">
        <v>394.6</v>
      </c>
      <c r="T382" s="2004">
        <v>368.1</v>
      </c>
      <c r="U382" s="2004">
        <v>322.5</v>
      </c>
      <c r="V382" s="2004">
        <v>290.5</v>
      </c>
      <c r="W382" s="2004">
        <v>269.60000000000002</v>
      </c>
      <c r="X382" s="2004">
        <v>260.60000000000002</v>
      </c>
      <c r="Y382" s="2004"/>
      <c r="Z382" s="2004"/>
      <c r="AA382" s="2004"/>
      <c r="AB382" s="2004"/>
      <c r="AC382" s="2004"/>
      <c r="AD382" s="2004"/>
      <c r="AE382" s="2004"/>
      <c r="AF382" s="2004"/>
      <c r="AG382" s="2004"/>
      <c r="AH382" s="2004">
        <v>0</v>
      </c>
      <c r="AI382" s="2004"/>
      <c r="AJ382" s="2004"/>
      <c r="AK382" s="2004"/>
      <c r="AL382" s="2004"/>
      <c r="AM382" s="2004"/>
      <c r="AN382" s="2004"/>
      <c r="AO382" s="2004"/>
      <c r="AP382" s="2004"/>
      <c r="AQ382" s="2004"/>
      <c r="AR382" s="2004"/>
      <c r="AS382" s="2004"/>
      <c r="AT382" s="2004"/>
      <c r="AU382" s="2004"/>
      <c r="AV382" s="2004"/>
      <c r="AW382" s="2004"/>
      <c r="AX382" s="2004"/>
      <c r="AY382" s="2004"/>
      <c r="AZ382" s="2004"/>
      <c r="BA382" s="2004"/>
      <c r="BB382" s="2004"/>
      <c r="BC382" s="2004"/>
      <c r="BD382" s="2004"/>
      <c r="BE382" s="2004"/>
      <c r="BF382" s="2004"/>
      <c r="BG382" s="2004"/>
      <c r="BH382" s="2004"/>
      <c r="BI382" s="2004"/>
      <c r="BJ382" s="2004"/>
      <c r="BK382" s="2004"/>
      <c r="BL382" s="2004"/>
      <c r="BM382" s="2004"/>
      <c r="BN382" s="2004"/>
      <c r="BO382" s="2004"/>
      <c r="BP382" s="516" t="s">
        <v>9388</v>
      </c>
      <c r="BQ382" s="686">
        <v>468.53500000000003</v>
      </c>
      <c r="BR382" s="2004" t="s">
        <v>2334</v>
      </c>
      <c r="BS382" s="2004" t="s">
        <v>9204</v>
      </c>
      <c r="BT382" s="2004">
        <v>0</v>
      </c>
      <c r="BU382" s="2004" t="s">
        <v>9204</v>
      </c>
      <c r="BV382" s="2004">
        <v>0</v>
      </c>
      <c r="BW382" s="2004">
        <v>346.7</v>
      </c>
      <c r="BX382" s="2004" t="s">
        <v>2337</v>
      </c>
      <c r="BY382" s="2004">
        <v>0</v>
      </c>
      <c r="BZ382" s="2004">
        <v>0</v>
      </c>
      <c r="CA382" s="2004">
        <v>0</v>
      </c>
      <c r="CB382" s="2004">
        <v>0</v>
      </c>
      <c r="CC382" s="2004">
        <v>231.7</v>
      </c>
      <c r="CD382" s="2004" t="s">
        <v>2337</v>
      </c>
      <c r="CE382" s="2004">
        <v>0</v>
      </c>
      <c r="CF382" s="2004">
        <v>0</v>
      </c>
      <c r="CG382" s="2004">
        <v>0</v>
      </c>
      <c r="CH382" s="2004">
        <v>0</v>
      </c>
      <c r="CI382" s="2004">
        <v>230</v>
      </c>
      <c r="CJ382" s="2004" t="s">
        <v>2337</v>
      </c>
      <c r="CK382" s="2004">
        <v>0</v>
      </c>
      <c r="CL382" s="2004">
        <v>0</v>
      </c>
      <c r="CM382" s="2004">
        <v>0</v>
      </c>
      <c r="CN382" s="2004">
        <v>0</v>
      </c>
      <c r="CP382" s="2004" t="s">
        <v>11373</v>
      </c>
    </row>
    <row r="383" spans="1:94">
      <c r="A383" s="2004" t="s">
        <v>9073</v>
      </c>
      <c r="B383" s="2004" t="s">
        <v>11374</v>
      </c>
      <c r="C383" s="2004" t="s">
        <v>9047</v>
      </c>
      <c r="D383" s="2004" t="s">
        <v>1629</v>
      </c>
      <c r="E383" s="2004" t="s">
        <v>9410</v>
      </c>
      <c r="F383" s="2004" t="s">
        <v>11260</v>
      </c>
      <c r="G383" s="2004" t="s">
        <v>11375</v>
      </c>
      <c r="H383" s="2004" t="s">
        <v>11376</v>
      </c>
      <c r="I383" s="2004" t="s">
        <v>11377</v>
      </c>
      <c r="J383" s="2004" t="s">
        <v>9199</v>
      </c>
      <c r="K383" s="2004" t="s">
        <v>9200</v>
      </c>
      <c r="L383" s="2004"/>
      <c r="M383" s="2004" t="s">
        <v>2334</v>
      </c>
      <c r="N383" s="2004" t="s">
        <v>9450</v>
      </c>
      <c r="O383" s="2004" t="s">
        <v>766</v>
      </c>
      <c r="P383" s="2004" t="s">
        <v>10294</v>
      </c>
      <c r="Q383" s="516">
        <v>0</v>
      </c>
      <c r="R383" s="2004" t="s">
        <v>9202</v>
      </c>
      <c r="S383" s="2004">
        <v>340</v>
      </c>
      <c r="T383" s="2004">
        <v>340</v>
      </c>
      <c r="U383" s="2004">
        <v>340</v>
      </c>
      <c r="V383" s="2004">
        <v>340</v>
      </c>
      <c r="W383" s="2004">
        <v>340</v>
      </c>
      <c r="X383" s="2004">
        <v>340</v>
      </c>
      <c r="Y383" s="2004"/>
      <c r="Z383" s="2004"/>
      <c r="AA383" s="2004"/>
      <c r="AB383" s="2004" t="s">
        <v>2337</v>
      </c>
      <c r="AC383" s="2004"/>
      <c r="AD383" s="2004"/>
      <c r="AE383" s="2004" t="s">
        <v>2337</v>
      </c>
      <c r="AF383" s="2004"/>
      <c r="AG383" s="2004"/>
      <c r="AH383" s="2004">
        <v>0</v>
      </c>
      <c r="AI383" s="2004" t="s">
        <v>2337</v>
      </c>
      <c r="AJ383" s="2004" t="s">
        <v>2337</v>
      </c>
      <c r="AK383" s="2004" t="s">
        <v>2337</v>
      </c>
      <c r="AL383" s="2004" t="s">
        <v>2337</v>
      </c>
      <c r="AM383" s="2004" t="s">
        <v>2337</v>
      </c>
      <c r="AN383" s="2004">
        <v>465</v>
      </c>
      <c r="AO383" s="2004">
        <v>465</v>
      </c>
      <c r="AP383" s="2004">
        <v>465</v>
      </c>
      <c r="AQ383" s="2004">
        <v>465</v>
      </c>
      <c r="AR383" s="2004">
        <v>465</v>
      </c>
      <c r="AS383" s="2004">
        <v>400</v>
      </c>
      <c r="AT383" s="2004">
        <v>400</v>
      </c>
      <c r="AU383" s="2004">
        <v>400</v>
      </c>
      <c r="AV383" s="2004">
        <v>400</v>
      </c>
      <c r="AW383" s="2004">
        <v>400</v>
      </c>
      <c r="AX383" s="2004">
        <v>263</v>
      </c>
      <c r="AY383" s="2004">
        <v>263</v>
      </c>
      <c r="AZ383" s="2004">
        <v>263</v>
      </c>
      <c r="BA383" s="2004">
        <v>263</v>
      </c>
      <c r="BB383" s="2004">
        <v>263</v>
      </c>
      <c r="BC383" s="2004">
        <v>229</v>
      </c>
      <c r="BD383" s="2004">
        <v>229</v>
      </c>
      <c r="BE383" s="2004">
        <v>229</v>
      </c>
      <c r="BF383" s="2004">
        <v>229</v>
      </c>
      <c r="BG383" s="2004">
        <v>229</v>
      </c>
      <c r="BH383" s="2004">
        <v>0.13</v>
      </c>
      <c r="BI383" s="2004"/>
      <c r="BJ383" s="2004"/>
      <c r="BK383" s="2004"/>
      <c r="BL383" s="2004">
        <v>0.13</v>
      </c>
      <c r="BM383" s="2004"/>
      <c r="BN383" s="2004">
        <v>1</v>
      </c>
      <c r="BO383" s="2004" t="s">
        <v>9203</v>
      </c>
      <c r="BP383" s="516">
        <v>467</v>
      </c>
      <c r="BQ383" s="689">
        <v>232</v>
      </c>
      <c r="BR383" s="2004" t="s">
        <v>2337</v>
      </c>
      <c r="BS383" s="2004" t="s">
        <v>9204</v>
      </c>
      <c r="BT383" s="2004">
        <v>0</v>
      </c>
      <c r="BU383" s="2004" t="s">
        <v>9204</v>
      </c>
      <c r="BV383" s="2004">
        <v>0</v>
      </c>
      <c r="BW383" s="2004">
        <v>315</v>
      </c>
      <c r="BX383" s="2004" t="s">
        <v>2337</v>
      </c>
      <c r="BY383" s="2004">
        <v>0</v>
      </c>
      <c r="BZ383" s="2004">
        <v>0</v>
      </c>
      <c r="CA383" s="2004">
        <v>0</v>
      </c>
      <c r="CB383" s="2004">
        <v>0</v>
      </c>
      <c r="CC383" s="2004">
        <v>292</v>
      </c>
      <c r="CD383" s="2004" t="s">
        <v>2337</v>
      </c>
      <c r="CE383" s="2004">
        <v>0</v>
      </c>
      <c r="CF383" s="2004">
        <v>0</v>
      </c>
      <c r="CG383" s="2004" t="s">
        <v>9074</v>
      </c>
      <c r="CH383" s="2004">
        <v>0</v>
      </c>
      <c r="CI383" s="2004">
        <v>295</v>
      </c>
      <c r="CJ383" s="2004" t="s">
        <v>2337</v>
      </c>
      <c r="CK383" s="2004">
        <v>0</v>
      </c>
      <c r="CL383" s="2004">
        <v>0</v>
      </c>
      <c r="CM383" s="2004">
        <v>0</v>
      </c>
      <c r="CN383" s="2004">
        <v>0</v>
      </c>
      <c r="CP383" s="2004" t="s">
        <v>11378</v>
      </c>
    </row>
    <row r="384" spans="1:94">
      <c r="A384" s="2004" t="s">
        <v>9073</v>
      </c>
      <c r="B384" s="2004" t="s">
        <v>11379</v>
      </c>
      <c r="C384" s="2004" t="s">
        <v>9047</v>
      </c>
      <c r="D384" s="2004" t="s">
        <v>1629</v>
      </c>
      <c r="E384" s="2004" t="s">
        <v>9410</v>
      </c>
      <c r="F384" s="2004" t="s">
        <v>11260</v>
      </c>
      <c r="G384" s="2004" t="s">
        <v>11380</v>
      </c>
      <c r="H384" s="2004" t="s">
        <v>11381</v>
      </c>
      <c r="I384" s="2004" t="s">
        <v>11382</v>
      </c>
      <c r="J384" s="2004" t="s">
        <v>9210</v>
      </c>
      <c r="K384" s="2004" t="s">
        <v>9200</v>
      </c>
      <c r="L384" s="2004"/>
      <c r="M384" s="2004"/>
      <c r="N384" s="2004" t="s">
        <v>9364</v>
      </c>
      <c r="O384" s="2004" t="s">
        <v>734</v>
      </c>
      <c r="P384" s="2004" t="s">
        <v>11383</v>
      </c>
      <c r="Q384" s="516">
        <v>2</v>
      </c>
      <c r="R384" s="2004" t="s">
        <v>9240</v>
      </c>
      <c r="S384" s="2004">
        <v>98.88</v>
      </c>
      <c r="T384" s="2004">
        <v>100</v>
      </c>
      <c r="U384" s="2004">
        <v>100</v>
      </c>
      <c r="V384" s="2004">
        <v>100</v>
      </c>
      <c r="W384" s="2004">
        <v>100</v>
      </c>
      <c r="X384" s="2004">
        <v>100</v>
      </c>
      <c r="Y384" s="2004"/>
      <c r="Z384" s="2004"/>
      <c r="AA384" s="2004"/>
      <c r="AB384" s="2004"/>
      <c r="AC384" s="2004"/>
      <c r="AD384" s="2004"/>
      <c r="AE384" s="2004" t="s">
        <v>2337</v>
      </c>
      <c r="AF384" s="2004"/>
      <c r="AG384" s="2004"/>
      <c r="AH384" s="2004">
        <v>0</v>
      </c>
      <c r="AI384" s="2004" t="s">
        <v>2337</v>
      </c>
      <c r="AJ384" s="2004" t="s">
        <v>2337</v>
      </c>
      <c r="AK384" s="2004" t="s">
        <v>2337</v>
      </c>
      <c r="AL384" s="2004" t="s">
        <v>2337</v>
      </c>
      <c r="AM384" s="2004" t="s">
        <v>2337</v>
      </c>
      <c r="AN384" s="2004">
        <v>96.61</v>
      </c>
      <c r="AO384" s="2004">
        <v>96.61</v>
      </c>
      <c r="AP384" s="2004">
        <v>96.61</v>
      </c>
      <c r="AQ384" s="2004">
        <v>96.61</v>
      </c>
      <c r="AR384" s="2004">
        <v>96.61</v>
      </c>
      <c r="AS384" s="2004">
        <v>98.88</v>
      </c>
      <c r="AT384" s="2004">
        <v>98.88</v>
      </c>
      <c r="AU384" s="2004">
        <v>98.88</v>
      </c>
      <c r="AV384" s="2004">
        <v>98.88</v>
      </c>
      <c r="AW384" s="2004">
        <v>98.88</v>
      </c>
      <c r="AX384" s="2004"/>
      <c r="AY384" s="2004"/>
      <c r="AZ384" s="2004"/>
      <c r="BA384" s="2004"/>
      <c r="BB384" s="2004"/>
      <c r="BC384" s="2004"/>
      <c r="BD384" s="2004"/>
      <c r="BE384" s="2004"/>
      <c r="BF384" s="2004"/>
      <c r="BG384" s="2004"/>
      <c r="BH384" s="2004">
        <v>3.8450000000000002</v>
      </c>
      <c r="BI384" s="2004"/>
      <c r="BJ384" s="2004"/>
      <c r="BK384" s="2004"/>
      <c r="BL384" s="2004"/>
      <c r="BM384" s="2004"/>
      <c r="BN384" s="2004">
        <v>1</v>
      </c>
      <c r="BO384" s="2004" t="s">
        <v>9203</v>
      </c>
      <c r="BP384" s="516">
        <v>98.850574712643677</v>
      </c>
      <c r="BQ384" s="690">
        <v>99.132947976878611</v>
      </c>
      <c r="BR384" s="2004" t="s">
        <v>2334</v>
      </c>
      <c r="BS384" s="2004" t="s">
        <v>9204</v>
      </c>
      <c r="BT384" s="2004">
        <v>0</v>
      </c>
      <c r="BU384" s="2004" t="s">
        <v>9120</v>
      </c>
      <c r="BV384" s="2004">
        <v>0</v>
      </c>
      <c r="BW384" s="2004">
        <v>98.28</v>
      </c>
      <c r="BX384" s="2004" t="s">
        <v>2334</v>
      </c>
      <c r="BY384" s="2004">
        <v>0</v>
      </c>
      <c r="BZ384" s="2004">
        <v>0</v>
      </c>
      <c r="CA384" s="2004" t="s">
        <v>9254</v>
      </c>
      <c r="CB384" s="2004">
        <v>-2.3069999999999999</v>
      </c>
      <c r="CC384" s="2004">
        <v>99.43</v>
      </c>
      <c r="CD384" s="2004" t="s">
        <v>2334</v>
      </c>
      <c r="CE384" s="2004">
        <v>0</v>
      </c>
      <c r="CF384" s="2004">
        <v>0</v>
      </c>
      <c r="CG384" s="2004" t="s">
        <v>2340</v>
      </c>
      <c r="CH384" s="2004">
        <v>0</v>
      </c>
      <c r="CI384" s="2004">
        <v>98.85</v>
      </c>
      <c r="CJ384" s="2004" t="s">
        <v>2334</v>
      </c>
      <c r="CK384" s="2004">
        <v>0</v>
      </c>
      <c r="CL384" s="2004">
        <v>0</v>
      </c>
      <c r="CM384" s="2004" t="s">
        <v>2336</v>
      </c>
      <c r="CN384" s="2004">
        <v>-0.1153</v>
      </c>
      <c r="CP384" s="2004" t="s">
        <v>11384</v>
      </c>
    </row>
    <row r="385" spans="1:94">
      <c r="A385" s="2004" t="s">
        <v>9073</v>
      </c>
      <c r="B385" s="2004" t="s">
        <v>11385</v>
      </c>
      <c r="C385" s="2004" t="s">
        <v>9047</v>
      </c>
      <c r="D385" s="2004" t="s">
        <v>1629</v>
      </c>
      <c r="E385" s="2004" t="s">
        <v>9410</v>
      </c>
      <c r="F385" s="2004" t="s">
        <v>11260</v>
      </c>
      <c r="G385" s="2004" t="s">
        <v>11386</v>
      </c>
      <c r="H385" s="2004" t="s">
        <v>11387</v>
      </c>
      <c r="I385" s="2004" t="s">
        <v>11388</v>
      </c>
      <c r="J385" s="2004" t="s">
        <v>9230</v>
      </c>
      <c r="K385" s="2004"/>
      <c r="L385" s="2004"/>
      <c r="M385" s="2004"/>
      <c r="N385" s="2004" t="s">
        <v>10743</v>
      </c>
      <c r="O385" s="2004" t="s">
        <v>766</v>
      </c>
      <c r="P385" s="2004" t="s">
        <v>11389</v>
      </c>
      <c r="Q385" s="516">
        <v>0</v>
      </c>
      <c r="R385" s="2004" t="s">
        <v>9240</v>
      </c>
      <c r="S385" s="2004" t="s">
        <v>4140</v>
      </c>
      <c r="T385" s="2004"/>
      <c r="U385" s="2004"/>
      <c r="V385" s="2004"/>
      <c r="W385" s="2004"/>
      <c r="X385" s="2004">
        <v>13</v>
      </c>
      <c r="Y385" s="2004"/>
      <c r="Z385" s="2004"/>
      <c r="AA385" s="2004"/>
      <c r="AB385" s="2004"/>
      <c r="AC385" s="2004"/>
      <c r="AD385" s="2004"/>
      <c r="AE385" s="2004"/>
      <c r="AF385" s="2004"/>
      <c r="AG385" s="2004"/>
      <c r="AH385" s="2004">
        <v>0</v>
      </c>
      <c r="AI385" s="2004"/>
      <c r="AJ385" s="2004"/>
      <c r="AK385" s="2004"/>
      <c r="AL385" s="2004"/>
      <c r="AM385" s="2004"/>
      <c r="AN385" s="2004"/>
      <c r="AO385" s="2004"/>
      <c r="AP385" s="2004"/>
      <c r="AQ385" s="2004"/>
      <c r="AR385" s="2004"/>
      <c r="AS385" s="2004"/>
      <c r="AT385" s="2004"/>
      <c r="AU385" s="2004"/>
      <c r="AV385" s="2004"/>
      <c r="AW385" s="2004"/>
      <c r="AX385" s="2004"/>
      <c r="AY385" s="2004"/>
      <c r="AZ385" s="2004"/>
      <c r="BA385" s="2004"/>
      <c r="BB385" s="2004"/>
      <c r="BC385" s="2004"/>
      <c r="BD385" s="2004"/>
      <c r="BE385" s="2004"/>
      <c r="BF385" s="2004"/>
      <c r="BG385" s="2004"/>
      <c r="BH385" s="2004"/>
      <c r="BI385" s="2004"/>
      <c r="BJ385" s="2004"/>
      <c r="BK385" s="2004"/>
      <c r="BL385" s="2004"/>
      <c r="BM385" s="2004"/>
      <c r="BN385" s="2004"/>
      <c r="BO385" s="2004"/>
      <c r="BP385" s="516" t="s">
        <v>9388</v>
      </c>
      <c r="BQ385" s="689">
        <v>0</v>
      </c>
      <c r="BR385" s="2004" t="s">
        <v>9204</v>
      </c>
      <c r="BS385" s="2004" t="s">
        <v>9204</v>
      </c>
      <c r="BT385" s="2004">
        <v>0</v>
      </c>
      <c r="BU385" s="2004" t="s">
        <v>9204</v>
      </c>
      <c r="BV385" s="2004">
        <v>0</v>
      </c>
      <c r="BW385" s="2004">
        <v>0</v>
      </c>
      <c r="BX385" s="2004" t="s">
        <v>2335</v>
      </c>
      <c r="BY385" s="2004">
        <v>0</v>
      </c>
      <c r="BZ385" s="2004">
        <v>0</v>
      </c>
      <c r="CA385" s="2004">
        <v>0</v>
      </c>
      <c r="CB385" s="2004">
        <v>0</v>
      </c>
      <c r="CC385" s="2004">
        <v>0</v>
      </c>
      <c r="CD385" s="2004" t="s">
        <v>2335</v>
      </c>
      <c r="CE385" s="2004">
        <v>0</v>
      </c>
      <c r="CF385" s="2004">
        <v>0</v>
      </c>
      <c r="CG385" s="2004">
        <v>0</v>
      </c>
      <c r="CH385" s="2004">
        <v>0</v>
      </c>
      <c r="CI385" s="2004">
        <v>0</v>
      </c>
      <c r="CJ385" s="2004" t="s">
        <v>2335</v>
      </c>
      <c r="CK385" s="2004">
        <v>0</v>
      </c>
      <c r="CL385" s="2004">
        <v>0</v>
      </c>
      <c r="CM385" s="2004">
        <v>0</v>
      </c>
      <c r="CN385" s="2004">
        <v>0</v>
      </c>
      <c r="CP385" s="2004" t="s">
        <v>11390</v>
      </c>
    </row>
    <row r="386" spans="1:94">
      <c r="A386" s="2004" t="s">
        <v>9073</v>
      </c>
      <c r="B386" s="2004" t="s">
        <v>11391</v>
      </c>
      <c r="C386" s="2004" t="s">
        <v>9047</v>
      </c>
      <c r="D386" s="2004" t="s">
        <v>1629</v>
      </c>
      <c r="E386" s="2004" t="s">
        <v>9410</v>
      </c>
      <c r="F386" s="2004" t="s">
        <v>11260</v>
      </c>
      <c r="G386" s="2004" t="s">
        <v>11392</v>
      </c>
      <c r="H386" s="2004" t="s">
        <v>11393</v>
      </c>
      <c r="I386" s="2004" t="s">
        <v>11394</v>
      </c>
      <c r="J386" s="2004" t="s">
        <v>9230</v>
      </c>
      <c r="K386" s="2004"/>
      <c r="L386" s="2004"/>
      <c r="M386" s="2004"/>
      <c r="N386" s="2004" t="s">
        <v>911</v>
      </c>
      <c r="O386" s="2004" t="s">
        <v>734</v>
      </c>
      <c r="P386" s="2004" t="s">
        <v>11110</v>
      </c>
      <c r="Q386" s="516">
        <v>0</v>
      </c>
      <c r="R386" s="2004" t="s">
        <v>9240</v>
      </c>
      <c r="S386" s="2004">
        <v>100</v>
      </c>
      <c r="T386" s="2004">
        <v>100</v>
      </c>
      <c r="U386" s="2004">
        <v>100</v>
      </c>
      <c r="V386" s="2004">
        <v>100</v>
      </c>
      <c r="W386" s="2004">
        <v>100</v>
      </c>
      <c r="X386" s="2004">
        <v>100</v>
      </c>
      <c r="Y386" s="2004"/>
      <c r="Z386" s="2004"/>
      <c r="AA386" s="2004"/>
      <c r="AB386" s="2004"/>
      <c r="AC386" s="2004"/>
      <c r="AD386" s="2004"/>
      <c r="AE386" s="2004" t="s">
        <v>2337</v>
      </c>
      <c r="AF386" s="2004"/>
      <c r="AG386" s="2004"/>
      <c r="AH386" s="2004">
        <v>0</v>
      </c>
      <c r="AI386" s="2004"/>
      <c r="AJ386" s="2004"/>
      <c r="AK386" s="2004"/>
      <c r="AL386" s="2004"/>
      <c r="AM386" s="2004"/>
      <c r="AN386" s="2004"/>
      <c r="AO386" s="2004"/>
      <c r="AP386" s="2004"/>
      <c r="AQ386" s="2004"/>
      <c r="AR386" s="2004"/>
      <c r="AS386" s="2004"/>
      <c r="AT386" s="2004"/>
      <c r="AU386" s="2004"/>
      <c r="AV386" s="2004"/>
      <c r="AW386" s="2004"/>
      <c r="AX386" s="2004"/>
      <c r="AY386" s="2004"/>
      <c r="AZ386" s="2004"/>
      <c r="BA386" s="2004"/>
      <c r="BB386" s="2004"/>
      <c r="BC386" s="2004"/>
      <c r="BD386" s="2004"/>
      <c r="BE386" s="2004"/>
      <c r="BF386" s="2004"/>
      <c r="BG386" s="2004"/>
      <c r="BH386" s="2004"/>
      <c r="BI386" s="2004"/>
      <c r="BJ386" s="2004"/>
      <c r="BK386" s="2004"/>
      <c r="BL386" s="2004"/>
      <c r="BM386" s="2004"/>
      <c r="BN386" s="2004"/>
      <c r="BO386" s="2004"/>
      <c r="BP386" s="516">
        <v>100</v>
      </c>
      <c r="BQ386" s="689">
        <v>100</v>
      </c>
      <c r="BR386" s="2004" t="s">
        <v>2337</v>
      </c>
      <c r="BS386" s="2004" t="s">
        <v>9204</v>
      </c>
      <c r="BT386" s="2004">
        <v>0</v>
      </c>
      <c r="BU386" s="2004" t="s">
        <v>9204</v>
      </c>
      <c r="BV386" s="2004">
        <v>0</v>
      </c>
      <c r="BW386" s="2004">
        <v>100</v>
      </c>
      <c r="BX386" s="2004" t="s">
        <v>2337</v>
      </c>
      <c r="BY386" s="2004">
        <v>0</v>
      </c>
      <c r="BZ386" s="2004">
        <v>0</v>
      </c>
      <c r="CA386" s="2004">
        <v>0</v>
      </c>
      <c r="CB386" s="2004">
        <v>0</v>
      </c>
      <c r="CC386" s="2004">
        <v>100</v>
      </c>
      <c r="CD386" s="2004" t="s">
        <v>2337</v>
      </c>
      <c r="CE386" s="2004">
        <v>0</v>
      </c>
      <c r="CF386" s="2004">
        <v>0</v>
      </c>
      <c r="CG386" s="2004">
        <v>0</v>
      </c>
      <c r="CH386" s="2004">
        <v>0</v>
      </c>
      <c r="CI386" s="2004">
        <v>100</v>
      </c>
      <c r="CJ386" s="2004" t="s">
        <v>2337</v>
      </c>
      <c r="CK386" s="2004">
        <v>0</v>
      </c>
      <c r="CL386" s="2004">
        <v>0</v>
      </c>
      <c r="CM386" s="2004">
        <v>0</v>
      </c>
      <c r="CN386" s="2004">
        <v>0</v>
      </c>
      <c r="CP386" s="2004" t="s">
        <v>11395</v>
      </c>
    </row>
    <row r="387" spans="1:94">
      <c r="A387" s="2004" t="s">
        <v>9073</v>
      </c>
      <c r="B387" s="2004" t="s">
        <v>11396</v>
      </c>
      <c r="C387" s="2004" t="s">
        <v>9047</v>
      </c>
      <c r="D387" s="2004" t="s">
        <v>1629</v>
      </c>
      <c r="E387" s="2004" t="s">
        <v>9410</v>
      </c>
      <c r="F387" s="2004" t="s">
        <v>11260</v>
      </c>
      <c r="G387" s="2004" t="s">
        <v>11397</v>
      </c>
      <c r="H387" s="2004" t="s">
        <v>11398</v>
      </c>
      <c r="I387" s="2004" t="s">
        <v>11399</v>
      </c>
      <c r="J387" s="2004" t="s">
        <v>9230</v>
      </c>
      <c r="K387" s="2004"/>
      <c r="L387" s="2004"/>
      <c r="M387" s="2004"/>
      <c r="N387" s="2004" t="s">
        <v>10282</v>
      </c>
      <c r="O387" s="2004" t="s">
        <v>766</v>
      </c>
      <c r="P387" s="2004" t="s">
        <v>11283</v>
      </c>
      <c r="Q387" s="516">
        <v>0</v>
      </c>
      <c r="R387" s="2004" t="s">
        <v>9240</v>
      </c>
      <c r="S387" s="2004">
        <v>14000</v>
      </c>
      <c r="T387" s="2004">
        <v>15000</v>
      </c>
      <c r="U387" s="2004">
        <v>16000</v>
      </c>
      <c r="V387" s="2004">
        <v>17000</v>
      </c>
      <c r="W387" s="2004">
        <v>18000</v>
      </c>
      <c r="X387" s="2004">
        <v>20000</v>
      </c>
      <c r="Y387" s="2004"/>
      <c r="Z387" s="2004"/>
      <c r="AA387" s="2004"/>
      <c r="AB387" s="2004"/>
      <c r="AC387" s="2004"/>
      <c r="AD387" s="2004"/>
      <c r="AE387" s="2004"/>
      <c r="AF387" s="2004"/>
      <c r="AG387" s="2004"/>
      <c r="AH387" s="2004">
        <v>0</v>
      </c>
      <c r="AI387" s="2004"/>
      <c r="AJ387" s="2004"/>
      <c r="AK387" s="2004"/>
      <c r="AL387" s="2004"/>
      <c r="AM387" s="2004"/>
      <c r="AN387" s="2004"/>
      <c r="AO387" s="2004"/>
      <c r="AP387" s="2004"/>
      <c r="AQ387" s="2004"/>
      <c r="AR387" s="2004"/>
      <c r="AS387" s="2004"/>
      <c r="AT387" s="2004"/>
      <c r="AU387" s="2004"/>
      <c r="AV387" s="2004"/>
      <c r="AW387" s="2004"/>
      <c r="AX387" s="2004"/>
      <c r="AY387" s="2004"/>
      <c r="AZ387" s="2004"/>
      <c r="BA387" s="2004"/>
      <c r="BB387" s="2004"/>
      <c r="BC387" s="2004"/>
      <c r="BD387" s="2004"/>
      <c r="BE387" s="2004"/>
      <c r="BF387" s="2004"/>
      <c r="BG387" s="2004"/>
      <c r="BH387" s="2004"/>
      <c r="BI387" s="2004"/>
      <c r="BJ387" s="2004"/>
      <c r="BK387" s="2004"/>
      <c r="BL387" s="2004"/>
      <c r="BM387" s="2004"/>
      <c r="BN387" s="2004"/>
      <c r="BO387" s="2004"/>
      <c r="BP387" s="516" t="s">
        <v>9388</v>
      </c>
      <c r="BQ387" s="689">
        <v>17491</v>
      </c>
      <c r="BR387" s="2004" t="s">
        <v>2337</v>
      </c>
      <c r="BS387" s="2004" t="s">
        <v>9204</v>
      </c>
      <c r="BT387" s="2004">
        <v>0</v>
      </c>
      <c r="BU387" s="2004" t="s">
        <v>9204</v>
      </c>
      <c r="BV387" s="2004">
        <v>0</v>
      </c>
      <c r="BW387" s="2004">
        <v>20898</v>
      </c>
      <c r="BX387" s="2004" t="s">
        <v>2337</v>
      </c>
      <c r="BY387" s="2004">
        <v>0</v>
      </c>
      <c r="BZ387" s="2004">
        <v>0</v>
      </c>
      <c r="CA387" s="2004">
        <v>0</v>
      </c>
      <c r="CB387" s="2004">
        <v>0</v>
      </c>
      <c r="CC387" s="2004">
        <v>21341</v>
      </c>
      <c r="CD387" s="2004" t="s">
        <v>2337</v>
      </c>
      <c r="CE387" s="2004">
        <v>0</v>
      </c>
      <c r="CF387" s="2004">
        <v>0</v>
      </c>
      <c r="CG387" s="2004">
        <v>0</v>
      </c>
      <c r="CH387" s="2004">
        <v>0</v>
      </c>
      <c r="CI387" s="2004">
        <v>24897</v>
      </c>
      <c r="CJ387" s="2004" t="s">
        <v>2337</v>
      </c>
      <c r="CK387" s="2004">
        <v>0</v>
      </c>
      <c r="CL387" s="2004">
        <v>0</v>
      </c>
      <c r="CM387" s="2004">
        <v>0</v>
      </c>
      <c r="CN387" s="2004">
        <v>0</v>
      </c>
      <c r="CP387" s="2004" t="s">
        <v>11400</v>
      </c>
    </row>
    <row r="388" spans="1:94">
      <c r="A388" s="2004" t="s">
        <v>9073</v>
      </c>
      <c r="B388" s="2004" t="s">
        <v>11401</v>
      </c>
      <c r="C388" s="2004" t="s">
        <v>9047</v>
      </c>
      <c r="D388" s="2004" t="s">
        <v>1629</v>
      </c>
      <c r="E388" s="2004" t="s">
        <v>9410</v>
      </c>
      <c r="F388" s="2004" t="s">
        <v>11260</v>
      </c>
      <c r="G388" s="2004" t="s">
        <v>11402</v>
      </c>
      <c r="H388" s="2004" t="s">
        <v>11403</v>
      </c>
      <c r="I388" s="2004" t="s">
        <v>11404</v>
      </c>
      <c r="J388" s="2004" t="s">
        <v>9199</v>
      </c>
      <c r="K388" s="2004" t="s">
        <v>9200</v>
      </c>
      <c r="L388" s="2004"/>
      <c r="M388" s="2004" t="s">
        <v>2334</v>
      </c>
      <c r="N388" s="2004" t="s">
        <v>10552</v>
      </c>
      <c r="O388" s="2004" t="s">
        <v>766</v>
      </c>
      <c r="P388" s="2004" t="s">
        <v>11405</v>
      </c>
      <c r="Q388" s="516">
        <v>0</v>
      </c>
      <c r="R388" s="2004" t="s">
        <v>9240</v>
      </c>
      <c r="S388" s="2004">
        <v>14311</v>
      </c>
      <c r="T388" s="2004">
        <v>0</v>
      </c>
      <c r="U388" s="2004">
        <v>793</v>
      </c>
      <c r="V388" s="2004">
        <v>1771</v>
      </c>
      <c r="W388" s="2004">
        <v>6593</v>
      </c>
      <c r="X388" s="2004">
        <v>6593</v>
      </c>
      <c r="Y388" s="2004"/>
      <c r="Z388" s="2004"/>
      <c r="AA388" s="2004"/>
      <c r="AB388" s="2004"/>
      <c r="AC388" s="2004"/>
      <c r="AD388" s="2004"/>
      <c r="AE388" s="2004"/>
      <c r="AF388" s="2004"/>
      <c r="AG388" s="2004"/>
      <c r="AH388" s="2004">
        <v>0</v>
      </c>
      <c r="AI388" s="2004" t="s">
        <v>2337</v>
      </c>
      <c r="AJ388" s="2004" t="s">
        <v>2337</v>
      </c>
      <c r="AK388" s="2004" t="s">
        <v>2337</v>
      </c>
      <c r="AL388" s="2004" t="s">
        <v>2337</v>
      </c>
      <c r="AM388" s="2004" t="s">
        <v>2337</v>
      </c>
      <c r="AN388" s="2004">
        <v>0</v>
      </c>
      <c r="AO388" s="2004">
        <v>0</v>
      </c>
      <c r="AP388" s="2004">
        <v>0</v>
      </c>
      <c r="AQ388" s="2004">
        <v>0</v>
      </c>
      <c r="AR388" s="2004">
        <v>3874</v>
      </c>
      <c r="AS388" s="2004">
        <v>0</v>
      </c>
      <c r="AT388" s="2004">
        <v>793</v>
      </c>
      <c r="AU388" s="2004">
        <v>1771</v>
      </c>
      <c r="AV388" s="2004">
        <v>6593</v>
      </c>
      <c r="AW388" s="2004">
        <v>6593</v>
      </c>
      <c r="AX388" s="2004">
        <v>0</v>
      </c>
      <c r="AY388" s="2004">
        <v>793</v>
      </c>
      <c r="AZ388" s="2004">
        <v>1771</v>
      </c>
      <c r="BA388" s="2004">
        <v>6593</v>
      </c>
      <c r="BB388" s="2004">
        <v>6593</v>
      </c>
      <c r="BC388" s="2004">
        <v>0</v>
      </c>
      <c r="BD388" s="2004">
        <v>5807</v>
      </c>
      <c r="BE388" s="2004">
        <v>11800</v>
      </c>
      <c r="BF388" s="2004">
        <v>13636</v>
      </c>
      <c r="BG388" s="2004">
        <v>18650</v>
      </c>
      <c r="BH388" s="2004">
        <v>2.7E-4</v>
      </c>
      <c r="BI388" s="2004"/>
      <c r="BJ388" s="2004"/>
      <c r="BK388" s="2004"/>
      <c r="BL388" s="2004">
        <v>2.2000000000000001E-4</v>
      </c>
      <c r="BM388" s="2004"/>
      <c r="BN388" s="2004">
        <v>1</v>
      </c>
      <c r="BO388" s="2004" t="s">
        <v>9203</v>
      </c>
      <c r="BP388" s="516" t="s">
        <v>9388</v>
      </c>
      <c r="BQ388" s="689">
        <v>0</v>
      </c>
      <c r="BR388" s="2004" t="s">
        <v>2337</v>
      </c>
      <c r="BS388" s="2004" t="s">
        <v>9204</v>
      </c>
      <c r="BT388" s="2004">
        <v>0</v>
      </c>
      <c r="BU388" s="2004" t="s">
        <v>9204</v>
      </c>
      <c r="BV388" s="2004">
        <v>0</v>
      </c>
      <c r="BW388" s="2004">
        <v>1305</v>
      </c>
      <c r="BX388" s="2004" t="s">
        <v>2337</v>
      </c>
      <c r="BY388" s="2004">
        <v>0</v>
      </c>
      <c r="BZ388" s="2004">
        <v>0</v>
      </c>
      <c r="CA388" s="2004" t="s">
        <v>2339</v>
      </c>
      <c r="CB388" s="2004">
        <v>0.11260000000000001</v>
      </c>
      <c r="CC388" s="2004">
        <v>1980</v>
      </c>
      <c r="CD388" s="2004" t="s">
        <v>2337</v>
      </c>
      <c r="CE388" s="2004">
        <v>0</v>
      </c>
      <c r="CF388" s="2004">
        <v>0</v>
      </c>
      <c r="CG388" s="2004" t="s">
        <v>2339</v>
      </c>
      <c r="CH388" s="2004">
        <v>4.5999999999999999E-2</v>
      </c>
      <c r="CI388" s="2004">
        <v>8931</v>
      </c>
      <c r="CJ388" s="2004" t="s">
        <v>2337</v>
      </c>
      <c r="CK388" s="2004">
        <v>0</v>
      </c>
      <c r="CL388" s="2004">
        <v>0</v>
      </c>
      <c r="CM388" s="2004" t="s">
        <v>2339</v>
      </c>
      <c r="CN388" s="2004">
        <v>0.51436000000000004</v>
      </c>
      <c r="CP388" s="2004" t="s">
        <v>11406</v>
      </c>
    </row>
    <row r="389" spans="1:94">
      <c r="A389" s="2004" t="s">
        <v>9073</v>
      </c>
      <c r="B389" s="2004" t="s">
        <v>11407</v>
      </c>
      <c r="C389" s="2004" t="s">
        <v>9047</v>
      </c>
      <c r="D389" s="2004" t="s">
        <v>1629</v>
      </c>
      <c r="E389" s="2004" t="s">
        <v>9410</v>
      </c>
      <c r="F389" s="2004" t="s">
        <v>11260</v>
      </c>
      <c r="G389" s="2004" t="s">
        <v>11408</v>
      </c>
      <c r="H389" s="2004" t="s">
        <v>11409</v>
      </c>
      <c r="I389" s="2004" t="s">
        <v>11410</v>
      </c>
      <c r="J389" s="2004" t="s">
        <v>9210</v>
      </c>
      <c r="K389" s="2004" t="s">
        <v>9545</v>
      </c>
      <c r="L389" s="2004"/>
      <c r="M389" s="2004" t="s">
        <v>2334</v>
      </c>
      <c r="N389" s="2004" t="s">
        <v>9364</v>
      </c>
      <c r="O389" s="2004" t="s">
        <v>734</v>
      </c>
      <c r="P389" s="2004" t="s">
        <v>11289</v>
      </c>
      <c r="Q389" s="516">
        <v>0</v>
      </c>
      <c r="R389" s="2004" t="s">
        <v>9240</v>
      </c>
      <c r="S389" s="2004" t="s">
        <v>4140</v>
      </c>
      <c r="T389" s="2004"/>
      <c r="U389" s="2004"/>
      <c r="V389" s="2004"/>
      <c r="W389" s="2004"/>
      <c r="X389" s="2004">
        <v>100</v>
      </c>
      <c r="Y389" s="2004"/>
      <c r="Z389" s="2004"/>
      <c r="AA389" s="2004"/>
      <c r="AB389" s="2004"/>
      <c r="AC389" s="2004"/>
      <c r="AD389" s="2004" t="s">
        <v>2337</v>
      </c>
      <c r="AE389" s="2004"/>
      <c r="AF389" s="2004" t="s">
        <v>2337</v>
      </c>
      <c r="AG389" s="2004"/>
      <c r="AH389" s="2004">
        <v>0</v>
      </c>
      <c r="AI389" s="2004"/>
      <c r="AJ389" s="2004"/>
      <c r="AK389" s="2004"/>
      <c r="AL389" s="2004"/>
      <c r="AM389" s="2004" t="s">
        <v>2337</v>
      </c>
      <c r="AN389" s="2004"/>
      <c r="AO389" s="2004"/>
      <c r="AP389" s="2004"/>
      <c r="AQ389" s="2004"/>
      <c r="AR389" s="2004" t="s">
        <v>11411</v>
      </c>
      <c r="AS389" s="2004"/>
      <c r="AT389" s="2004"/>
      <c r="AU389" s="2004"/>
      <c r="AV389" s="2004"/>
      <c r="AW389" s="2004">
        <v>100</v>
      </c>
      <c r="AX389" s="2004"/>
      <c r="AY389" s="2004"/>
      <c r="AZ389" s="2004"/>
      <c r="BA389" s="2004"/>
      <c r="BB389" s="2004"/>
      <c r="BC389" s="2004"/>
      <c r="BD389" s="2004"/>
      <c r="BE389" s="2004"/>
      <c r="BF389" s="2004"/>
      <c r="BG389" s="2004"/>
      <c r="BH389" s="2004">
        <v>0.40400000000000003</v>
      </c>
      <c r="BI389" s="2004"/>
      <c r="BJ389" s="2004"/>
      <c r="BK389" s="2004"/>
      <c r="BL389" s="2004"/>
      <c r="BM389" s="2004"/>
      <c r="BN389" s="2004">
        <v>1</v>
      </c>
      <c r="BO389" s="2004" t="s">
        <v>9203</v>
      </c>
      <c r="BP389" s="516" t="s">
        <v>9388</v>
      </c>
      <c r="BQ389" s="689">
        <v>0</v>
      </c>
      <c r="BR389" s="2004" t="s">
        <v>9204</v>
      </c>
      <c r="BS389" s="2004" t="s">
        <v>9204</v>
      </c>
      <c r="BT389" s="2004">
        <v>0</v>
      </c>
      <c r="BU389" s="2004" t="s">
        <v>9204</v>
      </c>
      <c r="BV389" s="2004">
        <v>0</v>
      </c>
      <c r="BW389" s="2004">
        <v>0</v>
      </c>
      <c r="BX389" s="2004" t="s">
        <v>2335</v>
      </c>
      <c r="BY389" s="2004">
        <v>0</v>
      </c>
      <c r="BZ389" s="2004">
        <v>0</v>
      </c>
      <c r="CA389" s="2004">
        <v>0</v>
      </c>
      <c r="CB389" s="2004">
        <v>0</v>
      </c>
      <c r="CC389" s="2004" t="s">
        <v>9388</v>
      </c>
      <c r="CD389" s="2004" t="s">
        <v>2335</v>
      </c>
      <c r="CE389" s="2004">
        <v>0</v>
      </c>
      <c r="CF389" s="2004">
        <v>0</v>
      </c>
      <c r="CG389" s="2004">
        <v>0</v>
      </c>
      <c r="CH389" s="2004">
        <v>0</v>
      </c>
      <c r="CI389" s="2004" t="s">
        <v>9388</v>
      </c>
      <c r="CJ389" s="2004" t="s">
        <v>2335</v>
      </c>
      <c r="CK389" s="2004">
        <v>0</v>
      </c>
      <c r="CL389" s="2004">
        <v>0</v>
      </c>
      <c r="CM389" s="2004">
        <v>0</v>
      </c>
      <c r="CN389" s="2004">
        <v>0</v>
      </c>
      <c r="CP389" s="2004" t="s">
        <v>11412</v>
      </c>
    </row>
    <row r="390" spans="1:94">
      <c r="A390" s="2004" t="s">
        <v>9073</v>
      </c>
      <c r="B390" s="2004" t="s">
        <v>11413</v>
      </c>
      <c r="C390" s="2004" t="s">
        <v>9047</v>
      </c>
      <c r="D390" s="2004" t="s">
        <v>1629</v>
      </c>
      <c r="E390" s="2004" t="s">
        <v>9410</v>
      </c>
      <c r="F390" s="2004" t="s">
        <v>11260</v>
      </c>
      <c r="G390" s="2004" t="s">
        <v>11414</v>
      </c>
      <c r="H390" s="2004" t="s">
        <v>11415</v>
      </c>
      <c r="I390" s="2004" t="s">
        <v>11416</v>
      </c>
      <c r="J390" s="2004" t="s">
        <v>9199</v>
      </c>
      <c r="K390" s="2004" t="s">
        <v>9545</v>
      </c>
      <c r="L390" s="2004"/>
      <c r="M390" s="2004" t="s">
        <v>2334</v>
      </c>
      <c r="N390" s="2004" t="s">
        <v>9364</v>
      </c>
      <c r="O390" s="2004" t="s">
        <v>766</v>
      </c>
      <c r="P390" s="2004" t="s">
        <v>11417</v>
      </c>
      <c r="Q390" s="516">
        <v>1</v>
      </c>
      <c r="R390" s="2004" t="s">
        <v>9240</v>
      </c>
      <c r="S390" s="2004" t="s">
        <v>4140</v>
      </c>
      <c r="T390" s="2004"/>
      <c r="U390" s="2004"/>
      <c r="V390" s="2004"/>
      <c r="W390" s="2004"/>
      <c r="X390" s="2004">
        <v>151.80000000000001</v>
      </c>
      <c r="Y390" s="2004"/>
      <c r="Z390" s="2004"/>
      <c r="AA390" s="2004"/>
      <c r="AB390" s="2004"/>
      <c r="AC390" s="2004"/>
      <c r="AD390" s="2004" t="s">
        <v>2337</v>
      </c>
      <c r="AE390" s="2004"/>
      <c r="AF390" s="2004" t="s">
        <v>2337</v>
      </c>
      <c r="AG390" s="2004"/>
      <c r="AH390" s="2004">
        <v>0</v>
      </c>
      <c r="AI390" s="2004"/>
      <c r="AJ390" s="2004"/>
      <c r="AK390" s="2004"/>
      <c r="AL390" s="2004"/>
      <c r="AM390" s="2004" t="s">
        <v>2337</v>
      </c>
      <c r="AN390" s="2004"/>
      <c r="AO390" s="2004"/>
      <c r="AP390" s="2004"/>
      <c r="AQ390" s="2004"/>
      <c r="AR390" s="2004">
        <v>0</v>
      </c>
      <c r="AS390" s="2004"/>
      <c r="AT390" s="2004"/>
      <c r="AU390" s="2004"/>
      <c r="AV390" s="2004"/>
      <c r="AW390" s="2004">
        <v>151.80000000000001</v>
      </c>
      <c r="AX390" s="2004"/>
      <c r="AY390" s="2004"/>
      <c r="AZ390" s="2004"/>
      <c r="BA390" s="2004"/>
      <c r="BB390" s="2004">
        <v>151.80000000000001</v>
      </c>
      <c r="BC390" s="2004"/>
      <c r="BD390" s="2004"/>
      <c r="BE390" s="2004"/>
      <c r="BF390" s="2004"/>
      <c r="BG390" s="2004">
        <v>199</v>
      </c>
      <c r="BH390" s="2004" t="s">
        <v>10441</v>
      </c>
      <c r="BI390" s="2004"/>
      <c r="BJ390" s="2004"/>
      <c r="BK390" s="2004"/>
      <c r="BL390" s="2004" t="s">
        <v>10441</v>
      </c>
      <c r="BM390" s="2004"/>
      <c r="BN390" s="2004">
        <v>1</v>
      </c>
      <c r="BO390" s="2004" t="s">
        <v>9203</v>
      </c>
      <c r="BP390" s="516" t="s">
        <v>9388</v>
      </c>
      <c r="BQ390" s="686">
        <v>0</v>
      </c>
      <c r="BR390" s="2004" t="s">
        <v>9204</v>
      </c>
      <c r="BS390" s="2004" t="s">
        <v>9204</v>
      </c>
      <c r="BT390" s="2004">
        <v>0</v>
      </c>
      <c r="BU390" s="2004" t="s">
        <v>9204</v>
      </c>
      <c r="BV390" s="2004">
        <v>0</v>
      </c>
      <c r="BW390" s="2004">
        <v>0</v>
      </c>
      <c r="BX390" s="2004" t="s">
        <v>2335</v>
      </c>
      <c r="BY390" s="2004">
        <v>0</v>
      </c>
      <c r="BZ390" s="2004">
        <v>0</v>
      </c>
      <c r="CA390" s="2004">
        <v>0</v>
      </c>
      <c r="CB390" s="2004">
        <v>0</v>
      </c>
      <c r="CC390" s="2004">
        <v>0</v>
      </c>
      <c r="CD390" s="2004" t="s">
        <v>2335</v>
      </c>
      <c r="CE390" s="2004">
        <v>0</v>
      </c>
      <c r="CF390" s="2004">
        <v>0</v>
      </c>
      <c r="CG390" s="2004">
        <v>0</v>
      </c>
      <c r="CH390" s="2004">
        <v>0</v>
      </c>
      <c r="CI390" s="2004">
        <v>0</v>
      </c>
      <c r="CJ390" s="2004" t="s">
        <v>2335</v>
      </c>
      <c r="CK390" s="2004">
        <v>0</v>
      </c>
      <c r="CL390" s="2004">
        <v>0</v>
      </c>
      <c r="CM390" s="2004">
        <v>0</v>
      </c>
      <c r="CN390" s="2004">
        <v>0</v>
      </c>
      <c r="CP390" s="2004" t="s">
        <v>11418</v>
      </c>
    </row>
    <row r="391" spans="1:94">
      <c r="A391" s="2004" t="s">
        <v>9073</v>
      </c>
      <c r="B391" s="2004" t="s">
        <v>11419</v>
      </c>
      <c r="C391" s="2004" t="s">
        <v>9047</v>
      </c>
      <c r="D391" s="2004" t="s">
        <v>1629</v>
      </c>
      <c r="E391" s="2004" t="s">
        <v>9410</v>
      </c>
      <c r="F391" s="2004" t="s">
        <v>11292</v>
      </c>
      <c r="G391" s="2004" t="s">
        <v>11420</v>
      </c>
      <c r="H391" s="2004" t="s">
        <v>11421</v>
      </c>
      <c r="I391" s="2004" t="s">
        <v>11422</v>
      </c>
      <c r="J391" s="2004" t="s">
        <v>9230</v>
      </c>
      <c r="K391" s="2004"/>
      <c r="L391" s="2004"/>
      <c r="M391" s="2004"/>
      <c r="N391" s="2004" t="s">
        <v>9372</v>
      </c>
      <c r="O391" s="2004" t="s">
        <v>766</v>
      </c>
      <c r="P391" s="2004" t="s">
        <v>11296</v>
      </c>
      <c r="Q391" s="516">
        <v>0</v>
      </c>
      <c r="R391" s="2004" t="s">
        <v>9202</v>
      </c>
      <c r="S391" s="2004">
        <v>457</v>
      </c>
      <c r="T391" s="2004">
        <v>428</v>
      </c>
      <c r="U391" s="2004">
        <v>392</v>
      </c>
      <c r="V391" s="2004">
        <v>329</v>
      </c>
      <c r="W391" s="2004">
        <v>303</v>
      </c>
      <c r="X391" s="2004">
        <v>295</v>
      </c>
      <c r="Y391" s="2004"/>
      <c r="Z391" s="2004"/>
      <c r="AA391" s="2004"/>
      <c r="AB391" s="2004"/>
      <c r="AC391" s="2004"/>
      <c r="AD391" s="2004"/>
      <c r="AE391" s="2004"/>
      <c r="AF391" s="2004"/>
      <c r="AG391" s="2004"/>
      <c r="AH391" s="2004">
        <v>0</v>
      </c>
      <c r="AI391" s="2004"/>
      <c r="AJ391" s="2004"/>
      <c r="AK391" s="2004"/>
      <c r="AL391" s="2004"/>
      <c r="AM391" s="2004"/>
      <c r="AN391" s="2004"/>
      <c r="AO391" s="2004"/>
      <c r="AP391" s="2004"/>
      <c r="AQ391" s="2004"/>
      <c r="AR391" s="2004"/>
      <c r="AS391" s="2004"/>
      <c r="AT391" s="2004"/>
      <c r="AU391" s="2004"/>
      <c r="AV391" s="2004"/>
      <c r="AW391" s="2004"/>
      <c r="AX391" s="2004"/>
      <c r="AY391" s="2004"/>
      <c r="AZ391" s="2004"/>
      <c r="BA391" s="2004"/>
      <c r="BB391" s="2004"/>
      <c r="BC391" s="2004"/>
      <c r="BD391" s="2004"/>
      <c r="BE391" s="2004"/>
      <c r="BF391" s="2004"/>
      <c r="BG391" s="2004"/>
      <c r="BH391" s="2004"/>
      <c r="BI391" s="2004"/>
      <c r="BJ391" s="2004"/>
      <c r="BK391" s="2004"/>
      <c r="BL391" s="2004"/>
      <c r="BM391" s="2004"/>
      <c r="BN391" s="2004"/>
      <c r="BO391" s="2004"/>
      <c r="BP391" s="516" t="s">
        <v>9388</v>
      </c>
      <c r="BQ391" s="689">
        <v>532.63699999999994</v>
      </c>
      <c r="BR391" s="2004" t="s">
        <v>2334</v>
      </c>
      <c r="BS391" s="2004" t="s">
        <v>9204</v>
      </c>
      <c r="BT391" s="2004">
        <v>0</v>
      </c>
      <c r="BU391" s="2004" t="s">
        <v>9204</v>
      </c>
      <c r="BV391" s="2004">
        <v>0</v>
      </c>
      <c r="BW391" s="2004">
        <v>476.5</v>
      </c>
      <c r="BX391" s="2004" t="s">
        <v>2334</v>
      </c>
      <c r="BY391" s="2004">
        <v>0</v>
      </c>
      <c r="BZ391" s="2004">
        <v>0</v>
      </c>
      <c r="CA391" s="2004">
        <v>0</v>
      </c>
      <c r="CB391" s="2004">
        <v>0</v>
      </c>
      <c r="CC391" s="2004">
        <v>431</v>
      </c>
      <c r="CD391" s="2004" t="s">
        <v>2334</v>
      </c>
      <c r="CE391" s="2004">
        <v>0</v>
      </c>
      <c r="CF391" s="2004">
        <v>0</v>
      </c>
      <c r="CG391" s="2004">
        <v>0</v>
      </c>
      <c r="CH391" s="2004">
        <v>0</v>
      </c>
      <c r="CI391" s="2004">
        <v>396</v>
      </c>
      <c r="CJ391" s="2004" t="s">
        <v>2334</v>
      </c>
      <c r="CK391" s="2004">
        <v>0</v>
      </c>
      <c r="CL391" s="2004">
        <v>0</v>
      </c>
      <c r="CM391" s="2004">
        <v>0</v>
      </c>
      <c r="CN391" s="2004">
        <v>0</v>
      </c>
      <c r="CP391" s="2004" t="s">
        <v>11423</v>
      </c>
    </row>
    <row r="392" spans="1:94">
      <c r="A392" s="2004" t="s">
        <v>9073</v>
      </c>
      <c r="B392" s="2004" t="s">
        <v>11424</v>
      </c>
      <c r="C392" s="2004" t="s">
        <v>9047</v>
      </c>
      <c r="D392" s="2004" t="s">
        <v>11425</v>
      </c>
      <c r="E392" s="2004" t="s">
        <v>913</v>
      </c>
      <c r="F392" s="2004" t="s">
        <v>11426</v>
      </c>
      <c r="G392" s="2004" t="s">
        <v>11427</v>
      </c>
      <c r="H392" s="2004" t="s">
        <v>11428</v>
      </c>
      <c r="I392" s="2004" t="s">
        <v>11429</v>
      </c>
      <c r="J392" s="2004" t="s">
        <v>9230</v>
      </c>
      <c r="K392" s="2004"/>
      <c r="L392" s="2004"/>
      <c r="M392" s="2004"/>
      <c r="N392" s="2004" t="s">
        <v>9364</v>
      </c>
      <c r="O392" s="2004" t="s">
        <v>9487</v>
      </c>
      <c r="P392" s="2004" t="s">
        <v>11430</v>
      </c>
      <c r="Q392" s="516" t="s">
        <v>9203</v>
      </c>
      <c r="R392" s="2004"/>
      <c r="S392" s="2004"/>
      <c r="T392" s="2004" t="s">
        <v>11431</v>
      </c>
      <c r="U392" s="2004"/>
      <c r="V392" s="2004"/>
      <c r="W392" s="2004"/>
      <c r="X392" s="2004"/>
      <c r="Y392" s="2004"/>
      <c r="Z392" s="2004"/>
      <c r="AA392" s="2004"/>
      <c r="AB392" s="2004"/>
      <c r="AC392" s="2004"/>
      <c r="AD392" s="2004" t="s">
        <v>2337</v>
      </c>
      <c r="AE392" s="2004"/>
      <c r="AF392" s="2004" t="s">
        <v>2337</v>
      </c>
      <c r="AG392" s="2004"/>
      <c r="AH392" s="2004">
        <v>0</v>
      </c>
      <c r="AI392" s="2004"/>
      <c r="AJ392" s="2004"/>
      <c r="AK392" s="2004"/>
      <c r="AL392" s="2004"/>
      <c r="AM392" s="2004"/>
      <c r="AN392" s="2004"/>
      <c r="AO392" s="2004"/>
      <c r="AP392" s="2004"/>
      <c r="AQ392" s="2004"/>
      <c r="AR392" s="2004"/>
      <c r="AS392" s="2004"/>
      <c r="AT392" s="2004"/>
      <c r="AU392" s="2004"/>
      <c r="AV392" s="2004"/>
      <c r="AW392" s="2004"/>
      <c r="AX392" s="2004"/>
      <c r="AY392" s="2004"/>
      <c r="AZ392" s="2004"/>
      <c r="BA392" s="2004"/>
      <c r="BB392" s="2004"/>
      <c r="BC392" s="2004"/>
      <c r="BD392" s="2004"/>
      <c r="BE392" s="2004"/>
      <c r="BF392" s="2004"/>
      <c r="BG392" s="2004"/>
      <c r="BH392" s="2004"/>
      <c r="BI392" s="2004"/>
      <c r="BJ392" s="2004"/>
      <c r="BK392" s="2004"/>
      <c r="BL392" s="2004"/>
      <c r="BM392" s="2004"/>
      <c r="BN392" s="2004"/>
      <c r="BO392" s="2004"/>
      <c r="BP392" s="516" t="s">
        <v>9388</v>
      </c>
      <c r="BQ392" s="688" t="s">
        <v>9682</v>
      </c>
      <c r="BR392" s="2004" t="s">
        <v>2337</v>
      </c>
      <c r="BS392" s="2004" t="s">
        <v>9204</v>
      </c>
      <c r="BT392" s="2004">
        <v>0</v>
      </c>
      <c r="BU392" s="2004" t="s">
        <v>9204</v>
      </c>
      <c r="BV392" s="2004">
        <v>0</v>
      </c>
      <c r="BW392" s="2004" t="s">
        <v>11432</v>
      </c>
      <c r="BX392" s="2004" t="s">
        <v>2335</v>
      </c>
      <c r="BY392" s="2004">
        <v>0</v>
      </c>
      <c r="BZ392" s="2004">
        <v>0</v>
      </c>
      <c r="CA392" s="2004">
        <v>0</v>
      </c>
      <c r="CB392" s="2004">
        <v>0</v>
      </c>
      <c r="CC392" s="2004" t="s">
        <v>11360</v>
      </c>
      <c r="CD392" s="2004" t="s">
        <v>2337</v>
      </c>
      <c r="CE392" s="2004">
        <v>0</v>
      </c>
      <c r="CF392" s="2004">
        <v>0</v>
      </c>
      <c r="CG392" s="2004">
        <v>0</v>
      </c>
      <c r="CH392" s="2004">
        <v>0</v>
      </c>
      <c r="CI392" s="2004" t="s">
        <v>11360</v>
      </c>
      <c r="CJ392" s="2004" t="s">
        <v>2335</v>
      </c>
      <c r="CK392" s="2004">
        <v>0</v>
      </c>
      <c r="CL392" s="2004">
        <v>0</v>
      </c>
      <c r="CM392" s="2004">
        <v>0</v>
      </c>
      <c r="CN392" s="2004">
        <v>0</v>
      </c>
      <c r="CP392" s="2004" t="s">
        <v>11433</v>
      </c>
    </row>
    <row r="393" spans="1:94">
      <c r="A393" s="2004" t="s">
        <v>9073</v>
      </c>
      <c r="B393" s="2004" t="s">
        <v>11434</v>
      </c>
      <c r="C393" s="2004" t="s">
        <v>9047</v>
      </c>
      <c r="D393" s="2004" t="s">
        <v>11425</v>
      </c>
      <c r="E393" s="2004" t="s">
        <v>913</v>
      </c>
      <c r="F393" s="2004" t="s">
        <v>11426</v>
      </c>
      <c r="G393" s="2004" t="s">
        <v>11435</v>
      </c>
      <c r="H393" s="2004" t="s">
        <v>11436</v>
      </c>
      <c r="I393" s="2004" t="s">
        <v>11437</v>
      </c>
      <c r="J393" s="2004" t="s">
        <v>9230</v>
      </c>
      <c r="K393" s="2004"/>
      <c r="L393" s="2004"/>
      <c r="M393" s="2004"/>
      <c r="N393" s="2004" t="s">
        <v>9364</v>
      </c>
      <c r="O393" s="2004" t="s">
        <v>9487</v>
      </c>
      <c r="P393" s="2004" t="s">
        <v>11438</v>
      </c>
      <c r="Q393" s="516" t="s">
        <v>9203</v>
      </c>
      <c r="R393" s="2004"/>
      <c r="S393" s="2004"/>
      <c r="T393" s="2004" t="s">
        <v>11439</v>
      </c>
      <c r="U393" s="2004" t="s">
        <v>11439</v>
      </c>
      <c r="V393" s="2004" t="s">
        <v>11439</v>
      </c>
      <c r="W393" s="2004" t="s">
        <v>11439</v>
      </c>
      <c r="X393" s="2004" t="s">
        <v>11439</v>
      </c>
      <c r="Y393" s="2004"/>
      <c r="Z393" s="2004"/>
      <c r="AA393" s="2004"/>
      <c r="AB393" s="2004"/>
      <c r="AC393" s="2004"/>
      <c r="AD393" s="2004" t="s">
        <v>2337</v>
      </c>
      <c r="AE393" s="2004"/>
      <c r="AF393" s="2004" t="s">
        <v>2337</v>
      </c>
      <c r="AG393" s="2004"/>
      <c r="AH393" s="2004">
        <v>0</v>
      </c>
      <c r="AI393" s="2004"/>
      <c r="AJ393" s="2004"/>
      <c r="AK393" s="2004"/>
      <c r="AL393" s="2004"/>
      <c r="AM393" s="2004"/>
      <c r="AN393" s="2004"/>
      <c r="AO393" s="2004"/>
      <c r="AP393" s="2004"/>
      <c r="AQ393" s="2004"/>
      <c r="AR393" s="2004"/>
      <c r="AS393" s="2004"/>
      <c r="AT393" s="2004"/>
      <c r="AU393" s="2004"/>
      <c r="AV393" s="2004"/>
      <c r="AW393" s="2004"/>
      <c r="AX393" s="2004"/>
      <c r="AY393" s="2004"/>
      <c r="AZ393" s="2004"/>
      <c r="BA393" s="2004"/>
      <c r="BB393" s="2004"/>
      <c r="BC393" s="2004"/>
      <c r="BD393" s="2004"/>
      <c r="BE393" s="2004"/>
      <c r="BF393" s="2004"/>
      <c r="BG393" s="2004"/>
      <c r="BH393" s="2004"/>
      <c r="BI393" s="2004"/>
      <c r="BJ393" s="2004"/>
      <c r="BK393" s="2004"/>
      <c r="BL393" s="2004"/>
      <c r="BM393" s="2004"/>
      <c r="BN393" s="2004"/>
      <c r="BO393" s="2004"/>
      <c r="BP393" s="516" t="s">
        <v>9388</v>
      </c>
      <c r="BQ393" s="688">
        <v>13</v>
      </c>
      <c r="BR393" s="2004" t="s">
        <v>2337</v>
      </c>
      <c r="BS393" s="2004" t="s">
        <v>9204</v>
      </c>
      <c r="BT393" s="2004">
        <v>0</v>
      </c>
      <c r="BU393" s="2004" t="s">
        <v>9204</v>
      </c>
      <c r="BV393" s="2004">
        <v>0</v>
      </c>
      <c r="BW393" s="2004" t="s">
        <v>11440</v>
      </c>
      <c r="BX393" s="2004" t="s">
        <v>2337</v>
      </c>
      <c r="BY393" s="2004">
        <v>0</v>
      </c>
      <c r="BZ393" s="2004">
        <v>0</v>
      </c>
      <c r="CA393" s="2004">
        <v>0</v>
      </c>
      <c r="CB393" s="2004">
        <v>0</v>
      </c>
      <c r="CC393" s="2004">
        <v>13</v>
      </c>
      <c r="CD393" s="2004" t="s">
        <v>2337</v>
      </c>
      <c r="CE393" s="2004">
        <v>0</v>
      </c>
      <c r="CF393" s="2004">
        <v>0</v>
      </c>
      <c r="CG393" s="2004">
        <v>0</v>
      </c>
      <c r="CH393" s="2004">
        <v>0</v>
      </c>
      <c r="CI393" s="2004">
        <v>3</v>
      </c>
      <c r="CJ393" s="2004" t="s">
        <v>2337</v>
      </c>
      <c r="CK393" s="2004">
        <v>0</v>
      </c>
      <c r="CL393" s="2004">
        <v>0</v>
      </c>
      <c r="CM393" s="2004">
        <v>0</v>
      </c>
      <c r="CN393" s="2004">
        <v>0</v>
      </c>
      <c r="CP393" s="2004" t="s">
        <v>11441</v>
      </c>
    </row>
    <row r="394" spans="1:94">
      <c r="A394" s="2004" t="s">
        <v>9073</v>
      </c>
      <c r="B394" s="2004" t="s">
        <v>11442</v>
      </c>
      <c r="C394" s="2004" t="s">
        <v>9047</v>
      </c>
      <c r="D394" s="2004" t="s">
        <v>11425</v>
      </c>
      <c r="E394" s="2004" t="s">
        <v>913</v>
      </c>
      <c r="F394" s="2004" t="s">
        <v>11426</v>
      </c>
      <c r="G394" s="2004" t="s">
        <v>11443</v>
      </c>
      <c r="H394" s="2004" t="s">
        <v>11444</v>
      </c>
      <c r="I394" s="2004" t="s">
        <v>11445</v>
      </c>
      <c r="J394" s="2004" t="s">
        <v>9210</v>
      </c>
      <c r="K394" s="2004" t="s">
        <v>9545</v>
      </c>
      <c r="L394" s="2004"/>
      <c r="M394" s="2004" t="s">
        <v>2334</v>
      </c>
      <c r="N394" s="2004" t="s">
        <v>9364</v>
      </c>
      <c r="O394" s="2004" t="s">
        <v>766</v>
      </c>
      <c r="P394" s="2004" t="s">
        <v>11446</v>
      </c>
      <c r="Q394" s="516">
        <v>0</v>
      </c>
      <c r="R394" s="2004" t="s">
        <v>9240</v>
      </c>
      <c r="S394" s="2004">
        <v>0</v>
      </c>
      <c r="T394" s="2004">
        <v>8</v>
      </c>
      <c r="U394" s="2004">
        <v>10</v>
      </c>
      <c r="V394" s="2004">
        <v>20</v>
      </c>
      <c r="W394" s="2004">
        <v>21</v>
      </c>
      <c r="X394" s="2004">
        <v>23</v>
      </c>
      <c r="Y394" s="2004"/>
      <c r="Z394" s="2004"/>
      <c r="AA394" s="2004"/>
      <c r="AB394" s="2004"/>
      <c r="AC394" s="2004"/>
      <c r="AD394" s="2004" t="s">
        <v>2337</v>
      </c>
      <c r="AE394" s="2004"/>
      <c r="AF394" s="2004" t="s">
        <v>2337</v>
      </c>
      <c r="AG394" s="2004"/>
      <c r="AH394" s="2004">
        <v>0</v>
      </c>
      <c r="AI394" s="2004" t="s">
        <v>2337</v>
      </c>
      <c r="AJ394" s="2004" t="s">
        <v>2337</v>
      </c>
      <c r="AK394" s="2004" t="s">
        <v>2337</v>
      </c>
      <c r="AL394" s="2004" t="s">
        <v>2337</v>
      </c>
      <c r="AM394" s="2004" t="s">
        <v>2337</v>
      </c>
      <c r="AN394" s="2004">
        <v>0</v>
      </c>
      <c r="AO394" s="2004">
        <v>0</v>
      </c>
      <c r="AP394" s="2004">
        <v>0</v>
      </c>
      <c r="AQ394" s="2004">
        <v>0</v>
      </c>
      <c r="AR394" s="2004">
        <v>0</v>
      </c>
      <c r="AS394" s="2004">
        <v>8</v>
      </c>
      <c r="AT394" s="2004">
        <v>10</v>
      </c>
      <c r="AU394" s="2004">
        <v>20</v>
      </c>
      <c r="AV394" s="2004">
        <v>21</v>
      </c>
      <c r="AW394" s="2004">
        <v>23</v>
      </c>
      <c r="AX394" s="2004"/>
      <c r="AY394" s="2004"/>
      <c r="AZ394" s="2004"/>
      <c r="BA394" s="2004"/>
      <c r="BB394" s="2004"/>
      <c r="BC394" s="2004"/>
      <c r="BD394" s="2004"/>
      <c r="BE394" s="2004"/>
      <c r="BF394" s="2004"/>
      <c r="BG394" s="2004"/>
      <c r="BH394" s="2004">
        <v>3.4</v>
      </c>
      <c r="BI394" s="2004"/>
      <c r="BJ394" s="2004"/>
      <c r="BK394" s="2004"/>
      <c r="BL394" s="2004"/>
      <c r="BM394" s="2004"/>
      <c r="BN394" s="2004">
        <v>1</v>
      </c>
      <c r="BO394" s="2004" t="s">
        <v>9203</v>
      </c>
      <c r="BP394" s="516">
        <v>0</v>
      </c>
      <c r="BQ394" s="689">
        <v>9</v>
      </c>
      <c r="BR394" s="2004" t="s">
        <v>2337</v>
      </c>
      <c r="BS394" s="2004" t="s">
        <v>9204</v>
      </c>
      <c r="BT394" s="2004">
        <v>0</v>
      </c>
      <c r="BU394" s="2004" t="s">
        <v>9204</v>
      </c>
      <c r="BV394" s="2004">
        <v>0</v>
      </c>
      <c r="BW394" s="2004">
        <v>19</v>
      </c>
      <c r="BX394" s="2004" t="s">
        <v>2337</v>
      </c>
      <c r="BY394" s="2004">
        <v>0</v>
      </c>
      <c r="BZ394" s="2004">
        <v>0</v>
      </c>
      <c r="CA394" s="2004">
        <v>0</v>
      </c>
      <c r="CB394" s="2004">
        <v>0</v>
      </c>
      <c r="CC394" s="2004">
        <v>21</v>
      </c>
      <c r="CD394" s="2004" t="s">
        <v>2337</v>
      </c>
      <c r="CE394" s="2004">
        <v>0</v>
      </c>
      <c r="CF394" s="2004">
        <v>0</v>
      </c>
      <c r="CG394" s="2004">
        <v>0</v>
      </c>
      <c r="CH394" s="2004">
        <v>0</v>
      </c>
      <c r="CI394" s="2004">
        <v>21</v>
      </c>
      <c r="CJ394" s="2004" t="s">
        <v>2337</v>
      </c>
      <c r="CK394" s="2004">
        <v>0</v>
      </c>
      <c r="CL394" s="2004">
        <v>0</v>
      </c>
      <c r="CM394" s="2004">
        <v>0</v>
      </c>
      <c r="CN394" s="2004">
        <v>0</v>
      </c>
      <c r="CP394" s="2004" t="s">
        <v>11447</v>
      </c>
    </row>
    <row r="395" spans="1:94" ht="15" customHeight="1">
      <c r="A395" s="2004" t="s">
        <v>9073</v>
      </c>
      <c r="B395" s="2004" t="s">
        <v>11448</v>
      </c>
      <c r="C395" s="2004" t="s">
        <v>9047</v>
      </c>
      <c r="D395" s="2004" t="s">
        <v>11425</v>
      </c>
      <c r="E395" s="2004" t="s">
        <v>913</v>
      </c>
      <c r="F395" s="2004" t="s">
        <v>11426</v>
      </c>
      <c r="G395" s="2004" t="s">
        <v>11449</v>
      </c>
      <c r="H395" s="2004" t="s">
        <v>11450</v>
      </c>
      <c r="I395" s="2004" t="s">
        <v>11451</v>
      </c>
      <c r="J395" s="2004" t="s">
        <v>9230</v>
      </c>
      <c r="K395" s="2004"/>
      <c r="L395" s="2004"/>
      <c r="M395" s="2004"/>
      <c r="N395" s="2004" t="s">
        <v>9364</v>
      </c>
      <c r="O395" s="2004" t="s">
        <v>9487</v>
      </c>
      <c r="P395" s="2004" t="s">
        <v>11452</v>
      </c>
      <c r="Q395" s="516" t="s">
        <v>9203</v>
      </c>
      <c r="R395" s="2004"/>
      <c r="S395" s="2004" t="s">
        <v>4140</v>
      </c>
      <c r="T395" s="2004" t="s">
        <v>11453</v>
      </c>
      <c r="U395" s="2004" t="s">
        <v>11453</v>
      </c>
      <c r="V395" s="2004" t="s">
        <v>11453</v>
      </c>
      <c r="W395" s="2004" t="s">
        <v>11453</v>
      </c>
      <c r="X395" s="2004" t="s">
        <v>11453</v>
      </c>
      <c r="Y395" s="2004"/>
      <c r="Z395" s="2004"/>
      <c r="AA395" s="2004"/>
      <c r="AB395" s="2004"/>
      <c r="AC395" s="2004"/>
      <c r="AD395" s="2004" t="s">
        <v>2337</v>
      </c>
      <c r="AE395" s="2004"/>
      <c r="AF395" s="2004" t="s">
        <v>2337</v>
      </c>
      <c r="AG395" s="2004"/>
      <c r="AH395" s="2004">
        <v>0</v>
      </c>
      <c r="AI395" s="2004"/>
      <c r="AJ395" s="2004"/>
      <c r="AK395" s="2004"/>
      <c r="AL395" s="2004"/>
      <c r="AM395" s="2004"/>
      <c r="AN395" s="2004"/>
      <c r="AO395" s="2004"/>
      <c r="AP395" s="2004"/>
      <c r="AQ395" s="2004"/>
      <c r="AR395" s="2004"/>
      <c r="AS395" s="2004"/>
      <c r="AT395" s="2004"/>
      <c r="AU395" s="2004"/>
      <c r="AV395" s="2004"/>
      <c r="AW395" s="2004"/>
      <c r="AX395" s="2004"/>
      <c r="AY395" s="2004"/>
      <c r="AZ395" s="2004"/>
      <c r="BA395" s="2004"/>
      <c r="BB395" s="2004"/>
      <c r="BC395" s="2004"/>
      <c r="BD395" s="2004"/>
      <c r="BE395" s="2004"/>
      <c r="BF395" s="2004"/>
      <c r="BG395" s="2004"/>
      <c r="BH395" s="2004"/>
      <c r="BI395" s="2004"/>
      <c r="BJ395" s="2004"/>
      <c r="BK395" s="2004"/>
      <c r="BL395" s="2004"/>
      <c r="BM395" s="2004"/>
      <c r="BN395" s="2004"/>
      <c r="BO395" s="2004"/>
      <c r="BP395" s="516" t="s">
        <v>9388</v>
      </c>
      <c r="BQ395" s="688" t="s">
        <v>9388</v>
      </c>
      <c r="BR395" s="2004" t="s">
        <v>9204</v>
      </c>
      <c r="BS395" s="2004" t="s">
        <v>9204</v>
      </c>
      <c r="BT395" s="2004">
        <v>0</v>
      </c>
      <c r="BU395" s="2004" t="s">
        <v>9204</v>
      </c>
      <c r="BV395" s="2004">
        <v>0</v>
      </c>
      <c r="BW395" s="2004" t="s">
        <v>11454</v>
      </c>
      <c r="BX395" s="2004" t="s">
        <v>2337</v>
      </c>
      <c r="BY395" s="2004">
        <v>0</v>
      </c>
      <c r="BZ395" s="2004">
        <v>0</v>
      </c>
      <c r="CA395" s="2004">
        <v>0</v>
      </c>
      <c r="CB395" s="2004">
        <v>0</v>
      </c>
      <c r="CC395" s="2004" t="s">
        <v>2337</v>
      </c>
      <c r="CD395" s="2004" t="s">
        <v>2337</v>
      </c>
      <c r="CE395" s="2004">
        <v>0</v>
      </c>
      <c r="CF395" s="2004">
        <v>0</v>
      </c>
      <c r="CG395" s="2004">
        <v>0</v>
      </c>
      <c r="CH395" s="2004">
        <v>0</v>
      </c>
      <c r="CI395" s="2004" t="s">
        <v>2337</v>
      </c>
      <c r="CJ395" s="2004" t="s">
        <v>2337</v>
      </c>
      <c r="CK395" s="2004">
        <v>0</v>
      </c>
      <c r="CL395" s="2004">
        <v>0</v>
      </c>
      <c r="CM395" s="2004">
        <v>0</v>
      </c>
      <c r="CN395" s="2004">
        <v>0</v>
      </c>
      <c r="CP395" s="2004" t="s">
        <v>11455</v>
      </c>
    </row>
    <row r="396" spans="1:94" ht="18.75" customHeight="1">
      <c r="A396" s="2004" t="s">
        <v>9073</v>
      </c>
      <c r="B396" s="2004" t="s">
        <v>11456</v>
      </c>
      <c r="C396" s="2004" t="s">
        <v>9047</v>
      </c>
      <c r="D396" s="2004" t="s">
        <v>11425</v>
      </c>
      <c r="E396" s="2004" t="s">
        <v>913</v>
      </c>
      <c r="F396" s="2004" t="s">
        <v>11426</v>
      </c>
      <c r="G396" s="2004" t="s">
        <v>11457</v>
      </c>
      <c r="H396" s="2004" t="s">
        <v>11458</v>
      </c>
      <c r="I396" s="2004" t="s">
        <v>11459</v>
      </c>
      <c r="J396" s="2004" t="s">
        <v>9230</v>
      </c>
      <c r="K396" s="2004"/>
      <c r="L396" s="2004"/>
      <c r="M396" s="2004"/>
      <c r="N396" s="2004" t="s">
        <v>9364</v>
      </c>
      <c r="O396" s="2004" t="s">
        <v>9487</v>
      </c>
      <c r="P396" s="2004" t="s">
        <v>11460</v>
      </c>
      <c r="Q396" s="516" t="s">
        <v>9203</v>
      </c>
      <c r="R396" s="2004"/>
      <c r="S396" s="2004"/>
      <c r="T396" s="2004" t="s">
        <v>9615</v>
      </c>
      <c r="U396" s="2004" t="s">
        <v>9615</v>
      </c>
      <c r="V396" s="2004" t="s">
        <v>9615</v>
      </c>
      <c r="W396" s="2004" t="s">
        <v>9615</v>
      </c>
      <c r="X396" s="2004" t="s">
        <v>9615</v>
      </c>
      <c r="Y396" s="2004"/>
      <c r="Z396" s="2004"/>
      <c r="AA396" s="2004"/>
      <c r="AB396" s="2004"/>
      <c r="AC396" s="2004"/>
      <c r="AD396" s="2004" t="s">
        <v>2337</v>
      </c>
      <c r="AE396" s="2004"/>
      <c r="AF396" s="2004" t="s">
        <v>2337</v>
      </c>
      <c r="AG396" s="2004"/>
      <c r="AH396" s="2004">
        <v>0</v>
      </c>
      <c r="AI396" s="2004"/>
      <c r="AJ396" s="2004"/>
      <c r="AK396" s="2004"/>
      <c r="AL396" s="2004"/>
      <c r="AM396" s="2004"/>
      <c r="AN396" s="2004"/>
      <c r="AO396" s="2004"/>
      <c r="AP396" s="2004"/>
      <c r="AQ396" s="2004"/>
      <c r="AR396" s="2004"/>
      <c r="AS396" s="2004"/>
      <c r="AT396" s="2004"/>
      <c r="AU396" s="2004"/>
      <c r="AV396" s="2004"/>
      <c r="AW396" s="2004"/>
      <c r="AX396" s="2004"/>
      <c r="AY396" s="2004"/>
      <c r="AZ396" s="2004"/>
      <c r="BA396" s="2004"/>
      <c r="BB396" s="2004"/>
      <c r="BC396" s="2004"/>
      <c r="BD396" s="2004"/>
      <c r="BE396" s="2004"/>
      <c r="BF396" s="2004"/>
      <c r="BG396" s="2004"/>
      <c r="BH396" s="2004"/>
      <c r="BI396" s="2004"/>
      <c r="BJ396" s="2004"/>
      <c r="BK396" s="2004"/>
      <c r="BL396" s="2004"/>
      <c r="BM396" s="2004"/>
      <c r="BN396" s="2004"/>
      <c r="BO396" s="2004"/>
      <c r="BP396" s="516" t="s">
        <v>11461</v>
      </c>
      <c r="BQ396" s="688" t="s">
        <v>11462</v>
      </c>
      <c r="BR396" s="2004" t="s">
        <v>9204</v>
      </c>
      <c r="BS396" s="2004" t="s">
        <v>9204</v>
      </c>
      <c r="BT396" s="2004">
        <v>0</v>
      </c>
      <c r="BU396" s="2004" t="s">
        <v>9204</v>
      </c>
      <c r="BV396" s="2004">
        <v>0</v>
      </c>
      <c r="BW396" s="2004" t="s">
        <v>11463</v>
      </c>
      <c r="BX396" s="2004" t="s">
        <v>2334</v>
      </c>
      <c r="BY396" s="2004">
        <v>0</v>
      </c>
      <c r="BZ396" s="2004">
        <v>0</v>
      </c>
      <c r="CA396" s="2004">
        <v>0</v>
      </c>
      <c r="CB396" s="2004">
        <v>0</v>
      </c>
      <c r="CC396" s="2004" t="s">
        <v>11464</v>
      </c>
      <c r="CD396" s="2004" t="s">
        <v>2334</v>
      </c>
      <c r="CE396" s="2004">
        <v>0</v>
      </c>
      <c r="CF396" s="2004">
        <v>0</v>
      </c>
      <c r="CG396" s="2004">
        <v>0</v>
      </c>
      <c r="CH396" s="2004">
        <v>0</v>
      </c>
      <c r="CI396" s="2004" t="s">
        <v>2337</v>
      </c>
      <c r="CJ396" s="2004" t="s">
        <v>2337</v>
      </c>
      <c r="CK396" s="2004">
        <v>0</v>
      </c>
      <c r="CL396" s="2004">
        <v>0</v>
      </c>
      <c r="CM396" s="2004">
        <v>0</v>
      </c>
      <c r="CN396" s="2004">
        <v>0</v>
      </c>
      <c r="CP396" s="2004" t="s">
        <v>11465</v>
      </c>
    </row>
    <row r="397" spans="1:94">
      <c r="A397" s="2004" t="s">
        <v>9073</v>
      </c>
      <c r="B397" s="2004" t="s">
        <v>11466</v>
      </c>
      <c r="C397" s="2004" t="s">
        <v>9047</v>
      </c>
      <c r="D397" s="2004" t="s">
        <v>9275</v>
      </c>
      <c r="E397" s="2004" t="s">
        <v>9276</v>
      </c>
      <c r="F397" s="2004" t="s">
        <v>11467</v>
      </c>
      <c r="G397" s="2004" t="s">
        <v>11468</v>
      </c>
      <c r="H397" s="2004" t="s">
        <v>11469</v>
      </c>
      <c r="I397" s="2004" t="s">
        <v>11470</v>
      </c>
      <c r="J397" s="2004" t="s">
        <v>9230</v>
      </c>
      <c r="K397" s="2004"/>
      <c r="L397" s="2004"/>
      <c r="M397" s="2004"/>
      <c r="N397" s="2004" t="s">
        <v>9386</v>
      </c>
      <c r="O397" s="2004" t="s">
        <v>766</v>
      </c>
      <c r="P397" s="2004" t="s">
        <v>11193</v>
      </c>
      <c r="Q397" s="516">
        <v>0</v>
      </c>
      <c r="R397" s="2004" t="s">
        <v>9202</v>
      </c>
      <c r="S397" s="2004">
        <v>16</v>
      </c>
      <c r="T397" s="2004">
        <v>16</v>
      </c>
      <c r="U397" s="2004">
        <v>17</v>
      </c>
      <c r="V397" s="2004">
        <v>18</v>
      </c>
      <c r="W397" s="2004">
        <v>17</v>
      </c>
      <c r="X397" s="2004">
        <v>15</v>
      </c>
      <c r="Y397" s="2004"/>
      <c r="Z397" s="2004"/>
      <c r="AA397" s="2004"/>
      <c r="AB397" s="2004"/>
      <c r="AC397" s="2004"/>
      <c r="AD397" s="2004"/>
      <c r="AE397" s="2004"/>
      <c r="AF397" s="2004"/>
      <c r="AG397" s="2004"/>
      <c r="AH397" s="2004">
        <v>0</v>
      </c>
      <c r="AI397" s="2004"/>
      <c r="AJ397" s="2004"/>
      <c r="AK397" s="2004"/>
      <c r="AL397" s="2004"/>
      <c r="AM397" s="2004"/>
      <c r="AN397" s="2004"/>
      <c r="AO397" s="2004"/>
      <c r="AP397" s="2004"/>
      <c r="AQ397" s="2004"/>
      <c r="AR397" s="2004"/>
      <c r="AS397" s="2004"/>
      <c r="AT397" s="2004"/>
      <c r="AU397" s="2004"/>
      <c r="AV397" s="2004"/>
      <c r="AW397" s="2004"/>
      <c r="AX397" s="2004"/>
      <c r="AY397" s="2004"/>
      <c r="AZ397" s="2004"/>
      <c r="BA397" s="2004"/>
      <c r="BB397" s="2004"/>
      <c r="BC397" s="2004"/>
      <c r="BD397" s="2004"/>
      <c r="BE397" s="2004"/>
      <c r="BF397" s="2004"/>
      <c r="BG397" s="2004"/>
      <c r="BH397" s="2004"/>
      <c r="BI397" s="2004"/>
      <c r="BJ397" s="2004"/>
      <c r="BK397" s="2004"/>
      <c r="BL397" s="2004"/>
      <c r="BM397" s="2004"/>
      <c r="BN397" s="2004"/>
      <c r="BO397" s="2004"/>
      <c r="BP397" s="516">
        <v>15.95</v>
      </c>
      <c r="BQ397" s="689">
        <v>13.79</v>
      </c>
      <c r="BR397" s="2004" t="s">
        <v>2337</v>
      </c>
      <c r="BS397" s="2004" t="s">
        <v>9204</v>
      </c>
      <c r="BT397" s="2004">
        <v>0</v>
      </c>
      <c r="BU397" s="2004" t="s">
        <v>9204</v>
      </c>
      <c r="BV397" s="2004">
        <v>0</v>
      </c>
      <c r="BW397" s="2004">
        <v>18.677578018266502</v>
      </c>
      <c r="BX397" s="2004" t="s">
        <v>2334</v>
      </c>
      <c r="BY397" s="2004">
        <v>0</v>
      </c>
      <c r="BZ397" s="2004">
        <v>0</v>
      </c>
      <c r="CA397" s="2004">
        <v>0</v>
      </c>
      <c r="CB397" s="2004">
        <v>0</v>
      </c>
      <c r="CC397" s="2004">
        <v>16.887708842084599</v>
      </c>
      <c r="CD397" s="2004" t="s">
        <v>2337</v>
      </c>
      <c r="CE397" s="2004">
        <v>0</v>
      </c>
      <c r="CF397" s="2004">
        <v>0</v>
      </c>
      <c r="CG397" s="2004">
        <v>0</v>
      </c>
      <c r="CH397" s="2004">
        <v>0</v>
      </c>
      <c r="CI397" s="2004">
        <v>18.0244518602792</v>
      </c>
      <c r="CJ397" s="2004" t="s">
        <v>2334</v>
      </c>
      <c r="CK397" s="2004">
        <v>0</v>
      </c>
      <c r="CL397" s="2004">
        <v>0</v>
      </c>
      <c r="CM397" s="2004">
        <v>0</v>
      </c>
      <c r="CN397" s="2004">
        <v>0</v>
      </c>
      <c r="CP397" s="2004" t="s">
        <v>11471</v>
      </c>
    </row>
    <row r="398" spans="1:94">
      <c r="A398" s="2004" t="s">
        <v>9073</v>
      </c>
      <c r="B398" s="2004" t="s">
        <v>11472</v>
      </c>
      <c r="C398" s="2004" t="s">
        <v>9047</v>
      </c>
      <c r="D398" s="2004" t="s">
        <v>9275</v>
      </c>
      <c r="E398" s="2004" t="s">
        <v>9276</v>
      </c>
      <c r="F398" s="2004" t="s">
        <v>11467</v>
      </c>
      <c r="G398" s="2004" t="s">
        <v>11473</v>
      </c>
      <c r="H398" s="2004" t="s">
        <v>11474</v>
      </c>
      <c r="I398" s="2004" t="s">
        <v>11475</v>
      </c>
      <c r="J398" s="2004" t="s">
        <v>9230</v>
      </c>
      <c r="K398" s="2004"/>
      <c r="L398" s="2004"/>
      <c r="M398" s="2004"/>
      <c r="N398" s="2004" t="s">
        <v>9386</v>
      </c>
      <c r="O398" s="2004" t="s">
        <v>734</v>
      </c>
      <c r="P398" s="2004" t="s">
        <v>11187</v>
      </c>
      <c r="Q398" s="516">
        <v>0</v>
      </c>
      <c r="R398" s="2004" t="s">
        <v>9240</v>
      </c>
      <c r="S398" s="2004">
        <v>90</v>
      </c>
      <c r="T398" s="2004">
        <v>95</v>
      </c>
      <c r="U398" s="2004">
        <v>95</v>
      </c>
      <c r="V398" s="2004">
        <v>95</v>
      </c>
      <c r="W398" s="2004">
        <v>95</v>
      </c>
      <c r="X398" s="2004">
        <v>95</v>
      </c>
      <c r="Y398" s="2004"/>
      <c r="Z398" s="2004"/>
      <c r="AA398" s="2004"/>
      <c r="AB398" s="2004"/>
      <c r="AC398" s="2004"/>
      <c r="AD398" s="2004"/>
      <c r="AE398" s="2004"/>
      <c r="AF398" s="2004"/>
      <c r="AG398" s="2004"/>
      <c r="AH398" s="2004">
        <v>0</v>
      </c>
      <c r="AI398" s="2004"/>
      <c r="AJ398" s="2004"/>
      <c r="AK398" s="2004"/>
      <c r="AL398" s="2004"/>
      <c r="AM398" s="2004"/>
      <c r="AN398" s="2004"/>
      <c r="AO398" s="2004"/>
      <c r="AP398" s="2004"/>
      <c r="AQ398" s="2004"/>
      <c r="AR398" s="2004"/>
      <c r="AS398" s="2004"/>
      <c r="AT398" s="2004"/>
      <c r="AU398" s="2004"/>
      <c r="AV398" s="2004"/>
      <c r="AW398" s="2004"/>
      <c r="AX398" s="2004"/>
      <c r="AY398" s="2004"/>
      <c r="AZ398" s="2004"/>
      <c r="BA398" s="2004"/>
      <c r="BB398" s="2004"/>
      <c r="BC398" s="2004"/>
      <c r="BD398" s="2004"/>
      <c r="BE398" s="2004"/>
      <c r="BF398" s="2004"/>
      <c r="BG398" s="2004"/>
      <c r="BH398" s="2004"/>
      <c r="BI398" s="2004"/>
      <c r="BJ398" s="2004"/>
      <c r="BK398" s="2004"/>
      <c r="BL398" s="2004"/>
      <c r="BM398" s="2004"/>
      <c r="BN398" s="2004"/>
      <c r="BO398" s="2004"/>
      <c r="BP398" s="516">
        <v>91.82</v>
      </c>
      <c r="BQ398" s="689">
        <v>92.36</v>
      </c>
      <c r="BR398" s="2004" t="s">
        <v>2334</v>
      </c>
      <c r="BS398" s="2004" t="s">
        <v>9204</v>
      </c>
      <c r="BT398" s="2004">
        <v>0</v>
      </c>
      <c r="BU398" s="2004" t="s">
        <v>9204</v>
      </c>
      <c r="BV398" s="2004">
        <v>0</v>
      </c>
      <c r="BW398" s="2004">
        <v>94.37</v>
      </c>
      <c r="BX398" s="2004" t="s">
        <v>2334</v>
      </c>
      <c r="BY398" s="2004">
        <v>0</v>
      </c>
      <c r="BZ398" s="2004">
        <v>0</v>
      </c>
      <c r="CA398" s="2004">
        <v>0</v>
      </c>
      <c r="CB398" s="2004">
        <v>0</v>
      </c>
      <c r="CC398" s="2236">
        <v>95.09</v>
      </c>
      <c r="CD398" s="2004" t="s">
        <v>2337</v>
      </c>
      <c r="CE398" s="2004">
        <v>0</v>
      </c>
      <c r="CF398" s="2004">
        <v>0</v>
      </c>
      <c r="CG398" s="2004">
        <v>0</v>
      </c>
      <c r="CH398" s="2004">
        <v>0</v>
      </c>
      <c r="CI398" s="2236">
        <v>87.553648068669503</v>
      </c>
      <c r="CJ398" s="2004" t="s">
        <v>2334</v>
      </c>
      <c r="CK398" s="2004">
        <v>0</v>
      </c>
      <c r="CL398" s="2004">
        <v>0</v>
      </c>
      <c r="CM398" s="2004">
        <v>0</v>
      </c>
      <c r="CN398" s="2004">
        <v>0</v>
      </c>
      <c r="CP398" s="2004" t="s">
        <v>11476</v>
      </c>
    </row>
    <row r="399" spans="1:94">
      <c r="A399" s="2004" t="s">
        <v>9073</v>
      </c>
      <c r="B399" s="2004" t="s">
        <v>11477</v>
      </c>
      <c r="C399" s="2004" t="s">
        <v>9047</v>
      </c>
      <c r="D399" s="2004" t="s">
        <v>9275</v>
      </c>
      <c r="E399" s="2004" t="s">
        <v>9276</v>
      </c>
      <c r="F399" s="2004" t="s">
        <v>11467</v>
      </c>
      <c r="G399" s="2004" t="s">
        <v>11478</v>
      </c>
      <c r="H399" s="2004" t="s">
        <v>11479</v>
      </c>
      <c r="I399" s="2004" t="s">
        <v>11480</v>
      </c>
      <c r="J399" s="2004" t="s">
        <v>9230</v>
      </c>
      <c r="K399" s="2004"/>
      <c r="L399" s="2004"/>
      <c r="M399" s="2004"/>
      <c r="N399" s="2004" t="s">
        <v>9386</v>
      </c>
      <c r="O399" s="2004" t="s">
        <v>9282</v>
      </c>
      <c r="P399" s="2004" t="s">
        <v>11199</v>
      </c>
      <c r="Q399" s="516">
        <v>2</v>
      </c>
      <c r="R399" s="2004" t="s">
        <v>9240</v>
      </c>
      <c r="S399" s="2004">
        <v>4.4000000000000004</v>
      </c>
      <c r="T399" s="2004">
        <v>4.45</v>
      </c>
      <c r="U399" s="2004">
        <v>4.55</v>
      </c>
      <c r="V399" s="2004">
        <v>4.45</v>
      </c>
      <c r="W399" s="2004">
        <v>4.5999999999999996</v>
      </c>
      <c r="X399" s="2004">
        <v>4.6500000000000004</v>
      </c>
      <c r="Y399" s="2004"/>
      <c r="Z399" s="2004"/>
      <c r="AA399" s="2004"/>
      <c r="AB399" s="2004"/>
      <c r="AC399" s="2004"/>
      <c r="AD399" s="2004"/>
      <c r="AE399" s="2004"/>
      <c r="AF399" s="2004"/>
      <c r="AG399" s="2004"/>
      <c r="AH399" s="2004">
        <v>0</v>
      </c>
      <c r="AI399" s="2004"/>
      <c r="AJ399" s="2004"/>
      <c r="AK399" s="2004"/>
      <c r="AL399" s="2004"/>
      <c r="AM399" s="2004"/>
      <c r="AN399" s="2004"/>
      <c r="AO399" s="2004"/>
      <c r="AP399" s="2004"/>
      <c r="AQ399" s="2004"/>
      <c r="AR399" s="2004"/>
      <c r="AS399" s="2004"/>
      <c r="AT399" s="2004"/>
      <c r="AU399" s="2004"/>
      <c r="AV399" s="2004"/>
      <c r="AW399" s="2004"/>
      <c r="AX399" s="2004"/>
      <c r="AY399" s="2004"/>
      <c r="AZ399" s="2004"/>
      <c r="BA399" s="2004"/>
      <c r="BB399" s="2004"/>
      <c r="BC399" s="2004"/>
      <c r="BD399" s="2004"/>
      <c r="BE399" s="2004"/>
      <c r="BF399" s="2004"/>
      <c r="BG399" s="2004"/>
      <c r="BH399" s="2004"/>
      <c r="BI399" s="2004"/>
      <c r="BJ399" s="2004"/>
      <c r="BK399" s="2004"/>
      <c r="BL399" s="2004"/>
      <c r="BM399" s="2004"/>
      <c r="BN399" s="2004"/>
      <c r="BO399" s="2004"/>
      <c r="BP399" s="516">
        <v>4.4800000000000004</v>
      </c>
      <c r="BQ399" s="690">
        <v>4.6100000000000003</v>
      </c>
      <c r="BR399" s="2004" t="s">
        <v>2337</v>
      </c>
      <c r="BS399" s="2004" t="s">
        <v>9204</v>
      </c>
      <c r="BT399" s="2004">
        <v>0</v>
      </c>
      <c r="BU399" s="2004" t="s">
        <v>9204</v>
      </c>
      <c r="BV399" s="2004">
        <v>0</v>
      </c>
      <c r="BW399" s="2004">
        <v>4.627722114500691</v>
      </c>
      <c r="BX399" s="2004" t="s">
        <v>2337</v>
      </c>
      <c r="BY399" s="2004">
        <v>0</v>
      </c>
      <c r="BZ399" s="2004">
        <v>0</v>
      </c>
      <c r="CA399" s="2004">
        <v>0</v>
      </c>
      <c r="CB399" s="2004">
        <v>0</v>
      </c>
      <c r="CC399" s="2004">
        <v>4.6550240445456801</v>
      </c>
      <c r="CD399" s="2004" t="s">
        <v>2337</v>
      </c>
      <c r="CE399" s="2004">
        <v>0</v>
      </c>
      <c r="CF399" s="2004">
        <v>0</v>
      </c>
      <c r="CG399" s="2004">
        <v>0</v>
      </c>
      <c r="CH399" s="2004">
        <v>0</v>
      </c>
      <c r="CI399" s="2004">
        <v>4.5844396667562499</v>
      </c>
      <c r="CJ399" s="2004" t="s">
        <v>2334</v>
      </c>
      <c r="CK399" s="2004">
        <v>0</v>
      </c>
      <c r="CL399" s="2004">
        <v>0</v>
      </c>
      <c r="CM399" s="2004">
        <v>0</v>
      </c>
      <c r="CN399" s="2004">
        <v>0</v>
      </c>
      <c r="CP399" s="2004" t="s">
        <v>11481</v>
      </c>
    </row>
    <row r="400" spans="1:94">
      <c r="A400" s="2004" t="s">
        <v>9073</v>
      </c>
      <c r="B400" s="2004" t="s">
        <v>11482</v>
      </c>
      <c r="C400" s="2004" t="s">
        <v>9047</v>
      </c>
      <c r="D400" s="2004" t="s">
        <v>9275</v>
      </c>
      <c r="E400" s="2004" t="s">
        <v>9276</v>
      </c>
      <c r="F400" s="2004" t="s">
        <v>11467</v>
      </c>
      <c r="G400" s="2004" t="s">
        <v>11483</v>
      </c>
      <c r="H400" s="2004" t="s">
        <v>11484</v>
      </c>
      <c r="I400" s="2004" t="s">
        <v>11485</v>
      </c>
      <c r="J400" s="2004" t="s">
        <v>9230</v>
      </c>
      <c r="K400" s="2004"/>
      <c r="L400" s="2004"/>
      <c r="M400" s="2004"/>
      <c r="N400" s="2004" t="s">
        <v>9386</v>
      </c>
      <c r="O400" s="2004" t="s">
        <v>9282</v>
      </c>
      <c r="P400" s="2004" t="s">
        <v>11199</v>
      </c>
      <c r="Q400" s="516">
        <v>2</v>
      </c>
      <c r="R400" s="2004" t="s">
        <v>9240</v>
      </c>
      <c r="S400" s="2004">
        <v>4.4000000000000004</v>
      </c>
      <c r="T400" s="2004">
        <v>4.45</v>
      </c>
      <c r="U400" s="2004">
        <v>4.5199999999999996</v>
      </c>
      <c r="V400" s="2004">
        <v>4.57</v>
      </c>
      <c r="W400" s="2004">
        <v>4.5999999999999996</v>
      </c>
      <c r="X400" s="2004">
        <v>4.6500000000000004</v>
      </c>
      <c r="Y400" s="2004"/>
      <c r="Z400" s="2004"/>
      <c r="AA400" s="2004"/>
      <c r="AB400" s="2004"/>
      <c r="AC400" s="2004"/>
      <c r="AD400" s="2004"/>
      <c r="AE400" s="2004"/>
      <c r="AF400" s="2004"/>
      <c r="AG400" s="2004"/>
      <c r="AH400" s="2004">
        <v>0</v>
      </c>
      <c r="AI400" s="2004"/>
      <c r="AJ400" s="2004"/>
      <c r="AK400" s="2004"/>
      <c r="AL400" s="2004"/>
      <c r="AM400" s="2004"/>
      <c r="AN400" s="2004"/>
      <c r="AO400" s="2004"/>
      <c r="AP400" s="2004"/>
      <c r="AQ400" s="2004"/>
      <c r="AR400" s="2004"/>
      <c r="AS400" s="2004"/>
      <c r="AT400" s="2004"/>
      <c r="AU400" s="2004"/>
      <c r="AV400" s="2004"/>
      <c r="AW400" s="2004"/>
      <c r="AX400" s="2004"/>
      <c r="AY400" s="2004"/>
      <c r="AZ400" s="2004"/>
      <c r="BA400" s="2004"/>
      <c r="BB400" s="2004"/>
      <c r="BC400" s="2004"/>
      <c r="BD400" s="2004"/>
      <c r="BE400" s="2004"/>
      <c r="BF400" s="2004"/>
      <c r="BG400" s="2004"/>
      <c r="BH400" s="2004"/>
      <c r="BI400" s="2004"/>
      <c r="BJ400" s="2004"/>
      <c r="BK400" s="2004"/>
      <c r="BL400" s="2004"/>
      <c r="BM400" s="2004"/>
      <c r="BN400" s="2004"/>
      <c r="BO400" s="2004"/>
      <c r="BP400" s="516" t="s">
        <v>9388</v>
      </c>
      <c r="BQ400" s="690">
        <v>4.2699999999999996</v>
      </c>
      <c r="BR400" s="2004" t="s">
        <v>2334</v>
      </c>
      <c r="BS400" s="2004" t="s">
        <v>9204</v>
      </c>
      <c r="BT400" s="2004">
        <v>0</v>
      </c>
      <c r="BU400" s="2004" t="s">
        <v>9204</v>
      </c>
      <c r="BV400" s="2004">
        <v>0</v>
      </c>
      <c r="BW400" s="2004">
        <v>4.455274610082272</v>
      </c>
      <c r="BX400" s="2004" t="s">
        <v>2334</v>
      </c>
      <c r="BY400" s="2004">
        <v>0</v>
      </c>
      <c r="BZ400" s="2004">
        <v>0</v>
      </c>
      <c r="CA400" s="2004">
        <v>0</v>
      </c>
      <c r="CB400" s="2004">
        <v>0</v>
      </c>
      <c r="CC400" s="2004">
        <v>4.4321125537096497</v>
      </c>
      <c r="CD400" s="2004" t="s">
        <v>2334</v>
      </c>
      <c r="CE400" s="2004">
        <v>0</v>
      </c>
      <c r="CF400" s="2004">
        <v>0</v>
      </c>
      <c r="CG400" s="2004">
        <v>0</v>
      </c>
      <c r="CH400" s="2004">
        <v>0</v>
      </c>
      <c r="CI400" s="2004">
        <v>4.4366204585769697</v>
      </c>
      <c r="CJ400" s="2004" t="s">
        <v>2334</v>
      </c>
      <c r="CK400" s="2004">
        <v>0</v>
      </c>
      <c r="CL400" s="2004">
        <v>0</v>
      </c>
      <c r="CM400" s="2004">
        <v>0</v>
      </c>
      <c r="CN400" s="2004">
        <v>0</v>
      </c>
      <c r="CP400" s="2004" t="s">
        <v>11486</v>
      </c>
    </row>
    <row r="401" spans="1:94">
      <c r="A401" s="2004" t="s">
        <v>9073</v>
      </c>
      <c r="B401" s="2004" t="s">
        <v>11487</v>
      </c>
      <c r="C401" s="2004" t="s">
        <v>9047</v>
      </c>
      <c r="D401" s="2004" t="s">
        <v>9275</v>
      </c>
      <c r="E401" s="2004" t="s">
        <v>9276</v>
      </c>
      <c r="F401" s="2004" t="s">
        <v>11467</v>
      </c>
      <c r="G401" s="2004" t="s">
        <v>11488</v>
      </c>
      <c r="H401" s="2004" t="s">
        <v>11489</v>
      </c>
      <c r="I401" s="2004" t="s">
        <v>11490</v>
      </c>
      <c r="J401" s="2004" t="s">
        <v>9230</v>
      </c>
      <c r="K401" s="2004"/>
      <c r="L401" s="2004"/>
      <c r="M401" s="2004"/>
      <c r="N401" s="2004" t="s">
        <v>9290</v>
      </c>
      <c r="O401" s="2004" t="s">
        <v>734</v>
      </c>
      <c r="P401" s="2004" t="s">
        <v>11491</v>
      </c>
      <c r="Q401" s="516">
        <v>0</v>
      </c>
      <c r="R401" s="2004" t="s">
        <v>9240</v>
      </c>
      <c r="S401" s="2004">
        <v>85</v>
      </c>
      <c r="T401" s="2004">
        <v>96</v>
      </c>
      <c r="U401" s="2004">
        <v>96</v>
      </c>
      <c r="V401" s="2004">
        <v>96</v>
      </c>
      <c r="W401" s="2004">
        <v>96</v>
      </c>
      <c r="X401" s="2004">
        <v>96</v>
      </c>
      <c r="Y401" s="2004"/>
      <c r="Z401" s="2004"/>
      <c r="AA401" s="2004"/>
      <c r="AB401" s="2004"/>
      <c r="AC401" s="2004"/>
      <c r="AD401" s="2004"/>
      <c r="AE401" s="2004"/>
      <c r="AF401" s="2004"/>
      <c r="AG401" s="2004"/>
      <c r="AH401" s="2004">
        <v>0</v>
      </c>
      <c r="AI401" s="2004"/>
      <c r="AJ401" s="2004"/>
      <c r="AK401" s="2004"/>
      <c r="AL401" s="2004"/>
      <c r="AM401" s="2004"/>
      <c r="AN401" s="2004"/>
      <c r="AO401" s="2004"/>
      <c r="AP401" s="2004"/>
      <c r="AQ401" s="2004"/>
      <c r="AR401" s="2004"/>
      <c r="AS401" s="2004"/>
      <c r="AT401" s="2004"/>
      <c r="AU401" s="2004"/>
      <c r="AV401" s="2004"/>
      <c r="AW401" s="2004"/>
      <c r="AX401" s="2004"/>
      <c r="AY401" s="2004"/>
      <c r="AZ401" s="2004"/>
      <c r="BA401" s="2004"/>
      <c r="BB401" s="2004"/>
      <c r="BC401" s="2004"/>
      <c r="BD401" s="2004"/>
      <c r="BE401" s="2004"/>
      <c r="BF401" s="2004"/>
      <c r="BG401" s="2004"/>
      <c r="BH401" s="2004"/>
      <c r="BI401" s="2004"/>
      <c r="BJ401" s="2004"/>
      <c r="BK401" s="2004"/>
      <c r="BL401" s="2004"/>
      <c r="BM401" s="2004"/>
      <c r="BN401" s="2004"/>
      <c r="BO401" s="2004"/>
      <c r="BP401" s="516" t="s">
        <v>9388</v>
      </c>
      <c r="BQ401" s="689">
        <v>90.5</v>
      </c>
      <c r="BR401" s="2004" t="s">
        <v>2334</v>
      </c>
      <c r="BS401" s="2004" t="s">
        <v>9204</v>
      </c>
      <c r="BT401" s="2004">
        <v>0</v>
      </c>
      <c r="BU401" s="2004" t="s">
        <v>9204</v>
      </c>
      <c r="BV401" s="2004">
        <v>0</v>
      </c>
      <c r="BW401" s="2004">
        <v>96.8</v>
      </c>
      <c r="BX401" s="2004" t="s">
        <v>2337</v>
      </c>
      <c r="BY401" s="2004">
        <v>0</v>
      </c>
      <c r="BZ401" s="2004">
        <v>0</v>
      </c>
      <c r="CA401" s="2004">
        <v>0</v>
      </c>
      <c r="CB401" s="2004">
        <v>0</v>
      </c>
      <c r="CC401" s="2236">
        <v>96.64</v>
      </c>
      <c r="CD401" s="2004" t="s">
        <v>2337</v>
      </c>
      <c r="CE401" s="2004">
        <v>0</v>
      </c>
      <c r="CF401" s="2004">
        <v>0</v>
      </c>
      <c r="CG401" s="2004">
        <v>0</v>
      </c>
      <c r="CH401" s="2004">
        <v>0</v>
      </c>
      <c r="CI401" s="2236">
        <v>98.822091713264996</v>
      </c>
      <c r="CJ401" s="2004" t="s">
        <v>2337</v>
      </c>
      <c r="CK401" s="2004">
        <v>0</v>
      </c>
      <c r="CL401" s="2004">
        <v>0</v>
      </c>
      <c r="CM401" s="2004">
        <v>0</v>
      </c>
      <c r="CN401" s="2004">
        <v>0</v>
      </c>
      <c r="CP401" s="2004" t="s">
        <v>11492</v>
      </c>
    </row>
    <row r="402" spans="1:94">
      <c r="A402" s="2004" t="s">
        <v>9073</v>
      </c>
      <c r="B402" s="2004" t="s">
        <v>11493</v>
      </c>
      <c r="C402" s="2004" t="s">
        <v>9047</v>
      </c>
      <c r="D402" s="2004" t="s">
        <v>9275</v>
      </c>
      <c r="E402" s="2004" t="s">
        <v>9276</v>
      </c>
      <c r="F402" s="2004" t="s">
        <v>11467</v>
      </c>
      <c r="G402" s="2004" t="s">
        <v>11494</v>
      </c>
      <c r="H402" s="2004" t="s">
        <v>11495</v>
      </c>
      <c r="I402" s="2004" t="s">
        <v>11496</v>
      </c>
      <c r="J402" s="2004" t="s">
        <v>9199</v>
      </c>
      <c r="K402" s="2004" t="s">
        <v>9200</v>
      </c>
      <c r="L402" s="2004"/>
      <c r="M402" s="2004" t="s">
        <v>2334</v>
      </c>
      <c r="N402" s="2004" t="s">
        <v>9281</v>
      </c>
      <c r="O402" s="2004" t="s">
        <v>9282</v>
      </c>
      <c r="P402" s="2004" t="s">
        <v>9283</v>
      </c>
      <c r="Q402" s="516">
        <v>1</v>
      </c>
      <c r="R402" s="2004" t="s">
        <v>9240</v>
      </c>
      <c r="S402" s="2004" t="s">
        <v>9231</v>
      </c>
      <c r="T402" s="2004" t="s">
        <v>9231</v>
      </c>
      <c r="U402" s="2004" t="s">
        <v>9231</v>
      </c>
      <c r="V402" s="2004" t="s">
        <v>9231</v>
      </c>
      <c r="W402" s="2004" t="s">
        <v>9231</v>
      </c>
      <c r="X402" s="2004" t="s">
        <v>9231</v>
      </c>
      <c r="Y402" s="2004"/>
      <c r="Z402" s="2004"/>
      <c r="AA402" s="2004"/>
      <c r="AB402" s="2004"/>
      <c r="AC402" s="2004"/>
      <c r="AD402" s="2004"/>
      <c r="AE402" s="2004"/>
      <c r="AF402" s="2004"/>
      <c r="AG402" s="2004"/>
      <c r="AH402" s="2004">
        <v>0</v>
      </c>
      <c r="AI402" s="2004" t="s">
        <v>2337</v>
      </c>
      <c r="AJ402" s="2004" t="s">
        <v>2337</v>
      </c>
      <c r="AK402" s="2004" t="s">
        <v>2337</v>
      </c>
      <c r="AL402" s="2004" t="s">
        <v>2337</v>
      </c>
      <c r="AM402" s="2004" t="s">
        <v>2337</v>
      </c>
      <c r="AN402" s="2004" t="s">
        <v>9284</v>
      </c>
      <c r="AO402" s="2004" t="s">
        <v>9284</v>
      </c>
      <c r="AP402" s="2004" t="s">
        <v>9284</v>
      </c>
      <c r="AQ402" s="2004" t="s">
        <v>9284</v>
      </c>
      <c r="AR402" s="2004" t="s">
        <v>9284</v>
      </c>
      <c r="AS402" s="2004" t="s">
        <v>9284</v>
      </c>
      <c r="AT402" s="2004" t="s">
        <v>9284</v>
      </c>
      <c r="AU402" s="2004" t="s">
        <v>9284</v>
      </c>
      <c r="AV402" s="2004" t="s">
        <v>9284</v>
      </c>
      <c r="AW402" s="2004" t="s">
        <v>9284</v>
      </c>
      <c r="AX402" s="2004" t="s">
        <v>9284</v>
      </c>
      <c r="AY402" s="2004" t="s">
        <v>9284</v>
      </c>
      <c r="AZ402" s="2004" t="s">
        <v>9284</v>
      </c>
      <c r="BA402" s="2004" t="s">
        <v>9284</v>
      </c>
      <c r="BB402" s="2004" t="s">
        <v>9284</v>
      </c>
      <c r="BC402" s="2004" t="s">
        <v>9284</v>
      </c>
      <c r="BD402" s="2004" t="s">
        <v>9284</v>
      </c>
      <c r="BE402" s="2004" t="s">
        <v>9284</v>
      </c>
      <c r="BF402" s="2004" t="s">
        <v>9284</v>
      </c>
      <c r="BG402" s="2004" t="s">
        <v>9284</v>
      </c>
      <c r="BH402" s="2004" t="s">
        <v>9284</v>
      </c>
      <c r="BI402" s="2004"/>
      <c r="BJ402" s="2004"/>
      <c r="BK402" s="2004"/>
      <c r="BL402" s="2004" t="s">
        <v>9284</v>
      </c>
      <c r="BM402" s="2004"/>
      <c r="BN402" s="2004">
        <v>1</v>
      </c>
      <c r="BO402" s="2004" t="s">
        <v>9203</v>
      </c>
      <c r="BP402" s="516">
        <v>72.599999999999994</v>
      </c>
      <c r="BQ402" s="688">
        <v>76.739999999999995</v>
      </c>
      <c r="BR402" s="2004" t="s">
        <v>9204</v>
      </c>
      <c r="BS402" s="2004" t="s">
        <v>9204</v>
      </c>
      <c r="BT402" s="2004">
        <v>0</v>
      </c>
      <c r="BU402" s="2004" t="s">
        <v>9204</v>
      </c>
      <c r="BV402" s="2004">
        <v>0</v>
      </c>
      <c r="BW402" s="2004">
        <v>77.264009835474994</v>
      </c>
      <c r="BX402" s="2004" t="s">
        <v>2335</v>
      </c>
      <c r="BY402" s="2004">
        <v>0</v>
      </c>
      <c r="BZ402" s="2004">
        <v>0</v>
      </c>
      <c r="CA402" s="2004">
        <v>0</v>
      </c>
      <c r="CB402" s="2004">
        <v>0</v>
      </c>
      <c r="CC402" s="2004">
        <v>78.428740527351835</v>
      </c>
      <c r="CD402" s="2004" t="s">
        <v>2335</v>
      </c>
      <c r="CE402" s="2004">
        <v>0</v>
      </c>
      <c r="CF402" s="2004">
        <v>0</v>
      </c>
      <c r="CG402" s="2004">
        <v>0</v>
      </c>
      <c r="CH402" s="2004">
        <v>0</v>
      </c>
      <c r="CI402" s="2004">
        <v>75.029926160142097</v>
      </c>
      <c r="CJ402" s="2004" t="s">
        <v>2335</v>
      </c>
      <c r="CK402" s="2004">
        <v>0</v>
      </c>
      <c r="CL402" s="2004">
        <v>0</v>
      </c>
      <c r="CM402" s="2004">
        <v>0</v>
      </c>
      <c r="CN402" s="2004">
        <v>0</v>
      </c>
      <c r="CP402" s="2004" t="s">
        <v>11497</v>
      </c>
    </row>
    <row r="403" spans="1:94">
      <c r="A403" s="2004" t="s">
        <v>9073</v>
      </c>
      <c r="B403" s="2004" t="s">
        <v>11498</v>
      </c>
      <c r="C403" s="2004" t="s">
        <v>9047</v>
      </c>
      <c r="D403" s="2004" t="s">
        <v>9275</v>
      </c>
      <c r="E403" s="2004" t="s">
        <v>9276</v>
      </c>
      <c r="F403" s="2004" t="s">
        <v>11499</v>
      </c>
      <c r="G403" s="2004" t="s">
        <v>11500</v>
      </c>
      <c r="H403" s="2004" t="s">
        <v>11501</v>
      </c>
      <c r="I403" s="2004" t="s">
        <v>11502</v>
      </c>
      <c r="J403" s="2004" t="s">
        <v>9210</v>
      </c>
      <c r="K403" s="2004" t="s">
        <v>9200</v>
      </c>
      <c r="L403" s="2004"/>
      <c r="M403" s="2004" t="s">
        <v>2334</v>
      </c>
      <c r="N403" s="2004" t="s">
        <v>9290</v>
      </c>
      <c r="O403" s="2004" t="s">
        <v>9487</v>
      </c>
      <c r="P403" s="2004" t="s">
        <v>11503</v>
      </c>
      <c r="Q403" s="516" t="s">
        <v>9203</v>
      </c>
      <c r="R403" s="2004"/>
      <c r="S403" s="2004" t="s">
        <v>11504</v>
      </c>
      <c r="T403" s="2004" t="s">
        <v>11504</v>
      </c>
      <c r="U403" s="2004" t="s">
        <v>11504</v>
      </c>
      <c r="V403" s="2004" t="s">
        <v>9979</v>
      </c>
      <c r="W403" s="2004" t="s">
        <v>9979</v>
      </c>
      <c r="X403" s="2004" t="s">
        <v>9979</v>
      </c>
      <c r="Y403" s="2004"/>
      <c r="Z403" s="2004"/>
      <c r="AA403" s="2004"/>
      <c r="AB403" s="2004"/>
      <c r="AC403" s="2004"/>
      <c r="AD403" s="2004" t="s">
        <v>2337</v>
      </c>
      <c r="AE403" s="2004"/>
      <c r="AF403" s="2004"/>
      <c r="AG403" s="2004"/>
      <c r="AH403" s="2004">
        <v>0</v>
      </c>
      <c r="AI403" s="2004"/>
      <c r="AJ403" s="2004"/>
      <c r="AK403" s="2004"/>
      <c r="AL403" s="2004" t="s">
        <v>2337</v>
      </c>
      <c r="AM403" s="2004" t="s">
        <v>2337</v>
      </c>
      <c r="AN403" s="2004"/>
      <c r="AO403" s="2004"/>
      <c r="AP403" s="2004"/>
      <c r="AQ403" s="2004"/>
      <c r="AR403" s="2004" t="s">
        <v>11357</v>
      </c>
      <c r="AS403" s="2004"/>
      <c r="AT403" s="2004"/>
      <c r="AU403" s="2004"/>
      <c r="AV403" s="2004" t="s">
        <v>11505</v>
      </c>
      <c r="AW403" s="2004" t="s">
        <v>11505</v>
      </c>
      <c r="AX403" s="2004"/>
      <c r="AY403" s="2004"/>
      <c r="AZ403" s="2004"/>
      <c r="BA403" s="2004"/>
      <c r="BB403" s="2004"/>
      <c r="BC403" s="2004"/>
      <c r="BD403" s="2004"/>
      <c r="BE403" s="2004"/>
      <c r="BF403" s="2004"/>
      <c r="BG403" s="2004"/>
      <c r="BH403" s="2004">
        <v>6.5</v>
      </c>
      <c r="BI403" s="2004">
        <v>20.5</v>
      </c>
      <c r="BJ403" s="2004"/>
      <c r="BK403" s="2004"/>
      <c r="BL403" s="2004"/>
      <c r="BM403" s="2004"/>
      <c r="BN403" s="2004">
        <v>1</v>
      </c>
      <c r="BO403" s="2004" t="s">
        <v>9203</v>
      </c>
      <c r="BP403" s="516" t="s">
        <v>9388</v>
      </c>
      <c r="BQ403" s="703" t="s">
        <v>11504</v>
      </c>
      <c r="BR403" s="2004" t="s">
        <v>2337</v>
      </c>
      <c r="BS403" s="2004" t="s">
        <v>9204</v>
      </c>
      <c r="BT403" s="2004">
        <v>0</v>
      </c>
      <c r="BU403" s="2004" t="s">
        <v>9204</v>
      </c>
      <c r="BV403" s="2004">
        <v>0</v>
      </c>
      <c r="BW403" s="2004" t="s">
        <v>11506</v>
      </c>
      <c r="BX403" s="2004" t="s">
        <v>2337</v>
      </c>
      <c r="BY403" s="2004">
        <v>0</v>
      </c>
      <c r="BZ403" s="2004">
        <v>0</v>
      </c>
      <c r="CA403" s="2004">
        <v>0</v>
      </c>
      <c r="CB403" s="2004">
        <v>0</v>
      </c>
      <c r="CC403" s="2004" t="s">
        <v>11507</v>
      </c>
      <c r="CD403" s="2004" t="s">
        <v>2337</v>
      </c>
      <c r="CE403" s="2004">
        <v>0</v>
      </c>
      <c r="CF403" s="2004">
        <v>0</v>
      </c>
      <c r="CG403" s="2004">
        <v>0</v>
      </c>
      <c r="CH403" s="2004">
        <v>0</v>
      </c>
      <c r="CI403" s="2004" t="s">
        <v>11508</v>
      </c>
      <c r="CJ403" s="2004" t="s">
        <v>2337</v>
      </c>
      <c r="CK403" s="2004">
        <v>0</v>
      </c>
      <c r="CL403" s="2004">
        <v>0</v>
      </c>
      <c r="CM403" s="2004">
        <v>0</v>
      </c>
      <c r="CN403" s="2004">
        <v>0</v>
      </c>
      <c r="CP403" s="2004" t="s">
        <v>11509</v>
      </c>
    </row>
    <row r="404" spans="1:94">
      <c r="A404" s="2004" t="s">
        <v>9073</v>
      </c>
      <c r="B404" s="2004" t="s">
        <v>11510</v>
      </c>
      <c r="C404" s="2004" t="s">
        <v>9047</v>
      </c>
      <c r="D404" s="2004" t="s">
        <v>9275</v>
      </c>
      <c r="E404" s="2004" t="s">
        <v>9276</v>
      </c>
      <c r="F404" s="2004" t="s">
        <v>11511</v>
      </c>
      <c r="G404" s="2004" t="s">
        <v>11512</v>
      </c>
      <c r="H404" s="2004" t="s">
        <v>11513</v>
      </c>
      <c r="I404" s="2004" t="s">
        <v>11514</v>
      </c>
      <c r="J404" s="2004" t="s">
        <v>9230</v>
      </c>
      <c r="K404" s="2004"/>
      <c r="L404" s="2004"/>
      <c r="M404" s="2004"/>
      <c r="N404" s="2004" t="s">
        <v>9290</v>
      </c>
      <c r="O404" s="2004" t="s">
        <v>734</v>
      </c>
      <c r="P404" s="2004" t="s">
        <v>11515</v>
      </c>
      <c r="Q404" s="516">
        <v>0</v>
      </c>
      <c r="R404" s="2004" t="s">
        <v>9240</v>
      </c>
      <c r="S404" s="2004">
        <v>52</v>
      </c>
      <c r="T404" s="2004">
        <v>53</v>
      </c>
      <c r="U404" s="2004">
        <v>54</v>
      </c>
      <c r="V404" s="2004">
        <v>54</v>
      </c>
      <c r="W404" s="2004">
        <v>57</v>
      </c>
      <c r="X404" s="2004">
        <v>60</v>
      </c>
      <c r="Y404" s="2004"/>
      <c r="Z404" s="2004"/>
      <c r="AA404" s="2004"/>
      <c r="AB404" s="2004"/>
      <c r="AC404" s="2004"/>
      <c r="AD404" s="2004"/>
      <c r="AE404" s="2004"/>
      <c r="AF404" s="2004"/>
      <c r="AG404" s="2004"/>
      <c r="AH404" s="2004">
        <v>0</v>
      </c>
      <c r="AI404" s="2004"/>
      <c r="AJ404" s="2004"/>
      <c r="AK404" s="2004"/>
      <c r="AL404" s="2004"/>
      <c r="AM404" s="2004"/>
      <c r="AN404" s="2004"/>
      <c r="AO404" s="2004"/>
      <c r="AP404" s="2004"/>
      <c r="AQ404" s="2004"/>
      <c r="AR404" s="2004"/>
      <c r="AS404" s="2004"/>
      <c r="AT404" s="2004"/>
      <c r="AU404" s="2004"/>
      <c r="AV404" s="2004"/>
      <c r="AW404" s="2004"/>
      <c r="AX404" s="2004"/>
      <c r="AY404" s="2004"/>
      <c r="AZ404" s="2004"/>
      <c r="BA404" s="2004"/>
      <c r="BB404" s="2004"/>
      <c r="BC404" s="2004"/>
      <c r="BD404" s="2004"/>
      <c r="BE404" s="2004"/>
      <c r="BF404" s="2004"/>
      <c r="BG404" s="2004"/>
      <c r="BH404" s="2004"/>
      <c r="BI404" s="2004"/>
      <c r="BJ404" s="2004"/>
      <c r="BK404" s="2004"/>
      <c r="BL404" s="2004"/>
      <c r="BM404" s="2004"/>
      <c r="BN404" s="2004"/>
      <c r="BO404" s="2004"/>
      <c r="BP404" s="516" t="s">
        <v>9388</v>
      </c>
      <c r="BQ404" s="689">
        <v>54.19</v>
      </c>
      <c r="BR404" s="2004" t="s">
        <v>2337</v>
      </c>
      <c r="BS404" s="2004" t="s">
        <v>9204</v>
      </c>
      <c r="BT404" s="2004">
        <v>0</v>
      </c>
      <c r="BU404" s="2004" t="s">
        <v>9204</v>
      </c>
      <c r="BV404" s="2004">
        <v>0</v>
      </c>
      <c r="BW404" s="2004">
        <v>54.66</v>
      </c>
      <c r="BX404" s="2004" t="s">
        <v>2337</v>
      </c>
      <c r="BY404" s="2004">
        <v>0</v>
      </c>
      <c r="BZ404" s="2004">
        <v>0</v>
      </c>
      <c r="CA404" s="2004">
        <v>0</v>
      </c>
      <c r="CB404" s="2004">
        <v>0</v>
      </c>
      <c r="CC404" s="2236">
        <v>58.08</v>
      </c>
      <c r="CD404" s="2004" t="s">
        <v>2337</v>
      </c>
      <c r="CE404" s="2004">
        <v>0</v>
      </c>
      <c r="CF404" s="2004">
        <v>0</v>
      </c>
      <c r="CG404" s="2004">
        <v>0</v>
      </c>
      <c r="CH404" s="2004">
        <v>0</v>
      </c>
      <c r="CI404" s="2236">
        <v>57.98</v>
      </c>
      <c r="CJ404" s="2004" t="s">
        <v>2337</v>
      </c>
      <c r="CK404" s="2004">
        <v>0</v>
      </c>
      <c r="CL404" s="2004">
        <v>0</v>
      </c>
      <c r="CM404" s="2004">
        <v>0</v>
      </c>
      <c r="CN404" s="2004">
        <v>0</v>
      </c>
      <c r="CP404" s="2004" t="s">
        <v>11516</v>
      </c>
    </row>
    <row r="405" spans="1:94">
      <c r="A405" s="2004" t="s">
        <v>9073</v>
      </c>
      <c r="B405" s="2004" t="s">
        <v>11517</v>
      </c>
      <c r="C405" s="2004" t="s">
        <v>9047</v>
      </c>
      <c r="D405" s="2004" t="s">
        <v>9275</v>
      </c>
      <c r="E405" s="2004" t="s">
        <v>9276</v>
      </c>
      <c r="F405" s="2004" t="s">
        <v>11511</v>
      </c>
      <c r="G405" s="2004" t="s">
        <v>11518</v>
      </c>
      <c r="H405" s="2004" t="s">
        <v>11519</v>
      </c>
      <c r="I405" s="2004" t="s">
        <v>11520</v>
      </c>
      <c r="J405" s="2004" t="s">
        <v>9230</v>
      </c>
      <c r="K405" s="2004"/>
      <c r="L405" s="2004"/>
      <c r="M405" s="2004"/>
      <c r="N405" s="2004" t="s">
        <v>9290</v>
      </c>
      <c r="O405" s="2004" t="s">
        <v>734</v>
      </c>
      <c r="P405" s="2004" t="s">
        <v>11521</v>
      </c>
      <c r="Q405" s="516">
        <v>1</v>
      </c>
      <c r="R405" s="2004" t="s">
        <v>9240</v>
      </c>
      <c r="S405" s="2004">
        <v>88.6</v>
      </c>
      <c r="T405" s="2004">
        <v>89</v>
      </c>
      <c r="U405" s="2004">
        <v>89.4</v>
      </c>
      <c r="V405" s="2004">
        <v>89.7</v>
      </c>
      <c r="W405" s="2004">
        <v>89.6</v>
      </c>
      <c r="X405" s="2004">
        <v>90.4</v>
      </c>
      <c r="Y405" s="2004"/>
      <c r="Z405" s="2004"/>
      <c r="AA405" s="2004"/>
      <c r="AB405" s="2004"/>
      <c r="AC405" s="2004"/>
      <c r="AD405" s="2004"/>
      <c r="AE405" s="2004"/>
      <c r="AF405" s="2004"/>
      <c r="AG405" s="2004"/>
      <c r="AH405" s="2004">
        <v>0</v>
      </c>
      <c r="AI405" s="2004"/>
      <c r="AJ405" s="2004"/>
      <c r="AK405" s="2004"/>
      <c r="AL405" s="2004"/>
      <c r="AM405" s="2004"/>
      <c r="AN405" s="2004"/>
      <c r="AO405" s="2004"/>
      <c r="AP405" s="2004"/>
      <c r="AQ405" s="2004"/>
      <c r="AR405" s="2004"/>
      <c r="AS405" s="2004"/>
      <c r="AT405" s="2004"/>
      <c r="AU405" s="2004"/>
      <c r="AV405" s="2004"/>
      <c r="AW405" s="2004"/>
      <c r="AX405" s="2004"/>
      <c r="AY405" s="2004"/>
      <c r="AZ405" s="2004"/>
      <c r="BA405" s="2004"/>
      <c r="BB405" s="2004"/>
      <c r="BC405" s="2004"/>
      <c r="BD405" s="2004"/>
      <c r="BE405" s="2004"/>
      <c r="BF405" s="2004"/>
      <c r="BG405" s="2004"/>
      <c r="BH405" s="2004"/>
      <c r="BI405" s="2004"/>
      <c r="BJ405" s="2004"/>
      <c r="BK405" s="2004"/>
      <c r="BL405" s="2004"/>
      <c r="BM405" s="2004"/>
      <c r="BN405" s="2004"/>
      <c r="BO405" s="2004"/>
      <c r="BP405" s="516">
        <v>87.9</v>
      </c>
      <c r="BQ405" s="686">
        <v>88.2</v>
      </c>
      <c r="BR405" s="2004" t="s">
        <v>2334</v>
      </c>
      <c r="BS405" s="2004" t="s">
        <v>9204</v>
      </c>
      <c r="BT405" s="2004">
        <v>0</v>
      </c>
      <c r="BU405" s="2004" t="s">
        <v>9204</v>
      </c>
      <c r="BV405" s="2004">
        <v>0</v>
      </c>
      <c r="BW405" s="2004">
        <v>87.86</v>
      </c>
      <c r="BX405" s="2004" t="s">
        <v>2334</v>
      </c>
      <c r="BY405" s="2004">
        <v>0</v>
      </c>
      <c r="BZ405" s="2004">
        <v>0</v>
      </c>
      <c r="CA405" s="2004">
        <v>0</v>
      </c>
      <c r="CB405" s="2004">
        <v>0</v>
      </c>
      <c r="CC405" s="2236">
        <v>89.2</v>
      </c>
      <c r="CD405" s="2004" t="s">
        <v>2334</v>
      </c>
      <c r="CE405" s="2004">
        <v>0</v>
      </c>
      <c r="CF405" s="2004">
        <v>0</v>
      </c>
      <c r="CG405" s="2004">
        <v>0</v>
      </c>
      <c r="CH405" s="2004">
        <v>0</v>
      </c>
      <c r="CI405" s="2236">
        <v>87.918246609468497</v>
      </c>
      <c r="CJ405" s="2004" t="s">
        <v>2334</v>
      </c>
      <c r="CK405" s="2004">
        <v>0</v>
      </c>
      <c r="CL405" s="2004">
        <v>0</v>
      </c>
      <c r="CM405" s="2004">
        <v>0</v>
      </c>
      <c r="CN405" s="2004">
        <v>0</v>
      </c>
      <c r="CP405" s="2004" t="s">
        <v>11522</v>
      </c>
    </row>
    <row r="406" spans="1:94">
      <c r="A406" s="2004" t="s">
        <v>11523</v>
      </c>
      <c r="B406" s="2004" t="s">
        <v>11524</v>
      </c>
      <c r="C406" s="2004" t="s">
        <v>9047</v>
      </c>
      <c r="D406" s="2004" t="s">
        <v>1628</v>
      </c>
      <c r="E406" s="2004" t="s">
        <v>9194</v>
      </c>
      <c r="F406" s="2004" t="s">
        <v>11525</v>
      </c>
      <c r="G406" s="2004" t="s">
        <v>7928</v>
      </c>
      <c r="H406" s="2004" t="s">
        <v>11526</v>
      </c>
      <c r="I406" s="2004" t="s">
        <v>11527</v>
      </c>
      <c r="J406" s="2004" t="s">
        <v>9230</v>
      </c>
      <c r="K406" s="2004"/>
      <c r="L406" s="2004"/>
      <c r="M406" s="2004"/>
      <c r="N406" s="2004" t="s">
        <v>9238</v>
      </c>
      <c r="O406" s="2004" t="s">
        <v>9282</v>
      </c>
      <c r="P406" s="2004" t="s">
        <v>11528</v>
      </c>
      <c r="Q406" s="516">
        <v>1</v>
      </c>
      <c r="R406" s="2004" t="s">
        <v>9202</v>
      </c>
      <c r="S406" s="2004">
        <v>3.9</v>
      </c>
      <c r="T406" s="2004">
        <v>3.9</v>
      </c>
      <c r="U406" s="2004">
        <v>3.9</v>
      </c>
      <c r="V406" s="2004">
        <v>3.9</v>
      </c>
      <c r="W406" s="2004">
        <v>3.9</v>
      </c>
      <c r="X406" s="2004">
        <v>3.9</v>
      </c>
      <c r="Y406" s="2004"/>
      <c r="Z406" s="2004"/>
      <c r="AA406" s="2004"/>
      <c r="AB406" s="2004"/>
      <c r="AC406" s="2004"/>
      <c r="AD406" s="2004"/>
      <c r="AE406" s="2004" t="s">
        <v>2337</v>
      </c>
      <c r="AF406" s="2004"/>
      <c r="AG406" s="2004"/>
      <c r="AH406" s="2004">
        <v>0</v>
      </c>
      <c r="AI406" s="2004"/>
      <c r="AJ406" s="2004"/>
      <c r="AK406" s="2004"/>
      <c r="AL406" s="2004"/>
      <c r="AM406" s="2004"/>
      <c r="AN406" s="2004"/>
      <c r="AO406" s="2004"/>
      <c r="AP406" s="2004"/>
      <c r="AQ406" s="2004"/>
      <c r="AR406" s="2004"/>
      <c r="AS406" s="2004"/>
      <c r="AT406" s="2004"/>
      <c r="AU406" s="2004"/>
      <c r="AV406" s="2004"/>
      <c r="AW406" s="2004"/>
      <c r="AX406" s="2004"/>
      <c r="AY406" s="2004"/>
      <c r="AZ406" s="2004"/>
      <c r="BA406" s="2004"/>
      <c r="BB406" s="2004"/>
      <c r="BC406" s="2004"/>
      <c r="BD406" s="2004"/>
      <c r="BE406" s="2004"/>
      <c r="BF406" s="2004"/>
      <c r="BG406" s="2004"/>
      <c r="BH406" s="2004"/>
      <c r="BI406" s="2004"/>
      <c r="BJ406" s="2004"/>
      <c r="BK406" s="2004"/>
      <c r="BL406" s="2004"/>
      <c r="BM406" s="2004"/>
      <c r="BN406" s="2004"/>
      <c r="BO406" s="2004"/>
      <c r="BP406" s="516">
        <v>4.3</v>
      </c>
      <c r="BQ406" s="686">
        <v>4.3</v>
      </c>
      <c r="BR406" s="2004" t="s">
        <v>2337</v>
      </c>
      <c r="BS406" s="2004" t="s">
        <v>9204</v>
      </c>
      <c r="BT406" s="2004">
        <v>0</v>
      </c>
      <c r="BU406" s="2004" t="s">
        <v>9204</v>
      </c>
      <c r="BV406" s="2004">
        <v>0</v>
      </c>
      <c r="BW406" s="2004">
        <v>4.3</v>
      </c>
      <c r="BX406" s="2004" t="s">
        <v>2337</v>
      </c>
      <c r="BY406" s="2004">
        <v>0</v>
      </c>
      <c r="BZ406" s="2004">
        <v>0</v>
      </c>
      <c r="CA406" s="2004">
        <v>0</v>
      </c>
      <c r="CB406" s="2004">
        <v>0</v>
      </c>
      <c r="CC406" s="2004">
        <v>4.3</v>
      </c>
      <c r="CD406" s="2004" t="s">
        <v>2337</v>
      </c>
      <c r="CE406" s="2004">
        <v>0</v>
      </c>
      <c r="CF406" s="2004">
        <v>0</v>
      </c>
      <c r="CG406" s="2004">
        <v>0</v>
      </c>
      <c r="CH406" s="2004">
        <v>0</v>
      </c>
      <c r="CI406" s="2004">
        <v>4.8</v>
      </c>
      <c r="CJ406" s="2004" t="s">
        <v>2337</v>
      </c>
      <c r="CK406" s="2004">
        <v>0</v>
      </c>
      <c r="CL406" s="2004">
        <v>0</v>
      </c>
      <c r="CM406" s="2004">
        <v>0</v>
      </c>
      <c r="CN406" s="2004">
        <v>0</v>
      </c>
      <c r="CP406" s="2004" t="s">
        <v>11529</v>
      </c>
    </row>
    <row r="407" spans="1:94">
      <c r="A407" s="2004" t="s">
        <v>11523</v>
      </c>
      <c r="B407" s="2004" t="s">
        <v>11530</v>
      </c>
      <c r="C407" s="2004" t="s">
        <v>9047</v>
      </c>
      <c r="D407" s="2004" t="s">
        <v>1628</v>
      </c>
      <c r="E407" s="2004" t="s">
        <v>9194</v>
      </c>
      <c r="F407" s="2004" t="s">
        <v>11525</v>
      </c>
      <c r="G407" s="2004" t="s">
        <v>7929</v>
      </c>
      <c r="H407" s="2004" t="s">
        <v>11531</v>
      </c>
      <c r="I407" s="2004" t="s">
        <v>11532</v>
      </c>
      <c r="J407" s="2004" t="s">
        <v>9210</v>
      </c>
      <c r="K407" s="2004" t="s">
        <v>11533</v>
      </c>
      <c r="L407" s="2004"/>
      <c r="M407" s="2004"/>
      <c r="N407" s="2004" t="s">
        <v>9238</v>
      </c>
      <c r="O407" s="2004" t="s">
        <v>766</v>
      </c>
      <c r="P407" s="2004" t="s">
        <v>11534</v>
      </c>
      <c r="Q407" s="516">
        <v>0</v>
      </c>
      <c r="R407" s="2004" t="s">
        <v>9202</v>
      </c>
      <c r="S407" s="2004">
        <v>13</v>
      </c>
      <c r="T407" s="2004">
        <v>12</v>
      </c>
      <c r="U407" s="2004">
        <v>11</v>
      </c>
      <c r="V407" s="2004">
        <v>10</v>
      </c>
      <c r="W407" s="2004">
        <v>9</v>
      </c>
      <c r="X407" s="2004">
        <v>7</v>
      </c>
      <c r="Y407" s="2004"/>
      <c r="Z407" s="2004"/>
      <c r="AA407" s="2004"/>
      <c r="AB407" s="2004"/>
      <c r="AC407" s="2004"/>
      <c r="AD407" s="2004"/>
      <c r="AE407" s="2004" t="s">
        <v>2337</v>
      </c>
      <c r="AF407" s="2004"/>
      <c r="AG407" s="2004"/>
      <c r="AH407" s="2004">
        <v>0</v>
      </c>
      <c r="AI407" s="2004" t="s">
        <v>2337</v>
      </c>
      <c r="AJ407" s="2004" t="s">
        <v>2337</v>
      </c>
      <c r="AK407" s="2004" t="s">
        <v>2337</v>
      </c>
      <c r="AL407" s="2004" t="s">
        <v>2337</v>
      </c>
      <c r="AM407" s="2004" t="s">
        <v>2337</v>
      </c>
      <c r="AN407" s="2004">
        <v>15</v>
      </c>
      <c r="AO407" s="2004">
        <v>15</v>
      </c>
      <c r="AP407" s="2004">
        <v>15</v>
      </c>
      <c r="AQ407" s="2004">
        <v>15</v>
      </c>
      <c r="AR407" s="2004">
        <v>15</v>
      </c>
      <c r="AS407" s="2004">
        <v>12</v>
      </c>
      <c r="AT407" s="2004">
        <v>11</v>
      </c>
      <c r="AU407" s="2004">
        <v>10</v>
      </c>
      <c r="AV407" s="2004">
        <v>9</v>
      </c>
      <c r="AW407" s="2004">
        <v>7</v>
      </c>
      <c r="AX407" s="2004"/>
      <c r="AY407" s="2004"/>
      <c r="AZ407" s="2004"/>
      <c r="BA407" s="2004"/>
      <c r="BB407" s="2004"/>
      <c r="BC407" s="2004"/>
      <c r="BD407" s="2004"/>
      <c r="BE407" s="2004"/>
      <c r="BF407" s="2004"/>
      <c r="BG407" s="2004"/>
      <c r="BH407" s="2004">
        <v>0.14899999999999999</v>
      </c>
      <c r="BI407" s="2004"/>
      <c r="BJ407" s="2004"/>
      <c r="BK407" s="2004"/>
      <c r="BL407" s="2004"/>
      <c r="BM407" s="2004"/>
      <c r="BN407" s="2004">
        <v>1</v>
      </c>
      <c r="BO407" s="2004" t="s">
        <v>9203</v>
      </c>
      <c r="BP407" s="516">
        <v>27</v>
      </c>
      <c r="BQ407" s="689">
        <v>35</v>
      </c>
      <c r="BR407" s="2004" t="s">
        <v>2334</v>
      </c>
      <c r="BS407" s="2004" t="s">
        <v>9204</v>
      </c>
      <c r="BT407" s="2004">
        <v>0</v>
      </c>
      <c r="BU407" s="2004" t="s">
        <v>9254</v>
      </c>
      <c r="BV407" s="2004">
        <v>-0.44700000000000001</v>
      </c>
      <c r="BW407" s="2004">
        <v>22</v>
      </c>
      <c r="BX407" s="2004" t="s">
        <v>2334</v>
      </c>
      <c r="BY407" s="2004">
        <v>0</v>
      </c>
      <c r="BZ407" s="2004">
        <v>0</v>
      </c>
      <c r="CA407" s="2004" t="s">
        <v>9254</v>
      </c>
      <c r="CB407" s="2004">
        <v>-0.59599999999999997</v>
      </c>
      <c r="CC407" s="2004">
        <v>27</v>
      </c>
      <c r="CD407" s="2004" t="s">
        <v>2334</v>
      </c>
      <c r="CE407" s="2004">
        <v>0</v>
      </c>
      <c r="CF407" s="2004">
        <v>0</v>
      </c>
      <c r="CG407" s="2004" t="s">
        <v>2336</v>
      </c>
      <c r="CH407" s="2004">
        <v>-0.745</v>
      </c>
      <c r="CI407" s="2004">
        <v>6</v>
      </c>
      <c r="CJ407" s="2004" t="s">
        <v>2337</v>
      </c>
      <c r="CK407" s="2004">
        <v>0</v>
      </c>
      <c r="CL407" s="2004">
        <v>0</v>
      </c>
      <c r="CM407" s="2004">
        <v>0</v>
      </c>
      <c r="CN407" s="2004">
        <v>0</v>
      </c>
      <c r="CP407" s="2004" t="s">
        <v>11535</v>
      </c>
    </row>
    <row r="408" spans="1:94">
      <c r="A408" s="2004" t="s">
        <v>11523</v>
      </c>
      <c r="B408" s="2004" t="s">
        <v>11536</v>
      </c>
      <c r="C408" s="2004" t="s">
        <v>9047</v>
      </c>
      <c r="D408" s="2004" t="s">
        <v>1628</v>
      </c>
      <c r="E408" s="2004" t="s">
        <v>9194</v>
      </c>
      <c r="F408" s="2004" t="s">
        <v>11525</v>
      </c>
      <c r="G408" s="2004" t="s">
        <v>8928</v>
      </c>
      <c r="H408" s="2004" t="s">
        <v>11537</v>
      </c>
      <c r="I408" s="2004" t="s">
        <v>11538</v>
      </c>
      <c r="J408" s="2004" t="s">
        <v>9199</v>
      </c>
      <c r="K408" s="2004" t="s">
        <v>11533</v>
      </c>
      <c r="L408" s="2004"/>
      <c r="M408" s="2004" t="s">
        <v>2334</v>
      </c>
      <c r="N408" s="2004" t="s">
        <v>9238</v>
      </c>
      <c r="O408" s="2004" t="s">
        <v>9282</v>
      </c>
      <c r="P408" s="2004" t="s">
        <v>11539</v>
      </c>
      <c r="Q408" s="516">
        <v>3</v>
      </c>
      <c r="R408" s="2004" t="s">
        <v>9240</v>
      </c>
      <c r="S408" s="2004">
        <v>107.2</v>
      </c>
      <c r="T408" s="2004">
        <v>119.3</v>
      </c>
      <c r="U408" s="2004">
        <v>130.30000000000001</v>
      </c>
      <c r="V408" s="2004">
        <v>145.9</v>
      </c>
      <c r="W408" s="2004">
        <v>145.9</v>
      </c>
      <c r="X408" s="2004">
        <v>145.9</v>
      </c>
      <c r="Y408" s="2004" t="s">
        <v>2337</v>
      </c>
      <c r="Z408" s="2004" t="s">
        <v>2337</v>
      </c>
      <c r="AA408" s="2004"/>
      <c r="AB408" s="2004"/>
      <c r="AC408" s="2004"/>
      <c r="AD408" s="2004"/>
      <c r="AE408" s="2004" t="s">
        <v>2337</v>
      </c>
      <c r="AF408" s="2004"/>
      <c r="AG408" s="2004"/>
      <c r="AH408" s="2004">
        <v>6</v>
      </c>
      <c r="AI408" s="2004" t="s">
        <v>2337</v>
      </c>
      <c r="AJ408" s="2004" t="s">
        <v>2337</v>
      </c>
      <c r="AK408" s="2004" t="s">
        <v>2337</v>
      </c>
      <c r="AL408" s="2004" t="s">
        <v>2337</v>
      </c>
      <c r="AM408" s="2004" t="s">
        <v>2337</v>
      </c>
      <c r="AN408" s="2004">
        <v>114.6</v>
      </c>
      <c r="AO408" s="2004">
        <v>125.6</v>
      </c>
      <c r="AP408" s="2004">
        <v>141.19999999999999</v>
      </c>
      <c r="AQ408" s="2004">
        <v>141.19999999999999</v>
      </c>
      <c r="AR408" s="2004">
        <v>141.19999999999999</v>
      </c>
      <c r="AS408" s="2004">
        <v>119.3</v>
      </c>
      <c r="AT408" s="2004">
        <v>130.30000000000001</v>
      </c>
      <c r="AU408" s="2004">
        <v>145.9</v>
      </c>
      <c r="AV408" s="2004">
        <v>145.9</v>
      </c>
      <c r="AW408" s="2004">
        <v>145.9</v>
      </c>
      <c r="AX408" s="2004">
        <v>119.3</v>
      </c>
      <c r="AY408" s="2004">
        <v>130.30000000000001</v>
      </c>
      <c r="AZ408" s="2004">
        <v>145.9</v>
      </c>
      <c r="BA408" s="2004">
        <v>145.9</v>
      </c>
      <c r="BB408" s="2004">
        <v>145.9</v>
      </c>
      <c r="BC408" s="2004">
        <v>124</v>
      </c>
      <c r="BD408" s="2004">
        <v>135</v>
      </c>
      <c r="BE408" s="2004">
        <v>150.6</v>
      </c>
      <c r="BF408" s="2004">
        <v>150.6</v>
      </c>
      <c r="BG408" s="2004">
        <v>150.6</v>
      </c>
      <c r="BH408" s="2004">
        <v>0.77</v>
      </c>
      <c r="BI408" s="2004"/>
      <c r="BJ408" s="2004"/>
      <c r="BK408" s="2004"/>
      <c r="BL408" s="2004">
        <v>0.41699999999999998</v>
      </c>
      <c r="BM408" s="2004"/>
      <c r="BN408" s="2004">
        <v>1</v>
      </c>
      <c r="BO408" s="2004" t="s">
        <v>9203</v>
      </c>
      <c r="BP408" s="516">
        <v>108.36412797124429</v>
      </c>
      <c r="BQ408" s="700">
        <v>120.4653572103465</v>
      </c>
      <c r="BR408" s="2004" t="s">
        <v>2337</v>
      </c>
      <c r="BS408" s="2004" t="s">
        <v>9204</v>
      </c>
      <c r="BT408" s="2004">
        <v>0</v>
      </c>
      <c r="BU408" s="2004" t="s">
        <v>2339</v>
      </c>
      <c r="BV408" s="2004">
        <v>0.22684099999999999</v>
      </c>
      <c r="BW408" s="2004">
        <v>116.923</v>
      </c>
      <c r="BX408" s="2004" t="s">
        <v>2334</v>
      </c>
      <c r="BY408" s="2004">
        <v>0</v>
      </c>
      <c r="BZ408" s="2004">
        <v>0</v>
      </c>
      <c r="CA408" s="2004" t="s">
        <v>9254</v>
      </c>
      <c r="CB408" s="2004">
        <v>-3.6190000000000024</v>
      </c>
      <c r="CC408" s="2004">
        <v>98.645494378014845</v>
      </c>
      <c r="CD408" s="2004" t="s">
        <v>2334</v>
      </c>
      <c r="CE408" s="2004">
        <v>0</v>
      </c>
      <c r="CF408" s="2004">
        <v>0</v>
      </c>
      <c r="CG408" s="2004" t="s">
        <v>2336</v>
      </c>
      <c r="CH408" s="2004">
        <v>-3.6190000000000024</v>
      </c>
      <c r="CI408" s="2004">
        <v>101.182</v>
      </c>
      <c r="CJ408" s="2004" t="s">
        <v>2334</v>
      </c>
      <c r="CK408" s="2004">
        <v>0</v>
      </c>
      <c r="CL408" s="2004">
        <v>0</v>
      </c>
      <c r="CM408" s="2004" t="s">
        <v>2336</v>
      </c>
      <c r="CN408" s="2004">
        <v>-3.6190000000000002</v>
      </c>
      <c r="CP408" s="2004" t="s">
        <v>11540</v>
      </c>
    </row>
    <row r="409" spans="1:94">
      <c r="A409" s="2004" t="s">
        <v>11523</v>
      </c>
      <c r="B409" s="2004" t="s">
        <v>11541</v>
      </c>
      <c r="C409" s="2004" t="s">
        <v>9047</v>
      </c>
      <c r="D409" s="2004" t="s">
        <v>1628</v>
      </c>
      <c r="E409" s="2004" t="s">
        <v>9194</v>
      </c>
      <c r="F409" s="2004" t="s">
        <v>11542</v>
      </c>
      <c r="G409" s="2004" t="s">
        <v>7930</v>
      </c>
      <c r="H409" s="2004" t="s">
        <v>11543</v>
      </c>
      <c r="I409" s="2004" t="s">
        <v>11544</v>
      </c>
      <c r="J409" s="2004" t="s">
        <v>9199</v>
      </c>
      <c r="K409" s="2004" t="s">
        <v>11533</v>
      </c>
      <c r="L409" s="2004"/>
      <c r="M409" s="2004" t="s">
        <v>2334</v>
      </c>
      <c r="N409" s="2004" t="s">
        <v>2951</v>
      </c>
      <c r="O409" s="2004" t="s">
        <v>9298</v>
      </c>
      <c r="P409" s="2004" t="s">
        <v>11545</v>
      </c>
      <c r="Q409" s="516" t="s">
        <v>9794</v>
      </c>
      <c r="R409" s="2004" t="s">
        <v>9202</v>
      </c>
      <c r="S409" s="2004">
        <v>0.75</v>
      </c>
      <c r="T409" s="2004">
        <v>0.66666666666666663</v>
      </c>
      <c r="U409" s="2004">
        <v>0.58333333333333337</v>
      </c>
      <c r="V409" s="2004">
        <v>0.5</v>
      </c>
      <c r="W409" s="2004">
        <v>0.5</v>
      </c>
      <c r="X409" s="2004">
        <v>0.5</v>
      </c>
      <c r="Y409" s="2004"/>
      <c r="Z409" s="2004"/>
      <c r="AA409" s="2004" t="s">
        <v>2337</v>
      </c>
      <c r="AB409" s="2004"/>
      <c r="AC409" s="2004"/>
      <c r="AD409" s="2004"/>
      <c r="AE409" s="2004" t="s">
        <v>2337</v>
      </c>
      <c r="AF409" s="2004"/>
      <c r="AG409" s="2004"/>
      <c r="AH409" s="2004">
        <v>0</v>
      </c>
      <c r="AI409" s="2004" t="s">
        <v>2337</v>
      </c>
      <c r="AJ409" s="2004" t="s">
        <v>2337</v>
      </c>
      <c r="AK409" s="2004" t="s">
        <v>2337</v>
      </c>
      <c r="AL409" s="2004" t="s">
        <v>2337</v>
      </c>
      <c r="AM409" s="2004" t="s">
        <v>2337</v>
      </c>
      <c r="AN409" s="2004">
        <v>0.83333333333333337</v>
      </c>
      <c r="AO409" s="2004">
        <v>0.83333333333333337</v>
      </c>
      <c r="AP409" s="2004">
        <v>0.58333333333333337</v>
      </c>
      <c r="AQ409" s="2004">
        <v>0.58333333333333337</v>
      </c>
      <c r="AR409" s="2004">
        <v>0.58333333333333337</v>
      </c>
      <c r="AS409" s="2004">
        <v>0.75</v>
      </c>
      <c r="AT409" s="2004">
        <v>0.75</v>
      </c>
      <c r="AU409" s="2004">
        <v>0.5</v>
      </c>
      <c r="AV409" s="2004">
        <v>0.5</v>
      </c>
      <c r="AW409" s="2004">
        <v>0.5</v>
      </c>
      <c r="AX409" s="2004">
        <v>0.5</v>
      </c>
      <c r="AY409" s="2004">
        <v>0.5</v>
      </c>
      <c r="AZ409" s="2004">
        <v>0.5</v>
      </c>
      <c r="BA409" s="2004">
        <v>0.5</v>
      </c>
      <c r="BB409" s="2004">
        <v>0.5</v>
      </c>
      <c r="BC409" s="2004">
        <v>0.375</v>
      </c>
      <c r="BD409" s="2004">
        <v>0.375</v>
      </c>
      <c r="BE409" s="2004">
        <v>0.375</v>
      </c>
      <c r="BF409" s="2004">
        <v>0.375</v>
      </c>
      <c r="BG409" s="2004">
        <v>0.375</v>
      </c>
      <c r="BH409" s="2004">
        <v>5.1840000000000002</v>
      </c>
      <c r="BI409" s="2004"/>
      <c r="BJ409" s="2004"/>
      <c r="BK409" s="2004"/>
      <c r="BL409" s="2004">
        <v>3.9780000000000002</v>
      </c>
      <c r="BM409" s="2004"/>
      <c r="BN409" s="2004">
        <v>1</v>
      </c>
      <c r="BO409" s="2004" t="s">
        <v>9203</v>
      </c>
      <c r="BP409" s="516" t="s">
        <v>11546</v>
      </c>
      <c r="BQ409" s="699" t="s">
        <v>11547</v>
      </c>
      <c r="BR409" s="2004" t="s">
        <v>2334</v>
      </c>
      <c r="BS409" s="2004" t="s">
        <v>9204</v>
      </c>
      <c r="BT409" s="2004">
        <v>0</v>
      </c>
      <c r="BU409" s="2004" t="s">
        <v>9120</v>
      </c>
      <c r="BV409" s="2004">
        <v>0</v>
      </c>
      <c r="BW409" s="1643" t="s">
        <v>11548</v>
      </c>
      <c r="BX409" s="2004" t="s">
        <v>2337</v>
      </c>
      <c r="BY409" s="2004">
        <v>0</v>
      </c>
      <c r="BZ409" s="2004">
        <v>0</v>
      </c>
      <c r="CA409" s="2004" t="s">
        <v>9074</v>
      </c>
      <c r="CB409" s="2004">
        <v>0</v>
      </c>
      <c r="CC409" s="2004">
        <v>0.54791666666666672</v>
      </c>
      <c r="CD409" s="2004" t="s">
        <v>2334</v>
      </c>
      <c r="CE409" s="2004">
        <v>0</v>
      </c>
      <c r="CF409" s="2004">
        <v>0</v>
      </c>
      <c r="CG409" s="2004" t="s">
        <v>2336</v>
      </c>
      <c r="CH409" s="2004">
        <v>-5.9616000000000025</v>
      </c>
      <c r="CI409" s="2004">
        <v>0.38194444444444442</v>
      </c>
      <c r="CJ409" s="2004" t="s">
        <v>2337</v>
      </c>
      <c r="CK409" s="2004">
        <v>0</v>
      </c>
      <c r="CL409" s="2004">
        <v>0</v>
      </c>
      <c r="CM409" s="2004" t="s">
        <v>2339</v>
      </c>
      <c r="CN409" s="2004">
        <v>11.2577</v>
      </c>
      <c r="CP409" s="2004" t="s">
        <v>11549</v>
      </c>
    </row>
    <row r="410" spans="1:94">
      <c r="A410" s="2004" t="s">
        <v>11523</v>
      </c>
      <c r="B410" s="2004" t="s">
        <v>11550</v>
      </c>
      <c r="C410" s="2004" t="s">
        <v>9047</v>
      </c>
      <c r="D410" s="2004" t="s">
        <v>1628</v>
      </c>
      <c r="E410" s="2004" t="s">
        <v>9194</v>
      </c>
      <c r="F410" s="2004" t="s">
        <v>11542</v>
      </c>
      <c r="G410" s="2004" t="s">
        <v>7931</v>
      </c>
      <c r="H410" s="2004" t="s">
        <v>11551</v>
      </c>
      <c r="I410" s="2004" t="s">
        <v>11552</v>
      </c>
      <c r="J410" s="2004" t="s">
        <v>9199</v>
      </c>
      <c r="K410" s="2004" t="s">
        <v>11533</v>
      </c>
      <c r="L410" s="2004"/>
      <c r="M410" s="2004"/>
      <c r="N410" s="2004" t="s">
        <v>9260</v>
      </c>
      <c r="O410" s="2004" t="s">
        <v>9282</v>
      </c>
      <c r="P410" s="2004" t="s">
        <v>11553</v>
      </c>
      <c r="Q410" s="516">
        <v>3</v>
      </c>
      <c r="R410" s="2004" t="s">
        <v>9240</v>
      </c>
      <c r="S410" s="2004">
        <v>100</v>
      </c>
      <c r="T410" s="2004">
        <v>100</v>
      </c>
      <c r="U410" s="2004">
        <v>100</v>
      </c>
      <c r="V410" s="2004">
        <v>100</v>
      </c>
      <c r="W410" s="2004">
        <v>100</v>
      </c>
      <c r="X410" s="2004">
        <v>100</v>
      </c>
      <c r="Y410" s="2004"/>
      <c r="Z410" s="2004"/>
      <c r="AA410" s="2004"/>
      <c r="AB410" s="2004"/>
      <c r="AC410" s="2004"/>
      <c r="AD410" s="2004"/>
      <c r="AE410" s="2004" t="s">
        <v>2337</v>
      </c>
      <c r="AF410" s="2004"/>
      <c r="AG410" s="2004"/>
      <c r="AH410" s="2004">
        <v>4</v>
      </c>
      <c r="AI410" s="2004" t="s">
        <v>2337</v>
      </c>
      <c r="AJ410" s="2004" t="s">
        <v>2337</v>
      </c>
      <c r="AK410" s="2004" t="s">
        <v>2337</v>
      </c>
      <c r="AL410" s="2004" t="s">
        <v>2337</v>
      </c>
      <c r="AM410" s="2004" t="s">
        <v>2337</v>
      </c>
      <c r="AN410" s="2004">
        <v>94</v>
      </c>
      <c r="AO410" s="2004">
        <v>94.5</v>
      </c>
      <c r="AP410" s="2004">
        <v>95</v>
      </c>
      <c r="AQ410" s="2004">
        <v>95.5</v>
      </c>
      <c r="AR410" s="2004">
        <v>96</v>
      </c>
      <c r="AS410" s="2004">
        <v>95</v>
      </c>
      <c r="AT410" s="2004">
        <v>95.5</v>
      </c>
      <c r="AU410" s="2004">
        <v>96</v>
      </c>
      <c r="AV410" s="2004">
        <v>96.5</v>
      </c>
      <c r="AW410" s="2004">
        <v>97</v>
      </c>
      <c r="AX410" s="2004">
        <v>103</v>
      </c>
      <c r="AY410" s="2004">
        <v>103</v>
      </c>
      <c r="AZ410" s="2004">
        <v>103</v>
      </c>
      <c r="BA410" s="2004">
        <v>103</v>
      </c>
      <c r="BB410" s="2004">
        <v>103</v>
      </c>
      <c r="BC410" s="2004">
        <v>104</v>
      </c>
      <c r="BD410" s="2004">
        <v>104</v>
      </c>
      <c r="BE410" s="2004">
        <v>104</v>
      </c>
      <c r="BF410" s="2004">
        <v>104</v>
      </c>
      <c r="BG410" s="2004">
        <v>104</v>
      </c>
      <c r="BH410" s="2004">
        <v>7.9740000000000002</v>
      </c>
      <c r="BI410" s="2004"/>
      <c r="BJ410" s="2004"/>
      <c r="BK410" s="2004"/>
      <c r="BL410" s="2004">
        <v>5.97</v>
      </c>
      <c r="BM410" s="2004"/>
      <c r="BN410" s="2004">
        <v>1</v>
      </c>
      <c r="BO410" s="2004" t="s">
        <v>9203</v>
      </c>
      <c r="BP410" s="516">
        <v>100.32067918166143</v>
      </c>
      <c r="BQ410" s="700">
        <v>16.447259218333841</v>
      </c>
      <c r="BR410" s="2004" t="s">
        <v>2334</v>
      </c>
      <c r="BS410" s="2004" t="s">
        <v>9204</v>
      </c>
      <c r="BT410" s="2004">
        <v>0</v>
      </c>
      <c r="BU410" s="2004" t="s">
        <v>9254</v>
      </c>
      <c r="BV410" s="2004">
        <v>-7.9740000000000002</v>
      </c>
      <c r="BW410" s="2004">
        <v>77.84</v>
      </c>
      <c r="BX410" s="2004" t="s">
        <v>2334</v>
      </c>
      <c r="BY410" s="2004">
        <v>0</v>
      </c>
      <c r="BZ410" s="2004">
        <v>0</v>
      </c>
      <c r="CA410" s="2004" t="s">
        <v>9254</v>
      </c>
      <c r="CB410" s="2004">
        <v>-7.9740000000000002</v>
      </c>
      <c r="CC410" s="2004">
        <v>70.826999999999998</v>
      </c>
      <c r="CD410" s="2004" t="s">
        <v>2334</v>
      </c>
      <c r="CE410" s="2004">
        <v>0</v>
      </c>
      <c r="CF410" s="2004">
        <v>0</v>
      </c>
      <c r="CG410" s="2004" t="s">
        <v>2336</v>
      </c>
      <c r="CH410" s="2004">
        <v>-7.9740000000000002</v>
      </c>
      <c r="CI410" s="2004">
        <v>98.456999999999994</v>
      </c>
      <c r="CJ410" s="2004" t="s">
        <v>2334</v>
      </c>
      <c r="CK410" s="2004">
        <v>0</v>
      </c>
      <c r="CL410" s="2004">
        <v>0</v>
      </c>
      <c r="CM410" s="2004" t="s">
        <v>2340</v>
      </c>
      <c r="CN410" s="2004">
        <v>0</v>
      </c>
      <c r="CP410" s="2004" t="s">
        <v>11554</v>
      </c>
    </row>
    <row r="411" spans="1:94">
      <c r="A411" s="2004" t="s">
        <v>11523</v>
      </c>
      <c r="B411" s="2004" t="s">
        <v>11555</v>
      </c>
      <c r="C411" s="2004" t="s">
        <v>9047</v>
      </c>
      <c r="D411" s="2004" t="s">
        <v>1628</v>
      </c>
      <c r="E411" s="2004" t="s">
        <v>9194</v>
      </c>
      <c r="F411" s="2004" t="s">
        <v>11542</v>
      </c>
      <c r="G411" s="2004" t="s">
        <v>3020</v>
      </c>
      <c r="H411" s="2004" t="s">
        <v>11556</v>
      </c>
      <c r="I411" s="2004" t="s">
        <v>11557</v>
      </c>
      <c r="J411" s="2004" t="s">
        <v>9210</v>
      </c>
      <c r="K411" s="2004" t="s">
        <v>11533</v>
      </c>
      <c r="L411" s="2004"/>
      <c r="M411" s="2004"/>
      <c r="N411" s="2004" t="s">
        <v>9218</v>
      </c>
      <c r="O411" s="2004" t="s">
        <v>9282</v>
      </c>
      <c r="P411" s="2004" t="s">
        <v>9334</v>
      </c>
      <c r="Q411" s="516">
        <v>3</v>
      </c>
      <c r="R411" s="2004" t="s">
        <v>9240</v>
      </c>
      <c r="S411" s="2004">
        <v>100</v>
      </c>
      <c r="T411" s="2004">
        <v>100</v>
      </c>
      <c r="U411" s="2004">
        <v>100</v>
      </c>
      <c r="V411" s="2004">
        <v>100</v>
      </c>
      <c r="W411" s="2004">
        <v>100</v>
      </c>
      <c r="X411" s="2004">
        <v>100</v>
      </c>
      <c r="Y411" s="2004"/>
      <c r="Z411" s="2004"/>
      <c r="AA411" s="2004"/>
      <c r="AB411" s="2004"/>
      <c r="AC411" s="2004"/>
      <c r="AD411" s="2004"/>
      <c r="AE411" s="2004"/>
      <c r="AF411" s="2004"/>
      <c r="AG411" s="2004"/>
      <c r="AH411" s="2004">
        <v>0</v>
      </c>
      <c r="AI411" s="2004" t="s">
        <v>2337</v>
      </c>
      <c r="AJ411" s="2004" t="s">
        <v>2337</v>
      </c>
      <c r="AK411" s="2004" t="s">
        <v>2337</v>
      </c>
      <c r="AL411" s="2004" t="s">
        <v>2337</v>
      </c>
      <c r="AM411" s="2004" t="s">
        <v>2337</v>
      </c>
      <c r="AN411" s="2004">
        <v>96</v>
      </c>
      <c r="AO411" s="2004">
        <v>96</v>
      </c>
      <c r="AP411" s="2004">
        <v>96</v>
      </c>
      <c r="AQ411" s="2004">
        <v>96</v>
      </c>
      <c r="AR411" s="2004">
        <v>96</v>
      </c>
      <c r="AS411" s="2004">
        <v>100</v>
      </c>
      <c r="AT411" s="2004">
        <v>100</v>
      </c>
      <c r="AU411" s="2004">
        <v>100</v>
      </c>
      <c r="AV411" s="2004">
        <v>100</v>
      </c>
      <c r="AW411" s="2004">
        <v>100</v>
      </c>
      <c r="AX411" s="2004"/>
      <c r="AY411" s="2004"/>
      <c r="AZ411" s="2004"/>
      <c r="BA411" s="2004"/>
      <c r="BB411" s="2004"/>
      <c r="BC411" s="2004"/>
      <c r="BD411" s="2004"/>
      <c r="BE411" s="2004"/>
      <c r="BF411" s="2004"/>
      <c r="BG411" s="2004"/>
      <c r="BH411" s="2004">
        <v>3.33</v>
      </c>
      <c r="BI411" s="2004"/>
      <c r="BJ411" s="2004"/>
      <c r="BK411" s="2004"/>
      <c r="BL411" s="2004"/>
      <c r="BM411" s="2004"/>
      <c r="BN411" s="2004">
        <v>1</v>
      </c>
      <c r="BO411" s="2004" t="s">
        <v>9203</v>
      </c>
      <c r="BP411" s="516">
        <v>100</v>
      </c>
      <c r="BQ411" s="700">
        <v>100</v>
      </c>
      <c r="BR411" s="2004" t="s">
        <v>2337</v>
      </c>
      <c r="BS411" s="2004" t="s">
        <v>9204</v>
      </c>
      <c r="BT411" s="2004">
        <v>0</v>
      </c>
      <c r="BU411" s="2004" t="s">
        <v>9204</v>
      </c>
      <c r="BV411" s="2004">
        <v>0</v>
      </c>
      <c r="BW411" s="2004">
        <v>100</v>
      </c>
      <c r="BX411" s="2004" t="s">
        <v>2337</v>
      </c>
      <c r="BY411" s="2004">
        <v>0</v>
      </c>
      <c r="BZ411" s="2004">
        <v>0</v>
      </c>
      <c r="CA411" s="2004">
        <v>0</v>
      </c>
      <c r="CB411" s="2004">
        <v>0</v>
      </c>
      <c r="CC411" s="2004">
        <v>100</v>
      </c>
      <c r="CD411" s="2004" t="s">
        <v>2337</v>
      </c>
      <c r="CE411" s="2004">
        <v>0</v>
      </c>
      <c r="CF411" s="2004">
        <v>0</v>
      </c>
      <c r="CG411" s="2004">
        <v>0</v>
      </c>
      <c r="CH411" s="2004">
        <v>0</v>
      </c>
      <c r="CI411" s="2004">
        <v>100</v>
      </c>
      <c r="CJ411" s="2004" t="s">
        <v>2337</v>
      </c>
      <c r="CK411" s="2004">
        <v>0</v>
      </c>
      <c r="CL411" s="2004">
        <v>0</v>
      </c>
      <c r="CM411" s="2004">
        <v>0</v>
      </c>
      <c r="CN411" s="2004">
        <v>0</v>
      </c>
      <c r="CP411" s="2004" t="s">
        <v>11558</v>
      </c>
    </row>
    <row r="412" spans="1:94">
      <c r="A412" s="2004" t="s">
        <v>11523</v>
      </c>
      <c r="B412" s="2004" t="s">
        <v>11559</v>
      </c>
      <c r="C412" s="2004" t="s">
        <v>9047</v>
      </c>
      <c r="D412" s="2004" t="s">
        <v>1628</v>
      </c>
      <c r="E412" s="2004" t="s">
        <v>9194</v>
      </c>
      <c r="F412" s="2004" t="s">
        <v>11542</v>
      </c>
      <c r="G412" s="2004" t="s">
        <v>9709</v>
      </c>
      <c r="H412" s="2004" t="s">
        <v>11560</v>
      </c>
      <c r="I412" s="2004" t="s">
        <v>11561</v>
      </c>
      <c r="J412" s="2004" t="s">
        <v>9199</v>
      </c>
      <c r="K412" s="2004" t="s">
        <v>11533</v>
      </c>
      <c r="L412" s="2004"/>
      <c r="M412" s="2004"/>
      <c r="N412" s="2004" t="s">
        <v>2927</v>
      </c>
      <c r="O412" s="2004" t="s">
        <v>766</v>
      </c>
      <c r="P412" s="2004" t="s">
        <v>11562</v>
      </c>
      <c r="Q412" s="516">
        <v>2</v>
      </c>
      <c r="R412" s="2004" t="s">
        <v>9240</v>
      </c>
      <c r="S412" s="2004">
        <v>0</v>
      </c>
      <c r="T412" s="2004">
        <v>0</v>
      </c>
      <c r="U412" s="2004">
        <v>0</v>
      </c>
      <c r="V412" s="2004">
        <v>0</v>
      </c>
      <c r="W412" s="2004">
        <v>0</v>
      </c>
      <c r="X412" s="2004">
        <v>0</v>
      </c>
      <c r="Y412" s="2004"/>
      <c r="Z412" s="2004"/>
      <c r="AA412" s="2004"/>
      <c r="AB412" s="2004"/>
      <c r="AC412" s="2004"/>
      <c r="AD412" s="2004"/>
      <c r="AE412" s="2004" t="s">
        <v>2337</v>
      </c>
      <c r="AF412" s="2004"/>
      <c r="AG412" s="2004"/>
      <c r="AH412" s="2004">
        <v>0</v>
      </c>
      <c r="AI412" s="2004" t="s">
        <v>2337</v>
      </c>
      <c r="AJ412" s="2004" t="s">
        <v>2337</v>
      </c>
      <c r="AK412" s="2004" t="s">
        <v>2337</v>
      </c>
      <c r="AL412" s="2004" t="s">
        <v>2337</v>
      </c>
      <c r="AM412" s="2004" t="s">
        <v>2337</v>
      </c>
      <c r="AN412" s="2004">
        <v>-30</v>
      </c>
      <c r="AO412" s="2004">
        <v>-30</v>
      </c>
      <c r="AP412" s="2004">
        <v>-30</v>
      </c>
      <c r="AQ412" s="2004">
        <v>-30</v>
      </c>
      <c r="AR412" s="2004">
        <v>-30</v>
      </c>
      <c r="AS412" s="2004">
        <v>0</v>
      </c>
      <c r="AT412" s="2004">
        <v>0</v>
      </c>
      <c r="AU412" s="2004">
        <v>0</v>
      </c>
      <c r="AV412" s="2004">
        <v>0</v>
      </c>
      <c r="AW412" s="2004">
        <v>0</v>
      </c>
      <c r="AX412" s="2004">
        <v>11.2</v>
      </c>
      <c r="AY412" s="2004">
        <v>11.2</v>
      </c>
      <c r="AZ412" s="2004">
        <v>11.2</v>
      </c>
      <c r="BA412" s="2004">
        <v>11.2</v>
      </c>
      <c r="BB412" s="2004">
        <v>11.2</v>
      </c>
      <c r="BC412" s="2004">
        <v>30</v>
      </c>
      <c r="BD412" s="2004">
        <v>30</v>
      </c>
      <c r="BE412" s="2004">
        <v>30</v>
      </c>
      <c r="BF412" s="2004">
        <v>30</v>
      </c>
      <c r="BG412" s="2004">
        <v>30</v>
      </c>
      <c r="BH412" s="2004">
        <v>1.458</v>
      </c>
      <c r="BI412" s="2004"/>
      <c r="BJ412" s="2004"/>
      <c r="BK412" s="2004"/>
      <c r="BL412" s="2004">
        <v>0.748</v>
      </c>
      <c r="BM412" s="2004"/>
      <c r="BN412" s="2004">
        <v>1</v>
      </c>
      <c r="BO412" s="2004" t="s">
        <v>9203</v>
      </c>
      <c r="BP412" s="516">
        <v>9.1</v>
      </c>
      <c r="BQ412" s="690">
        <v>10.8</v>
      </c>
      <c r="BR412" s="2004" t="s">
        <v>2337</v>
      </c>
      <c r="BS412" s="2004" t="s">
        <v>9204</v>
      </c>
      <c r="BT412" s="2004">
        <v>0</v>
      </c>
      <c r="BU412" s="2004" t="s">
        <v>9074</v>
      </c>
      <c r="BV412" s="2004">
        <v>0</v>
      </c>
      <c r="BW412" s="2004">
        <v>23.42980249</v>
      </c>
      <c r="BX412" s="2004" t="s">
        <v>2337</v>
      </c>
      <c r="BY412" s="2004">
        <v>0</v>
      </c>
      <c r="BZ412" s="2004">
        <v>0</v>
      </c>
      <c r="CA412" s="2004" t="s">
        <v>2339</v>
      </c>
      <c r="CB412" s="2004">
        <v>9.147892262520001</v>
      </c>
      <c r="CC412" s="2004">
        <v>9.1</v>
      </c>
      <c r="CD412" s="2004" t="s">
        <v>2337</v>
      </c>
      <c r="CE412" s="2004">
        <v>0</v>
      </c>
      <c r="CF412" s="2004">
        <v>0</v>
      </c>
      <c r="CG412" s="2004" t="s">
        <v>9074</v>
      </c>
      <c r="CH412" s="2004">
        <v>0</v>
      </c>
      <c r="CI412" s="2004">
        <v>6.7</v>
      </c>
      <c r="CJ412" s="2004" t="s">
        <v>2337</v>
      </c>
      <c r="CK412" s="2004">
        <v>0</v>
      </c>
      <c r="CL412" s="2004">
        <v>0</v>
      </c>
      <c r="CM412" s="2004" t="s">
        <v>9074</v>
      </c>
      <c r="CN412" s="2004">
        <v>0</v>
      </c>
      <c r="CP412" s="2004" t="s">
        <v>11563</v>
      </c>
    </row>
    <row r="413" spans="1:94">
      <c r="A413" s="2004" t="s">
        <v>11523</v>
      </c>
      <c r="B413" s="2004" t="s">
        <v>11564</v>
      </c>
      <c r="C413" s="2004" t="s">
        <v>9047</v>
      </c>
      <c r="D413" s="2004" t="s">
        <v>1628</v>
      </c>
      <c r="E413" s="2004" t="s">
        <v>9194</v>
      </c>
      <c r="F413" s="2004" t="s">
        <v>11542</v>
      </c>
      <c r="G413" s="2004" t="s">
        <v>10173</v>
      </c>
      <c r="H413" s="2004" t="s">
        <v>11565</v>
      </c>
      <c r="I413" s="2004" t="s">
        <v>11566</v>
      </c>
      <c r="J413" s="2004" t="s">
        <v>9210</v>
      </c>
      <c r="K413" s="2004" t="s">
        <v>11533</v>
      </c>
      <c r="L413" s="2004"/>
      <c r="M413" s="2004"/>
      <c r="N413" s="2004" t="s">
        <v>5533</v>
      </c>
      <c r="O413" s="2004" t="s">
        <v>766</v>
      </c>
      <c r="P413" s="2004" t="s">
        <v>11567</v>
      </c>
      <c r="Q413" s="516">
        <v>2</v>
      </c>
      <c r="R413" s="2004" t="s">
        <v>9240</v>
      </c>
      <c r="S413" s="2004">
        <v>152.51</v>
      </c>
      <c r="T413" s="2004">
        <v>161.19999999999999</v>
      </c>
      <c r="U413" s="2004">
        <v>163.21</v>
      </c>
      <c r="V413" s="2004">
        <v>164.44</v>
      </c>
      <c r="W413" s="2004">
        <v>164.87</v>
      </c>
      <c r="X413" s="2004">
        <v>165.27</v>
      </c>
      <c r="Y413" s="2004"/>
      <c r="Z413" s="2004"/>
      <c r="AA413" s="2004"/>
      <c r="AB413" s="2004"/>
      <c r="AC413" s="2004"/>
      <c r="AD413" s="2004"/>
      <c r="AE413" s="2004" t="s">
        <v>2337</v>
      </c>
      <c r="AF413" s="2004"/>
      <c r="AG413" s="2004"/>
      <c r="AH413" s="2004">
        <v>0</v>
      </c>
      <c r="AI413" s="2004" t="s">
        <v>2337</v>
      </c>
      <c r="AJ413" s="2004" t="s">
        <v>2337</v>
      </c>
      <c r="AK413" s="2004" t="s">
        <v>2337</v>
      </c>
      <c r="AL413" s="2004" t="s">
        <v>2337</v>
      </c>
      <c r="AM413" s="2004" t="s">
        <v>2337</v>
      </c>
      <c r="AN413" s="2004">
        <v>152.51</v>
      </c>
      <c r="AO413" s="2004">
        <v>152.51</v>
      </c>
      <c r="AP413" s="2004">
        <v>152.51</v>
      </c>
      <c r="AQ413" s="2004">
        <v>152.51</v>
      </c>
      <c r="AR413" s="2004">
        <v>152.51</v>
      </c>
      <c r="AS413" s="2004">
        <v>161.19999999999999</v>
      </c>
      <c r="AT413" s="2004">
        <v>163.21</v>
      </c>
      <c r="AU413" s="2004">
        <v>164.44</v>
      </c>
      <c r="AV413" s="2004">
        <v>164.87</v>
      </c>
      <c r="AW413" s="2004">
        <v>165.27</v>
      </c>
      <c r="AX413" s="2004"/>
      <c r="AY413" s="2004"/>
      <c r="AZ413" s="2004"/>
      <c r="BA413" s="2004"/>
      <c r="BB413" s="2004"/>
      <c r="BC413" s="2004"/>
      <c r="BD413" s="2004"/>
      <c r="BE413" s="2004"/>
      <c r="BF413" s="2004"/>
      <c r="BG413" s="2004"/>
      <c r="BH413" s="2004">
        <v>0.25</v>
      </c>
      <c r="BI413" s="2004"/>
      <c r="BJ413" s="2004"/>
      <c r="BK413" s="2004"/>
      <c r="BL413" s="2004"/>
      <c r="BM413" s="2004"/>
      <c r="BN413" s="2004">
        <v>1</v>
      </c>
      <c r="BO413" s="2004" t="s">
        <v>9203</v>
      </c>
      <c r="BP413" s="516">
        <v>152.51</v>
      </c>
      <c r="BQ413" s="690">
        <v>161.61000000000001</v>
      </c>
      <c r="BR413" s="2004" t="s">
        <v>2337</v>
      </c>
      <c r="BS413" s="2004" t="s">
        <v>9204</v>
      </c>
      <c r="BT413" s="2004">
        <v>0</v>
      </c>
      <c r="BU413" s="2004" t="s">
        <v>9204</v>
      </c>
      <c r="BV413" s="2004">
        <v>0</v>
      </c>
      <c r="BW413" s="2004">
        <v>164.25</v>
      </c>
      <c r="BX413" s="2004" t="s">
        <v>2337</v>
      </c>
      <c r="BY413" s="2004">
        <v>0</v>
      </c>
      <c r="BZ413" s="2004">
        <v>0</v>
      </c>
      <c r="CA413" s="2004">
        <v>0</v>
      </c>
      <c r="CB413" s="2004">
        <v>0</v>
      </c>
      <c r="CC413" s="2004">
        <v>165.42</v>
      </c>
      <c r="CD413" s="2004" t="s">
        <v>2337</v>
      </c>
      <c r="CE413" s="2004">
        <v>0</v>
      </c>
      <c r="CF413" s="2004">
        <v>0</v>
      </c>
      <c r="CG413" s="2004">
        <v>0</v>
      </c>
      <c r="CH413" s="2004">
        <v>0</v>
      </c>
      <c r="CI413" s="2004">
        <v>165.721</v>
      </c>
      <c r="CJ413" s="2004" t="s">
        <v>2337</v>
      </c>
      <c r="CK413" s="2004">
        <v>0</v>
      </c>
      <c r="CL413" s="2004">
        <v>0</v>
      </c>
      <c r="CM413" s="2004">
        <v>0</v>
      </c>
      <c r="CN413" s="2004">
        <v>0</v>
      </c>
      <c r="CP413" s="2004" t="s">
        <v>11568</v>
      </c>
    </row>
    <row r="414" spans="1:94">
      <c r="A414" s="2004" t="s">
        <v>11523</v>
      </c>
      <c r="B414" s="2004" t="s">
        <v>11569</v>
      </c>
      <c r="C414" s="2004" t="s">
        <v>9047</v>
      </c>
      <c r="D414" s="2004" t="s">
        <v>1628</v>
      </c>
      <c r="E414" s="2004" t="s">
        <v>9194</v>
      </c>
      <c r="F414" s="2004" t="s">
        <v>11542</v>
      </c>
      <c r="G414" s="2004" t="s">
        <v>10179</v>
      </c>
      <c r="H414" s="2004" t="s">
        <v>11570</v>
      </c>
      <c r="I414" s="2004" t="s">
        <v>11571</v>
      </c>
      <c r="J414" s="2004" t="s">
        <v>9199</v>
      </c>
      <c r="K414" s="2004" t="s">
        <v>11533</v>
      </c>
      <c r="L414" s="2004"/>
      <c r="M414" s="2004" t="s">
        <v>2334</v>
      </c>
      <c r="N414" s="2004" t="s">
        <v>9224</v>
      </c>
      <c r="O414" s="2004" t="s">
        <v>734</v>
      </c>
      <c r="P414" s="2004" t="s">
        <v>11572</v>
      </c>
      <c r="Q414" s="516">
        <v>0</v>
      </c>
      <c r="R414" s="2004" t="s">
        <v>9240</v>
      </c>
      <c r="S414" s="2004">
        <v>0</v>
      </c>
      <c r="T414" s="2004">
        <v>2</v>
      </c>
      <c r="U414" s="2004">
        <v>5</v>
      </c>
      <c r="V414" s="2004">
        <v>21</v>
      </c>
      <c r="W414" s="2004">
        <v>53</v>
      </c>
      <c r="X414" s="2004">
        <v>82</v>
      </c>
      <c r="Y414" s="2004"/>
      <c r="Z414" s="2004"/>
      <c r="AA414" s="2004"/>
      <c r="AB414" s="2004"/>
      <c r="AC414" s="2004"/>
      <c r="AD414" s="2004" t="s">
        <v>2337</v>
      </c>
      <c r="AE414" s="2004"/>
      <c r="AF414" s="2004" t="s">
        <v>2337</v>
      </c>
      <c r="AG414" s="2004" t="s">
        <v>2337</v>
      </c>
      <c r="AH414" s="2004">
        <v>0</v>
      </c>
      <c r="AI414" s="2004"/>
      <c r="AJ414" s="2004"/>
      <c r="AK414" s="2004"/>
      <c r="AL414" s="2004"/>
      <c r="AM414" s="2004" t="s">
        <v>2337</v>
      </c>
      <c r="AN414" s="2004">
        <v>2</v>
      </c>
      <c r="AO414" s="2004">
        <v>5</v>
      </c>
      <c r="AP414" s="2004">
        <v>21</v>
      </c>
      <c r="AQ414" s="2004">
        <v>53</v>
      </c>
      <c r="AR414" s="2004">
        <v>0</v>
      </c>
      <c r="AS414" s="2004">
        <v>2</v>
      </c>
      <c r="AT414" s="2004">
        <v>5</v>
      </c>
      <c r="AU414" s="2004">
        <v>21</v>
      </c>
      <c r="AV414" s="2004">
        <v>53</v>
      </c>
      <c r="AW414" s="2004">
        <v>82</v>
      </c>
      <c r="AX414" s="2004">
        <v>2</v>
      </c>
      <c r="AY414" s="2004">
        <v>5</v>
      </c>
      <c r="AZ414" s="2004">
        <v>21</v>
      </c>
      <c r="BA414" s="2004">
        <v>53</v>
      </c>
      <c r="BB414" s="2004">
        <v>82</v>
      </c>
      <c r="BC414" s="2004">
        <v>2</v>
      </c>
      <c r="BD414" s="2004">
        <v>5</v>
      </c>
      <c r="BE414" s="2004">
        <v>21</v>
      </c>
      <c r="BF414" s="2004">
        <v>53</v>
      </c>
      <c r="BG414" s="2004">
        <v>100</v>
      </c>
      <c r="BH414" s="2004">
        <v>2.34</v>
      </c>
      <c r="BI414" s="2004"/>
      <c r="BJ414" s="2004"/>
      <c r="BK414" s="2004"/>
      <c r="BL414" s="2004">
        <v>1.2709999999999999</v>
      </c>
      <c r="BM414" s="2004"/>
      <c r="BN414" s="2004">
        <v>1</v>
      </c>
      <c r="BO414" s="2004" t="s">
        <v>9203</v>
      </c>
      <c r="BP414" s="516">
        <v>0</v>
      </c>
      <c r="BQ414" s="689">
        <v>2</v>
      </c>
      <c r="BR414" s="2004" t="s">
        <v>2337</v>
      </c>
      <c r="BS414" s="2004" t="s">
        <v>9204</v>
      </c>
      <c r="BT414" s="2004">
        <v>0</v>
      </c>
      <c r="BU414" s="2004" t="s">
        <v>9204</v>
      </c>
      <c r="BV414" s="2004">
        <v>0</v>
      </c>
      <c r="BW414" s="2004">
        <v>5</v>
      </c>
      <c r="BX414" s="2004" t="s">
        <v>2337</v>
      </c>
      <c r="BY414" s="2004">
        <v>0</v>
      </c>
      <c r="BZ414" s="2004">
        <v>0</v>
      </c>
      <c r="CA414" s="2004">
        <v>0</v>
      </c>
      <c r="CB414" s="2004">
        <v>0</v>
      </c>
      <c r="CC414" s="2004">
        <v>24.7</v>
      </c>
      <c r="CD414" s="2004" t="s">
        <v>2337</v>
      </c>
      <c r="CE414" s="2004">
        <v>0</v>
      </c>
      <c r="CF414" s="2004">
        <v>0</v>
      </c>
      <c r="CG414" s="2004">
        <v>0</v>
      </c>
      <c r="CH414" s="2004">
        <v>0</v>
      </c>
      <c r="CI414" s="2004">
        <v>56.68</v>
      </c>
      <c r="CJ414" s="2004" t="s">
        <v>2337</v>
      </c>
      <c r="CK414" s="2004">
        <v>0</v>
      </c>
      <c r="CL414" s="2004">
        <v>0</v>
      </c>
      <c r="CM414" s="2004">
        <v>0</v>
      </c>
      <c r="CN414" s="2004">
        <v>0</v>
      </c>
      <c r="CP414" s="2004" t="s">
        <v>11573</v>
      </c>
    </row>
    <row r="415" spans="1:94">
      <c r="A415" s="2004" t="s">
        <v>11523</v>
      </c>
      <c r="B415" s="2004" t="s">
        <v>11574</v>
      </c>
      <c r="C415" s="2004" t="s">
        <v>9047</v>
      </c>
      <c r="D415" s="2004" t="s">
        <v>1628</v>
      </c>
      <c r="E415" s="2004" t="s">
        <v>9194</v>
      </c>
      <c r="F415" s="2004" t="s">
        <v>11575</v>
      </c>
      <c r="G415" s="2004" t="s">
        <v>8948</v>
      </c>
      <c r="H415" s="2004" t="s">
        <v>11576</v>
      </c>
      <c r="I415" s="2004" t="s">
        <v>11577</v>
      </c>
      <c r="J415" s="2004" t="s">
        <v>9199</v>
      </c>
      <c r="K415" s="2004" t="s">
        <v>11533</v>
      </c>
      <c r="L415" s="2004"/>
      <c r="M415" s="2004"/>
      <c r="N415" s="2004" t="s">
        <v>9364</v>
      </c>
      <c r="O415" s="2004" t="s">
        <v>766</v>
      </c>
      <c r="P415" s="2004" t="s">
        <v>11578</v>
      </c>
      <c r="Q415" s="516">
        <v>1</v>
      </c>
      <c r="R415" s="2004" t="s">
        <v>9240</v>
      </c>
      <c r="S415" s="2004">
        <v>50.4</v>
      </c>
      <c r="T415" s="2004">
        <v>0</v>
      </c>
      <c r="U415" s="2004">
        <v>6.6</v>
      </c>
      <c r="V415" s="2004">
        <v>6.6</v>
      </c>
      <c r="W415" s="2004">
        <v>6.6</v>
      </c>
      <c r="X415" s="2004">
        <v>159.5</v>
      </c>
      <c r="Y415" s="2004"/>
      <c r="Z415" s="2004"/>
      <c r="AA415" s="2004"/>
      <c r="AB415" s="2004"/>
      <c r="AC415" s="2004"/>
      <c r="AD415" s="2004"/>
      <c r="AE415" s="2004"/>
      <c r="AF415" s="2004" t="s">
        <v>2337</v>
      </c>
      <c r="AG415" s="2004" t="s">
        <v>2337</v>
      </c>
      <c r="AH415" s="2004">
        <v>0</v>
      </c>
      <c r="AI415" s="2004" t="s">
        <v>2337</v>
      </c>
      <c r="AJ415" s="2004" t="s">
        <v>2337</v>
      </c>
      <c r="AK415" s="2004" t="s">
        <v>2337</v>
      </c>
      <c r="AL415" s="2004" t="s">
        <v>2337</v>
      </c>
      <c r="AM415" s="2004" t="s">
        <v>2337</v>
      </c>
      <c r="AN415" s="2004">
        <v>-2</v>
      </c>
      <c r="AO415" s="2004">
        <v>-2</v>
      </c>
      <c r="AP415" s="2004">
        <v>-2</v>
      </c>
      <c r="AQ415" s="2004">
        <v>-2</v>
      </c>
      <c r="AR415" s="2004">
        <v>-2</v>
      </c>
      <c r="AS415" s="2004">
        <v>0</v>
      </c>
      <c r="AT415" s="2004">
        <v>6.6</v>
      </c>
      <c r="AU415" s="2004">
        <v>6.6</v>
      </c>
      <c r="AV415" s="2004">
        <v>6.6</v>
      </c>
      <c r="AW415" s="2004">
        <v>159.5</v>
      </c>
      <c r="AX415" s="2004">
        <v>0</v>
      </c>
      <c r="AY415" s="2004">
        <v>6.6</v>
      </c>
      <c r="AZ415" s="2004">
        <v>6.6</v>
      </c>
      <c r="BA415" s="2004">
        <v>6.6</v>
      </c>
      <c r="BB415" s="2004">
        <v>159.5</v>
      </c>
      <c r="BC415" s="2004">
        <v>2</v>
      </c>
      <c r="BD415" s="2004">
        <v>13.2</v>
      </c>
      <c r="BE415" s="2004">
        <v>13.2</v>
      </c>
      <c r="BF415" s="2004">
        <v>13.2</v>
      </c>
      <c r="BG415" s="2004">
        <v>234</v>
      </c>
      <c r="BH415" s="2004">
        <v>0.111</v>
      </c>
      <c r="BI415" s="2004"/>
      <c r="BJ415" s="2004"/>
      <c r="BK415" s="2004"/>
      <c r="BL415" s="2004">
        <v>2.8000000000000001E-2</v>
      </c>
      <c r="BM415" s="2004"/>
      <c r="BN415" s="2004">
        <v>1</v>
      </c>
      <c r="BO415" s="2004" t="s">
        <v>9203</v>
      </c>
      <c r="BP415" s="516">
        <v>0</v>
      </c>
      <c r="BQ415" s="686">
        <v>36.840000000000003</v>
      </c>
      <c r="BR415" s="2004" t="s">
        <v>2337</v>
      </c>
      <c r="BS415" s="2004" t="s">
        <v>9204</v>
      </c>
      <c r="BT415" s="2004">
        <v>0</v>
      </c>
      <c r="BU415" s="2004" t="s">
        <v>2339</v>
      </c>
      <c r="BV415" s="2004">
        <v>5.6000000000000001E-2</v>
      </c>
      <c r="BW415" s="2004">
        <v>82.55</v>
      </c>
      <c r="BX415" s="2004" t="s">
        <v>2337</v>
      </c>
      <c r="BY415" s="2004">
        <v>0</v>
      </c>
      <c r="BZ415" s="2004">
        <v>0</v>
      </c>
      <c r="CA415" s="2004" t="s">
        <v>2339</v>
      </c>
      <c r="CB415" s="2004">
        <v>0.18479999999999999</v>
      </c>
      <c r="CC415" s="2004">
        <v>80.599999999999994</v>
      </c>
      <c r="CD415" s="2004" t="s">
        <v>2337</v>
      </c>
      <c r="CE415" s="2004">
        <v>0</v>
      </c>
      <c r="CF415" s="2004">
        <v>0</v>
      </c>
      <c r="CG415" s="2004" t="s">
        <v>2339</v>
      </c>
      <c r="CH415" s="2004">
        <v>0.18479999999999999</v>
      </c>
      <c r="CI415" s="2004">
        <v>50.5</v>
      </c>
      <c r="CJ415" s="2004" t="s">
        <v>2337</v>
      </c>
      <c r="CK415" s="2004">
        <v>0</v>
      </c>
      <c r="CL415" s="2004">
        <v>0</v>
      </c>
      <c r="CM415" s="2004" t="s">
        <v>2339</v>
      </c>
      <c r="CN415" s="2004">
        <v>0.18479999999999999</v>
      </c>
      <c r="CP415" s="2004" t="s">
        <v>11579</v>
      </c>
    </row>
    <row r="416" spans="1:94">
      <c r="A416" s="2004" t="s">
        <v>11523</v>
      </c>
      <c r="B416" s="2004" t="s">
        <v>11580</v>
      </c>
      <c r="C416" s="2004" t="s">
        <v>9047</v>
      </c>
      <c r="D416" s="2004" t="s">
        <v>1628</v>
      </c>
      <c r="E416" s="2004" t="s">
        <v>9194</v>
      </c>
      <c r="F416" s="2004" t="s">
        <v>11581</v>
      </c>
      <c r="G416" s="2004" t="s">
        <v>8955</v>
      </c>
      <c r="H416" s="2004" t="s">
        <v>11582</v>
      </c>
      <c r="I416" s="2004" t="s">
        <v>11583</v>
      </c>
      <c r="J416" s="2004" t="s">
        <v>9230</v>
      </c>
      <c r="K416" s="2004"/>
      <c r="L416" s="2004"/>
      <c r="M416" s="2004"/>
      <c r="N416" s="2004" t="s">
        <v>9386</v>
      </c>
      <c r="O416" s="2004" t="s">
        <v>734</v>
      </c>
      <c r="P416" s="2004" t="s">
        <v>11584</v>
      </c>
      <c r="Q416" s="516">
        <v>0</v>
      </c>
      <c r="R416" s="2004" t="s">
        <v>9240</v>
      </c>
      <c r="S416" s="2004">
        <v>90</v>
      </c>
      <c r="T416" s="2004">
        <v>91</v>
      </c>
      <c r="U416" s="2004">
        <v>92</v>
      </c>
      <c r="V416" s="2004">
        <v>93</v>
      </c>
      <c r="W416" s="2004">
        <v>94</v>
      </c>
      <c r="X416" s="2004">
        <v>95</v>
      </c>
      <c r="Y416" s="2004"/>
      <c r="Z416" s="2004"/>
      <c r="AA416" s="2004"/>
      <c r="AB416" s="2004"/>
      <c r="AC416" s="2004"/>
      <c r="AD416" s="2004"/>
      <c r="AE416" s="2004"/>
      <c r="AF416" s="2004"/>
      <c r="AG416" s="2004"/>
      <c r="AH416" s="2004">
        <v>0</v>
      </c>
      <c r="AI416" s="2004"/>
      <c r="AJ416" s="2004"/>
      <c r="AK416" s="2004"/>
      <c r="AL416" s="2004"/>
      <c r="AM416" s="2004"/>
      <c r="AN416" s="2004"/>
      <c r="AO416" s="2004"/>
      <c r="AP416" s="2004"/>
      <c r="AQ416" s="2004"/>
      <c r="AR416" s="2004"/>
      <c r="AS416" s="2004"/>
      <c r="AT416" s="2004"/>
      <c r="AU416" s="2004"/>
      <c r="AV416" s="2004"/>
      <c r="AW416" s="2004"/>
      <c r="AX416" s="2004"/>
      <c r="AY416" s="2004"/>
      <c r="AZ416" s="2004"/>
      <c r="BA416" s="2004"/>
      <c r="BB416" s="2004"/>
      <c r="BC416" s="2004"/>
      <c r="BD416" s="2004"/>
      <c r="BE416" s="2004"/>
      <c r="BF416" s="2004"/>
      <c r="BG416" s="2004"/>
      <c r="BH416" s="2004"/>
      <c r="BI416" s="2004"/>
      <c r="BJ416" s="2004"/>
      <c r="BK416" s="2004"/>
      <c r="BL416" s="2004"/>
      <c r="BM416" s="2004"/>
      <c r="BN416" s="2004"/>
      <c r="BO416" s="2004"/>
      <c r="BP416" s="516">
        <v>93.46</v>
      </c>
      <c r="BQ416" s="690">
        <v>95.19</v>
      </c>
      <c r="BR416" s="2004" t="s">
        <v>2337</v>
      </c>
      <c r="BS416" s="2004" t="s">
        <v>9204</v>
      </c>
      <c r="BT416" s="2004">
        <v>0</v>
      </c>
      <c r="BU416" s="2004" t="s">
        <v>9204</v>
      </c>
      <c r="BV416" s="2004">
        <v>0</v>
      </c>
      <c r="BW416" s="2004">
        <v>97.52</v>
      </c>
      <c r="BX416" s="2004" t="s">
        <v>2337</v>
      </c>
      <c r="BY416" s="2004">
        <v>0</v>
      </c>
      <c r="BZ416" s="2004">
        <v>0</v>
      </c>
      <c r="CA416" s="2004">
        <v>0</v>
      </c>
      <c r="CB416" s="2004">
        <v>0</v>
      </c>
      <c r="CC416" s="2004">
        <v>94</v>
      </c>
      <c r="CD416" s="2004" t="s">
        <v>2337</v>
      </c>
      <c r="CE416" s="2004">
        <v>0</v>
      </c>
      <c r="CF416" s="2004">
        <v>0</v>
      </c>
      <c r="CG416" s="2004">
        <v>0</v>
      </c>
      <c r="CH416" s="2004">
        <v>0</v>
      </c>
      <c r="CI416" s="2004">
        <v>89.03</v>
      </c>
      <c r="CJ416" s="2004" t="s">
        <v>2334</v>
      </c>
      <c r="CK416" s="2004">
        <v>0</v>
      </c>
      <c r="CL416" s="2004">
        <v>0</v>
      </c>
      <c r="CM416" s="2004">
        <v>0</v>
      </c>
      <c r="CN416" s="2004">
        <v>0</v>
      </c>
      <c r="CP416" s="2004" t="s">
        <v>11585</v>
      </c>
    </row>
    <row r="417" spans="1:94">
      <c r="A417" s="2004" t="s">
        <v>11523</v>
      </c>
      <c r="B417" s="2004" t="s">
        <v>11586</v>
      </c>
      <c r="C417" s="2004" t="s">
        <v>9047</v>
      </c>
      <c r="D417" s="2004" t="s">
        <v>1628</v>
      </c>
      <c r="E417" s="2004" t="s">
        <v>9194</v>
      </c>
      <c r="F417" s="2004" t="s">
        <v>11587</v>
      </c>
      <c r="G417" s="2004" t="s">
        <v>8971</v>
      </c>
      <c r="H417" s="2004" t="s">
        <v>11588</v>
      </c>
      <c r="I417" s="2004" t="s">
        <v>11589</v>
      </c>
      <c r="J417" s="2004" t="s">
        <v>9230</v>
      </c>
      <c r="K417" s="2004"/>
      <c r="L417" s="2004"/>
      <c r="M417" s="2004"/>
      <c r="N417" s="2004" t="s">
        <v>9592</v>
      </c>
      <c r="O417" s="2004" t="s">
        <v>766</v>
      </c>
      <c r="P417" s="2004" t="s">
        <v>11590</v>
      </c>
      <c r="Q417" s="516">
        <v>0</v>
      </c>
      <c r="R417" s="2004"/>
      <c r="S417" s="2004">
        <v>53544</v>
      </c>
      <c r="T417" s="2004">
        <v>61644</v>
      </c>
      <c r="U417" s="2004">
        <v>59325</v>
      </c>
      <c r="V417" s="2004">
        <v>57393</v>
      </c>
      <c r="W417" s="2004">
        <v>47421</v>
      </c>
      <c r="X417" s="2004">
        <v>46054</v>
      </c>
      <c r="Y417" s="2004"/>
      <c r="Z417" s="2004"/>
      <c r="AA417" s="2004"/>
      <c r="AB417" s="2004"/>
      <c r="AC417" s="2004"/>
      <c r="AD417" s="2004"/>
      <c r="AE417" s="2004"/>
      <c r="AF417" s="2004"/>
      <c r="AG417" s="2004"/>
      <c r="AH417" s="2004">
        <v>0</v>
      </c>
      <c r="AI417" s="2004"/>
      <c r="AJ417" s="2004"/>
      <c r="AK417" s="2004"/>
      <c r="AL417" s="2004"/>
      <c r="AM417" s="2004"/>
      <c r="AN417" s="2004"/>
      <c r="AO417" s="2004"/>
      <c r="AP417" s="2004"/>
      <c r="AQ417" s="2004"/>
      <c r="AR417" s="2004"/>
      <c r="AS417" s="2004"/>
      <c r="AT417" s="2004"/>
      <c r="AU417" s="2004"/>
      <c r="AV417" s="2004"/>
      <c r="AW417" s="2004"/>
      <c r="AX417" s="2004"/>
      <c r="AY417" s="2004"/>
      <c r="AZ417" s="2004"/>
      <c r="BA417" s="2004"/>
      <c r="BB417" s="2004"/>
      <c r="BC417" s="2004"/>
      <c r="BD417" s="2004"/>
      <c r="BE417" s="2004"/>
      <c r="BF417" s="2004"/>
      <c r="BG417" s="2004"/>
      <c r="BH417" s="2004"/>
      <c r="BI417" s="2004"/>
      <c r="BJ417" s="2004"/>
      <c r="BK417" s="2004"/>
      <c r="BL417" s="2004"/>
      <c r="BM417" s="2004"/>
      <c r="BN417" s="2004"/>
      <c r="BO417" s="2004"/>
      <c r="BP417" s="516">
        <v>40102</v>
      </c>
      <c r="BQ417" s="689">
        <v>27197</v>
      </c>
      <c r="BR417" s="2004" t="s">
        <v>2334</v>
      </c>
      <c r="BS417" s="2004" t="s">
        <v>9204</v>
      </c>
      <c r="BT417" s="2004">
        <v>0</v>
      </c>
      <c r="BU417" s="2004" t="s">
        <v>9204</v>
      </c>
      <c r="BV417" s="2004">
        <v>0</v>
      </c>
      <c r="BW417" s="2004">
        <v>32447</v>
      </c>
      <c r="BX417" s="2004" t="s">
        <v>2334</v>
      </c>
      <c r="BY417" s="2004">
        <v>0</v>
      </c>
      <c r="BZ417" s="2004">
        <v>0</v>
      </c>
      <c r="CA417" s="2004">
        <v>0</v>
      </c>
      <c r="CB417" s="2004">
        <v>0</v>
      </c>
      <c r="CC417" s="2004">
        <v>36615</v>
      </c>
      <c r="CD417" s="2004" t="s">
        <v>2334</v>
      </c>
      <c r="CE417" s="2004">
        <v>0</v>
      </c>
      <c r="CF417" s="2004">
        <v>0</v>
      </c>
      <c r="CG417" s="2004">
        <v>0</v>
      </c>
      <c r="CH417" s="2004">
        <v>0</v>
      </c>
      <c r="CI417" s="2004">
        <v>32069</v>
      </c>
      <c r="CJ417" s="2004" t="s">
        <v>2334</v>
      </c>
      <c r="CK417" s="2004">
        <v>0</v>
      </c>
      <c r="CL417" s="2004">
        <v>0</v>
      </c>
      <c r="CM417" s="2004">
        <v>0</v>
      </c>
      <c r="CN417" s="2004">
        <v>0</v>
      </c>
      <c r="CP417" s="2004" t="s">
        <v>11591</v>
      </c>
    </row>
    <row r="418" spans="1:94">
      <c r="A418" s="2004" t="s">
        <v>11523</v>
      </c>
      <c r="B418" s="2004" t="s">
        <v>11592</v>
      </c>
      <c r="C418" s="2004" t="s">
        <v>9047</v>
      </c>
      <c r="D418" s="2004" t="s">
        <v>1629</v>
      </c>
      <c r="E418" s="2004" t="s">
        <v>9410</v>
      </c>
      <c r="F418" s="2004" t="s">
        <v>11593</v>
      </c>
      <c r="G418" s="2004" t="s">
        <v>9883</v>
      </c>
      <c r="H418" s="2004" t="s">
        <v>11594</v>
      </c>
      <c r="I418" s="2004" t="s">
        <v>11595</v>
      </c>
      <c r="J418" s="2004" t="s">
        <v>9199</v>
      </c>
      <c r="K418" s="2004" t="s">
        <v>11533</v>
      </c>
      <c r="L418" s="2004"/>
      <c r="M418" s="2004"/>
      <c r="N418" s="2004" t="s">
        <v>9414</v>
      </c>
      <c r="O418" s="2004" t="s">
        <v>9282</v>
      </c>
      <c r="P418" s="2004" t="s">
        <v>11596</v>
      </c>
      <c r="Q418" s="516">
        <v>2</v>
      </c>
      <c r="R418" s="2004" t="s">
        <v>9202</v>
      </c>
      <c r="S418" s="2004">
        <v>105.8</v>
      </c>
      <c r="T418" s="2004">
        <v>100</v>
      </c>
      <c r="U418" s="2004">
        <v>100</v>
      </c>
      <c r="V418" s="2004">
        <v>100</v>
      </c>
      <c r="W418" s="2004">
        <v>100</v>
      </c>
      <c r="X418" s="2004">
        <v>100</v>
      </c>
      <c r="Y418" s="2004"/>
      <c r="Z418" s="2004"/>
      <c r="AA418" s="2004"/>
      <c r="AB418" s="2004"/>
      <c r="AC418" s="2004"/>
      <c r="AD418" s="2004"/>
      <c r="AE418" s="2004" t="s">
        <v>2337</v>
      </c>
      <c r="AF418" s="2004"/>
      <c r="AG418" s="2004"/>
      <c r="AH418" s="2004">
        <v>5</v>
      </c>
      <c r="AI418" s="2004" t="s">
        <v>2337</v>
      </c>
      <c r="AJ418" s="2004" t="s">
        <v>2337</v>
      </c>
      <c r="AK418" s="2004" t="s">
        <v>2337</v>
      </c>
      <c r="AL418" s="2004" t="s">
        <v>2337</v>
      </c>
      <c r="AM418" s="2004" t="s">
        <v>2337</v>
      </c>
      <c r="AN418" s="2004">
        <v>102</v>
      </c>
      <c r="AO418" s="2004">
        <v>102</v>
      </c>
      <c r="AP418" s="2004">
        <v>102</v>
      </c>
      <c r="AQ418" s="2004">
        <v>102</v>
      </c>
      <c r="AR418" s="2004">
        <v>102</v>
      </c>
      <c r="AS418" s="2004">
        <v>101.2</v>
      </c>
      <c r="AT418" s="2004">
        <v>101.2</v>
      </c>
      <c r="AU418" s="2004">
        <v>101.2</v>
      </c>
      <c r="AV418" s="2004">
        <v>101.2</v>
      </c>
      <c r="AW418" s="2004">
        <v>101.2</v>
      </c>
      <c r="AX418" s="2004">
        <v>98.8</v>
      </c>
      <c r="AY418" s="2004">
        <v>98.8</v>
      </c>
      <c r="AZ418" s="2004">
        <v>98.8</v>
      </c>
      <c r="BA418" s="2004">
        <v>98.8</v>
      </c>
      <c r="BB418" s="2004">
        <v>98.8</v>
      </c>
      <c r="BC418" s="2004">
        <v>91.9</v>
      </c>
      <c r="BD418" s="2004">
        <v>91.9</v>
      </c>
      <c r="BE418" s="2004">
        <v>91.9</v>
      </c>
      <c r="BF418" s="2004">
        <v>91.9</v>
      </c>
      <c r="BG418" s="2004">
        <v>91.9</v>
      </c>
      <c r="BH418" s="2004">
        <v>4.2039999999999997</v>
      </c>
      <c r="BI418" s="2004"/>
      <c r="BJ418" s="2004"/>
      <c r="BK418" s="2004"/>
      <c r="BL418" s="2004">
        <v>1.069</v>
      </c>
      <c r="BM418" s="2004"/>
      <c r="BN418" s="2004">
        <v>1</v>
      </c>
      <c r="BO418" s="2004" t="s">
        <v>9203</v>
      </c>
      <c r="BP418" s="516">
        <v>95.2</v>
      </c>
      <c r="BQ418" s="690">
        <v>91.69</v>
      </c>
      <c r="BR418" s="2004" t="s">
        <v>2337</v>
      </c>
      <c r="BS418" s="2004" t="s">
        <v>9204</v>
      </c>
      <c r="BT418" s="2004">
        <v>0</v>
      </c>
      <c r="BU418" s="2004" t="s">
        <v>2339</v>
      </c>
      <c r="BV418" s="2004">
        <v>7.3761000000000001</v>
      </c>
      <c r="BW418" s="2004">
        <v>91.9</v>
      </c>
      <c r="BX418" s="2004" t="s">
        <v>2337</v>
      </c>
      <c r="BY418" s="2004">
        <v>0</v>
      </c>
      <c r="BZ418" s="2004">
        <v>0</v>
      </c>
      <c r="CA418" s="2004" t="s">
        <v>2339</v>
      </c>
      <c r="CB418" s="2004">
        <v>7.35</v>
      </c>
      <c r="CC418" s="2004">
        <v>85</v>
      </c>
      <c r="CD418" s="2004" t="s">
        <v>2337</v>
      </c>
      <c r="CE418" s="2004">
        <v>0</v>
      </c>
      <c r="CF418" s="2004">
        <v>0</v>
      </c>
      <c r="CG418" s="2004" t="s">
        <v>2339</v>
      </c>
      <c r="CH418" s="2004">
        <v>7.3761000000000001</v>
      </c>
      <c r="CI418" s="2004">
        <v>89.27</v>
      </c>
      <c r="CJ418" s="2004" t="s">
        <v>2337</v>
      </c>
      <c r="CK418" s="2004">
        <v>0</v>
      </c>
      <c r="CL418" s="2004">
        <v>0</v>
      </c>
      <c r="CM418" s="2004" t="s">
        <v>2339</v>
      </c>
      <c r="CN418" s="2004">
        <v>7.3760000000000003</v>
      </c>
      <c r="CP418" s="2004" t="s">
        <v>11597</v>
      </c>
    </row>
    <row r="419" spans="1:94">
      <c r="A419" s="2004" t="s">
        <v>11523</v>
      </c>
      <c r="B419" s="2004" t="s">
        <v>11598</v>
      </c>
      <c r="C419" s="2004" t="s">
        <v>9047</v>
      </c>
      <c r="D419" s="2004" t="s">
        <v>1629</v>
      </c>
      <c r="E419" s="2004" t="s">
        <v>9410</v>
      </c>
      <c r="F419" s="2004" t="s">
        <v>11593</v>
      </c>
      <c r="G419" s="2004" t="s">
        <v>9411</v>
      </c>
      <c r="H419" s="2004" t="s">
        <v>11599</v>
      </c>
      <c r="I419" s="2004" t="s">
        <v>11600</v>
      </c>
      <c r="J419" s="2004" t="s">
        <v>9210</v>
      </c>
      <c r="K419" s="2004" t="s">
        <v>11533</v>
      </c>
      <c r="L419" s="2004"/>
      <c r="M419" s="2004"/>
      <c r="N419" s="2004" t="s">
        <v>9477</v>
      </c>
      <c r="O419" s="2004" t="s">
        <v>9282</v>
      </c>
      <c r="P419" s="2004" t="s">
        <v>11601</v>
      </c>
      <c r="Q419" s="516">
        <v>2</v>
      </c>
      <c r="R419" s="2004" t="s">
        <v>9202</v>
      </c>
      <c r="S419" s="2004">
        <v>108.4</v>
      </c>
      <c r="T419" s="2004">
        <v>106.2</v>
      </c>
      <c r="U419" s="2004">
        <v>103.2</v>
      </c>
      <c r="V419" s="2004">
        <v>99.4</v>
      </c>
      <c r="W419" s="2004">
        <v>95.6</v>
      </c>
      <c r="X419" s="2004">
        <v>93.4</v>
      </c>
      <c r="Y419" s="2004"/>
      <c r="Z419" s="2004"/>
      <c r="AA419" s="2004"/>
      <c r="AB419" s="2004"/>
      <c r="AC419" s="2004"/>
      <c r="AD419" s="2004"/>
      <c r="AE419" s="2004" t="s">
        <v>2337</v>
      </c>
      <c r="AF419" s="2004"/>
      <c r="AG419" s="2004"/>
      <c r="AH419" s="2004">
        <v>4</v>
      </c>
      <c r="AI419" s="2004" t="s">
        <v>2337</v>
      </c>
      <c r="AJ419" s="2004" t="s">
        <v>2337</v>
      </c>
      <c r="AK419" s="2004" t="s">
        <v>2337</v>
      </c>
      <c r="AL419" s="2004" t="s">
        <v>2337</v>
      </c>
      <c r="AM419" s="2004" t="s">
        <v>2337</v>
      </c>
      <c r="AN419" s="2004">
        <v>115.4</v>
      </c>
      <c r="AO419" s="2004">
        <v>112.4</v>
      </c>
      <c r="AP419" s="2004">
        <v>108.6</v>
      </c>
      <c r="AQ419" s="2004">
        <v>104.8</v>
      </c>
      <c r="AR419" s="2004">
        <v>102.6</v>
      </c>
      <c r="AS419" s="2004">
        <v>108.9</v>
      </c>
      <c r="AT419" s="2004">
        <v>105.8</v>
      </c>
      <c r="AU419" s="2004">
        <v>101.9</v>
      </c>
      <c r="AV419" s="2004">
        <v>98</v>
      </c>
      <c r="AW419" s="2004">
        <v>95.7</v>
      </c>
      <c r="AX419" s="2004"/>
      <c r="AY419" s="2004"/>
      <c r="AZ419" s="2004"/>
      <c r="BA419" s="2004"/>
      <c r="BB419" s="2004"/>
      <c r="BC419" s="2004"/>
      <c r="BD419" s="2004"/>
      <c r="BE419" s="2004"/>
      <c r="BF419" s="2004"/>
      <c r="BG419" s="2004"/>
      <c r="BH419" s="2004">
        <v>2.298</v>
      </c>
      <c r="BI419" s="2004"/>
      <c r="BJ419" s="2004"/>
      <c r="BK419" s="2004"/>
      <c r="BL419" s="2004"/>
      <c r="BM419" s="2004"/>
      <c r="BN419" s="2004">
        <v>1</v>
      </c>
      <c r="BO419" s="2004" t="s">
        <v>9203</v>
      </c>
      <c r="BP419" s="516">
        <v>94.3</v>
      </c>
      <c r="BQ419" s="690">
        <v>90.95</v>
      </c>
      <c r="BR419" s="2004" t="s">
        <v>2337</v>
      </c>
      <c r="BS419" s="2004" t="s">
        <v>9204</v>
      </c>
      <c r="BT419" s="2004">
        <v>0</v>
      </c>
      <c r="BU419" s="2004" t="s">
        <v>9204</v>
      </c>
      <c r="BV419" s="2004">
        <v>0</v>
      </c>
      <c r="BW419" s="2004">
        <v>89.47</v>
      </c>
      <c r="BX419" s="2004" t="s">
        <v>2337</v>
      </c>
      <c r="BY419" s="2004">
        <v>0</v>
      </c>
      <c r="BZ419" s="2004">
        <v>0</v>
      </c>
      <c r="CA419" s="2004">
        <v>0</v>
      </c>
      <c r="CB419" s="2004">
        <v>0</v>
      </c>
      <c r="CC419" s="2004">
        <v>86.17</v>
      </c>
      <c r="CD419" s="2004" t="s">
        <v>2337</v>
      </c>
      <c r="CE419" s="2004">
        <v>0</v>
      </c>
      <c r="CF419" s="2004">
        <v>0</v>
      </c>
      <c r="CG419" s="2004">
        <v>0</v>
      </c>
      <c r="CH419" s="2004">
        <v>0</v>
      </c>
      <c r="CI419" s="2004">
        <v>90.75</v>
      </c>
      <c r="CJ419" s="2004" t="s">
        <v>2337</v>
      </c>
      <c r="CK419" s="2004">
        <v>0</v>
      </c>
      <c r="CL419" s="2004">
        <v>0</v>
      </c>
      <c r="CM419" s="2004">
        <v>0</v>
      </c>
      <c r="CN419" s="2004">
        <v>0</v>
      </c>
      <c r="CP419" s="2004" t="s">
        <v>11602</v>
      </c>
    </row>
    <row r="420" spans="1:94">
      <c r="A420" s="2004" t="s">
        <v>11523</v>
      </c>
      <c r="B420" s="2004" t="s">
        <v>11603</v>
      </c>
      <c r="C420" s="2004" t="s">
        <v>9047</v>
      </c>
      <c r="D420" s="2004" t="s">
        <v>1629</v>
      </c>
      <c r="E420" s="2004" t="s">
        <v>9410</v>
      </c>
      <c r="F420" s="2004" t="s">
        <v>11604</v>
      </c>
      <c r="G420" s="2004" t="s">
        <v>9431</v>
      </c>
      <c r="H420" s="2004" t="s">
        <v>11605</v>
      </c>
      <c r="I420" s="2004" t="s">
        <v>11606</v>
      </c>
      <c r="J420" s="2004" t="s">
        <v>9230</v>
      </c>
      <c r="K420" s="2004"/>
      <c r="L420" s="2004"/>
      <c r="M420" s="2004"/>
      <c r="N420" s="2004" t="s">
        <v>9414</v>
      </c>
      <c r="O420" s="2004" t="s">
        <v>766</v>
      </c>
      <c r="P420" s="2004" t="s">
        <v>11607</v>
      </c>
      <c r="Q420" s="516">
        <v>0</v>
      </c>
      <c r="R420" s="2004" t="s">
        <v>9202</v>
      </c>
      <c r="S420" s="2004">
        <v>16568</v>
      </c>
      <c r="T420" s="2004">
        <v>16511</v>
      </c>
      <c r="U420" s="2004">
        <v>16436</v>
      </c>
      <c r="V420" s="2004">
        <v>16341</v>
      </c>
      <c r="W420" s="2004">
        <v>16247</v>
      </c>
      <c r="X420" s="2004">
        <v>16190</v>
      </c>
      <c r="Y420" s="2004"/>
      <c r="Z420" s="2004"/>
      <c r="AA420" s="2004"/>
      <c r="AB420" s="2004"/>
      <c r="AC420" s="2004"/>
      <c r="AD420" s="2004"/>
      <c r="AE420" s="2004" t="s">
        <v>2337</v>
      </c>
      <c r="AF420" s="2004"/>
      <c r="AG420" s="2004"/>
      <c r="AH420" s="2004">
        <v>0</v>
      </c>
      <c r="AI420" s="2004"/>
      <c r="AJ420" s="2004"/>
      <c r="AK420" s="2004"/>
      <c r="AL420" s="2004"/>
      <c r="AM420" s="2004"/>
      <c r="AN420" s="2004"/>
      <c r="AO420" s="2004"/>
      <c r="AP420" s="2004"/>
      <c r="AQ420" s="2004"/>
      <c r="AR420" s="2004"/>
      <c r="AS420" s="2004"/>
      <c r="AT420" s="2004"/>
      <c r="AU420" s="2004"/>
      <c r="AV420" s="2004"/>
      <c r="AW420" s="2004"/>
      <c r="AX420" s="2004"/>
      <c r="AY420" s="2004"/>
      <c r="AZ420" s="2004"/>
      <c r="BA420" s="2004"/>
      <c r="BB420" s="2004"/>
      <c r="BC420" s="2004"/>
      <c r="BD420" s="2004"/>
      <c r="BE420" s="2004"/>
      <c r="BF420" s="2004"/>
      <c r="BG420" s="2004"/>
      <c r="BH420" s="2004"/>
      <c r="BI420" s="2004"/>
      <c r="BJ420" s="2004"/>
      <c r="BK420" s="2004"/>
      <c r="BL420" s="2004"/>
      <c r="BM420" s="2004"/>
      <c r="BN420" s="2004"/>
      <c r="BO420" s="2004"/>
      <c r="BP420" s="516" t="s">
        <v>9204</v>
      </c>
      <c r="BQ420" s="689">
        <v>16472</v>
      </c>
      <c r="BR420" s="2004" t="s">
        <v>2337</v>
      </c>
      <c r="BS420" s="2004" t="s">
        <v>9204</v>
      </c>
      <c r="BT420" s="2004">
        <v>0</v>
      </c>
      <c r="BU420" s="2004" t="s">
        <v>9204</v>
      </c>
      <c r="BV420" s="2004">
        <v>0</v>
      </c>
      <c r="BW420" s="2004">
        <v>16418</v>
      </c>
      <c r="BX420" s="2004" t="s">
        <v>2337</v>
      </c>
      <c r="BY420" s="2004">
        <v>0</v>
      </c>
      <c r="BZ420" s="2004">
        <v>0</v>
      </c>
      <c r="CA420" s="2004">
        <v>0</v>
      </c>
      <c r="CB420" s="2004">
        <v>0</v>
      </c>
      <c r="CC420" s="2004">
        <v>16395</v>
      </c>
      <c r="CD420" s="2004" t="s">
        <v>2334</v>
      </c>
      <c r="CE420" s="2004">
        <v>0</v>
      </c>
      <c r="CF420" s="2004">
        <v>0</v>
      </c>
      <c r="CG420" s="2004">
        <v>0</v>
      </c>
      <c r="CH420" s="2004">
        <v>0</v>
      </c>
      <c r="CI420" s="2004">
        <v>16379</v>
      </c>
      <c r="CJ420" s="2004" t="s">
        <v>2334</v>
      </c>
      <c r="CK420" s="2004">
        <v>0</v>
      </c>
      <c r="CL420" s="2004">
        <v>0</v>
      </c>
      <c r="CM420" s="2004">
        <v>0</v>
      </c>
      <c r="CN420" s="2004">
        <v>0</v>
      </c>
      <c r="CP420" s="2004" t="s">
        <v>11608</v>
      </c>
    </row>
    <row r="421" spans="1:94">
      <c r="A421" s="2004" t="s">
        <v>11523</v>
      </c>
      <c r="B421" s="2004" t="s">
        <v>11609</v>
      </c>
      <c r="C421" s="2004" t="s">
        <v>9047</v>
      </c>
      <c r="D421" s="2004" t="s">
        <v>1629</v>
      </c>
      <c r="E421" s="2004" t="s">
        <v>9410</v>
      </c>
      <c r="F421" s="2004" t="s">
        <v>11604</v>
      </c>
      <c r="G421" s="2004" t="s">
        <v>9898</v>
      </c>
      <c r="H421" s="2004" t="s">
        <v>11610</v>
      </c>
      <c r="I421" s="2004" t="s">
        <v>11611</v>
      </c>
      <c r="J421" s="2004" t="s">
        <v>9199</v>
      </c>
      <c r="K421" s="2004" t="s">
        <v>11533</v>
      </c>
      <c r="L421" s="2004"/>
      <c r="M421" s="2004"/>
      <c r="N421" s="2004" t="s">
        <v>9414</v>
      </c>
      <c r="O421" s="2004" t="s">
        <v>9282</v>
      </c>
      <c r="P421" s="2004" t="s">
        <v>11612</v>
      </c>
      <c r="Q421" s="516">
        <v>1</v>
      </c>
      <c r="R421" s="2004" t="s">
        <v>9202</v>
      </c>
      <c r="S421" s="2004">
        <v>101.6</v>
      </c>
      <c r="T421" s="2004">
        <v>93.1</v>
      </c>
      <c r="U421" s="2004">
        <v>83.9</v>
      </c>
      <c r="V421" s="2004">
        <v>73.900000000000006</v>
      </c>
      <c r="W421" s="2004">
        <v>70.3</v>
      </c>
      <c r="X421" s="2004">
        <v>68.099999999999994</v>
      </c>
      <c r="Y421" s="2004"/>
      <c r="Z421" s="2004"/>
      <c r="AA421" s="2004"/>
      <c r="AB421" s="2004"/>
      <c r="AC421" s="2004" t="s">
        <v>2337</v>
      </c>
      <c r="AD421" s="2004"/>
      <c r="AE421" s="2004" t="s">
        <v>2337</v>
      </c>
      <c r="AF421" s="2004"/>
      <c r="AG421" s="2004"/>
      <c r="AH421" s="2004">
        <v>5</v>
      </c>
      <c r="AI421" s="2004" t="s">
        <v>2337</v>
      </c>
      <c r="AJ421" s="2004" t="s">
        <v>2337</v>
      </c>
      <c r="AK421" s="2004" t="s">
        <v>2337</v>
      </c>
      <c r="AL421" s="2004" t="s">
        <v>2337</v>
      </c>
      <c r="AM421" s="2004" t="s">
        <v>2337</v>
      </c>
      <c r="AN421" s="2004">
        <v>114.1</v>
      </c>
      <c r="AO421" s="2004">
        <v>104.1</v>
      </c>
      <c r="AP421" s="2004">
        <v>93.2</v>
      </c>
      <c r="AQ421" s="2004">
        <v>88.8</v>
      </c>
      <c r="AR421" s="2004">
        <v>86.1</v>
      </c>
      <c r="AS421" s="2004">
        <v>103.7</v>
      </c>
      <c r="AT421" s="2004">
        <v>93.7</v>
      </c>
      <c r="AU421" s="2004">
        <v>82.8</v>
      </c>
      <c r="AV421" s="2004">
        <v>78.400000000000006</v>
      </c>
      <c r="AW421" s="2004">
        <v>75.7</v>
      </c>
      <c r="AX421" s="2004">
        <v>82.6</v>
      </c>
      <c r="AY421" s="2004">
        <v>74</v>
      </c>
      <c r="AZ421" s="2004">
        <v>65</v>
      </c>
      <c r="BA421" s="2004">
        <v>62.2</v>
      </c>
      <c r="BB421" s="2004">
        <v>60.5</v>
      </c>
      <c r="BC421" s="2004">
        <v>70.400000000000006</v>
      </c>
      <c r="BD421" s="2004">
        <v>61.4</v>
      </c>
      <c r="BE421" s="2004">
        <v>51.9</v>
      </c>
      <c r="BF421" s="2004">
        <v>48.7</v>
      </c>
      <c r="BG421" s="2004">
        <v>46.8</v>
      </c>
      <c r="BH421" s="2004">
        <v>2.032</v>
      </c>
      <c r="BI421" s="2004"/>
      <c r="BJ421" s="2004"/>
      <c r="BK421" s="2004"/>
      <c r="BL421" s="2004">
        <v>1.05</v>
      </c>
      <c r="BM421" s="2004"/>
      <c r="BN421" s="2004">
        <v>1</v>
      </c>
      <c r="BO421" s="2004" t="s">
        <v>9203</v>
      </c>
      <c r="BP421" s="516">
        <v>82.5</v>
      </c>
      <c r="BQ421" s="686">
        <v>100.8</v>
      </c>
      <c r="BR421" s="2004" t="s">
        <v>2334</v>
      </c>
      <c r="BS421" s="2004" t="s">
        <v>9204</v>
      </c>
      <c r="BT421" s="2004">
        <v>0</v>
      </c>
      <c r="BU421" s="2004" t="s">
        <v>9120</v>
      </c>
      <c r="BV421" s="2004">
        <v>0</v>
      </c>
      <c r="BW421" s="2004">
        <v>94.4</v>
      </c>
      <c r="BX421" s="2004" t="s">
        <v>2334</v>
      </c>
      <c r="BY421" s="2004">
        <v>0</v>
      </c>
      <c r="BZ421" s="2004">
        <v>0</v>
      </c>
      <c r="CA421" s="2004" t="s">
        <v>9254</v>
      </c>
      <c r="CB421" s="2004">
        <v>-1.484</v>
      </c>
      <c r="CC421" s="2004">
        <v>70</v>
      </c>
      <c r="CD421" s="2004" t="s">
        <v>2337</v>
      </c>
      <c r="CE421" s="2004">
        <v>0</v>
      </c>
      <c r="CF421" s="2004">
        <v>0</v>
      </c>
      <c r="CG421" s="2004">
        <v>0</v>
      </c>
      <c r="CH421" s="2004">
        <v>0</v>
      </c>
      <c r="CI421" s="2004">
        <v>61.66</v>
      </c>
      <c r="CJ421" s="2004" t="s">
        <v>2337</v>
      </c>
      <c r="CK421" s="2004">
        <v>0</v>
      </c>
      <c r="CL421" s="2004">
        <v>0</v>
      </c>
      <c r="CM421" s="2004" t="s">
        <v>2339</v>
      </c>
      <c r="CN421" s="2004">
        <v>0.56999999999999995</v>
      </c>
      <c r="CP421" s="2004" t="s">
        <v>11613</v>
      </c>
    </row>
    <row r="422" spans="1:94">
      <c r="A422" s="2004" t="s">
        <v>11523</v>
      </c>
      <c r="B422" s="2004" t="s">
        <v>11614</v>
      </c>
      <c r="C422" s="2004" t="s">
        <v>9047</v>
      </c>
      <c r="D422" s="2004" t="s">
        <v>1629</v>
      </c>
      <c r="E422" s="2004" t="s">
        <v>9410</v>
      </c>
      <c r="F422" s="2004" t="s">
        <v>11615</v>
      </c>
      <c r="G422" s="2004" t="s">
        <v>9436</v>
      </c>
      <c r="H422" s="2004" t="s">
        <v>11616</v>
      </c>
      <c r="I422" s="2004" t="s">
        <v>11617</v>
      </c>
      <c r="J422" s="2004" t="s">
        <v>9210</v>
      </c>
      <c r="K422" s="2004" t="s">
        <v>11533</v>
      </c>
      <c r="L422" s="2004"/>
      <c r="M422" s="2004" t="s">
        <v>2334</v>
      </c>
      <c r="N422" s="2004" t="s">
        <v>9364</v>
      </c>
      <c r="O422" s="2004" t="s">
        <v>766</v>
      </c>
      <c r="P422" s="2004" t="s">
        <v>11618</v>
      </c>
      <c r="Q422" s="516">
        <v>2</v>
      </c>
      <c r="R422" s="2004" t="s">
        <v>9240</v>
      </c>
      <c r="S422" s="2004">
        <v>0</v>
      </c>
      <c r="T422" s="2004">
        <v>0.36</v>
      </c>
      <c r="U422" s="2004">
        <v>0.66</v>
      </c>
      <c r="V422" s="2004">
        <v>1.49</v>
      </c>
      <c r="W422" s="2004">
        <v>3.78</v>
      </c>
      <c r="X422" s="2004">
        <v>6.56</v>
      </c>
      <c r="Y422" s="2004"/>
      <c r="Z422" s="2004"/>
      <c r="AA422" s="2004"/>
      <c r="AB422" s="2004"/>
      <c r="AC422" s="2004"/>
      <c r="AD422" s="2004" t="s">
        <v>2337</v>
      </c>
      <c r="AE422" s="2004"/>
      <c r="AF422" s="2004" t="s">
        <v>2337</v>
      </c>
      <c r="AG422" s="2004"/>
      <c r="AH422" s="2004">
        <v>0</v>
      </c>
      <c r="AI422" s="2004" t="s">
        <v>2337</v>
      </c>
      <c r="AJ422" s="2004" t="s">
        <v>2337</v>
      </c>
      <c r="AK422" s="2004" t="s">
        <v>2337</v>
      </c>
      <c r="AL422" s="2004" t="s">
        <v>2337</v>
      </c>
      <c r="AM422" s="2004" t="s">
        <v>2337</v>
      </c>
      <c r="AN422" s="2004">
        <v>0</v>
      </c>
      <c r="AO422" s="2004">
        <v>0</v>
      </c>
      <c r="AP422" s="2004">
        <v>0</v>
      </c>
      <c r="AQ422" s="2004">
        <v>0</v>
      </c>
      <c r="AR422" s="2004">
        <v>0</v>
      </c>
      <c r="AS422" s="2004">
        <v>0.36</v>
      </c>
      <c r="AT422" s="2004">
        <v>0.66</v>
      </c>
      <c r="AU422" s="2004">
        <v>1.49</v>
      </c>
      <c r="AV422" s="2004">
        <v>3.78</v>
      </c>
      <c r="AW422" s="2004">
        <v>6.56</v>
      </c>
      <c r="AX422" s="2004"/>
      <c r="AY422" s="2004"/>
      <c r="AZ422" s="2004"/>
      <c r="BA422" s="2004"/>
      <c r="BB422" s="2004"/>
      <c r="BC422" s="2004"/>
      <c r="BD422" s="2004"/>
      <c r="BE422" s="2004"/>
      <c r="BF422" s="2004"/>
      <c r="BG422" s="2004"/>
      <c r="BH422" s="2004">
        <v>10</v>
      </c>
      <c r="BI422" s="2004"/>
      <c r="BJ422" s="2004"/>
      <c r="BK422" s="2004"/>
      <c r="BL422" s="2004"/>
      <c r="BM422" s="2004"/>
      <c r="BN422" s="2004">
        <v>1</v>
      </c>
      <c r="BO422" s="2004" t="s">
        <v>9203</v>
      </c>
      <c r="BP422" s="516">
        <v>0</v>
      </c>
      <c r="BQ422" s="690">
        <v>0.47</v>
      </c>
      <c r="BR422" s="2004" t="s">
        <v>2337</v>
      </c>
      <c r="BS422" s="2004" t="s">
        <v>9204</v>
      </c>
      <c r="BT422" s="2004">
        <v>0</v>
      </c>
      <c r="BU422" s="2004" t="s">
        <v>9204</v>
      </c>
      <c r="BV422" s="2004">
        <v>0</v>
      </c>
      <c r="BW422" s="2004">
        <v>0.66</v>
      </c>
      <c r="BX422" s="2004" t="s">
        <v>2337</v>
      </c>
      <c r="BY422" s="2004">
        <v>0</v>
      </c>
      <c r="BZ422" s="2004">
        <v>0</v>
      </c>
      <c r="CA422" s="2004">
        <v>0</v>
      </c>
      <c r="CB422" s="2004">
        <v>0</v>
      </c>
      <c r="CC422" s="2004">
        <v>1.49</v>
      </c>
      <c r="CD422" s="2004" t="s">
        <v>2337</v>
      </c>
      <c r="CE422" s="2004">
        <v>0</v>
      </c>
      <c r="CF422" s="2004">
        <v>0</v>
      </c>
      <c r="CG422" s="2004">
        <v>0</v>
      </c>
      <c r="CH422" s="2004">
        <v>0</v>
      </c>
      <c r="CI422" s="2004">
        <v>4.21</v>
      </c>
      <c r="CJ422" s="2004" t="s">
        <v>2337</v>
      </c>
      <c r="CK422" s="2004">
        <v>0</v>
      </c>
      <c r="CL422" s="2004">
        <v>0</v>
      </c>
      <c r="CM422" s="2004">
        <v>0</v>
      </c>
      <c r="CN422" s="2004">
        <v>0</v>
      </c>
      <c r="CP422" s="2004" t="s">
        <v>11619</v>
      </c>
    </row>
    <row r="423" spans="1:94">
      <c r="A423" s="2004" t="s">
        <v>11523</v>
      </c>
      <c r="B423" s="2004" t="s">
        <v>11620</v>
      </c>
      <c r="C423" s="2004" t="s">
        <v>9047</v>
      </c>
      <c r="D423" s="2004" t="s">
        <v>1629</v>
      </c>
      <c r="E423" s="2004" t="s">
        <v>9410</v>
      </c>
      <c r="F423" s="2004" t="s">
        <v>11575</v>
      </c>
      <c r="G423" s="2004" t="s">
        <v>9459</v>
      </c>
      <c r="H423" s="2004" t="s">
        <v>11621</v>
      </c>
      <c r="I423" s="2004" t="s">
        <v>11622</v>
      </c>
      <c r="J423" s="2004" t="s">
        <v>9210</v>
      </c>
      <c r="K423" s="2004" t="s">
        <v>11533</v>
      </c>
      <c r="L423" s="2004"/>
      <c r="M423" s="2004" t="s">
        <v>2334</v>
      </c>
      <c r="N423" s="2004" t="s">
        <v>9364</v>
      </c>
      <c r="O423" s="2004" t="s">
        <v>766</v>
      </c>
      <c r="P423" s="2004" t="s">
        <v>11623</v>
      </c>
      <c r="Q423" s="516">
        <v>1</v>
      </c>
      <c r="R423" s="2004" t="s">
        <v>9240</v>
      </c>
      <c r="S423" s="2004">
        <v>0</v>
      </c>
      <c r="T423" s="2004">
        <v>1.8</v>
      </c>
      <c r="U423" s="2004">
        <v>1.8</v>
      </c>
      <c r="V423" s="2004">
        <v>190.1</v>
      </c>
      <c r="W423" s="2004">
        <v>316.7</v>
      </c>
      <c r="X423" s="2004">
        <v>346.6</v>
      </c>
      <c r="Y423" s="2004"/>
      <c r="Z423" s="2004"/>
      <c r="AA423" s="2004"/>
      <c r="AB423" s="2004"/>
      <c r="AC423" s="2004"/>
      <c r="AD423" s="2004" t="s">
        <v>2337</v>
      </c>
      <c r="AE423" s="2004"/>
      <c r="AF423" s="2004" t="s">
        <v>2337</v>
      </c>
      <c r="AG423" s="2004"/>
      <c r="AH423" s="2004">
        <v>0</v>
      </c>
      <c r="AI423" s="2004" t="s">
        <v>2337</v>
      </c>
      <c r="AJ423" s="2004" t="s">
        <v>2337</v>
      </c>
      <c r="AK423" s="2004" t="s">
        <v>2337</v>
      </c>
      <c r="AL423" s="2004" t="s">
        <v>2337</v>
      </c>
      <c r="AM423" s="2004" t="s">
        <v>2337</v>
      </c>
      <c r="AN423" s="2004">
        <v>0</v>
      </c>
      <c r="AO423" s="2004">
        <v>0</v>
      </c>
      <c r="AP423" s="2004">
        <v>0</v>
      </c>
      <c r="AQ423" s="2004">
        <v>0</v>
      </c>
      <c r="AR423" s="2004">
        <v>0</v>
      </c>
      <c r="AS423" s="2004">
        <v>1.8</v>
      </c>
      <c r="AT423" s="2004">
        <v>1.8</v>
      </c>
      <c r="AU423" s="2004">
        <v>190.1</v>
      </c>
      <c r="AV423" s="2004">
        <v>316.7</v>
      </c>
      <c r="AW423" s="2004">
        <v>346.6</v>
      </c>
      <c r="AX423" s="2004"/>
      <c r="AY423" s="2004"/>
      <c r="AZ423" s="2004"/>
      <c r="BA423" s="2004"/>
      <c r="BB423" s="2004"/>
      <c r="BC423" s="2004"/>
      <c r="BD423" s="2004"/>
      <c r="BE423" s="2004"/>
      <c r="BF423" s="2004"/>
      <c r="BG423" s="2004"/>
      <c r="BH423" s="2004">
        <v>5.8000000000000003E-2</v>
      </c>
      <c r="BI423" s="2004"/>
      <c r="BJ423" s="2004"/>
      <c r="BK423" s="2004"/>
      <c r="BL423" s="2004"/>
      <c r="BM423" s="2004"/>
      <c r="BN423" s="2004">
        <v>1</v>
      </c>
      <c r="BO423" s="2004" t="s">
        <v>9203</v>
      </c>
      <c r="BP423" s="516">
        <v>0</v>
      </c>
      <c r="BQ423" s="686">
        <v>48</v>
      </c>
      <c r="BR423" s="2004" t="s">
        <v>2337</v>
      </c>
      <c r="BS423" s="2004" t="s">
        <v>9204</v>
      </c>
      <c r="BT423" s="2004">
        <v>0</v>
      </c>
      <c r="BU423" s="2004" t="s">
        <v>9204</v>
      </c>
      <c r="BV423" s="2004">
        <v>0</v>
      </c>
      <c r="BW423" s="2004">
        <v>48.02</v>
      </c>
      <c r="BX423" s="2004" t="s">
        <v>2337</v>
      </c>
      <c r="BY423" s="2004">
        <v>0</v>
      </c>
      <c r="BZ423" s="2004">
        <v>0</v>
      </c>
      <c r="CA423" s="2004">
        <v>0</v>
      </c>
      <c r="CB423" s="2004">
        <v>0</v>
      </c>
      <c r="CC423" s="2004">
        <v>210.5</v>
      </c>
      <c r="CD423" s="2004" t="s">
        <v>2337</v>
      </c>
      <c r="CE423" s="2004">
        <v>0</v>
      </c>
      <c r="CF423" s="2004">
        <v>0</v>
      </c>
      <c r="CG423" s="2004">
        <v>0</v>
      </c>
      <c r="CH423" s="2004">
        <v>0</v>
      </c>
      <c r="CI423" s="2004">
        <v>322.89</v>
      </c>
      <c r="CJ423" s="2004" t="s">
        <v>2337</v>
      </c>
      <c r="CK423" s="2004">
        <v>0</v>
      </c>
      <c r="CL423" s="2004">
        <v>0</v>
      </c>
      <c r="CM423" s="2004">
        <v>0</v>
      </c>
      <c r="CN423" s="2004">
        <v>0</v>
      </c>
      <c r="CP423" s="2004" t="s">
        <v>11624</v>
      </c>
    </row>
    <row r="424" spans="1:94">
      <c r="A424" s="2004" t="s">
        <v>11523</v>
      </c>
      <c r="B424" s="2004" t="s">
        <v>11625</v>
      </c>
      <c r="C424" s="2004" t="s">
        <v>9047</v>
      </c>
      <c r="D424" s="2004" t="s">
        <v>1629</v>
      </c>
      <c r="E424" s="2004" t="s">
        <v>9410</v>
      </c>
      <c r="F424" s="2004" t="s">
        <v>11575</v>
      </c>
      <c r="G424" s="2004" t="s">
        <v>9464</v>
      </c>
      <c r="H424" s="2004" t="s">
        <v>11626</v>
      </c>
      <c r="I424" s="2004" t="s">
        <v>11627</v>
      </c>
      <c r="J424" s="2004" t="s">
        <v>9210</v>
      </c>
      <c r="K424" s="2004" t="s">
        <v>11533</v>
      </c>
      <c r="L424" s="2004"/>
      <c r="M424" s="2004"/>
      <c r="N424" s="2004" t="s">
        <v>9364</v>
      </c>
      <c r="O424" s="2004" t="s">
        <v>9282</v>
      </c>
      <c r="P424" s="2004" t="s">
        <v>11628</v>
      </c>
      <c r="Q424" s="516">
        <v>4</v>
      </c>
      <c r="R424" s="2004" t="s">
        <v>9202</v>
      </c>
      <c r="S424" s="2004">
        <v>113.97</v>
      </c>
      <c r="T424" s="2004">
        <v>83</v>
      </c>
      <c r="U424" s="2004">
        <v>83</v>
      </c>
      <c r="V424" s="2004">
        <v>83</v>
      </c>
      <c r="W424" s="2004">
        <v>54.32</v>
      </c>
      <c r="X424" s="2004">
        <v>46.13</v>
      </c>
      <c r="Y424" s="2004"/>
      <c r="Z424" s="2004"/>
      <c r="AA424" s="2004"/>
      <c r="AB424" s="2004"/>
      <c r="AC424" s="2004"/>
      <c r="AD424" s="2004" t="s">
        <v>2337</v>
      </c>
      <c r="AE424" s="2004" t="s">
        <v>2337</v>
      </c>
      <c r="AF424" s="2004" t="s">
        <v>2337</v>
      </c>
      <c r="AG424" s="2004"/>
      <c r="AH424" s="2004">
        <v>10</v>
      </c>
      <c r="AI424" s="2004" t="s">
        <v>2337</v>
      </c>
      <c r="AJ424" s="2004" t="s">
        <v>2337</v>
      </c>
      <c r="AK424" s="2004" t="s">
        <v>2337</v>
      </c>
      <c r="AL424" s="2004" t="s">
        <v>2337</v>
      </c>
      <c r="AM424" s="2004" t="s">
        <v>2337</v>
      </c>
      <c r="AN424" s="2004">
        <v>155.4</v>
      </c>
      <c r="AO424" s="2004">
        <v>155.4</v>
      </c>
      <c r="AP424" s="2004">
        <v>155.4</v>
      </c>
      <c r="AQ424" s="2004">
        <v>126.72</v>
      </c>
      <c r="AR424" s="2004">
        <v>118.53</v>
      </c>
      <c r="AS424" s="2004">
        <v>113.3</v>
      </c>
      <c r="AT424" s="2004">
        <v>113.3</v>
      </c>
      <c r="AU424" s="2004">
        <v>113.3</v>
      </c>
      <c r="AV424" s="2004">
        <v>84.62</v>
      </c>
      <c r="AW424" s="2004">
        <v>76.430000000000007</v>
      </c>
      <c r="AX424" s="2004"/>
      <c r="AY424" s="2004"/>
      <c r="AZ424" s="2004"/>
      <c r="BA424" s="2004"/>
      <c r="BB424" s="2004"/>
      <c r="BC424" s="2004"/>
      <c r="BD424" s="2004"/>
      <c r="BE424" s="2004"/>
      <c r="BF424" s="2004"/>
      <c r="BG424" s="2004"/>
      <c r="BH424" s="2004">
        <v>0.57199999999999995</v>
      </c>
      <c r="BI424" s="2004"/>
      <c r="BJ424" s="2004"/>
      <c r="BK424" s="2004"/>
      <c r="BL424" s="2004"/>
      <c r="BM424" s="2004"/>
      <c r="BN424" s="2004">
        <v>1</v>
      </c>
      <c r="BO424" s="2004" t="s">
        <v>9203</v>
      </c>
      <c r="BP424" s="516">
        <v>94.99</v>
      </c>
      <c r="BQ424" s="700">
        <v>91.484700000000004</v>
      </c>
      <c r="BR424" s="2004" t="s">
        <v>2334</v>
      </c>
      <c r="BS424" s="2004" t="s">
        <v>9204</v>
      </c>
      <c r="BT424" s="2004">
        <v>0</v>
      </c>
      <c r="BU424" s="2004" t="s">
        <v>9120</v>
      </c>
      <c r="BV424" s="2004">
        <v>0</v>
      </c>
      <c r="BW424" s="2004">
        <v>58.708199999999998</v>
      </c>
      <c r="BX424" s="2004" t="s">
        <v>2337</v>
      </c>
      <c r="BY424" s="2004">
        <v>0</v>
      </c>
      <c r="BZ424" s="2004">
        <v>0</v>
      </c>
      <c r="CA424" s="2004">
        <v>0</v>
      </c>
      <c r="CB424" s="2004">
        <v>0</v>
      </c>
      <c r="CC424" s="2004">
        <v>30.468</v>
      </c>
      <c r="CD424" s="2004" t="s">
        <v>2337</v>
      </c>
      <c r="CE424" s="2004">
        <v>0</v>
      </c>
      <c r="CF424" s="2004">
        <v>0</v>
      </c>
      <c r="CG424" s="2004">
        <v>0</v>
      </c>
      <c r="CH424" s="2004">
        <v>0</v>
      </c>
      <c r="CI424" s="2004">
        <v>39.166499999999999</v>
      </c>
      <c r="CJ424" s="2004" t="s">
        <v>2337</v>
      </c>
      <c r="CK424" s="2004">
        <v>0</v>
      </c>
      <c r="CL424" s="2004">
        <v>0</v>
      </c>
      <c r="CM424" s="2004">
        <v>0</v>
      </c>
      <c r="CN424" s="2004">
        <v>0</v>
      </c>
      <c r="CP424" s="2004" t="s">
        <v>11629</v>
      </c>
    </row>
    <row r="425" spans="1:94">
      <c r="A425" s="2004" t="s">
        <v>11523</v>
      </c>
      <c r="B425" s="2004" t="s">
        <v>11630</v>
      </c>
      <c r="C425" s="2004" t="s">
        <v>9047</v>
      </c>
      <c r="D425" s="2004" t="s">
        <v>1629</v>
      </c>
      <c r="E425" s="2004" t="s">
        <v>9410</v>
      </c>
      <c r="F425" s="2004" t="s">
        <v>11575</v>
      </c>
      <c r="G425" s="2004" t="s">
        <v>9991</v>
      </c>
      <c r="H425" s="2004" t="s">
        <v>11631</v>
      </c>
      <c r="I425" s="2004" t="s">
        <v>11632</v>
      </c>
      <c r="J425" s="2004" t="s">
        <v>9199</v>
      </c>
      <c r="K425" s="2004" t="s">
        <v>11533</v>
      </c>
      <c r="L425" s="2004"/>
      <c r="M425" s="2004" t="s">
        <v>2334</v>
      </c>
      <c r="N425" s="2004" t="s">
        <v>9364</v>
      </c>
      <c r="O425" s="2004" t="s">
        <v>766</v>
      </c>
      <c r="P425" s="2004" t="s">
        <v>11578</v>
      </c>
      <c r="Q425" s="516">
        <v>2</v>
      </c>
      <c r="R425" s="2004" t="s">
        <v>9240</v>
      </c>
      <c r="S425" s="2004">
        <v>0</v>
      </c>
      <c r="T425" s="2004">
        <v>0.75</v>
      </c>
      <c r="U425" s="2004">
        <v>15.41</v>
      </c>
      <c r="V425" s="2004">
        <v>98.14</v>
      </c>
      <c r="W425" s="2004">
        <v>145.38999999999999</v>
      </c>
      <c r="X425" s="2004">
        <v>355.22</v>
      </c>
      <c r="Y425" s="2004"/>
      <c r="Z425" s="2004"/>
      <c r="AA425" s="2004"/>
      <c r="AB425" s="2004"/>
      <c r="AC425" s="2004"/>
      <c r="AD425" s="2004" t="s">
        <v>2337</v>
      </c>
      <c r="AE425" s="2004"/>
      <c r="AF425" s="2004" t="s">
        <v>2337</v>
      </c>
      <c r="AG425" s="2004"/>
      <c r="AH425" s="2004">
        <v>0</v>
      </c>
      <c r="AI425" s="2004" t="s">
        <v>2337</v>
      </c>
      <c r="AJ425" s="2004" t="s">
        <v>2337</v>
      </c>
      <c r="AK425" s="2004" t="s">
        <v>2337</v>
      </c>
      <c r="AL425" s="2004" t="s">
        <v>2337</v>
      </c>
      <c r="AM425" s="2004" t="s">
        <v>2337</v>
      </c>
      <c r="AN425" s="2004">
        <v>0</v>
      </c>
      <c r="AO425" s="2004">
        <v>0</v>
      </c>
      <c r="AP425" s="2004">
        <v>0</v>
      </c>
      <c r="AQ425" s="2004">
        <v>0</v>
      </c>
      <c r="AR425" s="2004">
        <v>0</v>
      </c>
      <c r="AS425" s="2004">
        <v>0.75</v>
      </c>
      <c r="AT425" s="2004">
        <v>15.41</v>
      </c>
      <c r="AU425" s="2004">
        <v>98.14</v>
      </c>
      <c r="AV425" s="2004">
        <v>145.38999999999999</v>
      </c>
      <c r="AW425" s="2004">
        <v>355.22</v>
      </c>
      <c r="AX425" s="2004">
        <v>0.75</v>
      </c>
      <c r="AY425" s="2004">
        <v>15.41</v>
      </c>
      <c r="AZ425" s="2004">
        <v>98.14</v>
      </c>
      <c r="BA425" s="2004">
        <v>145.38999999999999</v>
      </c>
      <c r="BB425" s="2004">
        <v>355.22</v>
      </c>
      <c r="BC425" s="2004">
        <v>1.5</v>
      </c>
      <c r="BD425" s="2004">
        <v>30.82</v>
      </c>
      <c r="BE425" s="2004">
        <v>196.28</v>
      </c>
      <c r="BF425" s="2004">
        <v>290.77999999999997</v>
      </c>
      <c r="BG425" s="2004">
        <v>710.44</v>
      </c>
      <c r="BH425" s="2004">
        <v>0.111</v>
      </c>
      <c r="BI425" s="2004"/>
      <c r="BJ425" s="2004"/>
      <c r="BK425" s="2004"/>
      <c r="BL425" s="2004">
        <v>2.8000000000000001E-2</v>
      </c>
      <c r="BM425" s="2004"/>
      <c r="BN425" s="2004">
        <v>1</v>
      </c>
      <c r="BO425" s="2004" t="s">
        <v>9203</v>
      </c>
      <c r="BP425" s="516">
        <v>0</v>
      </c>
      <c r="BQ425" s="690">
        <v>0.75</v>
      </c>
      <c r="BR425" s="2004" t="s">
        <v>2337</v>
      </c>
      <c r="BS425" s="2004" t="s">
        <v>9204</v>
      </c>
      <c r="BT425" s="2004">
        <v>0</v>
      </c>
      <c r="BU425" s="2004" t="s">
        <v>9204</v>
      </c>
      <c r="BV425" s="2004">
        <v>0</v>
      </c>
      <c r="BW425" s="2004">
        <v>45.62</v>
      </c>
      <c r="BX425" s="2004" t="s">
        <v>2337</v>
      </c>
      <c r="BY425" s="2004">
        <v>0</v>
      </c>
      <c r="BZ425" s="2004">
        <v>0</v>
      </c>
      <c r="CA425" s="2004" t="s">
        <v>2339</v>
      </c>
      <c r="CB425" s="2004">
        <v>0.43099999999999999</v>
      </c>
      <c r="CC425" s="2004">
        <v>120.75</v>
      </c>
      <c r="CD425" s="2004" t="s">
        <v>2337</v>
      </c>
      <c r="CE425" s="2004">
        <v>0</v>
      </c>
      <c r="CF425" s="2004">
        <v>0</v>
      </c>
      <c r="CG425" s="2004" t="s">
        <v>2339</v>
      </c>
      <c r="CH425" s="2004">
        <v>0.43</v>
      </c>
      <c r="CI425" s="2004">
        <v>178.93</v>
      </c>
      <c r="CJ425" s="2004" t="s">
        <v>2337</v>
      </c>
      <c r="CK425" s="2004">
        <v>0</v>
      </c>
      <c r="CL425" s="2004">
        <v>0</v>
      </c>
      <c r="CM425" s="2004" t="s">
        <v>2339</v>
      </c>
      <c r="CN425" s="2004">
        <v>0.93911999999999995</v>
      </c>
      <c r="CP425" s="2004" t="s">
        <v>11633</v>
      </c>
    </row>
    <row r="426" spans="1:94">
      <c r="A426" s="2004" t="s">
        <v>11523</v>
      </c>
      <c r="B426" s="2004" t="s">
        <v>11634</v>
      </c>
      <c r="C426" s="2004" t="s">
        <v>9047</v>
      </c>
      <c r="D426" s="2004" t="s">
        <v>1629</v>
      </c>
      <c r="E426" s="2004" t="s">
        <v>9410</v>
      </c>
      <c r="F426" s="2004" t="s">
        <v>11575</v>
      </c>
      <c r="G426" s="2004" t="s">
        <v>11635</v>
      </c>
      <c r="H426" s="2004" t="s">
        <v>11636</v>
      </c>
      <c r="I426" s="2004" t="s">
        <v>11637</v>
      </c>
      <c r="J426" s="2004" t="s">
        <v>9210</v>
      </c>
      <c r="K426" s="2004" t="s">
        <v>11533</v>
      </c>
      <c r="L426" s="2004"/>
      <c r="M426" s="2004"/>
      <c r="N426" s="2004" t="s">
        <v>9450</v>
      </c>
      <c r="O426" s="2004" t="s">
        <v>766</v>
      </c>
      <c r="P426" s="2004" t="s">
        <v>10583</v>
      </c>
      <c r="Q426" s="516">
        <v>0</v>
      </c>
      <c r="R426" s="2004" t="s">
        <v>9202</v>
      </c>
      <c r="S426" s="2004">
        <v>4</v>
      </c>
      <c r="T426" s="2004">
        <v>4</v>
      </c>
      <c r="U426" s="2004">
        <v>4</v>
      </c>
      <c r="V426" s="2004">
        <v>3</v>
      </c>
      <c r="W426" s="2004">
        <v>3</v>
      </c>
      <c r="X426" s="2004">
        <v>0</v>
      </c>
      <c r="Y426" s="2004"/>
      <c r="Z426" s="2004"/>
      <c r="AA426" s="2004"/>
      <c r="AB426" s="2004"/>
      <c r="AC426" s="2004"/>
      <c r="AD426" s="2004"/>
      <c r="AE426" s="2004" t="s">
        <v>2337</v>
      </c>
      <c r="AF426" s="2004"/>
      <c r="AG426" s="2004"/>
      <c r="AH426" s="2004">
        <v>0</v>
      </c>
      <c r="AI426" s="2004" t="s">
        <v>2337</v>
      </c>
      <c r="AJ426" s="2004" t="s">
        <v>2337</v>
      </c>
      <c r="AK426" s="2004" t="s">
        <v>2337</v>
      </c>
      <c r="AL426" s="2004" t="s">
        <v>2337</v>
      </c>
      <c r="AM426" s="2004" t="s">
        <v>2337</v>
      </c>
      <c r="AN426" s="2004">
        <v>7</v>
      </c>
      <c r="AO426" s="2004">
        <v>7</v>
      </c>
      <c r="AP426" s="2004">
        <v>6</v>
      </c>
      <c r="AQ426" s="2004">
        <v>6</v>
      </c>
      <c r="AR426" s="2004">
        <v>5</v>
      </c>
      <c r="AS426" s="2004">
        <v>6</v>
      </c>
      <c r="AT426" s="2004">
        <v>6</v>
      </c>
      <c r="AU426" s="2004">
        <v>5</v>
      </c>
      <c r="AV426" s="2004">
        <v>5</v>
      </c>
      <c r="AW426" s="2004">
        <v>4</v>
      </c>
      <c r="AX426" s="2004"/>
      <c r="AY426" s="2004"/>
      <c r="AZ426" s="2004"/>
      <c r="BA426" s="2004"/>
      <c r="BB426" s="2004"/>
      <c r="BC426" s="2004"/>
      <c r="BD426" s="2004"/>
      <c r="BE426" s="2004"/>
      <c r="BF426" s="2004"/>
      <c r="BG426" s="2004"/>
      <c r="BH426" s="2004">
        <v>0.42</v>
      </c>
      <c r="BI426" s="2004"/>
      <c r="BJ426" s="2004"/>
      <c r="BK426" s="2004"/>
      <c r="BL426" s="2004"/>
      <c r="BM426" s="2004"/>
      <c r="BN426" s="2004">
        <v>1</v>
      </c>
      <c r="BO426" s="2004" t="s">
        <v>9203</v>
      </c>
      <c r="BP426" s="516">
        <v>2</v>
      </c>
      <c r="BQ426" s="689">
        <v>4</v>
      </c>
      <c r="BR426" s="2004" t="s">
        <v>2337</v>
      </c>
      <c r="BS426" s="2004" t="s">
        <v>9204</v>
      </c>
      <c r="BT426" s="2004">
        <v>0</v>
      </c>
      <c r="BU426" s="2004" t="s">
        <v>9204</v>
      </c>
      <c r="BV426" s="2004">
        <v>0</v>
      </c>
      <c r="BW426" s="2004">
        <v>2</v>
      </c>
      <c r="BX426" s="2004" t="s">
        <v>2337</v>
      </c>
      <c r="BY426" s="2004">
        <v>0</v>
      </c>
      <c r="BZ426" s="2004">
        <v>0</v>
      </c>
      <c r="CA426" s="2004">
        <v>0</v>
      </c>
      <c r="CB426" s="2004">
        <v>0</v>
      </c>
      <c r="CC426" s="2004">
        <v>0</v>
      </c>
      <c r="CD426" s="2004" t="s">
        <v>2337</v>
      </c>
      <c r="CE426" s="2004">
        <v>0</v>
      </c>
      <c r="CF426" s="2004">
        <v>0</v>
      </c>
      <c r="CG426" s="2004">
        <v>0</v>
      </c>
      <c r="CH426" s="2004">
        <v>0</v>
      </c>
      <c r="CI426" s="2004">
        <v>1</v>
      </c>
      <c r="CJ426" s="2004" t="s">
        <v>2337</v>
      </c>
      <c r="CK426" s="2004">
        <v>0</v>
      </c>
      <c r="CL426" s="2004">
        <v>0</v>
      </c>
      <c r="CM426" s="2004">
        <v>0</v>
      </c>
      <c r="CN426" s="2004">
        <v>0</v>
      </c>
      <c r="CP426" s="2004" t="s">
        <v>11638</v>
      </c>
    </row>
    <row r="427" spans="1:94">
      <c r="A427" s="2004" t="s">
        <v>11523</v>
      </c>
      <c r="B427" s="2004" t="s">
        <v>11639</v>
      </c>
      <c r="C427" s="2004" t="s">
        <v>9047</v>
      </c>
      <c r="D427" s="2004" t="s">
        <v>1629</v>
      </c>
      <c r="E427" s="2004" t="s">
        <v>9410</v>
      </c>
      <c r="F427" s="2004" t="s">
        <v>11575</v>
      </c>
      <c r="G427" s="2004" t="s">
        <v>11640</v>
      </c>
      <c r="H427" s="2004" t="s">
        <v>11641</v>
      </c>
      <c r="I427" s="2004" t="s">
        <v>11642</v>
      </c>
      <c r="J427" s="2004" t="s">
        <v>9199</v>
      </c>
      <c r="K427" s="2004" t="s">
        <v>11533</v>
      </c>
      <c r="L427" s="2004"/>
      <c r="M427" s="2004"/>
      <c r="N427" s="2004" t="s">
        <v>9450</v>
      </c>
      <c r="O427" s="2004" t="s">
        <v>766</v>
      </c>
      <c r="P427" s="2004" t="s">
        <v>9451</v>
      </c>
      <c r="Q427" s="516">
        <v>0</v>
      </c>
      <c r="R427" s="2004" t="s">
        <v>9202</v>
      </c>
      <c r="S427" s="2004">
        <v>207</v>
      </c>
      <c r="T427" s="2004">
        <v>204</v>
      </c>
      <c r="U427" s="2004">
        <v>201</v>
      </c>
      <c r="V427" s="2004">
        <v>198</v>
      </c>
      <c r="W427" s="2004">
        <v>195</v>
      </c>
      <c r="X427" s="2004">
        <v>191</v>
      </c>
      <c r="Y427" s="2004"/>
      <c r="Z427" s="2004"/>
      <c r="AA427" s="2004"/>
      <c r="AB427" s="2004" t="s">
        <v>2337</v>
      </c>
      <c r="AC427" s="2004"/>
      <c r="AD427" s="2004"/>
      <c r="AE427" s="2004" t="s">
        <v>2337</v>
      </c>
      <c r="AF427" s="2004"/>
      <c r="AG427" s="2004"/>
      <c r="AH427" s="2004">
        <v>0</v>
      </c>
      <c r="AI427" s="2004" t="s">
        <v>2337</v>
      </c>
      <c r="AJ427" s="2004" t="s">
        <v>2337</v>
      </c>
      <c r="AK427" s="2004" t="s">
        <v>2337</v>
      </c>
      <c r="AL427" s="2004" t="s">
        <v>2337</v>
      </c>
      <c r="AM427" s="2004" t="s">
        <v>2337</v>
      </c>
      <c r="AN427" s="2004">
        <v>223</v>
      </c>
      <c r="AO427" s="2004">
        <v>220</v>
      </c>
      <c r="AP427" s="2004">
        <v>217</v>
      </c>
      <c r="AQ427" s="2004">
        <v>214</v>
      </c>
      <c r="AR427" s="2004">
        <v>210</v>
      </c>
      <c r="AS427" s="2004">
        <v>211</v>
      </c>
      <c r="AT427" s="2004">
        <v>208</v>
      </c>
      <c r="AU427" s="2004">
        <v>205</v>
      </c>
      <c r="AV427" s="2004">
        <v>202</v>
      </c>
      <c r="AW427" s="2004">
        <v>198</v>
      </c>
      <c r="AX427" s="2004">
        <v>197</v>
      </c>
      <c r="AY427" s="2004">
        <v>194</v>
      </c>
      <c r="AZ427" s="2004">
        <v>191</v>
      </c>
      <c r="BA427" s="2004">
        <v>188</v>
      </c>
      <c r="BB427" s="2004">
        <v>184</v>
      </c>
      <c r="BC427" s="2004">
        <v>175</v>
      </c>
      <c r="BD427" s="2004">
        <v>172</v>
      </c>
      <c r="BE427" s="2004">
        <v>169</v>
      </c>
      <c r="BF427" s="2004">
        <v>166</v>
      </c>
      <c r="BG427" s="2004">
        <v>162</v>
      </c>
      <c r="BH427" s="2004">
        <v>0.28199999999999997</v>
      </c>
      <c r="BI427" s="2004"/>
      <c r="BJ427" s="2004"/>
      <c r="BK427" s="2004"/>
      <c r="BL427" s="2004">
        <v>0.14899999999999999</v>
      </c>
      <c r="BM427" s="2004"/>
      <c r="BN427" s="2004">
        <v>1</v>
      </c>
      <c r="BO427" s="2004" t="s">
        <v>9203</v>
      </c>
      <c r="BP427" s="516">
        <v>212</v>
      </c>
      <c r="BQ427" s="689">
        <v>136</v>
      </c>
      <c r="BR427" s="2004" t="s">
        <v>2337</v>
      </c>
      <c r="BS427" s="2004" t="s">
        <v>9204</v>
      </c>
      <c r="BT427" s="2004">
        <v>0</v>
      </c>
      <c r="BU427" s="2004" t="s">
        <v>2339</v>
      </c>
      <c r="BV427" s="2004">
        <v>3.278</v>
      </c>
      <c r="BW427" s="2004">
        <v>150</v>
      </c>
      <c r="BX427" s="2004" t="s">
        <v>2337</v>
      </c>
      <c r="BY427" s="2004">
        <v>0</v>
      </c>
      <c r="BZ427" s="2004">
        <v>0</v>
      </c>
      <c r="CA427" s="2004" t="s">
        <v>2339</v>
      </c>
      <c r="CB427" s="2004">
        <v>3.278</v>
      </c>
      <c r="CC427" s="2004">
        <v>129</v>
      </c>
      <c r="CD427" s="2004" t="s">
        <v>2337</v>
      </c>
      <c r="CE427" s="2004">
        <v>0</v>
      </c>
      <c r="CF427" s="2004">
        <v>0</v>
      </c>
      <c r="CG427" s="2004" t="s">
        <v>2339</v>
      </c>
      <c r="CH427" s="2004">
        <v>3.278</v>
      </c>
      <c r="CI427" s="2004">
        <v>143</v>
      </c>
      <c r="CJ427" s="2004" t="s">
        <v>2337</v>
      </c>
      <c r="CK427" s="2004">
        <v>0</v>
      </c>
      <c r="CL427" s="2004">
        <v>0</v>
      </c>
      <c r="CM427" s="2004" t="s">
        <v>2339</v>
      </c>
      <c r="CN427" s="2004">
        <v>3.278</v>
      </c>
      <c r="CP427" s="2004" t="s">
        <v>11643</v>
      </c>
    </row>
    <row r="428" spans="1:94">
      <c r="A428" s="2004" t="s">
        <v>11523</v>
      </c>
      <c r="B428" s="2004" t="s">
        <v>11644</v>
      </c>
      <c r="C428" s="2004" t="s">
        <v>9047</v>
      </c>
      <c r="D428" s="2004" t="s">
        <v>1629</v>
      </c>
      <c r="E428" s="2004" t="s">
        <v>9410</v>
      </c>
      <c r="F428" s="2004" t="s">
        <v>11575</v>
      </c>
      <c r="G428" s="2004" t="s">
        <v>11645</v>
      </c>
      <c r="H428" s="2004" t="s">
        <v>11646</v>
      </c>
      <c r="I428" s="2004" t="s">
        <v>11647</v>
      </c>
      <c r="J428" s="2004" t="s">
        <v>9210</v>
      </c>
      <c r="K428" s="2004" t="s">
        <v>11533</v>
      </c>
      <c r="L428" s="2004"/>
      <c r="M428" s="2004"/>
      <c r="N428" s="2004" t="s">
        <v>911</v>
      </c>
      <c r="O428" s="2004" t="s">
        <v>734</v>
      </c>
      <c r="P428" s="2004" t="s">
        <v>11110</v>
      </c>
      <c r="Q428" s="516">
        <v>2</v>
      </c>
      <c r="R428" s="2004" t="s">
        <v>9240</v>
      </c>
      <c r="S428" s="2004">
        <v>100</v>
      </c>
      <c r="T428" s="2004">
        <v>100</v>
      </c>
      <c r="U428" s="2004">
        <v>100</v>
      </c>
      <c r="V428" s="2004">
        <v>100</v>
      </c>
      <c r="W428" s="2004">
        <v>100</v>
      </c>
      <c r="X428" s="2004">
        <v>100</v>
      </c>
      <c r="Y428" s="2004"/>
      <c r="Z428" s="2004"/>
      <c r="AA428" s="2004"/>
      <c r="AB428" s="2004"/>
      <c r="AC428" s="2004"/>
      <c r="AD428" s="2004"/>
      <c r="AE428" s="2004"/>
      <c r="AF428" s="2004"/>
      <c r="AG428" s="2004"/>
      <c r="AH428" s="2004">
        <v>0</v>
      </c>
      <c r="AI428" s="2004" t="s">
        <v>2337</v>
      </c>
      <c r="AJ428" s="2004" t="s">
        <v>2337</v>
      </c>
      <c r="AK428" s="2004" t="s">
        <v>2337</v>
      </c>
      <c r="AL428" s="2004" t="s">
        <v>2337</v>
      </c>
      <c r="AM428" s="2004" t="s">
        <v>2337</v>
      </c>
      <c r="AN428" s="2004">
        <v>96.72</v>
      </c>
      <c r="AO428" s="2004">
        <v>96.72</v>
      </c>
      <c r="AP428" s="2004">
        <v>96.72</v>
      </c>
      <c r="AQ428" s="2004">
        <v>96.72</v>
      </c>
      <c r="AR428" s="2004">
        <v>96.72</v>
      </c>
      <c r="AS428" s="2004">
        <v>99.85</v>
      </c>
      <c r="AT428" s="2004">
        <v>99.85</v>
      </c>
      <c r="AU428" s="2004">
        <v>99.85</v>
      </c>
      <c r="AV428" s="2004">
        <v>99.85</v>
      </c>
      <c r="AW428" s="2004">
        <v>99.85</v>
      </c>
      <c r="AX428" s="2004"/>
      <c r="AY428" s="2004"/>
      <c r="AZ428" s="2004"/>
      <c r="BA428" s="2004"/>
      <c r="BB428" s="2004"/>
      <c r="BC428" s="2004"/>
      <c r="BD428" s="2004"/>
      <c r="BE428" s="2004"/>
      <c r="BF428" s="2004"/>
      <c r="BG428" s="2004"/>
      <c r="BH428" s="2004">
        <v>5.1079999999999997</v>
      </c>
      <c r="BI428" s="2004"/>
      <c r="BJ428" s="2004"/>
      <c r="BK428" s="2004"/>
      <c r="BL428" s="2004"/>
      <c r="BM428" s="2004"/>
      <c r="BN428" s="2004">
        <v>1</v>
      </c>
      <c r="BO428" s="2004" t="s">
        <v>9203</v>
      </c>
      <c r="BP428" s="516">
        <v>100</v>
      </c>
      <c r="BQ428" s="690">
        <v>100</v>
      </c>
      <c r="BR428" s="2004" t="s">
        <v>2337</v>
      </c>
      <c r="BS428" s="2004" t="s">
        <v>9204</v>
      </c>
      <c r="BT428" s="2004">
        <v>0</v>
      </c>
      <c r="BU428" s="2004" t="s">
        <v>9204</v>
      </c>
      <c r="BV428" s="2004">
        <v>0</v>
      </c>
      <c r="BW428" s="2004">
        <v>100</v>
      </c>
      <c r="BX428" s="2004" t="s">
        <v>2337</v>
      </c>
      <c r="BY428" s="2004">
        <v>0</v>
      </c>
      <c r="BZ428" s="2004">
        <v>0</v>
      </c>
      <c r="CA428" s="2004">
        <v>0</v>
      </c>
      <c r="CB428" s="2004">
        <v>0</v>
      </c>
      <c r="CC428" s="2004">
        <v>100</v>
      </c>
      <c r="CD428" s="2004" t="s">
        <v>2337</v>
      </c>
      <c r="CE428" s="2004">
        <v>0</v>
      </c>
      <c r="CF428" s="2004">
        <v>0</v>
      </c>
      <c r="CG428" s="2004">
        <v>0</v>
      </c>
      <c r="CH428" s="2004">
        <v>0</v>
      </c>
      <c r="CI428" s="2004">
        <v>100</v>
      </c>
      <c r="CJ428" s="2004" t="s">
        <v>2337</v>
      </c>
      <c r="CK428" s="2004">
        <v>0</v>
      </c>
      <c r="CL428" s="2004">
        <v>0</v>
      </c>
      <c r="CM428" s="2004">
        <v>0</v>
      </c>
      <c r="CN428" s="2004">
        <v>0</v>
      </c>
      <c r="CP428" s="2004" t="s">
        <v>11648</v>
      </c>
    </row>
    <row r="429" spans="1:94">
      <c r="A429" s="2004" t="s">
        <v>11523</v>
      </c>
      <c r="B429" s="2004" t="s">
        <v>11649</v>
      </c>
      <c r="C429" s="2004" t="s">
        <v>9047</v>
      </c>
      <c r="D429" s="2004" t="s">
        <v>9275</v>
      </c>
      <c r="E429" s="2004" t="s">
        <v>9276</v>
      </c>
      <c r="F429" s="2004" t="s">
        <v>11650</v>
      </c>
      <c r="G429" s="2004" t="s">
        <v>11651</v>
      </c>
      <c r="H429" s="2004" t="s">
        <v>11652</v>
      </c>
      <c r="I429" s="2004" t="s">
        <v>11653</v>
      </c>
      <c r="J429" s="2004" t="s">
        <v>9199</v>
      </c>
      <c r="K429" s="2004" t="s">
        <v>9200</v>
      </c>
      <c r="L429" s="2004"/>
      <c r="M429" s="2004" t="s">
        <v>2334</v>
      </c>
      <c r="N429" s="2004" t="s">
        <v>9281</v>
      </c>
      <c r="O429" s="2004" t="s">
        <v>9487</v>
      </c>
      <c r="P429" s="2004" t="s">
        <v>9641</v>
      </c>
      <c r="Q429" s="516">
        <v>2</v>
      </c>
      <c r="R429" s="2004" t="s">
        <v>9240</v>
      </c>
      <c r="S429" s="2004" t="s">
        <v>10955</v>
      </c>
      <c r="T429" s="2004" t="s">
        <v>10131</v>
      </c>
      <c r="U429" s="2004" t="s">
        <v>10131</v>
      </c>
      <c r="V429" s="2004" t="s">
        <v>10131</v>
      </c>
      <c r="W429" s="2004" t="s">
        <v>10131</v>
      </c>
      <c r="X429" s="2004" t="s">
        <v>10131</v>
      </c>
      <c r="Y429" s="2004"/>
      <c r="Z429" s="2004"/>
      <c r="AA429" s="2004"/>
      <c r="AB429" s="2004"/>
      <c r="AC429" s="2004"/>
      <c r="AD429" s="2004"/>
      <c r="AE429" s="2004"/>
      <c r="AF429" s="2004"/>
      <c r="AG429" s="2004"/>
      <c r="AH429" s="2004">
        <v>0</v>
      </c>
      <c r="AI429" s="2004" t="s">
        <v>2337</v>
      </c>
      <c r="AJ429" s="2004" t="s">
        <v>2337</v>
      </c>
      <c r="AK429" s="2004" t="s">
        <v>2337</v>
      </c>
      <c r="AL429" s="2004" t="s">
        <v>2337</v>
      </c>
      <c r="AM429" s="2004" t="s">
        <v>2337</v>
      </c>
      <c r="AN429" s="2004" t="s">
        <v>9284</v>
      </c>
      <c r="AO429" s="2004" t="s">
        <v>9284</v>
      </c>
      <c r="AP429" s="2004" t="s">
        <v>9284</v>
      </c>
      <c r="AQ429" s="2004" t="s">
        <v>9284</v>
      </c>
      <c r="AR429" s="2004" t="s">
        <v>9284</v>
      </c>
      <c r="AS429" s="2004" t="s">
        <v>9284</v>
      </c>
      <c r="AT429" s="2004" t="s">
        <v>9284</v>
      </c>
      <c r="AU429" s="2004" t="s">
        <v>9284</v>
      </c>
      <c r="AV429" s="2004" t="s">
        <v>9284</v>
      </c>
      <c r="AW429" s="2004" t="s">
        <v>9284</v>
      </c>
      <c r="AX429" s="2004" t="s">
        <v>9284</v>
      </c>
      <c r="AY429" s="2004" t="s">
        <v>9284</v>
      </c>
      <c r="AZ429" s="2004" t="s">
        <v>9284</v>
      </c>
      <c r="BA429" s="2004" t="s">
        <v>9284</v>
      </c>
      <c r="BB429" s="2004" t="s">
        <v>9284</v>
      </c>
      <c r="BC429" s="2004" t="s">
        <v>9284</v>
      </c>
      <c r="BD429" s="2004" t="s">
        <v>9284</v>
      </c>
      <c r="BE429" s="2004" t="s">
        <v>9284</v>
      </c>
      <c r="BF429" s="2004" t="s">
        <v>9284</v>
      </c>
      <c r="BG429" s="2004" t="s">
        <v>9284</v>
      </c>
      <c r="BH429" s="2004" t="s">
        <v>9284</v>
      </c>
      <c r="BI429" s="2004"/>
      <c r="BJ429" s="2004"/>
      <c r="BK429" s="2004"/>
      <c r="BL429" s="2004" t="s">
        <v>9284</v>
      </c>
      <c r="BM429" s="2004"/>
      <c r="BN429" s="2004">
        <v>1</v>
      </c>
      <c r="BO429" s="2004" t="s">
        <v>9203</v>
      </c>
      <c r="BP429" s="516">
        <v>81</v>
      </c>
      <c r="BQ429" s="690">
        <v>81.55</v>
      </c>
      <c r="BR429" s="2004" t="s">
        <v>2334</v>
      </c>
      <c r="BS429" s="2004" t="s">
        <v>9204</v>
      </c>
      <c r="BT429" s="2004">
        <v>0</v>
      </c>
      <c r="BU429" s="2004" t="s">
        <v>9204</v>
      </c>
      <c r="BV429" s="2004">
        <v>0</v>
      </c>
      <c r="BW429" s="2004">
        <v>85.44</v>
      </c>
      <c r="BX429" s="2004" t="s">
        <v>2334</v>
      </c>
      <c r="BY429" s="2004">
        <v>0</v>
      </c>
      <c r="BZ429" s="2004">
        <v>0</v>
      </c>
      <c r="CA429" s="2004">
        <v>0</v>
      </c>
      <c r="CB429" s="2004">
        <v>0</v>
      </c>
      <c r="CC429" s="2004">
        <v>86.873881667676727</v>
      </c>
      <c r="CD429" s="2004" t="s">
        <v>2335</v>
      </c>
      <c r="CE429" s="2004">
        <v>0</v>
      </c>
      <c r="CF429" s="2004">
        <v>0</v>
      </c>
      <c r="CG429" s="2004">
        <v>0</v>
      </c>
      <c r="CH429" s="2004">
        <v>0</v>
      </c>
      <c r="CI429" s="2004">
        <v>87.639669640685241</v>
      </c>
      <c r="CJ429" s="2004" t="s">
        <v>2337</v>
      </c>
      <c r="CK429" s="2004">
        <v>0</v>
      </c>
      <c r="CL429" s="2004">
        <v>0</v>
      </c>
      <c r="CM429" s="2004">
        <v>0</v>
      </c>
      <c r="CN429" s="2004">
        <v>0</v>
      </c>
      <c r="CP429" s="2004" t="s">
        <v>11654</v>
      </c>
    </row>
    <row r="430" spans="1:94">
      <c r="A430" s="2004" t="s">
        <v>11523</v>
      </c>
      <c r="B430" s="2004" t="s">
        <v>11655</v>
      </c>
      <c r="C430" s="2004" t="s">
        <v>9047</v>
      </c>
      <c r="D430" s="2004" t="s">
        <v>9275</v>
      </c>
      <c r="E430" s="2004" t="s">
        <v>9276</v>
      </c>
      <c r="F430" s="2004" t="s">
        <v>11650</v>
      </c>
      <c r="G430" s="2004" t="s">
        <v>9287</v>
      </c>
      <c r="H430" s="2004" t="s">
        <v>11656</v>
      </c>
      <c r="I430" s="2004" t="s">
        <v>11657</v>
      </c>
      <c r="J430" s="2004" t="s">
        <v>9210</v>
      </c>
      <c r="K430" s="2004" t="s">
        <v>9200</v>
      </c>
      <c r="L430" s="2004"/>
      <c r="M430" s="2004" t="s">
        <v>2334</v>
      </c>
      <c r="N430" s="2004" t="s">
        <v>9386</v>
      </c>
      <c r="O430" s="2004" t="s">
        <v>51</v>
      </c>
      <c r="P430" s="2004" t="s">
        <v>10059</v>
      </c>
      <c r="Q430" s="516">
        <v>3</v>
      </c>
      <c r="R430" s="2004" t="s">
        <v>9240</v>
      </c>
      <c r="S430" s="2004">
        <v>0</v>
      </c>
      <c r="T430" s="2004">
        <v>1.0529999999999999</v>
      </c>
      <c r="U430" s="2004">
        <v>3.37</v>
      </c>
      <c r="V430" s="2004">
        <v>6.3959999999999999</v>
      </c>
      <c r="W430" s="2004">
        <v>10.86</v>
      </c>
      <c r="X430" s="2004">
        <v>17.768999999999998</v>
      </c>
      <c r="Y430" s="2004"/>
      <c r="Z430" s="2004"/>
      <c r="AA430" s="2004"/>
      <c r="AB430" s="2004"/>
      <c r="AC430" s="2004"/>
      <c r="AD430" s="2004" t="s">
        <v>2337</v>
      </c>
      <c r="AE430" s="2004"/>
      <c r="AF430" s="2004"/>
      <c r="AG430" s="2004"/>
      <c r="AH430" s="2004">
        <v>0</v>
      </c>
      <c r="AI430" s="2004"/>
      <c r="AJ430" s="2004"/>
      <c r="AK430" s="2004"/>
      <c r="AL430" s="2004" t="s">
        <v>2337</v>
      </c>
      <c r="AM430" s="2004" t="s">
        <v>2337</v>
      </c>
      <c r="AN430" s="2004"/>
      <c r="AO430" s="2004"/>
      <c r="AP430" s="2004"/>
      <c r="AQ430" s="2004"/>
      <c r="AR430" s="2004">
        <v>0</v>
      </c>
      <c r="AS430" s="2004"/>
      <c r="AT430" s="2004"/>
      <c r="AU430" s="2004"/>
      <c r="AV430" s="2004"/>
      <c r="AW430" s="2004">
        <v>17.768999999999998</v>
      </c>
      <c r="AX430" s="2004"/>
      <c r="AY430" s="2004"/>
      <c r="AZ430" s="2004"/>
      <c r="BA430" s="2004"/>
      <c r="BB430" s="2004"/>
      <c r="BC430" s="2004"/>
      <c r="BD430" s="2004"/>
      <c r="BE430" s="2004"/>
      <c r="BF430" s="2004"/>
      <c r="BG430" s="2004"/>
      <c r="BH430" s="2004" t="s">
        <v>10441</v>
      </c>
      <c r="BI430" s="2004">
        <v>8.8800000000000008</v>
      </c>
      <c r="BJ430" s="2004"/>
      <c r="BK430" s="2004"/>
      <c r="BL430" s="2004"/>
      <c r="BM430" s="2004"/>
      <c r="BN430" s="2004">
        <v>1</v>
      </c>
      <c r="BO430" s="2004" t="s">
        <v>9203</v>
      </c>
      <c r="BP430" s="516">
        <v>0</v>
      </c>
      <c r="BQ430" s="700">
        <v>1E-3</v>
      </c>
      <c r="BR430" s="2004" t="s">
        <v>2334</v>
      </c>
      <c r="BS430" s="2004" t="s">
        <v>9204</v>
      </c>
      <c r="BT430" s="2004">
        <v>0</v>
      </c>
      <c r="BU430" s="2004" t="s">
        <v>9204</v>
      </c>
      <c r="BV430" s="2004">
        <v>0</v>
      </c>
      <c r="BW430" s="2004">
        <v>0.36328700000000003</v>
      </c>
      <c r="BX430" s="2004" t="s">
        <v>2334</v>
      </c>
      <c r="BY430" s="2004">
        <v>0</v>
      </c>
      <c r="BZ430" s="2004">
        <v>0</v>
      </c>
      <c r="CA430" s="2004">
        <v>0</v>
      </c>
      <c r="CB430" s="2004">
        <v>0</v>
      </c>
      <c r="CC430" s="2004">
        <v>2.5760000000000001</v>
      </c>
      <c r="CD430" s="2004" t="s">
        <v>2334</v>
      </c>
      <c r="CE430" s="2004">
        <v>0</v>
      </c>
      <c r="CF430" s="2004">
        <v>0</v>
      </c>
      <c r="CG430" s="2004">
        <v>0</v>
      </c>
      <c r="CH430" s="2004">
        <v>0</v>
      </c>
      <c r="CI430" s="2004">
        <v>5.6849999999999996</v>
      </c>
      <c r="CJ430" s="2004" t="s">
        <v>2334</v>
      </c>
      <c r="CK430" s="2004">
        <v>0</v>
      </c>
      <c r="CL430" s="2004">
        <v>0</v>
      </c>
      <c r="CM430" s="2004">
        <v>0</v>
      </c>
      <c r="CN430" s="2004">
        <v>0</v>
      </c>
      <c r="CP430" s="2004" t="s">
        <v>11658</v>
      </c>
    </row>
    <row r="431" spans="1:94">
      <c r="A431" s="2004" t="s">
        <v>11523</v>
      </c>
      <c r="B431" s="2004" t="s">
        <v>11659</v>
      </c>
      <c r="C431" s="2004" t="s">
        <v>9047</v>
      </c>
      <c r="D431" s="2004" t="s">
        <v>9275</v>
      </c>
      <c r="E431" s="2004" t="s">
        <v>9276</v>
      </c>
      <c r="F431" s="2004" t="s">
        <v>11587</v>
      </c>
      <c r="G431" s="2004" t="s">
        <v>7930</v>
      </c>
      <c r="H431" s="2004" t="s">
        <v>11660</v>
      </c>
      <c r="I431" s="2004" t="s">
        <v>11661</v>
      </c>
      <c r="J431" s="2004" t="s">
        <v>9230</v>
      </c>
      <c r="K431" s="2004"/>
      <c r="L431" s="2004"/>
      <c r="M431" s="2004"/>
      <c r="N431" s="2004" t="s">
        <v>9290</v>
      </c>
      <c r="O431" s="2004" t="s">
        <v>734</v>
      </c>
      <c r="P431" s="2004" t="s">
        <v>9387</v>
      </c>
      <c r="Q431" s="516">
        <v>0</v>
      </c>
      <c r="R431" s="2004" t="s">
        <v>9240</v>
      </c>
      <c r="S431" s="2004">
        <v>48</v>
      </c>
      <c r="T431" s="2004">
        <v>49</v>
      </c>
      <c r="U431" s="2004">
        <v>50</v>
      </c>
      <c r="V431" s="2004">
        <v>51</v>
      </c>
      <c r="W431" s="2004">
        <v>52</v>
      </c>
      <c r="X431" s="2004">
        <v>53</v>
      </c>
      <c r="Y431" s="2004"/>
      <c r="Z431" s="2004"/>
      <c r="AA431" s="2004"/>
      <c r="AB431" s="2004"/>
      <c r="AC431" s="2004"/>
      <c r="AD431" s="2004"/>
      <c r="AE431" s="2004"/>
      <c r="AF431" s="2004"/>
      <c r="AG431" s="2004"/>
      <c r="AH431" s="2004">
        <v>0</v>
      </c>
      <c r="AI431" s="2004"/>
      <c r="AJ431" s="2004"/>
      <c r="AK431" s="2004"/>
      <c r="AL431" s="2004"/>
      <c r="AM431" s="2004"/>
      <c r="AN431" s="2004"/>
      <c r="AO431" s="2004"/>
      <c r="AP431" s="2004"/>
      <c r="AQ431" s="2004"/>
      <c r="AR431" s="2004"/>
      <c r="AS431" s="2004"/>
      <c r="AT431" s="2004"/>
      <c r="AU431" s="2004"/>
      <c r="AV431" s="2004"/>
      <c r="AW431" s="2004"/>
      <c r="AX431" s="2004"/>
      <c r="AY431" s="2004"/>
      <c r="AZ431" s="2004"/>
      <c r="BA431" s="2004"/>
      <c r="BB431" s="2004"/>
      <c r="BC431" s="2004"/>
      <c r="BD431" s="2004"/>
      <c r="BE431" s="2004"/>
      <c r="BF431" s="2004"/>
      <c r="BG431" s="2004"/>
      <c r="BH431" s="2004"/>
      <c r="BI431" s="2004"/>
      <c r="BJ431" s="2004"/>
      <c r="BK431" s="2004"/>
      <c r="BL431" s="2004"/>
      <c r="BM431" s="2004"/>
      <c r="BN431" s="2004"/>
      <c r="BO431" s="2004"/>
      <c r="BP431" s="516">
        <v>51</v>
      </c>
      <c r="BQ431" s="689">
        <v>50</v>
      </c>
      <c r="BR431" s="2004" t="s">
        <v>2337</v>
      </c>
      <c r="BS431" s="2004" t="s">
        <v>9204</v>
      </c>
      <c r="BT431" s="2004">
        <v>0</v>
      </c>
      <c r="BU431" s="2004" t="s">
        <v>9204</v>
      </c>
      <c r="BV431" s="2004">
        <v>0</v>
      </c>
      <c r="BW431" s="2004">
        <v>52</v>
      </c>
      <c r="BX431" s="2004" t="s">
        <v>2337</v>
      </c>
      <c r="BY431" s="2004">
        <v>0</v>
      </c>
      <c r="BZ431" s="2004">
        <v>0</v>
      </c>
      <c r="CA431" s="2004">
        <v>0</v>
      </c>
      <c r="CB431" s="2004">
        <v>0</v>
      </c>
      <c r="CC431" s="2004">
        <v>52</v>
      </c>
      <c r="CD431" s="2004" t="s">
        <v>2337</v>
      </c>
      <c r="CE431" s="2004">
        <v>0</v>
      </c>
      <c r="CF431" s="2004">
        <v>0</v>
      </c>
      <c r="CG431" s="2004">
        <v>0</v>
      </c>
      <c r="CH431" s="2004">
        <v>0</v>
      </c>
      <c r="CI431" s="2004">
        <v>58</v>
      </c>
      <c r="CJ431" s="2004" t="s">
        <v>2337</v>
      </c>
      <c r="CK431" s="2004">
        <v>0</v>
      </c>
      <c r="CL431" s="2004">
        <v>0</v>
      </c>
      <c r="CM431" s="2004">
        <v>0</v>
      </c>
      <c r="CN431" s="2004">
        <v>0</v>
      </c>
      <c r="CP431" s="2004" t="s">
        <v>11662</v>
      </c>
    </row>
    <row r="432" spans="1:94">
      <c r="A432" s="2004" t="s">
        <v>11523</v>
      </c>
      <c r="B432" s="2004" t="s">
        <v>11663</v>
      </c>
      <c r="C432" s="2004" t="s">
        <v>9047</v>
      </c>
      <c r="D432" s="2004" t="s">
        <v>9275</v>
      </c>
      <c r="E432" s="2004" t="s">
        <v>9276</v>
      </c>
      <c r="F432" s="2004" t="s">
        <v>11587</v>
      </c>
      <c r="G432" s="2004" t="s">
        <v>7931</v>
      </c>
      <c r="H432" s="2004" t="s">
        <v>11664</v>
      </c>
      <c r="I432" s="2004" t="s">
        <v>11665</v>
      </c>
      <c r="J432" s="2004" t="s">
        <v>9230</v>
      </c>
      <c r="K432" s="2004"/>
      <c r="L432" s="2004"/>
      <c r="M432" s="2004"/>
      <c r="N432" s="2004" t="s">
        <v>9211</v>
      </c>
      <c r="O432" s="2004" t="s">
        <v>766</v>
      </c>
      <c r="P432" s="2004" t="s">
        <v>9345</v>
      </c>
      <c r="Q432" s="516">
        <v>0</v>
      </c>
      <c r="R432" s="2004" t="s">
        <v>9202</v>
      </c>
      <c r="S432" s="2004">
        <v>297</v>
      </c>
      <c r="T432" s="2004">
        <v>294</v>
      </c>
      <c r="U432" s="2004">
        <v>292</v>
      </c>
      <c r="V432" s="2004">
        <v>289</v>
      </c>
      <c r="W432" s="2004">
        <v>286</v>
      </c>
      <c r="X432" s="2004">
        <v>284</v>
      </c>
      <c r="Y432" s="2004"/>
      <c r="Z432" s="2004"/>
      <c r="AA432" s="2004"/>
      <c r="AB432" s="2004"/>
      <c r="AC432" s="2004"/>
      <c r="AD432" s="2004"/>
      <c r="AE432" s="2004"/>
      <c r="AF432" s="2004"/>
      <c r="AG432" s="2004"/>
      <c r="AH432" s="2004">
        <v>0</v>
      </c>
      <c r="AI432" s="2004"/>
      <c r="AJ432" s="2004"/>
      <c r="AK432" s="2004"/>
      <c r="AL432" s="2004"/>
      <c r="AM432" s="2004"/>
      <c r="AN432" s="2004"/>
      <c r="AO432" s="2004"/>
      <c r="AP432" s="2004"/>
      <c r="AQ432" s="2004"/>
      <c r="AR432" s="2004"/>
      <c r="AS432" s="2004"/>
      <c r="AT432" s="2004"/>
      <c r="AU432" s="2004"/>
      <c r="AV432" s="2004"/>
      <c r="AW432" s="2004"/>
      <c r="AX432" s="2004"/>
      <c r="AY432" s="2004"/>
      <c r="AZ432" s="2004"/>
      <c r="BA432" s="2004"/>
      <c r="BB432" s="2004"/>
      <c r="BC432" s="2004"/>
      <c r="BD432" s="2004"/>
      <c r="BE432" s="2004"/>
      <c r="BF432" s="2004"/>
      <c r="BG432" s="2004"/>
      <c r="BH432" s="2004"/>
      <c r="BI432" s="2004"/>
      <c r="BJ432" s="2004"/>
      <c r="BK432" s="2004"/>
      <c r="BL432" s="2004"/>
      <c r="BM432" s="2004"/>
      <c r="BN432" s="2004"/>
      <c r="BO432" s="2004"/>
      <c r="BP432" s="516">
        <v>304.10000000000002</v>
      </c>
      <c r="BQ432" s="689">
        <v>303</v>
      </c>
      <c r="BR432" s="2004" t="s">
        <v>2334</v>
      </c>
      <c r="BS432" s="2004" t="s">
        <v>9204</v>
      </c>
      <c r="BT432" s="2004">
        <v>0</v>
      </c>
      <c r="BU432" s="2004" t="s">
        <v>9204</v>
      </c>
      <c r="BV432" s="2004">
        <v>0</v>
      </c>
      <c r="BW432" s="2004">
        <v>305</v>
      </c>
      <c r="BX432" s="2004" t="s">
        <v>2334</v>
      </c>
      <c r="BY432" s="2004">
        <v>0</v>
      </c>
      <c r="BZ432" s="2004">
        <v>0</v>
      </c>
      <c r="CA432" s="2004">
        <v>0</v>
      </c>
      <c r="CB432" s="2004">
        <v>0</v>
      </c>
      <c r="CC432" s="2004">
        <v>311</v>
      </c>
      <c r="CD432" s="2004" t="s">
        <v>2334</v>
      </c>
      <c r="CE432" s="2004">
        <v>0</v>
      </c>
      <c r="CF432" s="2004">
        <v>0</v>
      </c>
      <c r="CG432" s="2004">
        <v>0</v>
      </c>
      <c r="CH432" s="2004">
        <v>0</v>
      </c>
      <c r="CI432" s="2004">
        <v>314.0734882776373</v>
      </c>
      <c r="CJ432" s="2004" t="s">
        <v>2334</v>
      </c>
      <c r="CK432" s="2004">
        <v>0</v>
      </c>
      <c r="CL432" s="2004">
        <v>0</v>
      </c>
      <c r="CM432" s="2004">
        <v>0</v>
      </c>
      <c r="CN432" s="2004">
        <v>0</v>
      </c>
      <c r="CP432" s="2004" t="s">
        <v>11666</v>
      </c>
    </row>
    <row r="433" spans="1:94">
      <c r="A433" s="2004" t="s">
        <v>9054</v>
      </c>
      <c r="B433" s="2004" t="s">
        <v>11667</v>
      </c>
      <c r="C433" s="2004" t="s">
        <v>9047</v>
      </c>
      <c r="D433" s="2004" t="s">
        <v>1628</v>
      </c>
      <c r="E433" s="2004" t="s">
        <v>9194</v>
      </c>
      <c r="F433" s="2004" t="s">
        <v>9571</v>
      </c>
      <c r="G433" s="2004" t="s">
        <v>7928</v>
      </c>
      <c r="H433" s="2004" t="s">
        <v>11668</v>
      </c>
      <c r="I433" s="2004" t="s">
        <v>11669</v>
      </c>
      <c r="J433" s="2004" t="s">
        <v>9210</v>
      </c>
      <c r="K433" s="2004" t="s">
        <v>9200</v>
      </c>
      <c r="L433" s="2004"/>
      <c r="M433" s="2004"/>
      <c r="N433" s="2004" t="s">
        <v>9238</v>
      </c>
      <c r="O433" s="2004" t="s">
        <v>734</v>
      </c>
      <c r="P433" s="2004" t="s">
        <v>9239</v>
      </c>
      <c r="Q433" s="516">
        <v>2</v>
      </c>
      <c r="R433" s="2004" t="s">
        <v>9240</v>
      </c>
      <c r="S433" s="2004">
        <v>99.98</v>
      </c>
      <c r="T433" s="2004">
        <v>99.98</v>
      </c>
      <c r="U433" s="2004">
        <v>99.98</v>
      </c>
      <c r="V433" s="2004">
        <v>100</v>
      </c>
      <c r="W433" s="2004">
        <v>100</v>
      </c>
      <c r="X433" s="2004">
        <v>100</v>
      </c>
      <c r="Y433" s="2004" t="s">
        <v>2337</v>
      </c>
      <c r="Z433" s="2004"/>
      <c r="AA433" s="2004"/>
      <c r="AB433" s="2004"/>
      <c r="AC433" s="2004"/>
      <c r="AD433" s="2004"/>
      <c r="AE433" s="2004" t="s">
        <v>2337</v>
      </c>
      <c r="AF433" s="2004"/>
      <c r="AG433" s="2004"/>
      <c r="AH433" s="2004">
        <v>0</v>
      </c>
      <c r="AI433" s="2004" t="s">
        <v>2337</v>
      </c>
      <c r="AJ433" s="2004" t="s">
        <v>2337</v>
      </c>
      <c r="AK433" s="2004" t="s">
        <v>2337</v>
      </c>
      <c r="AL433" s="2004" t="s">
        <v>2337</v>
      </c>
      <c r="AM433" s="2004" t="s">
        <v>2337</v>
      </c>
      <c r="AN433" s="2004">
        <v>99.91</v>
      </c>
      <c r="AO433" s="2004">
        <v>99.91</v>
      </c>
      <c r="AP433" s="2004">
        <v>99.91</v>
      </c>
      <c r="AQ433" s="2004">
        <v>99.91</v>
      </c>
      <c r="AR433" s="2004">
        <v>99.91</v>
      </c>
      <c r="AS433" s="2004">
        <v>99.95</v>
      </c>
      <c r="AT433" s="2004">
        <v>99.95</v>
      </c>
      <c r="AU433" s="2004">
        <v>99.95</v>
      </c>
      <c r="AV433" s="2004">
        <v>99.95</v>
      </c>
      <c r="AW433" s="2004">
        <v>99.95</v>
      </c>
      <c r="AX433" s="2004"/>
      <c r="AY433" s="2004"/>
      <c r="AZ433" s="2004"/>
      <c r="BA433" s="2004"/>
      <c r="BB433" s="2004"/>
      <c r="BC433" s="2004"/>
      <c r="BD433" s="2004"/>
      <c r="BE433" s="2004"/>
      <c r="BF433" s="2004"/>
      <c r="BG433" s="2004"/>
      <c r="BH433" s="2004">
        <v>2.5</v>
      </c>
      <c r="BI433" s="2004"/>
      <c r="BJ433" s="2004"/>
      <c r="BK433" s="2004"/>
      <c r="BL433" s="2004"/>
      <c r="BM433" s="2004"/>
      <c r="BN433" s="2004">
        <v>100</v>
      </c>
      <c r="BO433" s="2004" t="s">
        <v>9574</v>
      </c>
      <c r="BP433" s="516">
        <v>99.94</v>
      </c>
      <c r="BQ433" s="690">
        <v>99.96</v>
      </c>
      <c r="BR433" s="2004" t="s">
        <v>2334</v>
      </c>
      <c r="BS433" s="2004" t="s">
        <v>9204</v>
      </c>
      <c r="BT433" s="2004">
        <v>0</v>
      </c>
      <c r="BU433" s="2004" t="s">
        <v>9120</v>
      </c>
      <c r="BV433" s="2004">
        <v>0</v>
      </c>
      <c r="BW433" s="2004">
        <v>99.97</v>
      </c>
      <c r="BX433" s="2004" t="s">
        <v>2334</v>
      </c>
      <c r="BY433" s="2004">
        <v>0</v>
      </c>
      <c r="BZ433" s="2004">
        <v>0</v>
      </c>
      <c r="CA433" s="2004" t="s">
        <v>9120</v>
      </c>
      <c r="CB433" s="2004">
        <v>0</v>
      </c>
      <c r="CC433" s="2004">
        <v>99.96</v>
      </c>
      <c r="CD433" s="2004" t="s">
        <v>2334</v>
      </c>
      <c r="CE433" s="2004">
        <v>0</v>
      </c>
      <c r="CF433" s="2004">
        <v>0</v>
      </c>
      <c r="CG433" s="2004" t="s">
        <v>2340</v>
      </c>
      <c r="CH433" s="2004">
        <v>0</v>
      </c>
      <c r="CI433" s="2004">
        <v>99.97</v>
      </c>
      <c r="CJ433" s="2004" t="s">
        <v>2334</v>
      </c>
      <c r="CK433" s="2004">
        <v>0</v>
      </c>
      <c r="CL433" s="2004">
        <v>0</v>
      </c>
      <c r="CM433" s="2004" t="s">
        <v>2340</v>
      </c>
      <c r="CN433" s="2004">
        <v>0</v>
      </c>
      <c r="CP433" s="2004" t="s">
        <v>11670</v>
      </c>
    </row>
    <row r="434" spans="1:94">
      <c r="A434" s="2004" t="s">
        <v>9054</v>
      </c>
      <c r="B434" s="2004" t="s">
        <v>11671</v>
      </c>
      <c r="C434" s="2004" t="s">
        <v>9047</v>
      </c>
      <c r="D434" s="2004" t="s">
        <v>1628</v>
      </c>
      <c r="E434" s="2004" t="s">
        <v>9194</v>
      </c>
      <c r="F434" s="2004" t="s">
        <v>9571</v>
      </c>
      <c r="G434" s="2004" t="s">
        <v>7929</v>
      </c>
      <c r="H434" s="2004" t="s">
        <v>11672</v>
      </c>
      <c r="I434" s="2004" t="s">
        <v>11673</v>
      </c>
      <c r="J434" s="2004" t="s">
        <v>9199</v>
      </c>
      <c r="K434" s="2004" t="s">
        <v>9200</v>
      </c>
      <c r="L434" s="2004"/>
      <c r="M434" s="2004"/>
      <c r="N434" s="2004" t="s">
        <v>9154</v>
      </c>
      <c r="O434" s="2004" t="s">
        <v>766</v>
      </c>
      <c r="P434" s="2004" t="s">
        <v>10657</v>
      </c>
      <c r="Q434" s="516">
        <v>2</v>
      </c>
      <c r="R434" s="2004" t="s">
        <v>9202</v>
      </c>
      <c r="S434" s="2004">
        <v>3.2</v>
      </c>
      <c r="T434" s="2004">
        <v>2.54</v>
      </c>
      <c r="U434" s="2004">
        <v>1.89</v>
      </c>
      <c r="V434" s="2004">
        <v>1.23</v>
      </c>
      <c r="W434" s="2004">
        <v>1.23</v>
      </c>
      <c r="X434" s="2004">
        <v>1.23</v>
      </c>
      <c r="Y434" s="2004"/>
      <c r="Z434" s="2004" t="s">
        <v>2337</v>
      </c>
      <c r="AA434" s="2004"/>
      <c r="AB434" s="2004"/>
      <c r="AC434" s="2004"/>
      <c r="AD434" s="2004"/>
      <c r="AE434" s="2004" t="s">
        <v>2337</v>
      </c>
      <c r="AF434" s="2004"/>
      <c r="AG434" s="2004"/>
      <c r="AH434" s="2004">
        <v>0</v>
      </c>
      <c r="AI434" s="2004" t="s">
        <v>2337</v>
      </c>
      <c r="AJ434" s="2004" t="s">
        <v>2337</v>
      </c>
      <c r="AK434" s="2004" t="s">
        <v>2337</v>
      </c>
      <c r="AL434" s="2004" t="s">
        <v>2337</v>
      </c>
      <c r="AM434" s="2004" t="s">
        <v>2337</v>
      </c>
      <c r="AN434" s="2004">
        <v>3.4</v>
      </c>
      <c r="AO434" s="2004">
        <v>3.4</v>
      </c>
      <c r="AP434" s="2004">
        <v>1.43</v>
      </c>
      <c r="AQ434" s="2004">
        <v>1.43</v>
      </c>
      <c r="AR434" s="2004">
        <v>1.43</v>
      </c>
      <c r="AS434" s="2004">
        <v>3.2</v>
      </c>
      <c r="AT434" s="2004">
        <v>3.2</v>
      </c>
      <c r="AU434" s="2004">
        <v>1.23</v>
      </c>
      <c r="AV434" s="2004">
        <v>1.23</v>
      </c>
      <c r="AW434" s="2004">
        <v>1.23</v>
      </c>
      <c r="AX434" s="2004">
        <v>1.23</v>
      </c>
      <c r="AY434" s="2004">
        <v>1.23</v>
      </c>
      <c r="AZ434" s="2004">
        <v>1.23</v>
      </c>
      <c r="BA434" s="2004">
        <v>1.23</v>
      </c>
      <c r="BB434" s="2004">
        <v>1.23</v>
      </c>
      <c r="BC434" s="2004">
        <v>1.03</v>
      </c>
      <c r="BD434" s="2004">
        <v>1.03</v>
      </c>
      <c r="BE434" s="2004">
        <v>1.03</v>
      </c>
      <c r="BF434" s="2004">
        <v>1.03</v>
      </c>
      <c r="BG434" s="2004">
        <v>1.03</v>
      </c>
      <c r="BH434" s="2004">
        <v>9.3000000000000007</v>
      </c>
      <c r="BI434" s="2004"/>
      <c r="BJ434" s="2004"/>
      <c r="BK434" s="2004"/>
      <c r="BL434" s="2004">
        <v>9.3000000000000007</v>
      </c>
      <c r="BM434" s="2004"/>
      <c r="BN434" s="2004">
        <v>1</v>
      </c>
      <c r="BO434" s="2004" t="s">
        <v>9203</v>
      </c>
      <c r="BP434" s="516">
        <v>3.53</v>
      </c>
      <c r="BQ434" s="690">
        <v>3.08</v>
      </c>
      <c r="BR434" s="2004" t="s">
        <v>2334</v>
      </c>
      <c r="BS434" s="2004" t="s">
        <v>9204</v>
      </c>
      <c r="BT434" s="2004">
        <v>0</v>
      </c>
      <c r="BU434" s="2004" t="s">
        <v>9120</v>
      </c>
      <c r="BV434" s="2004">
        <v>0</v>
      </c>
      <c r="BW434" s="2004">
        <v>3.2</v>
      </c>
      <c r="BX434" s="2004" t="s">
        <v>2334</v>
      </c>
      <c r="BY434" s="2004">
        <v>0</v>
      </c>
      <c r="BZ434" s="2004">
        <v>0</v>
      </c>
      <c r="CA434" s="2004" t="s">
        <v>9120</v>
      </c>
      <c r="CB434" s="2004">
        <v>0</v>
      </c>
      <c r="CC434" s="2004">
        <v>3.19</v>
      </c>
      <c r="CD434" s="2004" t="s">
        <v>2334</v>
      </c>
      <c r="CE434" s="2004">
        <v>0</v>
      </c>
      <c r="CF434" s="2004">
        <v>0</v>
      </c>
      <c r="CG434" s="2004" t="s">
        <v>2336</v>
      </c>
      <c r="CH434" s="2004">
        <v>-1.86</v>
      </c>
      <c r="CI434" s="2004">
        <v>3.28</v>
      </c>
      <c r="CJ434" s="2004" t="s">
        <v>2334</v>
      </c>
      <c r="CK434" s="2004">
        <v>0</v>
      </c>
      <c r="CL434" s="2004">
        <v>0</v>
      </c>
      <c r="CM434" s="2004" t="s">
        <v>2336</v>
      </c>
      <c r="CN434" s="2004">
        <v>-1.86</v>
      </c>
      <c r="CP434" s="2004" t="s">
        <v>11674</v>
      </c>
    </row>
    <row r="435" spans="1:94">
      <c r="A435" s="2004" t="s">
        <v>9054</v>
      </c>
      <c r="B435" s="2004" t="s">
        <v>11675</v>
      </c>
      <c r="C435" s="2004" t="s">
        <v>9047</v>
      </c>
      <c r="D435" s="2004" t="s">
        <v>1628</v>
      </c>
      <c r="E435" s="2004" t="s">
        <v>9194</v>
      </c>
      <c r="F435" s="2004" t="s">
        <v>9571</v>
      </c>
      <c r="G435" s="2004" t="s">
        <v>8928</v>
      </c>
      <c r="H435" s="2004" t="s">
        <v>11676</v>
      </c>
      <c r="I435" s="2004" t="s">
        <v>11677</v>
      </c>
      <c r="J435" s="2004" t="s">
        <v>9199</v>
      </c>
      <c r="K435" s="2004" t="s">
        <v>9200</v>
      </c>
      <c r="L435" s="2004"/>
      <c r="M435" s="2004"/>
      <c r="N435" s="2004" t="s">
        <v>2951</v>
      </c>
      <c r="O435" s="2004" t="s">
        <v>9298</v>
      </c>
      <c r="P435" s="2004" t="s">
        <v>11678</v>
      </c>
      <c r="Q435" s="516">
        <v>1</v>
      </c>
      <c r="R435" s="2004" t="s">
        <v>9202</v>
      </c>
      <c r="S435" s="2004">
        <v>48</v>
      </c>
      <c r="T435" s="2004">
        <v>36</v>
      </c>
      <c r="U435" s="2004">
        <v>24</v>
      </c>
      <c r="V435" s="2004">
        <v>12</v>
      </c>
      <c r="W435" s="2004">
        <v>12</v>
      </c>
      <c r="X435" s="2004">
        <v>12</v>
      </c>
      <c r="Y435" s="2004"/>
      <c r="Z435" s="2004"/>
      <c r="AA435" s="2004" t="s">
        <v>2337</v>
      </c>
      <c r="AB435" s="2004"/>
      <c r="AC435" s="2004"/>
      <c r="AD435" s="2004"/>
      <c r="AE435" s="2004" t="s">
        <v>2337</v>
      </c>
      <c r="AF435" s="2004"/>
      <c r="AG435" s="2004"/>
      <c r="AH435" s="2004">
        <v>0</v>
      </c>
      <c r="AI435" s="2004" t="s">
        <v>2337</v>
      </c>
      <c r="AJ435" s="2004" t="s">
        <v>2337</v>
      </c>
      <c r="AK435" s="2004" t="s">
        <v>2337</v>
      </c>
      <c r="AL435" s="2004" t="s">
        <v>2337</v>
      </c>
      <c r="AM435" s="2004" t="s">
        <v>2337</v>
      </c>
      <c r="AN435" s="2004">
        <v>68</v>
      </c>
      <c r="AO435" s="2004">
        <v>68</v>
      </c>
      <c r="AP435" s="2004">
        <v>32</v>
      </c>
      <c r="AQ435" s="2004">
        <v>32</v>
      </c>
      <c r="AR435" s="2004">
        <v>32</v>
      </c>
      <c r="AS435" s="2004">
        <v>48</v>
      </c>
      <c r="AT435" s="2004">
        <v>48</v>
      </c>
      <c r="AU435" s="2004">
        <v>12</v>
      </c>
      <c r="AV435" s="2004">
        <v>12</v>
      </c>
      <c r="AW435" s="2004">
        <v>12</v>
      </c>
      <c r="AX435" s="2004">
        <v>12</v>
      </c>
      <c r="AY435" s="2004">
        <v>12</v>
      </c>
      <c r="AZ435" s="2004">
        <v>12</v>
      </c>
      <c r="BA435" s="2004">
        <v>12</v>
      </c>
      <c r="BB435" s="2004">
        <v>12</v>
      </c>
      <c r="BC435" s="2004">
        <v>0</v>
      </c>
      <c r="BD435" s="2004">
        <v>0</v>
      </c>
      <c r="BE435" s="2004">
        <v>0</v>
      </c>
      <c r="BF435" s="2004">
        <v>0</v>
      </c>
      <c r="BG435" s="2004">
        <v>0</v>
      </c>
      <c r="BH435" s="2004">
        <v>0.19500000000000001</v>
      </c>
      <c r="BI435" s="2004"/>
      <c r="BJ435" s="2004"/>
      <c r="BK435" s="2004"/>
      <c r="BL435" s="2004">
        <v>0.19500000000000001</v>
      </c>
      <c r="BM435" s="2004"/>
      <c r="BN435" s="2004">
        <v>1</v>
      </c>
      <c r="BO435" s="2004" t="s">
        <v>9203</v>
      </c>
      <c r="BP435" s="516">
        <v>23</v>
      </c>
      <c r="BQ435" s="686">
        <v>21.7</v>
      </c>
      <c r="BR435" s="2004" t="s">
        <v>2337</v>
      </c>
      <c r="BS435" s="2004" t="s">
        <v>9204</v>
      </c>
      <c r="BT435" s="2004">
        <v>0</v>
      </c>
      <c r="BU435" s="2004" t="s">
        <v>9074</v>
      </c>
      <c r="BV435" s="2004">
        <v>0</v>
      </c>
      <c r="BW435" s="2004">
        <v>12.15</v>
      </c>
      <c r="BX435" s="2004" t="s">
        <v>2337</v>
      </c>
      <c r="BY435" s="2004">
        <v>0</v>
      </c>
      <c r="BZ435" s="2004">
        <v>0</v>
      </c>
      <c r="CA435" s="2004" t="s">
        <v>9074</v>
      </c>
      <c r="CB435" s="2004">
        <v>0</v>
      </c>
      <c r="CC435" s="2004">
        <v>43.3</v>
      </c>
      <c r="CD435" s="2004" t="s">
        <v>2334</v>
      </c>
      <c r="CE435" s="2004">
        <v>0</v>
      </c>
      <c r="CF435" s="2004">
        <v>0</v>
      </c>
      <c r="CG435" s="2004" t="s">
        <v>2336</v>
      </c>
      <c r="CH435" s="2004">
        <v>-3.9</v>
      </c>
      <c r="CI435" s="2004">
        <v>16</v>
      </c>
      <c r="CJ435" s="2004" t="s">
        <v>2334</v>
      </c>
      <c r="CK435" s="2004">
        <v>0</v>
      </c>
      <c r="CL435" s="2004">
        <v>0</v>
      </c>
      <c r="CM435" s="2004" t="s">
        <v>2336</v>
      </c>
      <c r="CN435" s="2004">
        <v>-0.78</v>
      </c>
      <c r="CP435" s="2004" t="s">
        <v>11679</v>
      </c>
    </row>
    <row r="436" spans="1:94">
      <c r="A436" s="2004" t="s">
        <v>9054</v>
      </c>
      <c r="B436" s="2004" t="s">
        <v>11680</v>
      </c>
      <c r="C436" s="2004" t="s">
        <v>9047</v>
      </c>
      <c r="D436" s="2004" t="s">
        <v>1628</v>
      </c>
      <c r="E436" s="2004" t="s">
        <v>9194</v>
      </c>
      <c r="F436" s="2004" t="s">
        <v>11681</v>
      </c>
      <c r="G436" s="2004" t="s">
        <v>7930</v>
      </c>
      <c r="H436" s="2004" t="s">
        <v>11682</v>
      </c>
      <c r="I436" s="2004" t="s">
        <v>11683</v>
      </c>
      <c r="J436" s="2004" t="s">
        <v>9230</v>
      </c>
      <c r="K436" s="2004"/>
      <c r="L436" s="2004"/>
      <c r="M436" s="2004"/>
      <c r="N436" s="2004" t="s">
        <v>9224</v>
      </c>
      <c r="O436" s="2004" t="s">
        <v>734</v>
      </c>
      <c r="P436" s="2004" t="s">
        <v>11684</v>
      </c>
      <c r="Q436" s="516">
        <v>0</v>
      </c>
      <c r="R436" s="2004" t="s">
        <v>9240</v>
      </c>
      <c r="S436" s="2004">
        <v>100</v>
      </c>
      <c r="T436" s="2004">
        <v>100</v>
      </c>
      <c r="U436" s="2004">
        <v>100</v>
      </c>
      <c r="V436" s="2004">
        <v>100</v>
      </c>
      <c r="W436" s="2004">
        <v>100</v>
      </c>
      <c r="X436" s="2004">
        <v>100</v>
      </c>
      <c r="Y436" s="2004"/>
      <c r="Z436" s="2004"/>
      <c r="AA436" s="2004"/>
      <c r="AB436" s="2004"/>
      <c r="AC436" s="2004"/>
      <c r="AD436" s="2004"/>
      <c r="AE436" s="2004"/>
      <c r="AF436" s="2004"/>
      <c r="AG436" s="2004"/>
      <c r="AH436" s="2004">
        <v>0</v>
      </c>
      <c r="AI436" s="2004"/>
      <c r="AJ436" s="2004"/>
      <c r="AK436" s="2004"/>
      <c r="AL436" s="2004"/>
      <c r="AM436" s="2004"/>
      <c r="AN436" s="2004"/>
      <c r="AO436" s="2004"/>
      <c r="AP436" s="2004"/>
      <c r="AQ436" s="2004"/>
      <c r="AR436" s="2004"/>
      <c r="AS436" s="2004"/>
      <c r="AT436" s="2004"/>
      <c r="AU436" s="2004"/>
      <c r="AV436" s="2004"/>
      <c r="AW436" s="2004"/>
      <c r="AX436" s="2004"/>
      <c r="AY436" s="2004"/>
      <c r="AZ436" s="2004"/>
      <c r="BA436" s="2004"/>
      <c r="BB436" s="2004"/>
      <c r="BC436" s="2004"/>
      <c r="BD436" s="2004"/>
      <c r="BE436" s="2004"/>
      <c r="BF436" s="2004"/>
      <c r="BG436" s="2004"/>
      <c r="BH436" s="2004"/>
      <c r="BI436" s="2004"/>
      <c r="BJ436" s="2004"/>
      <c r="BK436" s="2004"/>
      <c r="BL436" s="2004"/>
      <c r="BM436" s="2004"/>
      <c r="BN436" s="2004"/>
      <c r="BO436" s="2004"/>
      <c r="BP436" s="516">
        <v>100</v>
      </c>
      <c r="BQ436" s="689">
        <v>100</v>
      </c>
      <c r="BR436" s="2004" t="s">
        <v>2337</v>
      </c>
      <c r="BS436" s="2004" t="s">
        <v>9204</v>
      </c>
      <c r="BT436" s="2004">
        <v>0</v>
      </c>
      <c r="BU436" s="2004" t="s">
        <v>9204</v>
      </c>
      <c r="BV436" s="2004">
        <v>0</v>
      </c>
      <c r="BW436" s="2004">
        <v>100</v>
      </c>
      <c r="BX436" s="2004" t="s">
        <v>2337</v>
      </c>
      <c r="BY436" s="2004">
        <v>0</v>
      </c>
      <c r="BZ436" s="2004">
        <v>0</v>
      </c>
      <c r="CA436" s="2004">
        <v>0</v>
      </c>
      <c r="CB436" s="2004">
        <v>0</v>
      </c>
      <c r="CC436" s="2004">
        <v>100</v>
      </c>
      <c r="CD436" s="2004" t="s">
        <v>2337</v>
      </c>
      <c r="CE436" s="2004">
        <v>0</v>
      </c>
      <c r="CF436" s="2004">
        <v>0</v>
      </c>
      <c r="CG436" s="2004">
        <v>0</v>
      </c>
      <c r="CH436" s="2004">
        <v>0</v>
      </c>
      <c r="CI436" s="2004">
        <v>100</v>
      </c>
      <c r="CJ436" s="2004" t="s">
        <v>2337</v>
      </c>
      <c r="CK436" s="2004">
        <v>0</v>
      </c>
      <c r="CL436" s="2004">
        <v>0</v>
      </c>
      <c r="CM436" s="2004">
        <v>0</v>
      </c>
      <c r="CN436" s="2004">
        <v>0</v>
      </c>
      <c r="CP436" s="2004" t="s">
        <v>11685</v>
      </c>
    </row>
    <row r="437" spans="1:94">
      <c r="A437" s="2004" t="s">
        <v>9054</v>
      </c>
      <c r="B437" s="2004" t="s">
        <v>11686</v>
      </c>
      <c r="C437" s="2004" t="s">
        <v>9047</v>
      </c>
      <c r="D437" s="2004" t="s">
        <v>1628</v>
      </c>
      <c r="E437" s="2004" t="s">
        <v>9194</v>
      </c>
      <c r="F437" s="2004" t="s">
        <v>11687</v>
      </c>
      <c r="G437" s="2004" t="s">
        <v>8951</v>
      </c>
      <c r="H437" s="2004" t="s">
        <v>11688</v>
      </c>
      <c r="I437" s="2004" t="s">
        <v>11689</v>
      </c>
      <c r="J437" s="2004" t="s">
        <v>9230</v>
      </c>
      <c r="K437" s="2004"/>
      <c r="L437" s="2004"/>
      <c r="M437" s="2004"/>
      <c r="N437" s="2004" t="s">
        <v>9372</v>
      </c>
      <c r="O437" s="2004" t="s">
        <v>766</v>
      </c>
      <c r="P437" s="2004" t="s">
        <v>11296</v>
      </c>
      <c r="Q437" s="516">
        <v>2</v>
      </c>
      <c r="R437" s="2004" t="s">
        <v>9240</v>
      </c>
      <c r="S437" s="2004">
        <v>7.11</v>
      </c>
      <c r="T437" s="2004">
        <v>7.11</v>
      </c>
      <c r="U437" s="2004">
        <v>9.7799999999999994</v>
      </c>
      <c r="V437" s="2004">
        <v>12.45</v>
      </c>
      <c r="W437" s="2004">
        <v>15.11</v>
      </c>
      <c r="X437" s="2004">
        <v>17.78</v>
      </c>
      <c r="Y437" s="2004"/>
      <c r="Z437" s="2004"/>
      <c r="AA437" s="2004"/>
      <c r="AB437" s="2004"/>
      <c r="AC437" s="2004"/>
      <c r="AD437" s="2004"/>
      <c r="AE437" s="2004"/>
      <c r="AF437" s="2004"/>
      <c r="AG437" s="2004"/>
      <c r="AH437" s="2004">
        <v>0</v>
      </c>
      <c r="AI437" s="2004"/>
      <c r="AJ437" s="2004"/>
      <c r="AK437" s="2004"/>
      <c r="AL437" s="2004"/>
      <c r="AM437" s="2004"/>
      <c r="AN437" s="2004"/>
      <c r="AO437" s="2004"/>
      <c r="AP437" s="2004"/>
      <c r="AQ437" s="2004"/>
      <c r="AR437" s="2004"/>
      <c r="AS437" s="2004"/>
      <c r="AT437" s="2004"/>
      <c r="AU437" s="2004"/>
      <c r="AV437" s="2004"/>
      <c r="AW437" s="2004"/>
      <c r="AX437" s="2004"/>
      <c r="AY437" s="2004"/>
      <c r="AZ437" s="2004"/>
      <c r="BA437" s="2004"/>
      <c r="BB437" s="2004"/>
      <c r="BC437" s="2004"/>
      <c r="BD437" s="2004"/>
      <c r="BE437" s="2004"/>
      <c r="BF437" s="2004"/>
      <c r="BG437" s="2004"/>
      <c r="BH437" s="2004"/>
      <c r="BI437" s="2004"/>
      <c r="BJ437" s="2004"/>
      <c r="BK437" s="2004"/>
      <c r="BL437" s="2004"/>
      <c r="BM437" s="2004"/>
      <c r="BN437" s="2004"/>
      <c r="BO437" s="2004"/>
      <c r="BP437" s="516">
        <v>14.02</v>
      </c>
      <c r="BQ437" s="690">
        <v>50.21</v>
      </c>
      <c r="BR437" s="2004" t="s">
        <v>2337</v>
      </c>
      <c r="BS437" s="2004" t="s">
        <v>9204</v>
      </c>
      <c r="BT437" s="2004">
        <v>0</v>
      </c>
      <c r="BU437" s="2004" t="s">
        <v>9204</v>
      </c>
      <c r="BV437" s="2004">
        <v>0</v>
      </c>
      <c r="BW437" s="2004">
        <v>37.49</v>
      </c>
      <c r="BX437" s="2004" t="s">
        <v>2337</v>
      </c>
      <c r="BY437" s="2004">
        <v>0</v>
      </c>
      <c r="BZ437" s="2004">
        <v>0</v>
      </c>
      <c r="CA437" s="2004">
        <v>0</v>
      </c>
      <c r="CB437" s="2004">
        <v>0</v>
      </c>
      <c r="CC437" s="2004">
        <v>42.38</v>
      </c>
      <c r="CD437" s="2004" t="s">
        <v>2337</v>
      </c>
      <c r="CE437" s="2004">
        <v>0</v>
      </c>
      <c r="CF437" s="2004">
        <v>0</v>
      </c>
      <c r="CG437" s="2004">
        <v>0</v>
      </c>
      <c r="CH437" s="2004">
        <v>0</v>
      </c>
      <c r="CI437" s="2004">
        <v>32.590000000000003</v>
      </c>
      <c r="CJ437" s="2004" t="s">
        <v>2337</v>
      </c>
      <c r="CK437" s="2004">
        <v>0</v>
      </c>
      <c r="CL437" s="2004">
        <v>0</v>
      </c>
      <c r="CM437" s="2004">
        <v>0</v>
      </c>
      <c r="CN437" s="2004">
        <v>0</v>
      </c>
      <c r="CP437" s="2004" t="s">
        <v>11690</v>
      </c>
    </row>
    <row r="438" spans="1:94">
      <c r="A438" s="2004" t="s">
        <v>9054</v>
      </c>
      <c r="B438" s="2004" t="s">
        <v>11691</v>
      </c>
      <c r="C438" s="2004" t="s">
        <v>9047</v>
      </c>
      <c r="D438" s="2004" t="s">
        <v>1628</v>
      </c>
      <c r="E438" s="2004" t="s">
        <v>9194</v>
      </c>
      <c r="F438" s="2004" t="s">
        <v>11692</v>
      </c>
      <c r="G438" s="2004" t="s">
        <v>8955</v>
      </c>
      <c r="H438" s="2004" t="s">
        <v>11693</v>
      </c>
      <c r="I438" s="2004" t="s">
        <v>11694</v>
      </c>
      <c r="J438" s="2004" t="s">
        <v>9199</v>
      </c>
      <c r="K438" s="2004" t="s">
        <v>9200</v>
      </c>
      <c r="L438" s="2004"/>
      <c r="M438" s="2004" t="s">
        <v>2334</v>
      </c>
      <c r="N438" s="2004" t="s">
        <v>9281</v>
      </c>
      <c r="O438" s="2004" t="s">
        <v>9487</v>
      </c>
      <c r="P438" s="2004" t="s">
        <v>9641</v>
      </c>
      <c r="Q438" s="516" t="s">
        <v>9203</v>
      </c>
      <c r="R438" s="2004" t="s">
        <v>9240</v>
      </c>
      <c r="S438" s="2004" t="s">
        <v>10955</v>
      </c>
      <c r="T438" s="2004" t="s">
        <v>10131</v>
      </c>
      <c r="U438" s="2004" t="s">
        <v>10131</v>
      </c>
      <c r="V438" s="2004" t="s">
        <v>10131</v>
      </c>
      <c r="W438" s="2004" t="s">
        <v>10131</v>
      </c>
      <c r="X438" s="2004" t="s">
        <v>10131</v>
      </c>
      <c r="Y438" s="2004"/>
      <c r="Z438" s="2004"/>
      <c r="AA438" s="2004"/>
      <c r="AB438" s="2004"/>
      <c r="AC438" s="2004"/>
      <c r="AD438" s="2004"/>
      <c r="AE438" s="2004"/>
      <c r="AF438" s="2004"/>
      <c r="AG438" s="2004"/>
      <c r="AH438" s="2004">
        <v>0</v>
      </c>
      <c r="AI438" s="2004" t="s">
        <v>2337</v>
      </c>
      <c r="AJ438" s="2004" t="s">
        <v>2337</v>
      </c>
      <c r="AK438" s="2004" t="s">
        <v>2337</v>
      </c>
      <c r="AL438" s="2004" t="s">
        <v>2337</v>
      </c>
      <c r="AM438" s="2004" t="s">
        <v>2337</v>
      </c>
      <c r="AN438" s="2004" t="s">
        <v>9284</v>
      </c>
      <c r="AO438" s="2004" t="s">
        <v>9284</v>
      </c>
      <c r="AP438" s="2004" t="s">
        <v>9284</v>
      </c>
      <c r="AQ438" s="2004" t="s">
        <v>9284</v>
      </c>
      <c r="AR438" s="2004" t="s">
        <v>9284</v>
      </c>
      <c r="AS438" s="2004" t="s">
        <v>9284</v>
      </c>
      <c r="AT438" s="2004" t="s">
        <v>9284</v>
      </c>
      <c r="AU438" s="2004" t="s">
        <v>9284</v>
      </c>
      <c r="AV438" s="2004" t="s">
        <v>9284</v>
      </c>
      <c r="AW438" s="2004" t="s">
        <v>9284</v>
      </c>
      <c r="AX438" s="2004" t="s">
        <v>9284</v>
      </c>
      <c r="AY438" s="2004" t="s">
        <v>9284</v>
      </c>
      <c r="AZ438" s="2004" t="s">
        <v>9284</v>
      </c>
      <c r="BA438" s="2004" t="s">
        <v>9284</v>
      </c>
      <c r="BB438" s="2004" t="s">
        <v>9284</v>
      </c>
      <c r="BC438" s="2004" t="s">
        <v>9284</v>
      </c>
      <c r="BD438" s="2004" t="s">
        <v>9284</v>
      </c>
      <c r="BE438" s="2004" t="s">
        <v>9284</v>
      </c>
      <c r="BF438" s="2004" t="s">
        <v>9284</v>
      </c>
      <c r="BG438" s="2004" t="s">
        <v>9284</v>
      </c>
      <c r="BH438" s="2004" t="s">
        <v>9284</v>
      </c>
      <c r="BI438" s="2004"/>
      <c r="BJ438" s="2004"/>
      <c r="BK438" s="2004"/>
      <c r="BL438" s="2004" t="s">
        <v>9284</v>
      </c>
      <c r="BM438" s="2004"/>
      <c r="BN438" s="2004">
        <v>1</v>
      </c>
      <c r="BO438" s="2004" t="s">
        <v>9203</v>
      </c>
      <c r="BQ438" s="688">
        <v>83</v>
      </c>
      <c r="BR438" s="2004" t="s">
        <v>2334</v>
      </c>
      <c r="BS438" s="2004" t="s">
        <v>9204</v>
      </c>
      <c r="BT438" s="2004">
        <v>0</v>
      </c>
      <c r="BU438" s="2004" t="s">
        <v>9204</v>
      </c>
      <c r="BV438" s="2004">
        <v>0</v>
      </c>
      <c r="BW438" s="2004">
        <v>82.86</v>
      </c>
      <c r="BX438" s="2004" t="s">
        <v>2334</v>
      </c>
      <c r="BY438" s="2004">
        <v>0</v>
      </c>
      <c r="BZ438" s="2004">
        <v>0</v>
      </c>
      <c r="CA438" s="2004">
        <v>0</v>
      </c>
      <c r="CB438" s="2004">
        <v>0</v>
      </c>
      <c r="CC438" s="2004">
        <v>84.64</v>
      </c>
      <c r="CD438" s="2004" t="s">
        <v>2335</v>
      </c>
      <c r="CE438" s="2004">
        <v>0</v>
      </c>
      <c r="CF438" s="2004">
        <v>0</v>
      </c>
      <c r="CG438" s="2004">
        <v>0</v>
      </c>
      <c r="CH438" s="2004">
        <v>0</v>
      </c>
      <c r="CI438" s="2004">
        <v>86.88</v>
      </c>
      <c r="CJ438" s="2004" t="s">
        <v>2335</v>
      </c>
      <c r="CK438" s="2004">
        <v>0</v>
      </c>
      <c r="CL438" s="2004">
        <v>0</v>
      </c>
      <c r="CM438" s="2004">
        <v>0</v>
      </c>
      <c r="CN438" s="2004">
        <v>0</v>
      </c>
      <c r="CP438" s="2004" t="s">
        <v>11695</v>
      </c>
    </row>
    <row r="439" spans="1:94">
      <c r="A439" s="2004" t="s">
        <v>9054</v>
      </c>
      <c r="B439" s="2004" t="s">
        <v>11696</v>
      </c>
      <c r="C439" s="2004" t="s">
        <v>9047</v>
      </c>
      <c r="D439" s="2004" t="s">
        <v>1628</v>
      </c>
      <c r="E439" s="2004" t="s">
        <v>9194</v>
      </c>
      <c r="F439" s="2004" t="s">
        <v>11692</v>
      </c>
      <c r="G439" s="2004" t="s">
        <v>8958</v>
      </c>
      <c r="H439" s="2004" t="s">
        <v>11697</v>
      </c>
      <c r="I439" s="2004" t="s">
        <v>11698</v>
      </c>
      <c r="J439" s="2004" t="s">
        <v>9230</v>
      </c>
      <c r="K439" s="2004"/>
      <c r="L439" s="2004"/>
      <c r="M439" s="2004"/>
      <c r="N439" s="2004" t="s">
        <v>9386</v>
      </c>
      <c r="O439" s="2004" t="s">
        <v>766</v>
      </c>
      <c r="P439" s="2004" t="s">
        <v>11699</v>
      </c>
      <c r="Q439" s="516">
        <v>0</v>
      </c>
      <c r="R439" s="2004" t="s">
        <v>9202</v>
      </c>
      <c r="S439" s="2004">
        <v>850</v>
      </c>
      <c r="T439" s="2004">
        <v>850</v>
      </c>
      <c r="U439" s="2004">
        <v>750</v>
      </c>
      <c r="V439" s="2004">
        <v>650</v>
      </c>
      <c r="W439" s="2004">
        <v>550</v>
      </c>
      <c r="X439" s="2004">
        <v>425</v>
      </c>
      <c r="Y439" s="2004"/>
      <c r="Z439" s="2004"/>
      <c r="AA439" s="2004"/>
      <c r="AB439" s="2004"/>
      <c r="AC439" s="2004"/>
      <c r="AD439" s="2004"/>
      <c r="AE439" s="2004"/>
      <c r="AF439" s="2004"/>
      <c r="AG439" s="2004"/>
      <c r="AH439" s="2004">
        <v>0</v>
      </c>
      <c r="AI439" s="2004"/>
      <c r="AJ439" s="2004"/>
      <c r="AK439" s="2004"/>
      <c r="AL439" s="2004"/>
      <c r="AM439" s="2004"/>
      <c r="AN439" s="2004"/>
      <c r="AO439" s="2004"/>
      <c r="AP439" s="2004"/>
      <c r="AQ439" s="2004"/>
      <c r="AR439" s="2004"/>
      <c r="AS439" s="2004"/>
      <c r="AT439" s="2004"/>
      <c r="AU439" s="2004"/>
      <c r="AV439" s="2004"/>
      <c r="AW439" s="2004"/>
      <c r="AX439" s="2004"/>
      <c r="AY439" s="2004"/>
      <c r="AZ439" s="2004"/>
      <c r="BA439" s="2004"/>
      <c r="BB439" s="2004"/>
      <c r="BC439" s="2004"/>
      <c r="BD439" s="2004"/>
      <c r="BE439" s="2004"/>
      <c r="BF439" s="2004"/>
      <c r="BG439" s="2004"/>
      <c r="BH439" s="2004"/>
      <c r="BI439" s="2004"/>
      <c r="BJ439" s="2004"/>
      <c r="BK439" s="2004"/>
      <c r="BL439" s="2004"/>
      <c r="BM439" s="2004"/>
      <c r="BN439" s="2004"/>
      <c r="BO439" s="2004"/>
      <c r="BP439" s="516">
        <v>702</v>
      </c>
      <c r="BQ439" s="689">
        <v>648</v>
      </c>
      <c r="BR439" s="2004" t="s">
        <v>2337</v>
      </c>
      <c r="BS439" s="2004" t="s">
        <v>9204</v>
      </c>
      <c r="BT439" s="2004">
        <v>0</v>
      </c>
      <c r="BU439" s="2004" t="s">
        <v>9204</v>
      </c>
      <c r="BV439" s="2004">
        <v>0</v>
      </c>
      <c r="BW439" s="2004">
        <v>575</v>
      </c>
      <c r="BX439" s="2004" t="s">
        <v>2337</v>
      </c>
      <c r="BY439" s="2004">
        <v>0</v>
      </c>
      <c r="BZ439" s="2004">
        <v>0</v>
      </c>
      <c r="CA439" s="2004">
        <v>0</v>
      </c>
      <c r="CB439" s="2004">
        <v>0</v>
      </c>
      <c r="CC439" s="2004">
        <v>613</v>
      </c>
      <c r="CD439" s="2004" t="s">
        <v>2337</v>
      </c>
      <c r="CE439" s="2004">
        <v>0</v>
      </c>
      <c r="CF439" s="2004">
        <v>0</v>
      </c>
      <c r="CG439" s="2004">
        <v>0</v>
      </c>
      <c r="CH439" s="2004">
        <v>0</v>
      </c>
      <c r="CI439" s="2004">
        <v>641</v>
      </c>
      <c r="CJ439" s="2004" t="s">
        <v>2334</v>
      </c>
      <c r="CK439" s="2004">
        <v>0</v>
      </c>
      <c r="CL439" s="2004">
        <v>0</v>
      </c>
      <c r="CM439" s="2004">
        <v>0</v>
      </c>
      <c r="CN439" s="2004">
        <v>0</v>
      </c>
      <c r="CP439" s="2004" t="s">
        <v>11700</v>
      </c>
    </row>
    <row r="440" spans="1:94">
      <c r="A440" s="2004" t="s">
        <v>9054</v>
      </c>
      <c r="B440" s="2004" t="s">
        <v>11701</v>
      </c>
      <c r="C440" s="2004" t="s">
        <v>9047</v>
      </c>
      <c r="D440" s="2004" t="s">
        <v>1628</v>
      </c>
      <c r="E440" s="2004" t="s">
        <v>9194</v>
      </c>
      <c r="F440" s="2004" t="s">
        <v>11692</v>
      </c>
      <c r="G440" s="2004" t="s">
        <v>8967</v>
      </c>
      <c r="H440" s="2004" t="s">
        <v>11702</v>
      </c>
      <c r="I440" s="2004" t="s">
        <v>11703</v>
      </c>
      <c r="J440" s="2004" t="s">
        <v>9230</v>
      </c>
      <c r="K440" s="2004"/>
      <c r="L440" s="2004"/>
      <c r="M440" s="2004"/>
      <c r="N440" s="2004" t="s">
        <v>9386</v>
      </c>
      <c r="O440" s="2004" t="s">
        <v>734</v>
      </c>
      <c r="P440" s="2004" t="s">
        <v>9387</v>
      </c>
      <c r="Q440" s="516">
        <v>0</v>
      </c>
      <c r="R440" s="2004" t="s">
        <v>9240</v>
      </c>
      <c r="S440" s="2004">
        <v>63</v>
      </c>
      <c r="T440" s="2004">
        <v>63</v>
      </c>
      <c r="U440" s="2004">
        <v>66</v>
      </c>
      <c r="V440" s="2004">
        <v>68</v>
      </c>
      <c r="W440" s="2004">
        <v>71</v>
      </c>
      <c r="X440" s="2004">
        <v>75</v>
      </c>
      <c r="Y440" s="2004"/>
      <c r="Z440" s="2004"/>
      <c r="AA440" s="2004"/>
      <c r="AB440" s="2004"/>
      <c r="AC440" s="2004"/>
      <c r="AD440" s="2004"/>
      <c r="AE440" s="2004"/>
      <c r="AF440" s="2004"/>
      <c r="AG440" s="2004"/>
      <c r="AH440" s="2004">
        <v>0</v>
      </c>
      <c r="AI440" s="2004"/>
      <c r="AJ440" s="2004"/>
      <c r="AK440" s="2004"/>
      <c r="AL440" s="2004"/>
      <c r="AM440" s="2004"/>
      <c r="AN440" s="2004"/>
      <c r="AO440" s="2004"/>
      <c r="AP440" s="2004"/>
      <c r="AQ440" s="2004"/>
      <c r="AR440" s="2004"/>
      <c r="AS440" s="2004"/>
      <c r="AT440" s="2004"/>
      <c r="AU440" s="2004"/>
      <c r="AV440" s="2004"/>
      <c r="AW440" s="2004"/>
      <c r="AX440" s="2004"/>
      <c r="AY440" s="2004"/>
      <c r="AZ440" s="2004"/>
      <c r="BA440" s="2004"/>
      <c r="BB440" s="2004"/>
      <c r="BC440" s="2004"/>
      <c r="BD440" s="2004"/>
      <c r="BE440" s="2004"/>
      <c r="BF440" s="2004"/>
      <c r="BG440" s="2004"/>
      <c r="BH440" s="2004"/>
      <c r="BI440" s="2004"/>
      <c r="BJ440" s="2004"/>
      <c r="BK440" s="2004"/>
      <c r="BL440" s="2004"/>
      <c r="BM440" s="2004"/>
      <c r="BN440" s="2004"/>
      <c r="BO440" s="2004"/>
      <c r="BP440" s="516">
        <v>79</v>
      </c>
      <c r="BQ440" s="689">
        <v>82</v>
      </c>
      <c r="BR440" s="2004" t="s">
        <v>2337</v>
      </c>
      <c r="BS440" s="2004" t="s">
        <v>9204</v>
      </c>
      <c r="BT440" s="2004">
        <v>0</v>
      </c>
      <c r="BU440" s="2004" t="s">
        <v>9204</v>
      </c>
      <c r="BV440" s="2004">
        <v>0</v>
      </c>
      <c r="BW440" s="2004">
        <v>85</v>
      </c>
      <c r="BX440" s="2004" t="s">
        <v>2337</v>
      </c>
      <c r="BY440" s="2004">
        <v>0</v>
      </c>
      <c r="BZ440" s="2004">
        <v>0</v>
      </c>
      <c r="CA440" s="2004">
        <v>0</v>
      </c>
      <c r="CB440" s="2004">
        <v>0</v>
      </c>
      <c r="CC440" s="2004">
        <v>84</v>
      </c>
      <c r="CD440" s="2004" t="s">
        <v>2337</v>
      </c>
      <c r="CE440" s="2004">
        <v>0</v>
      </c>
      <c r="CF440" s="2004">
        <v>0</v>
      </c>
      <c r="CG440" s="2004">
        <v>0</v>
      </c>
      <c r="CH440" s="2004">
        <v>0</v>
      </c>
      <c r="CI440" s="2004">
        <v>85</v>
      </c>
      <c r="CJ440" s="2004" t="s">
        <v>2337</v>
      </c>
      <c r="CK440" s="2004">
        <v>0</v>
      </c>
      <c r="CL440" s="2004">
        <v>0</v>
      </c>
      <c r="CM440" s="2004">
        <v>0</v>
      </c>
      <c r="CN440" s="2004">
        <v>0</v>
      </c>
      <c r="CP440" s="2004" t="s">
        <v>11704</v>
      </c>
    </row>
    <row r="441" spans="1:94">
      <c r="A441" s="2004" t="s">
        <v>9054</v>
      </c>
      <c r="B441" s="2004" t="s">
        <v>11705</v>
      </c>
      <c r="C441" s="2004" t="s">
        <v>9047</v>
      </c>
      <c r="D441" s="2004" t="s">
        <v>1628</v>
      </c>
      <c r="E441" s="2004" t="s">
        <v>9194</v>
      </c>
      <c r="F441" s="2004" t="s">
        <v>11706</v>
      </c>
      <c r="G441" s="2004" t="s">
        <v>8971</v>
      </c>
      <c r="H441" s="2004" t="s">
        <v>11707</v>
      </c>
      <c r="I441" s="2004" t="s">
        <v>11708</v>
      </c>
      <c r="J441" s="2004" t="s">
        <v>9230</v>
      </c>
      <c r="K441" s="2004"/>
      <c r="L441" s="2004"/>
      <c r="M441" s="2004"/>
      <c r="N441" s="2004" t="s">
        <v>9290</v>
      </c>
      <c r="O441" s="2004" t="s">
        <v>734</v>
      </c>
      <c r="P441" s="2004" t="s">
        <v>11709</v>
      </c>
      <c r="Q441" s="516">
        <v>0</v>
      </c>
      <c r="R441" s="2004" t="s">
        <v>9202</v>
      </c>
      <c r="S441" s="2004" t="s">
        <v>11710</v>
      </c>
      <c r="T441" s="2004" t="s">
        <v>11711</v>
      </c>
      <c r="U441" s="2004" t="s">
        <v>11711</v>
      </c>
      <c r="V441" s="2004" t="s">
        <v>11711</v>
      </c>
      <c r="W441" s="2004" t="s">
        <v>11711</v>
      </c>
      <c r="X441" s="2004" t="s">
        <v>11711</v>
      </c>
      <c r="Y441" s="2004"/>
      <c r="Z441" s="2004"/>
      <c r="AA441" s="2004"/>
      <c r="AB441" s="2004"/>
      <c r="AC441" s="2004"/>
      <c r="AD441" s="2004"/>
      <c r="AE441" s="2004"/>
      <c r="AF441" s="2004"/>
      <c r="AG441" s="2004"/>
      <c r="AH441" s="2004">
        <v>0</v>
      </c>
      <c r="AI441" s="2004"/>
      <c r="AJ441" s="2004"/>
      <c r="AK441" s="2004"/>
      <c r="AL441" s="2004"/>
      <c r="AM441" s="2004"/>
      <c r="AN441" s="2004"/>
      <c r="AO441" s="2004"/>
      <c r="AP441" s="2004"/>
      <c r="AQ441" s="2004"/>
      <c r="AR441" s="2004"/>
      <c r="AS441" s="2004"/>
      <c r="AT441" s="2004"/>
      <c r="AU441" s="2004"/>
      <c r="AV441" s="2004"/>
      <c r="AW441" s="2004"/>
      <c r="AX441" s="2004"/>
      <c r="AY441" s="2004"/>
      <c r="AZ441" s="2004"/>
      <c r="BA441" s="2004"/>
      <c r="BB441" s="2004"/>
      <c r="BC441" s="2004"/>
      <c r="BD441" s="2004"/>
      <c r="BE441" s="2004"/>
      <c r="BF441" s="2004"/>
      <c r="BG441" s="2004"/>
      <c r="BH441" s="2004"/>
      <c r="BI441" s="2004"/>
      <c r="BJ441" s="2004"/>
      <c r="BK441" s="2004"/>
      <c r="BL441" s="2004"/>
      <c r="BM441" s="2004"/>
      <c r="BN441" s="2004"/>
      <c r="BO441" s="2004"/>
      <c r="BP441" s="516">
        <v>-3</v>
      </c>
      <c r="BQ441" s="688">
        <v>-1</v>
      </c>
      <c r="BR441" s="2004" t="s">
        <v>2337</v>
      </c>
      <c r="BS441" s="2004" t="s">
        <v>9204</v>
      </c>
      <c r="BT441" s="2004">
        <v>0</v>
      </c>
      <c r="BU441" s="2004" t="s">
        <v>9204</v>
      </c>
      <c r="BV441" s="2004">
        <v>0</v>
      </c>
      <c r="BW441" s="2004">
        <v>-1</v>
      </c>
      <c r="BX441" s="2004" t="s">
        <v>2337</v>
      </c>
      <c r="BY441" s="2004">
        <v>0</v>
      </c>
      <c r="BZ441" s="2004">
        <v>0</v>
      </c>
      <c r="CA441" s="2004">
        <v>0</v>
      </c>
      <c r="CB441" s="2004">
        <v>0</v>
      </c>
      <c r="CC441" s="2004">
        <v>-2</v>
      </c>
      <c r="CD441" s="2004" t="s">
        <v>2337</v>
      </c>
      <c r="CE441" s="2004">
        <v>0</v>
      </c>
      <c r="CF441" s="2004">
        <v>0</v>
      </c>
      <c r="CG441" s="2004">
        <v>0</v>
      </c>
      <c r="CH441" s="2004">
        <v>0</v>
      </c>
      <c r="CI441" s="2004">
        <v>-2</v>
      </c>
      <c r="CJ441" s="2004" t="s">
        <v>2337</v>
      </c>
      <c r="CK441" s="2004">
        <v>0</v>
      </c>
      <c r="CL441" s="2004">
        <v>0</v>
      </c>
      <c r="CM441" s="2004">
        <v>0</v>
      </c>
      <c r="CN441" s="2004">
        <v>0</v>
      </c>
      <c r="CP441" s="2004" t="s">
        <v>11712</v>
      </c>
    </row>
    <row r="442" spans="1:94">
      <c r="A442" s="2004" t="s">
        <v>9054</v>
      </c>
      <c r="B442" s="2004" t="s">
        <v>11713</v>
      </c>
      <c r="C442" s="2004" t="s">
        <v>9047</v>
      </c>
      <c r="D442" s="2004" t="s">
        <v>1628</v>
      </c>
      <c r="E442" s="2004" t="s">
        <v>9194</v>
      </c>
      <c r="F442" s="2004" t="s">
        <v>11714</v>
      </c>
      <c r="G442" s="2004" t="s">
        <v>8987</v>
      </c>
      <c r="H442" s="2004" t="s">
        <v>11715</v>
      </c>
      <c r="I442" s="2004" t="s">
        <v>11716</v>
      </c>
      <c r="J442" s="2004" t="s">
        <v>9210</v>
      </c>
      <c r="K442" s="2004" t="s">
        <v>9200</v>
      </c>
      <c r="L442" s="2004"/>
      <c r="M442" s="2004" t="s">
        <v>2334</v>
      </c>
      <c r="N442" s="2004" t="s">
        <v>9260</v>
      </c>
      <c r="O442" s="2004" t="s">
        <v>9395</v>
      </c>
      <c r="P442" s="2004" t="s">
        <v>9546</v>
      </c>
      <c r="Q442" s="516" t="s">
        <v>9203</v>
      </c>
      <c r="R442" s="2004"/>
      <c r="S442" s="2004" t="s">
        <v>2338</v>
      </c>
      <c r="T442" s="2004" t="s">
        <v>2338</v>
      </c>
      <c r="U442" s="2004" t="s">
        <v>2338</v>
      </c>
      <c r="V442" s="2004" t="s">
        <v>2338</v>
      </c>
      <c r="W442" s="2004" t="s">
        <v>2338</v>
      </c>
      <c r="X442" s="2004" t="s">
        <v>2338</v>
      </c>
      <c r="Y442" s="2004"/>
      <c r="Z442" s="2004"/>
      <c r="AA442" s="2004"/>
      <c r="AB442" s="2004"/>
      <c r="AC442" s="2004"/>
      <c r="AD442" s="2004"/>
      <c r="AE442" s="2004" t="s">
        <v>2337</v>
      </c>
      <c r="AF442" s="2004"/>
      <c r="AG442" s="2004"/>
      <c r="AH442" s="2004">
        <v>11</v>
      </c>
      <c r="AI442" s="2004" t="s">
        <v>2337</v>
      </c>
      <c r="AJ442" s="2004" t="s">
        <v>2337</v>
      </c>
      <c r="AK442" s="2004" t="s">
        <v>2337</v>
      </c>
      <c r="AL442" s="2004" t="s">
        <v>2337</v>
      </c>
      <c r="AM442" s="2004" t="s">
        <v>2337</v>
      </c>
      <c r="AN442" s="2004" t="s">
        <v>9547</v>
      </c>
      <c r="AO442" s="2004" t="s">
        <v>9547</v>
      </c>
      <c r="AP442" s="2004" t="s">
        <v>9547</v>
      </c>
      <c r="AQ442" s="2004" t="s">
        <v>9547</v>
      </c>
      <c r="AR442" s="2004" t="s">
        <v>9547</v>
      </c>
      <c r="AS442" s="2004" t="s">
        <v>9548</v>
      </c>
      <c r="AT442" s="2004" t="s">
        <v>9548</v>
      </c>
      <c r="AU442" s="2004" t="s">
        <v>9548</v>
      </c>
      <c r="AV442" s="2004" t="s">
        <v>9548</v>
      </c>
      <c r="AW442" s="2004" t="s">
        <v>9548</v>
      </c>
      <c r="AX442" s="2004"/>
      <c r="AY442" s="2004"/>
      <c r="AZ442" s="2004"/>
      <c r="BA442" s="2004"/>
      <c r="BB442" s="2004"/>
      <c r="BC442" s="2004"/>
      <c r="BD442" s="2004"/>
      <c r="BE442" s="2004"/>
      <c r="BF442" s="2004"/>
      <c r="BG442" s="2004"/>
      <c r="BH442" s="2004">
        <v>20</v>
      </c>
      <c r="BI442" s="2004"/>
      <c r="BJ442" s="2004"/>
      <c r="BK442" s="2004"/>
      <c r="BL442" s="2004"/>
      <c r="BM442" s="2004"/>
      <c r="BN442" s="2004">
        <v>1</v>
      </c>
      <c r="BO442" s="2004" t="s">
        <v>9203</v>
      </c>
      <c r="BP442" s="516" t="s">
        <v>2338</v>
      </c>
      <c r="BQ442" s="688" t="s">
        <v>2338</v>
      </c>
      <c r="BR442" s="2004" t="s">
        <v>2337</v>
      </c>
      <c r="BS442" s="2004" t="s">
        <v>9204</v>
      </c>
      <c r="BT442" s="2004">
        <v>0</v>
      </c>
      <c r="BU442" s="2004" t="s">
        <v>9204</v>
      </c>
      <c r="BV442" s="2004">
        <v>0</v>
      </c>
      <c r="BW442" s="2004" t="s">
        <v>2338</v>
      </c>
      <c r="BX442" s="2004" t="s">
        <v>2337</v>
      </c>
      <c r="BY442" s="2004">
        <v>0</v>
      </c>
      <c r="BZ442" s="2004">
        <v>0</v>
      </c>
      <c r="CA442" s="2004">
        <v>0</v>
      </c>
      <c r="CB442" s="2004">
        <v>0</v>
      </c>
      <c r="CC442" s="2004" t="s">
        <v>2338</v>
      </c>
      <c r="CD442" s="2004" t="s">
        <v>2337</v>
      </c>
      <c r="CE442" s="2004">
        <v>0</v>
      </c>
      <c r="CF442" s="2004">
        <v>0</v>
      </c>
      <c r="CG442" s="2004">
        <v>0</v>
      </c>
      <c r="CH442" s="2004">
        <v>0</v>
      </c>
      <c r="CI442" s="2004" t="s">
        <v>2338</v>
      </c>
      <c r="CJ442" s="2004" t="s">
        <v>2337</v>
      </c>
      <c r="CK442" s="2004">
        <v>0</v>
      </c>
      <c r="CL442" s="2004">
        <v>0</v>
      </c>
      <c r="CM442" s="2004">
        <v>0</v>
      </c>
      <c r="CN442" s="2004">
        <v>0</v>
      </c>
      <c r="CP442" s="2004" t="s">
        <v>11717</v>
      </c>
    </row>
    <row r="443" spans="1:94">
      <c r="A443" s="2004" t="s">
        <v>9054</v>
      </c>
      <c r="B443" s="2004" t="s">
        <v>11718</v>
      </c>
      <c r="C443" s="2004" t="s">
        <v>9047</v>
      </c>
      <c r="D443" s="2004" t="s">
        <v>1628</v>
      </c>
      <c r="E443" s="2004" t="s">
        <v>9194</v>
      </c>
      <c r="F443" s="2004" t="s">
        <v>11714</v>
      </c>
      <c r="G443" s="2004" t="s">
        <v>8990</v>
      </c>
      <c r="H443" s="2004" t="s">
        <v>11719</v>
      </c>
      <c r="I443" s="2004" t="s">
        <v>11720</v>
      </c>
      <c r="J443" s="2004" t="s">
        <v>9199</v>
      </c>
      <c r="K443" s="2004" t="s">
        <v>9200</v>
      </c>
      <c r="L443" s="2004"/>
      <c r="M443" s="2004"/>
      <c r="N443" s="2004" t="s">
        <v>2927</v>
      </c>
      <c r="O443" s="2004" t="s">
        <v>766</v>
      </c>
      <c r="P443" s="2004" t="s">
        <v>9201</v>
      </c>
      <c r="Q443" s="516">
        <v>0</v>
      </c>
      <c r="R443" s="2004" t="s">
        <v>9202</v>
      </c>
      <c r="S443" s="2004">
        <v>184</v>
      </c>
      <c r="T443" s="2004">
        <v>181</v>
      </c>
      <c r="U443" s="2004">
        <v>177</v>
      </c>
      <c r="V443" s="2004">
        <v>173</v>
      </c>
      <c r="W443" s="2004">
        <v>171</v>
      </c>
      <c r="X443" s="2004">
        <v>169</v>
      </c>
      <c r="Y443" s="2004"/>
      <c r="Z443" s="2004"/>
      <c r="AA443" s="2004"/>
      <c r="AB443" s="2004"/>
      <c r="AC443" s="2004"/>
      <c r="AD443" s="2004"/>
      <c r="AE443" s="2004" t="s">
        <v>2337</v>
      </c>
      <c r="AF443" s="2004"/>
      <c r="AG443" s="2004"/>
      <c r="AH443" s="2004">
        <v>0</v>
      </c>
      <c r="AI443" s="2004" t="s">
        <v>2337</v>
      </c>
      <c r="AJ443" s="2004" t="s">
        <v>2337</v>
      </c>
      <c r="AK443" s="2004" t="s">
        <v>2337</v>
      </c>
      <c r="AL443" s="2004" t="s">
        <v>2337</v>
      </c>
      <c r="AM443" s="2004" t="s">
        <v>2337</v>
      </c>
      <c r="AN443" s="2004">
        <v>191</v>
      </c>
      <c r="AO443" s="2004">
        <v>187</v>
      </c>
      <c r="AP443" s="2004">
        <v>183</v>
      </c>
      <c r="AQ443" s="2004">
        <v>181</v>
      </c>
      <c r="AR443" s="2004">
        <v>179</v>
      </c>
      <c r="AS443" s="2004">
        <v>186</v>
      </c>
      <c r="AT443" s="2004">
        <v>182</v>
      </c>
      <c r="AU443" s="2004">
        <v>178</v>
      </c>
      <c r="AV443" s="2004">
        <v>176</v>
      </c>
      <c r="AW443" s="2004">
        <v>174</v>
      </c>
      <c r="AX443" s="2004">
        <v>176</v>
      </c>
      <c r="AY443" s="2004">
        <v>172</v>
      </c>
      <c r="AZ443" s="2004">
        <v>168</v>
      </c>
      <c r="BA443" s="2004">
        <v>166</v>
      </c>
      <c r="BB443" s="2004">
        <v>164</v>
      </c>
      <c r="BC443" s="2004">
        <v>171</v>
      </c>
      <c r="BD443" s="2004">
        <v>167</v>
      </c>
      <c r="BE443" s="2004">
        <v>163</v>
      </c>
      <c r="BF443" s="2004">
        <v>161</v>
      </c>
      <c r="BG443" s="2004">
        <v>159</v>
      </c>
      <c r="BH443" s="2004">
        <v>1.84</v>
      </c>
      <c r="BI443" s="2004"/>
      <c r="BJ443" s="2004"/>
      <c r="BK443" s="2004"/>
      <c r="BL443" s="2004">
        <v>0.92</v>
      </c>
      <c r="BM443" s="2004"/>
      <c r="BN443" s="2004">
        <v>1</v>
      </c>
      <c r="BO443" s="2004" t="s">
        <v>9203</v>
      </c>
      <c r="BP443" s="516">
        <v>180</v>
      </c>
      <c r="BQ443" s="689">
        <v>180</v>
      </c>
      <c r="BR443" s="2004" t="s">
        <v>2337</v>
      </c>
      <c r="BS443" s="2004" t="s">
        <v>9204</v>
      </c>
      <c r="BT443" s="2004">
        <v>0</v>
      </c>
      <c r="BU443" s="2004" t="s">
        <v>9074</v>
      </c>
      <c r="BV443" s="2004">
        <v>0</v>
      </c>
      <c r="BW443" s="2004">
        <v>175</v>
      </c>
      <c r="BX443" s="2004" t="s">
        <v>2337</v>
      </c>
      <c r="BY443" s="2004">
        <v>0</v>
      </c>
      <c r="BZ443" s="2004">
        <v>0</v>
      </c>
      <c r="CA443" s="2004" t="s">
        <v>9074</v>
      </c>
      <c r="CB443" s="2004">
        <v>0</v>
      </c>
      <c r="CC443" s="2004">
        <v>173</v>
      </c>
      <c r="CD443" s="2004" t="s">
        <v>2337</v>
      </c>
      <c r="CE443" s="2004">
        <v>0</v>
      </c>
      <c r="CF443" s="2004">
        <v>0</v>
      </c>
      <c r="CG443" s="2004">
        <v>0</v>
      </c>
      <c r="CH443" s="2004">
        <v>0</v>
      </c>
      <c r="CI443" s="2004">
        <v>170</v>
      </c>
      <c r="CJ443" s="2004" t="s">
        <v>2337</v>
      </c>
      <c r="CK443" s="2004">
        <v>0</v>
      </c>
      <c r="CL443" s="2004">
        <v>0</v>
      </c>
      <c r="CM443" s="2004">
        <v>0</v>
      </c>
      <c r="CN443" s="2004">
        <v>0</v>
      </c>
      <c r="CP443" s="2004" t="s">
        <v>11721</v>
      </c>
    </row>
    <row r="444" spans="1:94">
      <c r="A444" s="2004" t="s">
        <v>9054</v>
      </c>
      <c r="B444" s="2004" t="s">
        <v>11722</v>
      </c>
      <c r="C444" s="2004" t="s">
        <v>9047</v>
      </c>
      <c r="D444" s="2004" t="s">
        <v>1628</v>
      </c>
      <c r="E444" s="2004" t="s">
        <v>9194</v>
      </c>
      <c r="F444" s="2004" t="s">
        <v>11714</v>
      </c>
      <c r="G444" s="2004" t="s">
        <v>8993</v>
      </c>
      <c r="H444" s="2004" t="s">
        <v>11723</v>
      </c>
      <c r="I444" s="2004" t="s">
        <v>11724</v>
      </c>
      <c r="J444" s="2004" t="s">
        <v>9210</v>
      </c>
      <c r="K444" s="2004" t="s">
        <v>9200</v>
      </c>
      <c r="L444" s="2004"/>
      <c r="M444" s="2004"/>
      <c r="N444" s="2004" t="s">
        <v>5533</v>
      </c>
      <c r="O444" s="2004" t="s">
        <v>734</v>
      </c>
      <c r="P444" s="2004" t="s">
        <v>11725</v>
      </c>
      <c r="Q444" s="516">
        <v>0</v>
      </c>
      <c r="R444" s="2004" t="s">
        <v>9240</v>
      </c>
      <c r="S444" s="2004">
        <v>80</v>
      </c>
      <c r="T444" s="2004">
        <v>80</v>
      </c>
      <c r="U444" s="2004">
        <v>81</v>
      </c>
      <c r="V444" s="2004">
        <v>83</v>
      </c>
      <c r="W444" s="2004">
        <v>85</v>
      </c>
      <c r="X444" s="2004">
        <v>87</v>
      </c>
      <c r="Y444" s="2004"/>
      <c r="Z444" s="2004"/>
      <c r="AA444" s="2004"/>
      <c r="AB444" s="2004"/>
      <c r="AC444" s="2004"/>
      <c r="AD444" s="2004"/>
      <c r="AE444" s="2004" t="s">
        <v>2337</v>
      </c>
      <c r="AF444" s="2004"/>
      <c r="AG444" s="2004"/>
      <c r="AH444" s="2004">
        <v>0</v>
      </c>
      <c r="AI444" s="2004"/>
      <c r="AJ444" s="2004"/>
      <c r="AK444" s="2004"/>
      <c r="AL444" s="2004"/>
      <c r="AM444" s="2004" t="s">
        <v>2337</v>
      </c>
      <c r="AN444" s="2004"/>
      <c r="AO444" s="2004"/>
      <c r="AP444" s="2004"/>
      <c r="AQ444" s="2004"/>
      <c r="AR444" s="2004">
        <v>80</v>
      </c>
      <c r="AS444" s="2004"/>
      <c r="AT444" s="2004"/>
      <c r="AU444" s="2004"/>
      <c r="AV444" s="2004"/>
      <c r="AW444" s="2004">
        <v>85</v>
      </c>
      <c r="AX444" s="2004"/>
      <c r="AY444" s="2004"/>
      <c r="AZ444" s="2004"/>
      <c r="BA444" s="2004"/>
      <c r="BB444" s="2004"/>
      <c r="BC444" s="2004"/>
      <c r="BD444" s="2004"/>
      <c r="BE444" s="2004"/>
      <c r="BF444" s="2004"/>
      <c r="BG444" s="2004"/>
      <c r="BH444" s="2004">
        <v>3.1</v>
      </c>
      <c r="BI444" s="2004"/>
      <c r="BJ444" s="2004"/>
      <c r="BK444" s="2004"/>
      <c r="BL444" s="2004"/>
      <c r="BM444" s="2004"/>
      <c r="BN444" s="2004">
        <v>1</v>
      </c>
      <c r="BO444" s="2004" t="s">
        <v>9203</v>
      </c>
      <c r="BP444" s="516">
        <v>84</v>
      </c>
      <c r="BQ444" s="689">
        <v>87</v>
      </c>
      <c r="BR444" s="2004" t="s">
        <v>2337</v>
      </c>
      <c r="BS444" s="2004" t="s">
        <v>9204</v>
      </c>
      <c r="BT444" s="2004">
        <v>0</v>
      </c>
      <c r="BU444" s="2004" t="s">
        <v>9204</v>
      </c>
      <c r="BV444" s="2004">
        <v>0</v>
      </c>
      <c r="BW444" s="2004">
        <v>89.5</v>
      </c>
      <c r="BX444" s="2004" t="s">
        <v>2337</v>
      </c>
      <c r="BY444" s="2004">
        <v>0</v>
      </c>
      <c r="BZ444" s="2004">
        <v>0</v>
      </c>
      <c r="CA444" s="2004">
        <v>0</v>
      </c>
      <c r="CB444" s="2004">
        <v>0</v>
      </c>
      <c r="CC444" s="2004">
        <v>90</v>
      </c>
      <c r="CD444" s="2004" t="s">
        <v>2337</v>
      </c>
      <c r="CE444" s="2004">
        <v>0</v>
      </c>
      <c r="CF444" s="2004">
        <v>0</v>
      </c>
      <c r="CG444" s="2004">
        <v>0</v>
      </c>
      <c r="CH444" s="2004">
        <v>0</v>
      </c>
      <c r="CI444" s="2004">
        <v>90</v>
      </c>
      <c r="CJ444" s="2004" t="s">
        <v>2337</v>
      </c>
      <c r="CK444" s="2004">
        <v>0</v>
      </c>
      <c r="CL444" s="2004">
        <v>0</v>
      </c>
      <c r="CM444" s="2004">
        <v>0</v>
      </c>
      <c r="CN444" s="2004">
        <v>0</v>
      </c>
      <c r="CP444" s="2004" t="s">
        <v>11726</v>
      </c>
    </row>
    <row r="445" spans="1:94">
      <c r="A445" s="2004" t="s">
        <v>9054</v>
      </c>
      <c r="B445" s="2004" t="s">
        <v>11727</v>
      </c>
      <c r="C445" s="2004" t="s">
        <v>9047</v>
      </c>
      <c r="D445" s="2004" t="s">
        <v>1629</v>
      </c>
      <c r="E445" s="2004" t="s">
        <v>9410</v>
      </c>
      <c r="F445" s="2004" t="s">
        <v>11681</v>
      </c>
      <c r="G445" s="2004" t="s">
        <v>7931</v>
      </c>
      <c r="H445" s="2004" t="s">
        <v>11728</v>
      </c>
      <c r="I445" s="2004" t="s">
        <v>11729</v>
      </c>
      <c r="J445" s="2004" t="s">
        <v>9230</v>
      </c>
      <c r="K445" s="2004"/>
      <c r="L445" s="2004"/>
      <c r="M445" s="2004"/>
      <c r="N445" s="2004" t="s">
        <v>9364</v>
      </c>
      <c r="O445" s="2004" t="s">
        <v>734</v>
      </c>
      <c r="P445" s="2004" t="s">
        <v>11730</v>
      </c>
      <c r="Q445" s="516">
        <v>1</v>
      </c>
      <c r="R445" s="2004" t="s">
        <v>9240</v>
      </c>
      <c r="S445" s="2004">
        <v>97.1</v>
      </c>
      <c r="T445" s="2004">
        <v>100</v>
      </c>
      <c r="U445" s="2004">
        <v>100</v>
      </c>
      <c r="V445" s="2004">
        <v>100</v>
      </c>
      <c r="W445" s="2004">
        <v>100</v>
      </c>
      <c r="X445" s="2004">
        <v>100</v>
      </c>
      <c r="Y445" s="2004"/>
      <c r="Z445" s="2004"/>
      <c r="AA445" s="2004"/>
      <c r="AB445" s="2004"/>
      <c r="AC445" s="2004"/>
      <c r="AD445" s="2004"/>
      <c r="AE445" s="2004"/>
      <c r="AF445" s="2004"/>
      <c r="AG445" s="2004"/>
      <c r="AH445" s="2004">
        <v>0</v>
      </c>
      <c r="AI445" s="2004"/>
      <c r="AJ445" s="2004"/>
      <c r="AK445" s="2004"/>
      <c r="AL445" s="2004"/>
      <c r="AM445" s="2004"/>
      <c r="AN445" s="2004"/>
      <c r="AO445" s="2004"/>
      <c r="AP445" s="2004"/>
      <c r="AQ445" s="2004"/>
      <c r="AR445" s="2004"/>
      <c r="AS445" s="2004"/>
      <c r="AT445" s="2004"/>
      <c r="AU445" s="2004"/>
      <c r="AV445" s="2004"/>
      <c r="AW445" s="2004"/>
      <c r="AX445" s="2004"/>
      <c r="AY445" s="2004"/>
      <c r="AZ445" s="2004"/>
      <c r="BA445" s="2004"/>
      <c r="BB445" s="2004"/>
      <c r="BC445" s="2004"/>
      <c r="BD445" s="2004"/>
      <c r="BE445" s="2004"/>
      <c r="BF445" s="2004"/>
      <c r="BG445" s="2004"/>
      <c r="BH445" s="2004"/>
      <c r="BI445" s="2004"/>
      <c r="BJ445" s="2004"/>
      <c r="BK445" s="2004"/>
      <c r="BL445" s="2004"/>
      <c r="BM445" s="2004"/>
      <c r="BN445" s="2004"/>
      <c r="BO445" s="2004"/>
      <c r="BP445" s="516">
        <v>99.1</v>
      </c>
      <c r="BQ445" s="686">
        <v>98.6</v>
      </c>
      <c r="BR445" s="2004" t="s">
        <v>2334</v>
      </c>
      <c r="BS445" s="2004" t="s">
        <v>9204</v>
      </c>
      <c r="BT445" s="2004">
        <v>0</v>
      </c>
      <c r="BU445" s="2004" t="s">
        <v>9204</v>
      </c>
      <c r="BV445" s="2004">
        <v>0</v>
      </c>
      <c r="BW445" s="2004">
        <v>99.47</v>
      </c>
      <c r="BX445" s="2004" t="s">
        <v>2334</v>
      </c>
      <c r="BY445" s="2004">
        <v>0</v>
      </c>
      <c r="BZ445" s="2004">
        <v>0</v>
      </c>
      <c r="CA445" s="2004">
        <v>0</v>
      </c>
      <c r="CB445" s="2004">
        <v>0</v>
      </c>
      <c r="CC445" s="2004">
        <v>98.21</v>
      </c>
      <c r="CD445" s="2004" t="s">
        <v>2334</v>
      </c>
      <c r="CE445" s="2004">
        <v>0</v>
      </c>
      <c r="CF445" s="2004">
        <v>0</v>
      </c>
      <c r="CG445" s="2004">
        <v>0</v>
      </c>
      <c r="CH445" s="2004">
        <v>0</v>
      </c>
      <c r="CI445" s="2004">
        <v>99.6</v>
      </c>
      <c r="CJ445" s="2004" t="s">
        <v>2334</v>
      </c>
      <c r="CK445" s="2004">
        <v>0</v>
      </c>
      <c r="CL445" s="2004">
        <v>0</v>
      </c>
      <c r="CM445" s="2004">
        <v>0</v>
      </c>
      <c r="CN445" s="2004">
        <v>0</v>
      </c>
      <c r="CP445" s="2004" t="s">
        <v>11731</v>
      </c>
    </row>
    <row r="446" spans="1:94">
      <c r="A446" s="2004" t="s">
        <v>9054</v>
      </c>
      <c r="B446" s="2004" t="s">
        <v>11732</v>
      </c>
      <c r="C446" s="2004" t="s">
        <v>9047</v>
      </c>
      <c r="D446" s="2004" t="s">
        <v>1629</v>
      </c>
      <c r="E446" s="2004" t="s">
        <v>9410</v>
      </c>
      <c r="F446" s="2004" t="s">
        <v>11681</v>
      </c>
      <c r="G446" s="2004" t="s">
        <v>3020</v>
      </c>
      <c r="H446" s="2004" t="s">
        <v>11733</v>
      </c>
      <c r="I446" s="2004" t="s">
        <v>11734</v>
      </c>
      <c r="J446" s="2004" t="s">
        <v>9199</v>
      </c>
      <c r="K446" s="2004" t="s">
        <v>9200</v>
      </c>
      <c r="L446" s="2004"/>
      <c r="M446" s="2004"/>
      <c r="N446" s="2004" t="s">
        <v>9450</v>
      </c>
      <c r="O446" s="2004" t="s">
        <v>766</v>
      </c>
      <c r="P446" s="2004" t="s">
        <v>9451</v>
      </c>
      <c r="Q446" s="516">
        <v>0</v>
      </c>
      <c r="R446" s="2004" t="s">
        <v>9202</v>
      </c>
      <c r="S446" s="2004">
        <v>224</v>
      </c>
      <c r="T446" s="2004">
        <v>161</v>
      </c>
      <c r="U446" s="2004">
        <v>154</v>
      </c>
      <c r="V446" s="2004">
        <v>131</v>
      </c>
      <c r="W446" s="2004">
        <v>131</v>
      </c>
      <c r="X446" s="2004">
        <v>131</v>
      </c>
      <c r="Y446" s="2004"/>
      <c r="Z446" s="2004"/>
      <c r="AA446" s="2004"/>
      <c r="AB446" s="2004" t="s">
        <v>2337</v>
      </c>
      <c r="AC446" s="2004"/>
      <c r="AD446" s="2004"/>
      <c r="AE446" s="2004" t="s">
        <v>2337</v>
      </c>
      <c r="AF446" s="2004"/>
      <c r="AG446" s="2004"/>
      <c r="AH446" s="2004">
        <v>0</v>
      </c>
      <c r="AI446" s="2004" t="s">
        <v>2337</v>
      </c>
      <c r="AJ446" s="2004" t="s">
        <v>2337</v>
      </c>
      <c r="AK446" s="2004" t="s">
        <v>2337</v>
      </c>
      <c r="AL446" s="2004" t="s">
        <v>2337</v>
      </c>
      <c r="AM446" s="2004" t="s">
        <v>2337</v>
      </c>
      <c r="AN446" s="2004">
        <v>249</v>
      </c>
      <c r="AO446" s="2004">
        <v>249</v>
      </c>
      <c r="AP446" s="2004">
        <v>156</v>
      </c>
      <c r="AQ446" s="2004">
        <v>156</v>
      </c>
      <c r="AR446" s="2004">
        <v>156</v>
      </c>
      <c r="AS446" s="2004">
        <v>224</v>
      </c>
      <c r="AT446" s="2004">
        <v>224</v>
      </c>
      <c r="AU446" s="2004">
        <v>131</v>
      </c>
      <c r="AV446" s="2004">
        <v>131</v>
      </c>
      <c r="AW446" s="2004">
        <v>131</v>
      </c>
      <c r="AX446" s="2004">
        <v>131</v>
      </c>
      <c r="AY446" s="2004">
        <v>131</v>
      </c>
      <c r="AZ446" s="2004">
        <v>131</v>
      </c>
      <c r="BA446" s="2004">
        <v>131</v>
      </c>
      <c r="BB446" s="2004">
        <v>131</v>
      </c>
      <c r="BC446" s="2004">
        <v>106</v>
      </c>
      <c r="BD446" s="2004">
        <v>106</v>
      </c>
      <c r="BE446" s="2004">
        <v>106</v>
      </c>
      <c r="BF446" s="2004">
        <v>106</v>
      </c>
      <c r="BG446" s="2004">
        <v>106</v>
      </c>
      <c r="BH446" s="2004">
        <v>0.4</v>
      </c>
      <c r="BI446" s="2004"/>
      <c r="BJ446" s="2004"/>
      <c r="BK446" s="2004"/>
      <c r="BL446" s="2004">
        <v>4.7E-2</v>
      </c>
      <c r="BM446" s="2004"/>
      <c r="BN446" s="2004">
        <v>1</v>
      </c>
      <c r="BO446" s="2004" t="s">
        <v>9203</v>
      </c>
      <c r="BP446" s="516">
        <v>117</v>
      </c>
      <c r="BQ446" s="689">
        <v>110</v>
      </c>
      <c r="BR446" s="2004" t="s">
        <v>2337</v>
      </c>
      <c r="BS446" s="2004" t="s">
        <v>9204</v>
      </c>
      <c r="BT446" s="2004">
        <v>0</v>
      </c>
      <c r="BU446" s="2004" t="s">
        <v>2339</v>
      </c>
      <c r="BV446" s="2004">
        <v>0.98699999999999999</v>
      </c>
      <c r="BW446" s="2004">
        <v>111</v>
      </c>
      <c r="BX446" s="2004" t="s">
        <v>2337</v>
      </c>
      <c r="BY446" s="2004">
        <v>0</v>
      </c>
      <c r="BZ446" s="2004">
        <v>0</v>
      </c>
      <c r="CA446" s="2004" t="s">
        <v>2339</v>
      </c>
      <c r="CB446" s="2004">
        <v>0.94</v>
      </c>
      <c r="CC446" s="2004">
        <v>112</v>
      </c>
      <c r="CD446" s="2004" t="s">
        <v>2337</v>
      </c>
      <c r="CE446" s="2004">
        <v>0</v>
      </c>
      <c r="CF446" s="2004">
        <v>0</v>
      </c>
      <c r="CG446" s="2004" t="s">
        <v>2339</v>
      </c>
      <c r="CH446" s="2004">
        <v>0.89300000000000002</v>
      </c>
      <c r="CI446" s="2004">
        <v>118</v>
      </c>
      <c r="CJ446" s="2004" t="s">
        <v>2337</v>
      </c>
      <c r="CK446" s="2004">
        <v>0</v>
      </c>
      <c r="CL446" s="2004">
        <v>0</v>
      </c>
      <c r="CM446" s="2004" t="s">
        <v>2339</v>
      </c>
      <c r="CN446" s="2004">
        <v>0.61099999999999999</v>
      </c>
      <c r="CP446" s="2004" t="s">
        <v>11735</v>
      </c>
    </row>
    <row r="447" spans="1:94">
      <c r="A447" s="2004" t="s">
        <v>9054</v>
      </c>
      <c r="B447" s="2004" t="s">
        <v>11736</v>
      </c>
      <c r="C447" s="2004" t="s">
        <v>9047</v>
      </c>
      <c r="D447" s="2004" t="s">
        <v>1629</v>
      </c>
      <c r="E447" s="2004" t="s">
        <v>9410</v>
      </c>
      <c r="F447" s="2004" t="s">
        <v>11687</v>
      </c>
      <c r="G447" s="2004" t="s">
        <v>8948</v>
      </c>
      <c r="H447" s="2004" t="s">
        <v>11737</v>
      </c>
      <c r="I447" s="2004" t="s">
        <v>11738</v>
      </c>
      <c r="J447" s="2004" t="s">
        <v>9210</v>
      </c>
      <c r="K447" s="2004" t="s">
        <v>9200</v>
      </c>
      <c r="L447" s="2004"/>
      <c r="M447" s="2004"/>
      <c r="N447" s="2004" t="s">
        <v>9427</v>
      </c>
      <c r="O447" s="2004" t="s">
        <v>766</v>
      </c>
      <c r="P447" s="2004" t="s">
        <v>11739</v>
      </c>
      <c r="Q447" s="516">
        <v>0</v>
      </c>
      <c r="R447" s="2004" t="s">
        <v>9240</v>
      </c>
      <c r="S447" s="2004">
        <v>1000</v>
      </c>
      <c r="T447" s="2004">
        <v>1000</v>
      </c>
      <c r="U447" s="2004">
        <v>1000</v>
      </c>
      <c r="V447" s="2004">
        <v>15000</v>
      </c>
      <c r="W447" s="2004">
        <v>20000</v>
      </c>
      <c r="X447" s="2004">
        <v>25000</v>
      </c>
      <c r="Y447" s="2004"/>
      <c r="Z447" s="2004"/>
      <c r="AA447" s="2004"/>
      <c r="AB447" s="2004"/>
      <c r="AC447" s="2004"/>
      <c r="AD447" s="2004"/>
      <c r="AE447" s="2004"/>
      <c r="AF447" s="2004"/>
      <c r="AG447" s="2004"/>
      <c r="AH447" s="2004">
        <v>0</v>
      </c>
      <c r="AI447" s="2004" t="s">
        <v>2337</v>
      </c>
      <c r="AJ447" s="2004" t="s">
        <v>2337</v>
      </c>
      <c r="AK447" s="2004" t="s">
        <v>2337</v>
      </c>
      <c r="AL447" s="2004" t="s">
        <v>2337</v>
      </c>
      <c r="AM447" s="2004" t="s">
        <v>2337</v>
      </c>
      <c r="AN447" s="2004">
        <v>1000</v>
      </c>
      <c r="AO447" s="2004">
        <v>1000</v>
      </c>
      <c r="AP447" s="2004">
        <v>1000</v>
      </c>
      <c r="AQ447" s="2004">
        <v>1000</v>
      </c>
      <c r="AR447" s="2004">
        <v>1000</v>
      </c>
      <c r="AS447" s="2004">
        <v>1000</v>
      </c>
      <c r="AT447" s="2004">
        <v>1000</v>
      </c>
      <c r="AU447" s="2004">
        <v>8000</v>
      </c>
      <c r="AV447" s="2004">
        <v>10500</v>
      </c>
      <c r="AW447" s="2004">
        <v>13000</v>
      </c>
      <c r="AX447" s="2004"/>
      <c r="AY447" s="2004"/>
      <c r="AZ447" s="2004"/>
      <c r="BA447" s="2004"/>
      <c r="BB447" s="2004"/>
      <c r="BC447" s="2004"/>
      <c r="BD447" s="2004"/>
      <c r="BE447" s="2004"/>
      <c r="BF447" s="2004"/>
      <c r="BG447" s="2004"/>
      <c r="BH447" s="2004">
        <v>2.0000000000000001E-4</v>
      </c>
      <c r="BI447" s="2004"/>
      <c r="BJ447" s="2004"/>
      <c r="BK447" s="2004"/>
      <c r="BL447" s="2004"/>
      <c r="BM447" s="2004"/>
      <c r="BN447" s="2004">
        <v>1</v>
      </c>
      <c r="BO447" s="2004" t="s">
        <v>9203</v>
      </c>
      <c r="BP447" s="516">
        <v>1247</v>
      </c>
      <c r="BQ447" s="689">
        <v>1531</v>
      </c>
      <c r="BR447" s="2004" t="s">
        <v>2337</v>
      </c>
      <c r="BS447" s="2004" t="s">
        <v>9204</v>
      </c>
      <c r="BT447" s="2004">
        <v>0</v>
      </c>
      <c r="BU447" s="2004" t="s">
        <v>9204</v>
      </c>
      <c r="BV447" s="2004">
        <v>0</v>
      </c>
      <c r="BW447" s="2004">
        <v>13661</v>
      </c>
      <c r="BX447" s="2004" t="s">
        <v>2337</v>
      </c>
      <c r="BY447" s="2004">
        <v>0</v>
      </c>
      <c r="BZ447" s="2004">
        <v>0</v>
      </c>
      <c r="CA447" s="2004">
        <v>0</v>
      </c>
      <c r="CB447" s="2004">
        <v>0</v>
      </c>
      <c r="CC447" s="2004">
        <v>15097</v>
      </c>
      <c r="CD447" s="2004" t="s">
        <v>2337</v>
      </c>
      <c r="CE447" s="2004">
        <v>0</v>
      </c>
      <c r="CF447" s="2004">
        <v>0</v>
      </c>
      <c r="CG447" s="2004">
        <v>0</v>
      </c>
      <c r="CH447" s="2004">
        <v>0</v>
      </c>
      <c r="CI447" s="2004">
        <v>15967</v>
      </c>
      <c r="CJ447" s="2004" t="s">
        <v>2334</v>
      </c>
      <c r="CK447" s="2004">
        <v>0</v>
      </c>
      <c r="CL447" s="2004">
        <v>0</v>
      </c>
      <c r="CM447" s="2004" t="s">
        <v>2340</v>
      </c>
      <c r="CN447" s="2004">
        <v>0</v>
      </c>
      <c r="CP447" s="2004" t="s">
        <v>11740</v>
      </c>
    </row>
    <row r="448" spans="1:94">
      <c r="A448" s="2004" t="s">
        <v>9054</v>
      </c>
      <c r="B448" s="2004" t="s">
        <v>11741</v>
      </c>
      <c r="C448" s="2004" t="s">
        <v>9047</v>
      </c>
      <c r="D448" s="2004" t="s">
        <v>1629</v>
      </c>
      <c r="E448" s="2004" t="s">
        <v>9410</v>
      </c>
      <c r="F448" s="2004" t="s">
        <v>11687</v>
      </c>
      <c r="G448" s="2004" t="s">
        <v>8951</v>
      </c>
      <c r="H448" s="2004" t="s">
        <v>11742</v>
      </c>
      <c r="I448" s="2004" t="s">
        <v>11689</v>
      </c>
      <c r="J448" s="2004" t="s">
        <v>9230</v>
      </c>
      <c r="K448" s="2004"/>
      <c r="L448" s="2004"/>
      <c r="M448" s="2004"/>
      <c r="N448" s="2004" t="s">
        <v>9372</v>
      </c>
      <c r="O448" s="2004" t="s">
        <v>766</v>
      </c>
      <c r="P448" s="2004" t="s">
        <v>11296</v>
      </c>
      <c r="Q448" s="516">
        <v>2</v>
      </c>
      <c r="R448" s="2004" t="s">
        <v>9240</v>
      </c>
      <c r="S448" s="2004">
        <v>32.89</v>
      </c>
      <c r="T448" s="2004">
        <v>32.89</v>
      </c>
      <c r="U448" s="2004">
        <v>45.22</v>
      </c>
      <c r="V448" s="2004">
        <v>57.55</v>
      </c>
      <c r="W448" s="2004">
        <v>69.89</v>
      </c>
      <c r="X448" s="2004">
        <v>82.22</v>
      </c>
      <c r="Y448" s="2004"/>
      <c r="Z448" s="2004"/>
      <c r="AA448" s="2004"/>
      <c r="AB448" s="2004"/>
      <c r="AC448" s="2004"/>
      <c r="AD448" s="2004"/>
      <c r="AE448" s="2004"/>
      <c r="AF448" s="2004"/>
      <c r="AG448" s="2004"/>
      <c r="AH448" s="2004">
        <v>0</v>
      </c>
      <c r="AI448" s="2004"/>
      <c r="AJ448" s="2004"/>
      <c r="AK448" s="2004"/>
      <c r="AL448" s="2004"/>
      <c r="AM448" s="2004"/>
      <c r="AN448" s="2004"/>
      <c r="AO448" s="2004"/>
      <c r="AP448" s="2004"/>
      <c r="AQ448" s="2004"/>
      <c r="AR448" s="2004"/>
      <c r="AS448" s="2004"/>
      <c r="AT448" s="2004"/>
      <c r="AU448" s="2004"/>
      <c r="AV448" s="2004"/>
      <c r="AW448" s="2004"/>
      <c r="AX448" s="2004"/>
      <c r="AY448" s="2004"/>
      <c r="AZ448" s="2004"/>
      <c r="BA448" s="2004"/>
      <c r="BB448" s="2004"/>
      <c r="BC448" s="2004"/>
      <c r="BD448" s="2004"/>
      <c r="BE448" s="2004"/>
      <c r="BF448" s="2004"/>
      <c r="BG448" s="2004"/>
      <c r="BH448" s="2004"/>
      <c r="BI448" s="2004"/>
      <c r="BJ448" s="2004"/>
      <c r="BK448" s="2004"/>
      <c r="BL448" s="2004"/>
      <c r="BM448" s="2004"/>
      <c r="BN448" s="2004"/>
      <c r="BO448" s="2004"/>
      <c r="BP448" s="516">
        <v>45.8</v>
      </c>
      <c r="BQ448" s="690">
        <v>47.16</v>
      </c>
      <c r="BR448" s="2004" t="s">
        <v>2337</v>
      </c>
      <c r="BS448" s="2004" t="s">
        <v>9204</v>
      </c>
      <c r="BT448" s="2004">
        <v>0</v>
      </c>
      <c r="BU448" s="2004" t="s">
        <v>9204</v>
      </c>
      <c r="BV448" s="2004">
        <v>0</v>
      </c>
      <c r="BW448" s="2004">
        <v>49.01</v>
      </c>
      <c r="BX448" s="2004" t="s">
        <v>2337</v>
      </c>
      <c r="BY448" s="2004">
        <v>0</v>
      </c>
      <c r="BZ448" s="2004">
        <v>0</v>
      </c>
      <c r="CA448" s="2004">
        <v>0</v>
      </c>
      <c r="CB448" s="2004">
        <v>0</v>
      </c>
      <c r="CC448" s="2004">
        <v>55.51</v>
      </c>
      <c r="CD448" s="2004" t="s">
        <v>2334</v>
      </c>
      <c r="CE448" s="2004">
        <v>0</v>
      </c>
      <c r="CF448" s="2004">
        <v>0</v>
      </c>
      <c r="CG448" s="2004">
        <v>0</v>
      </c>
      <c r="CH448" s="2004">
        <v>0</v>
      </c>
      <c r="CI448" s="2004">
        <v>52.43</v>
      </c>
      <c r="CJ448" s="2004" t="s">
        <v>2334</v>
      </c>
      <c r="CK448" s="2004">
        <v>0</v>
      </c>
      <c r="CL448" s="2004">
        <v>0</v>
      </c>
      <c r="CM448" s="2004">
        <v>0</v>
      </c>
      <c r="CN448" s="2004">
        <v>0</v>
      </c>
      <c r="CP448" s="2004" t="s">
        <v>11690</v>
      </c>
    </row>
    <row r="449" spans="1:94">
      <c r="A449" s="2004" t="s">
        <v>9054</v>
      </c>
      <c r="B449" s="2004" t="s">
        <v>11743</v>
      </c>
      <c r="C449" s="2004" t="s">
        <v>9047</v>
      </c>
      <c r="D449" s="2004" t="s">
        <v>1629</v>
      </c>
      <c r="E449" s="2004" t="s">
        <v>9410</v>
      </c>
      <c r="F449" s="2004" t="s">
        <v>11744</v>
      </c>
      <c r="G449" s="2004" t="s">
        <v>8955</v>
      </c>
      <c r="H449" s="2004" t="s">
        <v>11745</v>
      </c>
      <c r="I449" s="2004" t="s">
        <v>11694</v>
      </c>
      <c r="J449" s="2004" t="s">
        <v>9199</v>
      </c>
      <c r="K449" s="2004" t="s">
        <v>9200</v>
      </c>
      <c r="L449" s="2004"/>
      <c r="M449" s="2004" t="s">
        <v>2334</v>
      </c>
      <c r="N449" s="2004" t="s">
        <v>9281</v>
      </c>
      <c r="O449" s="2004" t="s">
        <v>9487</v>
      </c>
      <c r="P449" s="2004" t="s">
        <v>9641</v>
      </c>
      <c r="Q449" s="516" t="s">
        <v>9203</v>
      </c>
      <c r="R449" s="2004" t="s">
        <v>9240</v>
      </c>
      <c r="S449" s="2004" t="s">
        <v>10955</v>
      </c>
      <c r="T449" s="2004" t="s">
        <v>10131</v>
      </c>
      <c r="U449" s="2004" t="s">
        <v>10131</v>
      </c>
      <c r="V449" s="2004" t="s">
        <v>10131</v>
      </c>
      <c r="W449" s="2004" t="s">
        <v>10131</v>
      </c>
      <c r="X449" s="2004" t="s">
        <v>10131</v>
      </c>
      <c r="Y449" s="2004"/>
      <c r="Z449" s="2004"/>
      <c r="AA449" s="2004"/>
      <c r="AB449" s="2004"/>
      <c r="AC449" s="2004"/>
      <c r="AD449" s="2004"/>
      <c r="AE449" s="2004"/>
      <c r="AF449" s="2004"/>
      <c r="AG449" s="2004"/>
      <c r="AH449" s="2004">
        <v>0</v>
      </c>
      <c r="AI449" s="2004" t="s">
        <v>2337</v>
      </c>
      <c r="AJ449" s="2004" t="s">
        <v>2337</v>
      </c>
      <c r="AK449" s="2004" t="s">
        <v>2337</v>
      </c>
      <c r="AL449" s="2004" t="s">
        <v>2337</v>
      </c>
      <c r="AM449" s="2004" t="s">
        <v>2337</v>
      </c>
      <c r="AN449" s="2004" t="s">
        <v>9284</v>
      </c>
      <c r="AO449" s="2004" t="s">
        <v>9284</v>
      </c>
      <c r="AP449" s="2004" t="s">
        <v>9284</v>
      </c>
      <c r="AQ449" s="2004" t="s">
        <v>9284</v>
      </c>
      <c r="AR449" s="2004" t="s">
        <v>9284</v>
      </c>
      <c r="AS449" s="2004" t="s">
        <v>9284</v>
      </c>
      <c r="AT449" s="2004" t="s">
        <v>9284</v>
      </c>
      <c r="AU449" s="2004" t="s">
        <v>9284</v>
      </c>
      <c r="AV449" s="2004" t="s">
        <v>9284</v>
      </c>
      <c r="AW449" s="2004" t="s">
        <v>9284</v>
      </c>
      <c r="AX449" s="2004" t="s">
        <v>9284</v>
      </c>
      <c r="AY449" s="2004" t="s">
        <v>9284</v>
      </c>
      <c r="AZ449" s="2004" t="s">
        <v>9284</v>
      </c>
      <c r="BA449" s="2004" t="s">
        <v>9284</v>
      </c>
      <c r="BB449" s="2004" t="s">
        <v>9284</v>
      </c>
      <c r="BC449" s="2004" t="s">
        <v>9284</v>
      </c>
      <c r="BD449" s="2004" t="s">
        <v>9284</v>
      </c>
      <c r="BE449" s="2004" t="s">
        <v>9284</v>
      </c>
      <c r="BF449" s="2004" t="s">
        <v>9284</v>
      </c>
      <c r="BG449" s="2004" t="s">
        <v>9284</v>
      </c>
      <c r="BH449" s="2004" t="s">
        <v>9284</v>
      </c>
      <c r="BI449" s="2004"/>
      <c r="BJ449" s="2004"/>
      <c r="BK449" s="2004"/>
      <c r="BL449" s="2004" t="s">
        <v>9284</v>
      </c>
      <c r="BM449" s="2004"/>
      <c r="BN449" s="2004">
        <v>1</v>
      </c>
      <c r="BO449" s="2004" t="s">
        <v>9203</v>
      </c>
      <c r="BQ449" s="688">
        <v>83</v>
      </c>
      <c r="BR449" s="2004" t="s">
        <v>2334</v>
      </c>
      <c r="BS449" s="2004" t="s">
        <v>9204</v>
      </c>
      <c r="BT449" s="2004">
        <v>0</v>
      </c>
      <c r="BU449" s="2004" t="s">
        <v>9204</v>
      </c>
      <c r="BV449" s="2004">
        <v>0</v>
      </c>
      <c r="BW449" s="2004">
        <v>82.86</v>
      </c>
      <c r="BX449" s="2004" t="s">
        <v>2334</v>
      </c>
      <c r="BY449" s="2004">
        <v>0</v>
      </c>
      <c r="BZ449" s="2004">
        <v>0</v>
      </c>
      <c r="CA449" s="2004">
        <v>0</v>
      </c>
      <c r="CB449" s="2004">
        <v>0</v>
      </c>
      <c r="CC449" s="2004">
        <v>84.64</v>
      </c>
      <c r="CD449" s="2004" t="s">
        <v>2335</v>
      </c>
      <c r="CE449" s="2004">
        <v>0</v>
      </c>
      <c r="CF449" s="2004">
        <v>0</v>
      </c>
      <c r="CG449" s="2004">
        <v>0</v>
      </c>
      <c r="CH449" s="2004">
        <v>0</v>
      </c>
      <c r="CI449" s="2004">
        <v>86.88</v>
      </c>
      <c r="CJ449" s="2004" t="s">
        <v>2335</v>
      </c>
      <c r="CK449" s="2004">
        <v>0</v>
      </c>
      <c r="CL449" s="2004">
        <v>0</v>
      </c>
      <c r="CM449" s="2004">
        <v>0</v>
      </c>
      <c r="CN449" s="2004">
        <v>0</v>
      </c>
      <c r="CP449" s="2004" t="s">
        <v>11695</v>
      </c>
    </row>
    <row r="450" spans="1:94">
      <c r="A450" s="2004" t="s">
        <v>9054</v>
      </c>
      <c r="B450" s="2004" t="s">
        <v>11746</v>
      </c>
      <c r="C450" s="2004" t="s">
        <v>9047</v>
      </c>
      <c r="D450" s="2004" t="s">
        <v>1629</v>
      </c>
      <c r="E450" s="2004" t="s">
        <v>9410</v>
      </c>
      <c r="F450" s="2004" t="s">
        <v>11744</v>
      </c>
      <c r="G450" s="2004" t="s">
        <v>8958</v>
      </c>
      <c r="H450" s="2004" t="s">
        <v>11747</v>
      </c>
      <c r="I450" s="2004" t="s">
        <v>11698</v>
      </c>
      <c r="J450" s="2004" t="s">
        <v>9230</v>
      </c>
      <c r="K450" s="2004"/>
      <c r="L450" s="2004"/>
      <c r="M450" s="2004"/>
      <c r="N450" s="2004" t="s">
        <v>9386</v>
      </c>
      <c r="O450" s="2004" t="s">
        <v>766</v>
      </c>
      <c r="P450" s="2004" t="s">
        <v>11699</v>
      </c>
      <c r="Q450" s="516">
        <v>0</v>
      </c>
      <c r="R450" s="2004" t="s">
        <v>9202</v>
      </c>
      <c r="S450" s="2004">
        <v>850</v>
      </c>
      <c r="T450" s="2004">
        <v>850</v>
      </c>
      <c r="U450" s="2004">
        <v>750</v>
      </c>
      <c r="V450" s="2004">
        <v>650</v>
      </c>
      <c r="W450" s="2004">
        <v>550</v>
      </c>
      <c r="X450" s="2004">
        <v>425</v>
      </c>
      <c r="Y450" s="2004"/>
      <c r="Z450" s="2004"/>
      <c r="AA450" s="2004"/>
      <c r="AB450" s="2004"/>
      <c r="AC450" s="2004"/>
      <c r="AD450" s="2004"/>
      <c r="AE450" s="2004"/>
      <c r="AF450" s="2004"/>
      <c r="AG450" s="2004"/>
      <c r="AH450" s="2004">
        <v>0</v>
      </c>
      <c r="AI450" s="2004"/>
      <c r="AJ450" s="2004"/>
      <c r="AK450" s="2004"/>
      <c r="AL450" s="2004"/>
      <c r="AM450" s="2004"/>
      <c r="AN450" s="2004"/>
      <c r="AO450" s="2004"/>
      <c r="AP450" s="2004"/>
      <c r="AQ450" s="2004"/>
      <c r="AR450" s="2004"/>
      <c r="AS450" s="2004"/>
      <c r="AT450" s="2004"/>
      <c r="AU450" s="2004"/>
      <c r="AV450" s="2004"/>
      <c r="AW450" s="2004"/>
      <c r="AX450" s="2004"/>
      <c r="AY450" s="2004"/>
      <c r="AZ450" s="2004"/>
      <c r="BA450" s="2004"/>
      <c r="BB450" s="2004"/>
      <c r="BC450" s="2004"/>
      <c r="BD450" s="2004"/>
      <c r="BE450" s="2004"/>
      <c r="BF450" s="2004"/>
      <c r="BG450" s="2004"/>
      <c r="BH450" s="2004"/>
      <c r="BI450" s="2004"/>
      <c r="BJ450" s="2004"/>
      <c r="BK450" s="2004"/>
      <c r="BL450" s="2004"/>
      <c r="BM450" s="2004"/>
      <c r="BN450" s="2004"/>
      <c r="BO450" s="2004"/>
      <c r="BP450" s="516">
        <v>702</v>
      </c>
      <c r="BQ450" s="689">
        <v>648</v>
      </c>
      <c r="BR450" s="2004" t="s">
        <v>2337</v>
      </c>
      <c r="BS450" s="2004" t="s">
        <v>9204</v>
      </c>
      <c r="BT450" s="2004">
        <v>0</v>
      </c>
      <c r="BU450" s="2004" t="s">
        <v>9204</v>
      </c>
      <c r="BV450" s="2004">
        <v>0</v>
      </c>
      <c r="BW450" s="2004">
        <v>575</v>
      </c>
      <c r="BX450" s="2004" t="s">
        <v>2337</v>
      </c>
      <c r="BY450" s="2004">
        <v>0</v>
      </c>
      <c r="BZ450" s="2004">
        <v>0</v>
      </c>
      <c r="CA450" s="2004">
        <v>0</v>
      </c>
      <c r="CB450" s="2004">
        <v>0</v>
      </c>
      <c r="CC450" s="2004">
        <v>613</v>
      </c>
      <c r="CD450" s="2004" t="s">
        <v>2337</v>
      </c>
      <c r="CE450" s="2004">
        <v>0</v>
      </c>
      <c r="CF450" s="2004">
        <v>0</v>
      </c>
      <c r="CG450" s="2004">
        <v>0</v>
      </c>
      <c r="CH450" s="2004">
        <v>0</v>
      </c>
      <c r="CI450" s="2004">
        <v>641</v>
      </c>
      <c r="CJ450" s="2004" t="s">
        <v>2334</v>
      </c>
      <c r="CK450" s="2004">
        <v>0</v>
      </c>
      <c r="CL450" s="2004">
        <v>0</v>
      </c>
      <c r="CM450" s="2004">
        <v>0</v>
      </c>
      <c r="CN450" s="2004">
        <v>0</v>
      </c>
      <c r="CP450" s="2004" t="s">
        <v>11700</v>
      </c>
    </row>
    <row r="451" spans="1:94">
      <c r="A451" s="2004" t="s">
        <v>9054</v>
      </c>
      <c r="B451" s="2004" t="s">
        <v>11748</v>
      </c>
      <c r="C451" s="2004" t="s">
        <v>9047</v>
      </c>
      <c r="D451" s="2004" t="s">
        <v>1629</v>
      </c>
      <c r="E451" s="2004" t="s">
        <v>9410</v>
      </c>
      <c r="F451" s="2004" t="s">
        <v>11744</v>
      </c>
      <c r="G451" s="2004" t="s">
        <v>8961</v>
      </c>
      <c r="H451" s="2004" t="s">
        <v>11749</v>
      </c>
      <c r="I451" s="2004" t="s">
        <v>11750</v>
      </c>
      <c r="J451" s="2004" t="s">
        <v>9199</v>
      </c>
      <c r="K451" s="2004" t="s">
        <v>9200</v>
      </c>
      <c r="L451" s="2004"/>
      <c r="M451" s="2004" t="s">
        <v>2334</v>
      </c>
      <c r="N451" s="2004" t="s">
        <v>9414</v>
      </c>
      <c r="O451" s="2004" t="s">
        <v>766</v>
      </c>
      <c r="P451" s="2004" t="s">
        <v>11751</v>
      </c>
      <c r="Q451" s="516">
        <v>0</v>
      </c>
      <c r="R451" s="2004" t="s">
        <v>9202</v>
      </c>
      <c r="S451" s="2004">
        <v>313</v>
      </c>
      <c r="T451" s="2004">
        <v>310</v>
      </c>
      <c r="U451" s="2004">
        <v>300</v>
      </c>
      <c r="V451" s="2004">
        <v>292</v>
      </c>
      <c r="W451" s="2004">
        <v>282</v>
      </c>
      <c r="X451" s="2004">
        <v>269</v>
      </c>
      <c r="Y451" s="2004"/>
      <c r="Z451" s="2004"/>
      <c r="AA451" s="2004"/>
      <c r="AB451" s="2004"/>
      <c r="AC451" s="2004" t="s">
        <v>2337</v>
      </c>
      <c r="AD451" s="2004"/>
      <c r="AE451" s="2004" t="s">
        <v>2337</v>
      </c>
      <c r="AF451" s="2004"/>
      <c r="AG451" s="2004"/>
      <c r="AH451" s="2004">
        <v>0</v>
      </c>
      <c r="AI451" s="2004"/>
      <c r="AJ451" s="2004" t="s">
        <v>2337</v>
      </c>
      <c r="AK451" s="2004" t="s">
        <v>2337</v>
      </c>
      <c r="AL451" s="2004" t="s">
        <v>2337</v>
      </c>
      <c r="AM451" s="2004" t="s">
        <v>2337</v>
      </c>
      <c r="AN451" s="2004">
        <v>388</v>
      </c>
      <c r="AO451" s="2004">
        <v>374</v>
      </c>
      <c r="AP451" s="2004">
        <v>363</v>
      </c>
      <c r="AQ451" s="2004">
        <v>349</v>
      </c>
      <c r="AR451" s="2004">
        <v>331</v>
      </c>
      <c r="AS451" s="2004">
        <v>313</v>
      </c>
      <c r="AT451" s="2004">
        <v>313</v>
      </c>
      <c r="AU451" s="2004">
        <v>313</v>
      </c>
      <c r="AV451" s="2004">
        <v>313</v>
      </c>
      <c r="AW451" s="2004">
        <v>313</v>
      </c>
      <c r="AX451" s="2004">
        <v>271</v>
      </c>
      <c r="AY451" s="2004">
        <v>263</v>
      </c>
      <c r="AZ451" s="2004">
        <v>256</v>
      </c>
      <c r="BA451" s="2004">
        <v>248</v>
      </c>
      <c r="BB451" s="2004">
        <v>238</v>
      </c>
      <c r="BC451" s="2004">
        <v>232</v>
      </c>
      <c r="BD451" s="2004">
        <v>226</v>
      </c>
      <c r="BE451" s="2004">
        <v>221</v>
      </c>
      <c r="BF451" s="2004">
        <v>215</v>
      </c>
      <c r="BG451" s="2004">
        <v>207</v>
      </c>
      <c r="BH451" s="2004">
        <v>0.161</v>
      </c>
      <c r="BI451" s="2004"/>
      <c r="BJ451" s="2004"/>
      <c r="BK451" s="2004"/>
      <c r="BL451" s="2004">
        <v>6.2E-2</v>
      </c>
      <c r="BM451" s="2004"/>
      <c r="BN451" s="2004">
        <v>1</v>
      </c>
      <c r="BO451" s="2004" t="s">
        <v>9203</v>
      </c>
      <c r="BP451" s="516">
        <v>265</v>
      </c>
      <c r="BQ451" s="689">
        <v>223</v>
      </c>
      <c r="BR451" s="2004" t="s">
        <v>2337</v>
      </c>
      <c r="BS451" s="2004" t="s">
        <v>9204</v>
      </c>
      <c r="BT451" s="2004">
        <v>0</v>
      </c>
      <c r="BU451" s="2004" t="s">
        <v>9204</v>
      </c>
      <c r="BV451" s="2004">
        <v>0</v>
      </c>
      <c r="BW451" s="2004">
        <v>242</v>
      </c>
      <c r="BX451" s="2004" t="s">
        <v>2337</v>
      </c>
      <c r="BY451" s="2004">
        <v>0</v>
      </c>
      <c r="BZ451" s="2004">
        <v>0</v>
      </c>
      <c r="CA451" s="2004" t="s">
        <v>2339</v>
      </c>
      <c r="CB451" s="2004">
        <v>1.86</v>
      </c>
      <c r="CC451" s="2004">
        <v>221</v>
      </c>
      <c r="CD451" s="2004" t="s">
        <v>2337</v>
      </c>
      <c r="CE451" s="2004">
        <v>0</v>
      </c>
      <c r="CF451" s="2004">
        <v>0</v>
      </c>
      <c r="CG451" s="2004" t="s">
        <v>2339</v>
      </c>
      <c r="CH451" s="2004">
        <v>1.488</v>
      </c>
      <c r="CI451" s="2004">
        <v>221</v>
      </c>
      <c r="CJ451" s="2004" t="s">
        <v>2337</v>
      </c>
      <c r="CK451" s="2004">
        <v>0</v>
      </c>
      <c r="CL451" s="2004">
        <v>0</v>
      </c>
      <c r="CM451" s="2004" t="s">
        <v>2339</v>
      </c>
      <c r="CN451" s="2004">
        <v>1.6739999999999999</v>
      </c>
      <c r="CP451" s="2004" t="s">
        <v>11752</v>
      </c>
    </row>
    <row r="452" spans="1:94">
      <c r="A452" s="2004" t="s">
        <v>9054</v>
      </c>
      <c r="B452" s="2004" t="s">
        <v>11753</v>
      </c>
      <c r="C452" s="2004" t="s">
        <v>9047</v>
      </c>
      <c r="D452" s="2004" t="s">
        <v>1629</v>
      </c>
      <c r="E452" s="2004" t="s">
        <v>9410</v>
      </c>
      <c r="F452" s="2004" t="s">
        <v>11744</v>
      </c>
      <c r="G452" s="2004" t="s">
        <v>8967</v>
      </c>
      <c r="H452" s="2004" t="s">
        <v>11754</v>
      </c>
      <c r="I452" s="2004" t="s">
        <v>11755</v>
      </c>
      <c r="J452" s="2004" t="s">
        <v>9230</v>
      </c>
      <c r="K452" s="2004"/>
      <c r="L452" s="2004"/>
      <c r="M452" s="2004"/>
      <c r="N452" s="2004" t="s">
        <v>9386</v>
      </c>
      <c r="O452" s="2004" t="s">
        <v>734</v>
      </c>
      <c r="P452" s="2004" t="s">
        <v>9387</v>
      </c>
      <c r="Q452" s="516">
        <v>0</v>
      </c>
      <c r="R452" s="2004" t="s">
        <v>9240</v>
      </c>
      <c r="S452" s="2004">
        <v>63</v>
      </c>
      <c r="T452" s="2004">
        <v>63</v>
      </c>
      <c r="U452" s="2004">
        <v>66</v>
      </c>
      <c r="V452" s="2004">
        <v>68</v>
      </c>
      <c r="W452" s="2004">
        <v>71</v>
      </c>
      <c r="X452" s="2004">
        <v>75</v>
      </c>
      <c r="Y452" s="2004"/>
      <c r="Z452" s="2004"/>
      <c r="AA452" s="2004"/>
      <c r="AB452" s="2004"/>
      <c r="AC452" s="2004"/>
      <c r="AD452" s="2004"/>
      <c r="AE452" s="2004"/>
      <c r="AF452" s="2004"/>
      <c r="AG452" s="2004"/>
      <c r="AH452" s="2004">
        <v>0</v>
      </c>
      <c r="AI452" s="2004"/>
      <c r="AJ452" s="2004"/>
      <c r="AK452" s="2004"/>
      <c r="AL452" s="2004"/>
      <c r="AM452" s="2004"/>
      <c r="AN452" s="2004"/>
      <c r="AO452" s="2004"/>
      <c r="AP452" s="2004"/>
      <c r="AQ452" s="2004"/>
      <c r="AR452" s="2004"/>
      <c r="AS452" s="2004"/>
      <c r="AT452" s="2004"/>
      <c r="AU452" s="2004"/>
      <c r="AV452" s="2004"/>
      <c r="AW452" s="2004"/>
      <c r="AX452" s="2004"/>
      <c r="AY452" s="2004"/>
      <c r="AZ452" s="2004"/>
      <c r="BA452" s="2004"/>
      <c r="BB452" s="2004"/>
      <c r="BC452" s="2004"/>
      <c r="BD452" s="2004"/>
      <c r="BE452" s="2004"/>
      <c r="BF452" s="2004"/>
      <c r="BG452" s="2004"/>
      <c r="BH452" s="2004"/>
      <c r="BI452" s="2004"/>
      <c r="BJ452" s="2004"/>
      <c r="BK452" s="2004"/>
      <c r="BL452" s="2004"/>
      <c r="BM452" s="2004"/>
      <c r="BN452" s="2004"/>
      <c r="BO452" s="2004"/>
      <c r="BP452" s="516">
        <v>79</v>
      </c>
      <c r="BQ452" s="689">
        <v>82</v>
      </c>
      <c r="BR452" s="2004" t="s">
        <v>2337</v>
      </c>
      <c r="BS452" s="2004" t="s">
        <v>9204</v>
      </c>
      <c r="BT452" s="2004">
        <v>0</v>
      </c>
      <c r="BU452" s="2004" t="s">
        <v>9204</v>
      </c>
      <c r="BV452" s="2004">
        <v>0</v>
      </c>
      <c r="BW452" s="2004">
        <v>85</v>
      </c>
      <c r="BX452" s="2004" t="s">
        <v>2337</v>
      </c>
      <c r="BY452" s="2004">
        <v>0</v>
      </c>
      <c r="BZ452" s="2004">
        <v>0</v>
      </c>
      <c r="CA452" s="2004">
        <v>0</v>
      </c>
      <c r="CB452" s="2004">
        <v>0</v>
      </c>
      <c r="CC452" s="2004">
        <v>84</v>
      </c>
      <c r="CD452" s="2004" t="s">
        <v>2337</v>
      </c>
      <c r="CE452" s="2004">
        <v>0</v>
      </c>
      <c r="CF452" s="2004">
        <v>0</v>
      </c>
      <c r="CG452" s="2004">
        <v>0</v>
      </c>
      <c r="CH452" s="2004">
        <v>0</v>
      </c>
      <c r="CI452" s="2004">
        <v>85</v>
      </c>
      <c r="CJ452" s="2004" t="s">
        <v>2337</v>
      </c>
      <c r="CK452" s="2004">
        <v>0</v>
      </c>
      <c r="CL452" s="2004">
        <v>0</v>
      </c>
      <c r="CM452" s="2004">
        <v>0</v>
      </c>
      <c r="CN452" s="2004">
        <v>0</v>
      </c>
      <c r="CP452" s="2004" t="s">
        <v>11756</v>
      </c>
    </row>
    <row r="453" spans="1:94">
      <c r="A453" s="2004" t="s">
        <v>9054</v>
      </c>
      <c r="B453" s="2004" t="s">
        <v>11757</v>
      </c>
      <c r="C453" s="2004" t="s">
        <v>9047</v>
      </c>
      <c r="D453" s="2004" t="s">
        <v>1629</v>
      </c>
      <c r="E453" s="2004" t="s">
        <v>9410</v>
      </c>
      <c r="F453" s="2004" t="s">
        <v>11706</v>
      </c>
      <c r="G453" s="2004" t="s">
        <v>8971</v>
      </c>
      <c r="H453" s="2004" t="s">
        <v>11758</v>
      </c>
      <c r="I453" s="2004" t="s">
        <v>11708</v>
      </c>
      <c r="J453" s="2004" t="s">
        <v>9230</v>
      </c>
      <c r="K453" s="2004"/>
      <c r="L453" s="2004"/>
      <c r="M453" s="2004"/>
      <c r="N453" s="2004" t="s">
        <v>9290</v>
      </c>
      <c r="O453" s="2004" t="s">
        <v>734</v>
      </c>
      <c r="P453" s="2004" t="s">
        <v>11709</v>
      </c>
      <c r="Q453" s="516">
        <v>0</v>
      </c>
      <c r="R453" s="2004" t="s">
        <v>9202</v>
      </c>
      <c r="S453" s="2004" t="s">
        <v>11710</v>
      </c>
      <c r="T453" s="2004" t="s">
        <v>11711</v>
      </c>
      <c r="U453" s="2004" t="s">
        <v>11711</v>
      </c>
      <c r="V453" s="2004" t="s">
        <v>11711</v>
      </c>
      <c r="W453" s="2004" t="s">
        <v>11711</v>
      </c>
      <c r="X453" s="2004" t="s">
        <v>11711</v>
      </c>
      <c r="Y453" s="2004"/>
      <c r="Z453" s="2004"/>
      <c r="AA453" s="2004"/>
      <c r="AB453" s="2004"/>
      <c r="AC453" s="2004"/>
      <c r="AD453" s="2004"/>
      <c r="AE453" s="2004"/>
      <c r="AF453" s="2004"/>
      <c r="AG453" s="2004"/>
      <c r="AH453" s="2004">
        <v>0</v>
      </c>
      <c r="AI453" s="2004"/>
      <c r="AJ453" s="2004"/>
      <c r="AK453" s="2004"/>
      <c r="AL453" s="2004"/>
      <c r="AM453" s="2004"/>
      <c r="AN453" s="2004"/>
      <c r="AO453" s="2004"/>
      <c r="AP453" s="2004"/>
      <c r="AQ453" s="2004"/>
      <c r="AR453" s="2004"/>
      <c r="AS453" s="2004"/>
      <c r="AT453" s="2004"/>
      <c r="AU453" s="2004"/>
      <c r="AV453" s="2004"/>
      <c r="AW453" s="2004"/>
      <c r="AX453" s="2004"/>
      <c r="AY453" s="2004"/>
      <c r="AZ453" s="2004"/>
      <c r="BA453" s="2004"/>
      <c r="BB453" s="2004"/>
      <c r="BC453" s="2004"/>
      <c r="BD453" s="2004"/>
      <c r="BE453" s="2004"/>
      <c r="BF453" s="2004"/>
      <c r="BG453" s="2004"/>
      <c r="BH453" s="2004"/>
      <c r="BI453" s="2004"/>
      <c r="BJ453" s="2004"/>
      <c r="BK453" s="2004"/>
      <c r="BL453" s="2004"/>
      <c r="BM453" s="2004"/>
      <c r="BN453" s="2004"/>
      <c r="BO453" s="2004"/>
      <c r="BP453" s="516">
        <v>-3</v>
      </c>
      <c r="BQ453" s="688">
        <v>-1</v>
      </c>
      <c r="BR453" s="2004" t="s">
        <v>2337</v>
      </c>
      <c r="BS453" s="2004" t="s">
        <v>9204</v>
      </c>
      <c r="BT453" s="2004">
        <v>0</v>
      </c>
      <c r="BU453" s="2004" t="s">
        <v>9204</v>
      </c>
      <c r="BV453" s="2004">
        <v>0</v>
      </c>
      <c r="BW453" s="2004">
        <v>-1</v>
      </c>
      <c r="BX453" s="2004" t="s">
        <v>2337</v>
      </c>
      <c r="BY453" s="2004">
        <v>0</v>
      </c>
      <c r="BZ453" s="2004">
        <v>0</v>
      </c>
      <c r="CA453" s="2004">
        <v>0</v>
      </c>
      <c r="CB453" s="2004">
        <v>0</v>
      </c>
      <c r="CC453" s="2004">
        <v>-2</v>
      </c>
      <c r="CD453" s="2004" t="s">
        <v>2337</v>
      </c>
      <c r="CE453" s="2004">
        <v>0</v>
      </c>
      <c r="CF453" s="2004">
        <v>0</v>
      </c>
      <c r="CG453" s="2004">
        <v>0</v>
      </c>
      <c r="CH453" s="2004">
        <v>0</v>
      </c>
      <c r="CI453" s="2004">
        <v>-2</v>
      </c>
      <c r="CJ453" s="2004" t="s">
        <v>2337</v>
      </c>
      <c r="CK453" s="2004">
        <v>0</v>
      </c>
      <c r="CL453" s="2004">
        <v>0</v>
      </c>
      <c r="CM453" s="2004">
        <v>0</v>
      </c>
      <c r="CN453" s="2004">
        <v>0</v>
      </c>
      <c r="CP453" s="2004" t="s">
        <v>11712</v>
      </c>
    </row>
    <row r="454" spans="1:94">
      <c r="A454" s="2004" t="s">
        <v>9054</v>
      </c>
      <c r="B454" s="2004" t="s">
        <v>11759</v>
      </c>
      <c r="C454" s="2004" t="s">
        <v>9047</v>
      </c>
      <c r="D454" s="2004" t="s">
        <v>1629</v>
      </c>
      <c r="E454" s="2004" t="s">
        <v>9410</v>
      </c>
      <c r="F454" s="2004" t="s">
        <v>11714</v>
      </c>
      <c r="G454" s="2004" t="s">
        <v>8987</v>
      </c>
      <c r="H454" s="2004" t="s">
        <v>11760</v>
      </c>
      <c r="I454" s="2004" t="s">
        <v>11716</v>
      </c>
      <c r="J454" s="2004" t="s">
        <v>9210</v>
      </c>
      <c r="K454" s="2004" t="s">
        <v>9200</v>
      </c>
      <c r="L454" s="2004"/>
      <c r="M454" s="2004" t="s">
        <v>2334</v>
      </c>
      <c r="N454" s="2004" t="s">
        <v>9477</v>
      </c>
      <c r="O454" s="2004" t="s">
        <v>9395</v>
      </c>
      <c r="P454" s="2004" t="s">
        <v>9546</v>
      </c>
      <c r="Q454" s="516" t="s">
        <v>9203</v>
      </c>
      <c r="R454" s="2004"/>
      <c r="S454" s="2004" t="s">
        <v>2338</v>
      </c>
      <c r="T454" s="2004" t="s">
        <v>2338</v>
      </c>
      <c r="U454" s="2004" t="s">
        <v>2338</v>
      </c>
      <c r="V454" s="2004" t="s">
        <v>2338</v>
      </c>
      <c r="W454" s="2004" t="s">
        <v>2338</v>
      </c>
      <c r="X454" s="2004" t="s">
        <v>2338</v>
      </c>
      <c r="Y454" s="2004"/>
      <c r="Z454" s="2004"/>
      <c r="AA454" s="2004"/>
      <c r="AB454" s="2004"/>
      <c r="AC454" s="2004"/>
      <c r="AD454" s="2004"/>
      <c r="AE454" s="2004" t="s">
        <v>2337</v>
      </c>
      <c r="AF454" s="2004"/>
      <c r="AG454" s="2004"/>
      <c r="AH454" s="2004">
        <v>9</v>
      </c>
      <c r="AI454" s="2004" t="s">
        <v>2337</v>
      </c>
      <c r="AJ454" s="2004" t="s">
        <v>2337</v>
      </c>
      <c r="AK454" s="2004" t="s">
        <v>2337</v>
      </c>
      <c r="AL454" s="2004" t="s">
        <v>2337</v>
      </c>
      <c r="AM454" s="2004" t="s">
        <v>2337</v>
      </c>
      <c r="AN454" s="2004" t="s">
        <v>9547</v>
      </c>
      <c r="AO454" s="2004" t="s">
        <v>9547</v>
      </c>
      <c r="AP454" s="2004" t="s">
        <v>9547</v>
      </c>
      <c r="AQ454" s="2004" t="s">
        <v>9547</v>
      </c>
      <c r="AR454" s="2004" t="s">
        <v>9547</v>
      </c>
      <c r="AS454" s="2004" t="s">
        <v>9548</v>
      </c>
      <c r="AT454" s="2004" t="s">
        <v>9548</v>
      </c>
      <c r="AU454" s="2004" t="s">
        <v>9548</v>
      </c>
      <c r="AV454" s="2004" t="s">
        <v>9548</v>
      </c>
      <c r="AW454" s="2004" t="s">
        <v>9548</v>
      </c>
      <c r="AX454" s="2004"/>
      <c r="AY454" s="2004"/>
      <c r="AZ454" s="2004"/>
      <c r="BA454" s="2004"/>
      <c r="BB454" s="2004"/>
      <c r="BC454" s="2004"/>
      <c r="BD454" s="2004"/>
      <c r="BE454" s="2004"/>
      <c r="BF454" s="2004"/>
      <c r="BG454" s="2004"/>
      <c r="BH454" s="2004">
        <v>20</v>
      </c>
      <c r="BI454" s="2004"/>
      <c r="BJ454" s="2004"/>
      <c r="BK454" s="2004"/>
      <c r="BL454" s="2004"/>
      <c r="BM454" s="2004"/>
      <c r="BN454" s="2004">
        <v>1</v>
      </c>
      <c r="BO454" s="2004" t="s">
        <v>9203</v>
      </c>
      <c r="BP454" s="516" t="s">
        <v>2338</v>
      </c>
      <c r="BQ454" s="688" t="s">
        <v>2338</v>
      </c>
      <c r="BR454" s="2004" t="s">
        <v>2337</v>
      </c>
      <c r="BS454" s="2004" t="s">
        <v>9204</v>
      </c>
      <c r="BT454" s="2004">
        <v>0</v>
      </c>
      <c r="BU454" s="2004" t="s">
        <v>9204</v>
      </c>
      <c r="BV454" s="2004">
        <v>0</v>
      </c>
      <c r="BW454" s="2004" t="s">
        <v>2338</v>
      </c>
      <c r="BX454" s="2004" t="s">
        <v>2337</v>
      </c>
      <c r="BY454" s="2004">
        <v>0</v>
      </c>
      <c r="BZ454" s="2004">
        <v>0</v>
      </c>
      <c r="CA454" s="2004">
        <v>0</v>
      </c>
      <c r="CB454" s="2004">
        <v>0</v>
      </c>
      <c r="CC454" s="2004" t="s">
        <v>2338</v>
      </c>
      <c r="CD454" s="2004" t="s">
        <v>2337</v>
      </c>
      <c r="CE454" s="2004">
        <v>0</v>
      </c>
      <c r="CF454" s="2004">
        <v>0</v>
      </c>
      <c r="CG454" s="2004">
        <v>0</v>
      </c>
      <c r="CH454" s="2004">
        <v>0</v>
      </c>
      <c r="CI454" s="2004" t="s">
        <v>2338</v>
      </c>
      <c r="CJ454" s="2004" t="s">
        <v>2337</v>
      </c>
      <c r="CK454" s="2004">
        <v>0</v>
      </c>
      <c r="CL454" s="2004">
        <v>0</v>
      </c>
      <c r="CM454" s="2004">
        <v>0</v>
      </c>
      <c r="CN454" s="2004">
        <v>0</v>
      </c>
      <c r="CP454" s="2004" t="s">
        <v>11717</v>
      </c>
    </row>
    <row r="455" spans="1:94">
      <c r="A455" s="2004" t="s">
        <v>9054</v>
      </c>
      <c r="B455" s="2004" t="s">
        <v>11761</v>
      </c>
      <c r="C455" s="2004" t="s">
        <v>9047</v>
      </c>
      <c r="D455" s="2004" t="s">
        <v>1629</v>
      </c>
      <c r="E455" s="2004" t="s">
        <v>9410</v>
      </c>
      <c r="F455" s="2004" t="s">
        <v>11714</v>
      </c>
      <c r="G455" s="2004" t="s">
        <v>8993</v>
      </c>
      <c r="H455" s="2004" t="s">
        <v>11762</v>
      </c>
      <c r="I455" s="2004" t="s">
        <v>11724</v>
      </c>
      <c r="J455" s="2004" t="s">
        <v>9210</v>
      </c>
      <c r="K455" s="2004" t="s">
        <v>9200</v>
      </c>
      <c r="L455" s="2004"/>
      <c r="M455" s="2004"/>
      <c r="N455" s="2004" t="s">
        <v>5533</v>
      </c>
      <c r="O455" s="2004" t="s">
        <v>734</v>
      </c>
      <c r="P455" s="2004" t="s">
        <v>11725</v>
      </c>
      <c r="Q455" s="516">
        <v>0</v>
      </c>
      <c r="R455" s="2004" t="s">
        <v>9240</v>
      </c>
      <c r="S455" s="2004">
        <v>71</v>
      </c>
      <c r="T455" s="2004">
        <v>71</v>
      </c>
      <c r="U455" s="2004">
        <v>72</v>
      </c>
      <c r="V455" s="2004">
        <v>74</v>
      </c>
      <c r="W455" s="2004">
        <v>76</v>
      </c>
      <c r="X455" s="2004">
        <v>78</v>
      </c>
      <c r="Y455" s="2004"/>
      <c r="Z455" s="2004"/>
      <c r="AA455" s="2004"/>
      <c r="AB455" s="2004"/>
      <c r="AC455" s="2004"/>
      <c r="AD455" s="2004"/>
      <c r="AE455" s="2004" t="s">
        <v>2337</v>
      </c>
      <c r="AF455" s="2004"/>
      <c r="AG455" s="2004"/>
      <c r="AH455" s="2004">
        <v>0</v>
      </c>
      <c r="AI455" s="2004"/>
      <c r="AJ455" s="2004"/>
      <c r="AK455" s="2004"/>
      <c r="AL455" s="2004"/>
      <c r="AM455" s="2004" t="s">
        <v>2337</v>
      </c>
      <c r="AN455" s="2004"/>
      <c r="AO455" s="2004"/>
      <c r="AP455" s="2004"/>
      <c r="AQ455" s="2004"/>
      <c r="AR455" s="2004">
        <v>71</v>
      </c>
      <c r="AS455" s="2004"/>
      <c r="AT455" s="2004"/>
      <c r="AU455" s="2004"/>
      <c r="AV455" s="2004"/>
      <c r="AW455" s="2004">
        <v>76</v>
      </c>
      <c r="AX455" s="2004"/>
      <c r="AY455" s="2004"/>
      <c r="AZ455" s="2004"/>
      <c r="BA455" s="2004"/>
      <c r="BB455" s="2004"/>
      <c r="BC455" s="2004"/>
      <c r="BD455" s="2004"/>
      <c r="BE455" s="2004"/>
      <c r="BF455" s="2004"/>
      <c r="BG455" s="2004"/>
      <c r="BH455" s="2004">
        <v>2.2000000000000002</v>
      </c>
      <c r="BI455" s="2004"/>
      <c r="BJ455" s="2004"/>
      <c r="BK455" s="2004"/>
      <c r="BL455" s="2004"/>
      <c r="BM455" s="2004"/>
      <c r="BN455" s="2004">
        <v>1</v>
      </c>
      <c r="BO455" s="2004" t="s">
        <v>9203</v>
      </c>
      <c r="BP455" s="516">
        <v>75</v>
      </c>
      <c r="BQ455" s="689">
        <v>74</v>
      </c>
      <c r="BR455" s="2004" t="s">
        <v>2337</v>
      </c>
      <c r="BS455" s="2004" t="s">
        <v>9204</v>
      </c>
      <c r="BT455" s="2004">
        <v>0</v>
      </c>
      <c r="BU455" s="2004" t="s">
        <v>9204</v>
      </c>
      <c r="BV455" s="2004">
        <v>0</v>
      </c>
      <c r="BW455" s="2004">
        <v>73.599999999999994</v>
      </c>
      <c r="BX455" s="2004" t="s">
        <v>2337</v>
      </c>
      <c r="BY455" s="2004">
        <v>0</v>
      </c>
      <c r="BZ455" s="2004">
        <v>0</v>
      </c>
      <c r="CA455" s="2004">
        <v>0</v>
      </c>
      <c r="CB455" s="2004">
        <v>0</v>
      </c>
      <c r="CC455" s="2004">
        <v>77.5</v>
      </c>
      <c r="CD455" s="2004" t="s">
        <v>2337</v>
      </c>
      <c r="CE455" s="2004">
        <v>0</v>
      </c>
      <c r="CF455" s="2004">
        <v>0</v>
      </c>
      <c r="CG455" s="2004">
        <v>0</v>
      </c>
      <c r="CH455" s="2004">
        <v>0</v>
      </c>
      <c r="CI455" s="2004">
        <v>79</v>
      </c>
      <c r="CJ455" s="2004" t="s">
        <v>2337</v>
      </c>
      <c r="CK455" s="2004">
        <v>0</v>
      </c>
      <c r="CL455" s="2004">
        <v>0</v>
      </c>
      <c r="CM455" s="2004">
        <v>0</v>
      </c>
      <c r="CN455" s="2004">
        <v>0</v>
      </c>
      <c r="CP455" s="2004" t="s">
        <v>11726</v>
      </c>
    </row>
    <row r="456" spans="1:94">
      <c r="A456" s="2004" t="s">
        <v>9054</v>
      </c>
      <c r="B456" s="2004" t="s">
        <v>11763</v>
      </c>
      <c r="C456" s="2004" t="s">
        <v>9047</v>
      </c>
      <c r="D456" s="2004" t="s">
        <v>9726</v>
      </c>
      <c r="E456" s="2004" t="s">
        <v>9727</v>
      </c>
      <c r="F456" s="2004" t="s">
        <v>11764</v>
      </c>
      <c r="G456" s="2004" t="s">
        <v>8955</v>
      </c>
      <c r="H456" s="2004" t="s">
        <v>11765</v>
      </c>
      <c r="I456" s="2004" t="s">
        <v>11694</v>
      </c>
      <c r="J456" s="2004" t="s">
        <v>9199</v>
      </c>
      <c r="K456" s="2004" t="s">
        <v>9200</v>
      </c>
      <c r="L456" s="2004"/>
      <c r="M456" s="2004" t="s">
        <v>2334</v>
      </c>
      <c r="N456" s="2004" t="s">
        <v>9281</v>
      </c>
      <c r="O456" s="2004" t="s">
        <v>9487</v>
      </c>
      <c r="P456" s="2004" t="s">
        <v>9641</v>
      </c>
      <c r="Q456" s="516" t="s">
        <v>9203</v>
      </c>
      <c r="R456" s="2004" t="s">
        <v>9240</v>
      </c>
      <c r="S456" s="2004" t="s">
        <v>10955</v>
      </c>
      <c r="T456" s="2004" t="s">
        <v>10131</v>
      </c>
      <c r="U456" s="2004" t="s">
        <v>10131</v>
      </c>
      <c r="V456" s="2004" t="s">
        <v>10131</v>
      </c>
      <c r="W456" s="2004" t="s">
        <v>10131</v>
      </c>
      <c r="X456" s="2004" t="s">
        <v>10131</v>
      </c>
      <c r="Y456" s="2004"/>
      <c r="Z456" s="2004"/>
      <c r="AA456" s="2004"/>
      <c r="AB456" s="2004"/>
      <c r="AC456" s="2004"/>
      <c r="AD456" s="2004"/>
      <c r="AE456" s="2004"/>
      <c r="AF456" s="2004"/>
      <c r="AG456" s="2004"/>
      <c r="AH456" s="2004">
        <v>0</v>
      </c>
      <c r="AI456" s="2004" t="s">
        <v>2337</v>
      </c>
      <c r="AJ456" s="2004" t="s">
        <v>2337</v>
      </c>
      <c r="AK456" s="2004" t="s">
        <v>2337</v>
      </c>
      <c r="AL456" s="2004" t="s">
        <v>2337</v>
      </c>
      <c r="AM456" s="2004" t="s">
        <v>2337</v>
      </c>
      <c r="AN456" s="2004" t="s">
        <v>9284</v>
      </c>
      <c r="AO456" s="2004" t="s">
        <v>9284</v>
      </c>
      <c r="AP456" s="2004" t="s">
        <v>9284</v>
      </c>
      <c r="AQ456" s="2004" t="s">
        <v>9284</v>
      </c>
      <c r="AR456" s="2004" t="s">
        <v>9284</v>
      </c>
      <c r="AS456" s="2004" t="s">
        <v>9284</v>
      </c>
      <c r="AT456" s="2004" t="s">
        <v>9284</v>
      </c>
      <c r="AU456" s="2004" t="s">
        <v>9284</v>
      </c>
      <c r="AV456" s="2004" t="s">
        <v>9284</v>
      </c>
      <c r="AW456" s="2004" t="s">
        <v>9284</v>
      </c>
      <c r="AX456" s="2004" t="s">
        <v>9284</v>
      </c>
      <c r="AY456" s="2004" t="s">
        <v>9284</v>
      </c>
      <c r="AZ456" s="2004" t="s">
        <v>9284</v>
      </c>
      <c r="BA456" s="2004" t="s">
        <v>9284</v>
      </c>
      <c r="BB456" s="2004" t="s">
        <v>9284</v>
      </c>
      <c r="BC456" s="2004" t="s">
        <v>9284</v>
      </c>
      <c r="BD456" s="2004" t="s">
        <v>9284</v>
      </c>
      <c r="BE456" s="2004" t="s">
        <v>9284</v>
      </c>
      <c r="BF456" s="2004" t="s">
        <v>9284</v>
      </c>
      <c r="BG456" s="2004" t="s">
        <v>9284</v>
      </c>
      <c r="BH456" s="2004" t="s">
        <v>9284</v>
      </c>
      <c r="BI456" s="2004"/>
      <c r="BJ456" s="2004"/>
      <c r="BK456" s="2004"/>
      <c r="BL456" s="2004" t="s">
        <v>9284</v>
      </c>
      <c r="BM456" s="2004"/>
      <c r="BN456" s="2004">
        <v>1</v>
      </c>
      <c r="BO456" s="2004" t="s">
        <v>9203</v>
      </c>
      <c r="BQ456" s="688">
        <v>83</v>
      </c>
      <c r="BR456" s="2004" t="s">
        <v>2334</v>
      </c>
      <c r="BS456" s="2004" t="s">
        <v>9204</v>
      </c>
      <c r="BT456" s="2004">
        <v>0</v>
      </c>
      <c r="BU456" s="2004" t="s">
        <v>9204</v>
      </c>
      <c r="BV456" s="2004">
        <v>0</v>
      </c>
      <c r="BW456" s="2004">
        <v>1152</v>
      </c>
      <c r="BX456" s="2004" t="s">
        <v>2334</v>
      </c>
      <c r="BY456" s="2004">
        <v>0</v>
      </c>
      <c r="BZ456" s="2004">
        <v>0</v>
      </c>
      <c r="CA456" s="2004">
        <v>0</v>
      </c>
      <c r="CB456" s="2004">
        <v>0</v>
      </c>
      <c r="CC456" s="2004">
        <v>574</v>
      </c>
      <c r="CD456" s="2004" t="s">
        <v>2335</v>
      </c>
      <c r="CE456" s="2004">
        <v>0</v>
      </c>
      <c r="CF456" s="2004">
        <v>0</v>
      </c>
      <c r="CG456" s="2004">
        <v>0</v>
      </c>
      <c r="CH456" s="2004">
        <v>0</v>
      </c>
      <c r="CI456" s="2004">
        <v>559</v>
      </c>
      <c r="CJ456" s="2004" t="s">
        <v>2335</v>
      </c>
      <c r="CK456" s="2004">
        <v>0</v>
      </c>
      <c r="CL456" s="2004">
        <v>0</v>
      </c>
      <c r="CM456" s="2004">
        <v>0</v>
      </c>
      <c r="CN456" s="2004">
        <v>0</v>
      </c>
      <c r="CP456" s="2004" t="s">
        <v>11695</v>
      </c>
    </row>
    <row r="457" spans="1:94">
      <c r="A457" s="2004" t="s">
        <v>9054</v>
      </c>
      <c r="B457" s="2004" t="s">
        <v>11766</v>
      </c>
      <c r="C457" s="2004" t="s">
        <v>9047</v>
      </c>
      <c r="D457" s="2004" t="s">
        <v>9726</v>
      </c>
      <c r="E457" s="2004" t="s">
        <v>9727</v>
      </c>
      <c r="F457" s="2004" t="s">
        <v>11764</v>
      </c>
      <c r="G457" s="2004" t="s">
        <v>8964</v>
      </c>
      <c r="H457" s="2004" t="s">
        <v>11767</v>
      </c>
      <c r="I457" s="2004" t="s">
        <v>11768</v>
      </c>
      <c r="J457" s="2004" t="s">
        <v>9210</v>
      </c>
      <c r="K457" s="2004" t="s">
        <v>9200</v>
      </c>
      <c r="L457" s="2004"/>
      <c r="M457" s="2004"/>
      <c r="N457" s="2004" t="s">
        <v>9386</v>
      </c>
      <c r="O457" s="2004" t="s">
        <v>734</v>
      </c>
      <c r="P457" s="2004" t="s">
        <v>9387</v>
      </c>
      <c r="Q457" s="516">
        <v>0</v>
      </c>
      <c r="R457" s="2004" t="s">
        <v>9240</v>
      </c>
      <c r="S457" s="2004">
        <v>87</v>
      </c>
      <c r="T457" s="2004">
        <v>87</v>
      </c>
      <c r="U457" s="2004">
        <v>88</v>
      </c>
      <c r="V457" s="2004">
        <v>89</v>
      </c>
      <c r="W457" s="2004">
        <v>90</v>
      </c>
      <c r="X457" s="2004">
        <v>90</v>
      </c>
      <c r="Y457" s="2004"/>
      <c r="Z457" s="2004"/>
      <c r="AA457" s="2004"/>
      <c r="AB457" s="2004"/>
      <c r="AC457" s="2004"/>
      <c r="AD457" s="2004"/>
      <c r="AE457" s="2004"/>
      <c r="AF457" s="2004"/>
      <c r="AG457" s="2004"/>
      <c r="AH457" s="2004">
        <v>0</v>
      </c>
      <c r="AI457" s="2004" t="s">
        <v>2337</v>
      </c>
      <c r="AJ457" s="2004" t="s">
        <v>2337</v>
      </c>
      <c r="AK457" s="2004" t="s">
        <v>2337</v>
      </c>
      <c r="AL457" s="2004" t="s">
        <v>2337</v>
      </c>
      <c r="AM457" s="2004" t="s">
        <v>2337</v>
      </c>
      <c r="AN457" s="2004">
        <v>70</v>
      </c>
      <c r="AO457" s="2004">
        <v>70</v>
      </c>
      <c r="AP457" s="2004">
        <v>70</v>
      </c>
      <c r="AQ457" s="2004">
        <v>70</v>
      </c>
      <c r="AR457" s="2004">
        <v>70</v>
      </c>
      <c r="AS457" s="2004">
        <v>80</v>
      </c>
      <c r="AT457" s="2004">
        <v>80</v>
      </c>
      <c r="AU457" s="2004">
        <v>80</v>
      </c>
      <c r="AV457" s="2004">
        <v>80</v>
      </c>
      <c r="AW457" s="2004">
        <v>80</v>
      </c>
      <c r="AX457" s="2004"/>
      <c r="AY457" s="2004"/>
      <c r="AZ457" s="2004"/>
      <c r="BA457" s="2004"/>
      <c r="BB457" s="2004"/>
      <c r="BC457" s="2004"/>
      <c r="BD457" s="2004"/>
      <c r="BE457" s="2004"/>
      <c r="BF457" s="2004"/>
      <c r="BG457" s="2004"/>
      <c r="BH457" s="2004">
        <v>0.5</v>
      </c>
      <c r="BI457" s="2004"/>
      <c r="BJ457" s="2004"/>
      <c r="BK457" s="2004"/>
      <c r="BL457" s="2004"/>
      <c r="BM457" s="2004"/>
      <c r="BN457" s="2004">
        <v>1</v>
      </c>
      <c r="BO457" s="2004" t="s">
        <v>9203</v>
      </c>
      <c r="BP457" s="516">
        <v>89</v>
      </c>
      <c r="BQ457" s="689">
        <v>88</v>
      </c>
      <c r="BR457" s="2004" t="s">
        <v>2337</v>
      </c>
      <c r="BS457" s="2004" t="s">
        <v>9204</v>
      </c>
      <c r="BT457" s="2004">
        <v>0</v>
      </c>
      <c r="BU457" s="2004" t="s">
        <v>9204</v>
      </c>
      <c r="BV457" s="2004">
        <v>0</v>
      </c>
      <c r="BW457" s="2004">
        <v>89</v>
      </c>
      <c r="BX457" s="2004" t="s">
        <v>2337</v>
      </c>
      <c r="BY457" s="2004">
        <v>0</v>
      </c>
      <c r="BZ457" s="2004">
        <v>0</v>
      </c>
      <c r="CA457" s="2004">
        <v>0</v>
      </c>
      <c r="CB457" s="2004">
        <v>0</v>
      </c>
      <c r="CC457" s="2004">
        <v>87</v>
      </c>
      <c r="CD457" s="2004" t="s">
        <v>2334</v>
      </c>
      <c r="CE457" s="2004">
        <v>0</v>
      </c>
      <c r="CF457" s="2004">
        <v>0</v>
      </c>
      <c r="CG457" s="2004" t="s">
        <v>2340</v>
      </c>
      <c r="CH457" s="2004">
        <v>0</v>
      </c>
      <c r="CI457" s="2004">
        <v>88</v>
      </c>
      <c r="CJ457" s="2004" t="s">
        <v>2334</v>
      </c>
      <c r="CK457" s="2004">
        <v>0</v>
      </c>
      <c r="CL457" s="2004">
        <v>0</v>
      </c>
      <c r="CM457" s="2004" t="s">
        <v>2340</v>
      </c>
      <c r="CN457" s="2004">
        <v>0</v>
      </c>
      <c r="CP457" s="2004" t="s">
        <v>11769</v>
      </c>
    </row>
    <row r="458" spans="1:94">
      <c r="A458" s="2004" t="s">
        <v>9054</v>
      </c>
      <c r="B458" s="2004" t="s">
        <v>11770</v>
      </c>
      <c r="C458" s="2004" t="s">
        <v>9047</v>
      </c>
      <c r="D458" s="2004" t="s">
        <v>9726</v>
      </c>
      <c r="E458" s="2004" t="s">
        <v>9727</v>
      </c>
      <c r="F458" s="2004" t="s">
        <v>11764</v>
      </c>
      <c r="G458" s="2004" t="s">
        <v>8967</v>
      </c>
      <c r="H458" s="2004" t="s">
        <v>11771</v>
      </c>
      <c r="I458" s="2004" t="s">
        <v>11703</v>
      </c>
      <c r="J458" s="2004" t="s">
        <v>9230</v>
      </c>
      <c r="K458" s="2004"/>
      <c r="L458" s="2004"/>
      <c r="M458" s="2004"/>
      <c r="N458" s="2004" t="s">
        <v>9386</v>
      </c>
      <c r="O458" s="2004" t="s">
        <v>734</v>
      </c>
      <c r="P458" s="2004" t="s">
        <v>9387</v>
      </c>
      <c r="Q458" s="516">
        <v>0</v>
      </c>
      <c r="R458" s="2004" t="s">
        <v>9240</v>
      </c>
      <c r="S458" s="2004">
        <v>63</v>
      </c>
      <c r="T458" s="2004">
        <v>63</v>
      </c>
      <c r="U458" s="2004">
        <v>66</v>
      </c>
      <c r="V458" s="2004">
        <v>68</v>
      </c>
      <c r="W458" s="2004">
        <v>71</v>
      </c>
      <c r="X458" s="2004">
        <v>75</v>
      </c>
      <c r="Y458" s="2004"/>
      <c r="Z458" s="2004"/>
      <c r="AA458" s="2004"/>
      <c r="AB458" s="2004"/>
      <c r="AC458" s="2004"/>
      <c r="AD458" s="2004"/>
      <c r="AE458" s="2004"/>
      <c r="AF458" s="2004"/>
      <c r="AG458" s="2004"/>
      <c r="AH458" s="2004">
        <v>0</v>
      </c>
      <c r="AI458" s="2004"/>
      <c r="AJ458" s="2004"/>
      <c r="AK458" s="2004"/>
      <c r="AL458" s="2004"/>
      <c r="AM458" s="2004"/>
      <c r="AN458" s="2004"/>
      <c r="AO458" s="2004"/>
      <c r="AP458" s="2004"/>
      <c r="AQ458" s="2004"/>
      <c r="AR458" s="2004"/>
      <c r="AS458" s="2004"/>
      <c r="AT458" s="2004"/>
      <c r="AU458" s="2004"/>
      <c r="AV458" s="2004"/>
      <c r="AW458" s="2004"/>
      <c r="AX458" s="2004"/>
      <c r="AY458" s="2004"/>
      <c r="AZ458" s="2004"/>
      <c r="BA458" s="2004"/>
      <c r="BB458" s="2004"/>
      <c r="BC458" s="2004"/>
      <c r="BD458" s="2004"/>
      <c r="BE458" s="2004"/>
      <c r="BF458" s="2004"/>
      <c r="BG458" s="2004"/>
      <c r="BH458" s="2004"/>
      <c r="BI458" s="2004"/>
      <c r="BJ458" s="2004"/>
      <c r="BK458" s="2004"/>
      <c r="BL458" s="2004"/>
      <c r="BM458" s="2004"/>
      <c r="BN458" s="2004"/>
      <c r="BO458" s="2004"/>
      <c r="BP458" s="516">
        <v>79</v>
      </c>
      <c r="BQ458" s="689">
        <v>82</v>
      </c>
      <c r="BR458" s="2004" t="s">
        <v>2337</v>
      </c>
      <c r="BS458" s="2004" t="s">
        <v>9204</v>
      </c>
      <c r="BT458" s="2004">
        <v>0</v>
      </c>
      <c r="BU458" s="2004" t="s">
        <v>9204</v>
      </c>
      <c r="BV458" s="2004">
        <v>0</v>
      </c>
      <c r="BW458" s="2004">
        <v>85</v>
      </c>
      <c r="BX458" s="2004" t="s">
        <v>2337</v>
      </c>
      <c r="BY458" s="2004">
        <v>0</v>
      </c>
      <c r="BZ458" s="2004">
        <v>0</v>
      </c>
      <c r="CA458" s="2004">
        <v>0</v>
      </c>
      <c r="CB458" s="2004">
        <v>0</v>
      </c>
      <c r="CC458" s="2004">
        <v>84</v>
      </c>
      <c r="CD458" s="2004" t="s">
        <v>2337</v>
      </c>
      <c r="CE458" s="2004">
        <v>0</v>
      </c>
      <c r="CF458" s="2004">
        <v>0</v>
      </c>
      <c r="CG458" s="2004">
        <v>0</v>
      </c>
      <c r="CH458" s="2004">
        <v>0</v>
      </c>
      <c r="CI458" s="2004">
        <v>85</v>
      </c>
      <c r="CJ458" s="2004" t="s">
        <v>2337</v>
      </c>
      <c r="CK458" s="2004">
        <v>0</v>
      </c>
      <c r="CL458" s="2004">
        <v>0</v>
      </c>
      <c r="CM458" s="2004">
        <v>0</v>
      </c>
      <c r="CN458" s="2004">
        <v>0</v>
      </c>
      <c r="CP458" s="2004" t="s">
        <v>11704</v>
      </c>
    </row>
    <row r="459" spans="1:94">
      <c r="A459" s="2004" t="s">
        <v>9054</v>
      </c>
      <c r="B459" s="2004" t="s">
        <v>11772</v>
      </c>
      <c r="C459" s="2004" t="s">
        <v>9047</v>
      </c>
      <c r="D459" s="2004" t="s">
        <v>9726</v>
      </c>
      <c r="E459" s="2004" t="s">
        <v>9727</v>
      </c>
      <c r="F459" s="2004" t="s">
        <v>11706</v>
      </c>
      <c r="G459" s="2004" t="s">
        <v>8971</v>
      </c>
      <c r="H459" s="2004" t="s">
        <v>11773</v>
      </c>
      <c r="I459" s="2004" t="s">
        <v>11708</v>
      </c>
      <c r="J459" s="2004" t="s">
        <v>9230</v>
      </c>
      <c r="K459" s="2004"/>
      <c r="L459" s="2004"/>
      <c r="M459" s="2004"/>
      <c r="N459" s="2004" t="s">
        <v>9290</v>
      </c>
      <c r="O459" s="2004" t="s">
        <v>734</v>
      </c>
      <c r="P459" s="2004" t="s">
        <v>11709</v>
      </c>
      <c r="Q459" s="516">
        <v>0</v>
      </c>
      <c r="R459" s="2004" t="s">
        <v>9202</v>
      </c>
      <c r="S459" s="2004" t="s">
        <v>11710</v>
      </c>
      <c r="T459" s="2004" t="s">
        <v>11711</v>
      </c>
      <c r="U459" s="2004" t="s">
        <v>11711</v>
      </c>
      <c r="V459" s="2004" t="s">
        <v>11711</v>
      </c>
      <c r="W459" s="2004" t="s">
        <v>11711</v>
      </c>
      <c r="X459" s="2004" t="s">
        <v>11711</v>
      </c>
      <c r="Y459" s="2004"/>
      <c r="Z459" s="2004"/>
      <c r="AA459" s="2004"/>
      <c r="AB459" s="2004"/>
      <c r="AC459" s="2004"/>
      <c r="AD459" s="2004"/>
      <c r="AE459" s="2004"/>
      <c r="AF459" s="2004"/>
      <c r="AG459" s="2004"/>
      <c r="AH459" s="2004">
        <v>0</v>
      </c>
      <c r="AI459" s="2004"/>
      <c r="AJ459" s="2004"/>
      <c r="AK459" s="2004"/>
      <c r="AL459" s="2004"/>
      <c r="AM459" s="2004"/>
      <c r="AN459" s="2004"/>
      <c r="AO459" s="2004"/>
      <c r="AP459" s="2004"/>
      <c r="AQ459" s="2004"/>
      <c r="AR459" s="2004"/>
      <c r="AS459" s="2004"/>
      <c r="AT459" s="2004"/>
      <c r="AU459" s="2004"/>
      <c r="AV459" s="2004"/>
      <c r="AW459" s="2004"/>
      <c r="AX459" s="2004"/>
      <c r="AY459" s="2004"/>
      <c r="AZ459" s="2004"/>
      <c r="BA459" s="2004"/>
      <c r="BB459" s="2004"/>
      <c r="BC459" s="2004"/>
      <c r="BD459" s="2004"/>
      <c r="BE459" s="2004"/>
      <c r="BF459" s="2004"/>
      <c r="BG459" s="2004"/>
      <c r="BH459" s="2004"/>
      <c r="BI459" s="2004"/>
      <c r="BJ459" s="2004"/>
      <c r="BK459" s="2004"/>
      <c r="BL459" s="2004"/>
      <c r="BM459" s="2004"/>
      <c r="BN459" s="2004"/>
      <c r="BO459" s="2004"/>
      <c r="BP459" s="516">
        <v>-3</v>
      </c>
      <c r="BQ459" s="688">
        <v>-1</v>
      </c>
      <c r="BR459" s="2004" t="s">
        <v>2337</v>
      </c>
      <c r="BS459" s="2004" t="s">
        <v>9204</v>
      </c>
      <c r="BT459" s="2004">
        <v>0</v>
      </c>
      <c r="BU459" s="2004" t="s">
        <v>9204</v>
      </c>
      <c r="BV459" s="2004">
        <v>0</v>
      </c>
      <c r="BW459" s="2004">
        <v>-1</v>
      </c>
      <c r="BX459" s="2004" t="s">
        <v>2337</v>
      </c>
      <c r="BY459" s="2004">
        <v>0</v>
      </c>
      <c r="BZ459" s="2004">
        <v>0</v>
      </c>
      <c r="CA459" s="2004">
        <v>0</v>
      </c>
      <c r="CB459" s="2004">
        <v>0</v>
      </c>
      <c r="CC459" s="2004">
        <v>-1</v>
      </c>
      <c r="CD459" s="2004" t="s">
        <v>2337</v>
      </c>
      <c r="CE459" s="2004">
        <v>0</v>
      </c>
      <c r="CF459" s="2004">
        <v>0</v>
      </c>
      <c r="CG459" s="2004">
        <v>0</v>
      </c>
      <c r="CH459" s="2004">
        <v>0</v>
      </c>
      <c r="CI459" s="2004">
        <v>1</v>
      </c>
      <c r="CJ459" s="2004" t="s">
        <v>2334</v>
      </c>
      <c r="CK459" s="2004">
        <v>0</v>
      </c>
      <c r="CL459" s="2004">
        <v>0</v>
      </c>
      <c r="CM459" s="2004">
        <v>0</v>
      </c>
      <c r="CN459" s="2004">
        <v>0</v>
      </c>
      <c r="CP459" s="2004" t="s">
        <v>11712</v>
      </c>
    </row>
    <row r="460" spans="1:94">
      <c r="A460" s="2004" t="s">
        <v>9054</v>
      </c>
      <c r="B460" s="2004" t="s">
        <v>11774</v>
      </c>
      <c r="C460" s="2004" t="s">
        <v>9047</v>
      </c>
      <c r="D460" s="2004" t="s">
        <v>9275</v>
      </c>
      <c r="E460" s="2004" t="s">
        <v>9276</v>
      </c>
      <c r="F460" s="2004" t="s">
        <v>11744</v>
      </c>
      <c r="G460" s="2004" t="s">
        <v>8955</v>
      </c>
      <c r="H460" s="2004" t="s">
        <v>11775</v>
      </c>
      <c r="I460" s="2004" t="s">
        <v>11694</v>
      </c>
      <c r="J460" s="2004" t="s">
        <v>9199</v>
      </c>
      <c r="K460" s="2004" t="s">
        <v>9200</v>
      </c>
      <c r="L460" s="2004"/>
      <c r="M460" s="2004" t="s">
        <v>2334</v>
      </c>
      <c r="N460" s="2004" t="s">
        <v>9281</v>
      </c>
      <c r="O460" s="2004" t="s">
        <v>9487</v>
      </c>
      <c r="P460" s="2004" t="s">
        <v>9641</v>
      </c>
      <c r="Q460" s="516" t="s">
        <v>9203</v>
      </c>
      <c r="R460" s="2004" t="s">
        <v>9240</v>
      </c>
      <c r="S460" s="2004" t="s">
        <v>10955</v>
      </c>
      <c r="T460" s="2004" t="s">
        <v>10131</v>
      </c>
      <c r="U460" s="2004" t="s">
        <v>10131</v>
      </c>
      <c r="V460" s="2004" t="s">
        <v>10131</v>
      </c>
      <c r="W460" s="2004" t="s">
        <v>10131</v>
      </c>
      <c r="X460" s="2004" t="s">
        <v>10131</v>
      </c>
      <c r="Y460" s="2004"/>
      <c r="Z460" s="2004"/>
      <c r="AA460" s="2004"/>
      <c r="AB460" s="2004"/>
      <c r="AC460" s="2004"/>
      <c r="AD460" s="2004"/>
      <c r="AE460" s="2004"/>
      <c r="AF460" s="2004"/>
      <c r="AG460" s="2004"/>
      <c r="AH460" s="2004">
        <v>0</v>
      </c>
      <c r="AI460" s="2004" t="s">
        <v>2337</v>
      </c>
      <c r="AJ460" s="2004" t="s">
        <v>2337</v>
      </c>
      <c r="AK460" s="2004" t="s">
        <v>2337</v>
      </c>
      <c r="AL460" s="2004" t="s">
        <v>2337</v>
      </c>
      <c r="AM460" s="2004" t="s">
        <v>2337</v>
      </c>
      <c r="AN460" s="2004" t="s">
        <v>9284</v>
      </c>
      <c r="AO460" s="2004" t="s">
        <v>9284</v>
      </c>
      <c r="AP460" s="2004" t="s">
        <v>9284</v>
      </c>
      <c r="AQ460" s="2004" t="s">
        <v>9284</v>
      </c>
      <c r="AR460" s="2004" t="s">
        <v>9284</v>
      </c>
      <c r="AS460" s="2004" t="s">
        <v>9284</v>
      </c>
      <c r="AT460" s="2004" t="s">
        <v>9284</v>
      </c>
      <c r="AU460" s="2004" t="s">
        <v>9284</v>
      </c>
      <c r="AV460" s="2004" t="s">
        <v>9284</v>
      </c>
      <c r="AW460" s="2004" t="s">
        <v>9284</v>
      </c>
      <c r="AX460" s="2004" t="s">
        <v>9284</v>
      </c>
      <c r="AY460" s="2004" t="s">
        <v>9284</v>
      </c>
      <c r="AZ460" s="2004" t="s">
        <v>9284</v>
      </c>
      <c r="BA460" s="2004" t="s">
        <v>9284</v>
      </c>
      <c r="BB460" s="2004" t="s">
        <v>9284</v>
      </c>
      <c r="BC460" s="2004" t="s">
        <v>9284</v>
      </c>
      <c r="BD460" s="2004" t="s">
        <v>9284</v>
      </c>
      <c r="BE460" s="2004" t="s">
        <v>9284</v>
      </c>
      <c r="BF460" s="2004" t="s">
        <v>9284</v>
      </c>
      <c r="BG460" s="2004" t="s">
        <v>9284</v>
      </c>
      <c r="BH460" s="2004" t="s">
        <v>9284</v>
      </c>
      <c r="BI460" s="2004"/>
      <c r="BJ460" s="2004"/>
      <c r="BK460" s="2004"/>
      <c r="BL460" s="2004" t="s">
        <v>9284</v>
      </c>
      <c r="BM460" s="2004"/>
      <c r="BN460" s="2004">
        <v>1</v>
      </c>
      <c r="BO460" s="2004" t="s">
        <v>9203</v>
      </c>
      <c r="BQ460" s="688">
        <v>83</v>
      </c>
      <c r="BR460" s="2004" t="s">
        <v>2334</v>
      </c>
      <c r="BS460" s="2004" t="s">
        <v>9204</v>
      </c>
      <c r="BT460" s="2004">
        <v>0</v>
      </c>
      <c r="BU460" s="2004" t="s">
        <v>9204</v>
      </c>
      <c r="BV460" s="2004">
        <v>0</v>
      </c>
      <c r="BW460" s="2004">
        <v>82.86</v>
      </c>
      <c r="BX460" s="2004" t="s">
        <v>2334</v>
      </c>
      <c r="BY460" s="2004">
        <v>0</v>
      </c>
      <c r="BZ460" s="2004">
        <v>0</v>
      </c>
      <c r="CA460" s="2004">
        <v>0</v>
      </c>
      <c r="CB460" s="2004">
        <v>0</v>
      </c>
      <c r="CC460" s="2004">
        <v>84.64</v>
      </c>
      <c r="CD460" s="2004" t="s">
        <v>2335</v>
      </c>
      <c r="CE460" s="2004">
        <v>0</v>
      </c>
      <c r="CF460" s="2004">
        <v>0</v>
      </c>
      <c r="CG460" s="2004">
        <v>0</v>
      </c>
      <c r="CH460" s="2004">
        <v>0</v>
      </c>
      <c r="CI460" s="2004">
        <v>86.88</v>
      </c>
      <c r="CJ460" s="2004" t="s">
        <v>2335</v>
      </c>
      <c r="CK460" s="2004">
        <v>0</v>
      </c>
      <c r="CL460" s="2004">
        <v>0</v>
      </c>
      <c r="CM460" s="2004">
        <v>0</v>
      </c>
      <c r="CN460" s="2004">
        <v>0</v>
      </c>
      <c r="CP460" s="2004" t="s">
        <v>11695</v>
      </c>
    </row>
    <row r="461" spans="1:94">
      <c r="A461" s="2004" t="s">
        <v>9054</v>
      </c>
      <c r="B461" s="2004" t="s">
        <v>11776</v>
      </c>
      <c r="C461" s="2004" t="s">
        <v>9047</v>
      </c>
      <c r="D461" s="2004" t="s">
        <v>9275</v>
      </c>
      <c r="E461" s="2004" t="s">
        <v>9276</v>
      </c>
      <c r="F461" s="2004" t="s">
        <v>11744</v>
      </c>
      <c r="G461" s="2004" t="s">
        <v>8967</v>
      </c>
      <c r="H461" s="2004" t="s">
        <v>11777</v>
      </c>
      <c r="I461" s="2004" t="s">
        <v>11703</v>
      </c>
      <c r="J461" s="2004" t="s">
        <v>9230</v>
      </c>
      <c r="K461" s="2004"/>
      <c r="L461" s="2004"/>
      <c r="M461" s="2004"/>
      <c r="N461" s="2004" t="s">
        <v>9386</v>
      </c>
      <c r="O461" s="2004" t="s">
        <v>734</v>
      </c>
      <c r="P461" s="2004" t="s">
        <v>9387</v>
      </c>
      <c r="Q461" s="516">
        <v>0</v>
      </c>
      <c r="R461" s="2004" t="s">
        <v>9240</v>
      </c>
      <c r="S461" s="2004">
        <v>63</v>
      </c>
      <c r="T461" s="2004">
        <v>63</v>
      </c>
      <c r="U461" s="2004">
        <v>66</v>
      </c>
      <c r="V461" s="2004">
        <v>68</v>
      </c>
      <c r="W461" s="2004">
        <v>71</v>
      </c>
      <c r="X461" s="2004">
        <v>75</v>
      </c>
      <c r="Y461" s="2004"/>
      <c r="Z461" s="2004"/>
      <c r="AA461" s="2004"/>
      <c r="AB461" s="2004"/>
      <c r="AC461" s="2004"/>
      <c r="AD461" s="2004"/>
      <c r="AE461" s="2004"/>
      <c r="AF461" s="2004"/>
      <c r="AG461" s="2004"/>
      <c r="AH461" s="2004">
        <v>0</v>
      </c>
      <c r="AI461" s="2004"/>
      <c r="AJ461" s="2004"/>
      <c r="AK461" s="2004"/>
      <c r="AL461" s="2004"/>
      <c r="AM461" s="2004"/>
      <c r="AN461" s="2004"/>
      <c r="AO461" s="2004"/>
      <c r="AP461" s="2004"/>
      <c r="AQ461" s="2004"/>
      <c r="AR461" s="2004"/>
      <c r="AS461" s="2004"/>
      <c r="AT461" s="2004"/>
      <c r="AU461" s="2004"/>
      <c r="AV461" s="2004"/>
      <c r="AW461" s="2004"/>
      <c r="AX461" s="2004"/>
      <c r="AY461" s="2004"/>
      <c r="AZ461" s="2004"/>
      <c r="BA461" s="2004"/>
      <c r="BB461" s="2004"/>
      <c r="BC461" s="2004"/>
      <c r="BD461" s="2004"/>
      <c r="BE461" s="2004"/>
      <c r="BF461" s="2004"/>
      <c r="BG461" s="2004"/>
      <c r="BH461" s="2004"/>
      <c r="BI461" s="2004"/>
      <c r="BJ461" s="2004"/>
      <c r="BK461" s="2004"/>
      <c r="BL461" s="2004"/>
      <c r="BM461" s="2004"/>
      <c r="BN461" s="2004"/>
      <c r="BO461" s="2004"/>
      <c r="BP461" s="516">
        <v>79</v>
      </c>
      <c r="BQ461" s="689">
        <v>82</v>
      </c>
      <c r="BR461" s="2004" t="s">
        <v>2337</v>
      </c>
      <c r="BS461" s="2004" t="s">
        <v>9204</v>
      </c>
      <c r="BT461" s="2004">
        <v>0</v>
      </c>
      <c r="BU461" s="2004" t="s">
        <v>9204</v>
      </c>
      <c r="BV461" s="2004">
        <v>0</v>
      </c>
      <c r="BW461" s="2004">
        <v>85</v>
      </c>
      <c r="BX461" s="2004" t="s">
        <v>2337</v>
      </c>
      <c r="BY461" s="2004">
        <v>0</v>
      </c>
      <c r="BZ461" s="2004">
        <v>0</v>
      </c>
      <c r="CA461" s="2004">
        <v>0</v>
      </c>
      <c r="CB461" s="2004">
        <v>0</v>
      </c>
      <c r="CC461" s="2004">
        <v>84</v>
      </c>
      <c r="CD461" s="2004" t="s">
        <v>2337</v>
      </c>
      <c r="CE461" s="2004">
        <v>0</v>
      </c>
      <c r="CF461" s="2004">
        <v>0</v>
      </c>
      <c r="CG461" s="2004">
        <v>0</v>
      </c>
      <c r="CH461" s="2004">
        <v>0</v>
      </c>
      <c r="CI461" s="2004">
        <v>85</v>
      </c>
      <c r="CJ461" s="2004" t="s">
        <v>2337</v>
      </c>
      <c r="CK461" s="2004">
        <v>0</v>
      </c>
      <c r="CL461" s="2004">
        <v>0</v>
      </c>
      <c r="CM461" s="2004">
        <v>0</v>
      </c>
      <c r="CN461" s="2004">
        <v>0</v>
      </c>
      <c r="CP461" s="2004" t="s">
        <v>11704</v>
      </c>
    </row>
    <row r="462" spans="1:94">
      <c r="A462" s="2004" t="s">
        <v>9054</v>
      </c>
      <c r="B462" s="2004" t="s">
        <v>11778</v>
      </c>
      <c r="C462" s="2004" t="s">
        <v>9047</v>
      </c>
      <c r="D462" s="2004" t="s">
        <v>9275</v>
      </c>
      <c r="E462" s="2004" t="s">
        <v>9276</v>
      </c>
      <c r="F462" s="2004" t="s">
        <v>11706</v>
      </c>
      <c r="G462" s="2004" t="s">
        <v>8971</v>
      </c>
      <c r="H462" s="2004" t="s">
        <v>11779</v>
      </c>
      <c r="I462" s="2004" t="s">
        <v>11708</v>
      </c>
      <c r="J462" s="2004" t="s">
        <v>9230</v>
      </c>
      <c r="K462" s="2004"/>
      <c r="L462" s="2004"/>
      <c r="M462" s="2004"/>
      <c r="N462" s="2004" t="s">
        <v>9290</v>
      </c>
      <c r="O462" s="2004" t="s">
        <v>734</v>
      </c>
      <c r="P462" s="2004" t="s">
        <v>11709</v>
      </c>
      <c r="Q462" s="516">
        <v>0</v>
      </c>
      <c r="R462" s="2004" t="s">
        <v>9202</v>
      </c>
      <c r="S462" s="2004" t="s">
        <v>11710</v>
      </c>
      <c r="T462" s="2004" t="s">
        <v>11711</v>
      </c>
      <c r="U462" s="2004" t="s">
        <v>11711</v>
      </c>
      <c r="V462" s="2004" t="s">
        <v>11711</v>
      </c>
      <c r="W462" s="2004" t="s">
        <v>11711</v>
      </c>
      <c r="X462" s="2004" t="s">
        <v>11711</v>
      </c>
      <c r="Y462" s="2004"/>
      <c r="Z462" s="2004"/>
      <c r="AA462" s="2004"/>
      <c r="AB462" s="2004"/>
      <c r="AC462" s="2004"/>
      <c r="AD462" s="2004"/>
      <c r="AE462" s="2004"/>
      <c r="AF462" s="2004"/>
      <c r="AG462" s="2004"/>
      <c r="AH462" s="2004">
        <v>0</v>
      </c>
      <c r="AI462" s="2004"/>
      <c r="AJ462" s="2004"/>
      <c r="AK462" s="2004"/>
      <c r="AL462" s="2004"/>
      <c r="AM462" s="2004"/>
      <c r="AN462" s="2004"/>
      <c r="AO462" s="2004"/>
      <c r="AP462" s="2004"/>
      <c r="AQ462" s="2004"/>
      <c r="AR462" s="2004"/>
      <c r="AS462" s="2004"/>
      <c r="AT462" s="2004"/>
      <c r="AU462" s="2004"/>
      <c r="AV462" s="2004"/>
      <c r="AW462" s="2004"/>
      <c r="AX462" s="2004"/>
      <c r="AY462" s="2004"/>
      <c r="AZ462" s="2004"/>
      <c r="BA462" s="2004"/>
      <c r="BB462" s="2004"/>
      <c r="BC462" s="2004"/>
      <c r="BD462" s="2004"/>
      <c r="BE462" s="2004"/>
      <c r="BF462" s="2004"/>
      <c r="BG462" s="2004"/>
      <c r="BH462" s="2004"/>
      <c r="BI462" s="2004"/>
      <c r="BJ462" s="2004"/>
      <c r="BK462" s="2004"/>
      <c r="BL462" s="2004"/>
      <c r="BM462" s="2004"/>
      <c r="BN462" s="2004"/>
      <c r="BO462" s="2004"/>
      <c r="BP462" s="516">
        <v>-3</v>
      </c>
      <c r="BQ462" s="688">
        <v>-1</v>
      </c>
      <c r="BR462" s="2004" t="s">
        <v>2337</v>
      </c>
      <c r="BS462" s="2004" t="s">
        <v>9204</v>
      </c>
      <c r="BT462" s="2004">
        <v>0</v>
      </c>
      <c r="BU462" s="2004" t="s">
        <v>9204</v>
      </c>
      <c r="BV462" s="2004">
        <v>0</v>
      </c>
      <c r="BW462" s="2004">
        <v>-1</v>
      </c>
      <c r="BX462" s="2004" t="s">
        <v>2337</v>
      </c>
      <c r="BY462" s="2004">
        <v>0</v>
      </c>
      <c r="BZ462" s="2004">
        <v>0</v>
      </c>
      <c r="CA462" s="2004">
        <v>0</v>
      </c>
      <c r="CB462" s="2004">
        <v>0</v>
      </c>
      <c r="CC462" s="2004">
        <v>-2</v>
      </c>
      <c r="CD462" s="2004" t="s">
        <v>2337</v>
      </c>
      <c r="CE462" s="2004">
        <v>0</v>
      </c>
      <c r="CF462" s="2004">
        <v>0</v>
      </c>
      <c r="CG462" s="2004">
        <v>0</v>
      </c>
      <c r="CH462" s="2004">
        <v>0</v>
      </c>
      <c r="CI462" s="2004">
        <v>-2</v>
      </c>
      <c r="CJ462" s="2004" t="s">
        <v>2337</v>
      </c>
      <c r="CK462" s="2004">
        <v>0</v>
      </c>
      <c r="CL462" s="2004">
        <v>0</v>
      </c>
      <c r="CM462" s="2004">
        <v>0</v>
      </c>
      <c r="CN462" s="2004">
        <v>0</v>
      </c>
      <c r="CP462" s="2004" t="s">
        <v>11712</v>
      </c>
    </row>
    <row r="463" spans="1:94">
      <c r="A463" s="2004" t="s">
        <v>9054</v>
      </c>
      <c r="B463" s="2004" t="s">
        <v>11780</v>
      </c>
      <c r="C463" s="2004" t="s">
        <v>9047</v>
      </c>
      <c r="D463" s="2004" t="s">
        <v>9275</v>
      </c>
      <c r="E463" s="2004" t="s">
        <v>9276</v>
      </c>
      <c r="F463" s="2004" t="s">
        <v>11706</v>
      </c>
      <c r="G463" s="2004" t="s">
        <v>8974</v>
      </c>
      <c r="H463" s="2004" t="s">
        <v>11781</v>
      </c>
      <c r="I463" s="2004" t="s">
        <v>11782</v>
      </c>
      <c r="J463" s="2004" t="s">
        <v>9230</v>
      </c>
      <c r="K463" s="2004"/>
      <c r="L463" s="2004"/>
      <c r="M463" s="2004"/>
      <c r="N463" s="2004" t="s">
        <v>9290</v>
      </c>
      <c r="O463" s="2004" t="s">
        <v>766</v>
      </c>
      <c r="P463" s="2004" t="s">
        <v>11783</v>
      </c>
      <c r="Q463" s="516">
        <v>0</v>
      </c>
      <c r="R463" s="2004" t="s">
        <v>9240</v>
      </c>
      <c r="S463" s="2004">
        <v>52000</v>
      </c>
      <c r="T463" s="2004">
        <v>52000</v>
      </c>
      <c r="U463" s="2004">
        <v>65000</v>
      </c>
      <c r="V463" s="2004">
        <v>75000</v>
      </c>
      <c r="W463" s="2004">
        <v>85000</v>
      </c>
      <c r="X463" s="2004">
        <v>100000</v>
      </c>
      <c r="Y463" s="2004"/>
      <c r="Z463" s="2004"/>
      <c r="AA463" s="2004"/>
      <c r="AB463" s="2004"/>
      <c r="AC463" s="2004"/>
      <c r="AD463" s="2004"/>
      <c r="AE463" s="2004"/>
      <c r="AF463" s="2004"/>
      <c r="AG463" s="2004"/>
      <c r="AH463" s="2004">
        <v>0</v>
      </c>
      <c r="AI463" s="2004"/>
      <c r="AJ463" s="2004"/>
      <c r="AK463" s="2004"/>
      <c r="AL463" s="2004"/>
      <c r="AM463" s="2004"/>
      <c r="AN463" s="2004"/>
      <c r="AO463" s="2004"/>
      <c r="AP463" s="2004"/>
      <c r="AQ463" s="2004"/>
      <c r="AR463" s="2004"/>
      <c r="AS463" s="2004"/>
      <c r="AT463" s="2004"/>
      <c r="AU463" s="2004"/>
      <c r="AV463" s="2004"/>
      <c r="AW463" s="2004"/>
      <c r="AX463" s="2004"/>
      <c r="AY463" s="2004"/>
      <c r="AZ463" s="2004"/>
      <c r="BA463" s="2004"/>
      <c r="BB463" s="2004"/>
      <c r="BC463" s="2004"/>
      <c r="BD463" s="2004"/>
      <c r="BE463" s="2004"/>
      <c r="BF463" s="2004"/>
      <c r="BG463" s="2004"/>
      <c r="BH463" s="2004"/>
      <c r="BI463" s="2004"/>
      <c r="BJ463" s="2004"/>
      <c r="BK463" s="2004"/>
      <c r="BL463" s="2004"/>
      <c r="BM463" s="2004"/>
      <c r="BN463" s="2004"/>
      <c r="BO463" s="2004"/>
      <c r="BP463" s="516">
        <v>49455</v>
      </c>
      <c r="BQ463" s="689">
        <v>48734</v>
      </c>
      <c r="BR463" s="2004" t="s">
        <v>2337</v>
      </c>
      <c r="BS463" s="2004" t="s">
        <v>9204</v>
      </c>
      <c r="BT463" s="2004">
        <v>0</v>
      </c>
      <c r="BU463" s="2004" t="s">
        <v>9204</v>
      </c>
      <c r="BV463" s="2004">
        <v>0</v>
      </c>
      <c r="BW463" s="2004">
        <v>65461</v>
      </c>
      <c r="BX463" s="2004" t="s">
        <v>2337</v>
      </c>
      <c r="BY463" s="2004">
        <v>0</v>
      </c>
      <c r="BZ463" s="2004">
        <v>0</v>
      </c>
      <c r="CA463" s="2004">
        <v>0</v>
      </c>
      <c r="CB463" s="2004">
        <v>0</v>
      </c>
      <c r="CC463" s="2004">
        <v>100999</v>
      </c>
      <c r="CD463" s="2004" t="s">
        <v>2337</v>
      </c>
      <c r="CE463" s="2004">
        <v>0</v>
      </c>
      <c r="CF463" s="2004">
        <v>0</v>
      </c>
      <c r="CG463" s="2004">
        <v>0</v>
      </c>
      <c r="CH463" s="2004">
        <v>0</v>
      </c>
      <c r="CI463" s="2004">
        <v>120783</v>
      </c>
      <c r="CJ463" s="2004" t="s">
        <v>2337</v>
      </c>
      <c r="CK463" s="2004">
        <v>0</v>
      </c>
      <c r="CL463" s="2004">
        <v>0</v>
      </c>
      <c r="CM463" s="2004">
        <v>0</v>
      </c>
      <c r="CN463" s="2004">
        <v>0</v>
      </c>
      <c r="CP463" s="2004" t="s">
        <v>11784</v>
      </c>
    </row>
    <row r="464" spans="1:94">
      <c r="A464" s="2004" t="s">
        <v>9080</v>
      </c>
      <c r="B464" s="2004" t="s">
        <v>11785</v>
      </c>
      <c r="C464" s="2004" t="s">
        <v>9047</v>
      </c>
      <c r="D464" s="2004" t="s">
        <v>1628</v>
      </c>
      <c r="E464" s="2004" t="s">
        <v>9194</v>
      </c>
      <c r="F464" s="2004" t="s">
        <v>11786</v>
      </c>
      <c r="G464" s="2004" t="s">
        <v>9709</v>
      </c>
      <c r="H464" s="2004" t="s">
        <v>11787</v>
      </c>
      <c r="I464" s="2004" t="s">
        <v>11788</v>
      </c>
      <c r="J464" s="2004" t="s">
        <v>9230</v>
      </c>
      <c r="K464" s="2004"/>
      <c r="L464" s="2004"/>
      <c r="M464" s="2004"/>
      <c r="N464" s="2004" t="s">
        <v>9224</v>
      </c>
      <c r="O464" s="2004" t="s">
        <v>734</v>
      </c>
      <c r="P464" s="2004" t="s">
        <v>11789</v>
      </c>
      <c r="Q464" s="516">
        <v>1</v>
      </c>
      <c r="R464" s="2004" t="s">
        <v>9240</v>
      </c>
      <c r="S464" s="2004">
        <v>100</v>
      </c>
      <c r="T464" s="2004">
        <v>100</v>
      </c>
      <c r="U464" s="2004">
        <v>100</v>
      </c>
      <c r="V464" s="2004">
        <v>100</v>
      </c>
      <c r="W464" s="2004">
        <v>100</v>
      </c>
      <c r="X464" s="2004">
        <v>100</v>
      </c>
      <c r="Y464" s="2004"/>
      <c r="Z464" s="2004"/>
      <c r="AA464" s="2004"/>
      <c r="AB464" s="2004"/>
      <c r="AC464" s="2004"/>
      <c r="AD464" s="2004"/>
      <c r="AE464" s="2004"/>
      <c r="AF464" s="2004"/>
      <c r="AG464" s="2004"/>
      <c r="AH464" s="2004">
        <v>0</v>
      </c>
      <c r="AI464" s="2004"/>
      <c r="AJ464" s="2004"/>
      <c r="AK464" s="2004"/>
      <c r="AL464" s="2004"/>
      <c r="AM464" s="2004"/>
      <c r="AN464" s="2004"/>
      <c r="AO464" s="2004"/>
      <c r="AP464" s="2004"/>
      <c r="AQ464" s="2004"/>
      <c r="AR464" s="2004"/>
      <c r="AS464" s="2004"/>
      <c r="AT464" s="2004"/>
      <c r="AU464" s="2004"/>
      <c r="AV464" s="2004"/>
      <c r="AW464" s="2004"/>
      <c r="AX464" s="2004"/>
      <c r="AY464" s="2004"/>
      <c r="AZ464" s="2004"/>
      <c r="BA464" s="2004"/>
      <c r="BB464" s="2004"/>
      <c r="BC464" s="2004"/>
      <c r="BD464" s="2004"/>
      <c r="BE464" s="2004"/>
      <c r="BF464" s="2004"/>
      <c r="BG464" s="2004"/>
      <c r="BH464" s="2004"/>
      <c r="BI464" s="2004"/>
      <c r="BJ464" s="2004"/>
      <c r="BK464" s="2004"/>
      <c r="BL464" s="2004"/>
      <c r="BM464" s="2004"/>
      <c r="BN464" s="2004"/>
      <c r="BO464" s="2004"/>
      <c r="BP464" s="516">
        <v>100</v>
      </c>
      <c r="BQ464" s="686">
        <v>100</v>
      </c>
      <c r="BR464" s="2004" t="s">
        <v>2337</v>
      </c>
      <c r="BS464" s="2004" t="s">
        <v>9204</v>
      </c>
      <c r="BT464" s="2004">
        <v>0</v>
      </c>
      <c r="BU464" s="2004" t="s">
        <v>9204</v>
      </c>
      <c r="BV464" s="2004">
        <v>0</v>
      </c>
      <c r="BW464" s="2004">
        <v>100</v>
      </c>
      <c r="BX464" s="2004" t="s">
        <v>2337</v>
      </c>
      <c r="BY464" s="2004">
        <v>0</v>
      </c>
      <c r="BZ464" s="2004">
        <v>0</v>
      </c>
      <c r="CA464" s="2004">
        <v>0</v>
      </c>
      <c r="CB464" s="2004">
        <v>0</v>
      </c>
      <c r="CC464" s="2004">
        <v>100</v>
      </c>
      <c r="CD464" s="2004" t="s">
        <v>2337</v>
      </c>
      <c r="CE464" s="2004">
        <v>0</v>
      </c>
      <c r="CF464" s="2004">
        <v>0</v>
      </c>
      <c r="CG464" s="2004">
        <v>0</v>
      </c>
      <c r="CH464" s="2004">
        <v>0</v>
      </c>
      <c r="CI464" s="2004">
        <v>100</v>
      </c>
      <c r="CJ464" s="2004" t="s">
        <v>2337</v>
      </c>
      <c r="CK464" s="2004">
        <v>0</v>
      </c>
      <c r="CL464" s="2004">
        <v>0</v>
      </c>
      <c r="CM464" s="2004">
        <v>0</v>
      </c>
      <c r="CN464" s="2004">
        <v>0</v>
      </c>
      <c r="CP464" s="2004" t="s">
        <v>11790</v>
      </c>
    </row>
    <row r="465" spans="1:94">
      <c r="A465" s="2004" t="s">
        <v>9080</v>
      </c>
      <c r="B465" s="2004" t="s">
        <v>11791</v>
      </c>
      <c r="C465" s="2004" t="s">
        <v>9047</v>
      </c>
      <c r="D465" s="2004" t="s">
        <v>1628</v>
      </c>
      <c r="E465" s="2004" t="s">
        <v>9194</v>
      </c>
      <c r="F465" s="2004" t="s">
        <v>11786</v>
      </c>
      <c r="G465" s="2004" t="s">
        <v>10173</v>
      </c>
      <c r="H465" s="2004" t="s">
        <v>11792</v>
      </c>
      <c r="I465" s="2004" t="s">
        <v>11793</v>
      </c>
      <c r="J465" s="2004" t="s">
        <v>9210</v>
      </c>
      <c r="K465" s="2004" t="s">
        <v>9200</v>
      </c>
      <c r="L465" s="2004"/>
      <c r="M465" s="2004"/>
      <c r="N465" s="2004" t="s">
        <v>9224</v>
      </c>
      <c r="O465" s="2004" t="s">
        <v>766</v>
      </c>
      <c r="P465" s="2004" t="s">
        <v>11794</v>
      </c>
      <c r="Q465" s="516">
        <v>0</v>
      </c>
      <c r="R465" s="2004" t="s">
        <v>9202</v>
      </c>
      <c r="S465" s="2004">
        <v>100</v>
      </c>
      <c r="T465" s="2004">
        <v>100</v>
      </c>
      <c r="U465" s="2004">
        <v>100</v>
      </c>
      <c r="V465" s="2004">
        <v>100</v>
      </c>
      <c r="W465" s="2004">
        <v>100</v>
      </c>
      <c r="X465" s="2004">
        <v>100</v>
      </c>
      <c r="Y465" s="2004"/>
      <c r="Z465" s="2004"/>
      <c r="AA465" s="2004"/>
      <c r="AB465" s="2004"/>
      <c r="AC465" s="2004"/>
      <c r="AD465" s="2004"/>
      <c r="AE465" s="2004"/>
      <c r="AF465" s="2004"/>
      <c r="AG465" s="2004" t="s">
        <v>2337</v>
      </c>
      <c r="AH465" s="2004">
        <v>0</v>
      </c>
      <c r="AI465" s="2004" t="s">
        <v>2337</v>
      </c>
      <c r="AJ465" s="2004" t="s">
        <v>2337</v>
      </c>
      <c r="AK465" s="2004" t="s">
        <v>2337</v>
      </c>
      <c r="AL465" s="2004" t="s">
        <v>2337</v>
      </c>
      <c r="AM465" s="2004" t="s">
        <v>2337</v>
      </c>
      <c r="AN465" s="2004">
        <v>1350</v>
      </c>
      <c r="AO465" s="2004">
        <v>1350</v>
      </c>
      <c r="AP465" s="2004">
        <v>1350</v>
      </c>
      <c r="AQ465" s="2004">
        <v>1350</v>
      </c>
      <c r="AR465" s="2004">
        <v>1350</v>
      </c>
      <c r="AS465" s="2004">
        <v>100</v>
      </c>
      <c r="AT465" s="2004">
        <v>100</v>
      </c>
      <c r="AU465" s="2004">
        <v>100</v>
      </c>
      <c r="AV465" s="2004">
        <v>100</v>
      </c>
      <c r="AW465" s="2004">
        <v>100</v>
      </c>
      <c r="AX465" s="2004"/>
      <c r="AY465" s="2004"/>
      <c r="AZ465" s="2004"/>
      <c r="BA465" s="2004"/>
      <c r="BB465" s="2004"/>
      <c r="BC465" s="2004"/>
      <c r="BD465" s="2004"/>
      <c r="BE465" s="2004"/>
      <c r="BF465" s="2004"/>
      <c r="BG465" s="2004"/>
      <c r="BH465" s="2004">
        <v>2.5000000000000001E-5</v>
      </c>
      <c r="BI465" s="2004"/>
      <c r="BJ465" s="2004"/>
      <c r="BK465" s="2004"/>
      <c r="BL465" s="2004"/>
      <c r="BM465" s="2004"/>
      <c r="BN465" s="2004">
        <v>1</v>
      </c>
      <c r="BO465" s="2004" t="s">
        <v>9203</v>
      </c>
      <c r="BP465" s="516">
        <v>88</v>
      </c>
      <c r="BQ465" s="689">
        <v>172</v>
      </c>
      <c r="BR465" s="2004" t="s">
        <v>2334</v>
      </c>
      <c r="BS465" s="2004" t="s">
        <v>9204</v>
      </c>
      <c r="BT465" s="2004">
        <v>0</v>
      </c>
      <c r="BU465" s="2004" t="s">
        <v>9254</v>
      </c>
      <c r="BV465" s="2004">
        <v>-1.8E-3</v>
      </c>
      <c r="BW465" s="2004">
        <v>341</v>
      </c>
      <c r="BX465" s="2004" t="s">
        <v>2334</v>
      </c>
      <c r="BY465" s="2004">
        <v>0</v>
      </c>
      <c r="BZ465" s="2004">
        <v>0</v>
      </c>
      <c r="CA465" s="2004" t="s">
        <v>9254</v>
      </c>
      <c r="CB465" s="2004">
        <v>-6.0000000000000001E-3</v>
      </c>
      <c r="CC465" s="2004">
        <v>30</v>
      </c>
      <c r="CD465" s="2004" t="s">
        <v>2337</v>
      </c>
      <c r="CE465" s="2004">
        <v>0</v>
      </c>
      <c r="CF465" s="2004">
        <v>0</v>
      </c>
      <c r="CG465" s="2004">
        <v>0</v>
      </c>
      <c r="CH465" s="2004">
        <v>0</v>
      </c>
      <c r="CI465" s="2004">
        <v>6.7000000000000004E-2</v>
      </c>
      <c r="CJ465" s="2004" t="s">
        <v>2337</v>
      </c>
      <c r="CK465" s="2004">
        <v>0</v>
      </c>
      <c r="CL465" s="2004">
        <v>0</v>
      </c>
      <c r="CM465" s="2004">
        <v>0</v>
      </c>
      <c r="CN465" s="2004">
        <v>0</v>
      </c>
      <c r="CP465" s="2004" t="s">
        <v>11795</v>
      </c>
    </row>
    <row r="466" spans="1:94">
      <c r="A466" s="2004" t="s">
        <v>9080</v>
      </c>
      <c r="B466" s="2004" t="s">
        <v>11796</v>
      </c>
      <c r="C466" s="2004" t="s">
        <v>9047</v>
      </c>
      <c r="D466" s="2004" t="s">
        <v>1628</v>
      </c>
      <c r="E466" s="2004" t="s">
        <v>9194</v>
      </c>
      <c r="F466" s="2004" t="s">
        <v>11786</v>
      </c>
      <c r="G466" s="2004" t="s">
        <v>10179</v>
      </c>
      <c r="H466" s="2004" t="s">
        <v>11797</v>
      </c>
      <c r="I466" s="2004" t="s">
        <v>11798</v>
      </c>
      <c r="J466" s="2004" t="s">
        <v>9210</v>
      </c>
      <c r="K466" s="2004" t="s">
        <v>9545</v>
      </c>
      <c r="L466" s="2004"/>
      <c r="M466" s="2004"/>
      <c r="N466" s="2004" t="s">
        <v>9357</v>
      </c>
      <c r="O466" s="2004" t="s">
        <v>734</v>
      </c>
      <c r="P466" s="2004" t="s">
        <v>11799</v>
      </c>
      <c r="Q466" s="516">
        <v>0</v>
      </c>
      <c r="R466" s="2004" t="s">
        <v>9240</v>
      </c>
      <c r="S466" s="2004">
        <v>47</v>
      </c>
      <c r="T466" s="2004">
        <v>60</v>
      </c>
      <c r="U466" s="2004">
        <v>70</v>
      </c>
      <c r="V466" s="2004">
        <v>80</v>
      </c>
      <c r="W466" s="2004">
        <v>90</v>
      </c>
      <c r="X466" s="2004">
        <v>100</v>
      </c>
      <c r="Y466" s="2004"/>
      <c r="Z466" s="2004"/>
      <c r="AA466" s="2004"/>
      <c r="AB466" s="2004"/>
      <c r="AC466" s="2004"/>
      <c r="AD466" s="2004"/>
      <c r="AE466" s="2004"/>
      <c r="AF466" s="2004" t="s">
        <v>2337</v>
      </c>
      <c r="AG466" s="2004"/>
      <c r="AH466" s="2004">
        <v>0</v>
      </c>
      <c r="AI466" s="2004" t="s">
        <v>2337</v>
      </c>
      <c r="AJ466" s="2004" t="s">
        <v>2337</v>
      </c>
      <c r="AK466" s="2004" t="s">
        <v>2337</v>
      </c>
      <c r="AL466" s="2004" t="s">
        <v>2337</v>
      </c>
      <c r="AM466" s="2004" t="s">
        <v>2337</v>
      </c>
      <c r="AN466" s="2004">
        <v>50</v>
      </c>
      <c r="AO466" s="2004">
        <v>50</v>
      </c>
      <c r="AP466" s="2004">
        <v>50</v>
      </c>
      <c r="AQ466" s="2004">
        <v>50</v>
      </c>
      <c r="AR466" s="2004">
        <v>50</v>
      </c>
      <c r="AS466" s="2004">
        <v>60</v>
      </c>
      <c r="AT466" s="2004">
        <v>70</v>
      </c>
      <c r="AU466" s="2004">
        <v>80</v>
      </c>
      <c r="AV466" s="2004">
        <v>90</v>
      </c>
      <c r="AW466" s="2004">
        <v>100</v>
      </c>
      <c r="AX466" s="2004"/>
      <c r="AY466" s="2004"/>
      <c r="AZ466" s="2004"/>
      <c r="BA466" s="2004"/>
      <c r="BB466" s="2004"/>
      <c r="BC466" s="2004"/>
      <c r="BD466" s="2004"/>
      <c r="BE466" s="2004"/>
      <c r="BF466" s="2004"/>
      <c r="BG466" s="2004"/>
      <c r="BH466" s="2004">
        <v>4.0000000000000001E-3</v>
      </c>
      <c r="BI466" s="2004"/>
      <c r="BJ466" s="2004"/>
      <c r="BK466" s="2004"/>
      <c r="BL466" s="2004"/>
      <c r="BM466" s="2004"/>
      <c r="BN466" s="2004">
        <v>1</v>
      </c>
      <c r="BO466" s="2004" t="s">
        <v>9203</v>
      </c>
      <c r="BP466" s="516">
        <v>47</v>
      </c>
      <c r="BQ466" s="689">
        <v>60</v>
      </c>
      <c r="BR466" s="2004" t="s">
        <v>2337</v>
      </c>
      <c r="BS466" s="2004" t="s">
        <v>9204</v>
      </c>
      <c r="BT466" s="2004">
        <v>0</v>
      </c>
      <c r="BU466" s="2004" t="s">
        <v>9204</v>
      </c>
      <c r="BV466" s="2004">
        <v>0</v>
      </c>
      <c r="BW466" s="2004">
        <v>71</v>
      </c>
      <c r="BX466" s="2004" t="s">
        <v>2337</v>
      </c>
      <c r="BY466" s="2004">
        <v>0</v>
      </c>
      <c r="BZ466" s="2004">
        <v>0</v>
      </c>
      <c r="CA466" s="2004">
        <v>0</v>
      </c>
      <c r="CB466" s="2004">
        <v>0</v>
      </c>
      <c r="CC466" s="2004">
        <v>86</v>
      </c>
      <c r="CD466" s="2004" t="s">
        <v>2337</v>
      </c>
      <c r="CE466" s="2004">
        <v>0</v>
      </c>
      <c r="CF466" s="2004">
        <v>0</v>
      </c>
      <c r="CG466" s="2004">
        <v>0</v>
      </c>
      <c r="CH466" s="2004">
        <v>0</v>
      </c>
      <c r="CI466" s="2004">
        <v>96</v>
      </c>
      <c r="CJ466" s="2004" t="s">
        <v>2337</v>
      </c>
      <c r="CK466" s="2004">
        <v>0</v>
      </c>
      <c r="CL466" s="2004">
        <v>0</v>
      </c>
      <c r="CM466" s="2004">
        <v>0</v>
      </c>
      <c r="CN466" s="2004">
        <v>0</v>
      </c>
      <c r="CP466" s="2004" t="s">
        <v>11800</v>
      </c>
    </row>
    <row r="467" spans="1:94">
      <c r="A467" s="2004" t="s">
        <v>9080</v>
      </c>
      <c r="B467" s="2004" t="s">
        <v>11801</v>
      </c>
      <c r="C467" s="2004" t="s">
        <v>9047</v>
      </c>
      <c r="D467" s="2004" t="s">
        <v>1628</v>
      </c>
      <c r="E467" s="2004" t="s">
        <v>9194</v>
      </c>
      <c r="F467" s="2004" t="s">
        <v>11786</v>
      </c>
      <c r="G467" s="2004" t="s">
        <v>11802</v>
      </c>
      <c r="H467" s="2004" t="s">
        <v>11803</v>
      </c>
      <c r="I467" s="2004" t="s">
        <v>11804</v>
      </c>
      <c r="J467" s="2004" t="s">
        <v>9199</v>
      </c>
      <c r="K467" s="2004" t="s">
        <v>9545</v>
      </c>
      <c r="L467" s="2004"/>
      <c r="M467" s="2004"/>
      <c r="N467" s="2004" t="s">
        <v>9364</v>
      </c>
      <c r="O467" s="2004" t="s">
        <v>766</v>
      </c>
      <c r="P467" s="2004" t="s">
        <v>11805</v>
      </c>
      <c r="Q467" s="516">
        <v>0</v>
      </c>
      <c r="R467" s="2004" t="s">
        <v>9240</v>
      </c>
      <c r="S467" s="2004">
        <v>0</v>
      </c>
      <c r="T467" s="2004">
        <v>0</v>
      </c>
      <c r="U467" s="2004">
        <v>0</v>
      </c>
      <c r="V467" s="2004">
        <v>0</v>
      </c>
      <c r="W467" s="2004">
        <v>99</v>
      </c>
      <c r="X467" s="2004">
        <v>99</v>
      </c>
      <c r="Y467" s="2004"/>
      <c r="Z467" s="2004"/>
      <c r="AA467" s="2004"/>
      <c r="AB467" s="2004"/>
      <c r="AC467" s="2004"/>
      <c r="AD467" s="2004"/>
      <c r="AE467" s="2004"/>
      <c r="AF467" s="2004" t="s">
        <v>2337</v>
      </c>
      <c r="AG467" s="2004"/>
      <c r="AH467" s="2004">
        <v>0</v>
      </c>
      <c r="AI467" s="2004" t="s">
        <v>2337</v>
      </c>
      <c r="AJ467" s="2004" t="s">
        <v>2337</v>
      </c>
      <c r="AK467" s="2004" t="s">
        <v>2337</v>
      </c>
      <c r="AL467" s="2004" t="s">
        <v>2337</v>
      </c>
      <c r="AM467" s="2004" t="s">
        <v>2337</v>
      </c>
      <c r="AN467" s="2004">
        <v>0</v>
      </c>
      <c r="AO467" s="2004">
        <v>0</v>
      </c>
      <c r="AP467" s="2004">
        <v>0</v>
      </c>
      <c r="AQ467" s="2004">
        <v>0</v>
      </c>
      <c r="AR467" s="2004">
        <v>0</v>
      </c>
      <c r="AS467" s="2004">
        <v>0</v>
      </c>
      <c r="AT467" s="2004">
        <v>0</v>
      </c>
      <c r="AU467" s="2004">
        <v>0</v>
      </c>
      <c r="AV467" s="2004">
        <v>99</v>
      </c>
      <c r="AW467" s="2004">
        <v>99</v>
      </c>
      <c r="AX467" s="2004">
        <v>0</v>
      </c>
      <c r="AY467" s="2004">
        <v>0</v>
      </c>
      <c r="AZ467" s="2004">
        <v>0</v>
      </c>
      <c r="BA467" s="2004">
        <v>99</v>
      </c>
      <c r="BB467" s="2004">
        <v>99</v>
      </c>
      <c r="BC467" s="2004">
        <v>999999</v>
      </c>
      <c r="BD467" s="2004">
        <v>999999</v>
      </c>
      <c r="BE467" s="2004">
        <v>999999</v>
      </c>
      <c r="BF467" s="2004">
        <v>999999</v>
      </c>
      <c r="BG467" s="2004">
        <v>999999</v>
      </c>
      <c r="BH467" s="2004">
        <v>1.9E-2</v>
      </c>
      <c r="BI467" s="2004"/>
      <c r="BJ467" s="2004"/>
      <c r="BK467" s="2004"/>
      <c r="BL467" s="2004">
        <v>1.9E-2</v>
      </c>
      <c r="BM467" s="2004"/>
      <c r="BN467" s="2004">
        <v>1</v>
      </c>
      <c r="BO467" s="2004" t="s">
        <v>9203</v>
      </c>
      <c r="BP467" s="516">
        <v>0</v>
      </c>
      <c r="BQ467" s="689">
        <v>0</v>
      </c>
      <c r="BR467" s="2004" t="s">
        <v>2337</v>
      </c>
      <c r="BS467" s="2004" t="s">
        <v>9204</v>
      </c>
      <c r="BT467" s="2004">
        <v>0</v>
      </c>
      <c r="BU467" s="2004" t="s">
        <v>9204</v>
      </c>
      <c r="BV467" s="2004">
        <v>0</v>
      </c>
      <c r="BW467" s="2004">
        <v>0</v>
      </c>
      <c r="BX467" s="2004" t="s">
        <v>2337</v>
      </c>
      <c r="BY467" s="2004">
        <v>0</v>
      </c>
      <c r="BZ467" s="2004">
        <v>0</v>
      </c>
      <c r="CA467" s="2004">
        <v>0</v>
      </c>
      <c r="CB467" s="2004">
        <v>0</v>
      </c>
      <c r="CC467" s="2004">
        <v>78</v>
      </c>
      <c r="CD467" s="2004" t="s">
        <v>2337</v>
      </c>
      <c r="CE467" s="2004">
        <v>0</v>
      </c>
      <c r="CF467" s="2004">
        <v>0</v>
      </c>
      <c r="CG467" s="2004" t="s">
        <v>2339</v>
      </c>
      <c r="CH467" s="2004">
        <v>1.482</v>
      </c>
      <c r="CI467" s="2004">
        <v>111</v>
      </c>
      <c r="CJ467" s="2004" t="s">
        <v>2337</v>
      </c>
      <c r="CK467" s="2004">
        <v>0</v>
      </c>
      <c r="CL467" s="2004">
        <v>0</v>
      </c>
      <c r="CM467" s="2004" t="s">
        <v>2339</v>
      </c>
      <c r="CN467" s="2004">
        <v>0.22800000000000001</v>
      </c>
      <c r="CP467" s="2004" t="s">
        <v>11806</v>
      </c>
    </row>
    <row r="468" spans="1:94">
      <c r="A468" s="2004" t="s">
        <v>9080</v>
      </c>
      <c r="B468" s="2004" t="s">
        <v>11807</v>
      </c>
      <c r="C468" s="2004" t="s">
        <v>9047</v>
      </c>
      <c r="D468" s="2004" t="s">
        <v>1628</v>
      </c>
      <c r="E468" s="2004" t="s">
        <v>9194</v>
      </c>
      <c r="F468" s="2004" t="s">
        <v>11808</v>
      </c>
      <c r="G468" s="2004" t="s">
        <v>8958</v>
      </c>
      <c r="H468" s="2004" t="s">
        <v>11809</v>
      </c>
      <c r="I468" s="2004" t="s">
        <v>11810</v>
      </c>
      <c r="J468" s="2004" t="s">
        <v>9210</v>
      </c>
      <c r="K468" s="2004" t="s">
        <v>9200</v>
      </c>
      <c r="L468" s="2004"/>
      <c r="M468" s="2004" t="s">
        <v>2334</v>
      </c>
      <c r="N468" s="2004" t="s">
        <v>9326</v>
      </c>
      <c r="O468" s="2004" t="s">
        <v>766</v>
      </c>
      <c r="P468" s="2004" t="s">
        <v>11811</v>
      </c>
      <c r="Q468" s="516">
        <v>0</v>
      </c>
      <c r="R468" s="2004" t="s">
        <v>9202</v>
      </c>
      <c r="S468" s="2004">
        <v>0</v>
      </c>
      <c r="T468" s="2004">
        <v>0</v>
      </c>
      <c r="U468" s="2004">
        <v>0</v>
      </c>
      <c r="V468" s="2004">
        <v>0</v>
      </c>
      <c r="W468" s="2004">
        <v>0</v>
      </c>
      <c r="X468" s="2004">
        <v>0</v>
      </c>
      <c r="Y468" s="2004"/>
      <c r="Z468" s="2004"/>
      <c r="AA468" s="2004"/>
      <c r="AB468" s="2004"/>
      <c r="AC468" s="2004"/>
      <c r="AD468" s="2004"/>
      <c r="AE468" s="2004"/>
      <c r="AF468" s="2004"/>
      <c r="AG468" s="2004"/>
      <c r="AH468" s="2004">
        <v>0</v>
      </c>
      <c r="AI468" s="2004" t="s">
        <v>2337</v>
      </c>
      <c r="AJ468" s="2004" t="s">
        <v>2337</v>
      </c>
      <c r="AK468" s="2004" t="s">
        <v>2337</v>
      </c>
      <c r="AL468" s="2004" t="s">
        <v>2337</v>
      </c>
      <c r="AM468" s="2004" t="s">
        <v>2337</v>
      </c>
      <c r="AN468" s="2004">
        <v>1</v>
      </c>
      <c r="AO468" s="2004">
        <v>1</v>
      </c>
      <c r="AP468" s="2004">
        <v>1</v>
      </c>
      <c r="AQ468" s="2004">
        <v>1</v>
      </c>
      <c r="AR468" s="2004">
        <v>1</v>
      </c>
      <c r="AS468" s="2004">
        <v>0</v>
      </c>
      <c r="AT468" s="2004">
        <v>0</v>
      </c>
      <c r="AU468" s="2004">
        <v>0</v>
      </c>
      <c r="AV468" s="2004">
        <v>0</v>
      </c>
      <c r="AW468" s="2004">
        <v>0</v>
      </c>
      <c r="AX468" s="2004"/>
      <c r="AY468" s="2004"/>
      <c r="AZ468" s="2004"/>
      <c r="BA468" s="2004"/>
      <c r="BB468" s="2004"/>
      <c r="BC468" s="2004"/>
      <c r="BD468" s="2004"/>
      <c r="BE468" s="2004"/>
      <c r="BF468" s="2004"/>
      <c r="BG468" s="2004"/>
      <c r="BH468" s="2004">
        <v>10.1</v>
      </c>
      <c r="BI468" s="2004"/>
      <c r="BJ468" s="2004"/>
      <c r="BK468" s="2004"/>
      <c r="BL468" s="2004"/>
      <c r="BM468" s="2004"/>
      <c r="BN468" s="2004">
        <v>1</v>
      </c>
      <c r="BO468" s="2004" t="s">
        <v>9203</v>
      </c>
      <c r="BP468" s="516">
        <v>0</v>
      </c>
      <c r="BQ468" s="689">
        <v>0</v>
      </c>
      <c r="BR468" s="2004" t="s">
        <v>2337</v>
      </c>
      <c r="BS468" s="2004" t="s">
        <v>9204</v>
      </c>
      <c r="BT468" s="2004">
        <v>0</v>
      </c>
      <c r="BU468" s="2004" t="s">
        <v>9204</v>
      </c>
      <c r="BV468" s="2004">
        <v>0</v>
      </c>
      <c r="BW468" s="2004">
        <v>0</v>
      </c>
      <c r="BX468" s="2004" t="s">
        <v>2337</v>
      </c>
      <c r="BY468" s="2004">
        <v>0</v>
      </c>
      <c r="BZ468" s="2004">
        <v>0</v>
      </c>
      <c r="CA468" s="2004">
        <v>0</v>
      </c>
      <c r="CB468" s="2004">
        <v>0</v>
      </c>
      <c r="CC468" s="2004">
        <v>0</v>
      </c>
      <c r="CD468" s="2004" t="s">
        <v>2337</v>
      </c>
      <c r="CE468" s="2004">
        <v>0</v>
      </c>
      <c r="CF468" s="2004">
        <v>0</v>
      </c>
      <c r="CG468" s="2004">
        <v>0</v>
      </c>
      <c r="CH468" s="2004">
        <v>0</v>
      </c>
      <c r="CI468" s="2004">
        <v>0</v>
      </c>
      <c r="CJ468" s="2004" t="s">
        <v>2337</v>
      </c>
      <c r="CK468" s="2004">
        <v>0</v>
      </c>
      <c r="CL468" s="2004">
        <v>0</v>
      </c>
      <c r="CM468" s="2004">
        <v>0</v>
      </c>
      <c r="CN468" s="2004">
        <v>0</v>
      </c>
      <c r="CP468" s="2004" t="s">
        <v>11812</v>
      </c>
    </row>
    <row r="469" spans="1:94">
      <c r="A469" s="2004" t="s">
        <v>9080</v>
      </c>
      <c r="B469" s="2004" t="s">
        <v>11813</v>
      </c>
      <c r="C469" s="2004" t="s">
        <v>9047</v>
      </c>
      <c r="D469" s="2004" t="s">
        <v>1628</v>
      </c>
      <c r="E469" s="2004" t="s">
        <v>9194</v>
      </c>
      <c r="F469" s="2004" t="s">
        <v>11808</v>
      </c>
      <c r="G469" s="2004" t="s">
        <v>8961</v>
      </c>
      <c r="H469" s="2004" t="s">
        <v>11814</v>
      </c>
      <c r="I469" s="2004" t="s">
        <v>11815</v>
      </c>
      <c r="J469" s="2004" t="s">
        <v>9199</v>
      </c>
      <c r="K469" s="2004" t="s">
        <v>9200</v>
      </c>
      <c r="L469" s="2004"/>
      <c r="M469" s="2004"/>
      <c r="N469" s="2004" t="s">
        <v>2951</v>
      </c>
      <c r="O469" s="2004" t="s">
        <v>9298</v>
      </c>
      <c r="P469" s="2004" t="s">
        <v>9299</v>
      </c>
      <c r="Q469" s="516">
        <v>1</v>
      </c>
      <c r="R469" s="2004" t="s">
        <v>9202</v>
      </c>
      <c r="S469" s="2004">
        <v>24</v>
      </c>
      <c r="T469" s="2004">
        <v>21.3</v>
      </c>
      <c r="U469" s="2004">
        <v>16</v>
      </c>
      <c r="V469" s="2004">
        <v>12</v>
      </c>
      <c r="W469" s="2004">
        <v>12</v>
      </c>
      <c r="X469" s="2004">
        <v>12</v>
      </c>
      <c r="Y469" s="2004"/>
      <c r="Z469" s="2004"/>
      <c r="AA469" s="2004" t="s">
        <v>2337</v>
      </c>
      <c r="AB469" s="2004"/>
      <c r="AC469" s="2004"/>
      <c r="AD469" s="2004"/>
      <c r="AE469" s="2004" t="s">
        <v>2337</v>
      </c>
      <c r="AF469" s="2004"/>
      <c r="AG469" s="2004"/>
      <c r="AH469" s="2004">
        <v>0</v>
      </c>
      <c r="AI469" s="2004" t="s">
        <v>2337</v>
      </c>
      <c r="AJ469" s="2004" t="s">
        <v>2337</v>
      </c>
      <c r="AK469" s="2004" t="s">
        <v>2337</v>
      </c>
      <c r="AL469" s="2004" t="s">
        <v>2337</v>
      </c>
      <c r="AM469" s="2004" t="s">
        <v>2337</v>
      </c>
      <c r="AN469" s="2004">
        <v>44</v>
      </c>
      <c r="AO469" s="2004">
        <v>44</v>
      </c>
      <c r="AP469" s="2004">
        <v>32</v>
      </c>
      <c r="AQ469" s="2004">
        <v>32</v>
      </c>
      <c r="AR469" s="2004">
        <v>32</v>
      </c>
      <c r="AS469" s="2004">
        <v>24</v>
      </c>
      <c r="AT469" s="2004">
        <v>24</v>
      </c>
      <c r="AU469" s="2004">
        <v>12</v>
      </c>
      <c r="AV469" s="2004">
        <v>12</v>
      </c>
      <c r="AW469" s="2004">
        <v>12</v>
      </c>
      <c r="AX469" s="2004">
        <v>12</v>
      </c>
      <c r="AY469" s="2004">
        <v>12</v>
      </c>
      <c r="AZ469" s="2004">
        <v>12</v>
      </c>
      <c r="BA469" s="2004">
        <v>12</v>
      </c>
      <c r="BB469" s="2004">
        <v>12</v>
      </c>
      <c r="BC469" s="2004">
        <v>4.5</v>
      </c>
      <c r="BD469" s="2004">
        <v>4.5</v>
      </c>
      <c r="BE469" s="2004">
        <v>4.5</v>
      </c>
      <c r="BF469" s="2004">
        <v>4.5</v>
      </c>
      <c r="BG469" s="2004">
        <v>4.5</v>
      </c>
      <c r="BH469" s="2004">
        <v>4.19E-2</v>
      </c>
      <c r="BI469" s="2004"/>
      <c r="BJ469" s="2004"/>
      <c r="BK469" s="2004"/>
      <c r="BL469" s="2004">
        <v>6.4000000000000003E-3</v>
      </c>
      <c r="BM469" s="2004"/>
      <c r="BN469" s="2004">
        <v>1</v>
      </c>
      <c r="BO469" s="2004" t="s">
        <v>9203</v>
      </c>
      <c r="BP469" s="516">
        <v>20.100000000000001</v>
      </c>
      <c r="BQ469" s="686">
        <v>14.3</v>
      </c>
      <c r="BR469" s="2004" t="s">
        <v>2337</v>
      </c>
      <c r="BS469" s="2004" t="s">
        <v>9204</v>
      </c>
      <c r="BT469" s="2004">
        <v>0</v>
      </c>
      <c r="BU469" s="2004" t="s">
        <v>9074</v>
      </c>
      <c r="BV469" s="2004">
        <v>0</v>
      </c>
      <c r="BW469" s="2004">
        <v>12.8</v>
      </c>
      <c r="BX469" s="2004" t="s">
        <v>2337</v>
      </c>
      <c r="BY469" s="2004">
        <v>0</v>
      </c>
      <c r="BZ469" s="2004">
        <v>0</v>
      </c>
      <c r="CA469" s="2004" t="s">
        <v>9074</v>
      </c>
      <c r="CB469" s="2004">
        <v>0</v>
      </c>
      <c r="CC469" s="2004">
        <v>12.3</v>
      </c>
      <c r="CD469" s="2004" t="s">
        <v>2334</v>
      </c>
      <c r="CE469" s="2004">
        <v>0</v>
      </c>
      <c r="CF469" s="2004">
        <v>0</v>
      </c>
      <c r="CG469" s="2004" t="s">
        <v>2336</v>
      </c>
      <c r="CH469" s="2004">
        <v>-1.26E-2</v>
      </c>
      <c r="CI469" s="2004">
        <v>5.85</v>
      </c>
      <c r="CJ469" s="2004" t="s">
        <v>2337</v>
      </c>
      <c r="CK469" s="2004">
        <v>0</v>
      </c>
      <c r="CL469" s="2004">
        <v>0</v>
      </c>
      <c r="CM469" s="2004" t="s">
        <v>2339</v>
      </c>
      <c r="CN469" s="2004">
        <v>3.9359999999999999E-2</v>
      </c>
      <c r="CP469" s="2004" t="s">
        <v>11816</v>
      </c>
    </row>
    <row r="470" spans="1:94">
      <c r="A470" s="2004" t="s">
        <v>9080</v>
      </c>
      <c r="B470" s="2004" t="s">
        <v>11817</v>
      </c>
      <c r="C470" s="2004" t="s">
        <v>9047</v>
      </c>
      <c r="D470" s="2004" t="s">
        <v>1628</v>
      </c>
      <c r="E470" s="2004" t="s">
        <v>9194</v>
      </c>
      <c r="F470" s="2004" t="s">
        <v>11808</v>
      </c>
      <c r="G470" s="2004" t="s">
        <v>8964</v>
      </c>
      <c r="H470" s="2004" t="s">
        <v>11818</v>
      </c>
      <c r="I470" s="2004" t="s">
        <v>11819</v>
      </c>
      <c r="J470" s="2004" t="s">
        <v>9210</v>
      </c>
      <c r="K470" s="2004" t="s">
        <v>9545</v>
      </c>
      <c r="L470" s="2004"/>
      <c r="M470" s="2004" t="s">
        <v>2334</v>
      </c>
      <c r="N470" s="2004" t="s">
        <v>5533</v>
      </c>
      <c r="O470" s="2004" t="s">
        <v>766</v>
      </c>
      <c r="P470" s="2004" t="s">
        <v>11820</v>
      </c>
      <c r="Q470" s="516">
        <v>0</v>
      </c>
      <c r="R470" s="2004" t="s">
        <v>9202</v>
      </c>
      <c r="S470" s="2004">
        <v>106000</v>
      </c>
      <c r="T470" s="2004">
        <v>78000</v>
      </c>
      <c r="U470" s="2004">
        <v>78000</v>
      </c>
      <c r="V470" s="2004">
        <v>78000</v>
      </c>
      <c r="W470" s="2004">
        <v>42000</v>
      </c>
      <c r="X470" s="2004">
        <v>42000</v>
      </c>
      <c r="Y470" s="2004"/>
      <c r="Z470" s="2004"/>
      <c r="AA470" s="2004"/>
      <c r="AB470" s="2004"/>
      <c r="AC470" s="2004"/>
      <c r="AD470" s="2004" t="s">
        <v>2337</v>
      </c>
      <c r="AE470" s="2004" t="s">
        <v>2337</v>
      </c>
      <c r="AF470" s="2004"/>
      <c r="AG470" s="2004"/>
      <c r="AH470" s="2004">
        <v>0</v>
      </c>
      <c r="AI470" s="2004" t="s">
        <v>2337</v>
      </c>
      <c r="AJ470" s="2004" t="s">
        <v>2337</v>
      </c>
      <c r="AK470" s="2004" t="s">
        <v>2337</v>
      </c>
      <c r="AL470" s="2004" t="s">
        <v>2337</v>
      </c>
      <c r="AM470" s="2004" t="s">
        <v>2337</v>
      </c>
      <c r="AN470" s="2004">
        <v>106000</v>
      </c>
      <c r="AO470" s="2004">
        <v>106000</v>
      </c>
      <c r="AP470" s="2004">
        <v>106000</v>
      </c>
      <c r="AQ470" s="2004">
        <v>106000</v>
      </c>
      <c r="AR470" s="2004">
        <v>106000</v>
      </c>
      <c r="AS470" s="2004">
        <v>78000</v>
      </c>
      <c r="AT470" s="2004">
        <v>78000</v>
      </c>
      <c r="AU470" s="2004">
        <v>78000</v>
      </c>
      <c r="AV470" s="2004">
        <v>42000</v>
      </c>
      <c r="AW470" s="2004">
        <v>42000</v>
      </c>
      <c r="AX470" s="2004"/>
      <c r="AY470" s="2004"/>
      <c r="AZ470" s="2004"/>
      <c r="BA470" s="2004"/>
      <c r="BB470" s="2004"/>
      <c r="BC470" s="2004"/>
      <c r="BD470" s="2004"/>
      <c r="BE470" s="2004"/>
      <c r="BF470" s="2004"/>
      <c r="BG470" s="2004"/>
      <c r="BH470" s="2004">
        <v>7.6600000000000005E-5</v>
      </c>
      <c r="BI470" s="2004">
        <v>2.4450000000000001E-3</v>
      </c>
      <c r="BJ470" s="2004"/>
      <c r="BK470" s="2004"/>
      <c r="BL470" s="2004"/>
      <c r="BM470" s="2004"/>
      <c r="BN470" s="2004">
        <v>1</v>
      </c>
      <c r="BO470" s="2004" t="s">
        <v>9203</v>
      </c>
      <c r="BP470" s="516">
        <v>91000</v>
      </c>
      <c r="BQ470" s="689">
        <v>78000</v>
      </c>
      <c r="BR470" s="2004" t="s">
        <v>2337</v>
      </c>
      <c r="BS470" s="2004" t="s">
        <v>9204</v>
      </c>
      <c r="BT470" s="2004">
        <v>0</v>
      </c>
      <c r="BU470" s="2004" t="s">
        <v>9204</v>
      </c>
      <c r="BV470" s="2004">
        <v>0</v>
      </c>
      <c r="BW470" s="2004">
        <v>48000</v>
      </c>
      <c r="BX470" s="2004" t="s">
        <v>2337</v>
      </c>
      <c r="BY470" s="2004">
        <v>0</v>
      </c>
      <c r="BZ470" s="2004">
        <v>0</v>
      </c>
      <c r="CA470" s="2004">
        <v>0</v>
      </c>
      <c r="CB470" s="2004">
        <v>0</v>
      </c>
      <c r="CC470" s="2004">
        <v>42000</v>
      </c>
      <c r="CD470" s="2004" t="s">
        <v>2337</v>
      </c>
      <c r="CE470" s="2004">
        <v>0</v>
      </c>
      <c r="CF470" s="2004">
        <v>0</v>
      </c>
      <c r="CG470" s="2004">
        <v>0</v>
      </c>
      <c r="CH470" s="2004">
        <v>0</v>
      </c>
      <c r="CI470" s="2004">
        <v>42000</v>
      </c>
      <c r="CJ470" s="2004" t="s">
        <v>2337</v>
      </c>
      <c r="CK470" s="2004">
        <v>0</v>
      </c>
      <c r="CL470" s="2004">
        <v>0</v>
      </c>
      <c r="CM470" s="2004">
        <v>0</v>
      </c>
      <c r="CN470" s="2004">
        <v>0</v>
      </c>
      <c r="CP470" s="2004" t="s">
        <v>11821</v>
      </c>
    </row>
    <row r="471" spans="1:94">
      <c r="A471" s="2004" t="s">
        <v>9080</v>
      </c>
      <c r="B471" s="2004" t="s">
        <v>11822</v>
      </c>
      <c r="C471" s="2004" t="s">
        <v>9047</v>
      </c>
      <c r="D471" s="2004" t="s">
        <v>1628</v>
      </c>
      <c r="E471" s="2004" t="s">
        <v>9194</v>
      </c>
      <c r="F471" s="2004" t="s">
        <v>11808</v>
      </c>
      <c r="G471" s="2004" t="s">
        <v>8967</v>
      </c>
      <c r="H471" s="2004" t="s">
        <v>11823</v>
      </c>
      <c r="I471" s="2004" t="s">
        <v>11824</v>
      </c>
      <c r="J471" s="2004" t="s">
        <v>9210</v>
      </c>
      <c r="K471" s="2004" t="s">
        <v>9545</v>
      </c>
      <c r="L471" s="2004"/>
      <c r="M471" s="2004"/>
      <c r="N471" s="2004" t="s">
        <v>9260</v>
      </c>
      <c r="O471" s="2004" t="s">
        <v>766</v>
      </c>
      <c r="P471" s="2004" t="s">
        <v>11825</v>
      </c>
      <c r="Q471" s="516">
        <v>0</v>
      </c>
      <c r="R471" s="2004" t="s">
        <v>9202</v>
      </c>
      <c r="S471" s="2004" t="s">
        <v>11826</v>
      </c>
      <c r="T471" s="2004" t="s">
        <v>11827</v>
      </c>
      <c r="U471" s="2004" t="s">
        <v>11827</v>
      </c>
      <c r="V471" s="2004" t="s">
        <v>11827</v>
      </c>
      <c r="W471" s="2004" t="s">
        <v>11827</v>
      </c>
      <c r="X471" s="2004" t="s">
        <v>11827</v>
      </c>
      <c r="Y471" s="2004"/>
      <c r="Z471" s="2004"/>
      <c r="AA471" s="2004"/>
      <c r="AB471" s="2004"/>
      <c r="AC471" s="2004"/>
      <c r="AD471" s="2004"/>
      <c r="AE471" s="2004" t="s">
        <v>2337</v>
      </c>
      <c r="AF471" s="2004"/>
      <c r="AG471" s="2004"/>
      <c r="AH471" s="2004">
        <v>0</v>
      </c>
      <c r="AI471" s="2004" t="s">
        <v>2337</v>
      </c>
      <c r="AJ471" s="2004" t="s">
        <v>2337</v>
      </c>
      <c r="AK471" s="2004" t="s">
        <v>2337</v>
      </c>
      <c r="AL471" s="2004" t="s">
        <v>2337</v>
      </c>
      <c r="AM471" s="2004" t="s">
        <v>2337</v>
      </c>
      <c r="AN471" s="2004">
        <v>999999</v>
      </c>
      <c r="AO471" s="2004">
        <v>999999</v>
      </c>
      <c r="AP471" s="2004">
        <v>999999</v>
      </c>
      <c r="AQ471" s="2004">
        <v>999999</v>
      </c>
      <c r="AR471" s="2004">
        <v>999999</v>
      </c>
      <c r="AS471" s="2004">
        <v>1993</v>
      </c>
      <c r="AT471" s="2004">
        <v>1993</v>
      </c>
      <c r="AU471" s="2004">
        <v>1993</v>
      </c>
      <c r="AV471" s="2004">
        <v>1993</v>
      </c>
      <c r="AW471" s="2004">
        <v>1993</v>
      </c>
      <c r="AX471" s="2004"/>
      <c r="AY471" s="2004"/>
      <c r="AZ471" s="2004"/>
      <c r="BA471" s="2004"/>
      <c r="BB471" s="2004"/>
      <c r="BC471" s="2004"/>
      <c r="BD471" s="2004"/>
      <c r="BE471" s="2004"/>
      <c r="BF471" s="2004"/>
      <c r="BG471" s="2004"/>
      <c r="BH471" s="2004">
        <v>4.8999999999999998E-3</v>
      </c>
      <c r="BI471" s="2004"/>
      <c r="BJ471" s="2004"/>
      <c r="BK471" s="2004"/>
      <c r="BL471" s="2004"/>
      <c r="BM471" s="2004"/>
      <c r="BN471" s="2004">
        <v>1</v>
      </c>
      <c r="BO471" s="2004" t="s">
        <v>9203</v>
      </c>
      <c r="BP471" s="516">
        <v>1892</v>
      </c>
      <c r="BQ471" s="689">
        <v>1663</v>
      </c>
      <c r="BR471" s="2004" t="s">
        <v>2337</v>
      </c>
      <c r="BS471" s="2004" t="s">
        <v>9204</v>
      </c>
      <c r="BT471" s="2004">
        <v>0</v>
      </c>
      <c r="BU471" s="2004" t="s">
        <v>9204</v>
      </c>
      <c r="BV471" s="2004">
        <v>0</v>
      </c>
      <c r="BW471" s="2004">
        <v>1863</v>
      </c>
      <c r="BX471" s="2004" t="s">
        <v>2337</v>
      </c>
      <c r="BY471" s="2004">
        <v>0</v>
      </c>
      <c r="BZ471" s="2004">
        <v>0</v>
      </c>
      <c r="CA471" s="2004">
        <v>0</v>
      </c>
      <c r="CB471" s="2004">
        <v>0</v>
      </c>
      <c r="CC471" s="2004">
        <v>1920</v>
      </c>
      <c r="CD471" s="2004" t="s">
        <v>2337</v>
      </c>
      <c r="CE471" s="2004">
        <v>0</v>
      </c>
      <c r="CF471" s="2004">
        <v>0</v>
      </c>
      <c r="CG471" s="2004">
        <v>0</v>
      </c>
      <c r="CH471" s="2004">
        <v>0</v>
      </c>
      <c r="CI471" s="2004">
        <v>1939</v>
      </c>
      <c r="CJ471" s="2004" t="s">
        <v>2337</v>
      </c>
      <c r="CK471" s="2004">
        <v>0</v>
      </c>
      <c r="CL471" s="2004">
        <v>0</v>
      </c>
      <c r="CM471" s="2004">
        <v>0</v>
      </c>
      <c r="CN471" s="2004">
        <v>0</v>
      </c>
      <c r="CP471" s="2004" t="s">
        <v>11828</v>
      </c>
    </row>
    <row r="472" spans="1:94">
      <c r="A472" s="2004" t="s">
        <v>9080</v>
      </c>
      <c r="B472" s="2004" t="s">
        <v>11829</v>
      </c>
      <c r="C472" s="2004" t="s">
        <v>9047</v>
      </c>
      <c r="D472" s="2004" t="s">
        <v>1628</v>
      </c>
      <c r="E472" s="2004" t="s">
        <v>9194</v>
      </c>
      <c r="F472" s="2004" t="s">
        <v>2927</v>
      </c>
      <c r="G472" s="2004" t="s">
        <v>8987</v>
      </c>
      <c r="H472" s="2004" t="s">
        <v>11830</v>
      </c>
      <c r="I472" s="2004" t="s">
        <v>11831</v>
      </c>
      <c r="J472" s="2004" t="s">
        <v>9199</v>
      </c>
      <c r="K472" s="2004" t="s">
        <v>9200</v>
      </c>
      <c r="L472" s="2004"/>
      <c r="M472" s="2004"/>
      <c r="N472" s="2004" t="s">
        <v>2927</v>
      </c>
      <c r="O472" s="2004" t="s">
        <v>766</v>
      </c>
      <c r="P472" s="2004" t="s">
        <v>9201</v>
      </c>
      <c r="Q472" s="516">
        <v>1</v>
      </c>
      <c r="R472" s="2004" t="s">
        <v>9202</v>
      </c>
      <c r="S472" s="2004">
        <v>70</v>
      </c>
      <c r="T472" s="2004">
        <v>69.3</v>
      </c>
      <c r="U472" s="2004">
        <v>68.599999999999994</v>
      </c>
      <c r="V472" s="2004">
        <v>67.900000000000006</v>
      </c>
      <c r="W472" s="2004">
        <v>67.2</v>
      </c>
      <c r="X472" s="2004">
        <v>66.5</v>
      </c>
      <c r="Y472" s="2004"/>
      <c r="Z472" s="2004"/>
      <c r="AA472" s="2004"/>
      <c r="AB472" s="2004"/>
      <c r="AC472" s="2004"/>
      <c r="AD472" s="2004"/>
      <c r="AE472" s="2004" t="s">
        <v>2337</v>
      </c>
      <c r="AF472" s="2004"/>
      <c r="AG472" s="2004"/>
      <c r="AH472" s="2004">
        <v>0</v>
      </c>
      <c r="AI472" s="2004" t="s">
        <v>2337</v>
      </c>
      <c r="AJ472" s="2004" t="s">
        <v>2337</v>
      </c>
      <c r="AK472" s="2004" t="s">
        <v>2337</v>
      </c>
      <c r="AL472" s="2004" t="s">
        <v>2337</v>
      </c>
      <c r="AM472" s="2004" t="s">
        <v>2337</v>
      </c>
      <c r="AN472" s="2004">
        <v>76.2</v>
      </c>
      <c r="AO472" s="2004">
        <v>75.400000000000006</v>
      </c>
      <c r="AP472" s="2004">
        <v>74.7</v>
      </c>
      <c r="AQ472" s="2004">
        <v>73.900000000000006</v>
      </c>
      <c r="AR472" s="2004">
        <v>73.099999999999994</v>
      </c>
      <c r="AS472" s="2004">
        <v>69.3</v>
      </c>
      <c r="AT472" s="2004">
        <v>68.599999999999994</v>
      </c>
      <c r="AU472" s="2004">
        <v>67.900000000000006</v>
      </c>
      <c r="AV472" s="2004">
        <v>67.2</v>
      </c>
      <c r="AW472" s="2004">
        <v>66.5</v>
      </c>
      <c r="AX472" s="2004">
        <v>68.3</v>
      </c>
      <c r="AY472" s="2004">
        <v>67.599999999999994</v>
      </c>
      <c r="AZ472" s="2004">
        <v>66.900000000000006</v>
      </c>
      <c r="BA472" s="2004">
        <v>66.2</v>
      </c>
      <c r="BB472" s="2004">
        <v>65.5</v>
      </c>
      <c r="BC472" s="2004">
        <v>65.3</v>
      </c>
      <c r="BD472" s="2004">
        <v>64.599999999999994</v>
      </c>
      <c r="BE472" s="2004">
        <v>63.9</v>
      </c>
      <c r="BF472" s="2004">
        <v>63.2</v>
      </c>
      <c r="BG472" s="2004">
        <v>62.5</v>
      </c>
      <c r="BH472" s="2004">
        <v>0.30499999999999999</v>
      </c>
      <c r="BI472" s="2004"/>
      <c r="BJ472" s="2004"/>
      <c r="BK472" s="2004"/>
      <c r="BL472" s="2004">
        <v>0.11</v>
      </c>
      <c r="BM472" s="2004"/>
      <c r="BN472" s="2004">
        <v>1</v>
      </c>
      <c r="BO472" s="2004" t="s">
        <v>9203</v>
      </c>
      <c r="BP472" s="516">
        <v>68.599999999999994</v>
      </c>
      <c r="BQ472" s="686">
        <v>68.3</v>
      </c>
      <c r="BR472" s="2004" t="s">
        <v>2337</v>
      </c>
      <c r="BS472" s="2004" t="s">
        <v>9204</v>
      </c>
      <c r="BT472" s="2004">
        <v>0</v>
      </c>
      <c r="BU472" s="2004" t="s">
        <v>9074</v>
      </c>
      <c r="BV472" s="2004">
        <v>0</v>
      </c>
      <c r="BW472" s="2004">
        <v>68.3</v>
      </c>
      <c r="BX472" s="2004" t="s">
        <v>2337</v>
      </c>
      <c r="BY472" s="2004">
        <v>0</v>
      </c>
      <c r="BZ472" s="2004">
        <v>0</v>
      </c>
      <c r="CA472" s="2004" t="s">
        <v>9074</v>
      </c>
      <c r="CB472" s="2004">
        <v>0</v>
      </c>
      <c r="CC472" s="2004">
        <v>67.7</v>
      </c>
      <c r="CD472" s="2004" t="s">
        <v>2337</v>
      </c>
      <c r="CE472" s="2004">
        <v>0</v>
      </c>
      <c r="CF472" s="2004">
        <v>0</v>
      </c>
      <c r="CG472" s="2004" t="s">
        <v>9074</v>
      </c>
      <c r="CH472" s="2004">
        <v>0</v>
      </c>
      <c r="CI472" s="2004">
        <v>66.400000000000006</v>
      </c>
      <c r="CJ472" s="2004" t="s">
        <v>2337</v>
      </c>
      <c r="CK472" s="2004">
        <v>0</v>
      </c>
      <c r="CL472" s="2004">
        <v>0</v>
      </c>
      <c r="CM472" s="2004" t="s">
        <v>9074</v>
      </c>
      <c r="CN472" s="2004">
        <v>0</v>
      </c>
      <c r="CP472" s="2004" t="s">
        <v>11832</v>
      </c>
    </row>
    <row r="473" spans="1:94">
      <c r="A473" s="2004" t="s">
        <v>9080</v>
      </c>
      <c r="B473" s="2004" t="s">
        <v>11833</v>
      </c>
      <c r="C473" s="2004" t="s">
        <v>9047</v>
      </c>
      <c r="D473" s="2004" t="s">
        <v>1628</v>
      </c>
      <c r="E473" s="2004" t="s">
        <v>9194</v>
      </c>
      <c r="F473" s="2004" t="s">
        <v>2927</v>
      </c>
      <c r="G473" s="2004" t="s">
        <v>8990</v>
      </c>
      <c r="H473" s="2004" t="s">
        <v>11834</v>
      </c>
      <c r="I473" s="2004" t="s">
        <v>11835</v>
      </c>
      <c r="J473" s="2004" t="s">
        <v>9230</v>
      </c>
      <c r="K473" s="2004"/>
      <c r="L473" s="2004"/>
      <c r="M473" s="2004"/>
      <c r="N473" s="2004" t="s">
        <v>2927</v>
      </c>
      <c r="O473" s="2004" t="s">
        <v>734</v>
      </c>
      <c r="P473" s="2004" t="s">
        <v>11836</v>
      </c>
      <c r="Q473" s="516">
        <v>0</v>
      </c>
      <c r="R473" s="2004" t="s">
        <v>9240</v>
      </c>
      <c r="S473" s="2004" t="s">
        <v>9863</v>
      </c>
      <c r="T473" s="2004">
        <v>66</v>
      </c>
      <c r="U473" s="2004">
        <v>70</v>
      </c>
      <c r="V473" s="2004">
        <v>75</v>
      </c>
      <c r="W473" s="2004">
        <v>80</v>
      </c>
      <c r="X473" s="2004">
        <v>90</v>
      </c>
      <c r="Y473" s="2004"/>
      <c r="Z473" s="2004"/>
      <c r="AA473" s="2004"/>
      <c r="AB473" s="2004"/>
      <c r="AC473" s="2004"/>
      <c r="AD473" s="2004"/>
      <c r="AE473" s="2004" t="s">
        <v>2337</v>
      </c>
      <c r="AF473" s="2004"/>
      <c r="AG473" s="2004"/>
      <c r="AH473" s="2004">
        <v>0</v>
      </c>
      <c r="AI473" s="2004"/>
      <c r="AJ473" s="2004"/>
      <c r="AK473" s="2004"/>
      <c r="AL473" s="2004"/>
      <c r="AM473" s="2004"/>
      <c r="AN473" s="2004"/>
      <c r="AO473" s="2004"/>
      <c r="AP473" s="2004"/>
      <c r="AQ473" s="2004"/>
      <c r="AR473" s="2004"/>
      <c r="AS473" s="2004"/>
      <c r="AT473" s="2004"/>
      <c r="AU473" s="2004"/>
      <c r="AV473" s="2004"/>
      <c r="AW473" s="2004"/>
      <c r="AX473" s="2004"/>
      <c r="AY473" s="2004"/>
      <c r="AZ473" s="2004"/>
      <c r="BA473" s="2004"/>
      <c r="BB473" s="2004"/>
      <c r="BC473" s="2004"/>
      <c r="BD473" s="2004"/>
      <c r="BE473" s="2004"/>
      <c r="BF473" s="2004"/>
      <c r="BG473" s="2004"/>
      <c r="BH473" s="2004"/>
      <c r="BI473" s="2004"/>
      <c r="BJ473" s="2004"/>
      <c r="BK473" s="2004"/>
      <c r="BL473" s="2004"/>
      <c r="BM473" s="2004"/>
      <c r="BN473" s="2004"/>
      <c r="BO473" s="2004"/>
      <c r="BP473" s="516" t="s">
        <v>2335</v>
      </c>
      <c r="BQ473" s="689">
        <v>68</v>
      </c>
      <c r="BR473" s="2004" t="s">
        <v>2337</v>
      </c>
      <c r="BS473" s="2004" t="s">
        <v>9204</v>
      </c>
      <c r="BT473" s="2004">
        <v>0</v>
      </c>
      <c r="BU473" s="2004" t="s">
        <v>9204</v>
      </c>
      <c r="BV473" s="2004">
        <v>0</v>
      </c>
      <c r="BW473" s="2004">
        <v>70</v>
      </c>
      <c r="BX473" s="2004" t="s">
        <v>2337</v>
      </c>
      <c r="BY473" s="2004">
        <v>0</v>
      </c>
      <c r="BZ473" s="2004">
        <v>0</v>
      </c>
      <c r="CA473" s="2004">
        <v>0</v>
      </c>
      <c r="CB473" s="2004">
        <v>0</v>
      </c>
      <c r="CC473" s="2004">
        <v>76</v>
      </c>
      <c r="CD473" s="2004" t="s">
        <v>2337</v>
      </c>
      <c r="CE473" s="2004">
        <v>0</v>
      </c>
      <c r="CF473" s="2004">
        <v>0</v>
      </c>
      <c r="CG473" s="2004">
        <v>0</v>
      </c>
      <c r="CH473" s="2004">
        <v>0</v>
      </c>
      <c r="CI473" s="2004">
        <v>80</v>
      </c>
      <c r="CJ473" s="2004" t="s">
        <v>2337</v>
      </c>
      <c r="CK473" s="2004">
        <v>0</v>
      </c>
      <c r="CL473" s="2004">
        <v>0</v>
      </c>
      <c r="CM473" s="2004">
        <v>0</v>
      </c>
      <c r="CN473" s="2004">
        <v>0</v>
      </c>
      <c r="CP473" s="2004" t="s">
        <v>11837</v>
      </c>
    </row>
    <row r="474" spans="1:94">
      <c r="A474" s="2004" t="s">
        <v>9080</v>
      </c>
      <c r="B474" s="2004" t="s">
        <v>11838</v>
      </c>
      <c r="C474" s="2004" t="s">
        <v>9047</v>
      </c>
      <c r="D474" s="2004" t="s">
        <v>1628</v>
      </c>
      <c r="E474" s="2004" t="s">
        <v>9194</v>
      </c>
      <c r="F474" s="2004" t="s">
        <v>11839</v>
      </c>
      <c r="G474" s="2004" t="s">
        <v>9589</v>
      </c>
      <c r="H474" s="2004" t="s">
        <v>11840</v>
      </c>
      <c r="I474" s="2004" t="s">
        <v>11841</v>
      </c>
      <c r="J474" s="2004" t="s">
        <v>9199</v>
      </c>
      <c r="K474" s="2004" t="s">
        <v>9545</v>
      </c>
      <c r="L474" s="2004"/>
      <c r="M474" s="2004"/>
      <c r="N474" s="2004" t="s">
        <v>9154</v>
      </c>
      <c r="O474" s="2004" t="s">
        <v>766</v>
      </c>
      <c r="P474" s="2004" t="s">
        <v>11842</v>
      </c>
      <c r="Q474" s="516">
        <v>0</v>
      </c>
      <c r="R474" s="2004" t="s">
        <v>9202</v>
      </c>
      <c r="S474" s="2004">
        <v>3000</v>
      </c>
      <c r="T474" s="2004">
        <v>2536</v>
      </c>
      <c r="U474" s="2004">
        <v>2072</v>
      </c>
      <c r="V474" s="2004">
        <v>1608</v>
      </c>
      <c r="W474" s="2004">
        <v>1608</v>
      </c>
      <c r="X474" s="2004">
        <v>1608</v>
      </c>
      <c r="Y474" s="2004"/>
      <c r="Z474" s="2004" t="s">
        <v>2337</v>
      </c>
      <c r="AA474" s="2004"/>
      <c r="AB474" s="2004"/>
      <c r="AC474" s="2004"/>
      <c r="AD474" s="2004"/>
      <c r="AE474" s="2004" t="s">
        <v>2337</v>
      </c>
      <c r="AF474" s="2004"/>
      <c r="AG474" s="2004"/>
      <c r="AH474" s="2004">
        <v>0</v>
      </c>
      <c r="AI474" s="2004" t="s">
        <v>2337</v>
      </c>
      <c r="AJ474" s="2004" t="s">
        <v>2337</v>
      </c>
      <c r="AK474" s="2004" t="s">
        <v>2337</v>
      </c>
      <c r="AL474" s="2004" t="s">
        <v>2337</v>
      </c>
      <c r="AM474" s="2004" t="s">
        <v>2337</v>
      </c>
      <c r="AN474" s="2004">
        <v>3400</v>
      </c>
      <c r="AO474" s="2004">
        <v>3400</v>
      </c>
      <c r="AP474" s="2004">
        <v>2008</v>
      </c>
      <c r="AQ474" s="2004">
        <v>2008</v>
      </c>
      <c r="AR474" s="2004">
        <v>2008</v>
      </c>
      <c r="AS474" s="2004">
        <v>3000</v>
      </c>
      <c r="AT474" s="2004">
        <v>2950</v>
      </c>
      <c r="AU474" s="2004">
        <v>1608</v>
      </c>
      <c r="AV474" s="2004">
        <v>1608</v>
      </c>
      <c r="AW474" s="2004">
        <v>1608</v>
      </c>
      <c r="AX474" s="2004">
        <v>1608</v>
      </c>
      <c r="AY474" s="2004">
        <v>1608</v>
      </c>
      <c r="AZ474" s="2004">
        <v>1608</v>
      </c>
      <c r="BA474" s="2004">
        <v>1608</v>
      </c>
      <c r="BB474" s="2004">
        <v>1608</v>
      </c>
      <c r="BC474" s="2004">
        <v>1208</v>
      </c>
      <c r="BD474" s="2004">
        <v>1208</v>
      </c>
      <c r="BE474" s="2004">
        <v>1208</v>
      </c>
      <c r="BF474" s="2004">
        <v>1208</v>
      </c>
      <c r="BG474" s="2004">
        <v>1208</v>
      </c>
      <c r="BH474" s="2004">
        <v>1E-3</v>
      </c>
      <c r="BI474" s="2004"/>
      <c r="BJ474" s="2004"/>
      <c r="BK474" s="2004"/>
      <c r="BL474" s="2004">
        <v>1.75E-4</v>
      </c>
      <c r="BM474" s="2004"/>
      <c r="BN474" s="2004">
        <v>1</v>
      </c>
      <c r="BO474" s="2004" t="s">
        <v>9203</v>
      </c>
      <c r="BP474" s="516">
        <v>3006</v>
      </c>
      <c r="BQ474" s="689">
        <v>2431</v>
      </c>
      <c r="BR474" s="2004" t="s">
        <v>2337</v>
      </c>
      <c r="BS474" s="2004" t="s">
        <v>9204</v>
      </c>
      <c r="BT474" s="2004">
        <v>0</v>
      </c>
      <c r="BU474" s="2004" t="s">
        <v>9074</v>
      </c>
      <c r="BV474" s="2004">
        <v>0</v>
      </c>
      <c r="BW474" s="2004">
        <v>2172</v>
      </c>
      <c r="BX474" s="2004" t="s">
        <v>2334</v>
      </c>
      <c r="BY474" s="2004">
        <v>0</v>
      </c>
      <c r="BZ474" s="2004">
        <v>0</v>
      </c>
      <c r="CA474" s="2004" t="s">
        <v>9120</v>
      </c>
      <c r="CB474" s="2004">
        <v>0</v>
      </c>
      <c r="CC474" s="2004">
        <v>2031</v>
      </c>
      <c r="CD474" s="2004" t="s">
        <v>2334</v>
      </c>
      <c r="CE474" s="2004">
        <v>0</v>
      </c>
      <c r="CF474" s="2004">
        <v>0</v>
      </c>
      <c r="CG474" s="2004" t="s">
        <v>2336</v>
      </c>
      <c r="CH474" s="2004">
        <v>-0.4</v>
      </c>
      <c r="CI474" s="2004">
        <v>2010</v>
      </c>
      <c r="CJ474" s="2004" t="s">
        <v>2334</v>
      </c>
      <c r="CK474" s="2004">
        <v>0</v>
      </c>
      <c r="CL474" s="2004">
        <v>0</v>
      </c>
      <c r="CM474" s="2004" t="s">
        <v>2336</v>
      </c>
      <c r="CN474" s="2004">
        <v>-0.4</v>
      </c>
      <c r="CP474" s="2004" t="s">
        <v>11843</v>
      </c>
    </row>
    <row r="475" spans="1:94">
      <c r="A475" s="2004" t="s">
        <v>9080</v>
      </c>
      <c r="B475" s="2004" t="s">
        <v>11844</v>
      </c>
      <c r="C475" s="2004" t="s">
        <v>9047</v>
      </c>
      <c r="D475" s="2004" t="s">
        <v>1628</v>
      </c>
      <c r="E475" s="2004" t="s">
        <v>9194</v>
      </c>
      <c r="F475" s="2004" t="s">
        <v>11839</v>
      </c>
      <c r="G475" s="2004" t="s">
        <v>9625</v>
      </c>
      <c r="H475" s="2004" t="s">
        <v>11845</v>
      </c>
      <c r="I475" s="2004" t="s">
        <v>11846</v>
      </c>
      <c r="J475" s="2004" t="s">
        <v>9210</v>
      </c>
      <c r="K475" s="2004" t="s">
        <v>9545</v>
      </c>
      <c r="L475" s="2004"/>
      <c r="M475" s="2004" t="s">
        <v>2334</v>
      </c>
      <c r="N475" s="2004" t="s">
        <v>9238</v>
      </c>
      <c r="O475" s="2004" t="s">
        <v>734</v>
      </c>
      <c r="P475" s="2004" t="s">
        <v>9239</v>
      </c>
      <c r="Q475" s="516">
        <v>2</v>
      </c>
      <c r="R475" s="2004" t="s">
        <v>9240</v>
      </c>
      <c r="S475" s="2004">
        <v>99.98</v>
      </c>
      <c r="T475" s="2004">
        <v>99.98</v>
      </c>
      <c r="U475" s="2004">
        <v>99.98</v>
      </c>
      <c r="V475" s="2004">
        <v>100</v>
      </c>
      <c r="W475" s="2004">
        <v>100</v>
      </c>
      <c r="X475" s="2004">
        <v>100</v>
      </c>
      <c r="Y475" s="2004" t="s">
        <v>2337</v>
      </c>
      <c r="Z475" s="2004"/>
      <c r="AA475" s="2004"/>
      <c r="AB475" s="2004"/>
      <c r="AC475" s="2004"/>
      <c r="AD475" s="2004"/>
      <c r="AE475" s="2004" t="s">
        <v>2337</v>
      </c>
      <c r="AF475" s="2004"/>
      <c r="AG475" s="2004"/>
      <c r="AH475" s="2004">
        <v>0</v>
      </c>
      <c r="AI475" s="2004" t="s">
        <v>2337</v>
      </c>
      <c r="AJ475" s="2004" t="s">
        <v>2337</v>
      </c>
      <c r="AK475" s="2004" t="s">
        <v>2337</v>
      </c>
      <c r="AL475" s="2004" t="s">
        <v>2337</v>
      </c>
      <c r="AM475" s="2004" t="s">
        <v>2337</v>
      </c>
      <c r="AN475" s="2004" t="s">
        <v>11847</v>
      </c>
      <c r="AO475" s="2004" t="s">
        <v>11847</v>
      </c>
      <c r="AP475" s="2004" t="s">
        <v>11847</v>
      </c>
      <c r="AQ475" s="2004" t="s">
        <v>11847</v>
      </c>
      <c r="AR475" s="2004" t="s">
        <v>11847</v>
      </c>
      <c r="AS475" s="2004">
        <v>99.95</v>
      </c>
      <c r="AT475" s="2004">
        <v>99.95</v>
      </c>
      <c r="AU475" s="2004">
        <v>99.95</v>
      </c>
      <c r="AV475" s="2004">
        <v>99.95</v>
      </c>
      <c r="AW475" s="2004">
        <v>99.95</v>
      </c>
      <c r="AX475" s="2004"/>
      <c r="AY475" s="2004"/>
      <c r="AZ475" s="2004"/>
      <c r="BA475" s="2004"/>
      <c r="BB475" s="2004"/>
      <c r="BC475" s="2004"/>
      <c r="BD475" s="2004"/>
      <c r="BE475" s="2004"/>
      <c r="BF475" s="2004"/>
      <c r="BG475" s="2004"/>
      <c r="BH475" s="2004">
        <v>0.77</v>
      </c>
      <c r="BI475" s="2004"/>
      <c r="BJ475" s="2004"/>
      <c r="BK475" s="2004"/>
      <c r="BL475" s="2004"/>
      <c r="BM475" s="2004"/>
      <c r="BN475" s="2004">
        <v>1</v>
      </c>
      <c r="BO475" s="2004" t="s">
        <v>9203</v>
      </c>
      <c r="BP475" s="516">
        <v>99.97</v>
      </c>
      <c r="BQ475" s="690">
        <v>99.96</v>
      </c>
      <c r="BR475" s="2004" t="s">
        <v>2334</v>
      </c>
      <c r="BS475" s="2004" t="s">
        <v>9204</v>
      </c>
      <c r="BT475" s="2004">
        <v>0</v>
      </c>
      <c r="BU475" s="2004" t="s">
        <v>9120</v>
      </c>
      <c r="BV475" s="2004">
        <v>0</v>
      </c>
      <c r="BW475" s="2004">
        <v>99.95</v>
      </c>
      <c r="BX475" s="2004" t="s">
        <v>2334</v>
      </c>
      <c r="BY475" s="2004">
        <v>0</v>
      </c>
      <c r="BZ475" s="2004">
        <v>0</v>
      </c>
      <c r="CA475" s="2004" t="s">
        <v>9120</v>
      </c>
      <c r="CB475" s="2004">
        <v>0</v>
      </c>
      <c r="CC475" s="2004">
        <v>99.959000000000003</v>
      </c>
      <c r="CD475" s="2004" t="s">
        <v>2334</v>
      </c>
      <c r="CE475" s="2004">
        <v>0</v>
      </c>
      <c r="CF475" s="2004">
        <v>0</v>
      </c>
      <c r="CG475" s="2004" t="s">
        <v>2340</v>
      </c>
      <c r="CH475" s="2004">
        <v>0</v>
      </c>
      <c r="CI475" s="2004">
        <v>99.96</v>
      </c>
      <c r="CJ475" s="2004" t="s">
        <v>2334</v>
      </c>
      <c r="CK475" s="2004">
        <v>0</v>
      </c>
      <c r="CL475" s="2004">
        <v>0</v>
      </c>
      <c r="CM475" s="2004" t="s">
        <v>2340</v>
      </c>
      <c r="CN475" s="2004">
        <v>0</v>
      </c>
      <c r="CP475" s="2004" t="s">
        <v>11848</v>
      </c>
    </row>
    <row r="476" spans="1:94">
      <c r="A476" s="2004" t="s">
        <v>9080</v>
      </c>
      <c r="B476" s="2004" t="s">
        <v>11849</v>
      </c>
      <c r="C476" s="2004" t="s">
        <v>9047</v>
      </c>
      <c r="D476" s="2004" t="s">
        <v>1629</v>
      </c>
      <c r="E476" s="2004" t="s">
        <v>9410</v>
      </c>
      <c r="F476" s="2004" t="s">
        <v>11850</v>
      </c>
      <c r="G476" s="2004" t="s">
        <v>7928</v>
      </c>
      <c r="H476" s="2004" t="s">
        <v>11851</v>
      </c>
      <c r="I476" s="2004" t="s">
        <v>11852</v>
      </c>
      <c r="J476" s="2004" t="s">
        <v>9210</v>
      </c>
      <c r="K476" s="2004" t="s">
        <v>9545</v>
      </c>
      <c r="L476" s="2004"/>
      <c r="M476" s="2004"/>
      <c r="N476" s="2004" t="s">
        <v>9364</v>
      </c>
      <c r="O476" s="2004" t="s">
        <v>734</v>
      </c>
      <c r="P476" s="2004" t="s">
        <v>11853</v>
      </c>
      <c r="Q476" s="516">
        <v>0</v>
      </c>
      <c r="R476" s="2004" t="s">
        <v>9240</v>
      </c>
      <c r="S476" s="2004" t="s">
        <v>2335</v>
      </c>
      <c r="T476" s="2004">
        <v>100</v>
      </c>
      <c r="U476" s="2004">
        <v>100</v>
      </c>
      <c r="V476" s="2004">
        <v>100</v>
      </c>
      <c r="W476" s="2004">
        <v>100</v>
      </c>
      <c r="X476" s="2004">
        <v>100</v>
      </c>
      <c r="Y476" s="2004"/>
      <c r="Z476" s="2004"/>
      <c r="AA476" s="2004"/>
      <c r="AB476" s="2004"/>
      <c r="AC476" s="2004"/>
      <c r="AD476" s="2004"/>
      <c r="AE476" s="2004"/>
      <c r="AF476" s="2004" t="s">
        <v>2337</v>
      </c>
      <c r="AG476" s="2004"/>
      <c r="AH476" s="2004">
        <v>0</v>
      </c>
      <c r="AI476" s="2004" t="s">
        <v>2337</v>
      </c>
      <c r="AJ476" s="2004" t="s">
        <v>2337</v>
      </c>
      <c r="AK476" s="2004" t="s">
        <v>2337</v>
      </c>
      <c r="AL476" s="2004" t="s">
        <v>2337</v>
      </c>
      <c r="AM476" s="2004" t="s">
        <v>2337</v>
      </c>
      <c r="AN476" s="2004">
        <v>0</v>
      </c>
      <c r="AO476" s="2004">
        <v>0</v>
      </c>
      <c r="AP476" s="2004">
        <v>0</v>
      </c>
      <c r="AQ476" s="2004">
        <v>0</v>
      </c>
      <c r="AR476" s="2004">
        <v>0</v>
      </c>
      <c r="AS476" s="2004">
        <v>100</v>
      </c>
      <c r="AT476" s="2004">
        <v>100</v>
      </c>
      <c r="AU476" s="2004">
        <v>100</v>
      </c>
      <c r="AV476" s="2004">
        <v>100</v>
      </c>
      <c r="AW476" s="2004">
        <v>100</v>
      </c>
      <c r="AX476" s="2004"/>
      <c r="AY476" s="2004"/>
      <c r="AZ476" s="2004"/>
      <c r="BA476" s="2004"/>
      <c r="BB476" s="2004"/>
      <c r="BC476" s="2004"/>
      <c r="BD476" s="2004"/>
      <c r="BE476" s="2004"/>
      <c r="BF476" s="2004"/>
      <c r="BG476" s="2004"/>
      <c r="BH476" s="2004">
        <v>8.9999999999999993E-3</v>
      </c>
      <c r="BI476" s="2004"/>
      <c r="BJ476" s="2004"/>
      <c r="BK476" s="2004"/>
      <c r="BL476" s="2004"/>
      <c r="BM476" s="2004"/>
      <c r="BN476" s="2004">
        <v>1</v>
      </c>
      <c r="BO476" s="2004" t="s">
        <v>9203</v>
      </c>
      <c r="BP476" s="516" t="s">
        <v>2335</v>
      </c>
      <c r="BQ476" s="689">
        <v>100</v>
      </c>
      <c r="BR476" s="2004" t="s">
        <v>2337</v>
      </c>
      <c r="BS476" s="2004" t="s">
        <v>9204</v>
      </c>
      <c r="BT476" s="2004">
        <v>0</v>
      </c>
      <c r="BU476" s="2004" t="s">
        <v>9204</v>
      </c>
      <c r="BV476" s="2004">
        <v>0</v>
      </c>
      <c r="BW476" s="2004">
        <v>100</v>
      </c>
      <c r="BX476" s="2004" t="s">
        <v>2337</v>
      </c>
      <c r="BY476" s="2004">
        <v>0</v>
      </c>
      <c r="BZ476" s="2004">
        <v>0</v>
      </c>
      <c r="CA476" s="2004">
        <v>0</v>
      </c>
      <c r="CB476" s="2004">
        <v>0</v>
      </c>
      <c r="CC476" s="2004">
        <v>100</v>
      </c>
      <c r="CD476" s="2004" t="s">
        <v>2337</v>
      </c>
      <c r="CE476" s="2004">
        <v>0</v>
      </c>
      <c r="CF476" s="2004">
        <v>0</v>
      </c>
      <c r="CG476" s="2004">
        <v>0</v>
      </c>
      <c r="CH476" s="2004">
        <v>0</v>
      </c>
      <c r="CI476" s="2004">
        <v>100</v>
      </c>
      <c r="CJ476" s="2004" t="s">
        <v>2337</v>
      </c>
      <c r="CK476" s="2004">
        <v>0</v>
      </c>
      <c r="CL476" s="2004">
        <v>0</v>
      </c>
      <c r="CM476" s="2004">
        <v>0</v>
      </c>
      <c r="CN476" s="2004">
        <v>0</v>
      </c>
      <c r="CP476" s="2004" t="s">
        <v>11854</v>
      </c>
    </row>
    <row r="477" spans="1:94">
      <c r="A477" s="2004" t="s">
        <v>9080</v>
      </c>
      <c r="B477" s="2004" t="s">
        <v>11855</v>
      </c>
      <c r="C477" s="2004" t="s">
        <v>9047</v>
      </c>
      <c r="D477" s="2004" t="s">
        <v>1629</v>
      </c>
      <c r="E477" s="2004" t="s">
        <v>9410</v>
      </c>
      <c r="F477" s="2004" t="s">
        <v>11850</v>
      </c>
      <c r="G477" s="2004" t="s">
        <v>7929</v>
      </c>
      <c r="H477" s="2004" t="s">
        <v>11856</v>
      </c>
      <c r="I477" s="2004" t="s">
        <v>11857</v>
      </c>
      <c r="J477" s="2004" t="s">
        <v>9230</v>
      </c>
      <c r="K477" s="2004"/>
      <c r="L477" s="2004"/>
      <c r="M477" s="2004"/>
      <c r="N477" s="2004" t="s">
        <v>9364</v>
      </c>
      <c r="O477" s="2004" t="s">
        <v>734</v>
      </c>
      <c r="P477" s="2004" t="s">
        <v>11858</v>
      </c>
      <c r="Q477" s="516">
        <v>0</v>
      </c>
      <c r="R477" s="2004" t="s">
        <v>9240</v>
      </c>
      <c r="S477" s="2004" t="s">
        <v>9863</v>
      </c>
      <c r="T477" s="2004">
        <v>100</v>
      </c>
      <c r="U477" s="2004">
        <v>100</v>
      </c>
      <c r="V477" s="2004">
        <v>100</v>
      </c>
      <c r="W477" s="2004">
        <v>100</v>
      </c>
      <c r="X477" s="2004">
        <v>100</v>
      </c>
      <c r="Y477" s="2004"/>
      <c r="Z477" s="2004"/>
      <c r="AA477" s="2004"/>
      <c r="AB477" s="2004"/>
      <c r="AC477" s="2004"/>
      <c r="AD477" s="2004"/>
      <c r="AE477" s="2004"/>
      <c r="AF477" s="2004" t="s">
        <v>2337</v>
      </c>
      <c r="AG477" s="2004"/>
      <c r="AH477" s="2004">
        <v>0</v>
      </c>
      <c r="AI477" s="2004"/>
      <c r="AJ477" s="2004"/>
      <c r="AK477" s="2004"/>
      <c r="AL477" s="2004"/>
      <c r="AM477" s="2004"/>
      <c r="AN477" s="2004"/>
      <c r="AO477" s="2004"/>
      <c r="AP477" s="2004"/>
      <c r="AQ477" s="2004"/>
      <c r="AR477" s="2004"/>
      <c r="AS477" s="2004"/>
      <c r="AT477" s="2004"/>
      <c r="AU477" s="2004"/>
      <c r="AV477" s="2004"/>
      <c r="AW477" s="2004"/>
      <c r="AX477" s="2004"/>
      <c r="AY477" s="2004"/>
      <c r="AZ477" s="2004"/>
      <c r="BA477" s="2004"/>
      <c r="BB477" s="2004"/>
      <c r="BC477" s="2004"/>
      <c r="BD477" s="2004"/>
      <c r="BE477" s="2004"/>
      <c r="BF477" s="2004"/>
      <c r="BG477" s="2004"/>
      <c r="BH477" s="2004"/>
      <c r="BI477" s="2004"/>
      <c r="BJ477" s="2004"/>
      <c r="BK477" s="2004"/>
      <c r="BL477" s="2004"/>
      <c r="BM477" s="2004"/>
      <c r="BN477" s="2004"/>
      <c r="BO477" s="2004"/>
      <c r="BP477" s="516">
        <v>98</v>
      </c>
      <c r="BQ477" s="689">
        <v>98</v>
      </c>
      <c r="BR477" s="2004" t="s">
        <v>2334</v>
      </c>
      <c r="BS477" s="2004" t="s">
        <v>9204</v>
      </c>
      <c r="BT477" s="2004">
        <v>0</v>
      </c>
      <c r="BU477" s="2004" t="s">
        <v>9204</v>
      </c>
      <c r="BV477" s="2004">
        <v>0</v>
      </c>
      <c r="BW477" s="2004">
        <v>98</v>
      </c>
      <c r="BX477" s="2004" t="s">
        <v>2334</v>
      </c>
      <c r="BY477" s="2004">
        <v>0</v>
      </c>
      <c r="BZ477" s="2004">
        <v>0</v>
      </c>
      <c r="CA477" s="2004">
        <v>0</v>
      </c>
      <c r="CB477" s="2004">
        <v>0</v>
      </c>
      <c r="CC477" s="2004">
        <v>96</v>
      </c>
      <c r="CD477" s="2004" t="s">
        <v>2334</v>
      </c>
      <c r="CE477" s="2004">
        <v>0</v>
      </c>
      <c r="CF477" s="2004">
        <v>0</v>
      </c>
      <c r="CG477" s="2004">
        <v>0</v>
      </c>
      <c r="CH477" s="2004">
        <v>0</v>
      </c>
      <c r="CI477" s="2004">
        <v>96</v>
      </c>
      <c r="CJ477" s="2004" t="s">
        <v>2334</v>
      </c>
      <c r="CK477" s="2004">
        <v>0</v>
      </c>
      <c r="CL477" s="2004">
        <v>0</v>
      </c>
      <c r="CM477" s="2004">
        <v>0</v>
      </c>
      <c r="CN477" s="2004">
        <v>0</v>
      </c>
      <c r="CP477" s="2004" t="s">
        <v>11859</v>
      </c>
    </row>
    <row r="478" spans="1:94" ht="25.5">
      <c r="A478" s="2004" t="s">
        <v>9080</v>
      </c>
      <c r="B478" s="2004" t="s">
        <v>11860</v>
      </c>
      <c r="C478" s="2004" t="s">
        <v>9047</v>
      </c>
      <c r="D478" s="2004" t="s">
        <v>1629</v>
      </c>
      <c r="E478" s="2004" t="s">
        <v>9410</v>
      </c>
      <c r="F478" s="2004" t="s">
        <v>11786</v>
      </c>
      <c r="G478" s="2004" t="s">
        <v>7930</v>
      </c>
      <c r="H478" s="2004" t="s">
        <v>11861</v>
      </c>
      <c r="I478" s="2004" t="s">
        <v>11862</v>
      </c>
      <c r="J478" s="2004" t="s">
        <v>9199</v>
      </c>
      <c r="K478" s="2004" t="s">
        <v>9200</v>
      </c>
      <c r="L478" s="2004"/>
      <c r="M478" s="2004" t="s">
        <v>2334</v>
      </c>
      <c r="N478" s="2004" t="s">
        <v>9450</v>
      </c>
      <c r="O478" s="2004" t="s">
        <v>9487</v>
      </c>
      <c r="P478" s="2004" t="s">
        <v>11863</v>
      </c>
      <c r="Q478" s="516" t="s">
        <v>9203</v>
      </c>
      <c r="R478" s="2004"/>
      <c r="S478" s="2004" t="s">
        <v>11864</v>
      </c>
      <c r="T478" s="2004" t="s">
        <v>11865</v>
      </c>
      <c r="U478" s="2004" t="s">
        <v>11865</v>
      </c>
      <c r="V478" s="2004" t="s">
        <v>11865</v>
      </c>
      <c r="W478" s="2004" t="s">
        <v>11865</v>
      </c>
      <c r="X478" s="2004" t="s">
        <v>11865</v>
      </c>
      <c r="Y478" s="2004"/>
      <c r="Z478" s="2004"/>
      <c r="AA478" s="2004"/>
      <c r="AB478" s="2004" t="s">
        <v>2337</v>
      </c>
      <c r="AC478" s="2004"/>
      <c r="AD478" s="2004"/>
      <c r="AE478" s="2004" t="s">
        <v>2337</v>
      </c>
      <c r="AF478" s="2004"/>
      <c r="AG478" s="2004"/>
      <c r="AH478" s="2004">
        <v>0</v>
      </c>
      <c r="AI478" s="2004" t="s">
        <v>2337</v>
      </c>
      <c r="AJ478" s="2004" t="s">
        <v>2337</v>
      </c>
      <c r="AK478" s="2004" t="s">
        <v>2337</v>
      </c>
      <c r="AL478" s="2004" t="s">
        <v>2337</v>
      </c>
      <c r="AM478" s="2004" t="s">
        <v>2337</v>
      </c>
      <c r="AN478" s="2004" t="s">
        <v>11866</v>
      </c>
      <c r="AO478" s="2004" t="s">
        <v>11866</v>
      </c>
      <c r="AP478" s="2004" t="s">
        <v>11866</v>
      </c>
      <c r="AQ478" s="2004" t="s">
        <v>11866</v>
      </c>
      <c r="AR478" s="2004" t="s">
        <v>11866</v>
      </c>
      <c r="AS478" s="2004" t="s">
        <v>11867</v>
      </c>
      <c r="AT478" s="2004" t="s">
        <v>11867</v>
      </c>
      <c r="AU478" s="2004" t="s">
        <v>11867</v>
      </c>
      <c r="AV478" s="2004" t="s">
        <v>11867</v>
      </c>
      <c r="AW478" s="2004" t="s">
        <v>11867</v>
      </c>
      <c r="AX478" s="2004" t="s">
        <v>11868</v>
      </c>
      <c r="AY478" s="2004" t="s">
        <v>11868</v>
      </c>
      <c r="AZ478" s="2004" t="s">
        <v>11868</v>
      </c>
      <c r="BA478" s="2004" t="s">
        <v>11868</v>
      </c>
      <c r="BB478" s="2004" t="s">
        <v>11868</v>
      </c>
      <c r="BC478" s="2004" t="s">
        <v>11869</v>
      </c>
      <c r="BD478" s="2004" t="s">
        <v>11869</v>
      </c>
      <c r="BE478" s="2004" t="s">
        <v>11869</v>
      </c>
      <c r="BF478" s="2004" t="s">
        <v>11869</v>
      </c>
      <c r="BG478" s="2004" t="s">
        <v>11869</v>
      </c>
      <c r="BH478" s="2004">
        <v>5.9</v>
      </c>
      <c r="BI478" s="2004"/>
      <c r="BJ478" s="2004"/>
      <c r="BK478" s="2004"/>
      <c r="BL478" s="2004">
        <v>0.19</v>
      </c>
      <c r="BM478" s="2004"/>
      <c r="BN478" s="2004">
        <v>1</v>
      </c>
      <c r="BO478" s="2004" t="s">
        <v>9203</v>
      </c>
      <c r="BP478" s="516" t="s">
        <v>11870</v>
      </c>
      <c r="BQ478" s="688" t="s">
        <v>11864</v>
      </c>
      <c r="BR478" s="2004" t="s">
        <v>2337</v>
      </c>
      <c r="BS478" s="2004" t="s">
        <v>9204</v>
      </c>
      <c r="BT478" s="2004">
        <v>0</v>
      </c>
      <c r="BU478" s="2004" t="s">
        <v>9204</v>
      </c>
      <c r="BV478" s="2004">
        <v>0</v>
      </c>
      <c r="BW478" s="2004" t="s">
        <v>11864</v>
      </c>
      <c r="BX478" s="2004" t="s">
        <v>2337</v>
      </c>
      <c r="BY478" s="2004">
        <v>0</v>
      </c>
      <c r="BZ478" s="2004">
        <v>0</v>
      </c>
      <c r="CA478" s="2004">
        <v>0</v>
      </c>
      <c r="CB478" s="2004">
        <v>0</v>
      </c>
      <c r="CC478" s="2004" t="s">
        <v>11864</v>
      </c>
      <c r="CD478" s="2004" t="s">
        <v>2337</v>
      </c>
      <c r="CE478" s="2004">
        <v>0</v>
      </c>
      <c r="CF478" s="2004">
        <v>0</v>
      </c>
      <c r="CG478" s="2004" t="s">
        <v>9074</v>
      </c>
      <c r="CH478" s="2004">
        <v>0</v>
      </c>
      <c r="CI478" s="2004" t="s">
        <v>11871</v>
      </c>
      <c r="CJ478" s="2004" t="s">
        <v>2334</v>
      </c>
      <c r="CK478" s="2004">
        <v>0</v>
      </c>
      <c r="CL478" s="2004">
        <v>0</v>
      </c>
      <c r="CM478" s="2004" t="s">
        <v>2340</v>
      </c>
      <c r="CN478" s="2004">
        <v>0</v>
      </c>
      <c r="CP478" s="2004" t="s">
        <v>11872</v>
      </c>
    </row>
    <row r="479" spans="1:94">
      <c r="A479" s="2004" t="s">
        <v>9080</v>
      </c>
      <c r="B479" s="2004" t="s">
        <v>11873</v>
      </c>
      <c r="C479" s="2004" t="s">
        <v>9047</v>
      </c>
      <c r="D479" s="2004" t="s">
        <v>1629</v>
      </c>
      <c r="E479" s="2004" t="s">
        <v>9410</v>
      </c>
      <c r="F479" s="2004" t="s">
        <v>11786</v>
      </c>
      <c r="G479" s="2004" t="s">
        <v>7931</v>
      </c>
      <c r="H479" s="2004" t="s">
        <v>11874</v>
      </c>
      <c r="I479" s="2004" t="s">
        <v>11875</v>
      </c>
      <c r="J479" s="2004" t="s">
        <v>9210</v>
      </c>
      <c r="K479" s="2004" t="s">
        <v>9545</v>
      </c>
      <c r="L479" s="2004"/>
      <c r="M479" s="2004"/>
      <c r="N479" s="2004" t="s">
        <v>9364</v>
      </c>
      <c r="O479" s="2004" t="s">
        <v>734</v>
      </c>
      <c r="P479" s="2004" t="s">
        <v>11876</v>
      </c>
      <c r="Q479" s="516">
        <v>0</v>
      </c>
      <c r="R479" s="2004" t="s">
        <v>9240</v>
      </c>
      <c r="S479" s="2004">
        <v>33</v>
      </c>
      <c r="T479" s="2004">
        <v>40</v>
      </c>
      <c r="U479" s="2004">
        <v>40</v>
      </c>
      <c r="V479" s="2004">
        <v>43</v>
      </c>
      <c r="W479" s="2004">
        <v>43</v>
      </c>
      <c r="X479" s="2004">
        <v>100</v>
      </c>
      <c r="Y479" s="2004"/>
      <c r="Z479" s="2004"/>
      <c r="AA479" s="2004"/>
      <c r="AB479" s="2004"/>
      <c r="AC479" s="2004"/>
      <c r="AD479" s="2004"/>
      <c r="AE479" s="2004"/>
      <c r="AF479" s="2004" t="s">
        <v>2337</v>
      </c>
      <c r="AG479" s="2004"/>
      <c r="AH479" s="2004">
        <v>0</v>
      </c>
      <c r="AI479" s="2004" t="s">
        <v>2337</v>
      </c>
      <c r="AJ479" s="2004" t="s">
        <v>2337</v>
      </c>
      <c r="AK479" s="2004" t="s">
        <v>2337</v>
      </c>
      <c r="AL479" s="2004" t="s">
        <v>2337</v>
      </c>
      <c r="AM479" s="2004" t="s">
        <v>2337</v>
      </c>
      <c r="AN479" s="2004">
        <v>33</v>
      </c>
      <c r="AO479" s="2004">
        <v>33</v>
      </c>
      <c r="AP479" s="2004">
        <v>33</v>
      </c>
      <c r="AQ479" s="2004">
        <v>33</v>
      </c>
      <c r="AR479" s="2004">
        <v>33</v>
      </c>
      <c r="AS479" s="2004">
        <v>40</v>
      </c>
      <c r="AT479" s="2004">
        <v>40</v>
      </c>
      <c r="AU479" s="2004">
        <v>43</v>
      </c>
      <c r="AV479" s="2004">
        <v>43</v>
      </c>
      <c r="AW479" s="2004">
        <v>100</v>
      </c>
      <c r="AX479" s="2004"/>
      <c r="AY479" s="2004"/>
      <c r="AZ479" s="2004"/>
      <c r="BA479" s="2004"/>
      <c r="BB479" s="2004"/>
      <c r="BC479" s="2004"/>
      <c r="BD479" s="2004"/>
      <c r="BE479" s="2004"/>
      <c r="BF479" s="2004"/>
      <c r="BG479" s="2004"/>
      <c r="BH479" s="2004">
        <v>0.01</v>
      </c>
      <c r="BI479" s="2004"/>
      <c r="BJ479" s="2004"/>
      <c r="BK479" s="2004"/>
      <c r="BL479" s="2004"/>
      <c r="BM479" s="2004"/>
      <c r="BN479" s="2004">
        <v>1</v>
      </c>
      <c r="BO479" s="2004" t="s">
        <v>9203</v>
      </c>
      <c r="BP479" s="516">
        <v>39</v>
      </c>
      <c r="BQ479" s="689">
        <v>46</v>
      </c>
      <c r="BR479" s="2004" t="s">
        <v>2337</v>
      </c>
      <c r="BS479" s="2004" t="s">
        <v>9204</v>
      </c>
      <c r="BT479" s="2004">
        <v>0</v>
      </c>
      <c r="BU479" s="2004" t="s">
        <v>9204</v>
      </c>
      <c r="BV479" s="2004">
        <v>0</v>
      </c>
      <c r="BW479" s="2004">
        <v>50</v>
      </c>
      <c r="BX479" s="2004" t="s">
        <v>2337</v>
      </c>
      <c r="BY479" s="2004">
        <v>0</v>
      </c>
      <c r="BZ479" s="2004">
        <v>0</v>
      </c>
      <c r="CA479" s="2004">
        <v>0</v>
      </c>
      <c r="CB479" s="2004">
        <v>0</v>
      </c>
      <c r="CC479" s="2004">
        <v>60</v>
      </c>
      <c r="CD479" s="2004" t="s">
        <v>2337</v>
      </c>
      <c r="CE479" s="2004">
        <v>0</v>
      </c>
      <c r="CF479" s="2004">
        <v>0</v>
      </c>
      <c r="CG479" s="2004">
        <v>0</v>
      </c>
      <c r="CH479" s="2004">
        <v>0</v>
      </c>
      <c r="CI479" s="2004">
        <v>80</v>
      </c>
      <c r="CJ479" s="2004" t="s">
        <v>2337</v>
      </c>
      <c r="CK479" s="2004">
        <v>0</v>
      </c>
      <c r="CL479" s="2004">
        <v>0</v>
      </c>
      <c r="CM479" s="2004">
        <v>0</v>
      </c>
      <c r="CN479" s="2004">
        <v>0</v>
      </c>
      <c r="CP479" s="2004" t="s">
        <v>11877</v>
      </c>
    </row>
    <row r="480" spans="1:94">
      <c r="A480" s="2004" t="s">
        <v>9080</v>
      </c>
      <c r="B480" s="2004" t="s">
        <v>11878</v>
      </c>
      <c r="C480" s="2004" t="s">
        <v>9047</v>
      </c>
      <c r="D480" s="2004" t="s">
        <v>1629</v>
      </c>
      <c r="E480" s="2004" t="s">
        <v>9410</v>
      </c>
      <c r="F480" s="2004" t="s">
        <v>11786</v>
      </c>
      <c r="G480" s="2004" t="s">
        <v>3020</v>
      </c>
      <c r="H480" s="2004" t="s">
        <v>11879</v>
      </c>
      <c r="I480" s="2004" t="s">
        <v>11880</v>
      </c>
      <c r="J480" s="2004" t="s">
        <v>9199</v>
      </c>
      <c r="K480" s="2004" t="s">
        <v>9200</v>
      </c>
      <c r="L480" s="2004"/>
      <c r="M480" s="2004"/>
      <c r="N480" s="2004" t="s">
        <v>9364</v>
      </c>
      <c r="O480" s="2004" t="s">
        <v>766</v>
      </c>
      <c r="P480" s="2004" t="s">
        <v>11881</v>
      </c>
      <c r="Q480" s="516">
        <v>0</v>
      </c>
      <c r="R480" s="2004" t="s">
        <v>9240</v>
      </c>
      <c r="S480" s="2004">
        <v>0</v>
      </c>
      <c r="T480" s="2004">
        <v>0</v>
      </c>
      <c r="U480" s="2004">
        <v>0</v>
      </c>
      <c r="V480" s="2004">
        <v>8</v>
      </c>
      <c r="W480" s="2004">
        <v>11</v>
      </c>
      <c r="X480" s="2004">
        <v>70</v>
      </c>
      <c r="Y480" s="2004"/>
      <c r="Z480" s="2004"/>
      <c r="AA480" s="2004"/>
      <c r="AB480" s="2004"/>
      <c r="AC480" s="2004"/>
      <c r="AD480" s="2004"/>
      <c r="AE480" s="2004"/>
      <c r="AF480" s="2004" t="s">
        <v>2337</v>
      </c>
      <c r="AG480" s="2004"/>
      <c r="AH480" s="2004">
        <v>0</v>
      </c>
      <c r="AI480" s="2004"/>
      <c r="AJ480" s="2004"/>
      <c r="AK480" s="2004"/>
      <c r="AL480" s="2004"/>
      <c r="AM480" s="2004" t="s">
        <v>2337</v>
      </c>
      <c r="AN480" s="2004"/>
      <c r="AO480" s="2004"/>
      <c r="AP480" s="2004"/>
      <c r="AQ480" s="2004"/>
      <c r="AR480" s="2004">
        <v>0</v>
      </c>
      <c r="AS480" s="2004"/>
      <c r="AT480" s="2004"/>
      <c r="AU480" s="2004"/>
      <c r="AV480" s="2004"/>
      <c r="AW480" s="2004">
        <v>70</v>
      </c>
      <c r="AX480" s="2004"/>
      <c r="AY480" s="2004"/>
      <c r="AZ480" s="2004"/>
      <c r="BA480" s="2004"/>
      <c r="BB480" s="2004">
        <v>70</v>
      </c>
      <c r="BC480" s="2004"/>
      <c r="BD480" s="2004"/>
      <c r="BE480" s="2004"/>
      <c r="BF480" s="2004"/>
      <c r="BG480" s="2004">
        <v>131</v>
      </c>
      <c r="BH480" s="2004">
        <v>1.6739999999999999</v>
      </c>
      <c r="BI480" s="2004"/>
      <c r="BJ480" s="2004"/>
      <c r="BK480" s="2004"/>
      <c r="BL480" s="2004">
        <v>1.29</v>
      </c>
      <c r="BM480" s="2004"/>
      <c r="BN480" s="2004">
        <v>1</v>
      </c>
      <c r="BO480" s="2004" t="s">
        <v>9203</v>
      </c>
      <c r="BP480" s="516">
        <v>0</v>
      </c>
      <c r="BQ480" s="689">
        <v>0</v>
      </c>
      <c r="BR480" s="2004" t="s">
        <v>2337</v>
      </c>
      <c r="BS480" s="2004" t="s">
        <v>9204</v>
      </c>
      <c r="BT480" s="2004">
        <v>0</v>
      </c>
      <c r="BU480" s="2004" t="s">
        <v>9204</v>
      </c>
      <c r="BV480" s="2004">
        <v>0</v>
      </c>
      <c r="BW480" s="2004">
        <v>8</v>
      </c>
      <c r="BX480" s="2004" t="s">
        <v>2337</v>
      </c>
      <c r="BY480" s="2004">
        <v>0</v>
      </c>
      <c r="BZ480" s="2004">
        <v>0</v>
      </c>
      <c r="CA480" s="2004">
        <v>0</v>
      </c>
      <c r="CB480" s="2004">
        <v>0</v>
      </c>
      <c r="CC480" s="2004">
        <v>23</v>
      </c>
      <c r="CD480" s="2004" t="s">
        <v>2337</v>
      </c>
      <c r="CE480" s="2004">
        <v>0</v>
      </c>
      <c r="CF480" s="2004">
        <v>0</v>
      </c>
      <c r="CG480" s="2004">
        <v>0</v>
      </c>
      <c r="CH480" s="2004">
        <v>0</v>
      </c>
      <c r="CI480" s="2004">
        <v>38</v>
      </c>
      <c r="CJ480" s="2004" t="s">
        <v>2337</v>
      </c>
      <c r="CK480" s="2004">
        <v>0</v>
      </c>
      <c r="CL480" s="2004">
        <v>0</v>
      </c>
      <c r="CM480" s="2004">
        <v>0</v>
      </c>
      <c r="CN480" s="2004">
        <v>0</v>
      </c>
      <c r="CP480" s="2004" t="s">
        <v>11882</v>
      </c>
    </row>
    <row r="481" spans="1:94">
      <c r="A481" s="2004" t="s">
        <v>9080</v>
      </c>
      <c r="B481" s="2004" t="s">
        <v>11883</v>
      </c>
      <c r="C481" s="2004" t="s">
        <v>9047</v>
      </c>
      <c r="D481" s="2004" t="s">
        <v>1629</v>
      </c>
      <c r="E481" s="2004" t="s">
        <v>9410</v>
      </c>
      <c r="F481" s="2004" t="s">
        <v>11884</v>
      </c>
      <c r="G481" s="2004" t="s">
        <v>8948</v>
      </c>
      <c r="H481" s="2004" t="s">
        <v>11885</v>
      </c>
      <c r="I481" s="2004" t="s">
        <v>11886</v>
      </c>
      <c r="J481" s="2004" t="s">
        <v>9199</v>
      </c>
      <c r="K481" s="2004" t="s">
        <v>9200</v>
      </c>
      <c r="L481" s="2004"/>
      <c r="M481" s="2004"/>
      <c r="N481" s="2004" t="s">
        <v>9414</v>
      </c>
      <c r="O481" s="2004" t="s">
        <v>766</v>
      </c>
      <c r="P481" s="2004" t="s">
        <v>11887</v>
      </c>
      <c r="Q481" s="516">
        <v>2</v>
      </c>
      <c r="R481" s="2004" t="s">
        <v>9202</v>
      </c>
      <c r="S481" s="2004">
        <v>1.77</v>
      </c>
      <c r="T481" s="2004">
        <v>1.75</v>
      </c>
      <c r="U481" s="2004">
        <v>1.72</v>
      </c>
      <c r="V481" s="2004">
        <v>1.7</v>
      </c>
      <c r="W481" s="2004">
        <v>1.68</v>
      </c>
      <c r="X481" s="2004">
        <v>1.66</v>
      </c>
      <c r="Y481" s="2004"/>
      <c r="Z481" s="2004"/>
      <c r="AA481" s="2004"/>
      <c r="AB481" s="2004"/>
      <c r="AC481" s="2004" t="s">
        <v>2337</v>
      </c>
      <c r="AD481" s="2004"/>
      <c r="AE481" s="2004" t="s">
        <v>2337</v>
      </c>
      <c r="AF481" s="2004"/>
      <c r="AG481" s="2004"/>
      <c r="AH481" s="2004">
        <v>0</v>
      </c>
      <c r="AI481" s="2004" t="s">
        <v>2337</v>
      </c>
      <c r="AJ481" s="2004" t="s">
        <v>2337</v>
      </c>
      <c r="AK481" s="2004" t="s">
        <v>2337</v>
      </c>
      <c r="AL481" s="2004" t="s">
        <v>2337</v>
      </c>
      <c r="AM481" s="2004" t="s">
        <v>2337</v>
      </c>
      <c r="AN481" s="2004">
        <v>2.0699999999999998</v>
      </c>
      <c r="AO481" s="2004">
        <v>2.04</v>
      </c>
      <c r="AP481" s="2004">
        <v>2.02</v>
      </c>
      <c r="AQ481" s="2004">
        <v>2</v>
      </c>
      <c r="AR481" s="2004">
        <v>1.98</v>
      </c>
      <c r="AS481" s="2004">
        <v>1.95</v>
      </c>
      <c r="AT481" s="2004">
        <v>1.92</v>
      </c>
      <c r="AU481" s="2004">
        <v>1.9</v>
      </c>
      <c r="AV481" s="2004">
        <v>1.88</v>
      </c>
      <c r="AW481" s="2004">
        <v>1.86</v>
      </c>
      <c r="AX481" s="2004">
        <v>1.61</v>
      </c>
      <c r="AY481" s="2004">
        <v>1.59</v>
      </c>
      <c r="AZ481" s="2004">
        <v>1.57</v>
      </c>
      <c r="BA481" s="2004">
        <v>1.55</v>
      </c>
      <c r="BB481" s="2004">
        <v>1.53</v>
      </c>
      <c r="BC481" s="2004">
        <v>1.35</v>
      </c>
      <c r="BD481" s="2004">
        <v>1.32</v>
      </c>
      <c r="BE481" s="2004">
        <v>1.3</v>
      </c>
      <c r="BF481" s="2004">
        <v>1.28</v>
      </c>
      <c r="BG481" s="2004">
        <v>1.26</v>
      </c>
      <c r="BH481" s="2004">
        <v>0.31510500000000002</v>
      </c>
      <c r="BI481" s="2004"/>
      <c r="BJ481" s="2004"/>
      <c r="BK481" s="2004"/>
      <c r="BL481" s="2004">
        <v>0.20399999999999999</v>
      </c>
      <c r="BM481" s="2004"/>
      <c r="BN481" s="2004">
        <v>100</v>
      </c>
      <c r="BO481" s="2004" t="s">
        <v>11888</v>
      </c>
      <c r="BP481" s="516">
        <v>1.1499999999999999</v>
      </c>
      <c r="BQ481" s="690">
        <v>1.36</v>
      </c>
      <c r="BR481" s="2004" t="s">
        <v>2337</v>
      </c>
      <c r="BS481" s="2004" t="s">
        <v>9204</v>
      </c>
      <c r="BT481" s="2004">
        <v>0</v>
      </c>
      <c r="BU481" s="2004" t="s">
        <v>2339</v>
      </c>
      <c r="BV481" s="2004">
        <v>5.0999999999999996</v>
      </c>
      <c r="BW481" s="2004">
        <v>1.2</v>
      </c>
      <c r="BX481" s="2004" t="s">
        <v>2337</v>
      </c>
      <c r="BY481" s="2004">
        <v>0</v>
      </c>
      <c r="BZ481" s="2004">
        <v>0</v>
      </c>
      <c r="CA481" s="2004" t="s">
        <v>2339</v>
      </c>
      <c r="CB481" s="2004">
        <v>5.508</v>
      </c>
      <c r="CC481" s="2004">
        <v>1.21</v>
      </c>
      <c r="CD481" s="2004" t="s">
        <v>2337</v>
      </c>
      <c r="CE481" s="2004">
        <v>0</v>
      </c>
      <c r="CF481" s="2004">
        <v>0</v>
      </c>
      <c r="CG481" s="2004" t="s">
        <v>2339</v>
      </c>
      <c r="CH481" s="2004">
        <v>5.508</v>
      </c>
      <c r="CI481" s="2004">
        <v>1.43</v>
      </c>
      <c r="CJ481" s="2004" t="s">
        <v>2337</v>
      </c>
      <c r="CK481" s="2004">
        <v>0</v>
      </c>
      <c r="CL481" s="2004">
        <v>0</v>
      </c>
      <c r="CM481" s="2004" t="s">
        <v>2339</v>
      </c>
      <c r="CN481" s="2004">
        <v>2.448</v>
      </c>
      <c r="CP481" s="2004" t="s">
        <v>11889</v>
      </c>
    </row>
    <row r="482" spans="1:94">
      <c r="A482" s="2004" t="s">
        <v>9080</v>
      </c>
      <c r="B482" s="2004" t="s">
        <v>11890</v>
      </c>
      <c r="C482" s="2004" t="s">
        <v>9047</v>
      </c>
      <c r="D482" s="2004" t="s">
        <v>1629</v>
      </c>
      <c r="E482" s="2004" t="s">
        <v>9410</v>
      </c>
      <c r="F482" s="2004" t="s">
        <v>11884</v>
      </c>
      <c r="G482" s="2004" t="s">
        <v>8951</v>
      </c>
      <c r="H482" s="2004" t="s">
        <v>11891</v>
      </c>
      <c r="I482" s="2004" t="s">
        <v>11892</v>
      </c>
      <c r="J482" s="2004" t="s">
        <v>9199</v>
      </c>
      <c r="K482" s="2004" t="s">
        <v>9545</v>
      </c>
      <c r="L482" s="2004"/>
      <c r="M482" s="2004" t="s">
        <v>2334</v>
      </c>
      <c r="N482" s="2004" t="s">
        <v>9414</v>
      </c>
      <c r="O482" s="2004" t="s">
        <v>766</v>
      </c>
      <c r="P482" s="2004" t="s">
        <v>11893</v>
      </c>
      <c r="Q482" s="516">
        <v>0</v>
      </c>
      <c r="R482" s="2004" t="s">
        <v>9202</v>
      </c>
      <c r="S482" s="2004">
        <v>50000</v>
      </c>
      <c r="T482" s="2004">
        <v>50651</v>
      </c>
      <c r="U482" s="2004">
        <v>50651</v>
      </c>
      <c r="V482" s="2004">
        <v>50651</v>
      </c>
      <c r="W482" s="2004">
        <v>50651</v>
      </c>
      <c r="X482" s="2004">
        <v>50651</v>
      </c>
      <c r="Y482" s="2004"/>
      <c r="Z482" s="2004"/>
      <c r="AA482" s="2004"/>
      <c r="AB482" s="2004"/>
      <c r="AC482" s="2004"/>
      <c r="AD482" s="2004"/>
      <c r="AE482" s="2004" t="s">
        <v>2337</v>
      </c>
      <c r="AF482" s="2004"/>
      <c r="AG482" s="2004"/>
      <c r="AH482" s="2004">
        <v>0</v>
      </c>
      <c r="AI482" s="2004" t="s">
        <v>2337</v>
      </c>
      <c r="AJ482" s="2004" t="s">
        <v>2337</v>
      </c>
      <c r="AK482" s="2004" t="s">
        <v>2337</v>
      </c>
      <c r="AL482" s="2004" t="s">
        <v>2337</v>
      </c>
      <c r="AM482" s="2004" t="s">
        <v>2337</v>
      </c>
      <c r="AN482" s="2004" t="s">
        <v>11894</v>
      </c>
      <c r="AO482" s="2004" t="s">
        <v>11894</v>
      </c>
      <c r="AP482" s="2004" t="s">
        <v>11894</v>
      </c>
      <c r="AQ482" s="2004" t="s">
        <v>11894</v>
      </c>
      <c r="AR482" s="2004" t="s">
        <v>11894</v>
      </c>
      <c r="AS482" s="2004">
        <v>60781</v>
      </c>
      <c r="AT482" s="2004">
        <v>60781</v>
      </c>
      <c r="AU482" s="2004">
        <v>60781</v>
      </c>
      <c r="AV482" s="2004">
        <v>60781</v>
      </c>
      <c r="AW482" s="2004">
        <v>60781</v>
      </c>
      <c r="AX482" s="2004">
        <v>40521</v>
      </c>
      <c r="AY482" s="2004">
        <v>40521</v>
      </c>
      <c r="AZ482" s="2004">
        <v>40521</v>
      </c>
      <c r="BA482" s="2004">
        <v>40521</v>
      </c>
      <c r="BB482" s="2004">
        <v>40521</v>
      </c>
      <c r="BC482" s="2004">
        <v>0</v>
      </c>
      <c r="BD482" s="2004">
        <v>0</v>
      </c>
      <c r="BE482" s="2004">
        <v>0</v>
      </c>
      <c r="BF482" s="2004">
        <v>0</v>
      </c>
      <c r="BG482" s="2004">
        <v>0</v>
      </c>
      <c r="BH482" s="2004">
        <v>10.4</v>
      </c>
      <c r="BI482" s="2004"/>
      <c r="BJ482" s="2004"/>
      <c r="BK482" s="2004"/>
      <c r="BL482" s="2004">
        <v>7.4000000000000003E-3</v>
      </c>
      <c r="BM482" s="2004"/>
      <c r="BN482" s="2004">
        <v>1</v>
      </c>
      <c r="BO482" s="2004" t="s">
        <v>9203</v>
      </c>
      <c r="BP482" s="516">
        <v>50651</v>
      </c>
      <c r="BQ482" s="689">
        <v>51509</v>
      </c>
      <c r="BR482" s="2004" t="s">
        <v>2334</v>
      </c>
      <c r="BS482" s="2004" t="s">
        <v>9204</v>
      </c>
      <c r="BT482" s="2004">
        <v>0</v>
      </c>
      <c r="BU482" s="2004" t="s">
        <v>9120</v>
      </c>
      <c r="BV482" s="2004">
        <v>0</v>
      </c>
      <c r="BW482" s="2004">
        <v>51125</v>
      </c>
      <c r="BX482" s="2004" t="s">
        <v>2334</v>
      </c>
      <c r="BY482" s="2004">
        <v>0</v>
      </c>
      <c r="BZ482" s="2004">
        <v>0</v>
      </c>
      <c r="CA482" s="2004" t="s">
        <v>9120</v>
      </c>
      <c r="CB482" s="2004">
        <v>0</v>
      </c>
      <c r="CC482" s="2004">
        <v>49796</v>
      </c>
      <c r="CD482" s="2004" t="s">
        <v>2337</v>
      </c>
      <c r="CE482" s="2004">
        <v>0</v>
      </c>
      <c r="CF482" s="2004">
        <v>0</v>
      </c>
      <c r="CG482" s="2004" t="s">
        <v>9074</v>
      </c>
      <c r="CH482" s="2004">
        <v>0</v>
      </c>
      <c r="CI482" s="2004">
        <v>50176</v>
      </c>
      <c r="CJ482" s="2004" t="s">
        <v>2337</v>
      </c>
      <c r="CK482" s="2004">
        <v>0</v>
      </c>
      <c r="CL482" s="2004">
        <v>0</v>
      </c>
      <c r="CM482" s="2004" t="s">
        <v>9074</v>
      </c>
      <c r="CN482" s="2004">
        <v>0</v>
      </c>
      <c r="CP482" s="2004" t="s">
        <v>11895</v>
      </c>
    </row>
    <row r="483" spans="1:94">
      <c r="A483" s="2004" t="s">
        <v>9080</v>
      </c>
      <c r="B483" s="2004" t="s">
        <v>11896</v>
      </c>
      <c r="C483" s="2004" t="s">
        <v>9047</v>
      </c>
      <c r="D483" s="2004" t="s">
        <v>1629</v>
      </c>
      <c r="E483" s="2004" t="s">
        <v>9410</v>
      </c>
      <c r="F483" s="2004" t="s">
        <v>11884</v>
      </c>
      <c r="G483" s="2004" t="s">
        <v>11897</v>
      </c>
      <c r="H483" s="2004" t="s">
        <v>11898</v>
      </c>
      <c r="I483" s="2004" t="s">
        <v>11899</v>
      </c>
      <c r="J483" s="2004" t="s">
        <v>9210</v>
      </c>
      <c r="K483" s="2004" t="s">
        <v>9545</v>
      </c>
      <c r="L483" s="2004"/>
      <c r="M483" s="2004" t="s">
        <v>2334</v>
      </c>
      <c r="N483" s="2004" t="s">
        <v>9414</v>
      </c>
      <c r="O483" s="2004" t="s">
        <v>9487</v>
      </c>
      <c r="P483" s="2004" t="s">
        <v>11900</v>
      </c>
      <c r="Q483" s="516" t="s">
        <v>9203</v>
      </c>
      <c r="R483" s="2004"/>
      <c r="S483" s="2004"/>
      <c r="T483" s="2004"/>
      <c r="U483" s="2004"/>
      <c r="V483" s="2004"/>
      <c r="W483" s="2004"/>
      <c r="X483" s="2004" t="s">
        <v>9979</v>
      </c>
      <c r="Y483" s="2004"/>
      <c r="Z483" s="2004"/>
      <c r="AA483" s="2004"/>
      <c r="AB483" s="2004"/>
      <c r="AC483" s="2004"/>
      <c r="AD483" s="2004" t="s">
        <v>2337</v>
      </c>
      <c r="AE483" s="2004" t="s">
        <v>2337</v>
      </c>
      <c r="AF483" s="2004"/>
      <c r="AG483" s="2004"/>
      <c r="AH483" s="2004">
        <v>0</v>
      </c>
      <c r="AI483" s="2004"/>
      <c r="AJ483" s="2004"/>
      <c r="AK483" s="2004"/>
      <c r="AL483" s="2004"/>
      <c r="AM483" s="2004" t="s">
        <v>2337</v>
      </c>
      <c r="AN483" s="2004"/>
      <c r="AO483" s="2004"/>
      <c r="AP483" s="2004"/>
      <c r="AQ483" s="2004"/>
      <c r="AR483" s="2004"/>
      <c r="AS483" s="2004"/>
      <c r="AT483" s="2004"/>
      <c r="AU483" s="2004"/>
      <c r="AV483" s="2004"/>
      <c r="AW483" s="2004"/>
      <c r="AX483" s="2004"/>
      <c r="AY483" s="2004"/>
      <c r="AZ483" s="2004"/>
      <c r="BA483" s="2004"/>
      <c r="BB483" s="2004"/>
      <c r="BC483" s="2004"/>
      <c r="BD483" s="2004"/>
      <c r="BE483" s="2004"/>
      <c r="BF483" s="2004"/>
      <c r="BG483" s="2004"/>
      <c r="BH483" s="2004">
        <v>1.86</v>
      </c>
      <c r="BI483" s="2004">
        <v>24.917000000000002</v>
      </c>
      <c r="BJ483" s="2004"/>
      <c r="BK483" s="2004"/>
      <c r="BL483" s="2004"/>
      <c r="BM483" s="2004"/>
      <c r="BN483" s="2004">
        <v>1</v>
      </c>
      <c r="BO483" s="2004" t="s">
        <v>9203</v>
      </c>
      <c r="BP483" s="516" t="s">
        <v>2335</v>
      </c>
      <c r="BQ483" s="688" t="s">
        <v>2335</v>
      </c>
      <c r="BR483" s="2004" t="s">
        <v>2337</v>
      </c>
      <c r="BS483" s="2004" t="s">
        <v>9204</v>
      </c>
      <c r="BT483" s="2004">
        <v>0</v>
      </c>
      <c r="BU483" s="2004" t="s">
        <v>9204</v>
      </c>
      <c r="BV483" s="2004">
        <v>0</v>
      </c>
      <c r="BW483" s="2004" t="s">
        <v>2335</v>
      </c>
      <c r="BX483" s="2004" t="s">
        <v>2335</v>
      </c>
      <c r="BY483" s="2004">
        <v>0</v>
      </c>
      <c r="BZ483" s="2004">
        <v>0</v>
      </c>
      <c r="CA483" s="2004">
        <v>0</v>
      </c>
      <c r="CB483" s="2004">
        <v>0</v>
      </c>
      <c r="CC483" s="2004" t="s">
        <v>2335</v>
      </c>
      <c r="CD483" s="2004" t="s">
        <v>2335</v>
      </c>
      <c r="CE483" s="2004">
        <v>0</v>
      </c>
      <c r="CF483" s="2004">
        <v>0</v>
      </c>
      <c r="CG483" s="2004">
        <v>0</v>
      </c>
      <c r="CH483" s="2004">
        <v>0</v>
      </c>
      <c r="CI483" s="2004" t="s">
        <v>9682</v>
      </c>
      <c r="CJ483" s="2004" t="s">
        <v>2337</v>
      </c>
      <c r="CK483" s="2004">
        <v>0</v>
      </c>
      <c r="CL483" s="2004">
        <v>0</v>
      </c>
      <c r="CM483" s="2004">
        <v>0</v>
      </c>
      <c r="CN483" s="2004">
        <v>0</v>
      </c>
      <c r="CP483" s="2004" t="s">
        <v>11901</v>
      </c>
    </row>
    <row r="484" spans="1:94">
      <c r="A484" s="2004" t="s">
        <v>9080</v>
      </c>
      <c r="B484" s="2004" t="s">
        <v>11902</v>
      </c>
      <c r="C484" s="2004" t="s">
        <v>9047</v>
      </c>
      <c r="D484" s="2004" t="s">
        <v>1629</v>
      </c>
      <c r="E484" s="2004" t="s">
        <v>9410</v>
      </c>
      <c r="F484" s="2004" t="s">
        <v>11884</v>
      </c>
      <c r="G484" s="2004" t="s">
        <v>11903</v>
      </c>
      <c r="H484" s="2004" t="s">
        <v>11904</v>
      </c>
      <c r="I484" s="2004" t="s">
        <v>11905</v>
      </c>
      <c r="J484" s="2004" t="s">
        <v>9210</v>
      </c>
      <c r="K484" s="2004" t="s">
        <v>9545</v>
      </c>
      <c r="L484" s="2004"/>
      <c r="M484" s="2004" t="s">
        <v>2334</v>
      </c>
      <c r="N484" s="2004" t="s">
        <v>9414</v>
      </c>
      <c r="O484" s="2004" t="s">
        <v>9487</v>
      </c>
      <c r="P484" s="2004" t="s">
        <v>11906</v>
      </c>
      <c r="Q484" s="516" t="s">
        <v>9203</v>
      </c>
      <c r="R484" s="2004"/>
      <c r="S484" s="2004"/>
      <c r="T484" s="2004"/>
      <c r="U484" s="2004"/>
      <c r="V484" s="2004" t="s">
        <v>9689</v>
      </c>
      <c r="W484" s="2004"/>
      <c r="X484" s="2004"/>
      <c r="Y484" s="2004"/>
      <c r="Z484" s="2004"/>
      <c r="AA484" s="2004"/>
      <c r="AB484" s="2004"/>
      <c r="AC484" s="2004"/>
      <c r="AD484" s="2004" t="s">
        <v>2337</v>
      </c>
      <c r="AE484" s="2004" t="s">
        <v>2337</v>
      </c>
      <c r="AF484" s="2004"/>
      <c r="AG484" s="2004"/>
      <c r="AH484" s="2004">
        <v>0</v>
      </c>
      <c r="AI484" s="2004"/>
      <c r="AJ484" s="2004"/>
      <c r="AK484" s="2004" t="s">
        <v>2337</v>
      </c>
      <c r="AL484" s="2004" t="s">
        <v>2337</v>
      </c>
      <c r="AM484" s="2004" t="s">
        <v>2337</v>
      </c>
      <c r="AN484" s="2004"/>
      <c r="AO484" s="2004"/>
      <c r="AP484" s="2004"/>
      <c r="AQ484" s="2004"/>
      <c r="AR484" s="2004"/>
      <c r="AS484" s="2004"/>
      <c r="AT484" s="2004"/>
      <c r="AU484" s="2004"/>
      <c r="AV484" s="2004"/>
      <c r="AW484" s="2004"/>
      <c r="AX484" s="2004"/>
      <c r="AY484" s="2004"/>
      <c r="AZ484" s="2004"/>
      <c r="BA484" s="2004"/>
      <c r="BB484" s="2004"/>
      <c r="BC484" s="2004"/>
      <c r="BD484" s="2004"/>
      <c r="BE484" s="2004"/>
      <c r="BF484" s="2004"/>
      <c r="BG484" s="2004"/>
      <c r="BH484" s="2004">
        <v>0.97</v>
      </c>
      <c r="BI484" s="2004">
        <v>14.083</v>
      </c>
      <c r="BJ484" s="2004"/>
      <c r="BK484" s="2004"/>
      <c r="BL484" s="2004"/>
      <c r="BM484" s="2004"/>
      <c r="BN484" s="2004">
        <v>1</v>
      </c>
      <c r="BO484" s="2004" t="s">
        <v>9203</v>
      </c>
      <c r="BP484" s="516" t="s">
        <v>2335</v>
      </c>
      <c r="BQ484" s="688" t="s">
        <v>2335</v>
      </c>
      <c r="BR484" s="2004" t="s">
        <v>2337</v>
      </c>
      <c r="BS484" s="2004" t="s">
        <v>9204</v>
      </c>
      <c r="BT484" s="2004">
        <v>0</v>
      </c>
      <c r="BU484" s="2004" t="s">
        <v>9204</v>
      </c>
      <c r="BV484" s="2004">
        <v>0</v>
      </c>
      <c r="BW484" s="2004" t="s">
        <v>2335</v>
      </c>
      <c r="BX484" s="2004" t="s">
        <v>2335</v>
      </c>
      <c r="BY484" s="2004">
        <v>0</v>
      </c>
      <c r="BZ484" s="2004">
        <v>0</v>
      </c>
      <c r="CA484" s="2004">
        <v>0</v>
      </c>
      <c r="CB484" s="2004">
        <v>0</v>
      </c>
      <c r="CC484" s="2004" t="s">
        <v>11907</v>
      </c>
      <c r="CD484" s="2004" t="s">
        <v>2337</v>
      </c>
      <c r="CE484" s="2004">
        <v>0</v>
      </c>
      <c r="CF484" s="2004">
        <v>0</v>
      </c>
      <c r="CG484" s="2004">
        <v>0</v>
      </c>
      <c r="CH484" s="2004">
        <v>0</v>
      </c>
      <c r="CI484" s="2004" t="s">
        <v>2335</v>
      </c>
      <c r="CJ484" s="2004" t="s">
        <v>2335</v>
      </c>
      <c r="CK484" s="2004">
        <v>0</v>
      </c>
      <c r="CL484" s="2004">
        <v>0</v>
      </c>
      <c r="CM484" s="2004">
        <v>0</v>
      </c>
      <c r="CN484" s="2004">
        <v>0</v>
      </c>
      <c r="CP484" s="2004" t="s">
        <v>11908</v>
      </c>
    </row>
    <row r="485" spans="1:94">
      <c r="A485" s="2004" t="s">
        <v>9080</v>
      </c>
      <c r="B485" s="2004" t="s">
        <v>11909</v>
      </c>
      <c r="C485" s="2004" t="s">
        <v>9047</v>
      </c>
      <c r="D485" s="2004" t="s">
        <v>1629</v>
      </c>
      <c r="E485" s="2004" t="s">
        <v>9410</v>
      </c>
      <c r="F485" s="2004" t="s">
        <v>11808</v>
      </c>
      <c r="G485" s="2004" t="s">
        <v>8955</v>
      </c>
      <c r="H485" s="2004" t="s">
        <v>11910</v>
      </c>
      <c r="I485" s="2004" t="s">
        <v>11911</v>
      </c>
      <c r="J485" s="2004" t="s">
        <v>9210</v>
      </c>
      <c r="K485" s="2004" t="s">
        <v>9545</v>
      </c>
      <c r="L485" s="2004"/>
      <c r="M485" s="2004"/>
      <c r="N485" s="2004" t="s">
        <v>9477</v>
      </c>
      <c r="O485" s="2004" t="s">
        <v>766</v>
      </c>
      <c r="P485" s="2004" t="s">
        <v>11912</v>
      </c>
      <c r="Q485" s="516">
        <v>0</v>
      </c>
      <c r="R485" s="2004" t="s">
        <v>9202</v>
      </c>
      <c r="S485" s="2004" t="s">
        <v>11913</v>
      </c>
      <c r="T485" s="2004" t="s">
        <v>11913</v>
      </c>
      <c r="U485" s="2004" t="s">
        <v>11913</v>
      </c>
      <c r="V485" s="2004" t="s">
        <v>11913</v>
      </c>
      <c r="W485" s="2004" t="s">
        <v>11913</v>
      </c>
      <c r="X485" s="2004" t="s">
        <v>11913</v>
      </c>
      <c r="Y485" s="2004"/>
      <c r="Z485" s="2004"/>
      <c r="AA485" s="2004"/>
      <c r="AB485" s="2004"/>
      <c r="AC485" s="2004"/>
      <c r="AD485" s="2004"/>
      <c r="AE485" s="2004" t="s">
        <v>2337</v>
      </c>
      <c r="AF485" s="2004"/>
      <c r="AG485" s="2004"/>
      <c r="AH485" s="2004">
        <v>0</v>
      </c>
      <c r="AI485" s="2004" t="s">
        <v>2337</v>
      </c>
      <c r="AJ485" s="2004" t="s">
        <v>2337</v>
      </c>
      <c r="AK485" s="2004" t="s">
        <v>2337</v>
      </c>
      <c r="AL485" s="2004" t="s">
        <v>2337</v>
      </c>
      <c r="AM485" s="2004" t="s">
        <v>2337</v>
      </c>
      <c r="AN485" s="2004">
        <v>999999</v>
      </c>
      <c r="AO485" s="2004">
        <v>999999</v>
      </c>
      <c r="AP485" s="2004">
        <v>999999</v>
      </c>
      <c r="AQ485" s="2004">
        <v>999999</v>
      </c>
      <c r="AR485" s="2004">
        <v>999999</v>
      </c>
      <c r="AS485" s="2004">
        <v>300</v>
      </c>
      <c r="AT485" s="2004">
        <v>300</v>
      </c>
      <c r="AU485" s="2004">
        <v>300</v>
      </c>
      <c r="AV485" s="2004">
        <v>300</v>
      </c>
      <c r="AW485" s="2004">
        <v>300</v>
      </c>
      <c r="AX485" s="2004"/>
      <c r="AY485" s="2004"/>
      <c r="AZ485" s="2004"/>
      <c r="BA485" s="2004"/>
      <c r="BB485" s="2004"/>
      <c r="BC485" s="2004"/>
      <c r="BD485" s="2004"/>
      <c r="BE485" s="2004"/>
      <c r="BF485" s="2004"/>
      <c r="BG485" s="2004"/>
      <c r="BH485" s="2004">
        <v>8.3999999999999995E-3</v>
      </c>
      <c r="BI485" s="2004"/>
      <c r="BJ485" s="2004"/>
      <c r="BK485" s="2004"/>
      <c r="BL485" s="2004"/>
      <c r="BM485" s="2004"/>
      <c r="BN485" s="2004">
        <v>1</v>
      </c>
      <c r="BO485" s="2004" t="s">
        <v>9203</v>
      </c>
      <c r="BP485" s="516">
        <v>270</v>
      </c>
      <c r="BQ485" s="689">
        <v>282</v>
      </c>
      <c r="BR485" s="2004" t="s">
        <v>2337</v>
      </c>
      <c r="BS485" s="2004" t="s">
        <v>9204</v>
      </c>
      <c r="BT485" s="2004">
        <v>0</v>
      </c>
      <c r="BU485" s="2004" t="s">
        <v>9204</v>
      </c>
      <c r="BV485" s="2004">
        <v>0</v>
      </c>
      <c r="BW485" s="2004">
        <v>264</v>
      </c>
      <c r="BX485" s="2004" t="s">
        <v>2337</v>
      </c>
      <c r="BY485" s="2004">
        <v>0</v>
      </c>
      <c r="BZ485" s="2004">
        <v>0</v>
      </c>
      <c r="CA485" s="2004">
        <v>0</v>
      </c>
      <c r="CB485" s="2004">
        <v>0</v>
      </c>
      <c r="CC485" s="2004">
        <v>223</v>
      </c>
      <c r="CD485" s="2004" t="s">
        <v>2337</v>
      </c>
      <c r="CE485" s="2004">
        <v>0</v>
      </c>
      <c r="CF485" s="2004">
        <v>0</v>
      </c>
      <c r="CG485" s="2004">
        <v>0</v>
      </c>
      <c r="CH485" s="2004">
        <v>0</v>
      </c>
      <c r="CI485" s="2004">
        <v>257</v>
      </c>
      <c r="CJ485" s="2004" t="s">
        <v>2337</v>
      </c>
      <c r="CK485" s="2004">
        <v>0</v>
      </c>
      <c r="CL485" s="2004">
        <v>0</v>
      </c>
      <c r="CM485" s="2004">
        <v>0</v>
      </c>
      <c r="CN485" s="2004">
        <v>0</v>
      </c>
      <c r="CP485" s="2004" t="s">
        <v>11914</v>
      </c>
    </row>
    <row r="486" spans="1:94">
      <c r="A486" s="2004" t="s">
        <v>9080</v>
      </c>
      <c r="B486" s="2004" t="s">
        <v>11915</v>
      </c>
      <c r="C486" s="2004" t="s">
        <v>9047</v>
      </c>
      <c r="D486" s="2004" t="s">
        <v>1629</v>
      </c>
      <c r="E486" s="2004" t="s">
        <v>9410</v>
      </c>
      <c r="F486" s="2004" t="s">
        <v>11916</v>
      </c>
      <c r="G486" s="2004" t="s">
        <v>8971</v>
      </c>
      <c r="H486" s="2004" t="s">
        <v>11917</v>
      </c>
      <c r="I486" s="2004" t="s">
        <v>11918</v>
      </c>
      <c r="J486" s="2004" t="s">
        <v>9230</v>
      </c>
      <c r="K486" s="2004"/>
      <c r="L486" s="2004"/>
      <c r="M486" s="2004"/>
      <c r="N486" s="2004" t="s">
        <v>9372</v>
      </c>
      <c r="O486" s="2004" t="s">
        <v>766</v>
      </c>
      <c r="P486" s="2004" t="s">
        <v>9870</v>
      </c>
      <c r="Q486" s="516">
        <v>0</v>
      </c>
      <c r="R486" s="2004" t="s">
        <v>9202</v>
      </c>
      <c r="S486" s="2004">
        <v>152</v>
      </c>
      <c r="T486" s="2004">
        <v>133</v>
      </c>
      <c r="U486" s="2004">
        <v>124</v>
      </c>
      <c r="V486" s="2004">
        <v>122</v>
      </c>
      <c r="W486" s="2004">
        <v>121</v>
      </c>
      <c r="X486" s="2004">
        <v>119</v>
      </c>
      <c r="Y486" s="2004"/>
      <c r="Z486" s="2004"/>
      <c r="AA486" s="2004"/>
      <c r="AB486" s="2004"/>
      <c r="AC486" s="2004"/>
      <c r="AD486" s="2004"/>
      <c r="AE486" s="2004"/>
      <c r="AF486" s="2004"/>
      <c r="AG486" s="2004"/>
      <c r="AH486" s="2004">
        <v>0</v>
      </c>
      <c r="AI486" s="2004"/>
      <c r="AJ486" s="2004"/>
      <c r="AK486" s="2004"/>
      <c r="AL486" s="2004"/>
      <c r="AM486" s="2004"/>
      <c r="AN486" s="2004"/>
      <c r="AO486" s="2004"/>
      <c r="AP486" s="2004"/>
      <c r="AQ486" s="2004"/>
      <c r="AR486" s="2004"/>
      <c r="AS486" s="2004"/>
      <c r="AT486" s="2004"/>
      <c r="AU486" s="2004"/>
      <c r="AV486" s="2004"/>
      <c r="AW486" s="2004"/>
      <c r="AX486" s="2004"/>
      <c r="AY486" s="2004"/>
      <c r="AZ486" s="2004"/>
      <c r="BA486" s="2004"/>
      <c r="BB486" s="2004"/>
      <c r="BC486" s="2004"/>
      <c r="BD486" s="2004"/>
      <c r="BE486" s="2004"/>
      <c r="BF486" s="2004"/>
      <c r="BG486" s="2004"/>
      <c r="BH486" s="2004"/>
      <c r="BI486" s="2004"/>
      <c r="BJ486" s="2004"/>
      <c r="BK486" s="2004"/>
      <c r="BL486" s="2004"/>
      <c r="BM486" s="2004"/>
      <c r="BN486" s="2004"/>
      <c r="BO486" s="2004"/>
      <c r="BP486" s="516">
        <v>147.80000000000001</v>
      </c>
      <c r="BQ486" s="689">
        <v>138</v>
      </c>
      <c r="BR486" s="2004" t="s">
        <v>2334</v>
      </c>
      <c r="BS486" s="2004" t="s">
        <v>9204</v>
      </c>
      <c r="BT486" s="2004">
        <v>0</v>
      </c>
      <c r="BU486" s="2004" t="s">
        <v>9204</v>
      </c>
      <c r="BV486" s="2004">
        <v>0</v>
      </c>
      <c r="BW486" s="2004">
        <v>123</v>
      </c>
      <c r="BX486" s="2004" t="s">
        <v>2337</v>
      </c>
      <c r="BY486" s="2004">
        <v>0</v>
      </c>
      <c r="BZ486" s="2004">
        <v>0</v>
      </c>
      <c r="CA486" s="2004">
        <v>0</v>
      </c>
      <c r="CB486" s="2004">
        <v>0</v>
      </c>
      <c r="CC486" s="2004">
        <v>122</v>
      </c>
      <c r="CD486" s="2004" t="s">
        <v>2337</v>
      </c>
      <c r="CE486" s="2004">
        <v>0</v>
      </c>
      <c r="CF486" s="2004">
        <v>0</v>
      </c>
      <c r="CG486" s="2004">
        <v>0</v>
      </c>
      <c r="CH486" s="2004">
        <v>0</v>
      </c>
      <c r="CI486" s="2004">
        <v>118</v>
      </c>
      <c r="CJ486" s="2004" t="s">
        <v>2337</v>
      </c>
      <c r="CK486" s="2004">
        <v>0</v>
      </c>
      <c r="CL486" s="2004">
        <v>0</v>
      </c>
      <c r="CM486" s="2004">
        <v>0</v>
      </c>
      <c r="CN486" s="2004">
        <v>0</v>
      </c>
      <c r="CP486" s="2004" t="s">
        <v>11919</v>
      </c>
    </row>
    <row r="487" spans="1:94">
      <c r="A487" s="2004" t="s">
        <v>9080</v>
      </c>
      <c r="B487" s="2004" t="s">
        <v>11920</v>
      </c>
      <c r="C487" s="2004" t="s">
        <v>9047</v>
      </c>
      <c r="D487" s="2004" t="s">
        <v>1629</v>
      </c>
      <c r="E487" s="2004" t="s">
        <v>9410</v>
      </c>
      <c r="F487" s="2004" t="s">
        <v>11916</v>
      </c>
      <c r="G487" s="2004" t="s">
        <v>8974</v>
      </c>
      <c r="H487" s="2004" t="s">
        <v>11921</v>
      </c>
      <c r="I487" s="2004" t="s">
        <v>11922</v>
      </c>
      <c r="J487" s="2004" t="s">
        <v>9210</v>
      </c>
      <c r="K487" s="2004" t="s">
        <v>9545</v>
      </c>
      <c r="L487" s="2004"/>
      <c r="M487" s="2004"/>
      <c r="N487" s="2004" t="s">
        <v>9372</v>
      </c>
      <c r="O487" s="2004" t="s">
        <v>734</v>
      </c>
      <c r="P487" s="2004" t="s">
        <v>11923</v>
      </c>
      <c r="Q487" s="516">
        <v>0</v>
      </c>
      <c r="R487" s="2004" t="s">
        <v>9240</v>
      </c>
      <c r="S487" s="2004">
        <v>20</v>
      </c>
      <c r="T487" s="2004">
        <v>21</v>
      </c>
      <c r="U487" s="2004">
        <v>22</v>
      </c>
      <c r="V487" s="2004">
        <v>22</v>
      </c>
      <c r="W487" s="2004">
        <v>21</v>
      </c>
      <c r="X487" s="2004">
        <v>24</v>
      </c>
      <c r="Y487" s="2004"/>
      <c r="Z487" s="2004"/>
      <c r="AA487" s="2004"/>
      <c r="AB487" s="2004"/>
      <c r="AC487" s="2004"/>
      <c r="AD487" s="2004"/>
      <c r="AE487" s="2004"/>
      <c r="AF487" s="2004"/>
      <c r="AG487" s="2004"/>
      <c r="AH487" s="2004">
        <v>0</v>
      </c>
      <c r="AI487" s="2004" t="s">
        <v>2337</v>
      </c>
      <c r="AJ487" s="2004" t="s">
        <v>2337</v>
      </c>
      <c r="AK487" s="2004" t="s">
        <v>2337</v>
      </c>
      <c r="AL487" s="2004" t="s">
        <v>2337</v>
      </c>
      <c r="AM487" s="2004" t="s">
        <v>2337</v>
      </c>
      <c r="AN487" s="2004">
        <v>0</v>
      </c>
      <c r="AO487" s="2004">
        <v>0</v>
      </c>
      <c r="AP487" s="2004">
        <v>0</v>
      </c>
      <c r="AQ487" s="2004">
        <v>0</v>
      </c>
      <c r="AR487" s="2004">
        <v>0</v>
      </c>
      <c r="AS487" s="2004">
        <v>21</v>
      </c>
      <c r="AT487" s="2004">
        <v>22</v>
      </c>
      <c r="AU487" s="2004">
        <v>22</v>
      </c>
      <c r="AV487" s="2004">
        <v>21</v>
      </c>
      <c r="AW487" s="2004">
        <v>24</v>
      </c>
      <c r="AX487" s="2004"/>
      <c r="AY487" s="2004"/>
      <c r="AZ487" s="2004"/>
      <c r="BA487" s="2004"/>
      <c r="BB487" s="2004"/>
      <c r="BC487" s="2004"/>
      <c r="BD487" s="2004"/>
      <c r="BE487" s="2004"/>
      <c r="BF487" s="2004"/>
      <c r="BG487" s="2004"/>
      <c r="BH487" s="2004">
        <v>9.9000000000000005E-2</v>
      </c>
      <c r="BI487" s="2004"/>
      <c r="BJ487" s="2004"/>
      <c r="BK487" s="2004"/>
      <c r="BL487" s="2004"/>
      <c r="BM487" s="2004"/>
      <c r="BN487" s="2004">
        <v>1</v>
      </c>
      <c r="BO487" s="2004" t="s">
        <v>9203</v>
      </c>
      <c r="BP487" s="516">
        <v>18</v>
      </c>
      <c r="BQ487" s="689">
        <v>25</v>
      </c>
      <c r="BR487" s="2004" t="s">
        <v>2337</v>
      </c>
      <c r="BS487" s="2004" t="s">
        <v>9204</v>
      </c>
      <c r="BT487" s="2004">
        <v>0</v>
      </c>
      <c r="BU487" s="2004" t="s">
        <v>9204</v>
      </c>
      <c r="BV487" s="2004">
        <v>0</v>
      </c>
      <c r="BW487" s="2004">
        <v>29</v>
      </c>
      <c r="BX487" s="2004" t="s">
        <v>2337</v>
      </c>
      <c r="BY487" s="2004">
        <v>0</v>
      </c>
      <c r="BZ487" s="2004">
        <v>0</v>
      </c>
      <c r="CA487" s="2004">
        <v>0</v>
      </c>
      <c r="CB487" s="2004">
        <v>0</v>
      </c>
      <c r="CC487" s="2004">
        <v>25.5</v>
      </c>
      <c r="CD487" s="2004" t="s">
        <v>2337</v>
      </c>
      <c r="CE487" s="2004">
        <v>0</v>
      </c>
      <c r="CF487" s="2004">
        <v>0</v>
      </c>
      <c r="CG487" s="2004">
        <v>0</v>
      </c>
      <c r="CH487" s="2004">
        <v>0</v>
      </c>
      <c r="CI487" s="2004">
        <v>25</v>
      </c>
      <c r="CJ487" s="2004" t="s">
        <v>2337</v>
      </c>
      <c r="CK487" s="2004">
        <v>0</v>
      </c>
      <c r="CL487" s="2004">
        <v>0</v>
      </c>
      <c r="CM487" s="2004">
        <v>0</v>
      </c>
      <c r="CN487" s="2004">
        <v>0</v>
      </c>
      <c r="CP487" s="2004" t="s">
        <v>11924</v>
      </c>
    </row>
    <row r="488" spans="1:94">
      <c r="A488" s="2004" t="s">
        <v>9080</v>
      </c>
      <c r="B488" s="2004" t="s">
        <v>11925</v>
      </c>
      <c r="C488" s="2004" t="s">
        <v>9047</v>
      </c>
      <c r="D488" s="2004" t="s">
        <v>9275</v>
      </c>
      <c r="E488" s="2004" t="s">
        <v>9276</v>
      </c>
      <c r="F488" s="2004" t="s">
        <v>11926</v>
      </c>
      <c r="G488" s="2004" t="s">
        <v>7928</v>
      </c>
      <c r="H488" s="2004" t="s">
        <v>11927</v>
      </c>
      <c r="I488" s="2004" t="s">
        <v>11928</v>
      </c>
      <c r="J488" s="2004" t="s">
        <v>9199</v>
      </c>
      <c r="K488" s="2004" t="s">
        <v>9200</v>
      </c>
      <c r="L488" s="2004"/>
      <c r="M488" s="2004" t="s">
        <v>2334</v>
      </c>
      <c r="N488" s="2004" t="s">
        <v>9281</v>
      </c>
      <c r="O488" s="2004" t="s">
        <v>9282</v>
      </c>
      <c r="P488" s="2004" t="s">
        <v>9283</v>
      </c>
      <c r="Q488" s="516">
        <v>0</v>
      </c>
      <c r="R488" s="2004" t="s">
        <v>9240</v>
      </c>
      <c r="S488" s="2004" t="s">
        <v>11929</v>
      </c>
      <c r="T488" s="2004" t="s">
        <v>11929</v>
      </c>
      <c r="U488" s="2004" t="s">
        <v>11929</v>
      </c>
      <c r="V488" s="2004" t="s">
        <v>11929</v>
      </c>
      <c r="W488" s="2004" t="s">
        <v>11929</v>
      </c>
      <c r="X488" s="2004" t="s">
        <v>11929</v>
      </c>
      <c r="Y488" s="2004"/>
      <c r="Z488" s="2004"/>
      <c r="AA488" s="2004"/>
      <c r="AB488" s="2004"/>
      <c r="AC488" s="2004"/>
      <c r="AD488" s="2004"/>
      <c r="AE488" s="2004"/>
      <c r="AF488" s="2004"/>
      <c r="AG488" s="2004"/>
      <c r="AH488" s="2004">
        <v>0</v>
      </c>
      <c r="AI488" s="2004" t="s">
        <v>2337</v>
      </c>
      <c r="AJ488" s="2004" t="s">
        <v>2337</v>
      </c>
      <c r="AK488" s="2004" t="s">
        <v>2337</v>
      </c>
      <c r="AL488" s="2004" t="s">
        <v>2337</v>
      </c>
      <c r="AM488" s="2004" t="s">
        <v>2337</v>
      </c>
      <c r="AN488" s="2004" t="s">
        <v>9284</v>
      </c>
      <c r="AO488" s="2004" t="s">
        <v>9284</v>
      </c>
      <c r="AP488" s="2004" t="s">
        <v>9284</v>
      </c>
      <c r="AQ488" s="2004" t="s">
        <v>9284</v>
      </c>
      <c r="AR488" s="2004" t="s">
        <v>9284</v>
      </c>
      <c r="AS488" s="2004" t="s">
        <v>9284</v>
      </c>
      <c r="AT488" s="2004" t="s">
        <v>9284</v>
      </c>
      <c r="AU488" s="2004" t="s">
        <v>9284</v>
      </c>
      <c r="AV488" s="2004" t="s">
        <v>9284</v>
      </c>
      <c r="AW488" s="2004" t="s">
        <v>9284</v>
      </c>
      <c r="AX488" s="2004" t="s">
        <v>9284</v>
      </c>
      <c r="AY488" s="2004" t="s">
        <v>9284</v>
      </c>
      <c r="AZ488" s="2004" t="s">
        <v>9284</v>
      </c>
      <c r="BA488" s="2004" t="s">
        <v>9284</v>
      </c>
      <c r="BB488" s="2004" t="s">
        <v>9284</v>
      </c>
      <c r="BC488" s="2004" t="s">
        <v>9284</v>
      </c>
      <c r="BD488" s="2004" t="s">
        <v>9284</v>
      </c>
      <c r="BE488" s="2004" t="s">
        <v>9284</v>
      </c>
      <c r="BF488" s="2004" t="s">
        <v>9284</v>
      </c>
      <c r="BG488" s="2004" t="s">
        <v>9284</v>
      </c>
      <c r="BH488" s="2004" t="s">
        <v>9284</v>
      </c>
      <c r="BI488" s="2004"/>
      <c r="BJ488" s="2004"/>
      <c r="BK488" s="2004"/>
      <c r="BL488" s="2004" t="s">
        <v>9284</v>
      </c>
      <c r="BM488" s="2004"/>
      <c r="BN488" s="2004">
        <v>1</v>
      </c>
      <c r="BO488" s="2004" t="s">
        <v>9203</v>
      </c>
      <c r="BP488" s="516" t="s">
        <v>4150</v>
      </c>
      <c r="BQ488" s="689">
        <v>87</v>
      </c>
      <c r="BR488" s="2004" t="s">
        <v>2337</v>
      </c>
      <c r="BS488" s="2004" t="s">
        <v>9204</v>
      </c>
      <c r="BT488" s="2004">
        <v>0</v>
      </c>
      <c r="BU488" s="2004" t="s">
        <v>9204</v>
      </c>
      <c r="BV488" s="2004">
        <v>0</v>
      </c>
      <c r="BW488" s="2004">
        <v>88</v>
      </c>
      <c r="BX488" s="2004" t="s">
        <v>2337</v>
      </c>
      <c r="BY488" s="2004">
        <v>0</v>
      </c>
      <c r="BZ488" s="2004">
        <v>0</v>
      </c>
      <c r="CA488" s="2004">
        <v>0</v>
      </c>
      <c r="CB488" s="2004">
        <v>0</v>
      </c>
      <c r="CC488" s="2004">
        <v>87</v>
      </c>
      <c r="CD488" s="2004" t="s">
        <v>2337</v>
      </c>
      <c r="CE488" s="2004">
        <v>0</v>
      </c>
      <c r="CF488" s="2004">
        <v>0</v>
      </c>
      <c r="CG488" s="2004">
        <v>0</v>
      </c>
      <c r="CH488" s="2004">
        <v>0</v>
      </c>
      <c r="CI488" s="2004">
        <v>87</v>
      </c>
      <c r="CJ488" s="2004" t="s">
        <v>2337</v>
      </c>
      <c r="CK488" s="2004">
        <v>0</v>
      </c>
      <c r="CL488" s="2004">
        <v>0</v>
      </c>
      <c r="CM488" s="2004">
        <v>0</v>
      </c>
      <c r="CN488" s="2004">
        <v>0</v>
      </c>
      <c r="CP488" s="2004" t="s">
        <v>11930</v>
      </c>
    </row>
    <row r="489" spans="1:94">
      <c r="A489" s="2004" t="s">
        <v>9080</v>
      </c>
      <c r="B489" s="2004" t="s">
        <v>11931</v>
      </c>
      <c r="C489" s="2004" t="s">
        <v>9047</v>
      </c>
      <c r="D489" s="2004" t="s">
        <v>9275</v>
      </c>
      <c r="E489" s="2004" t="s">
        <v>9276</v>
      </c>
      <c r="F489" s="2004" t="s">
        <v>11926</v>
      </c>
      <c r="G489" s="2004" t="s">
        <v>7929</v>
      </c>
      <c r="H489" s="2004" t="s">
        <v>11932</v>
      </c>
      <c r="I489" s="2004" t="s">
        <v>11933</v>
      </c>
      <c r="J489" s="2004" t="s">
        <v>9230</v>
      </c>
      <c r="K489" s="2004"/>
      <c r="L489" s="2004"/>
      <c r="M489" s="2004"/>
      <c r="N489" s="2004" t="s">
        <v>9386</v>
      </c>
      <c r="O489" s="2004" t="s">
        <v>734</v>
      </c>
      <c r="P489" s="2004" t="s">
        <v>9387</v>
      </c>
      <c r="Q489" s="516">
        <v>0</v>
      </c>
      <c r="R489" s="2004" t="s">
        <v>9240</v>
      </c>
      <c r="S489" s="2004" t="s">
        <v>11934</v>
      </c>
      <c r="T489" s="2004" t="s">
        <v>11934</v>
      </c>
      <c r="U489" s="2004" t="s">
        <v>11934</v>
      </c>
      <c r="V489" s="2004" t="s">
        <v>11934</v>
      </c>
      <c r="W489" s="2004" t="s">
        <v>11934</v>
      </c>
      <c r="X489" s="2004" t="s">
        <v>11934</v>
      </c>
      <c r="Y489" s="2004"/>
      <c r="Z489" s="2004"/>
      <c r="AA489" s="2004"/>
      <c r="AB489" s="2004"/>
      <c r="AC489" s="2004"/>
      <c r="AD489" s="2004"/>
      <c r="AE489" s="2004"/>
      <c r="AF489" s="2004"/>
      <c r="AG489" s="2004"/>
      <c r="AH489" s="2004">
        <v>0</v>
      </c>
      <c r="AI489" s="2004"/>
      <c r="AJ489" s="2004"/>
      <c r="AK489" s="2004"/>
      <c r="AL489" s="2004"/>
      <c r="AM489" s="2004"/>
      <c r="AN489" s="2004"/>
      <c r="AO489" s="2004"/>
      <c r="AP489" s="2004"/>
      <c r="AQ489" s="2004"/>
      <c r="AR489" s="2004"/>
      <c r="AS489" s="2004"/>
      <c r="AT489" s="2004"/>
      <c r="AU489" s="2004"/>
      <c r="AV489" s="2004"/>
      <c r="AW489" s="2004"/>
      <c r="AX489" s="2004"/>
      <c r="AY489" s="2004"/>
      <c r="AZ489" s="2004"/>
      <c r="BA489" s="2004"/>
      <c r="BB489" s="2004"/>
      <c r="BC489" s="2004"/>
      <c r="BD489" s="2004"/>
      <c r="BE489" s="2004"/>
      <c r="BF489" s="2004"/>
      <c r="BG489" s="2004"/>
      <c r="BH489" s="2004"/>
      <c r="BI489" s="2004"/>
      <c r="BJ489" s="2004"/>
      <c r="BK489" s="2004"/>
      <c r="BL489" s="2004"/>
      <c r="BM489" s="2004"/>
      <c r="BN489" s="2004"/>
      <c r="BO489" s="2004"/>
      <c r="BP489" s="516">
        <v>96</v>
      </c>
      <c r="BQ489" s="689">
        <v>96</v>
      </c>
      <c r="BR489" s="2004" t="s">
        <v>2337</v>
      </c>
      <c r="BS489" s="2004" t="s">
        <v>9204</v>
      </c>
      <c r="BT489" s="2004">
        <v>0</v>
      </c>
      <c r="BU489" s="2004" t="s">
        <v>9204</v>
      </c>
      <c r="BV489" s="2004">
        <v>0</v>
      </c>
      <c r="BW489" s="2004">
        <v>96</v>
      </c>
      <c r="BX489" s="2004" t="s">
        <v>2337</v>
      </c>
      <c r="BY489" s="2004">
        <v>0</v>
      </c>
      <c r="BZ489" s="2004">
        <v>0</v>
      </c>
      <c r="CA489" s="2004">
        <v>0</v>
      </c>
      <c r="CB489" s="2004">
        <v>0</v>
      </c>
      <c r="CC489" s="2004">
        <v>95.69</v>
      </c>
      <c r="CD489" s="2004" t="s">
        <v>2337</v>
      </c>
      <c r="CE489" s="2004">
        <v>0</v>
      </c>
      <c r="CF489" s="2004">
        <v>0</v>
      </c>
      <c r="CG489" s="2004">
        <v>0</v>
      </c>
      <c r="CH489" s="2004">
        <v>0</v>
      </c>
      <c r="CI489" s="2004">
        <v>96</v>
      </c>
      <c r="CJ489" s="2004" t="s">
        <v>2337</v>
      </c>
      <c r="CK489" s="2004">
        <v>0</v>
      </c>
      <c r="CL489" s="2004">
        <v>0</v>
      </c>
      <c r="CM489" s="2004">
        <v>0</v>
      </c>
      <c r="CN489" s="2004">
        <v>0</v>
      </c>
      <c r="CP489" s="2004" t="s">
        <v>11935</v>
      </c>
    </row>
    <row r="490" spans="1:94">
      <c r="A490" s="2004" t="s">
        <v>9080</v>
      </c>
      <c r="B490" s="2004" t="s">
        <v>11936</v>
      </c>
      <c r="C490" s="2004" t="s">
        <v>9047</v>
      </c>
      <c r="D490" s="2004" t="s">
        <v>9275</v>
      </c>
      <c r="E490" s="2004" t="s">
        <v>9276</v>
      </c>
      <c r="F490" s="2004" t="s">
        <v>11926</v>
      </c>
      <c r="G490" s="2004" t="s">
        <v>8928</v>
      </c>
      <c r="H490" s="2004" t="s">
        <v>11937</v>
      </c>
      <c r="I490" s="2004" t="s">
        <v>11938</v>
      </c>
      <c r="J490" s="2004" t="s">
        <v>9230</v>
      </c>
      <c r="K490" s="2004"/>
      <c r="L490" s="2004"/>
      <c r="M490" s="2004"/>
      <c r="N490" s="2004" t="s">
        <v>9290</v>
      </c>
      <c r="O490" s="2004" t="s">
        <v>734</v>
      </c>
      <c r="P490" s="2004" t="s">
        <v>9387</v>
      </c>
      <c r="Q490" s="516">
        <v>0</v>
      </c>
      <c r="R490" s="2004" t="s">
        <v>9240</v>
      </c>
      <c r="S490" s="2004">
        <v>70</v>
      </c>
      <c r="T490" s="2004">
        <v>71</v>
      </c>
      <c r="U490" s="2004">
        <v>72</v>
      </c>
      <c r="V490" s="2004">
        <v>73</v>
      </c>
      <c r="W490" s="2004">
        <v>74</v>
      </c>
      <c r="X490" s="2004">
        <v>75</v>
      </c>
      <c r="Y490" s="2004"/>
      <c r="Z490" s="2004"/>
      <c r="AA490" s="2004"/>
      <c r="AB490" s="2004"/>
      <c r="AC490" s="2004"/>
      <c r="AD490" s="2004"/>
      <c r="AE490" s="2004"/>
      <c r="AF490" s="2004"/>
      <c r="AG490" s="2004"/>
      <c r="AH490" s="2004">
        <v>0</v>
      </c>
      <c r="AI490" s="2004"/>
      <c r="AJ490" s="2004"/>
      <c r="AK490" s="2004"/>
      <c r="AL490" s="2004"/>
      <c r="AM490" s="2004"/>
      <c r="AN490" s="2004"/>
      <c r="AO490" s="2004"/>
      <c r="AP490" s="2004"/>
      <c r="AQ490" s="2004"/>
      <c r="AR490" s="2004"/>
      <c r="AS490" s="2004"/>
      <c r="AT490" s="2004"/>
      <c r="AU490" s="2004"/>
      <c r="AV490" s="2004"/>
      <c r="AW490" s="2004"/>
      <c r="AX490" s="2004"/>
      <c r="AY490" s="2004"/>
      <c r="AZ490" s="2004"/>
      <c r="BA490" s="2004"/>
      <c r="BB490" s="2004"/>
      <c r="BC490" s="2004"/>
      <c r="BD490" s="2004"/>
      <c r="BE490" s="2004"/>
      <c r="BF490" s="2004"/>
      <c r="BG490" s="2004"/>
      <c r="BH490" s="2004"/>
      <c r="BI490" s="2004"/>
      <c r="BJ490" s="2004"/>
      <c r="BK490" s="2004"/>
      <c r="BL490" s="2004"/>
      <c r="BM490" s="2004"/>
      <c r="BN490" s="2004"/>
      <c r="BO490" s="2004"/>
      <c r="BP490" s="516">
        <v>65</v>
      </c>
      <c r="BQ490" s="689">
        <v>78</v>
      </c>
      <c r="BR490" s="2004" t="s">
        <v>2337</v>
      </c>
      <c r="BS490" s="2004" t="s">
        <v>9204</v>
      </c>
      <c r="BT490" s="2004">
        <v>0</v>
      </c>
      <c r="BU490" s="2004" t="s">
        <v>9204</v>
      </c>
      <c r="BV490" s="2004">
        <v>0</v>
      </c>
      <c r="BW490" s="2004">
        <v>84</v>
      </c>
      <c r="BX490" s="2004" t="s">
        <v>2337</v>
      </c>
      <c r="BY490" s="2004">
        <v>0</v>
      </c>
      <c r="BZ490" s="2004">
        <v>0</v>
      </c>
      <c r="CA490" s="2004">
        <v>0</v>
      </c>
      <c r="CB490" s="2004">
        <v>0</v>
      </c>
      <c r="CC490" s="2004">
        <v>70</v>
      </c>
      <c r="CD490" s="2004" t="s">
        <v>2334</v>
      </c>
      <c r="CE490" s="2004">
        <v>0</v>
      </c>
      <c r="CF490" s="2004">
        <v>0</v>
      </c>
      <c r="CG490" s="2004">
        <v>0</v>
      </c>
      <c r="CH490" s="2004">
        <v>0</v>
      </c>
      <c r="CI490" s="2004">
        <v>69</v>
      </c>
      <c r="CJ490" s="2004" t="s">
        <v>2334</v>
      </c>
      <c r="CK490" s="2004">
        <v>0</v>
      </c>
      <c r="CL490" s="2004">
        <v>0</v>
      </c>
      <c r="CM490" s="2004">
        <v>0</v>
      </c>
      <c r="CN490" s="2004">
        <v>0</v>
      </c>
      <c r="CP490" s="2004" t="s">
        <v>11939</v>
      </c>
    </row>
    <row r="491" spans="1:94">
      <c r="A491" s="2004" t="s">
        <v>9080</v>
      </c>
      <c r="B491" s="2004" t="s">
        <v>11940</v>
      </c>
      <c r="C491" s="2004" t="s">
        <v>9047</v>
      </c>
      <c r="D491" s="2004" t="s">
        <v>9275</v>
      </c>
      <c r="E491" s="2004" t="s">
        <v>9276</v>
      </c>
      <c r="F491" s="2004" t="s">
        <v>11926</v>
      </c>
      <c r="G491" s="2004" t="s">
        <v>8931</v>
      </c>
      <c r="H491" s="2004" t="s">
        <v>11941</v>
      </c>
      <c r="I491" s="2004" t="s">
        <v>11942</v>
      </c>
      <c r="J491" s="2004" t="s">
        <v>9230</v>
      </c>
      <c r="K491" s="2004"/>
      <c r="L491" s="2004"/>
      <c r="M491" s="2004"/>
      <c r="N491" s="2004" t="s">
        <v>9386</v>
      </c>
      <c r="O491" s="2004" t="s">
        <v>734</v>
      </c>
      <c r="P491" s="2004" t="s">
        <v>9387</v>
      </c>
      <c r="Q491" s="516">
        <v>0</v>
      </c>
      <c r="R491" s="2004" t="s">
        <v>9240</v>
      </c>
      <c r="S491" s="2004" t="s">
        <v>9863</v>
      </c>
      <c r="T491" s="2004" t="s">
        <v>11943</v>
      </c>
      <c r="U491" s="2004" t="s">
        <v>11943</v>
      </c>
      <c r="V491" s="2004" t="s">
        <v>11943</v>
      </c>
      <c r="W491" s="2004" t="s">
        <v>11943</v>
      </c>
      <c r="X491" s="2004" t="s">
        <v>11943</v>
      </c>
      <c r="Y491" s="2004"/>
      <c r="Z491" s="2004"/>
      <c r="AA491" s="2004"/>
      <c r="AB491" s="2004"/>
      <c r="AC491" s="2004"/>
      <c r="AD491" s="2004"/>
      <c r="AE491" s="2004"/>
      <c r="AF491" s="2004"/>
      <c r="AG491" s="2004"/>
      <c r="AH491" s="2004">
        <v>0</v>
      </c>
      <c r="AI491" s="2004"/>
      <c r="AJ491" s="2004"/>
      <c r="AK491" s="2004"/>
      <c r="AL491" s="2004"/>
      <c r="AM491" s="2004"/>
      <c r="AN491" s="2004"/>
      <c r="AO491" s="2004"/>
      <c r="AP491" s="2004"/>
      <c r="AQ491" s="2004"/>
      <c r="AR491" s="2004"/>
      <c r="AS491" s="2004"/>
      <c r="AT491" s="2004"/>
      <c r="AU491" s="2004"/>
      <c r="AV491" s="2004"/>
      <c r="AW491" s="2004"/>
      <c r="AX491" s="2004"/>
      <c r="AY491" s="2004"/>
      <c r="AZ491" s="2004"/>
      <c r="BA491" s="2004"/>
      <c r="BB491" s="2004"/>
      <c r="BC491" s="2004"/>
      <c r="BD491" s="2004"/>
      <c r="BE491" s="2004"/>
      <c r="BF491" s="2004"/>
      <c r="BG491" s="2004"/>
      <c r="BH491" s="2004"/>
      <c r="BI491" s="2004"/>
      <c r="BJ491" s="2004"/>
      <c r="BK491" s="2004"/>
      <c r="BL491" s="2004"/>
      <c r="BM491" s="2004"/>
      <c r="BN491" s="2004"/>
      <c r="BO491" s="2004"/>
      <c r="BP491" s="516">
        <v>79</v>
      </c>
      <c r="BQ491" s="704">
        <v>81</v>
      </c>
      <c r="BR491" s="2004" t="s">
        <v>2337</v>
      </c>
      <c r="BS491" s="2004" t="s">
        <v>9204</v>
      </c>
      <c r="BT491" s="2004">
        <v>0</v>
      </c>
      <c r="BU491" s="2004" t="s">
        <v>9204</v>
      </c>
      <c r="BV491" s="2004">
        <v>0</v>
      </c>
      <c r="BW491" s="2004">
        <v>75</v>
      </c>
      <c r="BX491" s="2004" t="s">
        <v>2334</v>
      </c>
      <c r="BY491" s="2004">
        <v>0</v>
      </c>
      <c r="BZ491" s="2004">
        <v>0</v>
      </c>
      <c r="CA491" s="2004">
        <v>0</v>
      </c>
      <c r="CB491" s="2004">
        <v>0</v>
      </c>
      <c r="CC491" s="2004">
        <v>93.1</v>
      </c>
      <c r="CD491" s="2004" t="s">
        <v>2334</v>
      </c>
      <c r="CE491" s="2004">
        <v>0</v>
      </c>
      <c r="CF491" s="2004">
        <v>0</v>
      </c>
      <c r="CG491" s="2004">
        <v>0</v>
      </c>
      <c r="CH491" s="2004">
        <v>0</v>
      </c>
      <c r="CI491" s="2004">
        <v>92</v>
      </c>
      <c r="CJ491" s="2004" t="s">
        <v>2334</v>
      </c>
      <c r="CK491" s="2004">
        <v>0</v>
      </c>
      <c r="CL491" s="2004">
        <v>0</v>
      </c>
      <c r="CM491" s="2004">
        <v>0</v>
      </c>
      <c r="CN491" s="2004">
        <v>0</v>
      </c>
      <c r="CP491" s="2004" t="s">
        <v>11944</v>
      </c>
    </row>
    <row r="492" spans="1:94" ht="56.25">
      <c r="A492" s="2004" t="s">
        <v>9080</v>
      </c>
      <c r="B492" s="2004" t="s">
        <v>11945</v>
      </c>
      <c r="C492" s="2004" t="s">
        <v>9047</v>
      </c>
      <c r="D492" s="2004" t="s">
        <v>9275</v>
      </c>
      <c r="E492" s="2004" t="s">
        <v>9276</v>
      </c>
      <c r="F492" s="2004" t="s">
        <v>11926</v>
      </c>
      <c r="G492" s="2004" t="s">
        <v>8934</v>
      </c>
      <c r="H492" s="2004" t="s">
        <v>11946</v>
      </c>
      <c r="I492" s="2004" t="s">
        <v>11947</v>
      </c>
      <c r="J492" s="2004" t="s">
        <v>9230</v>
      </c>
      <c r="K492" s="2004"/>
      <c r="L492" s="2004"/>
      <c r="M492" s="2004"/>
      <c r="N492" s="2004" t="s">
        <v>9386</v>
      </c>
      <c r="O492" s="2004" t="s">
        <v>9487</v>
      </c>
      <c r="P492" s="2004" t="s">
        <v>11948</v>
      </c>
      <c r="Q492" s="516" t="s">
        <v>9203</v>
      </c>
      <c r="R492" s="2004"/>
      <c r="S492" s="2004" t="s">
        <v>9863</v>
      </c>
      <c r="T492" s="2004" t="s">
        <v>4140</v>
      </c>
      <c r="U492" s="2004" t="s">
        <v>4140</v>
      </c>
      <c r="V492" s="2004" t="s">
        <v>4140</v>
      </c>
      <c r="W492" s="2004" t="s">
        <v>4140</v>
      </c>
      <c r="X492" s="2004" t="s">
        <v>11949</v>
      </c>
      <c r="Y492" s="2004"/>
      <c r="Z492" s="2004"/>
      <c r="AA492" s="2004"/>
      <c r="AB492" s="2004"/>
      <c r="AC492" s="2004"/>
      <c r="AD492" s="2004"/>
      <c r="AE492" s="2004"/>
      <c r="AF492" s="2004"/>
      <c r="AG492" s="2004"/>
      <c r="AH492" s="2004">
        <v>0</v>
      </c>
      <c r="AI492" s="2004"/>
      <c r="AJ492" s="2004"/>
      <c r="AK492" s="2004"/>
      <c r="AL492" s="2004"/>
      <c r="AM492" s="2004"/>
      <c r="AN492" s="2004"/>
      <c r="AO492" s="2004"/>
      <c r="AP492" s="2004"/>
      <c r="AQ492" s="2004"/>
      <c r="AR492" s="2004"/>
      <c r="AS492" s="2004"/>
      <c r="AT492" s="2004"/>
      <c r="AU492" s="2004"/>
      <c r="AV492" s="2004"/>
      <c r="AW492" s="2004"/>
      <c r="AX492" s="2004"/>
      <c r="AY492" s="2004"/>
      <c r="AZ492" s="2004"/>
      <c r="BA492" s="2004"/>
      <c r="BB492" s="2004"/>
      <c r="BC492" s="2004"/>
      <c r="BD492" s="2004"/>
      <c r="BE492" s="2004"/>
      <c r="BF492" s="2004"/>
      <c r="BG492" s="2004"/>
      <c r="BH492" s="2004"/>
      <c r="BI492" s="2004"/>
      <c r="BJ492" s="2004"/>
      <c r="BK492" s="2004"/>
      <c r="BL492" s="2004"/>
      <c r="BM492" s="2004"/>
      <c r="BN492" s="2004"/>
      <c r="BO492" s="2004"/>
      <c r="BP492" s="516" t="s">
        <v>11950</v>
      </c>
      <c r="BQ492" s="705" t="s">
        <v>11950</v>
      </c>
      <c r="BR492" s="2004" t="s">
        <v>2337</v>
      </c>
      <c r="BS492" s="2004" t="s">
        <v>9204</v>
      </c>
      <c r="BT492" s="2004">
        <v>0</v>
      </c>
      <c r="BU492" s="2004" t="s">
        <v>9204</v>
      </c>
      <c r="BV492" s="2004">
        <v>0</v>
      </c>
      <c r="BW492" s="2004" t="s">
        <v>11950</v>
      </c>
      <c r="BX492" s="2004" t="s">
        <v>2337</v>
      </c>
      <c r="BY492" s="2004">
        <v>0</v>
      </c>
      <c r="BZ492" s="2004">
        <v>0</v>
      </c>
      <c r="CA492" s="2004">
        <v>0</v>
      </c>
      <c r="CB492" s="2004">
        <v>0</v>
      </c>
      <c r="CC492" s="2004" t="s">
        <v>11951</v>
      </c>
      <c r="CD492" s="2004" t="s">
        <v>2337</v>
      </c>
      <c r="CE492" s="2004">
        <v>0</v>
      </c>
      <c r="CF492" s="2004">
        <v>0</v>
      </c>
      <c r="CG492" s="2004">
        <v>0</v>
      </c>
      <c r="CH492" s="2004">
        <v>0</v>
      </c>
      <c r="CI492" s="2004" t="s">
        <v>11951</v>
      </c>
      <c r="CJ492" s="2004" t="s">
        <v>2337</v>
      </c>
      <c r="CK492" s="2004">
        <v>0</v>
      </c>
      <c r="CL492" s="2004">
        <v>0</v>
      </c>
      <c r="CM492" s="2004">
        <v>0</v>
      </c>
      <c r="CN492" s="2004">
        <v>0</v>
      </c>
      <c r="CP492" s="2004" t="s">
        <v>11952</v>
      </c>
    </row>
    <row r="493" spans="1:94">
      <c r="A493" s="2004" t="s">
        <v>9080</v>
      </c>
      <c r="B493" s="2004" t="s">
        <v>11953</v>
      </c>
      <c r="C493" s="2004" t="s">
        <v>9047</v>
      </c>
      <c r="D493" s="2004" t="s">
        <v>9275</v>
      </c>
      <c r="E493" s="2004" t="s">
        <v>9276</v>
      </c>
      <c r="F493" s="2004" t="s">
        <v>9631</v>
      </c>
      <c r="G493" s="2004" t="s">
        <v>11954</v>
      </c>
      <c r="H493" s="2004" t="s">
        <v>11955</v>
      </c>
      <c r="I493" s="2004" t="s">
        <v>11956</v>
      </c>
      <c r="J493" s="2004" t="s">
        <v>9230</v>
      </c>
      <c r="K493" s="2004"/>
      <c r="L493" s="2004"/>
      <c r="M493" s="2004"/>
      <c r="N493" s="2004" t="s">
        <v>9211</v>
      </c>
      <c r="O493" s="2004" t="s">
        <v>766</v>
      </c>
      <c r="P493" s="2004" t="s">
        <v>9212</v>
      </c>
      <c r="Q493" s="516">
        <v>0</v>
      </c>
      <c r="R493" s="2004" t="s">
        <v>9202</v>
      </c>
      <c r="S493" s="2004">
        <v>137</v>
      </c>
      <c r="T493" s="2004">
        <v>135</v>
      </c>
      <c r="U493" s="2004">
        <v>134</v>
      </c>
      <c r="V493" s="2004">
        <v>133</v>
      </c>
      <c r="W493" s="2004">
        <v>132</v>
      </c>
      <c r="X493" s="2004">
        <v>131</v>
      </c>
      <c r="Y493" s="2004"/>
      <c r="Z493" s="2004"/>
      <c r="AA493" s="2004"/>
      <c r="AB493" s="2004"/>
      <c r="AC493" s="2004"/>
      <c r="AD493" s="2004"/>
      <c r="AE493" s="2004"/>
      <c r="AF493" s="2004"/>
      <c r="AG493" s="2004"/>
      <c r="AH493" s="2004">
        <v>0</v>
      </c>
      <c r="AI493" s="2004"/>
      <c r="AJ493" s="2004"/>
      <c r="AK493" s="2004"/>
      <c r="AL493" s="2004"/>
      <c r="AM493" s="2004"/>
      <c r="AN493" s="2004"/>
      <c r="AO493" s="2004"/>
      <c r="AP493" s="2004"/>
      <c r="AQ493" s="2004"/>
      <c r="AR493" s="2004"/>
      <c r="AS493" s="2004"/>
      <c r="AT493" s="2004"/>
      <c r="AU493" s="2004"/>
      <c r="AV493" s="2004"/>
      <c r="AW493" s="2004"/>
      <c r="AX493" s="2004"/>
      <c r="AY493" s="2004"/>
      <c r="AZ493" s="2004"/>
      <c r="BA493" s="2004"/>
      <c r="BB493" s="2004"/>
      <c r="BC493" s="2004"/>
      <c r="BD493" s="2004"/>
      <c r="BE493" s="2004"/>
      <c r="BF493" s="2004"/>
      <c r="BG493" s="2004"/>
      <c r="BH493" s="2004"/>
      <c r="BI493" s="2004"/>
      <c r="BJ493" s="2004"/>
      <c r="BK493" s="2004"/>
      <c r="BL493" s="2004"/>
      <c r="BM493" s="2004"/>
      <c r="BN493" s="2004"/>
      <c r="BO493" s="2004"/>
      <c r="BP493" s="516">
        <v>138</v>
      </c>
      <c r="BQ493" s="689">
        <v>138</v>
      </c>
      <c r="BR493" s="2004" t="s">
        <v>2334</v>
      </c>
      <c r="BS493" s="2004" t="s">
        <v>9204</v>
      </c>
      <c r="BT493" s="2004">
        <v>0</v>
      </c>
      <c r="BU493" s="2004" t="s">
        <v>9204</v>
      </c>
      <c r="BV493" s="2004">
        <v>0</v>
      </c>
      <c r="BW493" s="2004">
        <v>141.19999999999999</v>
      </c>
      <c r="BX493" s="2004" t="s">
        <v>2334</v>
      </c>
      <c r="BY493" s="2004">
        <v>0</v>
      </c>
      <c r="BZ493" s="2004">
        <v>0</v>
      </c>
      <c r="CA493" s="2004">
        <v>0</v>
      </c>
      <c r="CB493" s="2004">
        <v>0</v>
      </c>
      <c r="CC493" s="2004">
        <v>143.19999999999999</v>
      </c>
      <c r="CD493" s="2004" t="s">
        <v>2334</v>
      </c>
      <c r="CE493" s="2004">
        <v>0</v>
      </c>
      <c r="CF493" s="2004">
        <v>0</v>
      </c>
      <c r="CG493" s="2004">
        <v>0</v>
      </c>
      <c r="CH493" s="2004">
        <v>0</v>
      </c>
      <c r="CI493" s="2004">
        <v>147</v>
      </c>
      <c r="CJ493" s="2004" t="s">
        <v>2334</v>
      </c>
      <c r="CK493" s="2004">
        <v>0</v>
      </c>
      <c r="CL493" s="2004">
        <v>0</v>
      </c>
      <c r="CM493" s="2004">
        <v>0</v>
      </c>
      <c r="CN493" s="2004">
        <v>0</v>
      </c>
      <c r="CP493" s="2004" t="s">
        <v>11957</v>
      </c>
    </row>
    <row r="494" spans="1:94">
      <c r="A494" s="2004" t="s">
        <v>9080</v>
      </c>
      <c r="B494" s="2004" t="s">
        <v>11958</v>
      </c>
      <c r="C494" s="2004" t="s">
        <v>9047</v>
      </c>
      <c r="D494" s="2004" t="s">
        <v>9275</v>
      </c>
      <c r="E494" s="2004" t="s">
        <v>9276</v>
      </c>
      <c r="F494" s="2004" t="s">
        <v>9631</v>
      </c>
      <c r="G494" s="2004" t="s">
        <v>11959</v>
      </c>
      <c r="H494" s="2004" t="s">
        <v>11960</v>
      </c>
      <c r="I494" s="2004" t="s">
        <v>11961</v>
      </c>
      <c r="J494" s="2004" t="s">
        <v>9210</v>
      </c>
      <c r="K494" s="2004" t="s">
        <v>9200</v>
      </c>
      <c r="L494" s="2004"/>
      <c r="M494" s="2004"/>
      <c r="N494" s="2004" t="s">
        <v>9211</v>
      </c>
      <c r="O494" s="2004" t="s">
        <v>766</v>
      </c>
      <c r="P494" s="2004" t="s">
        <v>9212</v>
      </c>
      <c r="Q494" s="516">
        <v>2</v>
      </c>
      <c r="R494" s="2004" t="s">
        <v>9240</v>
      </c>
      <c r="S494" s="2004"/>
      <c r="T494" s="2004">
        <v>0.56999999999999995</v>
      </c>
      <c r="U494" s="2004">
        <v>1.25</v>
      </c>
      <c r="V494" s="2004">
        <v>1.92</v>
      </c>
      <c r="W494" s="2004">
        <v>2.59</v>
      </c>
      <c r="X494" s="2004">
        <v>3.26</v>
      </c>
      <c r="Y494" s="2004"/>
      <c r="Z494" s="2004"/>
      <c r="AA494" s="2004"/>
      <c r="AB494" s="2004"/>
      <c r="AC494" s="2004"/>
      <c r="AD494" s="2004"/>
      <c r="AE494" s="2004"/>
      <c r="AF494" s="2004"/>
      <c r="AG494" s="2004"/>
      <c r="AH494" s="2004">
        <v>0</v>
      </c>
      <c r="AI494" s="2004" t="s">
        <v>2337</v>
      </c>
      <c r="AJ494" s="2004" t="s">
        <v>2337</v>
      </c>
      <c r="AK494" s="2004" t="s">
        <v>2337</v>
      </c>
      <c r="AL494" s="2004" t="s">
        <v>2337</v>
      </c>
      <c r="AM494" s="2004" t="s">
        <v>2337</v>
      </c>
      <c r="AN494" s="2004">
        <v>0</v>
      </c>
      <c r="AO494" s="2004">
        <v>0</v>
      </c>
      <c r="AP494" s="2004">
        <v>0</v>
      </c>
      <c r="AQ494" s="2004">
        <v>0</v>
      </c>
      <c r="AR494" s="2004">
        <v>0</v>
      </c>
      <c r="AS494" s="2004">
        <v>0.56999999999999995</v>
      </c>
      <c r="AT494" s="2004">
        <v>1.25</v>
      </c>
      <c r="AU494" s="2004">
        <v>1.92</v>
      </c>
      <c r="AV494" s="2004">
        <v>2.59</v>
      </c>
      <c r="AW494" s="2004">
        <v>3.26</v>
      </c>
      <c r="AX494" s="2004"/>
      <c r="AY494" s="2004"/>
      <c r="AZ494" s="2004"/>
      <c r="BA494" s="2004"/>
      <c r="BB494" s="2004"/>
      <c r="BC494" s="2004"/>
      <c r="BD494" s="2004"/>
      <c r="BE494" s="2004"/>
      <c r="BF494" s="2004"/>
      <c r="BG494" s="2004"/>
      <c r="BH494" s="2004">
        <v>1.89</v>
      </c>
      <c r="BI494" s="2004"/>
      <c r="BJ494" s="2004"/>
      <c r="BK494" s="2004"/>
      <c r="BL494" s="2004"/>
      <c r="BM494" s="2004"/>
      <c r="BN494" s="2004">
        <v>1</v>
      </c>
      <c r="BO494" s="2004" t="s">
        <v>9203</v>
      </c>
      <c r="BP494" s="516">
        <v>0.48</v>
      </c>
      <c r="BQ494" s="690">
        <v>0.68</v>
      </c>
      <c r="BR494" s="2004" t="s">
        <v>2337</v>
      </c>
      <c r="BS494" s="2004" t="s">
        <v>9204</v>
      </c>
      <c r="BT494" s="2004">
        <v>0</v>
      </c>
      <c r="BU494" s="2004" t="s">
        <v>9204</v>
      </c>
      <c r="BV494" s="2004">
        <v>0</v>
      </c>
      <c r="BW494" s="2004">
        <v>1.56</v>
      </c>
      <c r="BX494" s="2004" t="s">
        <v>2337</v>
      </c>
      <c r="BY494" s="2004">
        <v>0</v>
      </c>
      <c r="BZ494" s="2004">
        <v>0</v>
      </c>
      <c r="CA494" s="2004">
        <v>0</v>
      </c>
      <c r="CB494" s="2004">
        <v>0</v>
      </c>
      <c r="CC494" s="2004">
        <v>2.48</v>
      </c>
      <c r="CD494" s="2004" t="s">
        <v>2337</v>
      </c>
      <c r="CE494" s="2004">
        <v>0</v>
      </c>
      <c r="CF494" s="2004">
        <v>0</v>
      </c>
      <c r="CG494" s="2004">
        <v>0</v>
      </c>
      <c r="CH494" s="2004">
        <v>0</v>
      </c>
      <c r="CI494" s="2004">
        <v>3.06</v>
      </c>
      <c r="CJ494" s="2004" t="s">
        <v>2337</v>
      </c>
      <c r="CK494" s="2004">
        <v>0</v>
      </c>
      <c r="CL494" s="2004">
        <v>0</v>
      </c>
      <c r="CM494" s="2004">
        <v>0</v>
      </c>
      <c r="CN494" s="2004">
        <v>0</v>
      </c>
      <c r="CP494" s="2004" t="s">
        <v>11962</v>
      </c>
    </row>
    <row r="495" spans="1:94">
      <c r="A495" s="2004" t="s">
        <v>9080</v>
      </c>
      <c r="B495" s="2004" t="s">
        <v>11963</v>
      </c>
      <c r="C495" s="2004" t="s">
        <v>9047</v>
      </c>
      <c r="D495" s="2004" t="s">
        <v>9275</v>
      </c>
      <c r="E495" s="2004" t="s">
        <v>9276</v>
      </c>
      <c r="F495" s="2004" t="s">
        <v>9631</v>
      </c>
      <c r="G495" s="2004" t="s">
        <v>7931</v>
      </c>
      <c r="H495" s="2004" t="s">
        <v>11964</v>
      </c>
      <c r="I495" s="2004" t="s">
        <v>11965</v>
      </c>
      <c r="J495" s="2004" t="s">
        <v>9230</v>
      </c>
      <c r="K495" s="2004"/>
      <c r="L495" s="2004"/>
      <c r="M495" s="2004"/>
      <c r="N495" s="2004" t="s">
        <v>9290</v>
      </c>
      <c r="O495" s="2004" t="s">
        <v>734</v>
      </c>
      <c r="P495" s="2004" t="s">
        <v>11966</v>
      </c>
      <c r="Q495" s="516">
        <v>1</v>
      </c>
      <c r="R495" s="2004" t="s">
        <v>9202</v>
      </c>
      <c r="S495" s="2004">
        <v>1.6E-2</v>
      </c>
      <c r="T495" s="2004" t="s">
        <v>11967</v>
      </c>
      <c r="U495" s="2004" t="s">
        <v>11967</v>
      </c>
      <c r="V495" s="2004" t="s">
        <v>11967</v>
      </c>
      <c r="W495" s="2004" t="s">
        <v>11967</v>
      </c>
      <c r="X495" s="2004" t="s">
        <v>11967</v>
      </c>
      <c r="Y495" s="2004"/>
      <c r="Z495" s="2004"/>
      <c r="AA495" s="2004"/>
      <c r="AB495" s="2004"/>
      <c r="AC495" s="2004"/>
      <c r="AD495" s="2004"/>
      <c r="AE495" s="2004"/>
      <c r="AF495" s="2004"/>
      <c r="AG495" s="2004"/>
      <c r="AH495" s="2004">
        <v>0</v>
      </c>
      <c r="AI495" s="2004"/>
      <c r="AJ495" s="2004"/>
      <c r="AK495" s="2004"/>
      <c r="AL495" s="2004"/>
      <c r="AM495" s="2004"/>
      <c r="AN495" s="2004"/>
      <c r="AO495" s="2004"/>
      <c r="AP495" s="2004"/>
      <c r="AQ495" s="2004"/>
      <c r="AR495" s="2004"/>
      <c r="AS495" s="2004"/>
      <c r="AT495" s="2004"/>
      <c r="AU495" s="2004"/>
      <c r="AV495" s="2004"/>
      <c r="AW495" s="2004"/>
      <c r="AX495" s="2004"/>
      <c r="AY495" s="2004"/>
      <c r="AZ495" s="2004"/>
      <c r="BA495" s="2004"/>
      <c r="BB495" s="2004"/>
      <c r="BC495" s="2004"/>
      <c r="BD495" s="2004"/>
      <c r="BE495" s="2004"/>
      <c r="BF495" s="2004"/>
      <c r="BG495" s="2004"/>
      <c r="BH495" s="2004"/>
      <c r="BI495" s="2004"/>
      <c r="BJ495" s="2004"/>
      <c r="BK495" s="2004"/>
      <c r="BL495" s="2004"/>
      <c r="BM495" s="2004"/>
      <c r="BN495" s="2004"/>
      <c r="BO495" s="2004"/>
      <c r="BP495" s="516">
        <v>1.6</v>
      </c>
      <c r="BQ495" s="704">
        <v>1.5</v>
      </c>
      <c r="BR495" s="2004" t="s">
        <v>2337</v>
      </c>
      <c r="BS495" s="2004" t="s">
        <v>9204</v>
      </c>
      <c r="BT495" s="2004">
        <v>0</v>
      </c>
      <c r="BU495" s="2004" t="s">
        <v>9204</v>
      </c>
      <c r="BV495" s="2004">
        <v>0</v>
      </c>
      <c r="BW495" s="2004">
        <v>1.4</v>
      </c>
      <c r="BX495" s="2004" t="s">
        <v>2337</v>
      </c>
      <c r="BY495" s="2004">
        <v>0</v>
      </c>
      <c r="BZ495" s="2004">
        <v>0</v>
      </c>
      <c r="CA495" s="2004">
        <v>0</v>
      </c>
      <c r="CB495" s="2004">
        <v>0</v>
      </c>
      <c r="CC495" s="2004">
        <v>1.46</v>
      </c>
      <c r="CD495" s="2004" t="s">
        <v>2337</v>
      </c>
      <c r="CE495" s="2004">
        <v>0</v>
      </c>
      <c r="CF495" s="2004">
        <v>0</v>
      </c>
      <c r="CG495" s="2004">
        <v>0</v>
      </c>
      <c r="CH495" s="2004">
        <v>0</v>
      </c>
      <c r="CI495" s="2004">
        <v>1.4</v>
      </c>
      <c r="CJ495" s="2004" t="s">
        <v>2337</v>
      </c>
      <c r="CK495" s="2004">
        <v>0</v>
      </c>
      <c r="CL495" s="2004">
        <v>0</v>
      </c>
      <c r="CM495" s="2004">
        <v>0</v>
      </c>
      <c r="CN495" s="2004">
        <v>0</v>
      </c>
      <c r="CP495" s="2004" t="s">
        <v>11968</v>
      </c>
    </row>
    <row r="496" spans="1:94">
      <c r="A496" s="2004" t="s">
        <v>9082</v>
      </c>
      <c r="B496" s="2004" t="s">
        <v>11969</v>
      </c>
      <c r="C496" s="2004" t="s">
        <v>9047</v>
      </c>
      <c r="D496" s="2004" t="s">
        <v>1628</v>
      </c>
      <c r="E496" s="2004" t="s">
        <v>9194</v>
      </c>
      <c r="F496" s="2004" t="s">
        <v>11970</v>
      </c>
      <c r="G496" s="2004" t="s">
        <v>11184</v>
      </c>
      <c r="H496" s="2004" t="s">
        <v>11971</v>
      </c>
      <c r="I496" s="2004" t="s">
        <v>11972</v>
      </c>
      <c r="J496" s="2004" t="s">
        <v>9210</v>
      </c>
      <c r="K496" s="2004" t="s">
        <v>11973</v>
      </c>
      <c r="L496" s="2004"/>
      <c r="M496" s="2004"/>
      <c r="N496" s="2004" t="s">
        <v>9238</v>
      </c>
      <c r="O496" s="2004" t="s">
        <v>734</v>
      </c>
      <c r="P496" s="2004" t="s">
        <v>9239</v>
      </c>
      <c r="Q496" s="516">
        <v>3</v>
      </c>
      <c r="R496" s="2004" t="s">
        <v>9240</v>
      </c>
      <c r="S496" s="2004">
        <v>99.96</v>
      </c>
      <c r="T496" s="2004">
        <v>99.96</v>
      </c>
      <c r="U496" s="2004">
        <v>99.96</v>
      </c>
      <c r="V496" s="2004">
        <v>100</v>
      </c>
      <c r="W496" s="2004">
        <v>100</v>
      </c>
      <c r="X496" s="2004">
        <v>100</v>
      </c>
      <c r="Y496" s="2004" t="s">
        <v>2337</v>
      </c>
      <c r="Z496" s="2004"/>
      <c r="AA496" s="2004"/>
      <c r="AB496" s="2004"/>
      <c r="AC496" s="2004"/>
      <c r="AD496" s="2004"/>
      <c r="AE496" s="2004" t="s">
        <v>2337</v>
      </c>
      <c r="AF496" s="2004"/>
      <c r="AG496" s="2004"/>
      <c r="AH496" s="2004">
        <v>0</v>
      </c>
      <c r="AI496" s="2004" t="s">
        <v>2337</v>
      </c>
      <c r="AJ496" s="2004" t="s">
        <v>2337</v>
      </c>
      <c r="AK496" s="2004" t="s">
        <v>2337</v>
      </c>
      <c r="AL496" s="2004" t="s">
        <v>2337</v>
      </c>
      <c r="AM496" s="2004" t="s">
        <v>2337</v>
      </c>
      <c r="AN496" s="2004">
        <v>99.929000000000002</v>
      </c>
      <c r="AO496" s="2004">
        <v>99.929000000000002</v>
      </c>
      <c r="AP496" s="2004">
        <v>99.938999999999993</v>
      </c>
      <c r="AQ496" s="2004">
        <v>99.938999999999993</v>
      </c>
      <c r="AR496" s="2004">
        <v>99.938999999999993</v>
      </c>
      <c r="AS496" s="2004">
        <v>99.94</v>
      </c>
      <c r="AT496" s="2004">
        <v>99.94</v>
      </c>
      <c r="AU496" s="2004">
        <v>99.95</v>
      </c>
      <c r="AV496" s="2004">
        <v>99.95</v>
      </c>
      <c r="AW496" s="2004">
        <v>99.95</v>
      </c>
      <c r="AX496" s="2004"/>
      <c r="AY496" s="2004"/>
      <c r="AZ496" s="2004"/>
      <c r="BA496" s="2004"/>
      <c r="BB496" s="2004"/>
      <c r="BC496" s="2004"/>
      <c r="BD496" s="2004"/>
      <c r="BE496" s="2004"/>
      <c r="BF496" s="2004"/>
      <c r="BG496" s="2004"/>
      <c r="BH496" s="2004">
        <v>8.9201160000000002</v>
      </c>
      <c r="BI496" s="2004"/>
      <c r="BJ496" s="2004"/>
      <c r="BK496" s="2004"/>
      <c r="BL496" s="2004"/>
      <c r="BM496" s="2004"/>
      <c r="BN496" s="2004">
        <v>100</v>
      </c>
      <c r="BO496" s="2004" t="s">
        <v>9574</v>
      </c>
      <c r="BP496" s="516">
        <v>99.953000000000003</v>
      </c>
      <c r="BQ496" s="700">
        <v>99.953999999999994</v>
      </c>
      <c r="BR496" s="2004" t="s">
        <v>2334</v>
      </c>
      <c r="BS496" s="2004" t="s">
        <v>9204</v>
      </c>
      <c r="BT496" s="2004">
        <v>0</v>
      </c>
      <c r="BU496" s="2004" t="s">
        <v>9120</v>
      </c>
      <c r="BV496" s="2004">
        <v>0</v>
      </c>
      <c r="BW496" s="2004">
        <v>99.962000000000003</v>
      </c>
      <c r="BX496" s="2004" t="s">
        <v>2337</v>
      </c>
      <c r="BY496" s="2004">
        <v>0</v>
      </c>
      <c r="BZ496" s="2004">
        <v>0</v>
      </c>
      <c r="CA496" s="2004">
        <v>0</v>
      </c>
      <c r="CB496" s="2004">
        <v>0</v>
      </c>
      <c r="CC496" s="2004">
        <v>99.953000000000003</v>
      </c>
      <c r="CD496" s="2004" t="s">
        <v>2334</v>
      </c>
      <c r="CE496" s="2004">
        <v>0</v>
      </c>
      <c r="CF496" s="2004">
        <v>0</v>
      </c>
      <c r="CG496" s="2004" t="s">
        <v>2340</v>
      </c>
      <c r="CH496" s="2004">
        <v>0</v>
      </c>
      <c r="CI496" s="2004">
        <v>99.962000000000003</v>
      </c>
      <c r="CJ496" s="2004" t="s">
        <v>2334</v>
      </c>
      <c r="CK496" s="2004">
        <v>0</v>
      </c>
      <c r="CL496" s="2004">
        <v>0</v>
      </c>
      <c r="CM496" s="2004" t="s">
        <v>2340</v>
      </c>
      <c r="CN496" s="2004">
        <v>0</v>
      </c>
      <c r="CP496" s="2004" t="s">
        <v>11974</v>
      </c>
    </row>
    <row r="497" spans="1:94">
      <c r="A497" s="2004" t="s">
        <v>9082</v>
      </c>
      <c r="B497" s="2004" t="s">
        <v>11975</v>
      </c>
      <c r="C497" s="2004" t="s">
        <v>9047</v>
      </c>
      <c r="D497" s="2004" t="s">
        <v>1628</v>
      </c>
      <c r="E497" s="2004" t="s">
        <v>9194</v>
      </c>
      <c r="F497" s="2004" t="s">
        <v>11970</v>
      </c>
      <c r="G497" s="2004" t="s">
        <v>11190</v>
      </c>
      <c r="H497" s="2004" t="s">
        <v>11976</v>
      </c>
      <c r="I497" s="2004" t="s">
        <v>11977</v>
      </c>
      <c r="J497" s="2004" t="s">
        <v>9230</v>
      </c>
      <c r="K497" s="2004"/>
      <c r="L497" s="2004"/>
      <c r="M497" s="2004"/>
      <c r="N497" s="2004" t="s">
        <v>9238</v>
      </c>
      <c r="O497" s="2004" t="s">
        <v>766</v>
      </c>
      <c r="P497" s="2004" t="s">
        <v>11978</v>
      </c>
      <c r="Q497" s="516">
        <v>0</v>
      </c>
      <c r="R497" s="2004" t="s">
        <v>9202</v>
      </c>
      <c r="S497" s="2004">
        <v>6</v>
      </c>
      <c r="T497" s="2004">
        <v>6</v>
      </c>
      <c r="U497" s="2004">
        <v>6</v>
      </c>
      <c r="V497" s="2004">
        <v>6</v>
      </c>
      <c r="W497" s="2004">
        <v>6</v>
      </c>
      <c r="X497" s="2004">
        <v>6</v>
      </c>
      <c r="Y497" s="2004"/>
      <c r="Z497" s="2004"/>
      <c r="AA497" s="2004"/>
      <c r="AB497" s="2004"/>
      <c r="AC497" s="2004"/>
      <c r="AD497" s="2004"/>
      <c r="AE497" s="2004" t="s">
        <v>2337</v>
      </c>
      <c r="AF497" s="2004"/>
      <c r="AG497" s="2004"/>
      <c r="AH497" s="2004">
        <v>0</v>
      </c>
      <c r="AI497" s="2004"/>
      <c r="AJ497" s="2004"/>
      <c r="AK497" s="2004"/>
      <c r="AL497" s="2004"/>
      <c r="AM497" s="2004"/>
      <c r="AN497" s="2004"/>
      <c r="AO497" s="2004"/>
      <c r="AP497" s="2004"/>
      <c r="AQ497" s="2004"/>
      <c r="AR497" s="2004"/>
      <c r="AS497" s="2004"/>
      <c r="AT497" s="2004"/>
      <c r="AU497" s="2004"/>
      <c r="AV497" s="2004"/>
      <c r="AW497" s="2004"/>
      <c r="AX497" s="2004"/>
      <c r="AY497" s="2004"/>
      <c r="AZ497" s="2004"/>
      <c r="BA497" s="2004"/>
      <c r="BB497" s="2004"/>
      <c r="BC497" s="2004"/>
      <c r="BD497" s="2004"/>
      <c r="BE497" s="2004"/>
      <c r="BF497" s="2004"/>
      <c r="BG497" s="2004"/>
      <c r="BH497" s="2004"/>
      <c r="BI497" s="2004"/>
      <c r="BJ497" s="2004"/>
      <c r="BK497" s="2004"/>
      <c r="BL497" s="2004"/>
      <c r="BM497" s="2004"/>
      <c r="BN497" s="2004"/>
      <c r="BO497" s="2004"/>
      <c r="BP497" s="516">
        <v>3</v>
      </c>
      <c r="BQ497" s="689">
        <v>5</v>
      </c>
      <c r="BR497" s="2004" t="s">
        <v>2337</v>
      </c>
      <c r="BS497" s="2004" t="s">
        <v>9204</v>
      </c>
      <c r="BT497" s="2004">
        <v>0</v>
      </c>
      <c r="BU497" s="2004" t="s">
        <v>9204</v>
      </c>
      <c r="BV497" s="2004">
        <v>0</v>
      </c>
      <c r="BW497" s="2004">
        <v>3</v>
      </c>
      <c r="BX497" s="2004" t="s">
        <v>2337</v>
      </c>
      <c r="BY497" s="2004">
        <v>0</v>
      </c>
      <c r="BZ497" s="2004">
        <v>0</v>
      </c>
      <c r="CA497" s="2004">
        <v>0</v>
      </c>
      <c r="CB497" s="2004">
        <v>0</v>
      </c>
      <c r="CC497" s="2004">
        <v>4</v>
      </c>
      <c r="CD497" s="2004" t="s">
        <v>2337</v>
      </c>
      <c r="CE497" s="2004">
        <v>0</v>
      </c>
      <c r="CF497" s="2004">
        <v>0</v>
      </c>
      <c r="CG497" s="2004">
        <v>0</v>
      </c>
      <c r="CH497" s="2004">
        <v>0</v>
      </c>
      <c r="CI497" s="2004">
        <v>5</v>
      </c>
      <c r="CJ497" s="2004" t="s">
        <v>2337</v>
      </c>
      <c r="CK497" s="2004">
        <v>0</v>
      </c>
      <c r="CL497" s="2004">
        <v>0</v>
      </c>
      <c r="CM497" s="2004">
        <v>0</v>
      </c>
      <c r="CN497" s="2004">
        <v>0</v>
      </c>
      <c r="CP497" s="2004" t="s">
        <v>11979</v>
      </c>
    </row>
    <row r="498" spans="1:94">
      <c r="A498" s="2004" t="s">
        <v>9082</v>
      </c>
      <c r="B498" s="2004" t="s">
        <v>11980</v>
      </c>
      <c r="C498" s="2004" t="s">
        <v>9047</v>
      </c>
      <c r="D498" s="2004" t="s">
        <v>1628</v>
      </c>
      <c r="E498" s="2004" t="s">
        <v>9194</v>
      </c>
      <c r="F498" s="2004" t="s">
        <v>11970</v>
      </c>
      <c r="G498" s="2004" t="s">
        <v>11196</v>
      </c>
      <c r="H498" s="2004" t="s">
        <v>11981</v>
      </c>
      <c r="I498" s="2004" t="s">
        <v>11982</v>
      </c>
      <c r="J498" s="2004" t="s">
        <v>9199</v>
      </c>
      <c r="K498" s="2004" t="s">
        <v>11983</v>
      </c>
      <c r="L498" s="2004"/>
      <c r="M498" s="2004"/>
      <c r="N498" s="2004" t="s">
        <v>9154</v>
      </c>
      <c r="O498" s="2004" t="s">
        <v>766</v>
      </c>
      <c r="P498" s="2004" t="s">
        <v>11984</v>
      </c>
      <c r="Q498" s="516">
        <v>0</v>
      </c>
      <c r="R498" s="2004" t="s">
        <v>9202</v>
      </c>
      <c r="S498" s="2004">
        <v>12143</v>
      </c>
      <c r="T498" s="2004">
        <v>10131</v>
      </c>
      <c r="U498" s="2004">
        <v>8120</v>
      </c>
      <c r="V498" s="2004">
        <v>6108</v>
      </c>
      <c r="W498" s="2004">
        <v>6108</v>
      </c>
      <c r="X498" s="2004">
        <v>6108</v>
      </c>
      <c r="Y498" s="2004"/>
      <c r="Z498" s="2004" t="s">
        <v>2337</v>
      </c>
      <c r="AA498" s="2004"/>
      <c r="AB498" s="2004"/>
      <c r="AC498" s="2004"/>
      <c r="AD498" s="2004"/>
      <c r="AE498" s="2004" t="s">
        <v>2337</v>
      </c>
      <c r="AF498" s="2004"/>
      <c r="AG498" s="2004"/>
      <c r="AH498" s="2004">
        <v>0</v>
      </c>
      <c r="AI498" s="2004" t="s">
        <v>2337</v>
      </c>
      <c r="AJ498" s="2004" t="s">
        <v>2337</v>
      </c>
      <c r="AK498" s="2004" t="s">
        <v>2337</v>
      </c>
      <c r="AL498" s="2004" t="s">
        <v>2337</v>
      </c>
      <c r="AM498" s="2004" t="s">
        <v>2337</v>
      </c>
      <c r="AN498" s="2004">
        <v>15000</v>
      </c>
      <c r="AO498" s="2004">
        <v>15000</v>
      </c>
      <c r="AP498" s="2004">
        <v>8965</v>
      </c>
      <c r="AQ498" s="2004">
        <v>8965</v>
      </c>
      <c r="AR498" s="2004">
        <v>8965</v>
      </c>
      <c r="AS498" s="2004">
        <v>12143</v>
      </c>
      <c r="AT498" s="2004">
        <v>12143</v>
      </c>
      <c r="AU498" s="2004">
        <v>6108</v>
      </c>
      <c r="AV498" s="2004">
        <v>6108</v>
      </c>
      <c r="AW498" s="2004">
        <v>6108</v>
      </c>
      <c r="AX498" s="2004">
        <v>6108</v>
      </c>
      <c r="AY498" s="2004">
        <v>6108</v>
      </c>
      <c r="AZ498" s="2004">
        <v>6108</v>
      </c>
      <c r="BA498" s="2004">
        <v>6108</v>
      </c>
      <c r="BB498" s="2004">
        <v>6108</v>
      </c>
      <c r="BC498" s="2004">
        <v>2775</v>
      </c>
      <c r="BD498" s="2004">
        <v>2775</v>
      </c>
      <c r="BE498" s="2004">
        <v>2775</v>
      </c>
      <c r="BF498" s="2004">
        <v>2775</v>
      </c>
      <c r="BG498" s="2004">
        <v>2775</v>
      </c>
      <c r="BH498" s="2004">
        <v>3.3E-3</v>
      </c>
      <c r="BI498" s="2004"/>
      <c r="BJ498" s="2004"/>
      <c r="BK498" s="2004"/>
      <c r="BL498" s="2004">
        <v>2.6649999999999998E-3</v>
      </c>
      <c r="BM498" s="2004"/>
      <c r="BN498" s="2004">
        <v>1</v>
      </c>
      <c r="BO498" s="2004" t="s">
        <v>9203</v>
      </c>
      <c r="BP498" s="516">
        <v>10570</v>
      </c>
      <c r="BQ498" s="689">
        <v>10007</v>
      </c>
      <c r="BR498" s="2004" t="s">
        <v>2337</v>
      </c>
      <c r="BS498" s="2004" t="s">
        <v>9204</v>
      </c>
      <c r="BT498" s="2004">
        <v>0</v>
      </c>
      <c r="BU498" s="2004" t="s">
        <v>9074</v>
      </c>
      <c r="BV498" s="2004">
        <v>0</v>
      </c>
      <c r="BW498" s="2004">
        <v>9093</v>
      </c>
      <c r="BX498" s="2004" t="s">
        <v>2334</v>
      </c>
      <c r="BY498" s="2004">
        <v>0</v>
      </c>
      <c r="BZ498" s="2004">
        <v>0</v>
      </c>
      <c r="CA498" s="2004" t="s">
        <v>9120</v>
      </c>
      <c r="CB498" s="2004">
        <v>0</v>
      </c>
      <c r="CC498" s="2004">
        <v>8100</v>
      </c>
      <c r="CD498" s="2004" t="s">
        <v>2334</v>
      </c>
      <c r="CE498" s="2004">
        <v>0</v>
      </c>
      <c r="CF498" s="2004">
        <v>0</v>
      </c>
      <c r="CG498" s="2004" t="s">
        <v>2336</v>
      </c>
      <c r="CH498" s="2004">
        <v>-6.5735999999999999</v>
      </c>
      <c r="CI498" s="2004">
        <v>7964</v>
      </c>
      <c r="CJ498" s="2004" t="s">
        <v>2334</v>
      </c>
      <c r="CK498" s="2004">
        <v>0</v>
      </c>
      <c r="CL498" s="2004">
        <v>0</v>
      </c>
      <c r="CM498" s="2004" t="s">
        <v>2336</v>
      </c>
      <c r="CN498" s="2004">
        <v>-6.1247999999999996</v>
      </c>
      <c r="CP498" s="2004" t="s">
        <v>11985</v>
      </c>
    </row>
    <row r="499" spans="1:94">
      <c r="A499" s="2004" t="s">
        <v>9082</v>
      </c>
      <c r="B499" s="2004" t="s">
        <v>11986</v>
      </c>
      <c r="C499" s="2004" t="s">
        <v>9047</v>
      </c>
      <c r="D499" s="2004" t="s">
        <v>1628</v>
      </c>
      <c r="E499" s="2004" t="s">
        <v>9194</v>
      </c>
      <c r="F499" s="2004" t="s">
        <v>11970</v>
      </c>
      <c r="G499" s="2004" t="s">
        <v>11202</v>
      </c>
      <c r="H499" s="2004" t="s">
        <v>11987</v>
      </c>
      <c r="I499" s="2004" t="s">
        <v>11988</v>
      </c>
      <c r="J499" s="2004" t="s">
        <v>9210</v>
      </c>
      <c r="K499" s="2004" t="s">
        <v>11973</v>
      </c>
      <c r="L499" s="2004"/>
      <c r="M499" s="2004" t="s">
        <v>2334</v>
      </c>
      <c r="N499" s="2004" t="s">
        <v>9260</v>
      </c>
      <c r="O499" s="2004" t="s">
        <v>9395</v>
      </c>
      <c r="P499" s="2004" t="s">
        <v>9546</v>
      </c>
      <c r="Q499" s="516" t="s">
        <v>9203</v>
      </c>
      <c r="R499" s="2004"/>
      <c r="S499" s="2004" t="s">
        <v>2338</v>
      </c>
      <c r="T499" s="2004"/>
      <c r="U499" s="2004"/>
      <c r="V499" s="2004"/>
      <c r="W499" s="2004"/>
      <c r="X499" s="2004" t="s">
        <v>2338</v>
      </c>
      <c r="Y499" s="2004"/>
      <c r="Z499" s="2004"/>
      <c r="AA499" s="2004"/>
      <c r="AB499" s="2004"/>
      <c r="AC499" s="2004"/>
      <c r="AD499" s="2004"/>
      <c r="AE499" s="2004" t="s">
        <v>2337</v>
      </c>
      <c r="AF499" s="2004"/>
      <c r="AG499" s="2004"/>
      <c r="AH499" s="2004">
        <v>5</v>
      </c>
      <c r="AI499" s="2004"/>
      <c r="AJ499" s="2004"/>
      <c r="AK499" s="2004"/>
      <c r="AL499" s="2004"/>
      <c r="AM499" s="2004" t="s">
        <v>2337</v>
      </c>
      <c r="AN499" s="2004"/>
      <c r="AO499" s="2004"/>
      <c r="AP499" s="2004"/>
      <c r="AQ499" s="2004"/>
      <c r="AR499" s="2004"/>
      <c r="AS499" s="2004"/>
      <c r="AT499" s="2004"/>
      <c r="AU499" s="2004"/>
      <c r="AV499" s="2004"/>
      <c r="AW499" s="2004" t="s">
        <v>9547</v>
      </c>
      <c r="AX499" s="2004"/>
      <c r="AY499" s="2004"/>
      <c r="AZ499" s="2004"/>
      <c r="BA499" s="2004"/>
      <c r="BB499" s="2004"/>
      <c r="BC499" s="2004"/>
      <c r="BD499" s="2004"/>
      <c r="BE499" s="2004"/>
      <c r="BF499" s="2004"/>
      <c r="BG499" s="2004"/>
      <c r="BH499" s="2004" t="s">
        <v>11989</v>
      </c>
      <c r="BI499" s="2004"/>
      <c r="BJ499" s="2004"/>
      <c r="BK499" s="2004"/>
      <c r="BL499" s="2004"/>
      <c r="BM499" s="2004"/>
      <c r="BN499" s="2004">
        <v>1</v>
      </c>
      <c r="BO499" s="2004" t="s">
        <v>9203</v>
      </c>
      <c r="BP499" s="516" t="s">
        <v>11990</v>
      </c>
      <c r="BQ499" s="704" t="s">
        <v>11990</v>
      </c>
      <c r="BR499" s="2004" t="s">
        <v>9204</v>
      </c>
      <c r="BS499" s="2004" t="s">
        <v>9204</v>
      </c>
      <c r="BT499" s="2004">
        <v>0</v>
      </c>
      <c r="BU499" s="2004" t="s">
        <v>9204</v>
      </c>
      <c r="BV499" s="2004">
        <v>0</v>
      </c>
      <c r="BW499" s="2004" t="s">
        <v>11990</v>
      </c>
      <c r="BX499" s="2004" t="s">
        <v>2335</v>
      </c>
      <c r="BY499" s="2004">
        <v>0</v>
      </c>
      <c r="BZ499" s="2004">
        <v>0</v>
      </c>
      <c r="CA499" s="2004">
        <v>0</v>
      </c>
      <c r="CB499" s="2004">
        <v>0</v>
      </c>
      <c r="CC499" s="2004" t="s">
        <v>2338</v>
      </c>
      <c r="CD499" s="2004" t="s">
        <v>2335</v>
      </c>
      <c r="CE499" s="2004">
        <v>0</v>
      </c>
      <c r="CF499" s="2004">
        <v>0</v>
      </c>
      <c r="CG499" s="2004">
        <v>0</v>
      </c>
      <c r="CH499" s="2004">
        <v>0</v>
      </c>
      <c r="CI499" s="2004" t="s">
        <v>2338</v>
      </c>
      <c r="CJ499" s="2004" t="s">
        <v>11991</v>
      </c>
      <c r="CK499" s="2004">
        <v>0</v>
      </c>
      <c r="CL499" s="2004">
        <v>0</v>
      </c>
      <c r="CM499" s="2004">
        <v>0</v>
      </c>
      <c r="CN499" s="2004">
        <v>0</v>
      </c>
      <c r="CP499" s="2004" t="s">
        <v>11992</v>
      </c>
    </row>
    <row r="500" spans="1:94">
      <c r="A500" s="2004" t="s">
        <v>9082</v>
      </c>
      <c r="B500" s="2004" t="s">
        <v>11993</v>
      </c>
      <c r="C500" s="2004" t="s">
        <v>9047</v>
      </c>
      <c r="D500" s="2004" t="s">
        <v>1628</v>
      </c>
      <c r="E500" s="2004" t="s">
        <v>9194</v>
      </c>
      <c r="F500" s="2004" t="s">
        <v>11994</v>
      </c>
      <c r="G500" s="2004" t="s">
        <v>11216</v>
      </c>
      <c r="H500" s="2004" t="s">
        <v>11995</v>
      </c>
      <c r="I500" s="2004" t="s">
        <v>11996</v>
      </c>
      <c r="J500" s="2004" t="s">
        <v>9199</v>
      </c>
      <c r="K500" s="2004" t="s">
        <v>11983</v>
      </c>
      <c r="L500" s="2004"/>
      <c r="M500" s="2004"/>
      <c r="N500" s="2004" t="s">
        <v>2927</v>
      </c>
      <c r="O500" s="2004" t="s">
        <v>766</v>
      </c>
      <c r="P500" s="2004" t="s">
        <v>9201</v>
      </c>
      <c r="Q500" s="516">
        <v>1</v>
      </c>
      <c r="R500" s="2004" t="s">
        <v>9202</v>
      </c>
      <c r="S500" s="2004">
        <v>297.10000000000002</v>
      </c>
      <c r="T500" s="2004">
        <v>297.10000000000002</v>
      </c>
      <c r="U500" s="2004">
        <v>297.10000000000002</v>
      </c>
      <c r="V500" s="2004">
        <v>297.10000000000002</v>
      </c>
      <c r="W500" s="2004">
        <v>292.10000000000002</v>
      </c>
      <c r="X500" s="2004">
        <v>287.10000000000002</v>
      </c>
      <c r="Y500" s="2004"/>
      <c r="Z500" s="2004"/>
      <c r="AA500" s="2004"/>
      <c r="AB500" s="2004"/>
      <c r="AC500" s="2004"/>
      <c r="AD500" s="2004"/>
      <c r="AE500" s="2004" t="s">
        <v>2337</v>
      </c>
      <c r="AF500" s="2004"/>
      <c r="AG500" s="2004"/>
      <c r="AH500" s="2004">
        <v>0</v>
      </c>
      <c r="AI500" s="2004" t="s">
        <v>2337</v>
      </c>
      <c r="AJ500" s="2004" t="s">
        <v>2337</v>
      </c>
      <c r="AK500" s="2004" t="s">
        <v>2337</v>
      </c>
      <c r="AL500" s="2004" t="s">
        <v>2337</v>
      </c>
      <c r="AM500" s="2004" t="s">
        <v>2337</v>
      </c>
      <c r="AN500" s="2004">
        <v>999999.9</v>
      </c>
      <c r="AO500" s="2004">
        <v>999999.9</v>
      </c>
      <c r="AP500" s="2004">
        <v>999999.9</v>
      </c>
      <c r="AQ500" s="2004">
        <v>999999.9</v>
      </c>
      <c r="AR500" s="2004">
        <v>999999.9</v>
      </c>
      <c r="AS500" s="2004">
        <v>302.10000000000002</v>
      </c>
      <c r="AT500" s="2004">
        <v>302.10000000000002</v>
      </c>
      <c r="AU500" s="2004">
        <v>302.10000000000002</v>
      </c>
      <c r="AV500" s="2004">
        <v>297.10000000000002</v>
      </c>
      <c r="AW500" s="2004">
        <v>292.10000000000002</v>
      </c>
      <c r="AX500" s="2004">
        <v>274</v>
      </c>
      <c r="AY500" s="2004">
        <v>274</v>
      </c>
      <c r="AZ500" s="2004">
        <v>274</v>
      </c>
      <c r="BA500" s="2004">
        <v>274</v>
      </c>
      <c r="BB500" s="2004">
        <v>274</v>
      </c>
      <c r="BC500" s="2004">
        <v>0</v>
      </c>
      <c r="BD500" s="2004">
        <v>0</v>
      </c>
      <c r="BE500" s="2004">
        <v>0</v>
      </c>
      <c r="BF500" s="2004">
        <v>0</v>
      </c>
      <c r="BG500" s="2004">
        <v>0</v>
      </c>
      <c r="BH500" s="2004">
        <v>0.100948</v>
      </c>
      <c r="BI500" s="2004"/>
      <c r="BJ500" s="2004"/>
      <c r="BK500" s="2004"/>
      <c r="BL500" s="2004">
        <v>5.0507000000000003E-2</v>
      </c>
      <c r="BM500" s="2004"/>
      <c r="BN500" s="2004">
        <v>1</v>
      </c>
      <c r="BO500" s="2004" t="s">
        <v>9203</v>
      </c>
      <c r="BP500" s="516">
        <v>288.42</v>
      </c>
      <c r="BQ500" s="686">
        <v>285.12</v>
      </c>
      <c r="BR500" s="2004" t="s">
        <v>2337</v>
      </c>
      <c r="BS500" s="2004" t="s">
        <v>9204</v>
      </c>
      <c r="BT500" s="2004">
        <v>0</v>
      </c>
      <c r="BU500" s="2004" t="s">
        <v>9074</v>
      </c>
      <c r="BV500" s="2004">
        <v>0</v>
      </c>
      <c r="BW500" s="2004">
        <v>295.16000000000003</v>
      </c>
      <c r="BX500" s="2004" t="s">
        <v>2337</v>
      </c>
      <c r="BY500" s="2004">
        <v>0</v>
      </c>
      <c r="BZ500" s="2004">
        <v>0</v>
      </c>
      <c r="CA500" s="2004" t="s">
        <v>9074</v>
      </c>
      <c r="CB500" s="2004">
        <v>0</v>
      </c>
      <c r="CC500" s="2004">
        <v>300.27999999999997</v>
      </c>
      <c r="CD500" s="2004" t="s">
        <v>2334</v>
      </c>
      <c r="CE500" s="2004">
        <v>0</v>
      </c>
      <c r="CF500" s="2004">
        <v>0</v>
      </c>
      <c r="CG500" s="2004" t="s">
        <v>2340</v>
      </c>
      <c r="CH500" s="2004">
        <v>0</v>
      </c>
      <c r="CI500" s="2004">
        <v>289.8</v>
      </c>
      <c r="CJ500" s="2004" t="s">
        <v>2337</v>
      </c>
      <c r="CK500" s="2004">
        <v>0</v>
      </c>
      <c r="CL500" s="2004">
        <v>0</v>
      </c>
      <c r="CM500" s="2004" t="s">
        <v>9074</v>
      </c>
      <c r="CN500" s="2004">
        <v>0</v>
      </c>
      <c r="CP500" s="2004" t="s">
        <v>11997</v>
      </c>
    </row>
    <row r="501" spans="1:94">
      <c r="A501" s="2004" t="s">
        <v>9082</v>
      </c>
      <c r="B501" s="2004" t="s">
        <v>11998</v>
      </c>
      <c r="C501" s="2004" t="s">
        <v>9047</v>
      </c>
      <c r="D501" s="2004" t="s">
        <v>1628</v>
      </c>
      <c r="E501" s="2004" t="s">
        <v>9194</v>
      </c>
      <c r="F501" s="2004" t="s">
        <v>11994</v>
      </c>
      <c r="G501" s="2004" t="s">
        <v>11221</v>
      </c>
      <c r="H501" s="2004" t="s">
        <v>11999</v>
      </c>
      <c r="I501" s="2004" t="s">
        <v>12000</v>
      </c>
      <c r="J501" s="2004" t="s">
        <v>9199</v>
      </c>
      <c r="K501" s="2004" t="s">
        <v>11983</v>
      </c>
      <c r="L501" s="2004"/>
      <c r="M501" s="2004"/>
      <c r="N501" s="2004" t="s">
        <v>2951</v>
      </c>
      <c r="O501" s="2004" t="s">
        <v>9298</v>
      </c>
      <c r="P501" s="2004" t="s">
        <v>12001</v>
      </c>
      <c r="Q501" s="516">
        <v>2</v>
      </c>
      <c r="R501" s="2004" t="s">
        <v>9202</v>
      </c>
      <c r="S501" s="2004">
        <v>14.44</v>
      </c>
      <c r="T501" s="2004">
        <v>13.63</v>
      </c>
      <c r="U501" s="2004">
        <v>12.81</v>
      </c>
      <c r="V501" s="2004">
        <v>12</v>
      </c>
      <c r="W501" s="2004">
        <v>12</v>
      </c>
      <c r="X501" s="2004">
        <v>12</v>
      </c>
      <c r="Y501" s="2004"/>
      <c r="Z501" s="2004"/>
      <c r="AA501" s="2004" t="s">
        <v>2337</v>
      </c>
      <c r="AB501" s="2004"/>
      <c r="AC501" s="2004"/>
      <c r="AD501" s="2004"/>
      <c r="AE501" s="2004" t="s">
        <v>2337</v>
      </c>
      <c r="AF501" s="2004"/>
      <c r="AG501" s="2004"/>
      <c r="AH501" s="2004">
        <v>0</v>
      </c>
      <c r="AI501" s="2004" t="s">
        <v>2337</v>
      </c>
      <c r="AJ501" s="2004" t="s">
        <v>2337</v>
      </c>
      <c r="AK501" s="2004" t="s">
        <v>2337</v>
      </c>
      <c r="AL501" s="2004" t="s">
        <v>2337</v>
      </c>
      <c r="AM501" s="2004" t="s">
        <v>2337</v>
      </c>
      <c r="AN501" s="2004">
        <v>18.440000000000001</v>
      </c>
      <c r="AO501" s="2004">
        <v>18.440000000000001</v>
      </c>
      <c r="AP501" s="2004">
        <v>16</v>
      </c>
      <c r="AQ501" s="2004">
        <v>16</v>
      </c>
      <c r="AR501" s="2004">
        <v>16</v>
      </c>
      <c r="AS501" s="2004">
        <v>14.44</v>
      </c>
      <c r="AT501" s="2004">
        <v>14.44</v>
      </c>
      <c r="AU501" s="2004">
        <v>12</v>
      </c>
      <c r="AV501" s="2004">
        <v>12</v>
      </c>
      <c r="AW501" s="2004">
        <v>12</v>
      </c>
      <c r="AX501" s="2004">
        <v>12</v>
      </c>
      <c r="AY501" s="2004">
        <v>12</v>
      </c>
      <c r="AZ501" s="2004">
        <v>12</v>
      </c>
      <c r="BA501" s="2004">
        <v>12</v>
      </c>
      <c r="BB501" s="2004">
        <v>12</v>
      </c>
      <c r="BC501" s="2004">
        <v>8.08</v>
      </c>
      <c r="BD501" s="2004">
        <v>8.08</v>
      </c>
      <c r="BE501" s="2004">
        <v>8.08</v>
      </c>
      <c r="BF501" s="2004">
        <v>8.08</v>
      </c>
      <c r="BG501" s="2004">
        <v>8.08</v>
      </c>
      <c r="BH501" s="2004">
        <v>2.6088819999999999</v>
      </c>
      <c r="BI501" s="2004"/>
      <c r="BJ501" s="2004"/>
      <c r="BK501" s="2004"/>
      <c r="BL501" s="2004">
        <v>2.6088819999999999</v>
      </c>
      <c r="BM501" s="2004"/>
      <c r="BN501" s="2004">
        <v>1</v>
      </c>
      <c r="BO501" s="2004" t="s">
        <v>9203</v>
      </c>
      <c r="BP501" s="516">
        <v>9.48</v>
      </c>
      <c r="BQ501" s="690">
        <v>12.89</v>
      </c>
      <c r="BR501" s="2004" t="s">
        <v>2337</v>
      </c>
      <c r="BS501" s="2004" t="s">
        <v>9204</v>
      </c>
      <c r="BT501" s="2004">
        <v>0</v>
      </c>
      <c r="BU501" s="2004" t="s">
        <v>9074</v>
      </c>
      <c r="BV501" s="2004">
        <v>0</v>
      </c>
      <c r="BW501" s="2004">
        <v>9.7799999999999994</v>
      </c>
      <c r="BX501" s="2004" t="s">
        <v>2337</v>
      </c>
      <c r="BY501" s="2004">
        <v>0</v>
      </c>
      <c r="BZ501" s="2004">
        <v>0</v>
      </c>
      <c r="CA501" s="2004" t="s">
        <v>2339</v>
      </c>
      <c r="CB501" s="2004">
        <v>5.7916999999999996</v>
      </c>
      <c r="CC501" s="2004">
        <v>6.96</v>
      </c>
      <c r="CD501" s="2004" t="s">
        <v>2337</v>
      </c>
      <c r="CE501" s="2004">
        <v>0</v>
      </c>
      <c r="CF501" s="2004">
        <v>0</v>
      </c>
      <c r="CG501" s="2004" t="s">
        <v>2339</v>
      </c>
      <c r="CH501" s="2004">
        <v>10.22681744</v>
      </c>
      <c r="CI501" s="2004">
        <v>10.46</v>
      </c>
      <c r="CJ501" s="2004" t="s">
        <v>2337</v>
      </c>
      <c r="CK501" s="2004">
        <v>0</v>
      </c>
      <c r="CL501" s="2004">
        <v>0</v>
      </c>
      <c r="CM501" s="2004" t="s">
        <v>2339</v>
      </c>
      <c r="CN501" s="2004">
        <v>4.0176782799999975</v>
      </c>
      <c r="CP501" s="2004" t="s">
        <v>12002</v>
      </c>
    </row>
    <row r="502" spans="1:94">
      <c r="A502" s="2004" t="s">
        <v>9082</v>
      </c>
      <c r="B502" s="2004" t="s">
        <v>12003</v>
      </c>
      <c r="C502" s="2004" t="s">
        <v>9047</v>
      </c>
      <c r="D502" s="2004" t="s">
        <v>1628</v>
      </c>
      <c r="E502" s="2004" t="s">
        <v>9194</v>
      </c>
      <c r="F502" s="2004" t="s">
        <v>11994</v>
      </c>
      <c r="G502" s="2004" t="s">
        <v>11226</v>
      </c>
      <c r="H502" s="2004" t="s">
        <v>12004</v>
      </c>
      <c r="I502" s="2004" t="s">
        <v>12005</v>
      </c>
      <c r="J502" s="2004" t="s">
        <v>9230</v>
      </c>
      <c r="K502" s="2004"/>
      <c r="L502" s="2004"/>
      <c r="M502" s="2004"/>
      <c r="N502" s="2004" t="s">
        <v>9211</v>
      </c>
      <c r="O502" s="2004" t="s">
        <v>766</v>
      </c>
      <c r="P502" s="2004" t="s">
        <v>9628</v>
      </c>
      <c r="Q502" s="516">
        <v>1</v>
      </c>
      <c r="R502" s="2004" t="s">
        <v>9202</v>
      </c>
      <c r="S502" s="2004">
        <v>143.69999999999999</v>
      </c>
      <c r="T502" s="2004">
        <v>142.6</v>
      </c>
      <c r="U502" s="2004">
        <v>141.5</v>
      </c>
      <c r="V502" s="2004">
        <v>140.4</v>
      </c>
      <c r="W502" s="2004">
        <v>139.30000000000001</v>
      </c>
      <c r="X502" s="2004">
        <v>138.30000000000001</v>
      </c>
      <c r="Y502" s="2004"/>
      <c r="Z502" s="2004"/>
      <c r="AA502" s="2004"/>
      <c r="AB502" s="2004"/>
      <c r="AC502" s="2004"/>
      <c r="AD502" s="2004"/>
      <c r="AE502" s="2004"/>
      <c r="AF502" s="2004"/>
      <c r="AG502" s="2004"/>
      <c r="AH502" s="2004">
        <v>0</v>
      </c>
      <c r="AI502" s="2004"/>
      <c r="AJ502" s="2004"/>
      <c r="AK502" s="2004"/>
      <c r="AL502" s="2004"/>
      <c r="AM502" s="2004"/>
      <c r="AN502" s="2004"/>
      <c r="AO502" s="2004"/>
      <c r="AP502" s="2004"/>
      <c r="AQ502" s="2004"/>
      <c r="AR502" s="2004"/>
      <c r="AS502" s="2004"/>
      <c r="AT502" s="2004"/>
      <c r="AU502" s="2004"/>
      <c r="AV502" s="2004"/>
      <c r="AW502" s="2004"/>
      <c r="AX502" s="2004"/>
      <c r="AY502" s="2004"/>
      <c r="AZ502" s="2004"/>
      <c r="BA502" s="2004"/>
      <c r="BB502" s="2004"/>
      <c r="BC502" s="2004"/>
      <c r="BD502" s="2004"/>
      <c r="BE502" s="2004"/>
      <c r="BF502" s="2004"/>
      <c r="BG502" s="2004"/>
      <c r="BH502" s="2004"/>
      <c r="BI502" s="2004"/>
      <c r="BJ502" s="2004"/>
      <c r="BK502" s="2004"/>
      <c r="BL502" s="2004"/>
      <c r="BM502" s="2004"/>
      <c r="BN502" s="2004"/>
      <c r="BO502" s="2004"/>
      <c r="BP502" s="516" t="s">
        <v>4150</v>
      </c>
      <c r="BQ502" s="686">
        <v>141.71</v>
      </c>
      <c r="BR502" s="2004" t="s">
        <v>2337</v>
      </c>
      <c r="BS502" s="2004" t="s">
        <v>9204</v>
      </c>
      <c r="BT502" s="2004">
        <v>0</v>
      </c>
      <c r="BU502" s="2004" t="s">
        <v>9204</v>
      </c>
      <c r="BV502" s="2004">
        <v>0</v>
      </c>
      <c r="BW502" s="2004">
        <v>137.4</v>
      </c>
      <c r="BX502" s="2004" t="s">
        <v>2337</v>
      </c>
      <c r="BY502" s="2004">
        <v>0</v>
      </c>
      <c r="BZ502" s="2004">
        <v>0</v>
      </c>
      <c r="CA502" s="2004">
        <v>0</v>
      </c>
      <c r="CB502" s="2004">
        <v>0</v>
      </c>
      <c r="CC502" s="2004">
        <v>135.85</v>
      </c>
      <c r="CD502" s="2004" t="s">
        <v>2337</v>
      </c>
      <c r="CE502" s="2004">
        <v>0</v>
      </c>
      <c r="CF502" s="2004">
        <v>0</v>
      </c>
      <c r="CG502" s="2004">
        <v>0</v>
      </c>
      <c r="CH502" s="2004">
        <v>0</v>
      </c>
      <c r="CI502" s="2004">
        <v>133.5</v>
      </c>
      <c r="CJ502" s="2004" t="s">
        <v>2337</v>
      </c>
      <c r="CK502" s="2004">
        <v>0</v>
      </c>
      <c r="CL502" s="2004">
        <v>0</v>
      </c>
      <c r="CM502" s="2004">
        <v>0</v>
      </c>
      <c r="CN502" s="2004">
        <v>0</v>
      </c>
      <c r="CP502" s="2004" t="s">
        <v>12006</v>
      </c>
    </row>
    <row r="503" spans="1:94">
      <c r="A503" s="2004" t="s">
        <v>9082</v>
      </c>
      <c r="B503" s="2004" t="s">
        <v>12007</v>
      </c>
      <c r="C503" s="2004" t="s">
        <v>9047</v>
      </c>
      <c r="D503" s="2004" t="s">
        <v>1628</v>
      </c>
      <c r="E503" s="2004" t="s">
        <v>9194</v>
      </c>
      <c r="F503" s="2004" t="s">
        <v>11994</v>
      </c>
      <c r="G503" s="2004" t="s">
        <v>11231</v>
      </c>
      <c r="H503" s="2004" t="s">
        <v>12008</v>
      </c>
      <c r="I503" s="2004" t="s">
        <v>12009</v>
      </c>
      <c r="J503" s="2004" t="s">
        <v>9210</v>
      </c>
      <c r="K503" s="2004" t="s">
        <v>11973</v>
      </c>
      <c r="L503" s="2004"/>
      <c r="M503" s="2004" t="s">
        <v>2334</v>
      </c>
      <c r="N503" s="2004" t="s">
        <v>9260</v>
      </c>
      <c r="O503" s="2004" t="s">
        <v>9395</v>
      </c>
      <c r="P503" s="2004" t="s">
        <v>9546</v>
      </c>
      <c r="Q503" s="516" t="s">
        <v>9203</v>
      </c>
      <c r="R503" s="2004"/>
      <c r="S503" s="2004" t="s">
        <v>2338</v>
      </c>
      <c r="T503" s="2004"/>
      <c r="U503" s="2004"/>
      <c r="V503" s="2004"/>
      <c r="W503" s="2004"/>
      <c r="X503" s="2004" t="s">
        <v>2338</v>
      </c>
      <c r="Y503" s="2004"/>
      <c r="Z503" s="2004"/>
      <c r="AA503" s="2004"/>
      <c r="AB503" s="2004"/>
      <c r="AC503" s="2004"/>
      <c r="AD503" s="2004"/>
      <c r="AE503" s="2004" t="s">
        <v>2337</v>
      </c>
      <c r="AF503" s="2004"/>
      <c r="AG503" s="2004"/>
      <c r="AH503" s="2004">
        <v>6</v>
      </c>
      <c r="AI503" s="2004"/>
      <c r="AJ503" s="2004"/>
      <c r="AK503" s="2004"/>
      <c r="AL503" s="2004"/>
      <c r="AM503" s="2004" t="s">
        <v>2337</v>
      </c>
      <c r="AN503" s="2004"/>
      <c r="AO503" s="2004"/>
      <c r="AP503" s="2004"/>
      <c r="AQ503" s="2004"/>
      <c r="AR503" s="2004"/>
      <c r="AS503" s="2004"/>
      <c r="AT503" s="2004"/>
      <c r="AU503" s="2004"/>
      <c r="AV503" s="2004"/>
      <c r="AW503" s="2004" t="s">
        <v>9547</v>
      </c>
      <c r="AX503" s="2004"/>
      <c r="AY503" s="2004"/>
      <c r="AZ503" s="2004"/>
      <c r="BA503" s="2004"/>
      <c r="BB503" s="2004"/>
      <c r="BC503" s="2004"/>
      <c r="BD503" s="2004"/>
      <c r="BE503" s="2004"/>
      <c r="BF503" s="2004"/>
      <c r="BG503" s="2004"/>
      <c r="BH503" s="2004" t="s">
        <v>11989</v>
      </c>
      <c r="BI503" s="2004"/>
      <c r="BJ503" s="2004"/>
      <c r="BK503" s="2004"/>
      <c r="BL503" s="2004"/>
      <c r="BM503" s="2004"/>
      <c r="BN503" s="2004">
        <v>1</v>
      </c>
      <c r="BO503" s="2004" t="s">
        <v>9203</v>
      </c>
      <c r="BP503" s="516" t="s">
        <v>11990</v>
      </c>
      <c r="BQ503" s="704" t="s">
        <v>11990</v>
      </c>
      <c r="BR503" s="2004" t="s">
        <v>9204</v>
      </c>
      <c r="BS503" s="2004" t="s">
        <v>9204</v>
      </c>
      <c r="BT503" s="2004">
        <v>0</v>
      </c>
      <c r="BU503" s="2004" t="s">
        <v>9204</v>
      </c>
      <c r="BV503" s="2004">
        <v>0</v>
      </c>
      <c r="BW503" s="2004" t="s">
        <v>2338</v>
      </c>
      <c r="BX503" s="2004" t="s">
        <v>2335</v>
      </c>
      <c r="BY503" s="2004">
        <v>0</v>
      </c>
      <c r="BZ503" s="2004">
        <v>0</v>
      </c>
      <c r="CA503" s="2004">
        <v>0</v>
      </c>
      <c r="CB503" s="2004">
        <v>0</v>
      </c>
      <c r="CC503" s="2004" t="s">
        <v>2338</v>
      </c>
      <c r="CD503" s="2004" t="s">
        <v>2335</v>
      </c>
      <c r="CE503" s="2004">
        <v>0</v>
      </c>
      <c r="CF503" s="2004">
        <v>0</v>
      </c>
      <c r="CG503" s="2004">
        <v>0</v>
      </c>
      <c r="CH503" s="2004">
        <v>0</v>
      </c>
      <c r="CI503" s="2004" t="s">
        <v>2338</v>
      </c>
      <c r="CJ503" s="2004" t="s">
        <v>2337</v>
      </c>
      <c r="CK503" s="2004">
        <v>0</v>
      </c>
      <c r="CL503" s="2004">
        <v>0</v>
      </c>
      <c r="CM503" s="2004">
        <v>0</v>
      </c>
      <c r="CN503" s="2004">
        <v>0</v>
      </c>
      <c r="CP503" s="2004" t="s">
        <v>12010</v>
      </c>
    </row>
    <row r="504" spans="1:94">
      <c r="A504" s="2004" t="s">
        <v>9082</v>
      </c>
      <c r="B504" s="2004" t="s">
        <v>12011</v>
      </c>
      <c r="C504" s="2004" t="s">
        <v>9047</v>
      </c>
      <c r="D504" s="2004" t="s">
        <v>1628</v>
      </c>
      <c r="E504" s="2004" t="s">
        <v>9194</v>
      </c>
      <c r="F504" s="2004" t="s">
        <v>12012</v>
      </c>
      <c r="G504" s="2004" t="s">
        <v>11261</v>
      </c>
      <c r="H504" s="2004" t="s">
        <v>12013</v>
      </c>
      <c r="I504" s="2004" t="s">
        <v>12014</v>
      </c>
      <c r="J504" s="2004" t="s">
        <v>9199</v>
      </c>
      <c r="K504" s="2004" t="s">
        <v>11983</v>
      </c>
      <c r="L504" s="2004"/>
      <c r="M504" s="2004" t="s">
        <v>2334</v>
      </c>
      <c r="N504" s="2004" t="s">
        <v>9364</v>
      </c>
      <c r="O504" s="2004" t="s">
        <v>766</v>
      </c>
      <c r="P504" s="2004" t="s">
        <v>12015</v>
      </c>
      <c r="Q504" s="516">
        <v>0</v>
      </c>
      <c r="R504" s="2004" t="s">
        <v>9240</v>
      </c>
      <c r="S504" s="2004"/>
      <c r="T504" s="2004"/>
      <c r="U504" s="2004"/>
      <c r="V504" s="2004"/>
      <c r="W504" s="2004"/>
      <c r="X504" s="2004">
        <v>100</v>
      </c>
      <c r="Y504" s="2004"/>
      <c r="Z504" s="2004"/>
      <c r="AA504" s="2004"/>
      <c r="AB504" s="2004"/>
      <c r="AC504" s="2004"/>
      <c r="AD504" s="2004"/>
      <c r="AE504" s="2004"/>
      <c r="AF504" s="2004" t="s">
        <v>2337</v>
      </c>
      <c r="AG504" s="2004"/>
      <c r="AH504" s="2004">
        <v>0</v>
      </c>
      <c r="AI504" s="2004"/>
      <c r="AJ504" s="2004"/>
      <c r="AK504" s="2004"/>
      <c r="AL504" s="2004"/>
      <c r="AM504" s="2004" t="s">
        <v>2337</v>
      </c>
      <c r="AN504" s="2004"/>
      <c r="AO504" s="2004"/>
      <c r="AP504" s="2004"/>
      <c r="AQ504" s="2004"/>
      <c r="AR504" s="2004">
        <v>0</v>
      </c>
      <c r="AS504" s="2004"/>
      <c r="AT504" s="2004"/>
      <c r="AU504" s="2004"/>
      <c r="AV504" s="2004"/>
      <c r="AW504" s="2004">
        <v>97</v>
      </c>
      <c r="AX504" s="2004"/>
      <c r="AY504" s="2004"/>
      <c r="AZ504" s="2004"/>
      <c r="BA504" s="2004"/>
      <c r="BB504" s="2004">
        <v>103</v>
      </c>
      <c r="BC504" s="2004"/>
      <c r="BD504" s="2004"/>
      <c r="BE504" s="2004"/>
      <c r="BF504" s="2004"/>
      <c r="BG504" s="2004">
        <v>999999</v>
      </c>
      <c r="BH504" s="2004">
        <v>0.14623800000000001</v>
      </c>
      <c r="BI504" s="2004"/>
      <c r="BJ504" s="2004"/>
      <c r="BK504" s="2004"/>
      <c r="BL504" s="2004">
        <v>7.6696E-2</v>
      </c>
      <c r="BM504" s="2004"/>
      <c r="BN504" s="2004">
        <v>1</v>
      </c>
      <c r="BO504" s="2004" t="s">
        <v>9203</v>
      </c>
      <c r="BP504" s="516" t="s">
        <v>4150</v>
      </c>
      <c r="BQ504" s="689">
        <v>0</v>
      </c>
      <c r="BR504" s="2004" t="s">
        <v>9204</v>
      </c>
      <c r="BS504" s="2004" t="s">
        <v>9204</v>
      </c>
      <c r="BT504" s="2004">
        <v>0</v>
      </c>
      <c r="BU504" s="2004" t="s">
        <v>9204</v>
      </c>
      <c r="BV504" s="2004">
        <v>0</v>
      </c>
      <c r="BW504" s="2004">
        <v>0</v>
      </c>
      <c r="BX504" s="2004" t="s">
        <v>2335</v>
      </c>
      <c r="BY504" s="2004">
        <v>0</v>
      </c>
      <c r="BZ504" s="2004">
        <v>0</v>
      </c>
      <c r="CA504" s="2004">
        <v>0</v>
      </c>
      <c r="CB504" s="2004">
        <v>0</v>
      </c>
      <c r="CC504" s="2004" t="s">
        <v>2335</v>
      </c>
      <c r="CD504" s="2004" t="s">
        <v>2335</v>
      </c>
      <c r="CE504" s="2004">
        <v>0</v>
      </c>
      <c r="CF504" s="2004">
        <v>0</v>
      </c>
      <c r="CG504" s="2004">
        <v>0</v>
      </c>
      <c r="CH504" s="2004">
        <v>0</v>
      </c>
      <c r="CI504" s="2004">
        <v>40</v>
      </c>
      <c r="CJ504" s="2004" t="s">
        <v>2335</v>
      </c>
      <c r="CK504" s="2004">
        <v>0</v>
      </c>
      <c r="CL504" s="2004">
        <v>0</v>
      </c>
      <c r="CM504" s="2004">
        <v>0</v>
      </c>
      <c r="CN504" s="2004">
        <v>0</v>
      </c>
      <c r="CP504" s="2004" t="s">
        <v>12016</v>
      </c>
    </row>
    <row r="505" spans="1:94">
      <c r="A505" s="2004" t="s">
        <v>9082</v>
      </c>
      <c r="B505" s="2004" t="s">
        <v>12017</v>
      </c>
      <c r="C505" s="2004" t="s">
        <v>9047</v>
      </c>
      <c r="D505" s="2004" t="s">
        <v>1628</v>
      </c>
      <c r="E505" s="2004" t="s">
        <v>9194</v>
      </c>
      <c r="F505" s="2004" t="s">
        <v>12012</v>
      </c>
      <c r="G505" s="2004" t="s">
        <v>11266</v>
      </c>
      <c r="H505" s="2004" t="s">
        <v>12018</v>
      </c>
      <c r="I505" s="2004" t="s">
        <v>12019</v>
      </c>
      <c r="J505" s="2004" t="s">
        <v>10919</v>
      </c>
      <c r="K505" s="2004" t="s">
        <v>9200</v>
      </c>
      <c r="L505" s="2004"/>
      <c r="M505" s="2004" t="s">
        <v>2334</v>
      </c>
      <c r="N505" s="2004" t="s">
        <v>10208</v>
      </c>
      <c r="O505" s="2004" t="s">
        <v>766</v>
      </c>
      <c r="P505" s="2004" t="s">
        <v>12020</v>
      </c>
      <c r="Q505" s="516">
        <v>0</v>
      </c>
      <c r="R505" s="2004" t="s">
        <v>9240</v>
      </c>
      <c r="S505" s="2004"/>
      <c r="T505" s="2004">
        <v>3</v>
      </c>
      <c r="U505" s="2004">
        <v>3</v>
      </c>
      <c r="V505" s="2004">
        <v>3</v>
      </c>
      <c r="W505" s="2004">
        <v>3</v>
      </c>
      <c r="X505" s="2004">
        <v>4</v>
      </c>
      <c r="Y505" s="2004"/>
      <c r="Z505" s="2004"/>
      <c r="AA505" s="2004"/>
      <c r="AB505" s="2004"/>
      <c r="AC505" s="2004"/>
      <c r="AD505" s="2004"/>
      <c r="AE505" s="2004"/>
      <c r="AF505" s="2004"/>
      <c r="AG505" s="2004"/>
      <c r="AH505" s="2004">
        <v>0</v>
      </c>
      <c r="AI505" s="2004" t="s">
        <v>2337</v>
      </c>
      <c r="AJ505" s="2004" t="s">
        <v>2337</v>
      </c>
      <c r="AK505" s="2004" t="s">
        <v>2337</v>
      </c>
      <c r="AL505" s="2004" t="s">
        <v>2337</v>
      </c>
      <c r="AM505" s="2004" t="s">
        <v>2337</v>
      </c>
      <c r="AN505" s="2004"/>
      <c r="AO505" s="2004"/>
      <c r="AP505" s="2004"/>
      <c r="AQ505" s="2004"/>
      <c r="AR505" s="2004"/>
      <c r="AS505" s="2004"/>
      <c r="AT505" s="2004"/>
      <c r="AU505" s="2004"/>
      <c r="AV505" s="2004"/>
      <c r="AW505" s="2004"/>
      <c r="AX505" s="2004">
        <v>3</v>
      </c>
      <c r="AY505" s="2004">
        <v>6</v>
      </c>
      <c r="AZ505" s="2004">
        <v>9</v>
      </c>
      <c r="BA505" s="2004">
        <v>12</v>
      </c>
      <c r="BB505" s="2004">
        <v>16</v>
      </c>
      <c r="BC505" s="2004">
        <v>999999</v>
      </c>
      <c r="BD505" s="2004">
        <v>999999</v>
      </c>
      <c r="BE505" s="2004">
        <v>999999</v>
      </c>
      <c r="BF505" s="2004">
        <v>999999</v>
      </c>
      <c r="BG505" s="2004">
        <v>999999</v>
      </c>
      <c r="BH505" s="2004"/>
      <c r="BI505" s="2004"/>
      <c r="BJ505" s="2004"/>
      <c r="BK505" s="2004"/>
      <c r="BL505" s="2004" t="s">
        <v>12021</v>
      </c>
      <c r="BM505" s="2004"/>
      <c r="BN505" s="2004">
        <v>1</v>
      </c>
      <c r="BO505" s="2004" t="s">
        <v>9203</v>
      </c>
      <c r="BP505" s="516" t="s">
        <v>4150</v>
      </c>
      <c r="BQ505" s="689">
        <v>4</v>
      </c>
      <c r="BR505" s="2004" t="s">
        <v>2337</v>
      </c>
      <c r="BS505" s="2004" t="s">
        <v>9204</v>
      </c>
      <c r="BT505" s="2004">
        <v>0</v>
      </c>
      <c r="BU505" s="2004" t="s">
        <v>2339</v>
      </c>
      <c r="BV505" s="2004">
        <v>2.3955E-4</v>
      </c>
      <c r="BW505" s="2004">
        <v>5</v>
      </c>
      <c r="BX505" s="2004" t="s">
        <v>2337</v>
      </c>
      <c r="BY505" s="2004">
        <v>0</v>
      </c>
      <c r="BZ505" s="2004">
        <v>0</v>
      </c>
      <c r="CA505" s="2004" t="s">
        <v>2339</v>
      </c>
      <c r="CB505" s="2004">
        <v>1.6763999999999999E-4</v>
      </c>
      <c r="CC505" s="2004">
        <v>12</v>
      </c>
      <c r="CD505" s="2004" t="s">
        <v>2337</v>
      </c>
      <c r="CE505" s="2004">
        <v>0</v>
      </c>
      <c r="CF505" s="2004">
        <v>0</v>
      </c>
      <c r="CG505" s="2004" t="s">
        <v>2339</v>
      </c>
      <c r="CH505" s="2004">
        <v>5.4502837499999998E-2</v>
      </c>
      <c r="CI505" s="2004">
        <v>11</v>
      </c>
      <c r="CJ505" s="2004" t="s">
        <v>2337</v>
      </c>
      <c r="CK505" s="2004">
        <v>0</v>
      </c>
      <c r="CL505" s="2004">
        <v>0</v>
      </c>
      <c r="CM505" s="2004" t="s">
        <v>2339</v>
      </c>
      <c r="CN505" s="2004">
        <v>9.4796727272727296E-3</v>
      </c>
      <c r="CP505" s="2004" t="s">
        <v>12022</v>
      </c>
    </row>
    <row r="506" spans="1:94">
      <c r="A506" s="2004" t="s">
        <v>9082</v>
      </c>
      <c r="B506" s="2004" t="s">
        <v>12023</v>
      </c>
      <c r="C506" s="2004" t="s">
        <v>9047</v>
      </c>
      <c r="D506" s="2004" t="s">
        <v>1628</v>
      </c>
      <c r="E506" s="2004" t="s">
        <v>9194</v>
      </c>
      <c r="F506" s="2004" t="s">
        <v>12012</v>
      </c>
      <c r="G506" s="2004" t="s">
        <v>11272</v>
      </c>
      <c r="H506" s="2004" t="s">
        <v>12024</v>
      </c>
      <c r="I506" s="2004" t="s">
        <v>12025</v>
      </c>
      <c r="J506" s="2004" t="s">
        <v>9199</v>
      </c>
      <c r="K506" s="2004" t="s">
        <v>11983</v>
      </c>
      <c r="L506" s="2004"/>
      <c r="M506" s="2004" t="s">
        <v>2334</v>
      </c>
      <c r="N506" s="2004" t="s">
        <v>9357</v>
      </c>
      <c r="O506" s="2004" t="s">
        <v>766</v>
      </c>
      <c r="P506" s="2004" t="s">
        <v>12026</v>
      </c>
      <c r="Q506" s="516">
        <v>0</v>
      </c>
      <c r="R506" s="2004" t="s">
        <v>9240</v>
      </c>
      <c r="S506" s="2004"/>
      <c r="T506" s="2004"/>
      <c r="U506" s="2004"/>
      <c r="V506" s="2004"/>
      <c r="W506" s="2004"/>
      <c r="X506" s="2004">
        <v>11736</v>
      </c>
      <c r="Y506" s="2004"/>
      <c r="Z506" s="2004"/>
      <c r="AA506" s="2004"/>
      <c r="AB506" s="2004"/>
      <c r="AC506" s="2004"/>
      <c r="AD506" s="2004"/>
      <c r="AE506" s="2004"/>
      <c r="AF506" s="2004" t="s">
        <v>2337</v>
      </c>
      <c r="AG506" s="2004"/>
      <c r="AH506" s="2004">
        <v>0</v>
      </c>
      <c r="AI506" s="2004"/>
      <c r="AJ506" s="2004"/>
      <c r="AK506" s="2004"/>
      <c r="AL506" s="2004"/>
      <c r="AM506" s="2004" t="s">
        <v>2337</v>
      </c>
      <c r="AN506" s="2004"/>
      <c r="AO506" s="2004"/>
      <c r="AP506" s="2004"/>
      <c r="AQ506" s="2004"/>
      <c r="AR506" s="2004">
        <v>10998</v>
      </c>
      <c r="AS506" s="2004"/>
      <c r="AT506" s="2004"/>
      <c r="AU506" s="2004"/>
      <c r="AV506" s="2004"/>
      <c r="AW506" s="2004">
        <v>11501</v>
      </c>
      <c r="AX506" s="2004"/>
      <c r="AY506" s="2004"/>
      <c r="AZ506" s="2004"/>
      <c r="BA506" s="2004"/>
      <c r="BB506" s="2004">
        <v>11971</v>
      </c>
      <c r="BC506" s="2004"/>
      <c r="BD506" s="2004"/>
      <c r="BE506" s="2004"/>
      <c r="BF506" s="2004"/>
      <c r="BG506" s="2004">
        <v>12049</v>
      </c>
      <c r="BH506" s="2004">
        <v>2.0263E-2</v>
      </c>
      <c r="BI506" s="2004"/>
      <c r="BJ506" s="2004"/>
      <c r="BK506" s="2004"/>
      <c r="BL506" s="2004">
        <v>1.3171E-2</v>
      </c>
      <c r="BM506" s="2004"/>
      <c r="BN506" s="2004">
        <v>1</v>
      </c>
      <c r="BO506" s="2004" t="s">
        <v>9203</v>
      </c>
      <c r="BP506" s="516">
        <v>11466</v>
      </c>
      <c r="BQ506" s="689">
        <v>11466</v>
      </c>
      <c r="BR506" s="2004" t="s">
        <v>9204</v>
      </c>
      <c r="BS506" s="2004" t="s">
        <v>9204</v>
      </c>
      <c r="BT506" s="2004">
        <v>0</v>
      </c>
      <c r="BU506" s="2004" t="s">
        <v>9204</v>
      </c>
      <c r="BV506" s="2004">
        <v>0</v>
      </c>
      <c r="BW506" s="2004">
        <v>11492</v>
      </c>
      <c r="BX506" s="2004" t="s">
        <v>2335</v>
      </c>
      <c r="BY506" s="2004">
        <v>0</v>
      </c>
      <c r="BZ506" s="2004">
        <v>0</v>
      </c>
      <c r="CA506" s="2004">
        <v>0</v>
      </c>
      <c r="CB506" s="2004">
        <v>0</v>
      </c>
      <c r="CC506" s="2004">
        <v>11479</v>
      </c>
      <c r="CD506" s="2004" t="s">
        <v>2335</v>
      </c>
      <c r="CE506" s="2004">
        <v>0</v>
      </c>
      <c r="CF506" s="2004">
        <v>0</v>
      </c>
      <c r="CG506" s="2004">
        <v>0</v>
      </c>
      <c r="CH506" s="2004">
        <v>0</v>
      </c>
      <c r="CI506" s="2004">
        <v>11524</v>
      </c>
      <c r="CJ506" s="2004" t="s">
        <v>2335</v>
      </c>
      <c r="CK506" s="2004">
        <v>0</v>
      </c>
      <c r="CL506" s="2004">
        <v>0</v>
      </c>
      <c r="CM506" s="2004">
        <v>0</v>
      </c>
      <c r="CN506" s="2004">
        <v>0</v>
      </c>
      <c r="CP506" s="2004" t="s">
        <v>12027</v>
      </c>
    </row>
    <row r="507" spans="1:94">
      <c r="A507" s="2004" t="s">
        <v>9082</v>
      </c>
      <c r="B507" s="2004" t="s">
        <v>12028</v>
      </c>
      <c r="C507" s="2004" t="s">
        <v>9047</v>
      </c>
      <c r="D507" s="2004" t="s">
        <v>1628</v>
      </c>
      <c r="E507" s="2004" t="s">
        <v>9194</v>
      </c>
      <c r="F507" s="2004" t="s">
        <v>12012</v>
      </c>
      <c r="G507" s="2004" t="s">
        <v>11280</v>
      </c>
      <c r="H507" s="2004" t="s">
        <v>12029</v>
      </c>
      <c r="I507" s="2004" t="s">
        <v>12030</v>
      </c>
      <c r="J507" s="2004" t="s">
        <v>9230</v>
      </c>
      <c r="K507" s="2004"/>
      <c r="L507" s="2004"/>
      <c r="M507" s="2004"/>
      <c r="N507" s="2004" t="s">
        <v>9386</v>
      </c>
      <c r="O507" s="2004" t="s">
        <v>9487</v>
      </c>
      <c r="P507" s="2004" t="s">
        <v>12031</v>
      </c>
      <c r="Q507" s="516" t="s">
        <v>9203</v>
      </c>
      <c r="R507" s="2004"/>
      <c r="S507" s="2004" t="s">
        <v>12032</v>
      </c>
      <c r="T507" s="2004" t="s">
        <v>12032</v>
      </c>
      <c r="U507" s="2004" t="s">
        <v>12032</v>
      </c>
      <c r="V507" s="2004" t="s">
        <v>12032</v>
      </c>
      <c r="W507" s="2004" t="s">
        <v>12032</v>
      </c>
      <c r="X507" s="2004" t="s">
        <v>12032</v>
      </c>
      <c r="Y507" s="2004"/>
      <c r="Z507" s="2004"/>
      <c r="AA507" s="2004"/>
      <c r="AB507" s="2004"/>
      <c r="AC507" s="2004"/>
      <c r="AD507" s="2004"/>
      <c r="AE507" s="2004"/>
      <c r="AF507" s="2004"/>
      <c r="AG507" s="2004"/>
      <c r="AH507" s="2004">
        <v>0</v>
      </c>
      <c r="AI507" s="2004"/>
      <c r="AJ507" s="2004"/>
      <c r="AK507" s="2004"/>
      <c r="AL507" s="2004"/>
      <c r="AM507" s="2004"/>
      <c r="AN507" s="2004"/>
      <c r="AO507" s="2004"/>
      <c r="AP507" s="2004"/>
      <c r="AQ507" s="2004"/>
      <c r="AR507" s="2004"/>
      <c r="AS507" s="2004"/>
      <c r="AT507" s="2004"/>
      <c r="AU507" s="2004"/>
      <c r="AV507" s="2004"/>
      <c r="AW507" s="2004"/>
      <c r="AX507" s="2004"/>
      <c r="AY507" s="2004"/>
      <c r="AZ507" s="2004"/>
      <c r="BA507" s="2004"/>
      <c r="BB507" s="2004"/>
      <c r="BC507" s="2004"/>
      <c r="BD507" s="2004"/>
      <c r="BE507" s="2004"/>
      <c r="BF507" s="2004"/>
      <c r="BG507" s="2004"/>
      <c r="BH507" s="2004"/>
      <c r="BI507" s="2004"/>
      <c r="BJ507" s="2004"/>
      <c r="BK507" s="2004"/>
      <c r="BL507" s="2004"/>
      <c r="BM507" s="2004"/>
      <c r="BN507" s="2004"/>
      <c r="BO507" s="2004"/>
      <c r="BP507" s="516" t="s">
        <v>4150</v>
      </c>
      <c r="BQ507" s="688" t="s">
        <v>12033</v>
      </c>
      <c r="BR507" s="2004" t="s">
        <v>2337</v>
      </c>
      <c r="BS507" s="2004" t="s">
        <v>9204</v>
      </c>
      <c r="BT507" s="2004">
        <v>0</v>
      </c>
      <c r="BU507" s="2004" t="s">
        <v>9204</v>
      </c>
      <c r="BV507" s="2004">
        <v>0</v>
      </c>
      <c r="BW507" s="2004" t="s">
        <v>12033</v>
      </c>
      <c r="BX507" s="2004" t="s">
        <v>2337</v>
      </c>
      <c r="BY507" s="2004">
        <v>0</v>
      </c>
      <c r="BZ507" s="2004">
        <v>0</v>
      </c>
      <c r="CA507" s="2004">
        <v>0</v>
      </c>
      <c r="CB507" s="2004">
        <v>0</v>
      </c>
      <c r="CC507" s="2004" t="s">
        <v>2341</v>
      </c>
      <c r="CD507" s="2004" t="s">
        <v>2337</v>
      </c>
      <c r="CE507" s="2004">
        <v>0</v>
      </c>
      <c r="CF507" s="2004">
        <v>0</v>
      </c>
      <c r="CG507" s="2004">
        <v>0</v>
      </c>
      <c r="CH507" s="2004">
        <v>0</v>
      </c>
      <c r="CI507" s="2004" t="s">
        <v>2341</v>
      </c>
      <c r="CJ507" s="2004" t="s">
        <v>2337</v>
      </c>
      <c r="CK507" s="2004">
        <v>0</v>
      </c>
      <c r="CL507" s="2004">
        <v>0</v>
      </c>
      <c r="CM507" s="2004">
        <v>0</v>
      </c>
      <c r="CN507" s="2004">
        <v>0</v>
      </c>
      <c r="CP507" s="2004" t="s">
        <v>12034</v>
      </c>
    </row>
    <row r="508" spans="1:94">
      <c r="A508" s="2004" t="s">
        <v>9082</v>
      </c>
      <c r="B508" s="2004" t="s">
        <v>12035</v>
      </c>
      <c r="C508" s="2004" t="s">
        <v>9047</v>
      </c>
      <c r="D508" s="2004" t="s">
        <v>1628</v>
      </c>
      <c r="E508" s="2004" t="s">
        <v>9194</v>
      </c>
      <c r="F508" s="2004" t="s">
        <v>12036</v>
      </c>
      <c r="G508" s="2004" t="s">
        <v>11293</v>
      </c>
      <c r="H508" s="2004" t="s">
        <v>12037</v>
      </c>
      <c r="I508" s="2004" t="s">
        <v>12038</v>
      </c>
      <c r="J508" s="2004" t="s">
        <v>9230</v>
      </c>
      <c r="K508" s="2004"/>
      <c r="L508" s="2004"/>
      <c r="M508" s="2004"/>
      <c r="N508" s="2004" t="s">
        <v>9372</v>
      </c>
      <c r="O508" s="2004" t="s">
        <v>734</v>
      </c>
      <c r="P508" s="2004" t="s">
        <v>12039</v>
      </c>
      <c r="Q508" s="516">
        <v>0</v>
      </c>
      <c r="R508" s="2004" t="s">
        <v>9240</v>
      </c>
      <c r="S508" s="2004">
        <v>8</v>
      </c>
      <c r="T508" s="2004">
        <v>12</v>
      </c>
      <c r="U508" s="2004">
        <v>12</v>
      </c>
      <c r="V508" s="2004">
        <v>12</v>
      </c>
      <c r="W508" s="2004">
        <v>12</v>
      </c>
      <c r="X508" s="2004">
        <v>12</v>
      </c>
      <c r="Y508" s="2004"/>
      <c r="Z508" s="2004"/>
      <c r="AA508" s="2004"/>
      <c r="AB508" s="2004"/>
      <c r="AC508" s="2004"/>
      <c r="AD508" s="2004"/>
      <c r="AE508" s="2004"/>
      <c r="AF508" s="2004"/>
      <c r="AG508" s="2004"/>
      <c r="AH508" s="2004">
        <v>0</v>
      </c>
      <c r="AI508" s="2004"/>
      <c r="AJ508" s="2004"/>
      <c r="AK508" s="2004"/>
      <c r="AL508" s="2004"/>
      <c r="AM508" s="2004"/>
      <c r="AN508" s="2004"/>
      <c r="AO508" s="2004"/>
      <c r="AP508" s="2004"/>
      <c r="AQ508" s="2004"/>
      <c r="AR508" s="2004"/>
      <c r="AS508" s="2004"/>
      <c r="AT508" s="2004"/>
      <c r="AU508" s="2004"/>
      <c r="AV508" s="2004"/>
      <c r="AW508" s="2004"/>
      <c r="AX508" s="2004"/>
      <c r="AY508" s="2004"/>
      <c r="AZ508" s="2004"/>
      <c r="BA508" s="2004"/>
      <c r="BB508" s="2004"/>
      <c r="BC508" s="2004"/>
      <c r="BD508" s="2004"/>
      <c r="BE508" s="2004"/>
      <c r="BF508" s="2004"/>
      <c r="BG508" s="2004"/>
      <c r="BH508" s="2004"/>
      <c r="BI508" s="2004"/>
      <c r="BJ508" s="2004"/>
      <c r="BK508" s="2004"/>
      <c r="BL508" s="2004"/>
      <c r="BM508" s="2004"/>
      <c r="BN508" s="2004"/>
      <c r="BO508" s="2004"/>
      <c r="BP508" s="516">
        <v>12.26</v>
      </c>
      <c r="BQ508" s="689">
        <v>11.257999999999999</v>
      </c>
      <c r="BR508" s="2004" t="s">
        <v>2334</v>
      </c>
      <c r="BS508" s="2004" t="s">
        <v>9204</v>
      </c>
      <c r="BT508" s="2004">
        <v>0</v>
      </c>
      <c r="BU508" s="2004" t="s">
        <v>9204</v>
      </c>
      <c r="BV508" s="2004">
        <v>0</v>
      </c>
      <c r="BW508" s="2004">
        <v>10.44</v>
      </c>
      <c r="BX508" s="2004" t="s">
        <v>2334</v>
      </c>
      <c r="BY508" s="2004">
        <v>0</v>
      </c>
      <c r="BZ508" s="2004">
        <v>0</v>
      </c>
      <c r="CA508" s="2004">
        <v>0</v>
      </c>
      <c r="CB508" s="2004">
        <v>0</v>
      </c>
      <c r="CC508" s="2004">
        <v>11.44</v>
      </c>
      <c r="CD508" s="2004" t="s">
        <v>2334</v>
      </c>
      <c r="CE508" s="2004">
        <v>0</v>
      </c>
      <c r="CF508" s="2004">
        <v>0</v>
      </c>
      <c r="CG508" s="2004">
        <v>0</v>
      </c>
      <c r="CH508" s="2004">
        <v>0</v>
      </c>
      <c r="CI508" s="2004">
        <v>11</v>
      </c>
      <c r="CJ508" s="2004" t="s">
        <v>2334</v>
      </c>
      <c r="CK508" s="2004">
        <v>0</v>
      </c>
      <c r="CL508" s="2004">
        <v>0</v>
      </c>
      <c r="CM508" s="2004">
        <v>0</v>
      </c>
      <c r="CN508" s="2004">
        <v>0</v>
      </c>
      <c r="CP508" s="2004" t="s">
        <v>12040</v>
      </c>
    </row>
    <row r="509" spans="1:94">
      <c r="A509" s="2004" t="s">
        <v>9082</v>
      </c>
      <c r="B509" s="2004" t="s">
        <v>12041</v>
      </c>
      <c r="C509" s="2004" t="s">
        <v>9047</v>
      </c>
      <c r="D509" s="2004" t="s">
        <v>1628</v>
      </c>
      <c r="E509" s="2004" t="s">
        <v>9194</v>
      </c>
      <c r="F509" s="2004" t="s">
        <v>12036</v>
      </c>
      <c r="G509" s="2004" t="s">
        <v>12042</v>
      </c>
      <c r="H509" s="2004" t="s">
        <v>12043</v>
      </c>
      <c r="I509" s="2004" t="s">
        <v>12044</v>
      </c>
      <c r="J509" s="2004" t="s">
        <v>9230</v>
      </c>
      <c r="K509" s="2004"/>
      <c r="L509" s="2004"/>
      <c r="M509" s="2004"/>
      <c r="N509" s="2004" t="s">
        <v>9621</v>
      </c>
      <c r="O509" s="2004" t="s">
        <v>734</v>
      </c>
      <c r="P509" s="2004" t="s">
        <v>12045</v>
      </c>
      <c r="Q509" s="516">
        <v>0</v>
      </c>
      <c r="R509" s="2004" t="s">
        <v>9240</v>
      </c>
      <c r="S509" s="2004">
        <v>93</v>
      </c>
      <c r="T509" s="2004">
        <v>94</v>
      </c>
      <c r="U509" s="2004">
        <v>94</v>
      </c>
      <c r="V509" s="2004">
        <v>95</v>
      </c>
      <c r="W509" s="2004">
        <v>95</v>
      </c>
      <c r="X509" s="2004">
        <v>95</v>
      </c>
      <c r="Y509" s="2004"/>
      <c r="Z509" s="2004"/>
      <c r="AA509" s="2004"/>
      <c r="AB509" s="2004"/>
      <c r="AC509" s="2004"/>
      <c r="AD509" s="2004"/>
      <c r="AE509" s="2004"/>
      <c r="AF509" s="2004"/>
      <c r="AG509" s="2004"/>
      <c r="AH509" s="2004">
        <v>0</v>
      </c>
      <c r="AI509" s="2004"/>
      <c r="AJ509" s="2004"/>
      <c r="AK509" s="2004"/>
      <c r="AL509" s="2004"/>
      <c r="AM509" s="2004"/>
      <c r="AN509" s="2004"/>
      <c r="AO509" s="2004"/>
      <c r="AP509" s="2004"/>
      <c r="AQ509" s="2004"/>
      <c r="AR509" s="2004"/>
      <c r="AS509" s="2004"/>
      <c r="AT509" s="2004"/>
      <c r="AU509" s="2004"/>
      <c r="AV509" s="2004"/>
      <c r="AW509" s="2004"/>
      <c r="AX509" s="2004"/>
      <c r="AY509" s="2004"/>
      <c r="AZ509" s="2004"/>
      <c r="BA509" s="2004"/>
      <c r="BB509" s="2004"/>
      <c r="BC509" s="2004"/>
      <c r="BD509" s="2004"/>
      <c r="BE509" s="2004"/>
      <c r="BF509" s="2004"/>
      <c r="BG509" s="2004"/>
      <c r="BH509" s="2004"/>
      <c r="BI509" s="2004"/>
      <c r="BJ509" s="2004"/>
      <c r="BK509" s="2004"/>
      <c r="BL509" s="2004"/>
      <c r="BM509" s="2004"/>
      <c r="BN509" s="2004"/>
      <c r="BO509" s="2004"/>
      <c r="BP509" s="516">
        <v>93.5</v>
      </c>
      <c r="BQ509" s="689">
        <v>98.91</v>
      </c>
      <c r="BR509" s="2004" t="s">
        <v>2337</v>
      </c>
      <c r="BS509" s="2004" t="s">
        <v>9204</v>
      </c>
      <c r="BT509" s="2004">
        <v>0</v>
      </c>
      <c r="BU509" s="2004" t="s">
        <v>9204</v>
      </c>
      <c r="BV509" s="2004">
        <v>0</v>
      </c>
      <c r="BW509" s="2004">
        <v>99.3</v>
      </c>
      <c r="BX509" s="2004" t="s">
        <v>2337</v>
      </c>
      <c r="BY509" s="2004">
        <v>0</v>
      </c>
      <c r="BZ509" s="2004">
        <v>0</v>
      </c>
      <c r="CA509" s="2004">
        <v>0</v>
      </c>
      <c r="CB509" s="2004">
        <v>0</v>
      </c>
      <c r="CC509" s="2004">
        <v>99</v>
      </c>
      <c r="CD509" s="2004" t="s">
        <v>2337</v>
      </c>
      <c r="CE509" s="2004">
        <v>0</v>
      </c>
      <c r="CF509" s="2004">
        <v>0</v>
      </c>
      <c r="CG509" s="2004">
        <v>0</v>
      </c>
      <c r="CH509" s="2004">
        <v>0</v>
      </c>
      <c r="CI509" s="2004">
        <v>100</v>
      </c>
      <c r="CJ509" s="2004" t="s">
        <v>2337</v>
      </c>
      <c r="CK509" s="2004">
        <v>0</v>
      </c>
      <c r="CL509" s="2004">
        <v>0</v>
      </c>
      <c r="CM509" s="2004">
        <v>0</v>
      </c>
      <c r="CN509" s="2004">
        <v>0</v>
      </c>
      <c r="CP509" s="2004" t="s">
        <v>12046</v>
      </c>
    </row>
    <row r="510" spans="1:94">
      <c r="A510" s="2004" t="s">
        <v>9082</v>
      </c>
      <c r="B510" s="2004" t="s">
        <v>12047</v>
      </c>
      <c r="C510" s="2004" t="s">
        <v>9047</v>
      </c>
      <c r="D510" s="2004" t="s">
        <v>1629</v>
      </c>
      <c r="E510" s="2004" t="s">
        <v>9410</v>
      </c>
      <c r="F510" s="2004" t="s">
        <v>12048</v>
      </c>
      <c r="G510" s="2004" t="s">
        <v>11299</v>
      </c>
      <c r="H510" s="2004" t="s">
        <v>12049</v>
      </c>
      <c r="I510" s="2004" t="s">
        <v>12050</v>
      </c>
      <c r="J510" s="2004" t="s">
        <v>9199</v>
      </c>
      <c r="K510" s="2004" t="s">
        <v>11983</v>
      </c>
      <c r="L510" s="2004"/>
      <c r="M510" s="2004"/>
      <c r="N510" s="2004" t="s">
        <v>9414</v>
      </c>
      <c r="O510" s="2004" t="s">
        <v>766</v>
      </c>
      <c r="P510" s="2004" t="s">
        <v>10537</v>
      </c>
      <c r="Q510" s="516">
        <v>0</v>
      </c>
      <c r="R510" s="2004"/>
      <c r="S510" s="2004">
        <v>1857</v>
      </c>
      <c r="T510" s="2004">
        <v>1877</v>
      </c>
      <c r="U510" s="2004">
        <v>1898</v>
      </c>
      <c r="V510" s="2004">
        <v>1919</v>
      </c>
      <c r="W510" s="2004">
        <v>1919</v>
      </c>
      <c r="X510" s="2004">
        <v>1919</v>
      </c>
      <c r="Y510" s="2004"/>
      <c r="Z510" s="2004"/>
      <c r="AA510" s="2004"/>
      <c r="AB510" s="2004"/>
      <c r="AC510" s="2004" t="s">
        <v>2337</v>
      </c>
      <c r="AD510" s="2004"/>
      <c r="AE510" s="2004" t="s">
        <v>2337</v>
      </c>
      <c r="AF510" s="2004"/>
      <c r="AG510" s="2004"/>
      <c r="AH510" s="2004">
        <v>0</v>
      </c>
      <c r="AI510" s="2004" t="s">
        <v>2337</v>
      </c>
      <c r="AJ510" s="2004" t="s">
        <v>2337</v>
      </c>
      <c r="AK510" s="2004" t="s">
        <v>2337</v>
      </c>
      <c r="AL510" s="2004" t="s">
        <v>2337</v>
      </c>
      <c r="AM510" s="2004" t="s">
        <v>2337</v>
      </c>
      <c r="AN510" s="2004">
        <v>1986</v>
      </c>
      <c r="AO510" s="2004">
        <v>2008</v>
      </c>
      <c r="AP510" s="2004">
        <v>2029</v>
      </c>
      <c r="AQ510" s="2004">
        <v>2029</v>
      </c>
      <c r="AR510" s="2004">
        <v>2029</v>
      </c>
      <c r="AS510" s="2004">
        <v>1945</v>
      </c>
      <c r="AT510" s="2004">
        <v>1967</v>
      </c>
      <c r="AU510" s="2004">
        <v>1988</v>
      </c>
      <c r="AV510" s="2004">
        <v>1988</v>
      </c>
      <c r="AW510" s="2004">
        <v>1988</v>
      </c>
      <c r="AX510" s="2004">
        <v>1808</v>
      </c>
      <c r="AY510" s="2004">
        <v>1808</v>
      </c>
      <c r="AZ510" s="2004">
        <v>1808</v>
      </c>
      <c r="BA510" s="2004">
        <v>1808</v>
      </c>
      <c r="BB510" s="2004">
        <v>1808</v>
      </c>
      <c r="BC510" s="2004">
        <v>1651</v>
      </c>
      <c r="BD510" s="2004">
        <v>1651</v>
      </c>
      <c r="BE510" s="2004">
        <v>1651</v>
      </c>
      <c r="BF510" s="2004">
        <v>1651</v>
      </c>
      <c r="BG510" s="2004">
        <v>1651</v>
      </c>
      <c r="BH510" s="2004">
        <v>0.22024199999999999</v>
      </c>
      <c r="BI510" s="2004"/>
      <c r="BJ510" s="2004"/>
      <c r="BK510" s="2004"/>
      <c r="BL510" s="2004">
        <v>5.7496999999999999E-2</v>
      </c>
      <c r="BM510" s="2004"/>
      <c r="BN510" s="2004">
        <v>1</v>
      </c>
      <c r="BO510" s="2004" t="s">
        <v>9203</v>
      </c>
      <c r="BP510" s="516">
        <v>1947</v>
      </c>
      <c r="BQ510" s="689">
        <v>1842</v>
      </c>
      <c r="BR510" s="2004" t="s">
        <v>2337</v>
      </c>
      <c r="BS510" s="2004" t="s">
        <v>9204</v>
      </c>
      <c r="BT510" s="2004">
        <v>0</v>
      </c>
      <c r="BU510" s="2004" t="s">
        <v>9074</v>
      </c>
      <c r="BV510" s="2004">
        <v>0</v>
      </c>
      <c r="BW510" s="2004">
        <v>1769</v>
      </c>
      <c r="BX510" s="2004" t="s">
        <v>2337</v>
      </c>
      <c r="BY510" s="2004">
        <v>0</v>
      </c>
      <c r="BZ510" s="2004">
        <v>0</v>
      </c>
      <c r="CA510" s="2004" t="s">
        <v>2339</v>
      </c>
      <c r="CB510" s="2004">
        <v>2.2423999999999999</v>
      </c>
      <c r="CC510" s="2004">
        <v>1682</v>
      </c>
      <c r="CD510" s="2004" t="s">
        <v>2337</v>
      </c>
      <c r="CE510" s="2004">
        <v>0</v>
      </c>
      <c r="CF510" s="2004">
        <v>0</v>
      </c>
      <c r="CG510" s="2004" t="s">
        <v>2339</v>
      </c>
      <c r="CH510" s="2004">
        <v>7.2446219999999997</v>
      </c>
      <c r="CI510" s="2004">
        <v>1692</v>
      </c>
      <c r="CJ510" s="2004" t="s">
        <v>2337</v>
      </c>
      <c r="CK510" s="2004">
        <v>0</v>
      </c>
      <c r="CL510" s="2004">
        <v>0</v>
      </c>
      <c r="CM510" s="2004" t="s">
        <v>2339</v>
      </c>
      <c r="CN510" s="2004">
        <v>6.6696520000000001</v>
      </c>
      <c r="CP510" s="2004" t="s">
        <v>12051</v>
      </c>
    </row>
    <row r="511" spans="1:94">
      <c r="A511" s="2004" t="s">
        <v>9082</v>
      </c>
      <c r="B511" s="2004" t="s">
        <v>12052</v>
      </c>
      <c r="C511" s="2004" t="s">
        <v>9047</v>
      </c>
      <c r="D511" s="2004" t="s">
        <v>1629</v>
      </c>
      <c r="E511" s="2004" t="s">
        <v>9410</v>
      </c>
      <c r="F511" s="2004" t="s">
        <v>12048</v>
      </c>
      <c r="G511" s="2004" t="s">
        <v>11304</v>
      </c>
      <c r="H511" s="2004" t="s">
        <v>12053</v>
      </c>
      <c r="I511" s="2004" t="s">
        <v>12054</v>
      </c>
      <c r="J511" s="2004" t="s">
        <v>9230</v>
      </c>
      <c r="K511" s="2004"/>
      <c r="L511" s="2004"/>
      <c r="M511" s="2004"/>
      <c r="N511" s="2004" t="s">
        <v>9414</v>
      </c>
      <c r="O511" s="2004" t="s">
        <v>766</v>
      </c>
      <c r="P511" s="2004" t="s">
        <v>10542</v>
      </c>
      <c r="Q511" s="516">
        <v>0</v>
      </c>
      <c r="R511" s="2004"/>
      <c r="S511" s="2004">
        <v>10125</v>
      </c>
      <c r="T511" s="2004">
        <v>10125</v>
      </c>
      <c r="U511" s="2004">
        <v>10363</v>
      </c>
      <c r="V511" s="2004">
        <v>10487</v>
      </c>
      <c r="W511" s="2004">
        <v>10487</v>
      </c>
      <c r="X511" s="2004">
        <v>10487</v>
      </c>
      <c r="Y511" s="2004"/>
      <c r="Z511" s="2004"/>
      <c r="AA511" s="2004"/>
      <c r="AB511" s="2004"/>
      <c r="AC511" s="2004"/>
      <c r="AD511" s="2004"/>
      <c r="AE511" s="2004" t="s">
        <v>2337</v>
      </c>
      <c r="AF511" s="2004"/>
      <c r="AG511" s="2004"/>
      <c r="AH511" s="2004">
        <v>0</v>
      </c>
      <c r="AI511" s="2004"/>
      <c r="AJ511" s="2004"/>
      <c r="AK511" s="2004"/>
      <c r="AL511" s="2004"/>
      <c r="AM511" s="2004"/>
      <c r="AN511" s="2004"/>
      <c r="AO511" s="2004"/>
      <c r="AP511" s="2004"/>
      <c r="AQ511" s="2004"/>
      <c r="AR511" s="2004"/>
      <c r="AS511" s="2004"/>
      <c r="AT511" s="2004"/>
      <c r="AU511" s="2004"/>
      <c r="AV511" s="2004"/>
      <c r="AW511" s="2004"/>
      <c r="AX511" s="2004"/>
      <c r="AY511" s="2004"/>
      <c r="AZ511" s="2004"/>
      <c r="BA511" s="2004"/>
      <c r="BB511" s="2004"/>
      <c r="BC511" s="2004"/>
      <c r="BD511" s="2004"/>
      <c r="BE511" s="2004"/>
      <c r="BF511" s="2004"/>
      <c r="BG511" s="2004"/>
      <c r="BH511" s="2004"/>
      <c r="BI511" s="2004"/>
      <c r="BJ511" s="2004"/>
      <c r="BK511" s="2004"/>
      <c r="BL511" s="2004"/>
      <c r="BM511" s="2004"/>
      <c r="BN511" s="2004"/>
      <c r="BO511" s="2004"/>
      <c r="BP511" s="516">
        <v>8686</v>
      </c>
      <c r="BQ511" s="689">
        <v>9037</v>
      </c>
      <c r="BR511" s="2004" t="s">
        <v>2337</v>
      </c>
      <c r="BS511" s="2004" t="s">
        <v>9204</v>
      </c>
      <c r="BT511" s="2004">
        <v>0</v>
      </c>
      <c r="BU511" s="2004" t="s">
        <v>9204</v>
      </c>
      <c r="BV511" s="2004">
        <v>0</v>
      </c>
      <c r="BW511" s="2004">
        <v>9145</v>
      </c>
      <c r="BX511" s="2004" t="s">
        <v>2337</v>
      </c>
      <c r="BY511" s="2004">
        <v>0</v>
      </c>
      <c r="BZ511" s="2004">
        <v>0</v>
      </c>
      <c r="CA511" s="2004">
        <v>0</v>
      </c>
      <c r="CB511" s="2004">
        <v>0</v>
      </c>
      <c r="CC511" s="2004">
        <v>9296</v>
      </c>
      <c r="CD511" s="2004" t="s">
        <v>2337</v>
      </c>
      <c r="CE511" s="2004">
        <v>0</v>
      </c>
      <c r="CF511" s="2004">
        <v>0</v>
      </c>
      <c r="CG511" s="2004">
        <v>0</v>
      </c>
      <c r="CH511" s="2004">
        <v>0</v>
      </c>
      <c r="CI511" s="2004">
        <v>9116</v>
      </c>
      <c r="CJ511" s="2004" t="s">
        <v>2337</v>
      </c>
      <c r="CK511" s="2004">
        <v>0</v>
      </c>
      <c r="CL511" s="2004">
        <v>0</v>
      </c>
      <c r="CM511" s="2004">
        <v>0</v>
      </c>
      <c r="CN511" s="2004">
        <v>0</v>
      </c>
      <c r="CP511" s="2004" t="s">
        <v>12055</v>
      </c>
    </row>
    <row r="512" spans="1:94">
      <c r="A512" s="2004" t="s">
        <v>9082</v>
      </c>
      <c r="B512" s="2004" t="s">
        <v>12056</v>
      </c>
      <c r="C512" s="2004" t="s">
        <v>9047</v>
      </c>
      <c r="D512" s="2004" t="s">
        <v>1629</v>
      </c>
      <c r="E512" s="2004" t="s">
        <v>9410</v>
      </c>
      <c r="F512" s="2004" t="s">
        <v>12048</v>
      </c>
      <c r="G512" s="2004" t="s">
        <v>12057</v>
      </c>
      <c r="H512" s="2004" t="s">
        <v>12058</v>
      </c>
      <c r="I512" s="2004" t="s">
        <v>12059</v>
      </c>
      <c r="J512" s="2004" t="s">
        <v>9230</v>
      </c>
      <c r="K512" s="2004"/>
      <c r="L512" s="2004"/>
      <c r="M512" s="2004"/>
      <c r="N512" s="2004" t="s">
        <v>9450</v>
      </c>
      <c r="O512" s="2004" t="s">
        <v>766</v>
      </c>
      <c r="P512" s="2004" t="s">
        <v>10583</v>
      </c>
      <c r="Q512" s="516">
        <v>0</v>
      </c>
      <c r="R512" s="2004" t="s">
        <v>9202</v>
      </c>
      <c r="S512" s="2004">
        <v>10</v>
      </c>
      <c r="T512" s="2004">
        <v>8</v>
      </c>
      <c r="U512" s="2004">
        <v>6</v>
      </c>
      <c r="V512" s="2004">
        <v>4</v>
      </c>
      <c r="W512" s="2004">
        <v>2</v>
      </c>
      <c r="X512" s="2004">
        <v>0</v>
      </c>
      <c r="Y512" s="2004"/>
      <c r="Z512" s="2004"/>
      <c r="AA512" s="2004"/>
      <c r="AB512" s="2004"/>
      <c r="AC512" s="2004"/>
      <c r="AD512" s="2004"/>
      <c r="AE512" s="2004" t="s">
        <v>2337</v>
      </c>
      <c r="AF512" s="2004"/>
      <c r="AG512" s="2004"/>
      <c r="AH512" s="2004">
        <v>0</v>
      </c>
      <c r="AI512" s="2004"/>
      <c r="AJ512" s="2004"/>
      <c r="AK512" s="2004"/>
      <c r="AL512" s="2004"/>
      <c r="AM512" s="2004"/>
      <c r="AN512" s="2004"/>
      <c r="AO512" s="2004"/>
      <c r="AP512" s="2004"/>
      <c r="AQ512" s="2004"/>
      <c r="AR512" s="2004"/>
      <c r="AS512" s="2004"/>
      <c r="AT512" s="2004"/>
      <c r="AU512" s="2004"/>
      <c r="AV512" s="2004"/>
      <c r="AW512" s="2004"/>
      <c r="AX512" s="2004"/>
      <c r="AY512" s="2004"/>
      <c r="AZ512" s="2004"/>
      <c r="BA512" s="2004"/>
      <c r="BB512" s="2004"/>
      <c r="BC512" s="2004"/>
      <c r="BD512" s="2004"/>
      <c r="BE512" s="2004"/>
      <c r="BF512" s="2004"/>
      <c r="BG512" s="2004"/>
      <c r="BH512" s="2004"/>
      <c r="BI512" s="2004"/>
      <c r="BJ512" s="2004"/>
      <c r="BK512" s="2004"/>
      <c r="BL512" s="2004"/>
      <c r="BM512" s="2004"/>
      <c r="BN512" s="2004"/>
      <c r="BO512" s="2004"/>
      <c r="BP512" s="516">
        <v>4</v>
      </c>
      <c r="BQ512" s="689">
        <v>5</v>
      </c>
      <c r="BR512" s="2004" t="s">
        <v>2337</v>
      </c>
      <c r="BS512" s="2004" t="s">
        <v>9204</v>
      </c>
      <c r="BT512" s="2004">
        <v>0</v>
      </c>
      <c r="BU512" s="2004" t="s">
        <v>9204</v>
      </c>
      <c r="BV512" s="2004">
        <v>0</v>
      </c>
      <c r="BW512" s="2004">
        <v>4</v>
      </c>
      <c r="BX512" s="2004" t="s">
        <v>2337</v>
      </c>
      <c r="BY512" s="2004">
        <v>0</v>
      </c>
      <c r="BZ512" s="2004">
        <v>0</v>
      </c>
      <c r="CA512" s="2004">
        <v>0</v>
      </c>
      <c r="CB512" s="2004">
        <v>0</v>
      </c>
      <c r="CC512" s="2004">
        <v>3</v>
      </c>
      <c r="CD512" s="2004" t="s">
        <v>2337</v>
      </c>
      <c r="CE512" s="2004">
        <v>0</v>
      </c>
      <c r="CF512" s="2004">
        <v>0</v>
      </c>
      <c r="CG512" s="2004">
        <v>0</v>
      </c>
      <c r="CH512" s="2004">
        <v>0</v>
      </c>
      <c r="CI512" s="2004">
        <v>11</v>
      </c>
      <c r="CJ512" s="2004" t="s">
        <v>2334</v>
      </c>
      <c r="CK512" s="2004">
        <v>0</v>
      </c>
      <c r="CL512" s="2004">
        <v>0</v>
      </c>
      <c r="CM512" s="2004">
        <v>0</v>
      </c>
      <c r="CN512" s="2004">
        <v>0</v>
      </c>
      <c r="CP512" s="2004" t="s">
        <v>12060</v>
      </c>
    </row>
    <row r="513" spans="1:94">
      <c r="A513" s="2004" t="s">
        <v>9082</v>
      </c>
      <c r="B513" s="2004" t="s">
        <v>12061</v>
      </c>
      <c r="C513" s="2004" t="s">
        <v>9047</v>
      </c>
      <c r="D513" s="2004" t="s">
        <v>1629</v>
      </c>
      <c r="E513" s="2004" t="s">
        <v>9410</v>
      </c>
      <c r="F513" s="2004" t="s">
        <v>12048</v>
      </c>
      <c r="G513" s="2004" t="s">
        <v>12062</v>
      </c>
      <c r="H513" s="2004" t="s">
        <v>12063</v>
      </c>
      <c r="I513" s="2004" t="s">
        <v>12064</v>
      </c>
      <c r="J513" s="2004" t="s">
        <v>9199</v>
      </c>
      <c r="K513" s="2004" t="s">
        <v>11983</v>
      </c>
      <c r="L513" s="2004"/>
      <c r="M513" s="2004"/>
      <c r="N513" s="2004" t="s">
        <v>9450</v>
      </c>
      <c r="O513" s="2004" t="s">
        <v>766</v>
      </c>
      <c r="P513" s="2004" t="s">
        <v>9451</v>
      </c>
      <c r="Q513" s="516">
        <v>0</v>
      </c>
      <c r="R513" s="2004" t="s">
        <v>9202</v>
      </c>
      <c r="S513" s="2004">
        <v>250</v>
      </c>
      <c r="T513" s="2004">
        <v>237</v>
      </c>
      <c r="U513" s="2004">
        <v>224</v>
      </c>
      <c r="V513" s="2004">
        <v>211</v>
      </c>
      <c r="W513" s="2004">
        <v>211</v>
      </c>
      <c r="X513" s="2004">
        <v>211</v>
      </c>
      <c r="Y513" s="2004"/>
      <c r="Z513" s="2004"/>
      <c r="AA513" s="2004"/>
      <c r="AB513" s="2004" t="s">
        <v>2337</v>
      </c>
      <c r="AC513" s="2004"/>
      <c r="AD513" s="2004"/>
      <c r="AE513" s="2004" t="s">
        <v>2337</v>
      </c>
      <c r="AF513" s="2004"/>
      <c r="AG513" s="2004"/>
      <c r="AH513" s="2004">
        <v>0</v>
      </c>
      <c r="AI513" s="2004" t="s">
        <v>2337</v>
      </c>
      <c r="AJ513" s="2004" t="s">
        <v>2337</v>
      </c>
      <c r="AK513" s="2004" t="s">
        <v>2337</v>
      </c>
      <c r="AL513" s="2004" t="s">
        <v>2337</v>
      </c>
      <c r="AM513" s="2004" t="s">
        <v>2337</v>
      </c>
      <c r="AN513" s="2004">
        <v>303</v>
      </c>
      <c r="AO513" s="2004">
        <v>303</v>
      </c>
      <c r="AP513" s="2004">
        <v>264</v>
      </c>
      <c r="AQ513" s="2004">
        <v>264</v>
      </c>
      <c r="AR513" s="2004">
        <v>264</v>
      </c>
      <c r="AS513" s="2004">
        <v>250</v>
      </c>
      <c r="AT513" s="2004">
        <v>250</v>
      </c>
      <c r="AU513" s="2004">
        <v>211</v>
      </c>
      <c r="AV513" s="2004">
        <v>211</v>
      </c>
      <c r="AW513" s="2004">
        <v>211</v>
      </c>
      <c r="AX513" s="2004">
        <v>211</v>
      </c>
      <c r="AY513" s="2004">
        <v>211</v>
      </c>
      <c r="AZ513" s="2004">
        <v>211</v>
      </c>
      <c r="BA513" s="2004">
        <v>211</v>
      </c>
      <c r="BB513" s="2004">
        <v>211</v>
      </c>
      <c r="BC513" s="2004">
        <v>147</v>
      </c>
      <c r="BD513" s="2004">
        <v>147</v>
      </c>
      <c r="BE513" s="2004">
        <v>147</v>
      </c>
      <c r="BF513" s="2004">
        <v>147</v>
      </c>
      <c r="BG513" s="2004">
        <v>147</v>
      </c>
      <c r="BH513" s="2004">
        <v>0.18513299999999999</v>
      </c>
      <c r="BI513" s="2004"/>
      <c r="BJ513" s="2004"/>
      <c r="BK513" s="2004"/>
      <c r="BL513" s="2004">
        <v>0.18513299999999999</v>
      </c>
      <c r="BM513" s="2004"/>
      <c r="BN513" s="2004">
        <v>1</v>
      </c>
      <c r="BO513" s="2004" t="s">
        <v>9203</v>
      </c>
      <c r="BP513" s="516">
        <v>170</v>
      </c>
      <c r="BQ513" s="689">
        <v>180</v>
      </c>
      <c r="BR513" s="2004" t="s">
        <v>2337</v>
      </c>
      <c r="BS513" s="2004" t="s">
        <v>9204</v>
      </c>
      <c r="BT513" s="2004">
        <v>0</v>
      </c>
      <c r="BU513" s="2004" t="s">
        <v>2339</v>
      </c>
      <c r="BV513" s="2004">
        <v>5.7391230000000002</v>
      </c>
      <c r="BW513" s="2004">
        <v>207</v>
      </c>
      <c r="BX513" s="2004" t="s">
        <v>2337</v>
      </c>
      <c r="BY513" s="2004">
        <v>0</v>
      </c>
      <c r="BZ513" s="2004">
        <v>0</v>
      </c>
      <c r="CA513" s="2004" t="s">
        <v>2339</v>
      </c>
      <c r="CB513" s="2004">
        <v>0.74050000000000005</v>
      </c>
      <c r="CC513" s="2004">
        <v>202</v>
      </c>
      <c r="CD513" s="2004" t="s">
        <v>2337</v>
      </c>
      <c r="CE513" s="2004">
        <v>0</v>
      </c>
      <c r="CF513" s="2004">
        <v>0</v>
      </c>
      <c r="CG513" s="2004" t="s">
        <v>2339</v>
      </c>
      <c r="CH513" s="2004">
        <v>1.6661969999999999</v>
      </c>
      <c r="CI513" s="2004">
        <v>188</v>
      </c>
      <c r="CJ513" s="2004" t="s">
        <v>2337</v>
      </c>
      <c r="CK513" s="2004">
        <v>0</v>
      </c>
      <c r="CL513" s="2004">
        <v>0</v>
      </c>
      <c r="CM513" s="2004" t="s">
        <v>2339</v>
      </c>
      <c r="CN513" s="2004">
        <v>4.2580589999999994</v>
      </c>
      <c r="CP513" s="2004" t="s">
        <v>12065</v>
      </c>
    </row>
    <row r="514" spans="1:94">
      <c r="A514" s="2004" t="s">
        <v>9082</v>
      </c>
      <c r="B514" s="2004" t="s">
        <v>12066</v>
      </c>
      <c r="C514" s="2004" t="s">
        <v>9047</v>
      </c>
      <c r="D514" s="2004" t="s">
        <v>1629</v>
      </c>
      <c r="E514" s="2004" t="s">
        <v>9410</v>
      </c>
      <c r="F514" s="2004" t="s">
        <v>12048</v>
      </c>
      <c r="G514" s="2004" t="s">
        <v>12067</v>
      </c>
      <c r="H514" s="2004" t="s">
        <v>12068</v>
      </c>
      <c r="I514" s="2004" t="s">
        <v>12069</v>
      </c>
      <c r="J514" s="2004" t="s">
        <v>9210</v>
      </c>
      <c r="K514" s="2004" t="s">
        <v>11973</v>
      </c>
      <c r="L514" s="2004"/>
      <c r="M514" s="2004" t="s">
        <v>2334</v>
      </c>
      <c r="N514" s="2004" t="s">
        <v>9477</v>
      </c>
      <c r="O514" s="2004" t="s">
        <v>9395</v>
      </c>
      <c r="P514" s="2004" t="s">
        <v>9546</v>
      </c>
      <c r="Q514" s="516" t="s">
        <v>9203</v>
      </c>
      <c r="R514" s="2004"/>
      <c r="S514" s="2004" t="s">
        <v>2338</v>
      </c>
      <c r="T514" s="2004"/>
      <c r="U514" s="2004"/>
      <c r="V514" s="2004"/>
      <c r="W514" s="2004"/>
      <c r="X514" s="2004" t="s">
        <v>2338</v>
      </c>
      <c r="Y514" s="2004"/>
      <c r="Z514" s="2004"/>
      <c r="AA514" s="2004"/>
      <c r="AB514" s="2004"/>
      <c r="AC514" s="2004"/>
      <c r="AD514" s="2004"/>
      <c r="AE514" s="2004" t="s">
        <v>2337</v>
      </c>
      <c r="AF514" s="2004"/>
      <c r="AG514" s="2004"/>
      <c r="AH514" s="2004">
        <v>6</v>
      </c>
      <c r="AI514" s="2004"/>
      <c r="AJ514" s="2004"/>
      <c r="AK514" s="2004"/>
      <c r="AL514" s="2004"/>
      <c r="AM514" s="2004" t="s">
        <v>2337</v>
      </c>
      <c r="AN514" s="2004"/>
      <c r="AO514" s="2004"/>
      <c r="AP514" s="2004"/>
      <c r="AQ514" s="2004"/>
      <c r="AR514" s="2004"/>
      <c r="AS514" s="2004"/>
      <c r="AT514" s="2004"/>
      <c r="AU514" s="2004"/>
      <c r="AV514" s="2004"/>
      <c r="AW514" s="2004" t="s">
        <v>9547</v>
      </c>
      <c r="AX514" s="2004"/>
      <c r="AY514" s="2004"/>
      <c r="AZ514" s="2004"/>
      <c r="BA514" s="2004"/>
      <c r="BB514" s="2004"/>
      <c r="BC514" s="2004"/>
      <c r="BD514" s="2004"/>
      <c r="BE514" s="2004"/>
      <c r="BF514" s="2004"/>
      <c r="BG514" s="2004"/>
      <c r="BH514" s="2004" t="s">
        <v>11989</v>
      </c>
      <c r="BI514" s="2004"/>
      <c r="BJ514" s="2004"/>
      <c r="BK514" s="2004"/>
      <c r="BL514" s="2004"/>
      <c r="BM514" s="2004"/>
      <c r="BN514" s="2004">
        <v>1</v>
      </c>
      <c r="BO514" s="2004" t="s">
        <v>9203</v>
      </c>
      <c r="BP514" s="516" t="s">
        <v>11990</v>
      </c>
      <c r="BQ514" s="688" t="s">
        <v>11990</v>
      </c>
      <c r="BR514" s="2004" t="s">
        <v>9204</v>
      </c>
      <c r="BS514" s="2004" t="s">
        <v>9204</v>
      </c>
      <c r="BT514" s="2004">
        <v>0</v>
      </c>
      <c r="BU514" s="2004" t="s">
        <v>9204</v>
      </c>
      <c r="BV514" s="2004">
        <v>0</v>
      </c>
      <c r="BW514" s="2004" t="s">
        <v>11990</v>
      </c>
      <c r="BX514" s="2004" t="s">
        <v>2335</v>
      </c>
      <c r="BY514" s="2004">
        <v>0</v>
      </c>
      <c r="BZ514" s="2004">
        <v>0</v>
      </c>
      <c r="CA514" s="2004">
        <v>0</v>
      </c>
      <c r="CB514" s="2004">
        <v>0</v>
      </c>
      <c r="CC514" s="2004" t="s">
        <v>2338</v>
      </c>
      <c r="CD514" s="2004" t="s">
        <v>2335</v>
      </c>
      <c r="CE514" s="2004">
        <v>0</v>
      </c>
      <c r="CF514" s="2004">
        <v>0</v>
      </c>
      <c r="CG514" s="2004">
        <v>0</v>
      </c>
      <c r="CH514" s="2004">
        <v>0</v>
      </c>
      <c r="CI514" s="2004" t="s">
        <v>2338</v>
      </c>
      <c r="CJ514" s="2004" t="s">
        <v>2337</v>
      </c>
      <c r="CK514" s="2004">
        <v>0</v>
      </c>
      <c r="CL514" s="2004">
        <v>0</v>
      </c>
      <c r="CM514" s="2004">
        <v>0</v>
      </c>
      <c r="CN514" s="2004">
        <v>0</v>
      </c>
      <c r="CP514" s="2004" t="s">
        <v>12070</v>
      </c>
    </row>
    <row r="515" spans="1:94">
      <c r="A515" s="2004" t="s">
        <v>9082</v>
      </c>
      <c r="B515" s="2004" t="s">
        <v>12071</v>
      </c>
      <c r="C515" s="2004" t="s">
        <v>9047</v>
      </c>
      <c r="D515" s="2004" t="s">
        <v>1629</v>
      </c>
      <c r="E515" s="2004" t="s">
        <v>9410</v>
      </c>
      <c r="F515" s="2004" t="s">
        <v>12012</v>
      </c>
      <c r="G515" s="2004" t="s">
        <v>11315</v>
      </c>
      <c r="H515" s="2004" t="s">
        <v>12072</v>
      </c>
      <c r="I515" s="2004" t="s">
        <v>12073</v>
      </c>
      <c r="J515" s="2004" t="s">
        <v>9230</v>
      </c>
      <c r="K515" s="2004"/>
      <c r="L515" s="2004"/>
      <c r="M515" s="2004"/>
      <c r="N515" s="2004" t="s">
        <v>9364</v>
      </c>
      <c r="O515" s="2004" t="s">
        <v>766</v>
      </c>
      <c r="P515" s="2004" t="s">
        <v>12074</v>
      </c>
      <c r="Q515" s="516">
        <v>0</v>
      </c>
      <c r="R515" s="2004" t="s">
        <v>9240</v>
      </c>
      <c r="S515" s="2004">
        <v>15</v>
      </c>
      <c r="T515" s="2004">
        <v>15</v>
      </c>
      <c r="U515" s="2004">
        <v>15</v>
      </c>
      <c r="V515" s="2004">
        <v>15</v>
      </c>
      <c r="W515" s="2004">
        <v>15</v>
      </c>
      <c r="X515" s="2004">
        <v>15</v>
      </c>
      <c r="Y515" s="2004"/>
      <c r="Z515" s="2004"/>
      <c r="AA515" s="2004"/>
      <c r="AB515" s="2004"/>
      <c r="AC515" s="2004"/>
      <c r="AD515" s="2004"/>
      <c r="AE515" s="2004"/>
      <c r="AF515" s="2004"/>
      <c r="AG515" s="2004"/>
      <c r="AH515" s="2004">
        <v>0</v>
      </c>
      <c r="AI515" s="2004"/>
      <c r="AJ515" s="2004"/>
      <c r="AK515" s="2004"/>
      <c r="AL515" s="2004"/>
      <c r="AM515" s="2004"/>
      <c r="AN515" s="2004"/>
      <c r="AO515" s="2004"/>
      <c r="AP515" s="2004"/>
      <c r="AQ515" s="2004"/>
      <c r="AR515" s="2004"/>
      <c r="AS515" s="2004"/>
      <c r="AT515" s="2004"/>
      <c r="AU515" s="2004"/>
      <c r="AV515" s="2004"/>
      <c r="AW515" s="2004"/>
      <c r="AX515" s="2004"/>
      <c r="AY515" s="2004"/>
      <c r="AZ515" s="2004"/>
      <c r="BA515" s="2004"/>
      <c r="BB515" s="2004"/>
      <c r="BC515" s="2004"/>
      <c r="BD515" s="2004"/>
      <c r="BE515" s="2004"/>
      <c r="BF515" s="2004"/>
      <c r="BG515" s="2004"/>
      <c r="BH515" s="2004"/>
      <c r="BI515" s="2004"/>
      <c r="BJ515" s="2004"/>
      <c r="BK515" s="2004"/>
      <c r="BL515" s="2004"/>
      <c r="BM515" s="2004"/>
      <c r="BN515" s="2004"/>
      <c r="BO515" s="2004"/>
      <c r="BP515" s="516">
        <v>18</v>
      </c>
      <c r="BQ515" s="689">
        <v>18</v>
      </c>
      <c r="BR515" s="2004" t="s">
        <v>2337</v>
      </c>
      <c r="BS515" s="2004" t="s">
        <v>9204</v>
      </c>
      <c r="BT515" s="2004">
        <v>0</v>
      </c>
      <c r="BU515" s="2004" t="s">
        <v>9204</v>
      </c>
      <c r="BV515" s="2004">
        <v>0</v>
      </c>
      <c r="BW515" s="2004">
        <v>17</v>
      </c>
      <c r="BX515" s="2004" t="s">
        <v>2337</v>
      </c>
      <c r="BY515" s="2004">
        <v>0</v>
      </c>
      <c r="BZ515" s="2004">
        <v>0</v>
      </c>
      <c r="CA515" s="2004">
        <v>0</v>
      </c>
      <c r="CB515" s="2004">
        <v>0</v>
      </c>
      <c r="CC515" s="2004">
        <v>18</v>
      </c>
      <c r="CD515" s="2004" t="s">
        <v>2337</v>
      </c>
      <c r="CE515" s="2004">
        <v>0</v>
      </c>
      <c r="CF515" s="2004">
        <v>0</v>
      </c>
      <c r="CG515" s="2004">
        <v>0</v>
      </c>
      <c r="CH515" s="2004">
        <v>0</v>
      </c>
      <c r="CI515" s="2004">
        <v>17</v>
      </c>
      <c r="CJ515" s="2004" t="s">
        <v>2337</v>
      </c>
      <c r="CK515" s="2004">
        <v>0</v>
      </c>
      <c r="CL515" s="2004">
        <v>0</v>
      </c>
      <c r="CM515" s="2004">
        <v>0</v>
      </c>
      <c r="CN515" s="2004">
        <v>0</v>
      </c>
      <c r="CP515" s="2004" t="s">
        <v>12075</v>
      </c>
    </row>
    <row r="516" spans="1:94">
      <c r="A516" s="2004" t="s">
        <v>9082</v>
      </c>
      <c r="B516" s="2004" t="s">
        <v>12076</v>
      </c>
      <c r="C516" s="2004" t="s">
        <v>9047</v>
      </c>
      <c r="D516" s="2004" t="s">
        <v>1629</v>
      </c>
      <c r="E516" s="2004" t="s">
        <v>9410</v>
      </c>
      <c r="F516" s="2004" t="s">
        <v>12012</v>
      </c>
      <c r="G516" s="2004" t="s">
        <v>11320</v>
      </c>
      <c r="H516" s="2004" t="s">
        <v>12077</v>
      </c>
      <c r="I516" s="2004" t="s">
        <v>12078</v>
      </c>
      <c r="J516" s="2004" t="s">
        <v>9210</v>
      </c>
      <c r="K516" s="2004" t="s">
        <v>11973</v>
      </c>
      <c r="L516" s="2004"/>
      <c r="M516" s="2004" t="s">
        <v>2334</v>
      </c>
      <c r="N516" s="2004" t="s">
        <v>9477</v>
      </c>
      <c r="O516" s="2004" t="s">
        <v>9395</v>
      </c>
      <c r="P516" s="2004" t="s">
        <v>9546</v>
      </c>
      <c r="Q516" s="516" t="s">
        <v>9203</v>
      </c>
      <c r="R516" s="2004"/>
      <c r="S516" s="2004" t="s">
        <v>2338</v>
      </c>
      <c r="T516" s="2004"/>
      <c r="U516" s="2004"/>
      <c r="V516" s="2004"/>
      <c r="W516" s="2004"/>
      <c r="X516" s="2004" t="s">
        <v>2338</v>
      </c>
      <c r="Y516" s="2004"/>
      <c r="Z516" s="2004"/>
      <c r="AA516" s="2004"/>
      <c r="AB516" s="2004"/>
      <c r="AC516" s="2004"/>
      <c r="AD516" s="2004"/>
      <c r="AE516" s="2004" t="s">
        <v>2337</v>
      </c>
      <c r="AF516" s="2004"/>
      <c r="AG516" s="2004"/>
      <c r="AH516" s="2004">
        <v>3</v>
      </c>
      <c r="AI516" s="2004"/>
      <c r="AJ516" s="2004"/>
      <c r="AK516" s="2004"/>
      <c r="AL516" s="2004"/>
      <c r="AM516" s="2004" t="s">
        <v>2337</v>
      </c>
      <c r="AN516" s="2004"/>
      <c r="AO516" s="2004"/>
      <c r="AP516" s="2004"/>
      <c r="AQ516" s="2004"/>
      <c r="AR516" s="2004"/>
      <c r="AS516" s="2004"/>
      <c r="AT516" s="2004"/>
      <c r="AU516" s="2004"/>
      <c r="AV516" s="2004"/>
      <c r="AW516" s="2004" t="s">
        <v>9547</v>
      </c>
      <c r="AX516" s="2004"/>
      <c r="AY516" s="2004"/>
      <c r="AZ516" s="2004"/>
      <c r="BA516" s="2004"/>
      <c r="BB516" s="2004"/>
      <c r="BC516" s="2004"/>
      <c r="BD516" s="2004"/>
      <c r="BE516" s="2004"/>
      <c r="BF516" s="2004"/>
      <c r="BG516" s="2004"/>
      <c r="BH516" s="2004" t="s">
        <v>11989</v>
      </c>
      <c r="BI516" s="2004"/>
      <c r="BJ516" s="2004"/>
      <c r="BK516" s="2004"/>
      <c r="BL516" s="2004"/>
      <c r="BM516" s="2004"/>
      <c r="BN516" s="2004">
        <v>1</v>
      </c>
      <c r="BO516" s="2004" t="s">
        <v>9203</v>
      </c>
      <c r="BP516" s="516" t="s">
        <v>11990</v>
      </c>
      <c r="BQ516" s="688" t="s">
        <v>11990</v>
      </c>
      <c r="BR516" s="2004" t="s">
        <v>9204</v>
      </c>
      <c r="BS516" s="2004" t="s">
        <v>9204</v>
      </c>
      <c r="BT516" s="2004">
        <v>0</v>
      </c>
      <c r="BU516" s="2004" t="s">
        <v>9204</v>
      </c>
      <c r="BV516" s="2004">
        <v>0</v>
      </c>
      <c r="BW516" s="2004" t="s">
        <v>11990</v>
      </c>
      <c r="BX516" s="2004" t="s">
        <v>2335</v>
      </c>
      <c r="BY516" s="2004">
        <v>0</v>
      </c>
      <c r="BZ516" s="2004">
        <v>0</v>
      </c>
      <c r="CA516" s="2004">
        <v>0</v>
      </c>
      <c r="CB516" s="2004">
        <v>0</v>
      </c>
      <c r="CC516" s="2004" t="s">
        <v>2338</v>
      </c>
      <c r="CD516" s="2004" t="s">
        <v>2335</v>
      </c>
      <c r="CE516" s="2004">
        <v>0</v>
      </c>
      <c r="CF516" s="2004">
        <v>0</v>
      </c>
      <c r="CG516" s="2004">
        <v>0</v>
      </c>
      <c r="CH516" s="2004">
        <v>0</v>
      </c>
      <c r="CI516" s="2004" t="s">
        <v>2338</v>
      </c>
      <c r="CJ516" s="2004" t="s">
        <v>2337</v>
      </c>
      <c r="CK516" s="2004">
        <v>0</v>
      </c>
      <c r="CL516" s="2004">
        <v>0</v>
      </c>
      <c r="CM516" s="2004">
        <v>0</v>
      </c>
      <c r="CN516" s="2004">
        <v>0</v>
      </c>
      <c r="CP516" s="2004" t="s">
        <v>12079</v>
      </c>
    </row>
    <row r="517" spans="1:94">
      <c r="A517" s="2004" t="s">
        <v>9082</v>
      </c>
      <c r="B517" s="2004" t="s">
        <v>12080</v>
      </c>
      <c r="C517" s="2004" t="s">
        <v>9047</v>
      </c>
      <c r="D517" s="2004" t="s">
        <v>1629</v>
      </c>
      <c r="E517" s="2004" t="s">
        <v>9410</v>
      </c>
      <c r="F517" s="2004" t="s">
        <v>12012</v>
      </c>
      <c r="G517" s="2004" t="s">
        <v>11325</v>
      </c>
      <c r="H517" s="2004" t="s">
        <v>12081</v>
      </c>
      <c r="I517" s="2004" t="s">
        <v>12082</v>
      </c>
      <c r="J517" s="2004" t="s">
        <v>10919</v>
      </c>
      <c r="K517" s="2004" t="s">
        <v>9200</v>
      </c>
      <c r="L517" s="2004"/>
      <c r="M517" s="2004" t="s">
        <v>2334</v>
      </c>
      <c r="N517" s="2004" t="s">
        <v>10208</v>
      </c>
      <c r="O517" s="2004" t="s">
        <v>766</v>
      </c>
      <c r="P517" s="2004" t="s">
        <v>12020</v>
      </c>
      <c r="Q517" s="516">
        <v>0</v>
      </c>
      <c r="R517" s="2004" t="s">
        <v>9240</v>
      </c>
      <c r="S517" s="2004"/>
      <c r="T517" s="2004">
        <v>3</v>
      </c>
      <c r="U517" s="2004">
        <v>3</v>
      </c>
      <c r="V517" s="2004">
        <v>3</v>
      </c>
      <c r="W517" s="2004">
        <v>3</v>
      </c>
      <c r="X517" s="2004">
        <v>4</v>
      </c>
      <c r="Y517" s="2004"/>
      <c r="Z517" s="2004"/>
      <c r="AA517" s="2004"/>
      <c r="AB517" s="2004"/>
      <c r="AC517" s="2004"/>
      <c r="AD517" s="2004"/>
      <c r="AE517" s="2004"/>
      <c r="AF517" s="2004"/>
      <c r="AG517" s="2004"/>
      <c r="AH517" s="2004">
        <v>0</v>
      </c>
      <c r="AI517" s="2004" t="s">
        <v>2337</v>
      </c>
      <c r="AJ517" s="2004" t="s">
        <v>2337</v>
      </c>
      <c r="AK517" s="2004" t="s">
        <v>2337</v>
      </c>
      <c r="AL517" s="2004" t="s">
        <v>2337</v>
      </c>
      <c r="AM517" s="2004" t="s">
        <v>2337</v>
      </c>
      <c r="AN517" s="2004"/>
      <c r="AO517" s="2004"/>
      <c r="AP517" s="2004"/>
      <c r="AQ517" s="2004"/>
      <c r="AR517" s="2004"/>
      <c r="AS517" s="2004"/>
      <c r="AT517" s="2004"/>
      <c r="AU517" s="2004"/>
      <c r="AV517" s="2004"/>
      <c r="AW517" s="2004"/>
      <c r="AX517" s="2004">
        <v>3</v>
      </c>
      <c r="AY517" s="2004">
        <v>6</v>
      </c>
      <c r="AZ517" s="2004">
        <v>9</v>
      </c>
      <c r="BA517" s="2004">
        <v>12</v>
      </c>
      <c r="BB517" s="2004">
        <v>16</v>
      </c>
      <c r="BC517" s="2004">
        <v>999999</v>
      </c>
      <c r="BD517" s="2004">
        <v>999999</v>
      </c>
      <c r="BE517" s="2004">
        <v>999999</v>
      </c>
      <c r="BF517" s="2004">
        <v>999999</v>
      </c>
      <c r="BG517" s="2004">
        <v>999999</v>
      </c>
      <c r="BH517" s="2004"/>
      <c r="BI517" s="2004"/>
      <c r="BJ517" s="2004"/>
      <c r="BK517" s="2004"/>
      <c r="BL517" s="2004" t="s">
        <v>12021</v>
      </c>
      <c r="BM517" s="2004"/>
      <c r="BN517" s="2004">
        <v>1</v>
      </c>
      <c r="BO517" s="2004" t="s">
        <v>9203</v>
      </c>
      <c r="BP517" s="516" t="s">
        <v>4150</v>
      </c>
      <c r="BQ517" s="689">
        <v>4</v>
      </c>
      <c r="BR517" s="2004" t="s">
        <v>2337</v>
      </c>
      <c r="BS517" s="2004" t="s">
        <v>9204</v>
      </c>
      <c r="BT517" s="2004">
        <v>0</v>
      </c>
      <c r="BU517" s="2004" t="s">
        <v>2339</v>
      </c>
      <c r="BV517" s="2004">
        <v>2.3955E-4</v>
      </c>
      <c r="BW517" s="2004">
        <v>5</v>
      </c>
      <c r="BX517" s="2004" t="s">
        <v>2337</v>
      </c>
      <c r="BY517" s="2004">
        <v>0</v>
      </c>
      <c r="BZ517" s="2004">
        <v>0</v>
      </c>
      <c r="CA517" s="2004" t="s">
        <v>2339</v>
      </c>
      <c r="CB517" s="2004">
        <v>2.1336E-4</v>
      </c>
      <c r="CC517" s="2004">
        <v>12</v>
      </c>
      <c r="CD517" s="2004" t="s">
        <v>2337</v>
      </c>
      <c r="CE517" s="2004">
        <v>0</v>
      </c>
      <c r="CF517" s="2004">
        <v>0</v>
      </c>
      <c r="CG517" s="2004" t="s">
        <v>2339</v>
      </c>
      <c r="CH517" s="2004">
        <v>3.6480825000000001E-2</v>
      </c>
      <c r="CI517" s="2004">
        <v>11</v>
      </c>
      <c r="CJ517" s="2004" t="s">
        <v>2337</v>
      </c>
      <c r="CK517" s="2004">
        <v>0</v>
      </c>
      <c r="CL517" s="2004">
        <v>0</v>
      </c>
      <c r="CM517" s="2004" t="s">
        <v>2339</v>
      </c>
      <c r="CN517" s="2004">
        <v>6.1511272727272732E-3</v>
      </c>
      <c r="CP517" s="2004" t="s">
        <v>12083</v>
      </c>
    </row>
    <row r="518" spans="1:94">
      <c r="A518" s="2004" t="s">
        <v>9082</v>
      </c>
      <c r="B518" s="2004" t="s">
        <v>12084</v>
      </c>
      <c r="C518" s="2004" t="s">
        <v>9047</v>
      </c>
      <c r="D518" s="2004" t="s">
        <v>1629</v>
      </c>
      <c r="E518" s="2004" t="s">
        <v>9410</v>
      </c>
      <c r="F518" s="2004" t="s">
        <v>12012</v>
      </c>
      <c r="G518" s="2004" t="s">
        <v>11331</v>
      </c>
      <c r="H518" s="2004" t="s">
        <v>12085</v>
      </c>
      <c r="I518" s="2004" t="s">
        <v>12086</v>
      </c>
      <c r="J518" s="2004" t="s">
        <v>9199</v>
      </c>
      <c r="K518" s="2004" t="s">
        <v>11983</v>
      </c>
      <c r="L518" s="2004"/>
      <c r="M518" s="2004" t="s">
        <v>2334</v>
      </c>
      <c r="N518" s="2004" t="s">
        <v>9364</v>
      </c>
      <c r="O518" s="2004" t="s">
        <v>766</v>
      </c>
      <c r="P518" s="2004" t="s">
        <v>12015</v>
      </c>
      <c r="Q518" s="516">
        <v>0</v>
      </c>
      <c r="R518" s="2004" t="s">
        <v>9240</v>
      </c>
      <c r="S518" s="2004"/>
      <c r="T518" s="2004"/>
      <c r="U518" s="2004"/>
      <c r="V518" s="2004"/>
      <c r="W518" s="2004"/>
      <c r="X518" s="2004">
        <v>340</v>
      </c>
      <c r="Y518" s="2004"/>
      <c r="Z518" s="2004"/>
      <c r="AA518" s="2004"/>
      <c r="AB518" s="2004"/>
      <c r="AC518" s="2004"/>
      <c r="AD518" s="2004"/>
      <c r="AE518" s="2004"/>
      <c r="AF518" s="2004" t="s">
        <v>2337</v>
      </c>
      <c r="AG518" s="2004"/>
      <c r="AH518" s="2004">
        <v>0</v>
      </c>
      <c r="AI518" s="2004"/>
      <c r="AJ518" s="2004"/>
      <c r="AK518" s="2004"/>
      <c r="AL518" s="2004"/>
      <c r="AM518" s="2004" t="s">
        <v>2337</v>
      </c>
      <c r="AN518" s="2004"/>
      <c r="AO518" s="2004"/>
      <c r="AP518" s="2004"/>
      <c r="AQ518" s="2004"/>
      <c r="AR518" s="2004">
        <v>0</v>
      </c>
      <c r="AS518" s="2004"/>
      <c r="AT518" s="2004"/>
      <c r="AU518" s="2004"/>
      <c r="AV518" s="2004"/>
      <c r="AW518" s="2004">
        <v>337</v>
      </c>
      <c r="AX518" s="2004"/>
      <c r="AY518" s="2004"/>
      <c r="AZ518" s="2004"/>
      <c r="BA518" s="2004"/>
      <c r="BB518" s="2004">
        <v>343</v>
      </c>
      <c r="BC518" s="2004"/>
      <c r="BD518" s="2004"/>
      <c r="BE518" s="2004"/>
      <c r="BF518" s="2004"/>
      <c r="BG518" s="2004">
        <v>999999</v>
      </c>
      <c r="BH518" s="2004">
        <v>0.14623800000000001</v>
      </c>
      <c r="BI518" s="2004"/>
      <c r="BJ518" s="2004"/>
      <c r="BK518" s="2004"/>
      <c r="BL518" s="2004">
        <v>7.6696E-2</v>
      </c>
      <c r="BM518" s="2004"/>
      <c r="BN518" s="2004">
        <v>1</v>
      </c>
      <c r="BO518" s="2004" t="s">
        <v>9203</v>
      </c>
      <c r="BP518" s="516" t="s">
        <v>4150</v>
      </c>
      <c r="BQ518" s="689">
        <v>0</v>
      </c>
      <c r="BR518" s="2004" t="s">
        <v>9204</v>
      </c>
      <c r="BS518" s="2004" t="s">
        <v>9204</v>
      </c>
      <c r="BT518" s="2004">
        <v>0</v>
      </c>
      <c r="BU518" s="2004" t="s">
        <v>9204</v>
      </c>
      <c r="BV518" s="2004">
        <v>0</v>
      </c>
      <c r="BW518" s="2004">
        <v>0</v>
      </c>
      <c r="BX518" s="2004" t="s">
        <v>2335</v>
      </c>
      <c r="BY518" s="2004">
        <v>0</v>
      </c>
      <c r="BZ518" s="2004">
        <v>0</v>
      </c>
      <c r="CA518" s="2004">
        <v>0</v>
      </c>
      <c r="CB518" s="2004">
        <v>0</v>
      </c>
      <c r="CC518" s="2004">
        <v>0</v>
      </c>
      <c r="CD518" s="2004" t="s">
        <v>2335</v>
      </c>
      <c r="CE518" s="2004">
        <v>0</v>
      </c>
      <c r="CF518" s="2004">
        <v>0</v>
      </c>
      <c r="CG518" s="2004">
        <v>0</v>
      </c>
      <c r="CH518" s="2004">
        <v>0</v>
      </c>
      <c r="CI518" s="2004">
        <v>0</v>
      </c>
      <c r="CJ518" s="2004" t="s">
        <v>2335</v>
      </c>
      <c r="CK518" s="2004">
        <v>0</v>
      </c>
      <c r="CL518" s="2004">
        <v>0</v>
      </c>
      <c r="CM518" s="2004">
        <v>0</v>
      </c>
      <c r="CN518" s="2004">
        <v>0</v>
      </c>
      <c r="CP518" s="2004" t="s">
        <v>12087</v>
      </c>
    </row>
    <row r="519" spans="1:94">
      <c r="A519" s="2004" t="s">
        <v>9082</v>
      </c>
      <c r="B519" s="2004" t="s">
        <v>12088</v>
      </c>
      <c r="C519" s="2004" t="s">
        <v>9047</v>
      </c>
      <c r="D519" s="2004" t="s">
        <v>1629</v>
      </c>
      <c r="E519" s="2004" t="s">
        <v>9410</v>
      </c>
      <c r="F519" s="2004" t="s">
        <v>12012</v>
      </c>
      <c r="G519" s="2004" t="s">
        <v>11337</v>
      </c>
      <c r="H519" s="2004" t="s">
        <v>12089</v>
      </c>
      <c r="I519" s="2004" t="s">
        <v>12090</v>
      </c>
      <c r="J519" s="2004" t="s">
        <v>9199</v>
      </c>
      <c r="K519" s="2004" t="s">
        <v>11983</v>
      </c>
      <c r="L519" s="2004"/>
      <c r="M519" s="2004" t="s">
        <v>2334</v>
      </c>
      <c r="N519" s="2004" t="s">
        <v>9357</v>
      </c>
      <c r="O519" s="2004" t="s">
        <v>766</v>
      </c>
      <c r="P519" s="2004" t="s">
        <v>12026</v>
      </c>
      <c r="Q519" s="516">
        <v>0</v>
      </c>
      <c r="R519" s="2004" t="s">
        <v>9240</v>
      </c>
      <c r="S519" s="2004"/>
      <c r="T519" s="2004"/>
      <c r="U519" s="2004"/>
      <c r="V519" s="2004"/>
      <c r="W519" s="2004"/>
      <c r="X519" s="2004">
        <v>11736</v>
      </c>
      <c r="Y519" s="2004"/>
      <c r="Z519" s="2004"/>
      <c r="AA519" s="2004"/>
      <c r="AB519" s="2004"/>
      <c r="AC519" s="2004"/>
      <c r="AD519" s="2004"/>
      <c r="AE519" s="2004"/>
      <c r="AF519" s="2004" t="s">
        <v>2337</v>
      </c>
      <c r="AG519" s="2004"/>
      <c r="AH519" s="2004">
        <v>0</v>
      </c>
      <c r="AI519" s="2004"/>
      <c r="AJ519" s="2004"/>
      <c r="AK519" s="2004"/>
      <c r="AL519" s="2004"/>
      <c r="AM519" s="2004" t="s">
        <v>2337</v>
      </c>
      <c r="AN519" s="2004"/>
      <c r="AO519" s="2004"/>
      <c r="AP519" s="2004"/>
      <c r="AQ519" s="2004"/>
      <c r="AR519" s="2004">
        <v>10998</v>
      </c>
      <c r="AS519" s="2004"/>
      <c r="AT519" s="2004"/>
      <c r="AU519" s="2004"/>
      <c r="AV519" s="2004"/>
      <c r="AW519" s="2004">
        <v>11501</v>
      </c>
      <c r="AX519" s="2004"/>
      <c r="AY519" s="2004"/>
      <c r="AZ519" s="2004"/>
      <c r="BA519" s="2004"/>
      <c r="BB519" s="2004">
        <v>11971</v>
      </c>
      <c r="BC519" s="2004"/>
      <c r="BD519" s="2004"/>
      <c r="BE519" s="2004"/>
      <c r="BF519" s="2004"/>
      <c r="BG519" s="2004">
        <v>12049</v>
      </c>
      <c r="BH519" s="2004">
        <v>2.0263E-2</v>
      </c>
      <c r="BI519" s="2004"/>
      <c r="BJ519" s="2004"/>
      <c r="BK519" s="2004"/>
      <c r="BL519" s="2004">
        <v>1.3171E-2</v>
      </c>
      <c r="BM519" s="2004"/>
      <c r="BN519" s="2004">
        <v>1</v>
      </c>
      <c r="BO519" s="2004" t="s">
        <v>9203</v>
      </c>
      <c r="BP519" s="516">
        <v>11466</v>
      </c>
      <c r="BQ519" s="689">
        <v>11466</v>
      </c>
      <c r="BR519" s="2004" t="s">
        <v>9204</v>
      </c>
      <c r="BS519" s="2004" t="s">
        <v>9204</v>
      </c>
      <c r="BT519" s="2004">
        <v>0</v>
      </c>
      <c r="BU519" s="2004" t="s">
        <v>9204</v>
      </c>
      <c r="BV519" s="2004">
        <v>0</v>
      </c>
      <c r="BW519" s="2004">
        <v>11492</v>
      </c>
      <c r="BX519" s="2004" t="s">
        <v>2335</v>
      </c>
      <c r="BY519" s="2004">
        <v>0</v>
      </c>
      <c r="BZ519" s="2004">
        <v>0</v>
      </c>
      <c r="CA519" s="2004">
        <v>0</v>
      </c>
      <c r="CB519" s="2004">
        <v>0</v>
      </c>
      <c r="CC519" s="2004">
        <v>11479</v>
      </c>
      <c r="CD519" s="2004" t="s">
        <v>2335</v>
      </c>
      <c r="CE519" s="2004">
        <v>0</v>
      </c>
      <c r="CF519" s="2004">
        <v>0</v>
      </c>
      <c r="CG519" s="2004">
        <v>0</v>
      </c>
      <c r="CH519" s="2004">
        <v>0</v>
      </c>
      <c r="CI519" s="2004">
        <v>11524</v>
      </c>
      <c r="CJ519" s="2004" t="s">
        <v>2335</v>
      </c>
      <c r="CK519" s="2004">
        <v>0</v>
      </c>
      <c r="CL519" s="2004">
        <v>0</v>
      </c>
      <c r="CM519" s="2004">
        <v>0</v>
      </c>
      <c r="CN519" s="2004">
        <v>0</v>
      </c>
      <c r="CP519" s="2004" t="s">
        <v>12091</v>
      </c>
    </row>
    <row r="520" spans="1:94">
      <c r="A520" s="2004" t="s">
        <v>9082</v>
      </c>
      <c r="B520" s="2004" t="s">
        <v>12092</v>
      </c>
      <c r="C520" s="2004" t="s">
        <v>9047</v>
      </c>
      <c r="D520" s="2004" t="s">
        <v>1629</v>
      </c>
      <c r="E520" s="2004" t="s">
        <v>9410</v>
      </c>
      <c r="F520" s="2004" t="s">
        <v>12036</v>
      </c>
      <c r="G520" s="2004" t="s">
        <v>11370</v>
      </c>
      <c r="H520" s="2004" t="s">
        <v>12093</v>
      </c>
      <c r="I520" s="2004" t="s">
        <v>12094</v>
      </c>
      <c r="J520" s="2004" t="s">
        <v>9230</v>
      </c>
      <c r="K520" s="2004"/>
      <c r="L520" s="2004"/>
      <c r="M520" s="2004"/>
      <c r="N520" s="2004" t="s">
        <v>9372</v>
      </c>
      <c r="O520" s="2004" t="s">
        <v>734</v>
      </c>
      <c r="P520" s="2004" t="s">
        <v>12039</v>
      </c>
      <c r="Q520" s="516">
        <v>0</v>
      </c>
      <c r="R520" s="2004" t="s">
        <v>9240</v>
      </c>
      <c r="S520" s="2004">
        <v>8</v>
      </c>
      <c r="T520" s="2004">
        <v>12</v>
      </c>
      <c r="U520" s="2004">
        <v>12</v>
      </c>
      <c r="V520" s="2004">
        <v>12</v>
      </c>
      <c r="W520" s="2004">
        <v>12</v>
      </c>
      <c r="X520" s="2004">
        <v>12</v>
      </c>
      <c r="Y520" s="2004"/>
      <c r="Z520" s="2004"/>
      <c r="AA520" s="2004"/>
      <c r="AB520" s="2004"/>
      <c r="AC520" s="2004"/>
      <c r="AD520" s="2004"/>
      <c r="AE520" s="2004"/>
      <c r="AF520" s="2004"/>
      <c r="AG520" s="2004"/>
      <c r="AH520" s="2004">
        <v>0</v>
      </c>
      <c r="AI520" s="2004"/>
      <c r="AJ520" s="2004"/>
      <c r="AK520" s="2004"/>
      <c r="AL520" s="2004"/>
      <c r="AM520" s="2004"/>
      <c r="AN520" s="2004"/>
      <c r="AO520" s="2004"/>
      <c r="AP520" s="2004"/>
      <c r="AQ520" s="2004"/>
      <c r="AR520" s="2004"/>
      <c r="AS520" s="2004"/>
      <c r="AT520" s="2004"/>
      <c r="AU520" s="2004"/>
      <c r="AV520" s="2004"/>
      <c r="AW520" s="2004"/>
      <c r="AX520" s="2004"/>
      <c r="AY520" s="2004"/>
      <c r="AZ520" s="2004"/>
      <c r="BA520" s="2004"/>
      <c r="BB520" s="2004"/>
      <c r="BC520" s="2004"/>
      <c r="BD520" s="2004"/>
      <c r="BE520" s="2004"/>
      <c r="BF520" s="2004"/>
      <c r="BG520" s="2004"/>
      <c r="BH520" s="2004"/>
      <c r="BI520" s="2004"/>
      <c r="BJ520" s="2004"/>
      <c r="BK520" s="2004"/>
      <c r="BL520" s="2004"/>
      <c r="BM520" s="2004"/>
      <c r="BN520" s="2004"/>
      <c r="BO520" s="2004"/>
      <c r="BP520" s="516">
        <v>12.26</v>
      </c>
      <c r="BQ520" s="689">
        <v>11.257999999999999</v>
      </c>
      <c r="BR520" s="2004" t="s">
        <v>2334</v>
      </c>
      <c r="BS520" s="2004" t="s">
        <v>9204</v>
      </c>
      <c r="BT520" s="2004">
        <v>0</v>
      </c>
      <c r="BU520" s="2004" t="s">
        <v>9204</v>
      </c>
      <c r="BV520" s="2004">
        <v>0</v>
      </c>
      <c r="BW520" s="2004">
        <v>10</v>
      </c>
      <c r="BX520" s="2004" t="s">
        <v>2334</v>
      </c>
      <c r="BY520" s="2004">
        <v>0</v>
      </c>
      <c r="BZ520" s="2004">
        <v>0</v>
      </c>
      <c r="CA520" s="2004">
        <v>0</v>
      </c>
      <c r="CB520" s="2004">
        <v>0</v>
      </c>
      <c r="CC520" s="2004">
        <v>11.44</v>
      </c>
      <c r="CD520" s="2004" t="s">
        <v>2334</v>
      </c>
      <c r="CE520" s="2004">
        <v>0</v>
      </c>
      <c r="CF520" s="2004">
        <v>0</v>
      </c>
      <c r="CG520" s="2004">
        <v>0</v>
      </c>
      <c r="CH520" s="2004">
        <v>0</v>
      </c>
      <c r="CI520" s="2004">
        <v>11</v>
      </c>
      <c r="CJ520" s="2004" t="s">
        <v>2334</v>
      </c>
      <c r="CK520" s="2004">
        <v>0</v>
      </c>
      <c r="CL520" s="2004">
        <v>0</v>
      </c>
      <c r="CM520" s="2004">
        <v>0</v>
      </c>
      <c r="CN520" s="2004">
        <v>0</v>
      </c>
      <c r="CP520" s="2004" t="s">
        <v>12095</v>
      </c>
    </row>
    <row r="521" spans="1:94">
      <c r="A521" s="2004" t="s">
        <v>9082</v>
      </c>
      <c r="B521" s="2004" t="s">
        <v>12096</v>
      </c>
      <c r="C521" s="2004" t="s">
        <v>9047</v>
      </c>
      <c r="D521" s="2004" t="s">
        <v>1629</v>
      </c>
      <c r="E521" s="2004" t="s">
        <v>9410</v>
      </c>
      <c r="F521" s="2004" t="s">
        <v>12036</v>
      </c>
      <c r="G521" s="2004" t="s">
        <v>11375</v>
      </c>
      <c r="H521" s="2004" t="s">
        <v>12097</v>
      </c>
      <c r="I521" s="2004" t="s">
        <v>12098</v>
      </c>
      <c r="J521" s="2004" t="s">
        <v>9230</v>
      </c>
      <c r="K521" s="2004"/>
      <c r="L521" s="2004"/>
      <c r="M521" s="2004"/>
      <c r="N521" s="2004" t="s">
        <v>9621</v>
      </c>
      <c r="O521" s="2004" t="s">
        <v>734</v>
      </c>
      <c r="P521" s="2004" t="s">
        <v>12045</v>
      </c>
      <c r="Q521" s="516">
        <v>0</v>
      </c>
      <c r="R521" s="2004" t="s">
        <v>9240</v>
      </c>
      <c r="S521" s="2004">
        <v>93</v>
      </c>
      <c r="T521" s="2004">
        <v>94</v>
      </c>
      <c r="U521" s="2004">
        <v>94</v>
      </c>
      <c r="V521" s="2004">
        <v>95</v>
      </c>
      <c r="W521" s="2004">
        <v>95</v>
      </c>
      <c r="X521" s="2004">
        <v>95</v>
      </c>
      <c r="Y521" s="2004"/>
      <c r="Z521" s="2004"/>
      <c r="AA521" s="2004"/>
      <c r="AB521" s="2004"/>
      <c r="AC521" s="2004"/>
      <c r="AD521" s="2004"/>
      <c r="AE521" s="2004"/>
      <c r="AF521" s="2004"/>
      <c r="AG521" s="2004"/>
      <c r="AH521" s="2004">
        <v>0</v>
      </c>
      <c r="AI521" s="2004"/>
      <c r="AJ521" s="2004"/>
      <c r="AK521" s="2004"/>
      <c r="AL521" s="2004"/>
      <c r="AM521" s="2004"/>
      <c r="AN521" s="2004"/>
      <c r="AO521" s="2004"/>
      <c r="AP521" s="2004"/>
      <c r="AQ521" s="2004"/>
      <c r="AR521" s="2004"/>
      <c r="AS521" s="2004"/>
      <c r="AT521" s="2004"/>
      <c r="AU521" s="2004"/>
      <c r="AV521" s="2004"/>
      <c r="AW521" s="2004"/>
      <c r="AX521" s="2004"/>
      <c r="AY521" s="2004"/>
      <c r="AZ521" s="2004"/>
      <c r="BA521" s="2004"/>
      <c r="BB521" s="2004"/>
      <c r="BC521" s="2004"/>
      <c r="BD521" s="2004"/>
      <c r="BE521" s="2004"/>
      <c r="BF521" s="2004"/>
      <c r="BG521" s="2004"/>
      <c r="BH521" s="2004"/>
      <c r="BI521" s="2004"/>
      <c r="BJ521" s="2004"/>
      <c r="BK521" s="2004"/>
      <c r="BL521" s="2004"/>
      <c r="BM521" s="2004"/>
      <c r="BN521" s="2004"/>
      <c r="BO521" s="2004"/>
      <c r="BP521" s="516">
        <v>93.5</v>
      </c>
      <c r="BQ521" s="689">
        <v>98.91</v>
      </c>
      <c r="BR521" s="2004" t="s">
        <v>2337</v>
      </c>
      <c r="BS521" s="2004" t="s">
        <v>9204</v>
      </c>
      <c r="BT521" s="2004">
        <v>0</v>
      </c>
      <c r="BU521" s="2004" t="s">
        <v>9204</v>
      </c>
      <c r="BV521" s="2004">
        <v>0</v>
      </c>
      <c r="BW521" s="2004">
        <v>99</v>
      </c>
      <c r="BX521" s="2004" t="s">
        <v>2337</v>
      </c>
      <c r="BY521" s="2004">
        <v>0</v>
      </c>
      <c r="BZ521" s="2004">
        <v>0</v>
      </c>
      <c r="CA521" s="2004">
        <v>0</v>
      </c>
      <c r="CB521" s="2004">
        <v>0</v>
      </c>
      <c r="CC521" s="2004">
        <v>99</v>
      </c>
      <c r="CD521" s="2004" t="s">
        <v>2337</v>
      </c>
      <c r="CE521" s="2004">
        <v>0</v>
      </c>
      <c r="CF521" s="2004">
        <v>0</v>
      </c>
      <c r="CG521" s="2004">
        <v>0</v>
      </c>
      <c r="CH521" s="2004">
        <v>0</v>
      </c>
      <c r="CI521" s="2004">
        <v>100</v>
      </c>
      <c r="CJ521" s="2004" t="s">
        <v>2337</v>
      </c>
      <c r="CK521" s="2004">
        <v>0</v>
      </c>
      <c r="CL521" s="2004">
        <v>0</v>
      </c>
      <c r="CM521" s="2004">
        <v>0</v>
      </c>
      <c r="CN521" s="2004">
        <v>0</v>
      </c>
      <c r="CP521" s="2004" t="s">
        <v>12099</v>
      </c>
    </row>
    <row r="522" spans="1:94">
      <c r="A522" s="2004" t="s">
        <v>9082</v>
      </c>
      <c r="B522" s="2004" t="s">
        <v>12100</v>
      </c>
      <c r="C522" s="2004" t="s">
        <v>9047</v>
      </c>
      <c r="D522" s="2004" t="s">
        <v>9275</v>
      </c>
      <c r="E522" s="2004" t="s">
        <v>9276</v>
      </c>
      <c r="F522" s="2004" t="s">
        <v>12101</v>
      </c>
      <c r="G522" s="2004" t="s">
        <v>11468</v>
      </c>
      <c r="H522" s="2004" t="s">
        <v>12102</v>
      </c>
      <c r="I522" s="2004" t="s">
        <v>12103</v>
      </c>
      <c r="J522" s="2004" t="s">
        <v>9199</v>
      </c>
      <c r="K522" s="2004" t="s">
        <v>9200</v>
      </c>
      <c r="L522" s="2004"/>
      <c r="M522" s="2004" t="s">
        <v>2334</v>
      </c>
      <c r="N522" s="2004" t="s">
        <v>9281</v>
      </c>
      <c r="O522" s="2004" t="s">
        <v>9282</v>
      </c>
      <c r="P522" s="2004" t="s">
        <v>9283</v>
      </c>
      <c r="Q522" s="516">
        <v>1</v>
      </c>
      <c r="R522" s="2004" t="s">
        <v>9240</v>
      </c>
      <c r="S522" s="2004">
        <v>82</v>
      </c>
      <c r="T522" s="2004" t="s">
        <v>12104</v>
      </c>
      <c r="U522" s="2004" t="s">
        <v>12105</v>
      </c>
      <c r="V522" s="2004" t="s">
        <v>12106</v>
      </c>
      <c r="W522" s="2004" t="s">
        <v>12107</v>
      </c>
      <c r="X522" s="2004" t="s">
        <v>12108</v>
      </c>
      <c r="Y522" s="2004"/>
      <c r="Z522" s="2004"/>
      <c r="AA522" s="2004"/>
      <c r="AB522" s="2004"/>
      <c r="AC522" s="2004"/>
      <c r="AD522" s="2004"/>
      <c r="AE522" s="2004"/>
      <c r="AF522" s="2004"/>
      <c r="AG522" s="2004"/>
      <c r="AH522" s="2004">
        <v>0</v>
      </c>
      <c r="AI522" s="2004" t="s">
        <v>2337</v>
      </c>
      <c r="AJ522" s="2004" t="s">
        <v>2337</v>
      </c>
      <c r="AK522" s="2004" t="s">
        <v>2337</v>
      </c>
      <c r="AL522" s="2004" t="s">
        <v>2337</v>
      </c>
      <c r="AM522" s="2004" t="s">
        <v>2337</v>
      </c>
      <c r="AN522" s="2004" t="s">
        <v>9284</v>
      </c>
      <c r="AO522" s="2004" t="s">
        <v>9284</v>
      </c>
      <c r="AP522" s="2004" t="s">
        <v>9284</v>
      </c>
      <c r="AQ522" s="2004" t="s">
        <v>9284</v>
      </c>
      <c r="AR522" s="2004" t="s">
        <v>9284</v>
      </c>
      <c r="AS522" s="2004" t="s">
        <v>9284</v>
      </c>
      <c r="AT522" s="2004" t="s">
        <v>9284</v>
      </c>
      <c r="AU522" s="2004" t="s">
        <v>9284</v>
      </c>
      <c r="AV522" s="2004" t="s">
        <v>9284</v>
      </c>
      <c r="AW522" s="2004" t="s">
        <v>9284</v>
      </c>
      <c r="AX522" s="2004" t="s">
        <v>9284</v>
      </c>
      <c r="AY522" s="2004" t="s">
        <v>9284</v>
      </c>
      <c r="AZ522" s="2004" t="s">
        <v>9284</v>
      </c>
      <c r="BA522" s="2004" t="s">
        <v>9284</v>
      </c>
      <c r="BB522" s="2004" t="s">
        <v>9284</v>
      </c>
      <c r="BC522" s="2004" t="s">
        <v>9284</v>
      </c>
      <c r="BD522" s="2004" t="s">
        <v>9284</v>
      </c>
      <c r="BE522" s="2004" t="s">
        <v>9284</v>
      </c>
      <c r="BF522" s="2004" t="s">
        <v>9284</v>
      </c>
      <c r="BG522" s="2004" t="s">
        <v>9284</v>
      </c>
      <c r="BH522" s="2004" t="s">
        <v>9284</v>
      </c>
      <c r="BI522" s="2004"/>
      <c r="BJ522" s="2004"/>
      <c r="BK522" s="2004"/>
      <c r="BL522" s="2004" t="s">
        <v>9284</v>
      </c>
      <c r="BM522" s="2004"/>
      <c r="BN522" s="2004">
        <v>1</v>
      </c>
      <c r="BO522" s="2004" t="s">
        <v>9203</v>
      </c>
      <c r="BP522" s="516">
        <v>82</v>
      </c>
      <c r="BQ522" s="688">
        <v>82.6</v>
      </c>
      <c r="BR522" s="2004" t="s">
        <v>2337</v>
      </c>
      <c r="BS522" s="2004" t="s">
        <v>9204</v>
      </c>
      <c r="BT522" s="2004">
        <v>0</v>
      </c>
      <c r="BU522" s="2004" t="s">
        <v>9204</v>
      </c>
      <c r="BV522" s="2004">
        <v>0</v>
      </c>
      <c r="BW522" s="2004">
        <v>83.4</v>
      </c>
      <c r="BX522" s="2004" t="s">
        <v>2337</v>
      </c>
      <c r="BY522" s="2004">
        <v>0</v>
      </c>
      <c r="BZ522" s="2004">
        <v>0</v>
      </c>
      <c r="CA522" s="2004">
        <v>0</v>
      </c>
      <c r="CB522" s="2004">
        <v>0</v>
      </c>
      <c r="CC522" s="2004">
        <v>84.27</v>
      </c>
      <c r="CD522" s="2004" t="s">
        <v>2337</v>
      </c>
      <c r="CE522" s="2004">
        <v>0</v>
      </c>
      <c r="CF522" s="2004">
        <v>0</v>
      </c>
      <c r="CG522" s="2004">
        <v>0</v>
      </c>
      <c r="CH522" s="2004">
        <v>0</v>
      </c>
      <c r="CI522" s="2004">
        <v>84</v>
      </c>
      <c r="CJ522" s="2004" t="s">
        <v>2334</v>
      </c>
      <c r="CK522" s="2004">
        <v>0</v>
      </c>
      <c r="CL522" s="2004">
        <v>0</v>
      </c>
      <c r="CM522" s="2004">
        <v>0</v>
      </c>
      <c r="CN522" s="2004">
        <v>0</v>
      </c>
      <c r="CP522" s="2004" t="s">
        <v>12109</v>
      </c>
    </row>
    <row r="523" spans="1:94">
      <c r="A523" s="2004" t="s">
        <v>9082</v>
      </c>
      <c r="B523" s="2004" t="s">
        <v>12110</v>
      </c>
      <c r="C523" s="2004" t="s">
        <v>9047</v>
      </c>
      <c r="D523" s="2004" t="s">
        <v>9275</v>
      </c>
      <c r="E523" s="2004" t="s">
        <v>9276</v>
      </c>
      <c r="F523" s="2004" t="s">
        <v>12101</v>
      </c>
      <c r="G523" s="2004" t="s">
        <v>11473</v>
      </c>
      <c r="H523" s="2004" t="s">
        <v>12111</v>
      </c>
      <c r="I523" s="2004" t="s">
        <v>12112</v>
      </c>
      <c r="J523" s="2004" t="s">
        <v>9230</v>
      </c>
      <c r="K523" s="2004"/>
      <c r="L523" s="2004"/>
      <c r="M523" s="2004"/>
      <c r="N523" s="2004" t="s">
        <v>9386</v>
      </c>
      <c r="O523" s="2004" t="s">
        <v>766</v>
      </c>
      <c r="P523" s="2004" t="s">
        <v>12113</v>
      </c>
      <c r="Q523" s="516">
        <v>0</v>
      </c>
      <c r="R523" s="2004" t="s">
        <v>9202</v>
      </c>
      <c r="S523" s="2004">
        <v>15267</v>
      </c>
      <c r="T523" s="2004"/>
      <c r="U523" s="2004"/>
      <c r="V523" s="2004"/>
      <c r="W523" s="2004"/>
      <c r="X523" s="2004" t="s">
        <v>12114</v>
      </c>
      <c r="Y523" s="2004"/>
      <c r="Z523" s="2004"/>
      <c r="AA523" s="2004"/>
      <c r="AB523" s="2004"/>
      <c r="AC523" s="2004"/>
      <c r="AD523" s="2004"/>
      <c r="AE523" s="2004"/>
      <c r="AF523" s="2004"/>
      <c r="AG523" s="2004"/>
      <c r="AH523" s="2004">
        <v>0</v>
      </c>
      <c r="AI523" s="2004"/>
      <c r="AJ523" s="2004"/>
      <c r="AK523" s="2004"/>
      <c r="AL523" s="2004"/>
      <c r="AM523" s="2004"/>
      <c r="AN523" s="2004"/>
      <c r="AO523" s="2004"/>
      <c r="AP523" s="2004"/>
      <c r="AQ523" s="2004"/>
      <c r="AR523" s="2004"/>
      <c r="AS523" s="2004"/>
      <c r="AT523" s="2004"/>
      <c r="AU523" s="2004"/>
      <c r="AV523" s="2004"/>
      <c r="AW523" s="2004"/>
      <c r="AX523" s="2004"/>
      <c r="AY523" s="2004"/>
      <c r="AZ523" s="2004"/>
      <c r="BA523" s="2004"/>
      <c r="BB523" s="2004"/>
      <c r="BC523" s="2004"/>
      <c r="BD523" s="2004"/>
      <c r="BE523" s="2004"/>
      <c r="BF523" s="2004"/>
      <c r="BG523" s="2004"/>
      <c r="BH523" s="2004"/>
      <c r="BI523" s="2004"/>
      <c r="BJ523" s="2004"/>
      <c r="BK523" s="2004"/>
      <c r="BL523" s="2004"/>
      <c r="BM523" s="2004"/>
      <c r="BN523" s="2004"/>
      <c r="BO523" s="2004"/>
      <c r="BP523" s="516">
        <v>10610</v>
      </c>
      <c r="BQ523" s="706">
        <v>10567</v>
      </c>
      <c r="BR523" s="2004" t="s">
        <v>9204</v>
      </c>
      <c r="BS523" s="2004" t="s">
        <v>9204</v>
      </c>
      <c r="BT523" s="2004">
        <v>0</v>
      </c>
      <c r="BU523" s="2004" t="s">
        <v>9204</v>
      </c>
      <c r="BV523" s="2004">
        <v>0</v>
      </c>
      <c r="BW523" s="2004">
        <v>10356</v>
      </c>
      <c r="BX523" s="2004" t="s">
        <v>2335</v>
      </c>
      <c r="BY523" s="2004">
        <v>0</v>
      </c>
      <c r="BZ523" s="2004">
        <v>0</v>
      </c>
      <c r="CA523" s="2004">
        <v>0</v>
      </c>
      <c r="CB523" s="2004">
        <v>0</v>
      </c>
      <c r="CC523" s="2004">
        <v>12203</v>
      </c>
      <c r="CD523" s="2004" t="s">
        <v>2335</v>
      </c>
      <c r="CE523" s="2004">
        <v>0</v>
      </c>
      <c r="CF523" s="2004">
        <v>0</v>
      </c>
      <c r="CG523" s="2004">
        <v>0</v>
      </c>
      <c r="CH523" s="2004">
        <v>0</v>
      </c>
      <c r="CI523" s="2004">
        <v>14221</v>
      </c>
      <c r="CJ523" s="2004" t="s">
        <v>2337</v>
      </c>
      <c r="CK523" s="2004">
        <v>0</v>
      </c>
      <c r="CL523" s="2004">
        <v>0</v>
      </c>
      <c r="CM523" s="2004">
        <v>0</v>
      </c>
      <c r="CN523" s="2004">
        <v>0</v>
      </c>
      <c r="CP523" s="2004" t="s">
        <v>12115</v>
      </c>
    </row>
    <row r="524" spans="1:94" ht="60">
      <c r="A524" s="2004" t="s">
        <v>9082</v>
      </c>
      <c r="B524" s="2004" t="s">
        <v>12116</v>
      </c>
      <c r="C524" s="2004" t="s">
        <v>9047</v>
      </c>
      <c r="D524" s="2004" t="s">
        <v>9275</v>
      </c>
      <c r="E524" s="2004" t="s">
        <v>9276</v>
      </c>
      <c r="F524" s="2004" t="s">
        <v>12101</v>
      </c>
      <c r="G524" s="2004" t="s">
        <v>11478</v>
      </c>
      <c r="H524" s="2004" t="s">
        <v>12117</v>
      </c>
      <c r="I524" s="2004" t="s">
        <v>12118</v>
      </c>
      <c r="J524" s="2004" t="s">
        <v>9230</v>
      </c>
      <c r="K524" s="2004"/>
      <c r="L524" s="2004"/>
      <c r="M524" s="2004"/>
      <c r="N524" s="2004" t="s">
        <v>9386</v>
      </c>
      <c r="O524" s="2004" t="s">
        <v>734</v>
      </c>
      <c r="P524" s="2004" t="s">
        <v>12119</v>
      </c>
      <c r="Q524" s="516">
        <v>0</v>
      </c>
      <c r="R524" s="2004" t="s">
        <v>9240</v>
      </c>
      <c r="S524" s="2004"/>
      <c r="T524" s="2004"/>
      <c r="U524" s="2004"/>
      <c r="V524" s="2004"/>
      <c r="W524" s="2004"/>
      <c r="X524" s="2004" t="s">
        <v>12120</v>
      </c>
      <c r="Y524" s="2004"/>
      <c r="Z524" s="2004"/>
      <c r="AA524" s="2004"/>
      <c r="AB524" s="2004"/>
      <c r="AC524" s="2004"/>
      <c r="AD524" s="2004"/>
      <c r="AE524" s="2004"/>
      <c r="AF524" s="2004"/>
      <c r="AG524" s="2004"/>
      <c r="AH524" s="2004">
        <v>0</v>
      </c>
      <c r="AI524" s="2004"/>
      <c r="AJ524" s="2004"/>
      <c r="AK524" s="2004"/>
      <c r="AL524" s="2004"/>
      <c r="AM524" s="2004"/>
      <c r="AN524" s="2004"/>
      <c r="AO524" s="2004"/>
      <c r="AP524" s="2004"/>
      <c r="AQ524" s="2004"/>
      <c r="AR524" s="2004"/>
      <c r="AS524" s="2004"/>
      <c r="AT524" s="2004"/>
      <c r="AU524" s="2004"/>
      <c r="AV524" s="2004"/>
      <c r="AW524" s="2004"/>
      <c r="AX524" s="2004"/>
      <c r="AY524" s="2004"/>
      <c r="AZ524" s="2004"/>
      <c r="BA524" s="2004"/>
      <c r="BB524" s="2004"/>
      <c r="BC524" s="2004"/>
      <c r="BD524" s="2004"/>
      <c r="BE524" s="2004"/>
      <c r="BF524" s="2004"/>
      <c r="BG524" s="2004"/>
      <c r="BH524" s="2004"/>
      <c r="BI524" s="2004"/>
      <c r="BJ524" s="2004"/>
      <c r="BK524" s="2004"/>
      <c r="BL524" s="2004"/>
      <c r="BM524" s="2004"/>
      <c r="BN524" s="2004"/>
      <c r="BO524" s="2004"/>
      <c r="BP524" s="516" t="s">
        <v>12121</v>
      </c>
      <c r="BQ524" s="702" t="s">
        <v>12122</v>
      </c>
      <c r="BR524" s="2004" t="s">
        <v>9204</v>
      </c>
      <c r="BS524" s="2004" t="s">
        <v>9204</v>
      </c>
      <c r="BT524" s="2004">
        <v>0</v>
      </c>
      <c r="BU524" s="2004" t="s">
        <v>9204</v>
      </c>
      <c r="BV524" s="2004">
        <v>0</v>
      </c>
      <c r="BW524" s="2004" t="s">
        <v>12123</v>
      </c>
      <c r="BX524" s="2004" t="s">
        <v>2335</v>
      </c>
      <c r="BY524" s="2004">
        <v>0</v>
      </c>
      <c r="BZ524" s="2004">
        <v>0</v>
      </c>
      <c r="CA524" s="2004">
        <v>0</v>
      </c>
      <c r="CB524" s="2004">
        <v>0</v>
      </c>
      <c r="CC524" s="2004" t="s">
        <v>12121</v>
      </c>
      <c r="CD524" s="2004" t="s">
        <v>2335</v>
      </c>
      <c r="CE524" s="2004">
        <v>0</v>
      </c>
      <c r="CF524" s="2004">
        <v>0</v>
      </c>
      <c r="CG524" s="2004">
        <v>0</v>
      </c>
      <c r="CH524" s="2004">
        <v>0</v>
      </c>
      <c r="CI524" s="2004" t="s">
        <v>12124</v>
      </c>
      <c r="CJ524" s="2004" t="s">
        <v>2337</v>
      </c>
      <c r="CK524" s="2004">
        <v>0</v>
      </c>
      <c r="CL524" s="2004">
        <v>0</v>
      </c>
      <c r="CM524" s="2004">
        <v>0</v>
      </c>
      <c r="CN524" s="2004">
        <v>0</v>
      </c>
      <c r="CP524" s="2004" t="s">
        <v>12125</v>
      </c>
    </row>
    <row r="525" spans="1:94">
      <c r="A525" s="2004" t="s">
        <v>9082</v>
      </c>
      <c r="B525" s="2004" t="s">
        <v>12126</v>
      </c>
      <c r="C525" s="2004" t="s">
        <v>9047</v>
      </c>
      <c r="D525" s="2004" t="s">
        <v>9275</v>
      </c>
      <c r="E525" s="2004" t="s">
        <v>9276</v>
      </c>
      <c r="F525" s="2004" t="s">
        <v>12127</v>
      </c>
      <c r="G525" s="2004" t="s">
        <v>11500</v>
      </c>
      <c r="H525" s="2004" t="s">
        <v>12128</v>
      </c>
      <c r="I525" s="2004" t="s">
        <v>12129</v>
      </c>
      <c r="J525" s="2004" t="s">
        <v>9230</v>
      </c>
      <c r="K525" s="2004"/>
      <c r="L525" s="2004"/>
      <c r="M525" s="2004"/>
      <c r="N525" s="2004" t="s">
        <v>9290</v>
      </c>
      <c r="O525" s="2004" t="s">
        <v>734</v>
      </c>
      <c r="P525" s="2004" t="s">
        <v>12130</v>
      </c>
      <c r="Q525" s="516">
        <v>2</v>
      </c>
      <c r="R525" s="2004" t="s">
        <v>9202</v>
      </c>
      <c r="S525" s="2004">
        <v>3.1</v>
      </c>
      <c r="T525" s="2004">
        <v>3.16</v>
      </c>
      <c r="U525" s="2004">
        <v>3.16</v>
      </c>
      <c r="V525" s="2004">
        <v>3.16</v>
      </c>
      <c r="W525" s="2004">
        <v>3.16</v>
      </c>
      <c r="X525" s="2004">
        <v>3.16</v>
      </c>
      <c r="Y525" s="2004"/>
      <c r="Z525" s="2004"/>
      <c r="AA525" s="2004"/>
      <c r="AB525" s="2004"/>
      <c r="AC525" s="2004"/>
      <c r="AD525" s="2004"/>
      <c r="AE525" s="2004"/>
      <c r="AF525" s="2004"/>
      <c r="AG525" s="2004"/>
      <c r="AH525" s="2004">
        <v>0</v>
      </c>
      <c r="AI525" s="2004"/>
      <c r="AJ525" s="2004"/>
      <c r="AK525" s="2004"/>
      <c r="AL525" s="2004"/>
      <c r="AM525" s="2004"/>
      <c r="AN525" s="2004"/>
      <c r="AO525" s="2004"/>
      <c r="AP525" s="2004"/>
      <c r="AQ525" s="2004"/>
      <c r="AR525" s="2004"/>
      <c r="AS525" s="2004"/>
      <c r="AT525" s="2004"/>
      <c r="AU525" s="2004"/>
      <c r="AV525" s="2004"/>
      <c r="AW525" s="2004"/>
      <c r="AX525" s="2004"/>
      <c r="AY525" s="2004"/>
      <c r="AZ525" s="2004"/>
      <c r="BA525" s="2004"/>
      <c r="BB525" s="2004"/>
      <c r="BC525" s="2004"/>
      <c r="BD525" s="2004"/>
      <c r="BE525" s="2004"/>
      <c r="BF525" s="2004"/>
      <c r="BG525" s="2004"/>
      <c r="BH525" s="2004"/>
      <c r="BI525" s="2004"/>
      <c r="BJ525" s="2004"/>
      <c r="BK525" s="2004"/>
      <c r="BL525" s="2004"/>
      <c r="BM525" s="2004"/>
      <c r="BN525" s="2004"/>
      <c r="BO525" s="2004"/>
      <c r="BP525" s="516">
        <v>3.18</v>
      </c>
      <c r="BQ525" s="690">
        <v>3.05</v>
      </c>
      <c r="BR525" s="2004" t="s">
        <v>2337</v>
      </c>
      <c r="BS525" s="2004" t="s">
        <v>9204</v>
      </c>
      <c r="BT525" s="2004">
        <v>0</v>
      </c>
      <c r="BU525" s="2004" t="s">
        <v>9204</v>
      </c>
      <c r="BV525" s="2004">
        <v>0</v>
      </c>
      <c r="BW525" s="2004">
        <v>2.94</v>
      </c>
      <c r="BX525" s="2004" t="s">
        <v>2337</v>
      </c>
      <c r="BY525" s="2004">
        <v>0</v>
      </c>
      <c r="BZ525" s="2004">
        <v>0</v>
      </c>
      <c r="CA525" s="2004">
        <v>0</v>
      </c>
      <c r="CB525" s="2004">
        <v>0</v>
      </c>
      <c r="CC525" s="2004">
        <v>3.1</v>
      </c>
      <c r="CD525" s="2004" t="s">
        <v>2337</v>
      </c>
      <c r="CE525" s="2004">
        <v>0</v>
      </c>
      <c r="CF525" s="2004">
        <v>0</v>
      </c>
      <c r="CG525" s="2004">
        <v>0</v>
      </c>
      <c r="CH525" s="2004">
        <v>0</v>
      </c>
      <c r="CI525" s="2004">
        <v>3.02</v>
      </c>
      <c r="CJ525" s="2004" t="s">
        <v>2337</v>
      </c>
      <c r="CK525" s="2004">
        <v>0</v>
      </c>
      <c r="CL525" s="2004">
        <v>0</v>
      </c>
      <c r="CM525" s="2004">
        <v>0</v>
      </c>
      <c r="CN525" s="2004">
        <v>0</v>
      </c>
      <c r="CP525" s="2004" t="s">
        <v>12131</v>
      </c>
    </row>
    <row r="526" spans="1:94">
      <c r="A526" s="2004" t="s">
        <v>9082</v>
      </c>
      <c r="B526" s="2004" t="s">
        <v>12132</v>
      </c>
      <c r="C526" s="2004" t="s">
        <v>9047</v>
      </c>
      <c r="D526" s="2004" t="s">
        <v>9275</v>
      </c>
      <c r="E526" s="2004" t="s">
        <v>9276</v>
      </c>
      <c r="F526" s="2004" t="s">
        <v>12127</v>
      </c>
      <c r="G526" s="2004" t="s">
        <v>12133</v>
      </c>
      <c r="H526" s="2004" t="s">
        <v>12134</v>
      </c>
      <c r="I526" s="2004" t="s">
        <v>12135</v>
      </c>
      <c r="J526" s="2004" t="s">
        <v>9230</v>
      </c>
      <c r="K526" s="2004"/>
      <c r="L526" s="2004"/>
      <c r="M526" s="2004"/>
      <c r="N526" s="2004" t="s">
        <v>9290</v>
      </c>
      <c r="O526" s="2004" t="s">
        <v>766</v>
      </c>
      <c r="P526" s="2004" t="s">
        <v>12136</v>
      </c>
      <c r="Q526" s="516">
        <v>0</v>
      </c>
      <c r="R526" s="2004"/>
      <c r="S526" s="2004"/>
      <c r="T526" s="2004" t="s">
        <v>12137</v>
      </c>
      <c r="U526" s="2004" t="s">
        <v>12137</v>
      </c>
      <c r="V526" s="2004" t="s">
        <v>12137</v>
      </c>
      <c r="W526" s="2004" t="s">
        <v>12137</v>
      </c>
      <c r="X526" s="2004" t="s">
        <v>12138</v>
      </c>
      <c r="Y526" s="2004"/>
      <c r="Z526" s="2004"/>
      <c r="AA526" s="2004"/>
      <c r="AB526" s="2004"/>
      <c r="AC526" s="2004"/>
      <c r="AD526" s="2004"/>
      <c r="AE526" s="2004"/>
      <c r="AF526" s="2004"/>
      <c r="AG526" s="2004"/>
      <c r="AH526" s="2004">
        <v>0</v>
      </c>
      <c r="AI526" s="2004"/>
      <c r="AJ526" s="2004"/>
      <c r="AK526" s="2004"/>
      <c r="AL526" s="2004"/>
      <c r="AM526" s="2004"/>
      <c r="AN526" s="2004"/>
      <c r="AO526" s="2004"/>
      <c r="AP526" s="2004"/>
      <c r="AQ526" s="2004"/>
      <c r="AR526" s="2004"/>
      <c r="AS526" s="2004"/>
      <c r="AT526" s="2004"/>
      <c r="AU526" s="2004"/>
      <c r="AV526" s="2004"/>
      <c r="AW526" s="2004"/>
      <c r="AX526" s="2004"/>
      <c r="AY526" s="2004"/>
      <c r="AZ526" s="2004"/>
      <c r="BA526" s="2004"/>
      <c r="BB526" s="2004"/>
      <c r="BC526" s="2004"/>
      <c r="BD526" s="2004"/>
      <c r="BE526" s="2004"/>
      <c r="BF526" s="2004"/>
      <c r="BG526" s="2004"/>
      <c r="BH526" s="2004"/>
      <c r="BI526" s="2004"/>
      <c r="BJ526" s="2004"/>
      <c r="BK526" s="2004"/>
      <c r="BL526" s="2004"/>
      <c r="BM526" s="2004"/>
      <c r="BN526" s="2004"/>
      <c r="BO526" s="2004"/>
      <c r="BP526" s="516" t="s">
        <v>4150</v>
      </c>
      <c r="BQ526" s="702">
        <v>22735</v>
      </c>
      <c r="BR526" s="2004" t="s">
        <v>9204</v>
      </c>
      <c r="BS526" s="2004" t="s">
        <v>9204</v>
      </c>
      <c r="BT526" s="2004">
        <v>0</v>
      </c>
      <c r="BU526" s="2004" t="s">
        <v>9204</v>
      </c>
      <c r="BV526" s="2004">
        <v>0</v>
      </c>
      <c r="BW526" s="2004">
        <v>26902</v>
      </c>
      <c r="BX526" s="2004" t="s">
        <v>2335</v>
      </c>
      <c r="BY526" s="2004">
        <v>0</v>
      </c>
      <c r="BZ526" s="2004">
        <v>0</v>
      </c>
      <c r="CA526" s="2004">
        <v>0</v>
      </c>
      <c r="CB526" s="2004">
        <v>0</v>
      </c>
      <c r="CC526" s="2004">
        <v>28853</v>
      </c>
      <c r="CD526" s="2004" t="s">
        <v>2335</v>
      </c>
      <c r="CE526" s="2004">
        <v>0</v>
      </c>
      <c r="CF526" s="2004">
        <v>0</v>
      </c>
      <c r="CG526" s="2004">
        <v>0</v>
      </c>
      <c r="CH526" s="2004">
        <v>0</v>
      </c>
      <c r="CI526" s="2004">
        <v>31606</v>
      </c>
      <c r="CJ526" s="2004" t="s">
        <v>2337</v>
      </c>
      <c r="CK526" s="2004">
        <v>0</v>
      </c>
      <c r="CL526" s="2004">
        <v>0</v>
      </c>
      <c r="CM526" s="2004">
        <v>0</v>
      </c>
      <c r="CN526" s="2004">
        <v>0</v>
      </c>
      <c r="CP526" s="2004" t="s">
        <v>12139</v>
      </c>
    </row>
    <row r="527" spans="1:94" ht="60">
      <c r="A527" s="2004" t="s">
        <v>9082</v>
      </c>
      <c r="B527" s="2004" t="s">
        <v>12140</v>
      </c>
      <c r="C527" s="2004" t="s">
        <v>9047</v>
      </c>
      <c r="D527" s="2004" t="s">
        <v>9275</v>
      </c>
      <c r="E527" s="2004" t="s">
        <v>9276</v>
      </c>
      <c r="F527" s="2004" t="s">
        <v>12127</v>
      </c>
      <c r="G527" s="2004" t="s">
        <v>12141</v>
      </c>
      <c r="H527" s="2004" t="s">
        <v>12142</v>
      </c>
      <c r="I527" s="2004" t="s">
        <v>12143</v>
      </c>
      <c r="J527" s="2004" t="s">
        <v>9230</v>
      </c>
      <c r="K527" s="2004"/>
      <c r="L527" s="2004"/>
      <c r="M527" s="2004"/>
      <c r="N527" s="2004" t="s">
        <v>9290</v>
      </c>
      <c r="O527" s="2004" t="s">
        <v>734</v>
      </c>
      <c r="P527" s="2004" t="s">
        <v>12144</v>
      </c>
      <c r="Q527" s="516">
        <v>0</v>
      </c>
      <c r="R527" s="2004" t="s">
        <v>9240</v>
      </c>
      <c r="S527" s="2004"/>
      <c r="T527" s="2004"/>
      <c r="U527" s="2004"/>
      <c r="V527" s="2004"/>
      <c r="W527" s="2004"/>
      <c r="X527" s="2004" t="s">
        <v>12145</v>
      </c>
      <c r="Y527" s="2004"/>
      <c r="Z527" s="2004"/>
      <c r="AA527" s="2004"/>
      <c r="AB527" s="2004"/>
      <c r="AC527" s="2004"/>
      <c r="AD527" s="2004"/>
      <c r="AE527" s="2004"/>
      <c r="AF527" s="2004"/>
      <c r="AG527" s="2004"/>
      <c r="AH527" s="2004">
        <v>0</v>
      </c>
      <c r="AI527" s="2004"/>
      <c r="AJ527" s="2004"/>
      <c r="AK527" s="2004"/>
      <c r="AL527" s="2004"/>
      <c r="AM527" s="2004"/>
      <c r="AN527" s="2004"/>
      <c r="AO527" s="2004"/>
      <c r="AP527" s="2004"/>
      <c r="AQ527" s="2004"/>
      <c r="AR527" s="2004"/>
      <c r="AS527" s="2004"/>
      <c r="AT527" s="2004"/>
      <c r="AU527" s="2004"/>
      <c r="AV527" s="2004"/>
      <c r="AW527" s="2004"/>
      <c r="AX527" s="2004"/>
      <c r="AY527" s="2004"/>
      <c r="AZ527" s="2004"/>
      <c r="BA527" s="2004"/>
      <c r="BB527" s="2004"/>
      <c r="BC527" s="2004"/>
      <c r="BD527" s="2004"/>
      <c r="BE527" s="2004"/>
      <c r="BF527" s="2004"/>
      <c r="BG527" s="2004"/>
      <c r="BH527" s="2004"/>
      <c r="BI527" s="2004"/>
      <c r="BJ527" s="2004"/>
      <c r="BK527" s="2004"/>
      <c r="BL527" s="2004"/>
      <c r="BM527" s="2004"/>
      <c r="BN527" s="2004"/>
      <c r="BO527" s="2004"/>
      <c r="BP527" s="516" t="s">
        <v>12146</v>
      </c>
      <c r="BQ527" s="702" t="s">
        <v>12147</v>
      </c>
      <c r="BR527" s="2004" t="s">
        <v>9204</v>
      </c>
      <c r="BS527" s="2004" t="s">
        <v>9204</v>
      </c>
      <c r="BT527" s="2004">
        <v>0</v>
      </c>
      <c r="BU527" s="2004" t="s">
        <v>9204</v>
      </c>
      <c r="BV527" s="2004">
        <v>0</v>
      </c>
      <c r="BW527" s="2004" t="s">
        <v>12148</v>
      </c>
      <c r="BX527" s="2004" t="s">
        <v>2335</v>
      </c>
      <c r="BY527" s="2004">
        <v>0</v>
      </c>
      <c r="BZ527" s="2004">
        <v>0</v>
      </c>
      <c r="CA527" s="2004">
        <v>0</v>
      </c>
      <c r="CB527" s="2004">
        <v>0</v>
      </c>
      <c r="CC527" s="2004" t="s">
        <v>12149</v>
      </c>
      <c r="CD527" s="2004" t="s">
        <v>2335</v>
      </c>
      <c r="CE527" s="2004">
        <v>0</v>
      </c>
      <c r="CF527" s="2004">
        <v>0</v>
      </c>
      <c r="CG527" s="2004">
        <v>0</v>
      </c>
      <c r="CH527" s="2004">
        <v>0</v>
      </c>
      <c r="CI527" s="2004" t="s">
        <v>12150</v>
      </c>
      <c r="CJ527" s="2004" t="s">
        <v>2337</v>
      </c>
      <c r="CK527" s="2004">
        <v>0</v>
      </c>
      <c r="CL527" s="2004">
        <v>0</v>
      </c>
      <c r="CM527" s="2004">
        <v>0</v>
      </c>
      <c r="CN527" s="2004">
        <v>0</v>
      </c>
      <c r="CP527" s="2004" t="s">
        <v>12151</v>
      </c>
    </row>
    <row r="528" spans="1:94">
      <c r="A528" s="2004" t="s">
        <v>9082</v>
      </c>
      <c r="B528" s="2004" t="s">
        <v>12152</v>
      </c>
      <c r="C528" s="2004" t="s">
        <v>9047</v>
      </c>
      <c r="D528" s="2004" t="s">
        <v>9275</v>
      </c>
      <c r="E528" s="2004" t="s">
        <v>9276</v>
      </c>
      <c r="F528" s="2004" t="s">
        <v>12036</v>
      </c>
      <c r="G528" s="2004" t="s">
        <v>11512</v>
      </c>
      <c r="H528" s="2004" t="s">
        <v>12153</v>
      </c>
      <c r="I528" s="2004" t="s">
        <v>12154</v>
      </c>
      <c r="J528" s="2004" t="s">
        <v>9230</v>
      </c>
      <c r="K528" s="2004"/>
      <c r="L528" s="2004"/>
      <c r="M528" s="2004"/>
      <c r="N528" s="2004" t="s">
        <v>9372</v>
      </c>
      <c r="O528" s="2004" t="s">
        <v>734</v>
      </c>
      <c r="P528" s="2004" t="s">
        <v>12039</v>
      </c>
      <c r="Q528" s="516">
        <v>0</v>
      </c>
      <c r="R528" s="2004" t="s">
        <v>9240</v>
      </c>
      <c r="S528" s="2004">
        <v>8</v>
      </c>
      <c r="T528" s="2004">
        <v>12</v>
      </c>
      <c r="U528" s="2004">
        <v>12</v>
      </c>
      <c r="V528" s="2004">
        <v>12</v>
      </c>
      <c r="W528" s="2004">
        <v>12</v>
      </c>
      <c r="X528" s="2004">
        <v>12</v>
      </c>
      <c r="Y528" s="2004"/>
      <c r="Z528" s="2004"/>
      <c r="AA528" s="2004"/>
      <c r="AB528" s="2004"/>
      <c r="AC528" s="2004"/>
      <c r="AD528" s="2004"/>
      <c r="AE528" s="2004"/>
      <c r="AF528" s="2004"/>
      <c r="AG528" s="2004"/>
      <c r="AH528" s="2004">
        <v>0</v>
      </c>
      <c r="AI528" s="2004"/>
      <c r="AJ528" s="2004"/>
      <c r="AK528" s="2004"/>
      <c r="AL528" s="2004"/>
      <c r="AM528" s="2004"/>
      <c r="AN528" s="2004"/>
      <c r="AO528" s="2004"/>
      <c r="AP528" s="2004"/>
      <c r="AQ528" s="2004"/>
      <c r="AR528" s="2004"/>
      <c r="AS528" s="2004"/>
      <c r="AT528" s="2004"/>
      <c r="AU528" s="2004"/>
      <c r="AV528" s="2004"/>
      <c r="AW528" s="2004"/>
      <c r="AX528" s="2004"/>
      <c r="AY528" s="2004"/>
      <c r="AZ528" s="2004"/>
      <c r="BA528" s="2004"/>
      <c r="BB528" s="2004"/>
      <c r="BC528" s="2004"/>
      <c r="BD528" s="2004"/>
      <c r="BE528" s="2004"/>
      <c r="BF528" s="2004"/>
      <c r="BG528" s="2004"/>
      <c r="BH528" s="2004"/>
      <c r="BI528" s="2004"/>
      <c r="BJ528" s="2004"/>
      <c r="BK528" s="2004"/>
      <c r="BL528" s="2004"/>
      <c r="BM528" s="2004"/>
      <c r="BN528" s="2004"/>
      <c r="BO528" s="2004"/>
      <c r="BP528" s="516">
        <v>12.26</v>
      </c>
      <c r="BQ528" s="689">
        <v>11.257999999999999</v>
      </c>
      <c r="BR528" s="2004" t="s">
        <v>2334</v>
      </c>
      <c r="BS528" s="2004" t="s">
        <v>9204</v>
      </c>
      <c r="BT528" s="2004">
        <v>0</v>
      </c>
      <c r="BU528" s="2004" t="s">
        <v>9204</v>
      </c>
      <c r="BV528" s="2004">
        <v>0</v>
      </c>
      <c r="BW528" s="2004">
        <v>10</v>
      </c>
      <c r="BX528" s="2004" t="s">
        <v>2334</v>
      </c>
      <c r="BY528" s="2004">
        <v>0</v>
      </c>
      <c r="BZ528" s="2004">
        <v>0</v>
      </c>
      <c r="CA528" s="2004">
        <v>0</v>
      </c>
      <c r="CB528" s="2004">
        <v>0</v>
      </c>
      <c r="CC528" s="2004">
        <v>11.44</v>
      </c>
      <c r="CD528" s="2004" t="s">
        <v>2334</v>
      </c>
      <c r="CE528" s="2004">
        <v>0</v>
      </c>
      <c r="CF528" s="2004">
        <v>0</v>
      </c>
      <c r="CG528" s="2004">
        <v>0</v>
      </c>
      <c r="CH528" s="2004">
        <v>0</v>
      </c>
      <c r="CI528" s="2004">
        <v>11</v>
      </c>
      <c r="CJ528" s="2004" t="s">
        <v>2334</v>
      </c>
      <c r="CK528" s="2004">
        <v>0</v>
      </c>
      <c r="CL528" s="2004">
        <v>0</v>
      </c>
      <c r="CM528" s="2004">
        <v>0</v>
      </c>
      <c r="CN528" s="2004">
        <v>0</v>
      </c>
      <c r="CP528" s="2004" t="s">
        <v>12155</v>
      </c>
    </row>
    <row r="529" spans="1:94">
      <c r="A529" s="2004" t="s">
        <v>9082</v>
      </c>
      <c r="B529" s="2004" t="s">
        <v>12156</v>
      </c>
      <c r="C529" s="2004" t="s">
        <v>9047</v>
      </c>
      <c r="D529" s="2004" t="s">
        <v>9275</v>
      </c>
      <c r="E529" s="2004" t="s">
        <v>9276</v>
      </c>
      <c r="F529" s="2004" t="s">
        <v>12036</v>
      </c>
      <c r="G529" s="2004" t="s">
        <v>11518</v>
      </c>
      <c r="H529" s="2004" t="s">
        <v>12157</v>
      </c>
      <c r="I529" s="2004" t="s">
        <v>12158</v>
      </c>
      <c r="J529" s="2004" t="s">
        <v>9230</v>
      </c>
      <c r="K529" s="2004"/>
      <c r="L529" s="2004"/>
      <c r="M529" s="2004"/>
      <c r="N529" s="2004" t="s">
        <v>9621</v>
      </c>
      <c r="O529" s="2004" t="s">
        <v>734</v>
      </c>
      <c r="P529" s="2004" t="s">
        <v>12045</v>
      </c>
      <c r="Q529" s="516">
        <v>0</v>
      </c>
      <c r="R529" s="2004" t="s">
        <v>9240</v>
      </c>
      <c r="S529" s="2004">
        <v>93</v>
      </c>
      <c r="T529" s="2004">
        <v>94</v>
      </c>
      <c r="U529" s="2004">
        <v>94</v>
      </c>
      <c r="V529" s="2004">
        <v>95</v>
      </c>
      <c r="W529" s="2004">
        <v>95</v>
      </c>
      <c r="X529" s="2004">
        <v>95</v>
      </c>
      <c r="Y529" s="2004"/>
      <c r="Z529" s="2004"/>
      <c r="AA529" s="2004"/>
      <c r="AB529" s="2004"/>
      <c r="AC529" s="2004"/>
      <c r="AD529" s="2004"/>
      <c r="AE529" s="2004"/>
      <c r="AF529" s="2004"/>
      <c r="AG529" s="2004"/>
      <c r="AH529" s="2004">
        <v>0</v>
      </c>
      <c r="AI529" s="2004"/>
      <c r="AJ529" s="2004"/>
      <c r="AK529" s="2004"/>
      <c r="AL529" s="2004"/>
      <c r="AM529" s="2004"/>
      <c r="AN529" s="2004"/>
      <c r="AO529" s="2004"/>
      <c r="AP529" s="2004"/>
      <c r="AQ529" s="2004"/>
      <c r="AR529" s="2004"/>
      <c r="AS529" s="2004"/>
      <c r="AT529" s="2004"/>
      <c r="AU529" s="2004"/>
      <c r="AV529" s="2004"/>
      <c r="AW529" s="2004"/>
      <c r="AX529" s="2004"/>
      <c r="AY529" s="2004"/>
      <c r="AZ529" s="2004"/>
      <c r="BA529" s="2004"/>
      <c r="BB529" s="2004"/>
      <c r="BC529" s="2004"/>
      <c r="BD529" s="2004"/>
      <c r="BE529" s="2004"/>
      <c r="BF529" s="2004"/>
      <c r="BG529" s="2004"/>
      <c r="BH529" s="2004"/>
      <c r="BI529" s="2004"/>
      <c r="BJ529" s="2004"/>
      <c r="BK529" s="2004"/>
      <c r="BL529" s="2004"/>
      <c r="BM529" s="2004"/>
      <c r="BN529" s="2004"/>
      <c r="BO529" s="2004"/>
      <c r="BP529" s="516">
        <v>93.5</v>
      </c>
      <c r="BQ529" s="689">
        <v>98.91</v>
      </c>
      <c r="BR529" s="2004" t="s">
        <v>2337</v>
      </c>
      <c r="BS529" s="2004" t="s">
        <v>9204</v>
      </c>
      <c r="BT529" s="2004">
        <v>0</v>
      </c>
      <c r="BU529" s="2004" t="s">
        <v>9204</v>
      </c>
      <c r="BV529" s="2004">
        <v>0</v>
      </c>
      <c r="BW529" s="2004">
        <v>99</v>
      </c>
      <c r="BX529" s="2004" t="s">
        <v>2337</v>
      </c>
      <c r="BY529" s="2004">
        <v>0</v>
      </c>
      <c r="BZ529" s="2004">
        <v>0</v>
      </c>
      <c r="CA529" s="2004">
        <v>0</v>
      </c>
      <c r="CB529" s="2004">
        <v>0</v>
      </c>
      <c r="CC529" s="2004">
        <v>99</v>
      </c>
      <c r="CD529" s="2004" t="s">
        <v>2337</v>
      </c>
      <c r="CH529" s="2004"/>
      <c r="CI529" s="2004">
        <v>100</v>
      </c>
      <c r="CJ529" s="2004" t="s">
        <v>2337</v>
      </c>
      <c r="CK529" s="2004">
        <v>0</v>
      </c>
      <c r="CL529" s="2004">
        <v>0</v>
      </c>
      <c r="CM529" s="2004">
        <v>0</v>
      </c>
      <c r="CN529" s="2004">
        <v>0</v>
      </c>
      <c r="CP529" s="2004" t="s">
        <v>12159</v>
      </c>
    </row>
    <row r="530" spans="1:94">
      <c r="A530" s="2004" t="s">
        <v>9112</v>
      </c>
      <c r="B530" s="2004" t="s">
        <v>12160</v>
      </c>
      <c r="C530" s="2004" t="s">
        <v>9047</v>
      </c>
      <c r="D530" s="2004" t="s">
        <v>1628</v>
      </c>
      <c r="E530" s="2004" t="s">
        <v>9194</v>
      </c>
      <c r="F530" s="2004" t="s">
        <v>9670</v>
      </c>
      <c r="G530" s="2004" t="s">
        <v>7928</v>
      </c>
      <c r="H530" s="2004" t="s">
        <v>9671</v>
      </c>
      <c r="I530" s="2004" t="s">
        <v>9672</v>
      </c>
      <c r="J530" s="2004" t="s">
        <v>9199</v>
      </c>
      <c r="K530" s="2004" t="s">
        <v>9200</v>
      </c>
      <c r="L530" s="2004"/>
      <c r="M530" s="2004"/>
      <c r="N530" s="2004" t="s">
        <v>9154</v>
      </c>
      <c r="O530" s="2004" t="s">
        <v>766</v>
      </c>
      <c r="P530" s="2004" t="s">
        <v>9246</v>
      </c>
      <c r="Q530" s="516">
        <v>2</v>
      </c>
      <c r="R530" s="2004"/>
      <c r="S530" s="2004"/>
      <c r="T530" s="2004"/>
      <c r="U530" s="2004"/>
      <c r="V530" s="2004"/>
      <c r="W530" s="2004"/>
      <c r="X530" s="2004"/>
      <c r="Y530" s="2004"/>
      <c r="Z530" s="2004"/>
      <c r="AA530" s="2004"/>
      <c r="AB530" s="2004"/>
      <c r="AC530" s="2004"/>
      <c r="AD530" s="2004"/>
      <c r="AE530" s="2004"/>
      <c r="AF530" s="2004"/>
      <c r="AG530" s="2004"/>
      <c r="AH530" s="2004"/>
      <c r="AI530" s="2004"/>
      <c r="AJ530" s="2004"/>
      <c r="AK530" s="2004"/>
      <c r="AL530" s="2004"/>
      <c r="AM530" s="2004"/>
      <c r="AN530" s="2004"/>
      <c r="AO530" s="2004"/>
      <c r="AP530" s="2004"/>
      <c r="AQ530" s="2004"/>
      <c r="AR530" s="2004"/>
      <c r="AS530" s="2004"/>
      <c r="AT530" s="2004"/>
      <c r="AU530" s="2004"/>
      <c r="AV530" s="2004"/>
      <c r="AW530" s="2004"/>
      <c r="AX530" s="2004"/>
      <c r="AY530" s="2004"/>
      <c r="AZ530" s="2004"/>
      <c r="BA530" s="2004"/>
      <c r="BB530" s="2004"/>
      <c r="BC530" s="2004"/>
      <c r="BD530" s="2004"/>
      <c r="BE530" s="2004"/>
      <c r="BF530" s="2004"/>
      <c r="BG530" s="2004"/>
      <c r="BH530" s="2004"/>
      <c r="BI530" s="2004"/>
      <c r="BJ530" s="2004"/>
      <c r="BK530" s="2004"/>
      <c r="BL530" s="2004"/>
      <c r="BM530" s="2004"/>
      <c r="BN530" s="2004"/>
      <c r="BO530" s="2004"/>
      <c r="BQ530" s="2004"/>
      <c r="BR530" s="2004"/>
      <c r="BS530" s="2004"/>
      <c r="BT530" s="2004"/>
      <c r="BU530" s="2004"/>
      <c r="BV530" s="2004"/>
      <c r="BW530" s="2004"/>
      <c r="BX530" s="2004"/>
      <c r="BY530" s="2004"/>
      <c r="BZ530" s="2004"/>
      <c r="CA530" s="2004"/>
      <c r="CB530" s="2004"/>
      <c r="CC530" s="2004" t="s">
        <v>2335</v>
      </c>
      <c r="CH530" s="2004"/>
      <c r="CI530" s="2004">
        <v>1.02</v>
      </c>
      <c r="CJ530" s="2004" t="s">
        <v>2334</v>
      </c>
      <c r="CK530" s="2004">
        <v>0</v>
      </c>
      <c r="CL530" s="2004">
        <v>0</v>
      </c>
      <c r="CM530" s="2004" t="s">
        <v>2336</v>
      </c>
      <c r="CN530" s="2004">
        <v>-1.1000000000000001E-3</v>
      </c>
      <c r="CP530" s="2004" t="s">
        <v>12161</v>
      </c>
    </row>
    <row r="531" spans="1:94">
      <c r="A531" s="2004" t="s">
        <v>9112</v>
      </c>
      <c r="B531" s="2004" t="s">
        <v>12162</v>
      </c>
      <c r="C531" s="2004" t="s">
        <v>9047</v>
      </c>
      <c r="D531" s="2004" t="s">
        <v>1628</v>
      </c>
      <c r="E531" s="2004" t="s">
        <v>9194</v>
      </c>
      <c r="F531" s="2004" t="s">
        <v>9670</v>
      </c>
      <c r="G531" s="2004" t="s">
        <v>7929</v>
      </c>
      <c r="H531" s="2004" t="s">
        <v>9675</v>
      </c>
      <c r="I531" s="2004" t="s">
        <v>9676</v>
      </c>
      <c r="J531" s="2004" t="s">
        <v>9210</v>
      </c>
      <c r="K531" s="2004" t="s">
        <v>9200</v>
      </c>
      <c r="L531" s="2004"/>
      <c r="M531" s="2004"/>
      <c r="N531" s="2004" t="s">
        <v>9238</v>
      </c>
      <c r="O531" s="2004" t="s">
        <v>734</v>
      </c>
      <c r="P531" s="2004" t="s">
        <v>9239</v>
      </c>
      <c r="Q531" s="516">
        <v>2</v>
      </c>
      <c r="R531" s="2004"/>
      <c r="S531" s="2004"/>
      <c r="T531" s="2004"/>
      <c r="U531" s="2004"/>
      <c r="V531" s="2004"/>
      <c r="W531" s="2004"/>
      <c r="X531" s="2004"/>
      <c r="Y531" s="2004"/>
      <c r="Z531" s="2004"/>
      <c r="AA531" s="2004"/>
      <c r="AB531" s="2004"/>
      <c r="AC531" s="2004"/>
      <c r="AD531" s="2004"/>
      <c r="AE531" s="2004"/>
      <c r="AF531" s="2004"/>
      <c r="AG531" s="2004"/>
      <c r="AH531" s="2004"/>
      <c r="AI531" s="2004"/>
      <c r="AJ531" s="2004"/>
      <c r="AK531" s="2004"/>
      <c r="AL531" s="2004"/>
      <c r="AM531" s="2004"/>
      <c r="AN531" s="2004"/>
      <c r="AO531" s="2004"/>
      <c r="AP531" s="2004"/>
      <c r="AQ531" s="2004"/>
      <c r="AR531" s="2004"/>
      <c r="AS531" s="2004"/>
      <c r="AT531" s="2004"/>
      <c r="AU531" s="2004"/>
      <c r="AV531" s="2004"/>
      <c r="AW531" s="2004"/>
      <c r="AX531" s="2004"/>
      <c r="AY531" s="2004"/>
      <c r="AZ531" s="2004"/>
      <c r="BA531" s="2004"/>
      <c r="BB531" s="2004"/>
      <c r="BC531" s="2004"/>
      <c r="BD531" s="2004"/>
      <c r="BE531" s="2004"/>
      <c r="BF531" s="2004"/>
      <c r="BG531" s="2004"/>
      <c r="BH531" s="2004"/>
      <c r="BI531" s="2004"/>
      <c r="BJ531" s="2004"/>
      <c r="BK531" s="2004"/>
      <c r="BL531" s="2004"/>
      <c r="BM531" s="2004"/>
      <c r="BN531" s="2004"/>
      <c r="BO531" s="2004"/>
      <c r="BQ531" s="2004"/>
      <c r="BR531" s="2004"/>
      <c r="BS531" s="2004"/>
      <c r="BT531" s="2004"/>
      <c r="BU531" s="2004"/>
      <c r="BV531" s="2004"/>
      <c r="BW531" s="2004"/>
      <c r="BX531" s="2004"/>
      <c r="BY531" s="2004"/>
      <c r="BZ531" s="2004"/>
      <c r="CA531" s="2004"/>
      <c r="CB531" s="2004"/>
      <c r="CC531" s="2004" t="s">
        <v>2335</v>
      </c>
      <c r="CH531" s="2004"/>
      <c r="CI531" s="2004">
        <v>99.94</v>
      </c>
      <c r="CJ531" s="2004" t="s">
        <v>2334</v>
      </c>
      <c r="CK531" s="2004">
        <v>0</v>
      </c>
      <c r="CL531" s="2004">
        <v>0</v>
      </c>
      <c r="CM531" s="2004" t="s">
        <v>2336</v>
      </c>
      <c r="CN531" s="2004">
        <v>-2.8500000000000001E-2</v>
      </c>
      <c r="CP531" s="2004" t="s">
        <v>12163</v>
      </c>
    </row>
    <row r="532" spans="1:94">
      <c r="A532" s="2004" t="s">
        <v>9112</v>
      </c>
      <c r="B532" s="2004" t="s">
        <v>12164</v>
      </c>
      <c r="C532" s="2004" t="s">
        <v>9047</v>
      </c>
      <c r="D532" s="2004" t="s">
        <v>1628</v>
      </c>
      <c r="E532" s="2004" t="s">
        <v>9194</v>
      </c>
      <c r="F532" s="2004" t="s">
        <v>9670</v>
      </c>
      <c r="G532" s="2004" t="s">
        <v>8928</v>
      </c>
      <c r="H532" s="2004" t="s">
        <v>9679</v>
      </c>
      <c r="I532" s="2004" t="s">
        <v>9680</v>
      </c>
      <c r="J532" s="2004" t="s">
        <v>9210</v>
      </c>
      <c r="K532" s="2004" t="s">
        <v>9545</v>
      </c>
      <c r="L532" s="2004"/>
      <c r="M532" s="2004" t="s">
        <v>2334</v>
      </c>
      <c r="N532" s="2004" t="s">
        <v>9238</v>
      </c>
      <c r="O532" s="2004" t="s">
        <v>9487</v>
      </c>
      <c r="P532" s="2004" t="s">
        <v>9681</v>
      </c>
      <c r="Q532" s="516" t="s">
        <v>9203</v>
      </c>
      <c r="R532" s="2004"/>
      <c r="S532" s="2004"/>
      <c r="T532" s="2004"/>
      <c r="U532" s="2004"/>
      <c r="V532" s="2004"/>
      <c r="W532" s="2004"/>
      <c r="X532" s="2004"/>
      <c r="Y532" s="2004"/>
      <c r="Z532" s="2004"/>
      <c r="AA532" s="2004"/>
      <c r="AB532" s="2004"/>
      <c r="AC532" s="2004"/>
      <c r="AD532" s="2004"/>
      <c r="AE532" s="2004"/>
      <c r="AF532" s="2004"/>
      <c r="AG532" s="2004"/>
      <c r="AH532" s="2004"/>
      <c r="AI532" s="2004"/>
      <c r="AJ532" s="2004"/>
      <c r="AK532" s="2004"/>
      <c r="AL532" s="2004"/>
      <c r="AM532" s="2004"/>
      <c r="AN532" s="2004"/>
      <c r="AO532" s="2004"/>
      <c r="AP532" s="2004"/>
      <c r="AQ532" s="2004"/>
      <c r="AR532" s="2004"/>
      <c r="AS532" s="2004"/>
      <c r="AT532" s="2004"/>
      <c r="AU532" s="2004"/>
      <c r="AV532" s="2004"/>
      <c r="AW532" s="2004"/>
      <c r="AX532" s="2004"/>
      <c r="AY532" s="2004"/>
      <c r="AZ532" s="2004"/>
      <c r="BA532" s="2004"/>
      <c r="BB532" s="2004"/>
      <c r="BC532" s="2004"/>
      <c r="BD532" s="2004"/>
      <c r="BE532" s="2004"/>
      <c r="BF532" s="2004"/>
      <c r="BG532" s="2004"/>
      <c r="BH532" s="2004"/>
      <c r="BI532" s="2004"/>
      <c r="BJ532" s="2004"/>
      <c r="BK532" s="2004"/>
      <c r="BL532" s="2004"/>
      <c r="BM532" s="2004"/>
      <c r="BN532" s="2004"/>
      <c r="BO532" s="2004"/>
      <c r="BQ532" s="2004"/>
      <c r="BR532" s="2004"/>
      <c r="BS532" s="2004"/>
      <c r="BT532" s="2004"/>
      <c r="BU532" s="2004"/>
      <c r="BV532" s="2004"/>
      <c r="BW532" s="2004"/>
      <c r="BX532" s="2004"/>
      <c r="BY532" s="2004"/>
      <c r="BZ532" s="2004"/>
      <c r="CA532" s="2004"/>
      <c r="CB532" s="2004"/>
      <c r="CC532" s="2004" t="s">
        <v>2335</v>
      </c>
      <c r="CH532" s="2004"/>
      <c r="CI532" s="2004" t="s">
        <v>10796</v>
      </c>
      <c r="CJ532" s="2004" t="s">
        <v>2335</v>
      </c>
      <c r="CK532" s="2004">
        <v>0</v>
      </c>
      <c r="CL532" s="2004">
        <v>0</v>
      </c>
      <c r="CM532" s="2004">
        <v>0</v>
      </c>
      <c r="CN532" s="2004">
        <v>0</v>
      </c>
      <c r="CP532" s="2004" t="s">
        <v>12165</v>
      </c>
    </row>
    <row r="533" spans="1:94">
      <c r="A533" s="2004" t="s">
        <v>9112</v>
      </c>
      <c r="B533" s="2004" t="s">
        <v>12166</v>
      </c>
      <c r="C533" s="2004" t="s">
        <v>9047</v>
      </c>
      <c r="D533" s="2004" t="s">
        <v>1628</v>
      </c>
      <c r="E533" s="2004" t="s">
        <v>9194</v>
      </c>
      <c r="F533" s="2004" t="s">
        <v>9670</v>
      </c>
      <c r="G533" s="2004" t="s">
        <v>8931</v>
      </c>
      <c r="H533" s="2004" t="s">
        <v>9686</v>
      </c>
      <c r="I533" s="2004" t="s">
        <v>9687</v>
      </c>
      <c r="J533" s="2004" t="s">
        <v>9210</v>
      </c>
      <c r="K533" s="2004" t="s">
        <v>9545</v>
      </c>
      <c r="L533" s="2004"/>
      <c r="M533" s="2004" t="s">
        <v>2334</v>
      </c>
      <c r="N533" s="2004" t="s">
        <v>9238</v>
      </c>
      <c r="O533" s="2004" t="s">
        <v>9487</v>
      </c>
      <c r="P533" s="2004" t="s">
        <v>9688</v>
      </c>
      <c r="Q533" s="516" t="s">
        <v>9203</v>
      </c>
      <c r="R533" s="2004"/>
      <c r="S533" s="2004"/>
      <c r="T533" s="2004"/>
      <c r="U533" s="2004"/>
      <c r="V533" s="2004"/>
      <c r="W533" s="2004"/>
      <c r="X533" s="2004"/>
      <c r="Y533" s="2004"/>
      <c r="Z533" s="2004"/>
      <c r="AA533" s="2004"/>
      <c r="AB533" s="2004"/>
      <c r="AC533" s="2004"/>
      <c r="AD533" s="2004"/>
      <c r="AE533" s="2004"/>
      <c r="AF533" s="2004"/>
      <c r="AG533" s="2004"/>
      <c r="AH533" s="2004"/>
      <c r="AI533" s="2004"/>
      <c r="AJ533" s="2004"/>
      <c r="AK533" s="2004"/>
      <c r="AL533" s="2004"/>
      <c r="AM533" s="2004"/>
      <c r="AN533" s="2004"/>
      <c r="AO533" s="2004"/>
      <c r="AP533" s="2004"/>
      <c r="AQ533" s="2004"/>
      <c r="AR533" s="2004"/>
      <c r="AS533" s="2004"/>
      <c r="AT533" s="2004"/>
      <c r="AU533" s="2004"/>
      <c r="AV533" s="2004"/>
      <c r="AW533" s="2004"/>
      <c r="AX533" s="2004"/>
      <c r="AY533" s="2004"/>
      <c r="AZ533" s="2004"/>
      <c r="BA533" s="2004"/>
      <c r="BB533" s="2004"/>
      <c r="BC533" s="2004"/>
      <c r="BD533" s="2004"/>
      <c r="BE533" s="2004"/>
      <c r="BF533" s="2004"/>
      <c r="BG533" s="2004"/>
      <c r="BH533" s="2004"/>
      <c r="BI533" s="2004"/>
      <c r="BJ533" s="2004"/>
      <c r="BK533" s="2004"/>
      <c r="BL533" s="2004"/>
      <c r="BM533" s="2004"/>
      <c r="BN533" s="2004"/>
      <c r="BO533" s="2004"/>
      <c r="BQ533" s="2004"/>
      <c r="BR533" s="2004"/>
      <c r="BS533" s="2004"/>
      <c r="BT533" s="2004"/>
      <c r="BU533" s="2004"/>
      <c r="BV533" s="2004"/>
      <c r="BW533" s="2004"/>
      <c r="BX533" s="2004"/>
      <c r="BY533" s="2004"/>
      <c r="BZ533" s="2004"/>
      <c r="CA533" s="2004"/>
      <c r="CB533" s="2004"/>
      <c r="CC533" s="2004" t="s">
        <v>2335</v>
      </c>
      <c r="CH533" s="2004"/>
      <c r="CI533" s="2004" t="s">
        <v>9689</v>
      </c>
      <c r="CJ533" s="2004" t="s">
        <v>2337</v>
      </c>
      <c r="CK533" s="2004">
        <v>0</v>
      </c>
      <c r="CL533" s="2004">
        <v>0</v>
      </c>
      <c r="CM533" s="2004">
        <v>0</v>
      </c>
      <c r="CN533" s="2004">
        <v>0</v>
      </c>
      <c r="CP533" s="2004" t="s">
        <v>12167</v>
      </c>
    </row>
    <row r="534" spans="1:94">
      <c r="A534" s="2004" t="s">
        <v>9112</v>
      </c>
      <c r="B534" s="2004" t="s">
        <v>12168</v>
      </c>
      <c r="C534" s="2004" t="s">
        <v>9047</v>
      </c>
      <c r="D534" s="2004" t="s">
        <v>1628</v>
      </c>
      <c r="E534" s="2004" t="s">
        <v>9194</v>
      </c>
      <c r="F534" s="2004" t="s">
        <v>9693</v>
      </c>
      <c r="G534" s="2004" t="s">
        <v>7930</v>
      </c>
      <c r="H534" s="2004" t="s">
        <v>9694</v>
      </c>
      <c r="I534" s="2004" t="s">
        <v>9695</v>
      </c>
      <c r="J534" s="2004" t="s">
        <v>9199</v>
      </c>
      <c r="K534" s="2004" t="s">
        <v>9200</v>
      </c>
      <c r="L534" s="2004"/>
      <c r="M534" s="2004"/>
      <c r="N534" s="2004" t="s">
        <v>2951</v>
      </c>
      <c r="O534" s="2004" t="s">
        <v>9298</v>
      </c>
      <c r="P534" s="2004" t="s">
        <v>9696</v>
      </c>
      <c r="Q534" s="516">
        <v>2</v>
      </c>
      <c r="R534" s="2004"/>
      <c r="S534" s="2004"/>
      <c r="T534" s="2004"/>
      <c r="U534" s="2004"/>
      <c r="V534" s="2004"/>
      <c r="W534" s="2004"/>
      <c r="X534" s="2004"/>
      <c r="Y534" s="2004"/>
      <c r="Z534" s="2004"/>
      <c r="AA534" s="2004"/>
      <c r="AB534" s="2004"/>
      <c r="AC534" s="2004"/>
      <c r="AD534" s="2004"/>
      <c r="AE534" s="2004"/>
      <c r="AF534" s="2004"/>
      <c r="AG534" s="2004"/>
      <c r="AH534" s="2004"/>
      <c r="AI534" s="2004"/>
      <c r="AJ534" s="2004"/>
      <c r="AK534" s="2004"/>
      <c r="AL534" s="2004"/>
      <c r="AM534" s="2004"/>
      <c r="AN534" s="2004"/>
      <c r="AO534" s="2004"/>
      <c r="AP534" s="2004"/>
      <c r="AQ534" s="2004"/>
      <c r="AR534" s="2004"/>
      <c r="AS534" s="2004"/>
      <c r="AT534" s="2004"/>
      <c r="AU534" s="2004"/>
      <c r="AV534" s="2004"/>
      <c r="AW534" s="2004"/>
      <c r="AX534" s="2004"/>
      <c r="AY534" s="2004"/>
      <c r="AZ534" s="2004"/>
      <c r="BA534" s="2004"/>
      <c r="BB534" s="2004"/>
      <c r="BC534" s="2004"/>
      <c r="BD534" s="2004"/>
      <c r="BE534" s="2004"/>
      <c r="BF534" s="2004"/>
      <c r="BG534" s="2004"/>
      <c r="BH534" s="2004"/>
      <c r="BI534" s="2004"/>
      <c r="BJ534" s="2004"/>
      <c r="BK534" s="2004"/>
      <c r="BL534" s="2004"/>
      <c r="BM534" s="2004"/>
      <c r="BN534" s="2004"/>
      <c r="BO534" s="2004"/>
      <c r="BQ534" s="2004"/>
      <c r="BR534" s="2004"/>
      <c r="BS534" s="2004"/>
      <c r="BT534" s="2004"/>
      <c r="BU534" s="2004"/>
      <c r="BV534" s="2004"/>
      <c r="BW534" s="2004"/>
      <c r="BX534" s="2004"/>
      <c r="BY534" s="2004"/>
      <c r="BZ534" s="2004"/>
      <c r="CA534" s="2004"/>
      <c r="CB534" s="2004"/>
      <c r="CC534" s="2004" t="s">
        <v>2335</v>
      </c>
      <c r="CH534" s="2004"/>
      <c r="CI534" s="2004">
        <v>0.11799999999999999</v>
      </c>
      <c r="CJ534" s="2004" t="s">
        <v>2337</v>
      </c>
      <c r="CK534" s="2004">
        <v>0</v>
      </c>
      <c r="CL534" s="2004">
        <v>0</v>
      </c>
      <c r="CM534" s="2004" t="s">
        <v>2339</v>
      </c>
      <c r="CN534" s="2004">
        <v>8.8979999999999997E-3</v>
      </c>
      <c r="CP534" s="2004" t="s">
        <v>12169</v>
      </c>
    </row>
    <row r="535" spans="1:94">
      <c r="A535" s="2004" t="s">
        <v>9112</v>
      </c>
      <c r="B535" s="2004" t="s">
        <v>12170</v>
      </c>
      <c r="C535" s="2004" t="s">
        <v>9047</v>
      </c>
      <c r="D535" s="2004" t="s">
        <v>1628</v>
      </c>
      <c r="E535" s="2004" t="s">
        <v>9194</v>
      </c>
      <c r="F535" s="2004" t="s">
        <v>9693</v>
      </c>
      <c r="G535" s="2004" t="s">
        <v>7931</v>
      </c>
      <c r="H535" s="2004" t="s">
        <v>9700</v>
      </c>
      <c r="I535" s="2004" t="s">
        <v>9701</v>
      </c>
      <c r="J535" s="2004" t="s">
        <v>9199</v>
      </c>
      <c r="K535" s="2004" t="s">
        <v>9200</v>
      </c>
      <c r="L535" s="2004"/>
      <c r="M535" s="2004"/>
      <c r="N535" s="2004" t="s">
        <v>2927</v>
      </c>
      <c r="O535" s="2004" t="s">
        <v>766</v>
      </c>
      <c r="P535" s="2004" t="s">
        <v>9702</v>
      </c>
      <c r="Q535" s="516">
        <v>1</v>
      </c>
      <c r="R535" s="2004"/>
      <c r="S535" s="2004"/>
      <c r="T535" s="2004"/>
      <c r="U535" s="2004"/>
      <c r="V535" s="2004"/>
      <c r="W535" s="2004"/>
      <c r="X535" s="2004"/>
      <c r="Y535" s="2004"/>
      <c r="Z535" s="2004"/>
      <c r="AA535" s="2004"/>
      <c r="AB535" s="2004"/>
      <c r="AC535" s="2004"/>
      <c r="AD535" s="2004"/>
      <c r="AE535" s="2004"/>
      <c r="AF535" s="2004"/>
      <c r="AG535" s="2004"/>
      <c r="AH535" s="2004"/>
      <c r="AI535" s="2004"/>
      <c r="AJ535" s="2004"/>
      <c r="AK535" s="2004"/>
      <c r="AL535" s="2004"/>
      <c r="AM535" s="2004"/>
      <c r="AN535" s="2004"/>
      <c r="AO535" s="2004"/>
      <c r="AP535" s="2004"/>
      <c r="AQ535" s="2004"/>
      <c r="AR535" s="2004"/>
      <c r="AS535" s="2004"/>
      <c r="AT535" s="2004"/>
      <c r="AU535" s="2004"/>
      <c r="AV535" s="2004"/>
      <c r="AW535" s="2004"/>
      <c r="AX535" s="2004"/>
      <c r="AY535" s="2004"/>
      <c r="AZ535" s="2004"/>
      <c r="BA535" s="2004"/>
      <c r="BB535" s="2004"/>
      <c r="BC535" s="2004"/>
      <c r="BD535" s="2004"/>
      <c r="BE535" s="2004"/>
      <c r="BF535" s="2004"/>
      <c r="BG535" s="2004"/>
      <c r="BH535" s="2004"/>
      <c r="BI535" s="2004"/>
      <c r="BJ535" s="2004"/>
      <c r="BK535" s="2004"/>
      <c r="BL535" s="2004"/>
      <c r="BM535" s="2004"/>
      <c r="BN535" s="2004"/>
      <c r="BO535" s="2004"/>
      <c r="BQ535" s="2004"/>
      <c r="BR535" s="2004"/>
      <c r="BS535" s="2004"/>
      <c r="BT535" s="2004"/>
      <c r="BU535" s="2004"/>
      <c r="BV535" s="2004"/>
      <c r="BW535" s="2004"/>
      <c r="BX535" s="2004"/>
      <c r="BY535" s="2004"/>
      <c r="BZ535" s="2004"/>
      <c r="CA535" s="2004"/>
      <c r="CB535" s="2004"/>
      <c r="CC535" s="2004" t="s">
        <v>2335</v>
      </c>
      <c r="CH535" s="2004"/>
      <c r="CI535" s="2004">
        <v>107.79897272165408</v>
      </c>
      <c r="CJ535" s="2004" t="s">
        <v>2334</v>
      </c>
      <c r="CK535" s="2004">
        <v>0</v>
      </c>
      <c r="CL535" s="2004">
        <v>0</v>
      </c>
      <c r="CM535" s="2004" t="s">
        <v>2336</v>
      </c>
      <c r="CN535" s="2004">
        <v>-3.9699999999999999E-2</v>
      </c>
      <c r="CP535" s="2004" t="s">
        <v>12171</v>
      </c>
    </row>
    <row r="536" spans="1:94">
      <c r="A536" s="2004" t="s">
        <v>9112</v>
      </c>
      <c r="B536" s="2004" t="s">
        <v>12172</v>
      </c>
      <c r="C536" s="2004" t="s">
        <v>9047</v>
      </c>
      <c r="D536" s="2004" t="s">
        <v>1628</v>
      </c>
      <c r="E536" s="2004" t="s">
        <v>9194</v>
      </c>
      <c r="F536" s="2004" t="s">
        <v>9693</v>
      </c>
      <c r="G536" s="2004" t="s">
        <v>3020</v>
      </c>
      <c r="H536" s="2004" t="s">
        <v>9705</v>
      </c>
      <c r="I536" s="2004" t="s">
        <v>9706</v>
      </c>
      <c r="J536" s="2004" t="s">
        <v>9230</v>
      </c>
      <c r="K536" s="2004"/>
      <c r="L536" s="2004"/>
      <c r="M536" s="2004"/>
      <c r="N536" s="2004" t="s">
        <v>9218</v>
      </c>
      <c r="O536" s="2004" t="s">
        <v>9282</v>
      </c>
      <c r="P536" s="2004" t="s">
        <v>9334</v>
      </c>
      <c r="Q536" s="516">
        <v>0</v>
      </c>
      <c r="R536" s="2004"/>
      <c r="S536" s="2004"/>
      <c r="T536" s="2004"/>
      <c r="U536" s="2004"/>
      <c r="V536" s="2004"/>
      <c r="W536" s="2004"/>
      <c r="X536" s="2004"/>
      <c r="Y536" s="2004"/>
      <c r="Z536" s="2004"/>
      <c r="AA536" s="2004"/>
      <c r="AB536" s="2004"/>
      <c r="AC536" s="2004"/>
      <c r="AD536" s="2004"/>
      <c r="AE536" s="2004"/>
      <c r="AF536" s="2004"/>
      <c r="AG536" s="2004"/>
      <c r="AH536" s="2004"/>
      <c r="AI536" s="2004"/>
      <c r="AJ536" s="2004"/>
      <c r="AK536" s="2004"/>
      <c r="AL536" s="2004"/>
      <c r="AM536" s="2004"/>
      <c r="AN536" s="2004"/>
      <c r="AO536" s="2004"/>
      <c r="AP536" s="2004"/>
      <c r="AQ536" s="2004"/>
      <c r="AR536" s="2004"/>
      <c r="AS536" s="2004"/>
      <c r="AT536" s="2004"/>
      <c r="AU536" s="2004"/>
      <c r="AV536" s="2004"/>
      <c r="AW536" s="2004"/>
      <c r="AX536" s="2004"/>
      <c r="AY536" s="2004"/>
      <c r="AZ536" s="2004"/>
      <c r="BA536" s="2004"/>
      <c r="BB536" s="2004"/>
      <c r="BC536" s="2004"/>
      <c r="BD536" s="2004"/>
      <c r="BE536" s="2004"/>
      <c r="BF536" s="2004"/>
      <c r="BG536" s="2004"/>
      <c r="BH536" s="2004"/>
      <c r="BI536" s="2004"/>
      <c r="BJ536" s="2004"/>
      <c r="BK536" s="2004"/>
      <c r="BL536" s="2004"/>
      <c r="BM536" s="2004"/>
      <c r="BN536" s="2004"/>
      <c r="BO536" s="2004"/>
      <c r="BQ536" s="2004"/>
      <c r="BR536" s="2004"/>
      <c r="BS536" s="2004"/>
      <c r="BT536" s="2004"/>
      <c r="BU536" s="2004"/>
      <c r="BV536" s="2004"/>
      <c r="BW536" s="2004"/>
      <c r="BX536" s="2004"/>
      <c r="BY536" s="2004"/>
      <c r="BZ536" s="2004"/>
      <c r="CA536" s="2004"/>
      <c r="CB536" s="2004"/>
      <c r="CC536" s="2004" t="s">
        <v>2335</v>
      </c>
      <c r="CH536" s="2004"/>
      <c r="CI536" s="2004">
        <v>100</v>
      </c>
      <c r="CJ536" s="2004" t="s">
        <v>2337</v>
      </c>
      <c r="CK536" s="2004">
        <v>0</v>
      </c>
      <c r="CL536" s="2004">
        <v>0</v>
      </c>
      <c r="CM536" s="2004">
        <v>0</v>
      </c>
      <c r="CN536" s="2004">
        <v>0</v>
      </c>
      <c r="CP536" s="2004" t="s">
        <v>12173</v>
      </c>
    </row>
    <row r="537" spans="1:94">
      <c r="A537" s="2004" t="s">
        <v>9112</v>
      </c>
      <c r="B537" s="2004" t="s">
        <v>12174</v>
      </c>
      <c r="C537" s="2004" t="s">
        <v>9047</v>
      </c>
      <c r="D537" s="2004" t="s">
        <v>1628</v>
      </c>
      <c r="E537" s="2004" t="s">
        <v>9194</v>
      </c>
      <c r="F537" s="2004" t="s">
        <v>9693</v>
      </c>
      <c r="G537" s="2004" t="s">
        <v>9709</v>
      </c>
      <c r="H537" s="2004" t="s">
        <v>9710</v>
      </c>
      <c r="I537" s="2004" t="s">
        <v>9711</v>
      </c>
      <c r="J537" s="2004" t="s">
        <v>9199</v>
      </c>
      <c r="K537" s="2004" t="s">
        <v>9200</v>
      </c>
      <c r="L537" s="2004"/>
      <c r="M537" s="2004"/>
      <c r="N537" s="2004" t="s">
        <v>9260</v>
      </c>
      <c r="O537" s="2004" t="s">
        <v>766</v>
      </c>
      <c r="P537" s="2004" t="s">
        <v>9261</v>
      </c>
      <c r="Q537" s="516">
        <v>0</v>
      </c>
      <c r="R537" s="2004"/>
      <c r="S537" s="2004"/>
      <c r="T537" s="2004"/>
      <c r="U537" s="2004"/>
      <c r="V537" s="2004"/>
      <c r="W537" s="2004"/>
      <c r="X537" s="2004"/>
      <c r="Y537" s="2004"/>
      <c r="Z537" s="2004"/>
      <c r="AA537" s="2004"/>
      <c r="AB537" s="2004"/>
      <c r="AC537" s="2004"/>
      <c r="AD537" s="2004"/>
      <c r="AE537" s="2004"/>
      <c r="AF537" s="2004"/>
      <c r="AG537" s="2004"/>
      <c r="AH537" s="2004"/>
      <c r="AI537" s="2004"/>
      <c r="AJ537" s="2004"/>
      <c r="AK537" s="2004"/>
      <c r="AL537" s="2004"/>
      <c r="AM537" s="2004"/>
      <c r="AN537" s="2004"/>
      <c r="AO537" s="2004"/>
      <c r="AP537" s="2004"/>
      <c r="AQ537" s="2004"/>
      <c r="AR537" s="2004"/>
      <c r="AS537" s="2004"/>
      <c r="AT537" s="2004"/>
      <c r="AU537" s="2004"/>
      <c r="AV537" s="2004"/>
      <c r="AW537" s="2004"/>
      <c r="AX537" s="2004"/>
      <c r="AY537" s="2004"/>
      <c r="AZ537" s="2004"/>
      <c r="BA537" s="2004"/>
      <c r="BB537" s="2004"/>
      <c r="BC537" s="2004"/>
      <c r="BD537" s="2004"/>
      <c r="BE537" s="2004"/>
      <c r="BF537" s="2004"/>
      <c r="BG537" s="2004"/>
      <c r="BH537" s="2004"/>
      <c r="BI537" s="2004"/>
      <c r="BJ537" s="2004"/>
      <c r="BK537" s="2004"/>
      <c r="BL537" s="2004"/>
      <c r="BM537" s="2004"/>
      <c r="BN537" s="2004"/>
      <c r="BO537" s="2004"/>
      <c r="BQ537" s="2004"/>
      <c r="BR537" s="2004"/>
      <c r="BS537" s="2004"/>
      <c r="BT537" s="2004"/>
      <c r="BU537" s="2004"/>
      <c r="BV537" s="2004"/>
      <c r="BW537" s="2004"/>
      <c r="BX537" s="2004"/>
      <c r="BY537" s="2004"/>
      <c r="BZ537" s="2004"/>
      <c r="CA537" s="2004"/>
      <c r="CB537" s="2004"/>
      <c r="CC537" s="2004" t="s">
        <v>2335</v>
      </c>
      <c r="CH537" s="2004"/>
      <c r="CI537" s="2004">
        <v>185</v>
      </c>
      <c r="CJ537" s="2004" t="s">
        <v>2334</v>
      </c>
      <c r="CK537" s="2004">
        <v>0</v>
      </c>
      <c r="CL537" s="2004">
        <v>0</v>
      </c>
      <c r="CM537" s="2004" t="s">
        <v>2340</v>
      </c>
      <c r="CN537" s="2004">
        <v>0</v>
      </c>
      <c r="CP537" s="2004" t="s">
        <v>12175</v>
      </c>
    </row>
    <row r="538" spans="1:94">
      <c r="A538" s="2004" t="s">
        <v>9112</v>
      </c>
      <c r="B538" s="2004" t="s">
        <v>12176</v>
      </c>
      <c r="C538" s="2004" t="s">
        <v>9047</v>
      </c>
      <c r="D538" s="2004" t="s">
        <v>1628</v>
      </c>
      <c r="E538" s="2004" t="s">
        <v>9194</v>
      </c>
      <c r="F538" s="2004" t="s">
        <v>9714</v>
      </c>
      <c r="G538" s="2004" t="s">
        <v>8948</v>
      </c>
      <c r="H538" s="2004" t="s">
        <v>9715</v>
      </c>
      <c r="I538" s="2004" t="s">
        <v>9716</v>
      </c>
      <c r="J538" s="2004" t="s">
        <v>9230</v>
      </c>
      <c r="K538" s="2004"/>
      <c r="L538" s="2004"/>
      <c r="M538" s="2004"/>
      <c r="N538" s="2004" t="s">
        <v>9372</v>
      </c>
      <c r="O538" s="2004" t="s">
        <v>766</v>
      </c>
      <c r="P538" s="2004" t="s">
        <v>9717</v>
      </c>
      <c r="Q538" s="516">
        <v>0</v>
      </c>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2004"/>
      <c r="AM538" s="2004"/>
      <c r="AN538" s="2004"/>
      <c r="AO538" s="2004"/>
      <c r="AP538" s="2004"/>
      <c r="AQ538" s="2004"/>
      <c r="AR538" s="2004"/>
      <c r="AS538" s="2004"/>
      <c r="AT538" s="2004"/>
      <c r="AU538" s="2004"/>
      <c r="AV538" s="2004"/>
      <c r="AW538" s="2004"/>
      <c r="AX538" s="2004"/>
      <c r="AY538" s="2004"/>
      <c r="AZ538" s="2004"/>
      <c r="BA538" s="2004"/>
      <c r="BB538" s="2004"/>
      <c r="BC538" s="2004"/>
      <c r="BD538" s="2004"/>
      <c r="BE538" s="2004"/>
      <c r="BF538" s="2004"/>
      <c r="BG538" s="2004"/>
      <c r="BH538" s="2004"/>
      <c r="BI538" s="2004"/>
      <c r="BJ538" s="2004"/>
      <c r="BK538" s="2004"/>
      <c r="BL538" s="2004"/>
      <c r="BM538" s="2004"/>
      <c r="BN538" s="2004"/>
      <c r="BO538" s="2004"/>
      <c r="BQ538" s="2004"/>
      <c r="BR538" s="2004"/>
      <c r="BS538" s="2004"/>
      <c r="BT538" s="2004"/>
      <c r="BU538" s="2004"/>
      <c r="BV538" s="2004"/>
      <c r="BW538" s="2004"/>
      <c r="BX538" s="2004"/>
      <c r="BY538" s="2004"/>
      <c r="BZ538" s="2004"/>
      <c r="CA538" s="2004"/>
      <c r="CB538" s="2004"/>
      <c r="CC538" s="2004" t="s">
        <v>2335</v>
      </c>
      <c r="CH538" s="2004"/>
      <c r="CI538" s="2004">
        <v>4986.6100000000006</v>
      </c>
      <c r="CJ538" s="2004" t="s">
        <v>2337</v>
      </c>
      <c r="CK538" s="2004">
        <v>0</v>
      </c>
      <c r="CL538" s="2004">
        <v>0</v>
      </c>
      <c r="CM538" s="2004">
        <v>0</v>
      </c>
      <c r="CN538" s="2004">
        <v>0</v>
      </c>
      <c r="CP538" s="2004" t="s">
        <v>12177</v>
      </c>
    </row>
    <row r="539" spans="1:94">
      <c r="A539" s="2004" t="s">
        <v>9112</v>
      </c>
      <c r="B539" s="2004" t="s">
        <v>12178</v>
      </c>
      <c r="C539" s="2004" t="s">
        <v>9047</v>
      </c>
      <c r="D539" s="2004" t="s">
        <v>1628</v>
      </c>
      <c r="E539" s="2004" t="s">
        <v>9194</v>
      </c>
      <c r="F539" s="2004" t="s">
        <v>9720</v>
      </c>
      <c r="G539" s="2004" t="s">
        <v>8955</v>
      </c>
      <c r="H539" s="2004" t="s">
        <v>9721</v>
      </c>
      <c r="I539" s="2004" t="s">
        <v>9722</v>
      </c>
      <c r="J539" s="2004" t="s">
        <v>9230</v>
      </c>
      <c r="K539" s="2004"/>
      <c r="L539" s="2004"/>
      <c r="M539" s="2004"/>
      <c r="N539" s="2004" t="s">
        <v>9386</v>
      </c>
      <c r="O539" s="2004" t="s">
        <v>734</v>
      </c>
      <c r="P539" s="2004" t="s">
        <v>9387</v>
      </c>
      <c r="Q539" s="516" t="s">
        <v>9203</v>
      </c>
      <c r="R539" s="2004"/>
      <c r="S539" s="2004"/>
      <c r="T539" s="2004"/>
      <c r="U539" s="2004"/>
      <c r="V539" s="2004"/>
      <c r="W539" s="2004"/>
      <c r="X539" s="2004"/>
      <c r="Y539" s="2004"/>
      <c r="Z539" s="2004"/>
      <c r="AA539" s="2004"/>
      <c r="AB539" s="2004"/>
      <c r="AC539" s="2004"/>
      <c r="AD539" s="2004"/>
      <c r="AE539" s="2004"/>
      <c r="AF539" s="2004"/>
      <c r="AG539" s="2004"/>
      <c r="AH539" s="2004"/>
      <c r="AI539" s="2004"/>
      <c r="AJ539" s="2004"/>
      <c r="AK539" s="2004"/>
      <c r="AL539" s="2004"/>
      <c r="AM539" s="2004"/>
      <c r="AN539" s="2004"/>
      <c r="AO539" s="2004"/>
      <c r="AP539" s="2004"/>
      <c r="AQ539" s="2004"/>
      <c r="AR539" s="2004"/>
      <c r="AS539" s="2004"/>
      <c r="AT539" s="2004"/>
      <c r="AU539" s="2004"/>
      <c r="AV539" s="2004"/>
      <c r="AW539" s="2004"/>
      <c r="AX539" s="2004"/>
      <c r="AY539" s="2004"/>
      <c r="AZ539" s="2004"/>
      <c r="BA539" s="2004"/>
      <c r="BB539" s="2004"/>
      <c r="BC539" s="2004"/>
      <c r="BD539" s="2004"/>
      <c r="BE539" s="2004"/>
      <c r="BF539" s="2004"/>
      <c r="BG539" s="2004"/>
      <c r="BH539" s="2004"/>
      <c r="BI539" s="2004"/>
      <c r="BJ539" s="2004"/>
      <c r="BK539" s="2004"/>
      <c r="BL539" s="2004"/>
      <c r="BM539" s="2004"/>
      <c r="BN539" s="2004"/>
      <c r="BO539" s="2004"/>
      <c r="BQ539" s="2004"/>
      <c r="BR539" s="2004"/>
      <c r="BS539" s="2004"/>
      <c r="BT539" s="2004"/>
      <c r="BU539" s="2004"/>
      <c r="BV539" s="2004"/>
      <c r="BW539" s="2004"/>
      <c r="BX539" s="2004"/>
      <c r="BY539" s="2004"/>
      <c r="BZ539" s="2004"/>
      <c r="CA539" s="2004"/>
      <c r="CB539" s="2004"/>
      <c r="CC539" s="2004" t="s">
        <v>2335</v>
      </c>
      <c r="CH539" s="2004"/>
      <c r="CI539" s="2004">
        <v>70</v>
      </c>
      <c r="CJ539" s="2004" t="s">
        <v>2334</v>
      </c>
      <c r="CK539" s="2004">
        <v>0</v>
      </c>
      <c r="CL539" s="2004">
        <v>0</v>
      </c>
      <c r="CM539" s="2004">
        <v>0</v>
      </c>
      <c r="CN539" s="2004">
        <v>0</v>
      </c>
      <c r="CP539" s="2004" t="s">
        <v>12179</v>
      </c>
    </row>
    <row r="540" spans="1:94">
      <c r="A540" s="2004" t="s">
        <v>9112</v>
      </c>
      <c r="B540" s="2004" t="s">
        <v>12180</v>
      </c>
      <c r="C540" s="2004" t="s">
        <v>9047</v>
      </c>
      <c r="D540" s="2004" t="s">
        <v>9726</v>
      </c>
      <c r="E540" s="2004" t="s">
        <v>9727</v>
      </c>
      <c r="F540" s="2004" t="s">
        <v>9728</v>
      </c>
      <c r="G540" s="2004" t="s">
        <v>8987</v>
      </c>
      <c r="H540" s="2004" t="s">
        <v>9729</v>
      </c>
      <c r="I540" s="2004" t="s">
        <v>9730</v>
      </c>
      <c r="J540" s="2004" t="s">
        <v>9199</v>
      </c>
      <c r="K540" s="2004" t="s">
        <v>9200</v>
      </c>
      <c r="L540" s="2004"/>
      <c r="M540" s="2004" t="s">
        <v>2334</v>
      </c>
      <c r="N540" s="2004" t="s">
        <v>9281</v>
      </c>
      <c r="O540" s="2004" t="s">
        <v>9282</v>
      </c>
      <c r="P540" s="2004" t="s">
        <v>9283</v>
      </c>
      <c r="Q540" s="516">
        <v>1</v>
      </c>
      <c r="R540" s="2004"/>
      <c r="S540" s="2004"/>
      <c r="T540" s="2004"/>
      <c r="U540" s="2004"/>
      <c r="V540" s="2004"/>
      <c r="W540" s="2004"/>
      <c r="X540" s="2004"/>
      <c r="Y540" s="2004"/>
      <c r="Z540" s="2004"/>
      <c r="AA540" s="2004"/>
      <c r="AB540" s="2004"/>
      <c r="AC540" s="2004"/>
      <c r="AD540" s="2004"/>
      <c r="AE540" s="2004"/>
      <c r="AF540" s="2004"/>
      <c r="AG540" s="2004"/>
      <c r="AH540" s="2004"/>
      <c r="AI540" s="2004"/>
      <c r="AJ540" s="2004"/>
      <c r="AK540" s="2004"/>
      <c r="AL540" s="2004"/>
      <c r="AM540" s="2004"/>
      <c r="AN540" s="2004"/>
      <c r="AO540" s="2004"/>
      <c r="AP540" s="2004"/>
      <c r="AQ540" s="2004"/>
      <c r="AR540" s="2004"/>
      <c r="AS540" s="2004"/>
      <c r="AT540" s="2004"/>
      <c r="AU540" s="2004"/>
      <c r="AV540" s="2004"/>
      <c r="AW540" s="2004"/>
      <c r="AX540" s="2004"/>
      <c r="AY540" s="2004"/>
      <c r="AZ540" s="2004"/>
      <c r="BA540" s="2004"/>
      <c r="BB540" s="2004"/>
      <c r="BC540" s="2004"/>
      <c r="BD540" s="2004"/>
      <c r="BE540" s="2004"/>
      <c r="BF540" s="2004"/>
      <c r="BG540" s="2004"/>
      <c r="BH540" s="2004"/>
      <c r="BI540" s="2004"/>
      <c r="BJ540" s="2004"/>
      <c r="BK540" s="2004"/>
      <c r="BL540" s="2004"/>
      <c r="BM540" s="2004"/>
      <c r="BN540" s="2004"/>
      <c r="BO540" s="2004"/>
      <c r="BQ540" s="2004"/>
      <c r="BR540" s="2004"/>
      <c r="BS540" s="2004"/>
      <c r="BT540" s="2004"/>
      <c r="BU540" s="2004"/>
      <c r="BV540" s="2004"/>
      <c r="BW540" s="2004"/>
      <c r="BX540" s="2004"/>
      <c r="BY540" s="2004"/>
      <c r="BZ540" s="2004"/>
      <c r="CA540" s="2004"/>
      <c r="CB540" s="2004"/>
      <c r="CC540" s="2004" t="s">
        <v>2335</v>
      </c>
      <c r="CH540" s="2004"/>
      <c r="CI540" s="2004">
        <v>83.86</v>
      </c>
      <c r="CJ540" s="2004" t="s">
        <v>2337</v>
      </c>
      <c r="CK540" s="2004">
        <v>0</v>
      </c>
      <c r="CL540" s="2004">
        <v>0</v>
      </c>
      <c r="CM540" s="2004">
        <v>0</v>
      </c>
      <c r="CN540" s="2004">
        <v>0</v>
      </c>
      <c r="CP540" s="2004" t="s">
        <v>12181</v>
      </c>
    </row>
    <row r="541" spans="1:94">
      <c r="A541" s="2004" t="s">
        <v>9112</v>
      </c>
      <c r="B541" s="2004" t="s">
        <v>12182</v>
      </c>
      <c r="C541" s="2004" t="s">
        <v>9047</v>
      </c>
      <c r="D541" s="2004" t="s">
        <v>9275</v>
      </c>
      <c r="E541" s="2004" t="s">
        <v>9276</v>
      </c>
      <c r="F541" s="2004" t="s">
        <v>9733</v>
      </c>
      <c r="G541" s="2004" t="s">
        <v>8971</v>
      </c>
      <c r="H541" s="2004" t="s">
        <v>9734</v>
      </c>
      <c r="I541" s="2004" t="s">
        <v>9735</v>
      </c>
      <c r="J541" s="2004" t="s">
        <v>9230</v>
      </c>
      <c r="K541" s="2004"/>
      <c r="L541" s="2004"/>
      <c r="M541" s="2004"/>
      <c r="N541" s="2004" t="s">
        <v>9211</v>
      </c>
      <c r="O541" s="2004" t="s">
        <v>766</v>
      </c>
      <c r="P541" s="2004" t="s">
        <v>9736</v>
      </c>
      <c r="Q541" s="516">
        <v>2</v>
      </c>
      <c r="R541" s="2004"/>
      <c r="S541" s="2004"/>
      <c r="T541" s="2004"/>
      <c r="U541" s="2004"/>
      <c r="V541" s="2004"/>
      <c r="W541" s="2004"/>
      <c r="X541" s="2004"/>
      <c r="Y541" s="2004"/>
      <c r="Z541" s="2004"/>
      <c r="AA541" s="2004"/>
      <c r="AB541" s="2004"/>
      <c r="AC541" s="2004"/>
      <c r="AD541" s="2004"/>
      <c r="AE541" s="2004"/>
      <c r="AF541" s="2004"/>
      <c r="AG541" s="2004"/>
      <c r="AH541" s="2004"/>
      <c r="AI541" s="2004"/>
      <c r="AJ541" s="2004"/>
      <c r="AK541" s="2004"/>
      <c r="AL541" s="2004"/>
      <c r="AM541" s="2004"/>
      <c r="AN541" s="2004"/>
      <c r="AO541" s="2004"/>
      <c r="AP541" s="2004"/>
      <c r="AQ541" s="2004"/>
      <c r="AR541" s="2004"/>
      <c r="AS541" s="2004"/>
      <c r="AT541" s="2004"/>
      <c r="AU541" s="2004"/>
      <c r="AV541" s="2004"/>
      <c r="AW541" s="2004"/>
      <c r="AX541" s="2004"/>
      <c r="AY541" s="2004"/>
      <c r="AZ541" s="2004"/>
      <c r="BA541" s="2004"/>
      <c r="BB541" s="2004"/>
      <c r="BC541" s="2004"/>
      <c r="BD541" s="2004"/>
      <c r="BE541" s="2004"/>
      <c r="BF541" s="2004"/>
      <c r="BG541" s="2004"/>
      <c r="BH541" s="2004"/>
      <c r="BI541" s="2004"/>
      <c r="BJ541" s="2004"/>
      <c r="BK541" s="2004"/>
      <c r="BL541" s="2004"/>
      <c r="BM541" s="2004"/>
      <c r="BN541" s="2004"/>
      <c r="BO541" s="2004"/>
      <c r="BQ541" s="2004"/>
      <c r="BR541" s="2004"/>
      <c r="BS541" s="2004"/>
      <c r="BT541" s="2004"/>
      <c r="BU541" s="2004"/>
      <c r="BV541" s="2004"/>
      <c r="BW541" s="2004"/>
      <c r="BX541" s="2004"/>
      <c r="BY541" s="2004"/>
      <c r="BZ541" s="2004"/>
      <c r="CA541" s="2004"/>
      <c r="CB541" s="2004"/>
      <c r="CC541" s="2004" t="s">
        <v>2335</v>
      </c>
      <c r="CH541" s="2004"/>
      <c r="CI541" s="2004">
        <v>140.40690574617878</v>
      </c>
      <c r="CJ541" s="2004" t="s">
        <v>2334</v>
      </c>
      <c r="CK541" s="2004">
        <v>0</v>
      </c>
      <c r="CL541" s="2004">
        <v>0</v>
      </c>
      <c r="CM541" s="2004">
        <v>0</v>
      </c>
      <c r="CN541" s="2004">
        <v>0</v>
      </c>
      <c r="CP541" s="2004" t="s">
        <v>12183</v>
      </c>
    </row>
    <row r="542" spans="1:94">
      <c r="A542" s="2004" t="s">
        <v>9112</v>
      </c>
      <c r="B542" s="2004" t="s">
        <v>12184</v>
      </c>
      <c r="C542" s="2004" t="s">
        <v>9047</v>
      </c>
      <c r="D542" s="2004" t="s">
        <v>9275</v>
      </c>
      <c r="E542" s="2004" t="s">
        <v>9276</v>
      </c>
      <c r="F542" s="2004" t="s">
        <v>9733</v>
      </c>
      <c r="G542" s="2004" t="s">
        <v>8974</v>
      </c>
      <c r="H542" s="2004" t="s">
        <v>9739</v>
      </c>
      <c r="I542" s="2004" t="s">
        <v>9740</v>
      </c>
      <c r="J542" s="2004" t="s">
        <v>9199</v>
      </c>
      <c r="K542" s="2004" t="s">
        <v>9200</v>
      </c>
      <c r="L542" s="2004"/>
      <c r="M542" s="2004" t="s">
        <v>2334</v>
      </c>
      <c r="N542" s="2004" t="s">
        <v>9281</v>
      </c>
      <c r="O542" s="2004" t="s">
        <v>9282</v>
      </c>
      <c r="P542" s="2004" t="s">
        <v>9283</v>
      </c>
      <c r="Q542" s="516">
        <v>1</v>
      </c>
      <c r="R542" s="2004"/>
      <c r="S542" s="2004"/>
      <c r="T542" s="2004"/>
      <c r="U542" s="2004"/>
      <c r="V542" s="2004"/>
      <c r="W542" s="2004"/>
      <c r="X542" s="2004"/>
      <c r="Y542" s="2004"/>
      <c r="Z542" s="2004"/>
      <c r="AA542" s="2004"/>
      <c r="AB542" s="2004"/>
      <c r="AC542" s="2004"/>
      <c r="AD542" s="2004"/>
      <c r="AE542" s="2004"/>
      <c r="AF542" s="2004"/>
      <c r="AG542" s="2004"/>
      <c r="AH542" s="2004"/>
      <c r="AI542" s="2004"/>
      <c r="AJ542" s="2004"/>
      <c r="AK542" s="2004"/>
      <c r="AL542" s="2004"/>
      <c r="AM542" s="2004"/>
      <c r="AN542" s="2004"/>
      <c r="AO542" s="2004"/>
      <c r="AP542" s="2004"/>
      <c r="AQ542" s="2004"/>
      <c r="AR542" s="2004"/>
      <c r="AS542" s="2004"/>
      <c r="AT542" s="2004"/>
      <c r="AU542" s="2004"/>
      <c r="AV542" s="2004"/>
      <c r="AW542" s="2004"/>
      <c r="AX542" s="2004"/>
      <c r="AY542" s="2004"/>
      <c r="AZ542" s="2004"/>
      <c r="BA542" s="2004"/>
      <c r="BB542" s="2004"/>
      <c r="BC542" s="2004"/>
      <c r="BD542" s="2004"/>
      <c r="BE542" s="2004"/>
      <c r="BF542" s="2004"/>
      <c r="BG542" s="2004"/>
      <c r="BH542" s="2004"/>
      <c r="BI542" s="2004"/>
      <c r="BJ542" s="2004"/>
      <c r="BK542" s="2004"/>
      <c r="BL542" s="2004"/>
      <c r="BM542" s="2004"/>
      <c r="BN542" s="2004"/>
      <c r="BO542" s="2004"/>
      <c r="BQ542" s="2004"/>
      <c r="BR542" s="2004"/>
      <c r="BS542" s="2004"/>
      <c r="BT542" s="2004"/>
      <c r="BU542" s="2004"/>
      <c r="BV542" s="2004"/>
      <c r="BW542" s="2004"/>
      <c r="BX542" s="2004"/>
      <c r="BY542" s="2004"/>
      <c r="BZ542" s="2004"/>
      <c r="CA542" s="2004"/>
      <c r="CB542" s="2004"/>
      <c r="CC542" s="2004" t="s">
        <v>2335</v>
      </c>
      <c r="CH542" s="2004"/>
      <c r="CI542" s="2004">
        <v>78.400000000000006</v>
      </c>
      <c r="CJ542" s="2004" t="s">
        <v>2334</v>
      </c>
      <c r="CK542" s="2004">
        <v>0</v>
      </c>
      <c r="CL542" s="2004">
        <v>0</v>
      </c>
      <c r="CM542" s="2004">
        <v>0</v>
      </c>
      <c r="CN542" s="2004">
        <v>0</v>
      </c>
      <c r="CP542" s="2004" t="s">
        <v>12185</v>
      </c>
    </row>
    <row r="543" spans="1:94">
      <c r="A543" s="2004" t="s">
        <v>9112</v>
      </c>
      <c r="B543" s="2004" t="s">
        <v>12186</v>
      </c>
      <c r="C543" s="2004" t="s">
        <v>9047</v>
      </c>
      <c r="D543" s="2004" t="s">
        <v>1628</v>
      </c>
      <c r="E543" s="2004" t="s">
        <v>9194</v>
      </c>
      <c r="F543" s="2004" t="s">
        <v>10724</v>
      </c>
      <c r="G543" s="2004" t="s">
        <v>9196</v>
      </c>
      <c r="H543" s="2004" t="s">
        <v>10725</v>
      </c>
      <c r="I543" s="2004" t="s">
        <v>10726</v>
      </c>
      <c r="J543" s="2004" t="s">
        <v>9199</v>
      </c>
      <c r="K543" s="2004" t="s">
        <v>9200</v>
      </c>
      <c r="L543" s="2004" t="s">
        <v>2337</v>
      </c>
      <c r="M543" s="2004"/>
      <c r="N543" s="2004" t="s">
        <v>9154</v>
      </c>
      <c r="O543" s="2004" t="s">
        <v>766</v>
      </c>
      <c r="P543" s="2004" t="s">
        <v>10727</v>
      </c>
      <c r="Q543" s="516">
        <v>0</v>
      </c>
      <c r="R543" s="2004"/>
      <c r="S543" s="2004"/>
      <c r="T543" s="2004"/>
      <c r="U543" s="2004"/>
      <c r="V543" s="2004"/>
      <c r="W543" s="2004"/>
      <c r="X543" s="2004"/>
      <c r="Y543" s="2004"/>
      <c r="Z543" s="2004"/>
      <c r="AA543" s="2004"/>
      <c r="AB543" s="2004"/>
      <c r="AC543" s="2004"/>
      <c r="AD543" s="2004"/>
      <c r="AE543" s="2004"/>
      <c r="AF543" s="2004"/>
      <c r="AG543" s="2004"/>
      <c r="AH543" s="2004"/>
      <c r="AI543" s="2004"/>
      <c r="AJ543" s="2004"/>
      <c r="AK543" s="2004"/>
      <c r="AL543" s="2004"/>
      <c r="AM543" s="2004"/>
      <c r="AN543" s="2004"/>
      <c r="AO543" s="2004"/>
      <c r="AP543" s="2004"/>
      <c r="AQ543" s="2004"/>
      <c r="AR543" s="2004"/>
      <c r="AS543" s="2004"/>
      <c r="AT543" s="2004"/>
      <c r="AU543" s="2004"/>
      <c r="AV543" s="2004"/>
      <c r="AW543" s="2004"/>
      <c r="AX543" s="2004"/>
      <c r="AY543" s="2004"/>
      <c r="AZ543" s="2004"/>
      <c r="BA543" s="2004"/>
      <c r="BB543" s="2004"/>
      <c r="BC543" s="2004"/>
      <c r="BD543" s="2004"/>
      <c r="BE543" s="2004"/>
      <c r="BF543" s="2004"/>
      <c r="BG543" s="2004"/>
      <c r="BH543" s="2004"/>
      <c r="BI543" s="2004"/>
      <c r="BJ543" s="2004"/>
      <c r="BK543" s="2004"/>
      <c r="BL543" s="2004"/>
      <c r="BM543" s="2004"/>
      <c r="BN543" s="2004"/>
      <c r="BO543" s="2004"/>
      <c r="BQ543" s="2004"/>
      <c r="BR543" s="2004"/>
      <c r="BS543" s="2004"/>
      <c r="BT543" s="2004"/>
      <c r="BU543" s="2004"/>
      <c r="BV543" s="2004"/>
      <c r="BW543" s="2004"/>
      <c r="BX543" s="2004"/>
      <c r="BY543" s="2004"/>
      <c r="BZ543" s="2004"/>
      <c r="CA543" s="2004"/>
      <c r="CB543" s="2004"/>
      <c r="CC543" s="2004" t="s">
        <v>2335</v>
      </c>
      <c r="CH543" s="2004"/>
      <c r="CI543" s="2004">
        <v>67</v>
      </c>
      <c r="CJ543" s="2004" t="s">
        <v>2334</v>
      </c>
      <c r="CK543" s="2004" t="s">
        <v>2336</v>
      </c>
      <c r="CL543" s="2004">
        <v>-3.09E-2</v>
      </c>
      <c r="CM543" s="2004">
        <v>0</v>
      </c>
      <c r="CN543" s="2004">
        <v>0</v>
      </c>
      <c r="CP543" s="2004" t="s">
        <v>12187</v>
      </c>
    </row>
    <row r="544" spans="1:94">
      <c r="A544" s="2004" t="s">
        <v>9112</v>
      </c>
      <c r="B544" s="2004" t="s">
        <v>12188</v>
      </c>
      <c r="C544" s="2004" t="s">
        <v>9047</v>
      </c>
      <c r="D544" s="2004" t="s">
        <v>1628</v>
      </c>
      <c r="E544" s="2004" t="s">
        <v>9194</v>
      </c>
      <c r="F544" s="2004" t="s">
        <v>10724</v>
      </c>
      <c r="G544" s="2004" t="s">
        <v>9207</v>
      </c>
      <c r="H544" s="2004" t="s">
        <v>10730</v>
      </c>
      <c r="I544" s="2004" t="s">
        <v>10731</v>
      </c>
      <c r="J544" s="2004" t="s">
        <v>9210</v>
      </c>
      <c r="K544" s="2004" t="s">
        <v>9200</v>
      </c>
      <c r="L544" s="2004" t="s">
        <v>2337</v>
      </c>
      <c r="M544" s="2004"/>
      <c r="N544" s="2004" t="s">
        <v>9238</v>
      </c>
      <c r="O544" s="2004" t="s">
        <v>734</v>
      </c>
      <c r="P544" s="2004" t="s">
        <v>9239</v>
      </c>
      <c r="Q544" s="516">
        <v>3</v>
      </c>
      <c r="R544" s="2004"/>
      <c r="S544" s="2004"/>
      <c r="T544" s="2004"/>
      <c r="U544" s="2004"/>
      <c r="V544" s="2004"/>
      <c r="W544" s="2004"/>
      <c r="X544" s="2004"/>
      <c r="Y544" s="2004"/>
      <c r="Z544" s="2004"/>
      <c r="AA544" s="2004"/>
      <c r="AB544" s="2004"/>
      <c r="AC544" s="2004"/>
      <c r="AD544" s="2004"/>
      <c r="AE544" s="2004"/>
      <c r="AF544" s="2004"/>
      <c r="AG544" s="2004"/>
      <c r="AH544" s="2004"/>
      <c r="AI544" s="2004"/>
      <c r="AJ544" s="2004"/>
      <c r="AK544" s="2004"/>
      <c r="AL544" s="2004"/>
      <c r="AM544" s="2004"/>
      <c r="AN544" s="2004"/>
      <c r="AO544" s="2004"/>
      <c r="AP544" s="2004"/>
      <c r="AQ544" s="2004"/>
      <c r="AR544" s="2004"/>
      <c r="AS544" s="2004"/>
      <c r="AT544" s="2004"/>
      <c r="AU544" s="2004"/>
      <c r="AV544" s="2004"/>
      <c r="AW544" s="2004"/>
      <c r="AX544" s="2004"/>
      <c r="AY544" s="2004"/>
      <c r="AZ544" s="2004"/>
      <c r="BA544" s="2004"/>
      <c r="BB544" s="2004"/>
      <c r="BC544" s="2004"/>
      <c r="BD544" s="2004"/>
      <c r="BE544" s="2004"/>
      <c r="BF544" s="2004"/>
      <c r="BG544" s="2004"/>
      <c r="BH544" s="2004"/>
      <c r="BI544" s="2004"/>
      <c r="BJ544" s="2004"/>
      <c r="BK544" s="2004"/>
      <c r="BL544" s="2004"/>
      <c r="BM544" s="2004"/>
      <c r="BN544" s="2004"/>
      <c r="BO544" s="2004"/>
      <c r="BQ544" s="2004"/>
      <c r="BR544" s="2004"/>
      <c r="BS544" s="2004"/>
      <c r="BT544" s="2004"/>
      <c r="BU544" s="2004"/>
      <c r="BV544" s="2004"/>
      <c r="BW544" s="2004"/>
      <c r="BX544" s="2004"/>
      <c r="BY544" s="2004"/>
      <c r="BZ544" s="2004"/>
      <c r="CA544" s="2004"/>
      <c r="CB544" s="2004"/>
      <c r="CC544" s="2004" t="s">
        <v>2335</v>
      </c>
      <c r="CH544" s="2004"/>
      <c r="CI544" s="2004">
        <v>99.94</v>
      </c>
      <c r="CJ544" s="2004" t="s">
        <v>2334</v>
      </c>
      <c r="CK544" s="2004" t="s">
        <v>2336</v>
      </c>
      <c r="CL544" s="2004">
        <v>-0.01</v>
      </c>
      <c r="CM544" s="2004">
        <v>0</v>
      </c>
      <c r="CN544" s="2004">
        <v>0</v>
      </c>
      <c r="CP544" s="2004" t="s">
        <v>12189</v>
      </c>
    </row>
    <row r="545" spans="1:94">
      <c r="A545" s="2004" t="s">
        <v>9112</v>
      </c>
      <c r="B545" s="2004" t="s">
        <v>12190</v>
      </c>
      <c r="C545" s="2004" t="s">
        <v>9047</v>
      </c>
      <c r="D545" s="2004" t="s">
        <v>1628</v>
      </c>
      <c r="E545" s="2004" t="s">
        <v>9194</v>
      </c>
      <c r="F545" s="2004" t="s">
        <v>10724</v>
      </c>
      <c r="G545" s="2004" t="s">
        <v>9215</v>
      </c>
      <c r="H545" s="2004" t="s">
        <v>10734</v>
      </c>
      <c r="I545" s="2004" t="s">
        <v>10735</v>
      </c>
      <c r="J545" s="2004" t="s">
        <v>9210</v>
      </c>
      <c r="K545" s="2004" t="s">
        <v>9545</v>
      </c>
      <c r="L545" s="2004"/>
      <c r="M545" s="2004" t="s">
        <v>2334</v>
      </c>
      <c r="N545" s="2004" t="s">
        <v>9260</v>
      </c>
      <c r="O545" s="2004" t="s">
        <v>766</v>
      </c>
      <c r="P545" s="2004" t="s">
        <v>10736</v>
      </c>
      <c r="Q545" s="516">
        <v>0</v>
      </c>
      <c r="R545" s="2004"/>
      <c r="S545" s="2004"/>
      <c r="T545" s="2004"/>
      <c r="U545" s="2004"/>
      <c r="V545" s="2004"/>
      <c r="W545" s="2004"/>
      <c r="X545" s="2004"/>
      <c r="Y545" s="2004"/>
      <c r="Z545" s="2004"/>
      <c r="AA545" s="2004"/>
      <c r="AB545" s="2004"/>
      <c r="AC545" s="2004"/>
      <c r="AD545" s="2004"/>
      <c r="AE545" s="2004"/>
      <c r="AF545" s="2004"/>
      <c r="AG545" s="2004"/>
      <c r="AH545" s="2004"/>
      <c r="AI545" s="2004"/>
      <c r="AJ545" s="2004"/>
      <c r="AK545" s="2004"/>
      <c r="AL545" s="2004"/>
      <c r="AM545" s="2004"/>
      <c r="AN545" s="2004"/>
      <c r="AO545" s="2004"/>
      <c r="AP545" s="2004"/>
      <c r="AQ545" s="2004"/>
      <c r="AR545" s="2004"/>
      <c r="AS545" s="2004"/>
      <c r="AT545" s="2004"/>
      <c r="AU545" s="2004"/>
      <c r="AV545" s="2004"/>
      <c r="AW545" s="2004"/>
      <c r="AX545" s="2004"/>
      <c r="AY545" s="2004"/>
      <c r="AZ545" s="2004"/>
      <c r="BA545" s="2004"/>
      <c r="BB545" s="2004"/>
      <c r="BC545" s="2004"/>
      <c r="BD545" s="2004"/>
      <c r="BE545" s="2004"/>
      <c r="BF545" s="2004"/>
      <c r="BG545" s="2004"/>
      <c r="BH545" s="2004"/>
      <c r="BI545" s="2004"/>
      <c r="BJ545" s="2004"/>
      <c r="BK545" s="2004"/>
      <c r="BL545" s="2004"/>
      <c r="BM545" s="2004"/>
      <c r="BN545" s="2004"/>
      <c r="BO545" s="2004"/>
      <c r="BQ545" s="2004"/>
      <c r="BR545" s="2004"/>
      <c r="BS545" s="2004"/>
      <c r="BT545" s="2004"/>
      <c r="BU545" s="2004"/>
      <c r="BV545" s="2004"/>
      <c r="BW545" s="2004"/>
      <c r="BX545" s="2004"/>
      <c r="BY545" s="2004"/>
      <c r="BZ545" s="2004"/>
      <c r="CA545" s="2004"/>
      <c r="CB545" s="2004"/>
      <c r="CC545" s="2004" t="s">
        <v>2335</v>
      </c>
      <c r="CH545" s="2004"/>
      <c r="CI545" s="2004">
        <v>0</v>
      </c>
      <c r="CJ545" s="2004" t="s">
        <v>2337</v>
      </c>
      <c r="CK545" s="2004">
        <v>0</v>
      </c>
      <c r="CL545" s="2004">
        <v>0</v>
      </c>
      <c r="CM545" s="2004">
        <v>0</v>
      </c>
      <c r="CN545" s="2004">
        <v>0</v>
      </c>
      <c r="CP545" s="2004" t="s">
        <v>12191</v>
      </c>
    </row>
    <row r="546" spans="1:94">
      <c r="A546" s="2004" t="s">
        <v>9112</v>
      </c>
      <c r="B546" s="2004" t="s">
        <v>12192</v>
      </c>
      <c r="C546" s="2004" t="s">
        <v>9047</v>
      </c>
      <c r="D546" s="2004" t="s">
        <v>1628</v>
      </c>
      <c r="E546" s="2004" t="s">
        <v>9194</v>
      </c>
      <c r="F546" s="2004" t="s">
        <v>10747</v>
      </c>
      <c r="G546" s="2004" t="s">
        <v>9235</v>
      </c>
      <c r="H546" s="2004" t="s">
        <v>10748</v>
      </c>
      <c r="I546" s="2004" t="s">
        <v>10749</v>
      </c>
      <c r="J546" s="2004" t="s">
        <v>9230</v>
      </c>
      <c r="K546" s="2004"/>
      <c r="L546" s="2004"/>
      <c r="M546" s="2004"/>
      <c r="N546" s="2004" t="s">
        <v>9224</v>
      </c>
      <c r="O546" s="2004" t="s">
        <v>766</v>
      </c>
      <c r="P546" s="2004" t="s">
        <v>9212</v>
      </c>
      <c r="Q546" s="516">
        <v>0</v>
      </c>
      <c r="R546" s="2004"/>
      <c r="S546" s="2004"/>
      <c r="T546" s="2004"/>
      <c r="U546" s="2004"/>
      <c r="V546" s="2004"/>
      <c r="W546" s="2004"/>
      <c r="X546" s="2004"/>
      <c r="Y546" s="2004"/>
      <c r="Z546" s="2004"/>
      <c r="AA546" s="2004"/>
      <c r="AB546" s="2004"/>
      <c r="AC546" s="2004"/>
      <c r="AD546" s="2004"/>
      <c r="AE546" s="2004"/>
      <c r="AF546" s="2004"/>
      <c r="AG546" s="2004"/>
      <c r="AH546" s="2004"/>
      <c r="AI546" s="2004"/>
      <c r="AJ546" s="2004"/>
      <c r="AK546" s="2004"/>
      <c r="AL546" s="2004"/>
      <c r="AM546" s="2004"/>
      <c r="AN546" s="2004"/>
      <c r="AO546" s="2004"/>
      <c r="AP546" s="2004"/>
      <c r="AQ546" s="2004"/>
      <c r="AR546" s="2004"/>
      <c r="AS546" s="2004"/>
      <c r="AT546" s="2004"/>
      <c r="AU546" s="2004"/>
      <c r="AV546" s="2004"/>
      <c r="AW546" s="2004"/>
      <c r="AX546" s="2004"/>
      <c r="AY546" s="2004"/>
      <c r="AZ546" s="2004"/>
      <c r="BA546" s="2004"/>
      <c r="BB546" s="2004"/>
      <c r="BC546" s="2004"/>
      <c r="BD546" s="2004"/>
      <c r="BE546" s="2004"/>
      <c r="BF546" s="2004"/>
      <c r="BG546" s="2004"/>
      <c r="BH546" s="2004"/>
      <c r="BI546" s="2004"/>
      <c r="BJ546" s="2004"/>
      <c r="BK546" s="2004"/>
      <c r="BL546" s="2004"/>
      <c r="BM546" s="2004"/>
      <c r="BN546" s="2004"/>
      <c r="BO546" s="2004"/>
      <c r="BQ546" s="2004"/>
      <c r="BR546" s="2004"/>
      <c r="BS546" s="2004"/>
      <c r="BT546" s="2004"/>
      <c r="BU546" s="2004"/>
      <c r="BV546" s="2004"/>
      <c r="BW546" s="2004"/>
      <c r="BX546" s="2004"/>
      <c r="BY546" s="2004"/>
      <c r="BZ546" s="2004"/>
      <c r="CA546" s="2004"/>
      <c r="CB546" s="2004"/>
      <c r="CC546" s="2004" t="s">
        <v>2335</v>
      </c>
      <c r="CH546" s="2004"/>
      <c r="CI546" s="2004">
        <v>348</v>
      </c>
      <c r="CJ546" s="2004" t="s">
        <v>2334</v>
      </c>
      <c r="CK546" s="2004">
        <v>0</v>
      </c>
      <c r="CL546" s="2004">
        <v>0</v>
      </c>
      <c r="CM546" s="2004">
        <v>0</v>
      </c>
      <c r="CN546" s="2004">
        <v>0</v>
      </c>
      <c r="CP546" s="2004" t="s">
        <v>12193</v>
      </c>
    </row>
    <row r="547" spans="1:94">
      <c r="A547" s="2004" t="s">
        <v>9112</v>
      </c>
      <c r="B547" s="2004" t="s">
        <v>12194</v>
      </c>
      <c r="C547" s="2004" t="s">
        <v>9047</v>
      </c>
      <c r="D547" s="2004" t="s">
        <v>1628</v>
      </c>
      <c r="E547" s="2004" t="s">
        <v>9194</v>
      </c>
      <c r="F547" s="2004" t="s">
        <v>10747</v>
      </c>
      <c r="G547" s="2004" t="s">
        <v>9243</v>
      </c>
      <c r="H547" s="2004" t="s">
        <v>10752</v>
      </c>
      <c r="I547" s="2004" t="s">
        <v>10753</v>
      </c>
      <c r="J547" s="2004" t="s">
        <v>9199</v>
      </c>
      <c r="K547" s="2004" t="s">
        <v>9200</v>
      </c>
      <c r="L547" s="2004" t="s">
        <v>2337</v>
      </c>
      <c r="M547" s="2004" t="s">
        <v>2334</v>
      </c>
      <c r="N547" s="2004" t="s">
        <v>2927</v>
      </c>
      <c r="O547" s="2004" t="s">
        <v>766</v>
      </c>
      <c r="P547" s="2004" t="s">
        <v>9201</v>
      </c>
      <c r="Q547" s="516">
        <v>0</v>
      </c>
      <c r="R547" s="2004"/>
      <c r="S547" s="2004"/>
      <c r="T547" s="2004"/>
      <c r="U547" s="2004"/>
      <c r="V547" s="2004"/>
      <c r="W547" s="2004"/>
      <c r="X547" s="2004"/>
      <c r="Y547" s="2004"/>
      <c r="Z547" s="2004"/>
      <c r="AA547" s="2004"/>
      <c r="AB547" s="2004"/>
      <c r="AC547" s="2004"/>
      <c r="AD547" s="2004"/>
      <c r="AE547" s="2004"/>
      <c r="AF547" s="2004"/>
      <c r="AG547" s="2004"/>
      <c r="AH547" s="2004"/>
      <c r="AI547" s="2004"/>
      <c r="AJ547" s="2004"/>
      <c r="AK547" s="2004"/>
      <c r="AL547" s="2004"/>
      <c r="AM547" s="2004"/>
      <c r="AN547" s="2004"/>
      <c r="AO547" s="2004"/>
      <c r="AP547" s="2004"/>
      <c r="AQ547" s="2004"/>
      <c r="AR547" s="2004"/>
      <c r="AS547" s="2004"/>
      <c r="AT547" s="2004"/>
      <c r="AU547" s="2004"/>
      <c r="AV547" s="2004"/>
      <c r="AW547" s="2004"/>
      <c r="AX547" s="2004"/>
      <c r="AY547" s="2004"/>
      <c r="AZ547" s="2004"/>
      <c r="BA547" s="2004"/>
      <c r="BB547" s="2004"/>
      <c r="BC547" s="2004"/>
      <c r="BD547" s="2004"/>
      <c r="BE547" s="2004"/>
      <c r="BF547" s="2004"/>
      <c r="BG547" s="2004"/>
      <c r="BH547" s="2004"/>
      <c r="BI547" s="2004"/>
      <c r="BJ547" s="2004"/>
      <c r="BK547" s="2004"/>
      <c r="BL547" s="2004"/>
      <c r="BM547" s="2004"/>
      <c r="BN547" s="2004"/>
      <c r="BO547" s="2004"/>
      <c r="BQ547" s="2004"/>
      <c r="BR547" s="2004"/>
      <c r="BS547" s="2004"/>
      <c r="BT547" s="2004"/>
      <c r="BU547" s="2004"/>
      <c r="BV547" s="2004"/>
      <c r="BW547" s="2004"/>
      <c r="BX547" s="2004"/>
      <c r="BY547" s="2004"/>
      <c r="BZ547" s="2004"/>
      <c r="CA547" s="2004"/>
      <c r="CB547" s="2004"/>
      <c r="CC547" s="2004" t="s">
        <v>2335</v>
      </c>
      <c r="CH547" s="2004"/>
      <c r="CI547" s="2004">
        <v>7.89</v>
      </c>
      <c r="CJ547" s="2004" t="s">
        <v>2334</v>
      </c>
      <c r="CK547" s="2004" t="s">
        <v>2340</v>
      </c>
      <c r="CL547" s="2004">
        <v>0</v>
      </c>
      <c r="CM547" s="2004">
        <v>0</v>
      </c>
      <c r="CN547" s="2004">
        <v>0</v>
      </c>
      <c r="CP547" s="2004" t="s">
        <v>12195</v>
      </c>
    </row>
    <row r="548" spans="1:94">
      <c r="A548" s="2004" t="s">
        <v>9112</v>
      </c>
      <c r="B548" s="2004" t="s">
        <v>12196</v>
      </c>
      <c r="C548" s="2004" t="s">
        <v>9047</v>
      </c>
      <c r="D548" s="2004" t="s">
        <v>1628</v>
      </c>
      <c r="E548" s="2004" t="s">
        <v>9194</v>
      </c>
      <c r="F548" s="2004" t="s">
        <v>10747</v>
      </c>
      <c r="G548" s="2004" t="s">
        <v>9775</v>
      </c>
      <c r="H548" s="2004" t="s">
        <v>10756</v>
      </c>
      <c r="I548" s="2004" t="s">
        <v>10757</v>
      </c>
      <c r="J548" s="2004" t="s">
        <v>9199</v>
      </c>
      <c r="K548" s="2004" t="s">
        <v>9200</v>
      </c>
      <c r="L548" s="2004" t="s">
        <v>2337</v>
      </c>
      <c r="M548" s="2004"/>
      <c r="N548" s="2004" t="s">
        <v>2927</v>
      </c>
      <c r="O548" s="2004" t="s">
        <v>734</v>
      </c>
      <c r="P548" s="2004" t="s">
        <v>10758</v>
      </c>
      <c r="Q548" s="516">
        <v>0</v>
      </c>
      <c r="R548" s="2004"/>
      <c r="S548" s="2004"/>
      <c r="T548" s="2004"/>
      <c r="U548" s="2004"/>
      <c r="V548" s="2004"/>
      <c r="W548" s="2004"/>
      <c r="X548" s="2004"/>
      <c r="Y548" s="2004"/>
      <c r="Z548" s="2004"/>
      <c r="AA548" s="2004"/>
      <c r="AB548" s="2004"/>
      <c r="AC548" s="2004"/>
      <c r="AD548" s="2004"/>
      <c r="AE548" s="2004"/>
      <c r="AF548" s="2004"/>
      <c r="AG548" s="2004"/>
      <c r="AH548" s="2004"/>
      <c r="AI548" s="2004"/>
      <c r="AJ548" s="2004"/>
      <c r="AK548" s="2004"/>
      <c r="AL548" s="2004"/>
      <c r="AM548" s="2004"/>
      <c r="AN548" s="2004"/>
      <c r="AO548" s="2004"/>
      <c r="AP548" s="2004"/>
      <c r="AQ548" s="2004"/>
      <c r="AR548" s="2004"/>
      <c r="AS548" s="2004"/>
      <c r="AT548" s="2004"/>
      <c r="AU548" s="2004"/>
      <c r="AV548" s="2004"/>
      <c r="AW548" s="2004"/>
      <c r="AX548" s="2004"/>
      <c r="AY548" s="2004"/>
      <c r="AZ548" s="2004"/>
      <c r="BA548" s="2004"/>
      <c r="BB548" s="2004"/>
      <c r="BC548" s="2004"/>
      <c r="BD548" s="2004"/>
      <c r="BE548" s="2004"/>
      <c r="BF548" s="2004"/>
      <c r="BG548" s="2004"/>
      <c r="BH548" s="2004"/>
      <c r="BI548" s="2004"/>
      <c r="BJ548" s="2004"/>
      <c r="BK548" s="2004"/>
      <c r="BL548" s="2004"/>
      <c r="BM548" s="2004"/>
      <c r="BN548" s="2004"/>
      <c r="BO548" s="2004"/>
      <c r="BQ548" s="2004"/>
      <c r="BR548" s="2004"/>
      <c r="BS548" s="2004"/>
      <c r="BT548" s="2004"/>
      <c r="BU548" s="2004"/>
      <c r="BV548" s="2004"/>
      <c r="BW548" s="2004"/>
      <c r="BX548" s="2004"/>
      <c r="BY548" s="2004"/>
      <c r="BZ548" s="2004"/>
      <c r="CA548" s="2004"/>
      <c r="CB548" s="2004"/>
      <c r="CC548" s="2004" t="s">
        <v>2335</v>
      </c>
      <c r="CH548" s="2004"/>
      <c r="CI548" s="2004">
        <v>26</v>
      </c>
      <c r="CJ548" s="2004" t="s">
        <v>2334</v>
      </c>
      <c r="CK548" s="2004" t="s">
        <v>2336</v>
      </c>
      <c r="CL548" s="2004">
        <v>-7.7000000000000002E-3</v>
      </c>
      <c r="CM548" s="2004">
        <v>0</v>
      </c>
      <c r="CN548" s="2004">
        <v>0</v>
      </c>
      <c r="CP548" s="2004" t="s">
        <v>12197</v>
      </c>
    </row>
    <row r="549" spans="1:94">
      <c r="A549" s="2004" t="s">
        <v>9112</v>
      </c>
      <c r="B549" s="2004" t="s">
        <v>12198</v>
      </c>
      <c r="C549" s="2004" t="s">
        <v>9047</v>
      </c>
      <c r="D549" s="2004" t="s">
        <v>1628</v>
      </c>
      <c r="E549" s="2004" t="s">
        <v>9194</v>
      </c>
      <c r="F549" s="2004" t="s">
        <v>10747</v>
      </c>
      <c r="G549" s="2004" t="s">
        <v>10761</v>
      </c>
      <c r="H549" s="2004" t="s">
        <v>10762</v>
      </c>
      <c r="I549" s="2004" t="s">
        <v>10763</v>
      </c>
      <c r="J549" s="2004" t="s">
        <v>9199</v>
      </c>
      <c r="K549" s="2004" t="s">
        <v>9200</v>
      </c>
      <c r="L549" s="2004" t="s">
        <v>2337</v>
      </c>
      <c r="M549" s="2004" t="s">
        <v>2334</v>
      </c>
      <c r="N549" s="2004" t="s">
        <v>2951</v>
      </c>
      <c r="O549" s="2004" t="s">
        <v>9298</v>
      </c>
      <c r="P549" s="2004" t="s">
        <v>9299</v>
      </c>
      <c r="Q549" s="516">
        <v>2</v>
      </c>
      <c r="R549" s="2004"/>
      <c r="S549" s="2004"/>
      <c r="T549" s="2004"/>
      <c r="U549" s="2004"/>
      <c r="V549" s="2004"/>
      <c r="W549" s="2004"/>
      <c r="X549" s="2004"/>
      <c r="Y549" s="2004"/>
      <c r="Z549" s="2004"/>
      <c r="AA549" s="2004"/>
      <c r="AB549" s="2004"/>
      <c r="AC549" s="2004"/>
      <c r="AD549" s="2004"/>
      <c r="AE549" s="2004"/>
      <c r="AF549" s="2004"/>
      <c r="AG549" s="2004"/>
      <c r="AH549" s="2004"/>
      <c r="AI549" s="2004"/>
      <c r="AJ549" s="2004"/>
      <c r="AK549" s="2004"/>
      <c r="AL549" s="2004"/>
      <c r="AM549" s="2004"/>
      <c r="AN549" s="2004"/>
      <c r="AO549" s="2004"/>
      <c r="AP549" s="2004"/>
      <c r="AQ549" s="2004"/>
      <c r="AR549" s="2004"/>
      <c r="AS549" s="2004"/>
      <c r="AT549" s="2004"/>
      <c r="AU549" s="2004"/>
      <c r="AV549" s="2004"/>
      <c r="AW549" s="2004"/>
      <c r="AX549" s="2004"/>
      <c r="AY549" s="2004"/>
      <c r="AZ549" s="2004"/>
      <c r="BA549" s="2004"/>
      <c r="BB549" s="2004"/>
      <c r="BC549" s="2004"/>
      <c r="BD549" s="2004"/>
      <c r="BE549" s="2004"/>
      <c r="BF549" s="2004"/>
      <c r="BG549" s="2004"/>
      <c r="BH549" s="2004"/>
      <c r="BI549" s="2004"/>
      <c r="BJ549" s="2004"/>
      <c r="BK549" s="2004"/>
      <c r="BL549" s="2004"/>
      <c r="BM549" s="2004"/>
      <c r="BN549" s="2004"/>
      <c r="BO549" s="2004"/>
      <c r="BQ549" s="2004"/>
      <c r="BR549" s="2004"/>
      <c r="BS549" s="2004"/>
      <c r="BT549" s="2004"/>
      <c r="BU549" s="2004"/>
      <c r="BV549" s="2004"/>
      <c r="BW549" s="2004"/>
      <c r="BX549" s="2004"/>
      <c r="BY549" s="2004"/>
      <c r="BZ549" s="2004"/>
      <c r="CA549" s="2004"/>
      <c r="CB549" s="2004"/>
      <c r="CC549" s="2004" t="s">
        <v>2335</v>
      </c>
      <c r="CH549" s="2004"/>
      <c r="CI549" s="2004">
        <v>93.744790337089739</v>
      </c>
      <c r="CJ549" s="2004" t="s">
        <v>2334</v>
      </c>
      <c r="CK549" s="2004" t="s">
        <v>2336</v>
      </c>
      <c r="CL549" s="2004">
        <v>-0.27939999999999998</v>
      </c>
      <c r="CM549" s="2004">
        <v>0</v>
      </c>
      <c r="CN549" s="2004">
        <v>0</v>
      </c>
      <c r="CP549" s="2004" t="s">
        <v>12199</v>
      </c>
    </row>
    <row r="550" spans="1:94">
      <c r="A550" s="2004" t="s">
        <v>9112</v>
      </c>
      <c r="B550" s="2004" t="s">
        <v>12200</v>
      </c>
      <c r="C550" s="2004" t="s">
        <v>9047</v>
      </c>
      <c r="D550" s="2004" t="s">
        <v>1628</v>
      </c>
      <c r="E550" s="2004" t="s">
        <v>9194</v>
      </c>
      <c r="F550" s="2004" t="s">
        <v>10747</v>
      </c>
      <c r="G550" s="2004" t="s">
        <v>10766</v>
      </c>
      <c r="H550" s="2004" t="s">
        <v>10767</v>
      </c>
      <c r="I550" s="2004" t="s">
        <v>10768</v>
      </c>
      <c r="J550" s="2004" t="s">
        <v>9199</v>
      </c>
      <c r="K550" s="2004" t="s">
        <v>9200</v>
      </c>
      <c r="L550" s="2004"/>
      <c r="M550" s="2004"/>
      <c r="N550" s="2004" t="s">
        <v>5533</v>
      </c>
      <c r="O550" s="2004" t="s">
        <v>734</v>
      </c>
      <c r="P550" s="2004" t="s">
        <v>10769</v>
      </c>
      <c r="Q550" s="516">
        <v>1</v>
      </c>
      <c r="R550" s="2004"/>
      <c r="S550" s="2004"/>
      <c r="T550" s="2004"/>
      <c r="U550" s="2004"/>
      <c r="V550" s="2004"/>
      <c r="W550" s="2004"/>
      <c r="X550" s="2004"/>
      <c r="Y550" s="2004"/>
      <c r="Z550" s="2004"/>
      <c r="AA550" s="2004"/>
      <c r="AB550" s="2004"/>
      <c r="AC550" s="2004"/>
      <c r="AD550" s="2004"/>
      <c r="AE550" s="2004"/>
      <c r="AF550" s="2004"/>
      <c r="AG550" s="2004"/>
      <c r="AH550" s="2004"/>
      <c r="AI550" s="2004"/>
      <c r="AJ550" s="2004"/>
      <c r="AK550" s="2004"/>
      <c r="AL550" s="2004"/>
      <c r="AM550" s="2004"/>
      <c r="AN550" s="2004"/>
      <c r="AO550" s="2004"/>
      <c r="AP550" s="2004"/>
      <c r="AQ550" s="2004"/>
      <c r="AR550" s="2004"/>
      <c r="AS550" s="2004"/>
      <c r="AT550" s="2004"/>
      <c r="AU550" s="2004"/>
      <c r="AV550" s="2004"/>
      <c r="AW550" s="2004"/>
      <c r="AX550" s="2004"/>
      <c r="AY550" s="2004"/>
      <c r="AZ550" s="2004"/>
      <c r="BA550" s="2004"/>
      <c r="BB550" s="2004"/>
      <c r="BC550" s="2004"/>
      <c r="BD550" s="2004"/>
      <c r="BE550" s="2004"/>
      <c r="BF550" s="2004"/>
      <c r="BG550" s="2004"/>
      <c r="BH550" s="2004"/>
      <c r="BI550" s="2004"/>
      <c r="BJ550" s="2004"/>
      <c r="BK550" s="2004"/>
      <c r="BL550" s="2004"/>
      <c r="BM550" s="2004"/>
      <c r="BN550" s="2004"/>
      <c r="BO550" s="2004"/>
      <c r="BQ550" s="2004"/>
      <c r="BR550" s="2004"/>
      <c r="BS550" s="2004"/>
      <c r="BT550" s="2004"/>
      <c r="BU550" s="2004"/>
      <c r="BV550" s="2004"/>
      <c r="BW550" s="2004"/>
      <c r="BX550" s="2004"/>
      <c r="BY550" s="2004"/>
      <c r="BZ550" s="2004"/>
      <c r="CA550" s="2004"/>
      <c r="CB550" s="2004"/>
      <c r="CC550" s="2004" t="s">
        <v>2335</v>
      </c>
      <c r="CH550" s="2004"/>
      <c r="CI550" s="2004">
        <v>27.500000000000004</v>
      </c>
      <c r="CJ550" s="2004" t="s">
        <v>2335</v>
      </c>
      <c r="CK550" s="2004">
        <v>0</v>
      </c>
      <c r="CL550" s="2004">
        <v>0</v>
      </c>
      <c r="CM550" s="2004">
        <v>0</v>
      </c>
      <c r="CN550" s="2004">
        <v>0</v>
      </c>
      <c r="CP550" s="2004" t="s">
        <v>12201</v>
      </c>
    </row>
    <row r="551" spans="1:94">
      <c r="A551" s="2004" t="s">
        <v>9112</v>
      </c>
      <c r="B551" s="2004" t="s">
        <v>12202</v>
      </c>
      <c r="C551" s="2004" t="s">
        <v>9047</v>
      </c>
      <c r="D551" s="2004" t="s">
        <v>1628</v>
      </c>
      <c r="E551" s="2004" t="s">
        <v>9194</v>
      </c>
      <c r="F551" s="2004" t="s">
        <v>10747</v>
      </c>
      <c r="G551" s="2004" t="s">
        <v>10772</v>
      </c>
      <c r="H551" s="2004" t="s">
        <v>10773</v>
      </c>
      <c r="I551" s="2004" t="s">
        <v>10774</v>
      </c>
      <c r="J551" s="2004" t="s">
        <v>9210</v>
      </c>
      <c r="K551" s="2004" t="s">
        <v>9545</v>
      </c>
      <c r="L551" s="2004"/>
      <c r="M551" s="2004" t="s">
        <v>2334</v>
      </c>
      <c r="N551" s="2004" t="s">
        <v>9260</v>
      </c>
      <c r="O551" s="2004" t="s">
        <v>766</v>
      </c>
      <c r="P551" s="2004" t="s">
        <v>9261</v>
      </c>
      <c r="Q551" s="516">
        <v>0</v>
      </c>
      <c r="R551" s="2004"/>
      <c r="S551" s="2004"/>
      <c r="T551" s="2004"/>
      <c r="U551" s="2004"/>
      <c r="V551" s="2004"/>
      <c r="W551" s="2004"/>
      <c r="X551" s="2004"/>
      <c r="Y551" s="2004"/>
      <c r="Z551" s="2004"/>
      <c r="AA551" s="2004"/>
      <c r="AB551" s="2004"/>
      <c r="AC551" s="2004"/>
      <c r="AD551" s="2004"/>
      <c r="AE551" s="2004"/>
      <c r="AF551" s="2004"/>
      <c r="AG551" s="2004"/>
      <c r="AH551" s="2004"/>
      <c r="AI551" s="2004"/>
      <c r="AJ551" s="2004"/>
      <c r="AK551" s="2004"/>
      <c r="AL551" s="2004"/>
      <c r="AM551" s="2004"/>
      <c r="AN551" s="2004"/>
      <c r="AO551" s="2004"/>
      <c r="AP551" s="2004"/>
      <c r="AQ551" s="2004"/>
      <c r="AR551" s="2004"/>
      <c r="AS551" s="2004"/>
      <c r="AT551" s="2004"/>
      <c r="AU551" s="2004"/>
      <c r="AV551" s="2004"/>
      <c r="AW551" s="2004"/>
      <c r="AX551" s="2004"/>
      <c r="AY551" s="2004"/>
      <c r="AZ551" s="2004"/>
      <c r="BA551" s="2004"/>
      <c r="BB551" s="2004"/>
      <c r="BC551" s="2004"/>
      <c r="BD551" s="2004"/>
      <c r="BE551" s="2004"/>
      <c r="BF551" s="2004"/>
      <c r="BG551" s="2004"/>
      <c r="BH551" s="2004"/>
      <c r="BI551" s="2004"/>
      <c r="BJ551" s="2004"/>
      <c r="BK551" s="2004"/>
      <c r="BL551" s="2004"/>
      <c r="BM551" s="2004"/>
      <c r="BN551" s="2004"/>
      <c r="BO551" s="2004"/>
      <c r="BQ551" s="2004"/>
      <c r="BR551" s="2004"/>
      <c r="BS551" s="2004"/>
      <c r="BT551" s="2004"/>
      <c r="BU551" s="2004"/>
      <c r="BV551" s="2004"/>
      <c r="BW551" s="2004"/>
      <c r="BX551" s="2004"/>
      <c r="BY551" s="2004"/>
      <c r="BZ551" s="2004"/>
      <c r="CA551" s="2004"/>
      <c r="CB551" s="2004"/>
      <c r="CC551" s="2004" t="s">
        <v>2335</v>
      </c>
      <c r="CH551" s="2004"/>
      <c r="CI551" s="2004">
        <v>148</v>
      </c>
      <c r="CJ551" s="2004" t="s">
        <v>2337</v>
      </c>
      <c r="CK551" s="2004">
        <v>0</v>
      </c>
      <c r="CL551" s="2004">
        <v>0</v>
      </c>
      <c r="CM551" s="2004">
        <v>0</v>
      </c>
      <c r="CN551" s="2004">
        <v>0</v>
      </c>
      <c r="CP551" s="2004" t="s">
        <v>12203</v>
      </c>
    </row>
    <row r="552" spans="1:94">
      <c r="A552" s="2004" t="s">
        <v>9112</v>
      </c>
      <c r="B552" s="2004" t="s">
        <v>12204</v>
      </c>
      <c r="C552" s="2004" t="s">
        <v>9047</v>
      </c>
      <c r="D552" s="2004" t="s">
        <v>1628</v>
      </c>
      <c r="E552" s="2004" t="s">
        <v>9194</v>
      </c>
      <c r="F552" s="2004" t="s">
        <v>10747</v>
      </c>
      <c r="G552" s="2004" t="s">
        <v>10778</v>
      </c>
      <c r="H552" s="2004" t="s">
        <v>10779</v>
      </c>
      <c r="I552" s="2004" t="s">
        <v>10780</v>
      </c>
      <c r="J552" s="2004" t="s">
        <v>9199</v>
      </c>
      <c r="K552" s="2004" t="s">
        <v>9200</v>
      </c>
      <c r="L552" s="2004" t="s">
        <v>2337</v>
      </c>
      <c r="M552" s="2004"/>
      <c r="N552" s="2004" t="s">
        <v>9304</v>
      </c>
      <c r="O552" s="2004" t="s">
        <v>766</v>
      </c>
      <c r="P552" s="2004" t="s">
        <v>10781</v>
      </c>
      <c r="Q552" s="516">
        <v>0</v>
      </c>
      <c r="R552" s="2004"/>
      <c r="S552" s="2004"/>
      <c r="T552" s="2004"/>
      <c r="U552" s="2004"/>
      <c r="V552" s="2004"/>
      <c r="W552" s="2004"/>
      <c r="X552" s="2004"/>
      <c r="Y552" s="2004"/>
      <c r="Z552" s="2004"/>
      <c r="AA552" s="2004"/>
      <c r="AB552" s="2004"/>
      <c r="AC552" s="2004"/>
      <c r="AD552" s="2004"/>
      <c r="AE552" s="2004"/>
      <c r="AF552" s="2004"/>
      <c r="AG552" s="2004"/>
      <c r="AH552" s="2004"/>
      <c r="AI552" s="2004"/>
      <c r="AJ552" s="2004"/>
      <c r="AK552" s="2004"/>
      <c r="AL552" s="2004"/>
      <c r="AM552" s="2004"/>
      <c r="AN552" s="2004"/>
      <c r="AO552" s="2004"/>
      <c r="AP552" s="2004"/>
      <c r="AQ552" s="2004"/>
      <c r="AR552" s="2004"/>
      <c r="AS552" s="2004"/>
      <c r="AT552" s="2004"/>
      <c r="AU552" s="2004"/>
      <c r="AV552" s="2004"/>
      <c r="AW552" s="2004"/>
      <c r="AX552" s="2004"/>
      <c r="AY552" s="2004"/>
      <c r="AZ552" s="2004"/>
      <c r="BA552" s="2004"/>
      <c r="BB552" s="2004"/>
      <c r="BC552" s="2004"/>
      <c r="BD552" s="2004"/>
      <c r="BE552" s="2004"/>
      <c r="BF552" s="2004"/>
      <c r="BG552" s="2004"/>
      <c r="BH552" s="2004"/>
      <c r="BI552" s="2004"/>
      <c r="BJ552" s="2004"/>
      <c r="BK552" s="2004"/>
      <c r="BL552" s="2004"/>
      <c r="BM552" s="2004"/>
      <c r="BN552" s="2004"/>
      <c r="BO552" s="2004"/>
      <c r="BQ552" s="2004"/>
      <c r="BR552" s="2004"/>
      <c r="BS552" s="2004"/>
      <c r="BT552" s="2004"/>
      <c r="BU552" s="2004"/>
      <c r="BV552" s="2004"/>
      <c r="BW552" s="2004"/>
      <c r="BX552" s="2004"/>
      <c r="BY552" s="2004"/>
      <c r="BZ552" s="2004"/>
      <c r="CA552" s="2004"/>
      <c r="CB552" s="2004"/>
      <c r="CC552" s="2004" t="s">
        <v>2335</v>
      </c>
      <c r="CH552" s="2004"/>
      <c r="CI552" s="2004">
        <v>11</v>
      </c>
      <c r="CJ552" s="2004" t="s">
        <v>2337</v>
      </c>
      <c r="CK552" s="2004" t="s">
        <v>2339</v>
      </c>
      <c r="CL552" s="2004">
        <v>4.7400000000000003E-3</v>
      </c>
      <c r="CM552" s="2004">
        <v>0</v>
      </c>
      <c r="CN552" s="2004">
        <v>0</v>
      </c>
      <c r="CP552" s="2004" t="s">
        <v>12205</v>
      </c>
    </row>
    <row r="553" spans="1:94">
      <c r="A553" s="2004" t="s">
        <v>9112</v>
      </c>
      <c r="B553" s="2004" t="s">
        <v>12206</v>
      </c>
      <c r="C553" s="2004" t="s">
        <v>9047</v>
      </c>
      <c r="D553" s="2004" t="s">
        <v>1628</v>
      </c>
      <c r="E553" s="2004" t="s">
        <v>9194</v>
      </c>
      <c r="F553" s="2004" t="s">
        <v>10747</v>
      </c>
      <c r="G553" s="2004" t="s">
        <v>10784</v>
      </c>
      <c r="H553" s="2004" t="s">
        <v>10785</v>
      </c>
      <c r="I553" s="2004" t="s">
        <v>10786</v>
      </c>
      <c r="J553" s="2004" t="s">
        <v>9199</v>
      </c>
      <c r="K553" s="2004" t="s">
        <v>9200</v>
      </c>
      <c r="L553" s="2004" t="s">
        <v>2337</v>
      </c>
      <c r="M553" s="2004" t="s">
        <v>2334</v>
      </c>
      <c r="N553" s="2004" t="s">
        <v>9326</v>
      </c>
      <c r="O553" s="2004" t="s">
        <v>766</v>
      </c>
      <c r="P553" s="2004" t="s">
        <v>10787</v>
      </c>
      <c r="Q553" s="516">
        <v>0</v>
      </c>
      <c r="R553" s="2004"/>
      <c r="S553" s="2004"/>
      <c r="T553" s="2004"/>
      <c r="U553" s="2004"/>
      <c r="V553" s="2004"/>
      <c r="W553" s="2004"/>
      <c r="X553" s="2004"/>
      <c r="Y553" s="2004"/>
      <c r="Z553" s="2004"/>
      <c r="AA553" s="2004"/>
      <c r="AB553" s="2004"/>
      <c r="AC553" s="2004"/>
      <c r="AD553" s="2004"/>
      <c r="AE553" s="2004"/>
      <c r="AF553" s="2004"/>
      <c r="AG553" s="2004"/>
      <c r="AH553" s="2004"/>
      <c r="AI553" s="2004"/>
      <c r="AJ553" s="2004"/>
      <c r="AK553" s="2004"/>
      <c r="AL553" s="2004"/>
      <c r="AM553" s="2004"/>
      <c r="AN553" s="2004"/>
      <c r="AO553" s="2004"/>
      <c r="AP553" s="2004"/>
      <c r="AQ553" s="2004"/>
      <c r="AR553" s="2004"/>
      <c r="AS553" s="2004"/>
      <c r="AT553" s="2004"/>
      <c r="AU553" s="2004"/>
      <c r="AV553" s="2004"/>
      <c r="AW553" s="2004"/>
      <c r="AX553" s="2004"/>
      <c r="AY553" s="2004"/>
      <c r="AZ553" s="2004"/>
      <c r="BA553" s="2004"/>
      <c r="BB553" s="2004"/>
      <c r="BC553" s="2004"/>
      <c r="BD553" s="2004"/>
      <c r="BE553" s="2004"/>
      <c r="BF553" s="2004"/>
      <c r="BG553" s="2004"/>
      <c r="BH553" s="2004"/>
      <c r="BI553" s="2004"/>
      <c r="BJ553" s="2004"/>
      <c r="BK553" s="2004"/>
      <c r="BL553" s="2004"/>
      <c r="BM553" s="2004"/>
      <c r="BN553" s="2004"/>
      <c r="BO553" s="2004"/>
      <c r="BQ553" s="2004"/>
      <c r="BR553" s="2004"/>
      <c r="BS553" s="2004"/>
      <c r="BT553" s="2004"/>
      <c r="BU553" s="2004"/>
      <c r="BV553" s="2004"/>
      <c r="BW553" s="2004"/>
      <c r="BX553" s="2004"/>
      <c r="BY553" s="2004"/>
      <c r="BZ553" s="2004"/>
      <c r="CA553" s="2004"/>
      <c r="CB553" s="2004"/>
      <c r="CC553" s="2004" t="s">
        <v>2335</v>
      </c>
      <c r="CH553" s="2004"/>
      <c r="CI553" s="2004">
        <v>0</v>
      </c>
      <c r="CJ553" s="2004" t="s">
        <v>2337</v>
      </c>
      <c r="CK553" s="2004">
        <v>0</v>
      </c>
      <c r="CL553" s="2004">
        <v>0</v>
      </c>
      <c r="CM553" s="2004">
        <v>0</v>
      </c>
      <c r="CN553" s="2004">
        <v>0</v>
      </c>
      <c r="CP553" s="2004" t="s">
        <v>12207</v>
      </c>
    </row>
    <row r="554" spans="1:94">
      <c r="A554" s="2004" t="s">
        <v>9112</v>
      </c>
      <c r="B554" s="2004" t="s">
        <v>12208</v>
      </c>
      <c r="C554" s="2004" t="s">
        <v>9047</v>
      </c>
      <c r="D554" s="2004" t="s">
        <v>1628</v>
      </c>
      <c r="E554" s="2004" t="s">
        <v>9194</v>
      </c>
      <c r="F554" s="2004" t="s">
        <v>10828</v>
      </c>
      <c r="G554" s="2004" t="s">
        <v>9250</v>
      </c>
      <c r="H554" s="2004" t="s">
        <v>10829</v>
      </c>
      <c r="I554" s="2004" t="s">
        <v>10830</v>
      </c>
      <c r="J554" s="2004" t="s">
        <v>9199</v>
      </c>
      <c r="K554" s="2004" t="s">
        <v>9200</v>
      </c>
      <c r="L554" s="2004" t="s">
        <v>2337</v>
      </c>
      <c r="M554" s="2004"/>
      <c r="N554" s="2004" t="s">
        <v>9290</v>
      </c>
      <c r="O554" s="2004" t="s">
        <v>734</v>
      </c>
      <c r="P554" s="2004" t="s">
        <v>9387</v>
      </c>
      <c r="Q554" s="516">
        <v>0</v>
      </c>
      <c r="R554" s="2004"/>
      <c r="S554" s="2004"/>
      <c r="T554" s="2004"/>
      <c r="U554" s="2004"/>
      <c r="V554" s="2004"/>
      <c r="W554" s="2004"/>
      <c r="X554" s="2004"/>
      <c r="Y554" s="2004"/>
      <c r="Z554" s="2004"/>
      <c r="AA554" s="2004"/>
      <c r="AB554" s="2004"/>
      <c r="AC554" s="2004"/>
      <c r="AD554" s="2004"/>
      <c r="AE554" s="2004"/>
      <c r="AF554" s="2004"/>
      <c r="AG554" s="2004"/>
      <c r="AH554" s="2004"/>
      <c r="AI554" s="2004"/>
      <c r="AJ554" s="2004"/>
      <c r="AK554" s="2004"/>
      <c r="AL554" s="2004"/>
      <c r="AM554" s="2004"/>
      <c r="AN554" s="2004"/>
      <c r="AO554" s="2004"/>
      <c r="AP554" s="2004"/>
      <c r="AQ554" s="2004"/>
      <c r="AR554" s="2004"/>
      <c r="AS554" s="2004"/>
      <c r="AT554" s="2004"/>
      <c r="AU554" s="2004"/>
      <c r="AV554" s="2004"/>
      <c r="AW554" s="2004"/>
      <c r="AX554" s="2004"/>
      <c r="AY554" s="2004"/>
      <c r="AZ554" s="2004"/>
      <c r="BA554" s="2004"/>
      <c r="BB554" s="2004"/>
      <c r="BC554" s="2004"/>
      <c r="BD554" s="2004"/>
      <c r="BE554" s="2004"/>
      <c r="BF554" s="2004"/>
      <c r="BG554" s="2004"/>
      <c r="BH554" s="2004"/>
      <c r="BI554" s="2004"/>
      <c r="BJ554" s="2004"/>
      <c r="BK554" s="2004"/>
      <c r="BL554" s="2004"/>
      <c r="BM554" s="2004"/>
      <c r="BN554" s="2004"/>
      <c r="BO554" s="2004"/>
      <c r="BQ554" s="2004"/>
      <c r="BR554" s="2004"/>
      <c r="BS554" s="2004"/>
      <c r="BT554" s="2004"/>
      <c r="BU554" s="2004"/>
      <c r="BV554" s="2004"/>
      <c r="BW554" s="2004"/>
      <c r="BX554" s="2004"/>
      <c r="BY554" s="2004"/>
      <c r="BZ554" s="2004"/>
      <c r="CA554" s="2004"/>
      <c r="CB554" s="2004"/>
      <c r="CC554" s="2004" t="s">
        <v>2335</v>
      </c>
      <c r="CH554" s="2004"/>
      <c r="CI554" s="2004" t="s">
        <v>10796</v>
      </c>
      <c r="CJ554" s="2004" t="s">
        <v>2335</v>
      </c>
      <c r="CK554" s="2004" t="s">
        <v>2339</v>
      </c>
      <c r="CL554" s="2004">
        <v>7.2499999999999995E-4</v>
      </c>
      <c r="CM554" s="2004">
        <v>0</v>
      </c>
      <c r="CN554" s="2004">
        <v>0</v>
      </c>
      <c r="CP554" s="2004" t="s">
        <v>12209</v>
      </c>
    </row>
    <row r="555" spans="1:94">
      <c r="A555" s="2004" t="s">
        <v>9112</v>
      </c>
      <c r="B555" s="2004" t="s">
        <v>12210</v>
      </c>
      <c r="C555" s="2004" t="s">
        <v>9047</v>
      </c>
      <c r="D555" s="2004" t="s">
        <v>1628</v>
      </c>
      <c r="E555" s="2004" t="s">
        <v>9194</v>
      </c>
      <c r="F555" s="2004" t="s">
        <v>10833</v>
      </c>
      <c r="G555" s="2004" t="s">
        <v>9337</v>
      </c>
      <c r="H555" s="2004" t="s">
        <v>10839</v>
      </c>
      <c r="I555" s="2004" t="s">
        <v>10840</v>
      </c>
      <c r="J555" s="2004" t="s">
        <v>9230</v>
      </c>
      <c r="K555" s="2004"/>
      <c r="L555" s="2004"/>
      <c r="M555" s="2004"/>
      <c r="N555" s="2004" t="s">
        <v>9364</v>
      </c>
      <c r="O555" s="2004" t="s">
        <v>734</v>
      </c>
      <c r="P555" s="2004" t="s">
        <v>10841</v>
      </c>
      <c r="Q555" s="516">
        <v>0</v>
      </c>
      <c r="R555" s="2004"/>
      <c r="S555" s="2004"/>
      <c r="T555" s="2004"/>
      <c r="U555" s="2004"/>
      <c r="V555" s="2004"/>
      <c r="W555" s="2004"/>
      <c r="X555" s="2004"/>
      <c r="Y555" s="2004"/>
      <c r="Z555" s="2004"/>
      <c r="AA555" s="2004"/>
      <c r="AB555" s="2004"/>
      <c r="AC555" s="2004"/>
      <c r="AD555" s="2004"/>
      <c r="AE555" s="2004"/>
      <c r="AF555" s="2004"/>
      <c r="AG555" s="2004"/>
      <c r="AH555" s="2004"/>
      <c r="AI555" s="2004"/>
      <c r="AJ555" s="2004"/>
      <c r="AK555" s="2004"/>
      <c r="AL555" s="2004"/>
      <c r="AM555" s="2004"/>
      <c r="AN555" s="2004"/>
      <c r="AO555" s="2004"/>
      <c r="AP555" s="2004"/>
      <c r="AQ555" s="2004"/>
      <c r="AR555" s="2004"/>
      <c r="AS555" s="2004"/>
      <c r="AT555" s="2004"/>
      <c r="AU555" s="2004"/>
      <c r="AV555" s="2004"/>
      <c r="AW555" s="2004"/>
      <c r="AX555" s="2004"/>
      <c r="AY555" s="2004"/>
      <c r="AZ555" s="2004"/>
      <c r="BA555" s="2004"/>
      <c r="BB555" s="2004"/>
      <c r="BC555" s="2004"/>
      <c r="BD555" s="2004"/>
      <c r="BE555" s="2004"/>
      <c r="BF555" s="2004"/>
      <c r="BG555" s="2004"/>
      <c r="BH555" s="2004"/>
      <c r="BI555" s="2004"/>
      <c r="BJ555" s="2004"/>
      <c r="BK555" s="2004"/>
      <c r="BL555" s="2004"/>
      <c r="BM555" s="2004"/>
      <c r="BN555" s="2004"/>
      <c r="BO555" s="2004"/>
      <c r="BQ555" s="2004"/>
      <c r="BR555" s="2004"/>
      <c r="BS555" s="2004"/>
      <c r="BT555" s="2004"/>
      <c r="BU555" s="2004"/>
      <c r="BV555" s="2004"/>
      <c r="BW555" s="2004"/>
      <c r="BX555" s="2004"/>
      <c r="BY555" s="2004"/>
      <c r="BZ555" s="2004"/>
      <c r="CA555" s="2004"/>
      <c r="CB555" s="2004"/>
      <c r="CC555" s="2004" t="s">
        <v>2335</v>
      </c>
      <c r="CH555" s="2004"/>
      <c r="CI555" s="2004">
        <v>97.694825362658506</v>
      </c>
      <c r="CJ555" s="2004" t="s">
        <v>2334</v>
      </c>
      <c r="CK555" s="2004">
        <v>0</v>
      </c>
      <c r="CL555" s="2004">
        <v>0</v>
      </c>
      <c r="CM555" s="2004">
        <v>0</v>
      </c>
      <c r="CN555" s="2004">
        <v>0</v>
      </c>
      <c r="CP555" s="2004" t="s">
        <v>12211</v>
      </c>
    </row>
    <row r="556" spans="1:94">
      <c r="A556" s="2004" t="s">
        <v>9112</v>
      </c>
      <c r="B556" s="2004" t="s">
        <v>12212</v>
      </c>
      <c r="C556" s="2004" t="s">
        <v>9047</v>
      </c>
      <c r="D556" s="2004" t="s">
        <v>1628</v>
      </c>
      <c r="E556" s="2004" t="s">
        <v>9194</v>
      </c>
      <c r="F556" s="2004" t="s">
        <v>10854</v>
      </c>
      <c r="G556" s="2004" t="s">
        <v>9354</v>
      </c>
      <c r="H556" s="2004" t="s">
        <v>10855</v>
      </c>
      <c r="I556" s="2004" t="s">
        <v>10856</v>
      </c>
      <c r="J556" s="2004" t="s">
        <v>9199</v>
      </c>
      <c r="K556" s="2004" t="s">
        <v>9200</v>
      </c>
      <c r="L556" s="2004" t="s">
        <v>2337</v>
      </c>
      <c r="M556" s="2004"/>
      <c r="N556" s="2004" t="s">
        <v>9372</v>
      </c>
      <c r="O556" s="2004" t="s">
        <v>766</v>
      </c>
      <c r="P556" s="2004" t="s">
        <v>9870</v>
      </c>
      <c r="Q556" s="516">
        <v>3</v>
      </c>
      <c r="R556" s="2004"/>
      <c r="S556" s="2004"/>
      <c r="T556" s="2004"/>
      <c r="U556" s="2004"/>
      <c r="V556" s="2004"/>
      <c r="W556" s="2004"/>
      <c r="X556" s="2004"/>
      <c r="Y556" s="2004"/>
      <c r="Z556" s="2004"/>
      <c r="AA556" s="2004"/>
      <c r="AB556" s="2004"/>
      <c r="AC556" s="2004"/>
      <c r="AD556" s="2004"/>
      <c r="AE556" s="2004"/>
      <c r="AF556" s="2004"/>
      <c r="AG556" s="2004"/>
      <c r="AH556" s="2004"/>
      <c r="AI556" s="2004"/>
      <c r="AJ556" s="2004"/>
      <c r="AK556" s="2004"/>
      <c r="AL556" s="2004"/>
      <c r="AM556" s="2004"/>
      <c r="AN556" s="2004"/>
      <c r="AO556" s="2004"/>
      <c r="AP556" s="2004"/>
      <c r="AQ556" s="2004"/>
      <c r="AR556" s="2004"/>
      <c r="AS556" s="2004"/>
      <c r="AT556" s="2004"/>
      <c r="AU556" s="2004"/>
      <c r="AV556" s="2004"/>
      <c r="AW556" s="2004"/>
      <c r="AX556" s="2004"/>
      <c r="AY556" s="2004"/>
      <c r="AZ556" s="2004"/>
      <c r="BA556" s="2004"/>
      <c r="BB556" s="2004"/>
      <c r="BC556" s="2004"/>
      <c r="BD556" s="2004"/>
      <c r="BE556" s="2004"/>
      <c r="BF556" s="2004"/>
      <c r="BG556" s="2004"/>
      <c r="BH556" s="2004"/>
      <c r="BI556" s="2004"/>
      <c r="BJ556" s="2004"/>
      <c r="BK556" s="2004"/>
      <c r="BL556" s="2004"/>
      <c r="BM556" s="2004"/>
      <c r="BN556" s="2004"/>
      <c r="BO556" s="2004"/>
      <c r="BQ556" s="2004"/>
      <c r="BR556" s="2004"/>
      <c r="BS556" s="2004"/>
      <c r="BT556" s="2004"/>
      <c r="BU556" s="2004"/>
      <c r="BV556" s="2004"/>
      <c r="BW556" s="2004"/>
      <c r="BX556" s="2004"/>
      <c r="BY556" s="2004"/>
      <c r="BZ556" s="2004"/>
      <c r="CA556" s="2004"/>
      <c r="CB556" s="2004"/>
      <c r="CC556" s="2004" t="s">
        <v>2335</v>
      </c>
      <c r="CH556" s="2004"/>
      <c r="CI556" s="2004">
        <v>1</v>
      </c>
      <c r="CJ556" s="2004" t="s">
        <v>2337</v>
      </c>
      <c r="CK556" s="2004">
        <v>0</v>
      </c>
      <c r="CL556" s="2004">
        <v>0</v>
      </c>
      <c r="CM556" s="2004">
        <v>0</v>
      </c>
      <c r="CN556" s="2004">
        <v>0</v>
      </c>
      <c r="CP556" s="2004" t="s">
        <v>12213</v>
      </c>
    </row>
    <row r="557" spans="1:94">
      <c r="A557" s="2004" t="s">
        <v>9112</v>
      </c>
      <c r="B557" s="2004" t="s">
        <v>12214</v>
      </c>
      <c r="C557" s="2004" t="s">
        <v>9047</v>
      </c>
      <c r="D557" s="2004" t="s">
        <v>1628</v>
      </c>
      <c r="E557" s="2004" t="s">
        <v>9194</v>
      </c>
      <c r="F557" s="2004" t="s">
        <v>10859</v>
      </c>
      <c r="G557" s="2004" t="s">
        <v>9369</v>
      </c>
      <c r="H557" s="2004" t="s">
        <v>10860</v>
      </c>
      <c r="I557" s="2004" t="s">
        <v>10861</v>
      </c>
      <c r="J557" s="2004" t="s">
        <v>9230</v>
      </c>
      <c r="K557" s="2004"/>
      <c r="L557" s="2004"/>
      <c r="M557" s="2004"/>
      <c r="N557" s="2004" t="s">
        <v>10282</v>
      </c>
      <c r="O557" s="2004" t="s">
        <v>766</v>
      </c>
      <c r="P557" s="2004" t="s">
        <v>10862</v>
      </c>
      <c r="Q557" s="516">
        <v>0</v>
      </c>
      <c r="R557" s="2004"/>
      <c r="S557" s="2004"/>
      <c r="T557" s="2004"/>
      <c r="U557" s="2004"/>
      <c r="V557" s="2004"/>
      <c r="W557" s="2004"/>
      <c r="X557" s="2004"/>
      <c r="Y557" s="2004"/>
      <c r="Z557" s="2004"/>
      <c r="AA557" s="2004"/>
      <c r="AB557" s="2004"/>
      <c r="AC557" s="2004"/>
      <c r="AD557" s="2004"/>
      <c r="AE557" s="2004"/>
      <c r="AF557" s="2004"/>
      <c r="AG557" s="2004"/>
      <c r="AH557" s="2004"/>
      <c r="AI557" s="2004"/>
      <c r="AJ557" s="2004"/>
      <c r="AK557" s="2004"/>
      <c r="AL557" s="2004"/>
      <c r="AM557" s="2004"/>
      <c r="AN557" s="2004"/>
      <c r="AO557" s="2004"/>
      <c r="AP557" s="2004"/>
      <c r="AQ557" s="2004"/>
      <c r="AR557" s="2004"/>
      <c r="AS557" s="2004"/>
      <c r="AT557" s="2004"/>
      <c r="AU557" s="2004"/>
      <c r="AV557" s="2004"/>
      <c r="AW557" s="2004"/>
      <c r="AX557" s="2004"/>
      <c r="AY557" s="2004"/>
      <c r="AZ557" s="2004"/>
      <c r="BA557" s="2004"/>
      <c r="BB557" s="2004"/>
      <c r="BC557" s="2004"/>
      <c r="BD557" s="2004"/>
      <c r="BE557" s="2004"/>
      <c r="BF557" s="2004"/>
      <c r="BG557" s="2004"/>
      <c r="BH557" s="2004"/>
      <c r="BI557" s="2004"/>
      <c r="BJ557" s="2004"/>
      <c r="BK557" s="2004"/>
      <c r="BL557" s="2004"/>
      <c r="BM557" s="2004"/>
      <c r="BN557" s="2004"/>
      <c r="BO557" s="2004"/>
      <c r="BQ557" s="2004"/>
      <c r="BR557" s="2004"/>
      <c r="BS557" s="2004"/>
      <c r="BT557" s="2004"/>
      <c r="BU557" s="2004"/>
      <c r="BV557" s="2004"/>
      <c r="BW557" s="2004"/>
      <c r="BX557" s="2004"/>
      <c r="BY557" s="2004"/>
      <c r="BZ557" s="2004"/>
      <c r="CA557" s="2004"/>
      <c r="CB557" s="2004"/>
      <c r="CC557" s="2004" t="s">
        <v>2335</v>
      </c>
      <c r="CH557" s="2004"/>
      <c r="CI557" s="2004">
        <v>534</v>
      </c>
      <c r="CJ557" s="2004" t="s">
        <v>2334</v>
      </c>
      <c r="CK557" s="2004">
        <v>0</v>
      </c>
      <c r="CL557" s="2004">
        <v>0</v>
      </c>
      <c r="CM557" s="2004">
        <v>0</v>
      </c>
      <c r="CN557" s="2004">
        <v>0</v>
      </c>
      <c r="CP557" s="2004" t="s">
        <v>12215</v>
      </c>
    </row>
    <row r="558" spans="1:94">
      <c r="A558" s="2004" t="s">
        <v>9112</v>
      </c>
      <c r="B558" s="2004" t="s">
        <v>12216</v>
      </c>
      <c r="C558" s="2004" t="s">
        <v>9047</v>
      </c>
      <c r="D558" s="2004" t="s">
        <v>1629</v>
      </c>
      <c r="E558" s="2004" t="s">
        <v>9410</v>
      </c>
      <c r="F558" s="2004" t="s">
        <v>10865</v>
      </c>
      <c r="G558" s="2004" t="s">
        <v>9883</v>
      </c>
      <c r="H558" s="2004" t="s">
        <v>10866</v>
      </c>
      <c r="I558" s="2004" t="s">
        <v>10867</v>
      </c>
      <c r="J558" s="2004" t="s">
        <v>9199</v>
      </c>
      <c r="K558" s="2004" t="s">
        <v>9200</v>
      </c>
      <c r="L558" s="2004" t="s">
        <v>2337</v>
      </c>
      <c r="M558" s="2004" t="s">
        <v>2334</v>
      </c>
      <c r="N558" s="2004" t="s">
        <v>9414</v>
      </c>
      <c r="O558" s="2004" t="s">
        <v>766</v>
      </c>
      <c r="P558" s="2004" t="s">
        <v>10537</v>
      </c>
      <c r="Q558" s="516">
        <v>0</v>
      </c>
      <c r="R558" s="2004"/>
      <c r="S558" s="2004"/>
      <c r="T558" s="2004"/>
      <c r="U558" s="2004"/>
      <c r="V558" s="2004"/>
      <c r="W558" s="2004"/>
      <c r="X558" s="2004"/>
      <c r="Y558" s="2004"/>
      <c r="Z558" s="2004"/>
      <c r="AA558" s="2004"/>
      <c r="AB558" s="2004"/>
      <c r="AC558" s="2004"/>
      <c r="AD558" s="2004"/>
      <c r="AE558" s="2004"/>
      <c r="AF558" s="2004"/>
      <c r="AG558" s="2004"/>
      <c r="AH558" s="2004"/>
      <c r="AI558" s="2004"/>
      <c r="AJ558" s="2004"/>
      <c r="AK558" s="2004"/>
      <c r="AL558" s="2004"/>
      <c r="AM558" s="2004"/>
      <c r="AN558" s="2004"/>
      <c r="AO558" s="2004"/>
      <c r="AP558" s="2004"/>
      <c r="AQ558" s="2004"/>
      <c r="AR558" s="2004"/>
      <c r="AS558" s="2004"/>
      <c r="AT558" s="2004"/>
      <c r="AU558" s="2004"/>
      <c r="AV558" s="2004"/>
      <c r="AW558" s="2004"/>
      <c r="AX558" s="2004"/>
      <c r="AY558" s="2004"/>
      <c r="AZ558" s="2004"/>
      <c r="BA558" s="2004"/>
      <c r="BB558" s="2004"/>
      <c r="BC558" s="2004"/>
      <c r="BD558" s="2004"/>
      <c r="BE558" s="2004"/>
      <c r="BF558" s="2004"/>
      <c r="BG558" s="2004"/>
      <c r="BH558" s="2004"/>
      <c r="BI558" s="2004"/>
      <c r="BJ558" s="2004"/>
      <c r="BK558" s="2004"/>
      <c r="BL558" s="2004"/>
      <c r="BM558" s="2004"/>
      <c r="BN558" s="2004"/>
      <c r="BO558" s="2004"/>
      <c r="BQ558" s="2004"/>
      <c r="BR558" s="2004"/>
      <c r="BS558" s="2004"/>
      <c r="BT558" s="2004"/>
      <c r="BU558" s="2004"/>
      <c r="BV558" s="2004"/>
      <c r="BW558" s="2004"/>
      <c r="BX558" s="2004"/>
      <c r="BY558" s="2004"/>
      <c r="BZ558" s="2004"/>
      <c r="CA558" s="2004"/>
      <c r="CB558" s="2004"/>
      <c r="CC558" s="2004" t="s">
        <v>2335</v>
      </c>
      <c r="CH558" s="2004"/>
      <c r="CI558" s="2004">
        <v>4</v>
      </c>
      <c r="CJ558" s="2004" t="s">
        <v>2337</v>
      </c>
      <c r="CK558" s="2004" t="s">
        <v>2339</v>
      </c>
      <c r="CL558" s="2004">
        <v>1.2329999999999999E-3</v>
      </c>
      <c r="CM558" s="2004">
        <v>0</v>
      </c>
      <c r="CN558" s="2004">
        <v>0</v>
      </c>
      <c r="CP558" s="2004" t="s">
        <v>12217</v>
      </c>
    </row>
    <row r="559" spans="1:94">
      <c r="A559" s="2004" t="s">
        <v>9112</v>
      </c>
      <c r="B559" s="2004" t="s">
        <v>12218</v>
      </c>
      <c r="C559" s="2004" t="s">
        <v>9047</v>
      </c>
      <c r="D559" s="2004" t="s">
        <v>1629</v>
      </c>
      <c r="E559" s="2004" t="s">
        <v>9410</v>
      </c>
      <c r="F559" s="2004" t="s">
        <v>10865</v>
      </c>
      <c r="G559" s="2004" t="s">
        <v>9411</v>
      </c>
      <c r="H559" s="2004" t="s">
        <v>10870</v>
      </c>
      <c r="I559" s="2004" t="s">
        <v>10871</v>
      </c>
      <c r="J559" s="2004" t="s">
        <v>9199</v>
      </c>
      <c r="K559" s="2004" t="s">
        <v>9200</v>
      </c>
      <c r="L559" s="2004" t="s">
        <v>2337</v>
      </c>
      <c r="M559" s="2004" t="s">
        <v>2334</v>
      </c>
      <c r="N559" s="2004" t="s">
        <v>9414</v>
      </c>
      <c r="O559" s="2004" t="s">
        <v>766</v>
      </c>
      <c r="P559" s="2004" t="s">
        <v>10542</v>
      </c>
      <c r="Q559" s="516">
        <v>0</v>
      </c>
      <c r="R559" s="2004"/>
      <c r="S559" s="2004"/>
      <c r="T559" s="2004"/>
      <c r="U559" s="2004"/>
      <c r="V559" s="2004"/>
      <c r="W559" s="2004"/>
      <c r="X559" s="2004"/>
      <c r="Y559" s="2004"/>
      <c r="Z559" s="2004"/>
      <c r="AA559" s="2004"/>
      <c r="AB559" s="2004"/>
      <c r="AC559" s="2004"/>
      <c r="AD559" s="2004"/>
      <c r="AE559" s="2004"/>
      <c r="AF559" s="2004"/>
      <c r="AG559" s="2004"/>
      <c r="AH559" s="2004"/>
      <c r="AI559" s="2004"/>
      <c r="AJ559" s="2004"/>
      <c r="AK559" s="2004"/>
      <c r="AL559" s="2004"/>
      <c r="AM559" s="2004"/>
      <c r="AN559" s="2004"/>
      <c r="AO559" s="2004"/>
      <c r="AP559" s="2004"/>
      <c r="AQ559" s="2004"/>
      <c r="AR559" s="2004"/>
      <c r="AS559" s="2004"/>
      <c r="AT559" s="2004"/>
      <c r="AU559" s="2004"/>
      <c r="AV559" s="2004"/>
      <c r="AW559" s="2004"/>
      <c r="AX559" s="2004"/>
      <c r="AY559" s="2004"/>
      <c r="AZ559" s="2004"/>
      <c r="BA559" s="2004"/>
      <c r="BB559" s="2004"/>
      <c r="BC559" s="2004"/>
      <c r="BD559" s="2004"/>
      <c r="BE559" s="2004"/>
      <c r="BF559" s="2004"/>
      <c r="BG559" s="2004"/>
      <c r="BH559" s="2004"/>
      <c r="BI559" s="2004"/>
      <c r="BJ559" s="2004"/>
      <c r="BK559" s="2004"/>
      <c r="BL559" s="2004"/>
      <c r="BM559" s="2004"/>
      <c r="BN559" s="2004"/>
      <c r="BO559" s="2004"/>
      <c r="BQ559" s="2004"/>
      <c r="BR559" s="2004"/>
      <c r="BS559" s="2004"/>
      <c r="BT559" s="2004"/>
      <c r="BU559" s="2004"/>
      <c r="BV559" s="2004"/>
      <c r="BW559" s="2004"/>
      <c r="BX559" s="2004"/>
      <c r="BY559" s="2004"/>
      <c r="BZ559" s="2004"/>
      <c r="CA559" s="2004"/>
      <c r="CB559" s="2004"/>
      <c r="CC559" s="2004" t="s">
        <v>2335</v>
      </c>
      <c r="CH559" s="2004"/>
      <c r="CI559" s="2004">
        <v>29</v>
      </c>
      <c r="CJ559" s="2004" t="s">
        <v>2337</v>
      </c>
      <c r="CK559" s="2004" t="s">
        <v>2339</v>
      </c>
      <c r="CL559" s="2004">
        <v>2.0576000000000001E-2</v>
      </c>
      <c r="CM559" s="2004">
        <v>0</v>
      </c>
      <c r="CN559" s="2004">
        <v>0</v>
      </c>
      <c r="CP559" s="2004" t="s">
        <v>12219</v>
      </c>
    </row>
    <row r="560" spans="1:94">
      <c r="A560" s="2004" t="s">
        <v>9112</v>
      </c>
      <c r="B560" s="2004" t="s">
        <v>12220</v>
      </c>
      <c r="C560" s="2004" t="s">
        <v>9047</v>
      </c>
      <c r="D560" s="2004" t="s">
        <v>1629</v>
      </c>
      <c r="E560" s="2004" t="s">
        <v>9410</v>
      </c>
      <c r="F560" s="2004" t="s">
        <v>10865</v>
      </c>
      <c r="G560" s="2004" t="s">
        <v>9418</v>
      </c>
      <c r="H560" s="2004" t="s">
        <v>10874</v>
      </c>
      <c r="I560" s="2004" t="s">
        <v>10875</v>
      </c>
      <c r="J560" s="2004" t="s">
        <v>9199</v>
      </c>
      <c r="K560" s="2004" t="s">
        <v>9200</v>
      </c>
      <c r="L560" s="2004"/>
      <c r="M560" s="2004"/>
      <c r="N560" s="2004" t="s">
        <v>10208</v>
      </c>
      <c r="O560" s="2004" t="s">
        <v>766</v>
      </c>
      <c r="P560" s="2004" t="s">
        <v>10876</v>
      </c>
      <c r="Q560" s="516">
        <v>0</v>
      </c>
      <c r="R560" s="2004"/>
      <c r="S560" s="2004"/>
      <c r="T560" s="2004"/>
      <c r="U560" s="2004"/>
      <c r="V560" s="2004"/>
      <c r="W560" s="2004"/>
      <c r="X560" s="2004"/>
      <c r="Y560" s="2004"/>
      <c r="Z560" s="2004"/>
      <c r="AA560" s="2004"/>
      <c r="AB560" s="2004"/>
      <c r="AC560" s="2004"/>
      <c r="AD560" s="2004"/>
      <c r="AE560" s="2004"/>
      <c r="AF560" s="2004"/>
      <c r="AG560" s="2004"/>
      <c r="AH560" s="2004"/>
      <c r="AI560" s="2004"/>
      <c r="AJ560" s="2004"/>
      <c r="AK560" s="2004"/>
      <c r="AL560" s="2004"/>
      <c r="AM560" s="2004"/>
      <c r="AN560" s="2004"/>
      <c r="AO560" s="2004"/>
      <c r="AP560" s="2004"/>
      <c r="AQ560" s="2004"/>
      <c r="AR560" s="2004"/>
      <c r="AS560" s="2004"/>
      <c r="AT560" s="2004"/>
      <c r="AU560" s="2004"/>
      <c r="AV560" s="2004"/>
      <c r="AW560" s="2004"/>
      <c r="AX560" s="2004"/>
      <c r="AY560" s="2004"/>
      <c r="AZ560" s="2004"/>
      <c r="BA560" s="2004"/>
      <c r="BB560" s="2004"/>
      <c r="BC560" s="2004"/>
      <c r="BD560" s="2004"/>
      <c r="BE560" s="2004"/>
      <c r="BF560" s="2004"/>
      <c r="BG560" s="2004"/>
      <c r="BH560" s="2004"/>
      <c r="BI560" s="2004"/>
      <c r="BJ560" s="2004"/>
      <c r="BK560" s="2004"/>
      <c r="BL560" s="2004"/>
      <c r="BM560" s="2004"/>
      <c r="BN560" s="2004"/>
      <c r="BO560" s="2004"/>
      <c r="BQ560" s="2004"/>
      <c r="BR560" s="2004"/>
      <c r="BS560" s="2004"/>
      <c r="BT560" s="2004"/>
      <c r="BU560" s="2004"/>
      <c r="BV560" s="2004"/>
      <c r="BW560" s="2004"/>
      <c r="BX560" s="2004"/>
      <c r="BY560" s="2004"/>
      <c r="BZ560" s="2004"/>
      <c r="CA560" s="2004"/>
      <c r="CB560" s="2004"/>
      <c r="CC560" s="2004" t="s">
        <v>2335</v>
      </c>
      <c r="CH560" s="2004"/>
      <c r="CI560" s="2004">
        <v>0</v>
      </c>
      <c r="CJ560" s="2004" t="s">
        <v>2337</v>
      </c>
      <c r="CK560" s="2004">
        <v>0</v>
      </c>
      <c r="CL560" s="2004">
        <v>0</v>
      </c>
      <c r="CM560" s="2004">
        <v>0</v>
      </c>
      <c r="CN560" s="2004">
        <v>0</v>
      </c>
      <c r="CP560" s="2004" t="s">
        <v>12221</v>
      </c>
    </row>
    <row r="561" spans="1:94">
      <c r="A561" s="2004" t="s">
        <v>9112</v>
      </c>
      <c r="B561" s="2004" t="s">
        <v>12222</v>
      </c>
      <c r="C561" s="2004" t="s">
        <v>9047</v>
      </c>
      <c r="D561" s="2004" t="s">
        <v>1629</v>
      </c>
      <c r="E561" s="2004" t="s">
        <v>9410</v>
      </c>
      <c r="F561" s="2004" t="s">
        <v>10865</v>
      </c>
      <c r="G561" s="2004" t="s">
        <v>9424</v>
      </c>
      <c r="H561" s="2004" t="s">
        <v>10879</v>
      </c>
      <c r="I561" s="2004" t="s">
        <v>10880</v>
      </c>
      <c r="J561" s="2004" t="s">
        <v>9210</v>
      </c>
      <c r="K561" s="2004" t="s">
        <v>9545</v>
      </c>
      <c r="L561" s="2004"/>
      <c r="M561" s="2004"/>
      <c r="N561" s="2004" t="s">
        <v>9477</v>
      </c>
      <c r="O561" s="2004" t="s">
        <v>766</v>
      </c>
      <c r="P561" s="2004" t="s">
        <v>10881</v>
      </c>
      <c r="Q561" s="516">
        <v>0</v>
      </c>
      <c r="R561" s="2004"/>
      <c r="S561" s="2004"/>
      <c r="T561" s="2004"/>
      <c r="U561" s="2004"/>
      <c r="V561" s="2004"/>
      <c r="W561" s="2004"/>
      <c r="X561" s="2004"/>
      <c r="Y561" s="2004"/>
      <c r="Z561" s="2004"/>
      <c r="AA561" s="2004"/>
      <c r="AB561" s="2004"/>
      <c r="AC561" s="2004"/>
      <c r="AD561" s="2004"/>
      <c r="AE561" s="2004"/>
      <c r="AF561" s="2004"/>
      <c r="AG561" s="2004"/>
      <c r="AH561" s="2004"/>
      <c r="AI561" s="2004"/>
      <c r="AJ561" s="2004"/>
      <c r="AK561" s="2004"/>
      <c r="AL561" s="2004"/>
      <c r="AM561" s="2004"/>
      <c r="AN561" s="2004"/>
      <c r="AO561" s="2004"/>
      <c r="AP561" s="2004"/>
      <c r="AQ561" s="2004"/>
      <c r="AR561" s="2004"/>
      <c r="AS561" s="2004"/>
      <c r="AT561" s="2004"/>
      <c r="AU561" s="2004"/>
      <c r="AV561" s="2004"/>
      <c r="AW561" s="2004"/>
      <c r="AX561" s="2004"/>
      <c r="AY561" s="2004"/>
      <c r="AZ561" s="2004"/>
      <c r="BA561" s="2004"/>
      <c r="BB561" s="2004"/>
      <c r="BC561" s="2004"/>
      <c r="BD561" s="2004"/>
      <c r="BE561" s="2004"/>
      <c r="BF561" s="2004"/>
      <c r="BG561" s="2004"/>
      <c r="BH561" s="2004"/>
      <c r="BI561" s="2004"/>
      <c r="BJ561" s="2004"/>
      <c r="BK561" s="2004"/>
      <c r="BL561" s="2004"/>
      <c r="BM561" s="2004"/>
      <c r="BN561" s="2004"/>
      <c r="BO561" s="2004"/>
      <c r="BQ561" s="2004"/>
      <c r="BR561" s="2004"/>
      <c r="BS561" s="2004"/>
      <c r="BT561" s="2004"/>
      <c r="BU561" s="2004"/>
      <c r="BV561" s="2004"/>
      <c r="BW561" s="2004"/>
      <c r="BX561" s="2004"/>
      <c r="BY561" s="2004"/>
      <c r="BZ561" s="2004"/>
      <c r="CA561" s="2004"/>
      <c r="CB561" s="2004"/>
      <c r="CC561" s="2004" t="s">
        <v>2335</v>
      </c>
      <c r="CH561" s="2004"/>
      <c r="CI561" s="2004">
        <v>252</v>
      </c>
      <c r="CJ561" s="2004" t="s">
        <v>2334</v>
      </c>
      <c r="CK561" s="2004">
        <v>0</v>
      </c>
      <c r="CL561" s="2004">
        <v>0</v>
      </c>
      <c r="CM561" s="2004" t="s">
        <v>2336</v>
      </c>
      <c r="CN561" s="2004">
        <v>-8.10081E-2</v>
      </c>
      <c r="CP561" s="2004" t="s">
        <v>12223</v>
      </c>
    </row>
    <row r="562" spans="1:94">
      <c r="A562" s="2004" t="s">
        <v>9112</v>
      </c>
      <c r="B562" s="2004" t="s">
        <v>12224</v>
      </c>
      <c r="C562" s="2004" t="s">
        <v>9047</v>
      </c>
      <c r="D562" s="2004" t="s">
        <v>1629</v>
      </c>
      <c r="E562" s="2004" t="s">
        <v>9410</v>
      </c>
      <c r="F562" s="2004" t="s">
        <v>10865</v>
      </c>
      <c r="G562" s="2004" t="s">
        <v>10889</v>
      </c>
      <c r="H562" s="2004" t="s">
        <v>10890</v>
      </c>
      <c r="I562" s="2004" t="s">
        <v>10891</v>
      </c>
      <c r="J562" s="2004" t="s">
        <v>9230</v>
      </c>
      <c r="K562" s="2004"/>
      <c r="L562" s="2004"/>
      <c r="M562" s="2004"/>
      <c r="N562" s="2004" t="s">
        <v>9364</v>
      </c>
      <c r="O562" s="2004" t="s">
        <v>766</v>
      </c>
      <c r="P562" s="2004" t="s">
        <v>10892</v>
      </c>
      <c r="Q562" s="516">
        <v>0</v>
      </c>
      <c r="R562" s="2004"/>
      <c r="S562" s="2004"/>
      <c r="T562" s="2004"/>
      <c r="U562" s="2004"/>
      <c r="V562" s="2004"/>
      <c r="W562" s="2004"/>
      <c r="X562" s="2004"/>
      <c r="Y562" s="2004"/>
      <c r="Z562" s="2004"/>
      <c r="AA562" s="2004"/>
      <c r="AB562" s="2004"/>
      <c r="AC562" s="2004"/>
      <c r="AD562" s="2004"/>
      <c r="AE562" s="2004"/>
      <c r="AF562" s="2004"/>
      <c r="AG562" s="2004"/>
      <c r="AH562" s="2004"/>
      <c r="AI562" s="2004"/>
      <c r="AJ562" s="2004"/>
      <c r="AK562" s="2004"/>
      <c r="AL562" s="2004"/>
      <c r="AM562" s="2004"/>
      <c r="AN562" s="2004"/>
      <c r="AO562" s="2004"/>
      <c r="AP562" s="2004"/>
      <c r="AQ562" s="2004"/>
      <c r="AR562" s="2004"/>
      <c r="AS562" s="2004"/>
      <c r="AT562" s="2004"/>
      <c r="AU562" s="2004"/>
      <c r="AV562" s="2004"/>
      <c r="AW562" s="2004"/>
      <c r="AX562" s="2004"/>
      <c r="AY562" s="2004"/>
      <c r="AZ562" s="2004"/>
      <c r="BA562" s="2004"/>
      <c r="BB562" s="2004"/>
      <c r="BC562" s="2004"/>
      <c r="BD562" s="2004"/>
      <c r="BE562" s="2004"/>
      <c r="BF562" s="2004"/>
      <c r="BG562" s="2004"/>
      <c r="BH562" s="2004"/>
      <c r="BI562" s="2004"/>
      <c r="BJ562" s="2004"/>
      <c r="BK562" s="2004"/>
      <c r="BL562" s="2004"/>
      <c r="BM562" s="2004"/>
      <c r="BN562" s="2004"/>
      <c r="BO562" s="2004"/>
      <c r="BQ562" s="2004"/>
      <c r="BR562" s="2004"/>
      <c r="BS562" s="2004"/>
      <c r="BT562" s="2004"/>
      <c r="BU562" s="2004"/>
      <c r="BV562" s="2004"/>
      <c r="BW562" s="2004"/>
      <c r="BX562" s="2004"/>
      <c r="BY562" s="2004"/>
      <c r="BZ562" s="2004"/>
      <c r="CA562" s="2004"/>
      <c r="CB562" s="2004"/>
      <c r="CC562" s="2004" t="s">
        <v>2335</v>
      </c>
      <c r="CH562" s="2004"/>
      <c r="CI562" s="2004">
        <v>0</v>
      </c>
      <c r="CJ562" s="2004" t="s">
        <v>2335</v>
      </c>
      <c r="CK562" s="2004">
        <v>0</v>
      </c>
      <c r="CL562" s="2004">
        <v>0</v>
      </c>
      <c r="CM562" s="2004">
        <v>0</v>
      </c>
      <c r="CN562" s="2004">
        <v>0</v>
      </c>
      <c r="CP562" s="2004" t="s">
        <v>12225</v>
      </c>
    </row>
    <row r="563" spans="1:94">
      <c r="A563" s="2004" t="s">
        <v>9112</v>
      </c>
      <c r="B563" s="2004" t="s">
        <v>12226</v>
      </c>
      <c r="C563" s="2004" t="s">
        <v>9047</v>
      </c>
      <c r="D563" s="2004" t="s">
        <v>1629</v>
      </c>
      <c r="E563" s="2004" t="s">
        <v>9410</v>
      </c>
      <c r="F563" s="2004" t="s">
        <v>10828</v>
      </c>
      <c r="G563" s="2004" t="s">
        <v>9431</v>
      </c>
      <c r="H563" s="2004" t="s">
        <v>10895</v>
      </c>
      <c r="I563" s="2004" t="s">
        <v>10896</v>
      </c>
      <c r="J563" s="2004" t="s">
        <v>9199</v>
      </c>
      <c r="K563" s="2004" t="s">
        <v>9200</v>
      </c>
      <c r="L563" s="2004" t="s">
        <v>2337</v>
      </c>
      <c r="M563" s="2004"/>
      <c r="N563" s="2004" t="s">
        <v>9290</v>
      </c>
      <c r="O563" s="2004" t="s">
        <v>734</v>
      </c>
      <c r="P563" s="2004" t="s">
        <v>9387</v>
      </c>
      <c r="Q563" s="516">
        <v>0</v>
      </c>
      <c r="R563" s="2004"/>
      <c r="S563" s="2004"/>
      <c r="T563" s="2004"/>
      <c r="U563" s="2004"/>
      <c r="V563" s="2004"/>
      <c r="W563" s="2004"/>
      <c r="X563" s="2004"/>
      <c r="Y563" s="2004"/>
      <c r="Z563" s="2004"/>
      <c r="AA563" s="2004"/>
      <c r="AB563" s="2004"/>
      <c r="AC563" s="2004"/>
      <c r="AD563" s="2004"/>
      <c r="AE563" s="2004"/>
      <c r="AF563" s="2004"/>
      <c r="AG563" s="2004"/>
      <c r="AH563" s="2004"/>
      <c r="AI563" s="2004"/>
      <c r="AJ563" s="2004"/>
      <c r="AK563" s="2004"/>
      <c r="AL563" s="2004"/>
      <c r="AM563" s="2004"/>
      <c r="AN563" s="2004"/>
      <c r="AO563" s="2004"/>
      <c r="AP563" s="2004"/>
      <c r="AQ563" s="2004"/>
      <c r="AR563" s="2004"/>
      <c r="AS563" s="2004"/>
      <c r="AT563" s="2004"/>
      <c r="AU563" s="2004"/>
      <c r="AV563" s="2004"/>
      <c r="AW563" s="2004"/>
      <c r="AX563" s="2004"/>
      <c r="AY563" s="2004"/>
      <c r="AZ563" s="2004"/>
      <c r="BA563" s="2004"/>
      <c r="BB563" s="2004"/>
      <c r="BC563" s="2004"/>
      <c r="BD563" s="2004"/>
      <c r="BE563" s="2004"/>
      <c r="BF563" s="2004"/>
      <c r="BG563" s="2004"/>
      <c r="BH563" s="2004"/>
      <c r="BI563" s="2004"/>
      <c r="BJ563" s="2004"/>
      <c r="BK563" s="2004"/>
      <c r="BL563" s="2004"/>
      <c r="BM563" s="2004"/>
      <c r="BN563" s="2004"/>
      <c r="BO563" s="2004"/>
      <c r="BQ563" s="2004"/>
      <c r="BR563" s="2004"/>
      <c r="BS563" s="2004"/>
      <c r="BT563" s="2004"/>
      <c r="BU563" s="2004"/>
      <c r="BV563" s="2004"/>
      <c r="BW563" s="2004"/>
      <c r="BX563" s="2004"/>
      <c r="BY563" s="2004"/>
      <c r="BZ563" s="2004"/>
      <c r="CA563" s="2004"/>
      <c r="CB563" s="2004"/>
      <c r="CC563" s="2004" t="s">
        <v>2335</v>
      </c>
      <c r="CH563" s="2004"/>
      <c r="CI563" s="2004" t="s">
        <v>10796</v>
      </c>
      <c r="CJ563" s="2004" t="s">
        <v>2335</v>
      </c>
      <c r="CK563" s="2004" t="s">
        <v>2339</v>
      </c>
      <c r="CL563" s="2004">
        <v>0</v>
      </c>
      <c r="CM563" s="2004">
        <v>0</v>
      </c>
      <c r="CN563" s="2004">
        <v>0</v>
      </c>
      <c r="CP563" s="2004" t="s">
        <v>12227</v>
      </c>
    </row>
    <row r="564" spans="1:94">
      <c r="A564" s="2004" t="s">
        <v>9112</v>
      </c>
      <c r="B564" s="2004" t="s">
        <v>12228</v>
      </c>
      <c r="C564" s="2004" t="s">
        <v>9047</v>
      </c>
      <c r="D564" s="2004" t="s">
        <v>1629</v>
      </c>
      <c r="E564" s="2004" t="s">
        <v>9410</v>
      </c>
      <c r="F564" s="2004" t="s">
        <v>10833</v>
      </c>
      <c r="G564" s="2004" t="s">
        <v>9442</v>
      </c>
      <c r="H564" s="2004" t="s">
        <v>10904</v>
      </c>
      <c r="I564" s="2004" t="s">
        <v>10905</v>
      </c>
      <c r="J564" s="2004" t="s">
        <v>9199</v>
      </c>
      <c r="K564" s="2004" t="s">
        <v>9200</v>
      </c>
      <c r="L564" s="2004" t="s">
        <v>2337</v>
      </c>
      <c r="M564" s="2004" t="s">
        <v>2334</v>
      </c>
      <c r="N564" s="2004" t="s">
        <v>9450</v>
      </c>
      <c r="O564" s="2004" t="s">
        <v>766</v>
      </c>
      <c r="P564" s="2004" t="s">
        <v>9451</v>
      </c>
      <c r="Q564" s="516">
        <v>0</v>
      </c>
      <c r="R564" s="2004"/>
      <c r="S564" s="2004"/>
      <c r="T564" s="2004"/>
      <c r="U564" s="2004"/>
      <c r="V564" s="2004"/>
      <c r="W564" s="2004"/>
      <c r="X564" s="2004"/>
      <c r="Y564" s="2004"/>
      <c r="Z564" s="2004"/>
      <c r="AA564" s="2004"/>
      <c r="AB564" s="2004"/>
      <c r="AC564" s="2004"/>
      <c r="AD564" s="2004"/>
      <c r="AE564" s="2004"/>
      <c r="AF564" s="2004"/>
      <c r="AG564" s="2004"/>
      <c r="AH564" s="2004"/>
      <c r="AI564" s="2004"/>
      <c r="AJ564" s="2004"/>
      <c r="AK564" s="2004"/>
      <c r="AL564" s="2004"/>
      <c r="AM564" s="2004"/>
      <c r="AN564" s="2004"/>
      <c r="AO564" s="2004"/>
      <c r="AP564" s="2004"/>
      <c r="AQ564" s="2004"/>
      <c r="AR564" s="2004"/>
      <c r="AS564" s="2004"/>
      <c r="AT564" s="2004"/>
      <c r="AU564" s="2004"/>
      <c r="AV564" s="2004"/>
      <c r="AW564" s="2004"/>
      <c r="AX564" s="2004"/>
      <c r="AY564" s="2004"/>
      <c r="AZ564" s="2004"/>
      <c r="BA564" s="2004"/>
      <c r="BB564" s="2004"/>
      <c r="BC564" s="2004"/>
      <c r="BD564" s="2004"/>
      <c r="BE564" s="2004"/>
      <c r="BF564" s="2004"/>
      <c r="BG564" s="2004"/>
      <c r="BH564" s="2004"/>
      <c r="BI564" s="2004"/>
      <c r="BJ564" s="2004"/>
      <c r="BK564" s="2004"/>
      <c r="BL564" s="2004"/>
      <c r="BM564" s="2004"/>
      <c r="BN564" s="2004"/>
      <c r="BO564" s="2004"/>
      <c r="BQ564" s="2004"/>
      <c r="BR564" s="2004"/>
      <c r="BS564" s="2004"/>
      <c r="BT564" s="2004"/>
      <c r="BU564" s="2004"/>
      <c r="BV564" s="2004"/>
      <c r="BW564" s="2004"/>
      <c r="BX564" s="2004"/>
      <c r="BY564" s="2004"/>
      <c r="BZ564" s="2004"/>
      <c r="CA564" s="2004"/>
      <c r="CB564" s="2004"/>
      <c r="CC564" s="2004" t="s">
        <v>2335</v>
      </c>
      <c r="CH564" s="2004"/>
      <c r="CI564" s="2004">
        <v>1</v>
      </c>
      <c r="CJ564" s="2004" t="s">
        <v>2337</v>
      </c>
      <c r="CK564" s="2004" t="s">
        <v>2339</v>
      </c>
      <c r="CL564" s="2004">
        <v>2.0695000000000002E-3</v>
      </c>
      <c r="CM564" s="2004">
        <v>0</v>
      </c>
      <c r="CN564" s="2004">
        <v>0</v>
      </c>
      <c r="CP564" s="2004" t="s">
        <v>12229</v>
      </c>
    </row>
    <row r="565" spans="1:94">
      <c r="A565" s="2004" t="s">
        <v>9112</v>
      </c>
      <c r="B565" s="2004" t="s">
        <v>12230</v>
      </c>
      <c r="C565" s="2004" t="s">
        <v>9047</v>
      </c>
      <c r="D565" s="2004" t="s">
        <v>1629</v>
      </c>
      <c r="E565" s="2004" t="s">
        <v>9410</v>
      </c>
      <c r="F565" s="2004" t="s">
        <v>10833</v>
      </c>
      <c r="G565" s="2004" t="s">
        <v>9447</v>
      </c>
      <c r="H565" s="2004" t="s">
        <v>10908</v>
      </c>
      <c r="I565" s="2004" t="s">
        <v>10909</v>
      </c>
      <c r="J565" s="2004" t="s">
        <v>9210</v>
      </c>
      <c r="K565" s="2004" t="s">
        <v>9545</v>
      </c>
      <c r="L565" s="2004"/>
      <c r="M565" s="2004" t="s">
        <v>2334</v>
      </c>
      <c r="N565" s="2004" t="s">
        <v>9364</v>
      </c>
      <c r="O565" s="2004" t="s">
        <v>734</v>
      </c>
      <c r="P565" s="2004" t="s">
        <v>10558</v>
      </c>
      <c r="Q565" s="516">
        <v>2</v>
      </c>
      <c r="R565" s="2004"/>
      <c r="S565" s="2004"/>
      <c r="T565" s="2004"/>
      <c r="U565" s="2004"/>
      <c r="V565" s="2004"/>
      <c r="W565" s="2004"/>
      <c r="X565" s="2004"/>
      <c r="Y565" s="2004"/>
      <c r="Z565" s="2004"/>
      <c r="AA565" s="2004"/>
      <c r="AB565" s="2004"/>
      <c r="AC565" s="2004"/>
      <c r="AD565" s="2004"/>
      <c r="AE565" s="2004"/>
      <c r="AF565" s="2004"/>
      <c r="AG565" s="2004"/>
      <c r="AH565" s="2004"/>
      <c r="AI565" s="2004"/>
      <c r="AJ565" s="2004"/>
      <c r="AK565" s="2004"/>
      <c r="AL565" s="2004"/>
      <c r="AM565" s="2004"/>
      <c r="AN565" s="2004"/>
      <c r="AO565" s="2004"/>
      <c r="AP565" s="2004"/>
      <c r="AQ565" s="2004"/>
      <c r="AR565" s="2004"/>
      <c r="AS565" s="2004"/>
      <c r="AT565" s="2004"/>
      <c r="AU565" s="2004"/>
      <c r="AV565" s="2004"/>
      <c r="AW565" s="2004"/>
      <c r="AX565" s="2004"/>
      <c r="AY565" s="2004"/>
      <c r="AZ565" s="2004"/>
      <c r="BA565" s="2004"/>
      <c r="BB565" s="2004"/>
      <c r="BC565" s="2004"/>
      <c r="BD565" s="2004"/>
      <c r="BE565" s="2004"/>
      <c r="BF565" s="2004"/>
      <c r="BG565" s="2004"/>
      <c r="BH565" s="2004"/>
      <c r="BI565" s="2004"/>
      <c r="BJ565" s="2004"/>
      <c r="BK565" s="2004"/>
      <c r="BL565" s="2004"/>
      <c r="BM565" s="2004"/>
      <c r="BN565" s="2004"/>
      <c r="BO565" s="2004"/>
      <c r="BQ565" s="2004"/>
      <c r="BR565" s="2004"/>
      <c r="BS565" s="2004"/>
      <c r="BT565" s="2004"/>
      <c r="BU565" s="2004"/>
      <c r="BV565" s="2004"/>
      <c r="BW565" s="2004"/>
      <c r="BX565" s="2004"/>
      <c r="BY565" s="2004"/>
      <c r="BZ565" s="2004"/>
      <c r="CA565" s="2004"/>
      <c r="CB565" s="2004"/>
      <c r="CC565" s="2004" t="s">
        <v>2335</v>
      </c>
      <c r="CH565" s="2004"/>
      <c r="CI565" s="2004">
        <v>97.694825362658506</v>
      </c>
      <c r="CJ565" s="2004" t="s">
        <v>2334</v>
      </c>
      <c r="CK565" s="2004">
        <v>0</v>
      </c>
      <c r="CL565" s="2004">
        <v>0</v>
      </c>
      <c r="CM565" s="2004" t="s">
        <v>2340</v>
      </c>
      <c r="CN565" s="2004">
        <v>0</v>
      </c>
      <c r="CP565" s="2004" t="s">
        <v>12231</v>
      </c>
    </row>
    <row r="566" spans="1:94">
      <c r="A566" s="2004" t="s">
        <v>9112</v>
      </c>
      <c r="B566" s="2004" t="s">
        <v>12232</v>
      </c>
      <c r="C566" s="2004" t="s">
        <v>9047</v>
      </c>
      <c r="D566" s="2004" t="s">
        <v>1629</v>
      </c>
      <c r="E566" s="2004" t="s">
        <v>9410</v>
      </c>
      <c r="F566" s="2004" t="s">
        <v>10833</v>
      </c>
      <c r="G566" s="2004" t="s">
        <v>10916</v>
      </c>
      <c r="H566" s="2004" t="s">
        <v>10917</v>
      </c>
      <c r="I566" s="2004" t="s">
        <v>10918</v>
      </c>
      <c r="J566" s="2004" t="s">
        <v>10919</v>
      </c>
      <c r="K566" s="2004" t="s">
        <v>9200</v>
      </c>
      <c r="L566" s="2004"/>
      <c r="M566" s="2004"/>
      <c r="N566" s="2004" t="s">
        <v>9427</v>
      </c>
      <c r="O566" s="2004" t="s">
        <v>766</v>
      </c>
      <c r="P566" s="2004" t="s">
        <v>10920</v>
      </c>
      <c r="Q566" s="516">
        <v>0</v>
      </c>
      <c r="R566" s="2004"/>
      <c r="S566" s="2004"/>
      <c r="T566" s="2004"/>
      <c r="U566" s="2004"/>
      <c r="V566" s="2004"/>
      <c r="W566" s="2004"/>
      <c r="X566" s="2004"/>
      <c r="Y566" s="2004"/>
      <c r="Z566" s="2004"/>
      <c r="AA566" s="2004"/>
      <c r="AB566" s="2004"/>
      <c r="AC566" s="2004"/>
      <c r="AD566" s="2004"/>
      <c r="AE566" s="2004"/>
      <c r="AF566" s="2004"/>
      <c r="AG566" s="2004"/>
      <c r="AH566" s="2004"/>
      <c r="AI566" s="2004"/>
      <c r="AJ566" s="2004"/>
      <c r="AK566" s="2004"/>
      <c r="AL566" s="2004"/>
      <c r="AM566" s="2004"/>
      <c r="AN566" s="2004"/>
      <c r="AO566" s="2004"/>
      <c r="AP566" s="2004"/>
      <c r="AQ566" s="2004"/>
      <c r="AR566" s="2004"/>
      <c r="AS566" s="2004"/>
      <c r="AT566" s="2004"/>
      <c r="AU566" s="2004"/>
      <c r="AV566" s="2004"/>
      <c r="AW566" s="2004"/>
      <c r="AX566" s="2004"/>
      <c r="AY566" s="2004"/>
      <c r="AZ566" s="2004"/>
      <c r="BA566" s="2004"/>
      <c r="BB566" s="2004"/>
      <c r="BC566" s="2004"/>
      <c r="BD566" s="2004"/>
      <c r="BE566" s="2004"/>
      <c r="BF566" s="2004"/>
      <c r="BG566" s="2004"/>
      <c r="BH566" s="2004"/>
      <c r="BI566" s="2004"/>
      <c r="BJ566" s="2004"/>
      <c r="BK566" s="2004"/>
      <c r="BL566" s="2004"/>
      <c r="BM566" s="2004"/>
      <c r="BN566" s="2004"/>
      <c r="BO566" s="2004"/>
      <c r="BQ566" s="2004"/>
      <c r="BR566" s="2004"/>
      <c r="BS566" s="2004"/>
      <c r="BT566" s="2004"/>
      <c r="BU566" s="2004"/>
      <c r="BV566" s="2004"/>
      <c r="BW566" s="2004"/>
      <c r="BX566" s="2004"/>
      <c r="BY566" s="2004"/>
      <c r="BZ566" s="2004"/>
      <c r="CA566" s="2004"/>
      <c r="CB566" s="2004"/>
      <c r="CC566" s="2004" t="s">
        <v>2335</v>
      </c>
      <c r="CH566" s="2004"/>
      <c r="CI566" s="2004">
        <v>0</v>
      </c>
      <c r="CJ566" s="2004" t="s">
        <v>2337</v>
      </c>
      <c r="CK566" s="2004">
        <v>0</v>
      </c>
      <c r="CL566" s="2004">
        <v>0</v>
      </c>
      <c r="CM566" s="2004">
        <v>0</v>
      </c>
      <c r="CN566" s="2004">
        <v>0</v>
      </c>
      <c r="CP566" s="2004" t="s">
        <v>12233</v>
      </c>
    </row>
    <row r="567" spans="1:94">
      <c r="A567" s="2004" t="s">
        <v>9112</v>
      </c>
      <c r="B567" s="2004" t="s">
        <v>12234</v>
      </c>
      <c r="C567" s="2004" t="s">
        <v>9047</v>
      </c>
      <c r="D567" s="2004" t="s">
        <v>1629</v>
      </c>
      <c r="E567" s="2004" t="s">
        <v>9410</v>
      </c>
      <c r="F567" s="2004" t="s">
        <v>10833</v>
      </c>
      <c r="G567" s="2004" t="s">
        <v>10923</v>
      </c>
      <c r="H567" s="2004" t="s">
        <v>10924</v>
      </c>
      <c r="I567" s="2004" t="s">
        <v>10925</v>
      </c>
      <c r="J567" s="2004" t="s">
        <v>9230</v>
      </c>
      <c r="K567" s="2004"/>
      <c r="L567" s="2004"/>
      <c r="M567" s="2004"/>
      <c r="N567" s="2004" t="s">
        <v>9450</v>
      </c>
      <c r="O567" s="2004" t="s">
        <v>766</v>
      </c>
      <c r="P567" s="2004" t="s">
        <v>10583</v>
      </c>
      <c r="Q567" s="516">
        <v>0</v>
      </c>
      <c r="R567" s="2004"/>
      <c r="S567" s="2004"/>
      <c r="T567" s="2004"/>
      <c r="U567" s="2004"/>
      <c r="V567" s="2004"/>
      <c r="W567" s="2004"/>
      <c r="X567" s="2004"/>
      <c r="Y567" s="2004"/>
      <c r="Z567" s="2004"/>
      <c r="AA567" s="2004"/>
      <c r="AB567" s="2004"/>
      <c r="AC567" s="2004"/>
      <c r="AD567" s="2004"/>
      <c r="AE567" s="2004"/>
      <c r="AF567" s="2004"/>
      <c r="AG567" s="2004"/>
      <c r="AH567" s="2004"/>
      <c r="AI567" s="2004"/>
      <c r="AJ567" s="2004"/>
      <c r="AK567" s="2004"/>
      <c r="AL567" s="2004"/>
      <c r="AM567" s="2004"/>
      <c r="AN567" s="2004"/>
      <c r="AO567" s="2004"/>
      <c r="AP567" s="2004"/>
      <c r="AQ567" s="2004"/>
      <c r="AR567" s="2004"/>
      <c r="AS567" s="2004"/>
      <c r="AT567" s="2004"/>
      <c r="AU567" s="2004"/>
      <c r="AV567" s="2004"/>
      <c r="AW567" s="2004"/>
      <c r="AX567" s="2004"/>
      <c r="AY567" s="2004"/>
      <c r="AZ567" s="2004"/>
      <c r="BA567" s="2004"/>
      <c r="BB567" s="2004"/>
      <c r="BC567" s="2004"/>
      <c r="BD567" s="2004"/>
      <c r="BE567" s="2004"/>
      <c r="BF567" s="2004"/>
      <c r="BG567" s="2004"/>
      <c r="BH567" s="2004"/>
      <c r="BI567" s="2004"/>
      <c r="BJ567" s="2004"/>
      <c r="BK567" s="2004"/>
      <c r="BL567" s="2004"/>
      <c r="BM567" s="2004"/>
      <c r="BN567" s="2004"/>
      <c r="BO567" s="2004"/>
      <c r="BQ567" s="2004"/>
      <c r="BR567" s="2004"/>
      <c r="BS567" s="2004"/>
      <c r="BT567" s="2004"/>
      <c r="BU567" s="2004"/>
      <c r="BV567" s="2004"/>
      <c r="BW567" s="2004"/>
      <c r="BX567" s="2004"/>
      <c r="BY567" s="2004"/>
      <c r="BZ567" s="2004"/>
      <c r="CA567" s="2004"/>
      <c r="CB567" s="2004"/>
      <c r="CC567" s="2004" t="s">
        <v>2335</v>
      </c>
      <c r="CH567" s="2004"/>
      <c r="CI567" s="2004">
        <v>0</v>
      </c>
      <c r="CJ567" s="2004" t="s">
        <v>2337</v>
      </c>
      <c r="CK567" s="2004">
        <v>0</v>
      </c>
      <c r="CL567" s="2004">
        <v>0</v>
      </c>
      <c r="CM567" s="2004">
        <v>0</v>
      </c>
      <c r="CN567" s="2004">
        <v>0</v>
      </c>
      <c r="CP567" s="2004" t="s">
        <v>12235</v>
      </c>
    </row>
    <row r="568" spans="1:94">
      <c r="A568" s="2004" t="s">
        <v>9112</v>
      </c>
      <c r="B568" s="2004" t="s">
        <v>12236</v>
      </c>
      <c r="C568" s="2004" t="s">
        <v>9047</v>
      </c>
      <c r="D568" s="2004" t="s">
        <v>1629</v>
      </c>
      <c r="E568" s="2004" t="s">
        <v>9410</v>
      </c>
      <c r="F568" s="2004" t="s">
        <v>10833</v>
      </c>
      <c r="G568" s="2004" t="s">
        <v>10928</v>
      </c>
      <c r="H568" s="2004" t="s">
        <v>10929</v>
      </c>
      <c r="I568" s="2004" t="s">
        <v>10930</v>
      </c>
      <c r="J568" s="2004" t="s">
        <v>9199</v>
      </c>
      <c r="K568" s="2004" t="s">
        <v>9200</v>
      </c>
      <c r="L568" s="2004"/>
      <c r="M568" s="2004"/>
      <c r="N568" s="2004" t="s">
        <v>9364</v>
      </c>
      <c r="O568" s="2004" t="s">
        <v>766</v>
      </c>
      <c r="P568" s="2004" t="s">
        <v>10931</v>
      </c>
      <c r="Q568" s="516">
        <v>0</v>
      </c>
      <c r="R568" s="2004"/>
      <c r="S568" s="2004"/>
      <c r="T568" s="2004"/>
      <c r="U568" s="2004"/>
      <c r="V568" s="2004"/>
      <c r="W568" s="2004"/>
      <c r="X568" s="2004"/>
      <c r="Y568" s="2004"/>
      <c r="Z568" s="2004"/>
      <c r="AA568" s="2004"/>
      <c r="AB568" s="2004"/>
      <c r="AC568" s="2004"/>
      <c r="AD568" s="2004"/>
      <c r="AE568" s="2004"/>
      <c r="AF568" s="2004"/>
      <c r="AG568" s="2004"/>
      <c r="AH568" s="2004"/>
      <c r="AI568" s="2004"/>
      <c r="AJ568" s="2004"/>
      <c r="AK568" s="2004"/>
      <c r="AL568" s="2004"/>
      <c r="AM568" s="2004"/>
      <c r="AN568" s="2004"/>
      <c r="AO568" s="2004"/>
      <c r="AP568" s="2004"/>
      <c r="AQ568" s="2004"/>
      <c r="AR568" s="2004"/>
      <c r="AS568" s="2004"/>
      <c r="AT568" s="2004"/>
      <c r="AU568" s="2004"/>
      <c r="AV568" s="2004"/>
      <c r="AW568" s="2004"/>
      <c r="AX568" s="2004"/>
      <c r="AY568" s="2004"/>
      <c r="AZ568" s="2004"/>
      <c r="BA568" s="2004"/>
      <c r="BB568" s="2004"/>
      <c r="BC568" s="2004"/>
      <c r="BD568" s="2004"/>
      <c r="BE568" s="2004"/>
      <c r="BF568" s="2004"/>
      <c r="BG568" s="2004"/>
      <c r="BH568" s="2004"/>
      <c r="BI568" s="2004"/>
      <c r="BJ568" s="2004"/>
      <c r="BK568" s="2004"/>
      <c r="BL568" s="2004"/>
      <c r="BM568" s="2004"/>
      <c r="BN568" s="2004"/>
      <c r="BO568" s="2004"/>
      <c r="BQ568" s="2004"/>
      <c r="BR568" s="2004"/>
      <c r="BS568" s="2004"/>
      <c r="BT568" s="2004"/>
      <c r="BU568" s="2004"/>
      <c r="BV568" s="2004"/>
      <c r="BW568" s="2004"/>
      <c r="BX568" s="2004"/>
      <c r="BY568" s="2004"/>
      <c r="BZ568" s="2004"/>
      <c r="CA568" s="2004"/>
      <c r="CB568" s="2004"/>
      <c r="CC568" s="2004" t="s">
        <v>2335</v>
      </c>
      <c r="CH568" s="2004"/>
      <c r="CI568" s="2004" t="s">
        <v>10796</v>
      </c>
      <c r="CJ568" s="2004" t="s">
        <v>2335</v>
      </c>
      <c r="CK568" s="2004">
        <v>0</v>
      </c>
      <c r="CL568" s="2004">
        <v>0</v>
      </c>
      <c r="CM568" s="2004" t="s">
        <v>2339</v>
      </c>
      <c r="CN568" s="2004">
        <v>1.06E-2</v>
      </c>
      <c r="CP568" s="2004" t="s">
        <v>12237</v>
      </c>
    </row>
    <row r="569" spans="1:94">
      <c r="A569" s="2004" t="s">
        <v>9112</v>
      </c>
      <c r="B569" s="2004" t="s">
        <v>12238</v>
      </c>
      <c r="C569" s="2004" t="s">
        <v>9047</v>
      </c>
      <c r="D569" s="2004" t="s">
        <v>1629</v>
      </c>
      <c r="E569" s="2004" t="s">
        <v>9410</v>
      </c>
      <c r="F569" s="2004" t="s">
        <v>10833</v>
      </c>
      <c r="G569" s="2004" t="s">
        <v>10936</v>
      </c>
      <c r="H569" s="2004" t="s">
        <v>10937</v>
      </c>
      <c r="I569" s="2004" t="s">
        <v>10938</v>
      </c>
      <c r="J569" s="2004" t="s">
        <v>9230</v>
      </c>
      <c r="K569" s="2004"/>
      <c r="L569" s="2004"/>
      <c r="M569" s="2004"/>
      <c r="N569" s="2004" t="s">
        <v>9450</v>
      </c>
      <c r="O569" s="2004" t="s">
        <v>766</v>
      </c>
      <c r="P569" s="2004" t="s">
        <v>10939</v>
      </c>
      <c r="Q569" s="516">
        <v>0</v>
      </c>
      <c r="R569" s="2004"/>
      <c r="S569" s="2004"/>
      <c r="T569" s="2004"/>
      <c r="U569" s="2004"/>
      <c r="V569" s="2004"/>
      <c r="W569" s="2004"/>
      <c r="X569" s="2004"/>
      <c r="Y569" s="2004"/>
      <c r="Z569" s="2004"/>
      <c r="AA569" s="2004"/>
      <c r="AB569" s="2004"/>
      <c r="AC569" s="2004"/>
      <c r="AD569" s="2004"/>
      <c r="AE569" s="2004"/>
      <c r="AF569" s="2004"/>
      <c r="AG569" s="2004"/>
      <c r="AH569" s="2004"/>
      <c r="AI569" s="2004"/>
      <c r="AJ569" s="2004"/>
      <c r="AK569" s="2004"/>
      <c r="AL569" s="2004"/>
      <c r="AM569" s="2004"/>
      <c r="AN569" s="2004"/>
      <c r="AO569" s="2004"/>
      <c r="AP569" s="2004"/>
      <c r="AQ569" s="2004"/>
      <c r="AR569" s="2004"/>
      <c r="AS569" s="2004"/>
      <c r="AT569" s="2004"/>
      <c r="AU569" s="2004"/>
      <c r="AV569" s="2004"/>
      <c r="AW569" s="2004"/>
      <c r="AX569" s="2004"/>
      <c r="AY569" s="2004"/>
      <c r="AZ569" s="2004"/>
      <c r="BA569" s="2004"/>
      <c r="BB569" s="2004"/>
      <c r="BC569" s="2004"/>
      <c r="BD569" s="2004"/>
      <c r="BE569" s="2004"/>
      <c r="BF569" s="2004"/>
      <c r="BG569" s="2004"/>
      <c r="BH569" s="2004"/>
      <c r="BI569" s="2004"/>
      <c r="BJ569" s="2004"/>
      <c r="BK569" s="2004"/>
      <c r="BL569" s="2004"/>
      <c r="BM569" s="2004"/>
      <c r="BN569" s="2004"/>
      <c r="BO569" s="2004"/>
      <c r="BQ569" s="2004"/>
      <c r="BR569" s="2004"/>
      <c r="BS569" s="2004"/>
      <c r="BT569" s="2004"/>
      <c r="BU569" s="2004"/>
      <c r="BV569" s="2004"/>
      <c r="BW569" s="2004"/>
      <c r="BX569" s="2004"/>
      <c r="BY569" s="2004"/>
      <c r="BZ569" s="2004"/>
      <c r="CA569" s="2004"/>
      <c r="CB569" s="2004"/>
      <c r="CC569" s="2004" t="s">
        <v>2335</v>
      </c>
      <c r="CH569" s="2004"/>
      <c r="CI569" s="2004">
        <v>5</v>
      </c>
      <c r="CJ569" s="2004" t="s">
        <v>2337</v>
      </c>
      <c r="CK569" s="2004">
        <v>0</v>
      </c>
      <c r="CL569" s="2004">
        <v>0</v>
      </c>
      <c r="CM569" s="2004">
        <v>0</v>
      </c>
      <c r="CN569" s="2004">
        <v>0</v>
      </c>
      <c r="CP569" s="2004" t="s">
        <v>12239</v>
      </c>
    </row>
    <row r="570" spans="1:94">
      <c r="A570" s="2004" t="s">
        <v>9112</v>
      </c>
      <c r="B570" s="2004" t="s">
        <v>12240</v>
      </c>
      <c r="C570" s="2004" t="s">
        <v>9047</v>
      </c>
      <c r="D570" s="2004" t="s">
        <v>1629</v>
      </c>
      <c r="E570" s="2004" t="s">
        <v>9410</v>
      </c>
      <c r="F570" s="2004" t="s">
        <v>10854</v>
      </c>
      <c r="G570" s="2004" t="s">
        <v>9459</v>
      </c>
      <c r="H570" s="2004" t="s">
        <v>10942</v>
      </c>
      <c r="I570" s="2004" t="s">
        <v>10943</v>
      </c>
      <c r="J570" s="2004" t="s">
        <v>9199</v>
      </c>
      <c r="K570" s="2004" t="s">
        <v>9200</v>
      </c>
      <c r="L570" s="2004" t="s">
        <v>2337</v>
      </c>
      <c r="M570" s="2004"/>
      <c r="N570" s="2004" t="s">
        <v>9372</v>
      </c>
      <c r="O570" s="2004" t="s">
        <v>766</v>
      </c>
      <c r="P570" s="2004" t="s">
        <v>9870</v>
      </c>
      <c r="Q570" s="516">
        <v>3</v>
      </c>
      <c r="R570" s="2004"/>
      <c r="S570" s="2004"/>
      <c r="T570" s="2004"/>
      <c r="U570" s="2004"/>
      <c r="V570" s="2004"/>
      <c r="W570" s="2004"/>
      <c r="X570" s="2004"/>
      <c r="Y570" s="2004"/>
      <c r="Z570" s="2004"/>
      <c r="AA570" s="2004"/>
      <c r="AB570" s="2004"/>
      <c r="AC570" s="2004"/>
      <c r="AD570" s="2004"/>
      <c r="AE570" s="2004"/>
      <c r="AF570" s="2004"/>
      <c r="AG570" s="2004"/>
      <c r="AH570" s="2004"/>
      <c r="AI570" s="2004"/>
      <c r="AJ570" s="2004"/>
      <c r="AK570" s="2004"/>
      <c r="AL570" s="2004"/>
      <c r="AM570" s="2004"/>
      <c r="AN570" s="2004"/>
      <c r="AO570" s="2004"/>
      <c r="AP570" s="2004"/>
      <c r="AQ570" s="2004"/>
      <c r="AR570" s="2004"/>
      <c r="AS570" s="2004"/>
      <c r="AT570" s="2004"/>
      <c r="AU570" s="2004"/>
      <c r="AV570" s="2004"/>
      <c r="AW570" s="2004"/>
      <c r="AX570" s="2004"/>
      <c r="AY570" s="2004"/>
      <c r="AZ570" s="2004"/>
      <c r="BA570" s="2004"/>
      <c r="BB570" s="2004"/>
      <c r="BC570" s="2004"/>
      <c r="BD570" s="2004"/>
      <c r="BE570" s="2004"/>
      <c r="BF570" s="2004"/>
      <c r="BG570" s="2004"/>
      <c r="BH570" s="2004"/>
      <c r="BI570" s="2004"/>
      <c r="BJ570" s="2004"/>
      <c r="BK570" s="2004"/>
      <c r="BL570" s="2004"/>
      <c r="BM570" s="2004"/>
      <c r="BN570" s="2004"/>
      <c r="BO570" s="2004"/>
      <c r="BQ570" s="2004"/>
      <c r="BR570" s="2004"/>
      <c r="BS570" s="2004"/>
      <c r="BT570" s="2004"/>
      <c r="BU570" s="2004"/>
      <c r="BV570" s="2004"/>
      <c r="BW570" s="2004"/>
      <c r="BX570" s="2004"/>
      <c r="BY570" s="2004"/>
      <c r="BZ570" s="2004"/>
      <c r="CA570" s="2004"/>
      <c r="CB570" s="2004"/>
      <c r="CC570" s="2004" t="s">
        <v>2335</v>
      </c>
      <c r="CH570" s="2004"/>
      <c r="CI570" s="2004">
        <v>1</v>
      </c>
      <c r="CJ570" s="2004" t="s">
        <v>2337</v>
      </c>
      <c r="CK570" s="2004" t="s">
        <v>2339</v>
      </c>
      <c r="CL570" s="2004">
        <v>0</v>
      </c>
      <c r="CM570" s="2004">
        <v>0</v>
      </c>
      <c r="CN570" s="2004">
        <v>0</v>
      </c>
      <c r="CP570" s="2004" t="s">
        <v>12241</v>
      </c>
    </row>
    <row r="571" spans="1:94">
      <c r="A571" s="2004" t="s">
        <v>9112</v>
      </c>
      <c r="B571" s="2004" t="s">
        <v>12242</v>
      </c>
      <c r="C571" s="2004" t="s">
        <v>9047</v>
      </c>
      <c r="D571" s="2004" t="s">
        <v>1629</v>
      </c>
      <c r="E571" s="2004" t="s">
        <v>9410</v>
      </c>
      <c r="F571" s="2004" t="s">
        <v>10859</v>
      </c>
      <c r="G571" s="2004" t="s">
        <v>9469</v>
      </c>
      <c r="H571" s="2004" t="s">
        <v>10946</v>
      </c>
      <c r="I571" s="2004" t="s">
        <v>10947</v>
      </c>
      <c r="J571" s="2004" t="s">
        <v>9230</v>
      </c>
      <c r="K571" s="2004"/>
      <c r="L571" s="2004"/>
      <c r="M571" s="2004"/>
      <c r="N571" s="2004" t="s">
        <v>10282</v>
      </c>
      <c r="O571" s="2004" t="s">
        <v>766</v>
      </c>
      <c r="P571" s="2004" t="s">
        <v>10862</v>
      </c>
      <c r="Q571" s="516">
        <v>0</v>
      </c>
      <c r="R571" s="2004"/>
      <c r="S571" s="2004"/>
      <c r="T571" s="2004"/>
      <c r="U571" s="2004"/>
      <c r="V571" s="2004"/>
      <c r="W571" s="2004"/>
      <c r="X571" s="2004"/>
      <c r="Y571" s="2004"/>
      <c r="Z571" s="2004"/>
      <c r="AA571" s="2004"/>
      <c r="AB571" s="2004"/>
      <c r="AC571" s="2004"/>
      <c r="AD571" s="2004"/>
      <c r="AE571" s="2004"/>
      <c r="AF571" s="2004"/>
      <c r="AG571" s="2004"/>
      <c r="AH571" s="2004"/>
      <c r="AI571" s="2004"/>
      <c r="AJ571" s="2004"/>
      <c r="AK571" s="2004"/>
      <c r="AL571" s="2004"/>
      <c r="AM571" s="2004"/>
      <c r="AN571" s="2004"/>
      <c r="AO571" s="2004"/>
      <c r="AP571" s="2004"/>
      <c r="AQ571" s="2004"/>
      <c r="AR571" s="2004"/>
      <c r="AS571" s="2004"/>
      <c r="AT571" s="2004"/>
      <c r="AU571" s="2004"/>
      <c r="AV571" s="2004"/>
      <c r="AW571" s="2004"/>
      <c r="AX571" s="2004"/>
      <c r="AY571" s="2004"/>
      <c r="AZ571" s="2004"/>
      <c r="BA571" s="2004"/>
      <c r="BB571" s="2004"/>
      <c r="BC571" s="2004"/>
      <c r="BD571" s="2004"/>
      <c r="BE571" s="2004"/>
      <c r="BF571" s="2004"/>
      <c r="BG571" s="2004"/>
      <c r="BH571" s="2004"/>
      <c r="BI571" s="2004"/>
      <c r="BJ571" s="2004"/>
      <c r="BK571" s="2004"/>
      <c r="BL571" s="2004"/>
      <c r="BM571" s="2004"/>
      <c r="BN571" s="2004"/>
      <c r="BO571" s="2004"/>
      <c r="BQ571" s="2004"/>
      <c r="BR571" s="2004"/>
      <c r="BS571" s="2004"/>
      <c r="BT571" s="2004"/>
      <c r="BU571" s="2004"/>
      <c r="BV571" s="2004"/>
      <c r="BW571" s="2004"/>
      <c r="BX571" s="2004"/>
      <c r="BY571" s="2004"/>
      <c r="BZ571" s="2004"/>
      <c r="CA571" s="2004"/>
      <c r="CB571" s="2004"/>
      <c r="CC571" s="2004" t="s">
        <v>2335</v>
      </c>
      <c r="CH571" s="2004"/>
      <c r="CI571" s="2004">
        <v>534</v>
      </c>
      <c r="CJ571" s="2004" t="s">
        <v>2334</v>
      </c>
      <c r="CK571" s="2004">
        <v>0</v>
      </c>
      <c r="CL571" s="2004">
        <v>0</v>
      </c>
      <c r="CM571" s="2004">
        <v>0</v>
      </c>
      <c r="CN571" s="2004">
        <v>0</v>
      </c>
      <c r="CP571" s="2004" t="s">
        <v>12243</v>
      </c>
    </row>
    <row r="572" spans="1:94">
      <c r="A572" s="2004" t="s">
        <v>9112</v>
      </c>
      <c r="B572" s="2004" t="s">
        <v>12244</v>
      </c>
      <c r="C572" s="2004" t="s">
        <v>9047</v>
      </c>
      <c r="D572" s="2004" t="s">
        <v>9275</v>
      </c>
      <c r="E572" s="2004" t="s">
        <v>9276</v>
      </c>
      <c r="F572" s="2004" t="s">
        <v>10950</v>
      </c>
      <c r="G572" s="2004" t="s">
        <v>9278</v>
      </c>
      <c r="H572" s="2004" t="s">
        <v>10951</v>
      </c>
      <c r="I572" s="2004" t="s">
        <v>10952</v>
      </c>
      <c r="J572" s="2004" t="s">
        <v>9230</v>
      </c>
      <c r="K572" s="2004"/>
      <c r="L572" s="2004"/>
      <c r="M572" s="2004"/>
      <c r="N572" s="2004" t="s">
        <v>9386</v>
      </c>
      <c r="O572" s="2004" t="s">
        <v>9487</v>
      </c>
      <c r="P572" s="2004" t="s">
        <v>10953</v>
      </c>
      <c r="Q572" s="516" t="s">
        <v>9203</v>
      </c>
      <c r="R572" s="2004"/>
      <c r="S572" s="2004"/>
      <c r="T572" s="2004"/>
      <c r="U572" s="2004"/>
      <c r="V572" s="2004"/>
      <c r="W572" s="2004"/>
      <c r="X572" s="2004"/>
      <c r="Y572" s="2004"/>
      <c r="Z572" s="2004"/>
      <c r="AA572" s="2004"/>
      <c r="AB572" s="2004"/>
      <c r="AC572" s="2004"/>
      <c r="AD572" s="2004"/>
      <c r="AE572" s="2004"/>
      <c r="AF572" s="2004"/>
      <c r="AG572" s="2004"/>
      <c r="AH572" s="2004"/>
      <c r="AI572" s="2004"/>
      <c r="AJ572" s="2004"/>
      <c r="AK572" s="2004"/>
      <c r="AL572" s="2004"/>
      <c r="AM572" s="2004"/>
      <c r="AN572" s="2004"/>
      <c r="AO572" s="2004"/>
      <c r="AP572" s="2004"/>
      <c r="AQ572" s="2004"/>
      <c r="AR572" s="2004"/>
      <c r="AS572" s="2004"/>
      <c r="AT572" s="2004"/>
      <c r="AU572" s="2004"/>
      <c r="AV572" s="2004"/>
      <c r="AW572" s="2004"/>
      <c r="AX572" s="2004"/>
      <c r="AY572" s="2004"/>
      <c r="AZ572" s="2004"/>
      <c r="BA572" s="2004"/>
      <c r="BB572" s="2004"/>
      <c r="BC572" s="2004"/>
      <c r="BD572" s="2004"/>
      <c r="BE572" s="2004"/>
      <c r="BF572" s="2004"/>
      <c r="BG572" s="2004"/>
      <c r="BH572" s="2004"/>
      <c r="BI572" s="2004"/>
      <c r="BJ572" s="2004"/>
      <c r="BK572" s="2004"/>
      <c r="BL572" s="2004"/>
      <c r="BM572" s="2004"/>
      <c r="BN572" s="2004"/>
      <c r="BO572" s="2004"/>
      <c r="BQ572" s="2004"/>
      <c r="BR572" s="2004"/>
      <c r="BS572" s="2004"/>
      <c r="BT572" s="2004"/>
      <c r="BU572" s="2004"/>
      <c r="BV572" s="2004"/>
      <c r="BW572" s="2004"/>
      <c r="BX572" s="2004"/>
      <c r="BY572" s="2004"/>
      <c r="BZ572" s="2004"/>
      <c r="CA572" s="2004"/>
      <c r="CB572" s="2004"/>
      <c r="CC572" s="2004" t="s">
        <v>2335</v>
      </c>
      <c r="CH572" s="2004"/>
      <c r="CI572" s="2004" t="s">
        <v>12245</v>
      </c>
      <c r="CJ572" s="2004" t="s">
        <v>2337</v>
      </c>
      <c r="CK572" s="2004">
        <v>0</v>
      </c>
      <c r="CL572" s="2004">
        <v>0</v>
      </c>
      <c r="CM572" s="2004">
        <v>0</v>
      </c>
      <c r="CN572" s="2004">
        <v>0</v>
      </c>
      <c r="CP572" s="2004" t="s">
        <v>12246</v>
      </c>
    </row>
    <row r="573" spans="1:94">
      <c r="A573" s="2004" t="s">
        <v>9112</v>
      </c>
      <c r="B573" s="2004" t="s">
        <v>12247</v>
      </c>
      <c r="C573" s="2004" t="s">
        <v>9047</v>
      </c>
      <c r="D573" s="2004" t="s">
        <v>9275</v>
      </c>
      <c r="E573" s="2004" t="s">
        <v>9276</v>
      </c>
      <c r="F573" s="2004" t="s">
        <v>10950</v>
      </c>
      <c r="G573" s="2004" t="s">
        <v>9287</v>
      </c>
      <c r="H573" s="2004" t="s">
        <v>10958</v>
      </c>
      <c r="I573" s="2004" t="s">
        <v>10959</v>
      </c>
      <c r="J573" s="2004" t="s">
        <v>9199</v>
      </c>
      <c r="K573" s="2004" t="s">
        <v>9200</v>
      </c>
      <c r="L573" s="2004"/>
      <c r="M573" s="2004" t="s">
        <v>2334</v>
      </c>
      <c r="N573" s="2004" t="s">
        <v>9281</v>
      </c>
      <c r="O573" s="2004" t="s">
        <v>9487</v>
      </c>
      <c r="P573" s="2004" t="s">
        <v>9641</v>
      </c>
      <c r="Q573" s="516" t="s">
        <v>9203</v>
      </c>
      <c r="R573" s="2004"/>
      <c r="S573" s="2004"/>
      <c r="T573" s="2004"/>
      <c r="U573" s="2004"/>
      <c r="V573" s="2004"/>
      <c r="W573" s="2004"/>
      <c r="X573" s="2004"/>
      <c r="Y573" s="2004"/>
      <c r="Z573" s="2004"/>
      <c r="AA573" s="2004"/>
      <c r="AB573" s="2004"/>
      <c r="AC573" s="2004"/>
      <c r="AD573" s="2004"/>
      <c r="AE573" s="2004"/>
      <c r="AF573" s="2004"/>
      <c r="AG573" s="2004"/>
      <c r="AH573" s="2004"/>
      <c r="AI573" s="2004"/>
      <c r="AJ573" s="2004"/>
      <c r="AK573" s="2004"/>
      <c r="AL573" s="2004"/>
      <c r="AM573" s="2004"/>
      <c r="AN573" s="2004"/>
      <c r="AO573" s="2004"/>
      <c r="AP573" s="2004"/>
      <c r="AQ573" s="2004"/>
      <c r="AR573" s="2004"/>
      <c r="AS573" s="2004"/>
      <c r="AT573" s="2004"/>
      <c r="AU573" s="2004"/>
      <c r="AV573" s="2004"/>
      <c r="AW573" s="2004"/>
      <c r="AX573" s="2004"/>
      <c r="AY573" s="2004"/>
      <c r="AZ573" s="2004"/>
      <c r="BA573" s="2004"/>
      <c r="BB573" s="2004"/>
      <c r="BC573" s="2004"/>
      <c r="BD573" s="2004"/>
      <c r="BE573" s="2004"/>
      <c r="BF573" s="2004"/>
      <c r="BG573" s="2004"/>
      <c r="BH573" s="2004"/>
      <c r="BI573" s="2004"/>
      <c r="BJ573" s="2004"/>
      <c r="BK573" s="2004"/>
      <c r="BL573" s="2004"/>
      <c r="BM573" s="2004"/>
      <c r="BN573" s="2004"/>
      <c r="BO573" s="2004"/>
      <c r="BQ573" s="2004"/>
      <c r="BR573" s="2004"/>
      <c r="BS573" s="2004"/>
      <c r="BT573" s="2004"/>
      <c r="BU573" s="2004"/>
      <c r="BV573" s="2004"/>
      <c r="BW573" s="2004"/>
      <c r="BX573" s="2004"/>
      <c r="BY573" s="2004"/>
      <c r="BZ573" s="2004"/>
      <c r="CA573" s="2004"/>
      <c r="CB573" s="2004"/>
      <c r="CC573" s="2004" t="s">
        <v>2335</v>
      </c>
      <c r="CH573" s="2004"/>
      <c r="CI573" s="2004">
        <v>81.45</v>
      </c>
      <c r="CJ573" s="2004" t="s">
        <v>2335</v>
      </c>
      <c r="CK573" s="2004">
        <v>0</v>
      </c>
      <c r="CL573" s="2004">
        <v>0</v>
      </c>
      <c r="CM573" s="2004">
        <v>0</v>
      </c>
      <c r="CN573" s="2004">
        <v>0</v>
      </c>
      <c r="CP573" s="2004" t="s">
        <v>12248</v>
      </c>
    </row>
    <row r="574" spans="1:94">
      <c r="A574" s="2004" t="s">
        <v>9112</v>
      </c>
      <c r="B574" s="2004" t="s">
        <v>12249</v>
      </c>
      <c r="C574" s="2004" t="s">
        <v>9047</v>
      </c>
      <c r="D574" s="2004" t="s">
        <v>9275</v>
      </c>
      <c r="E574" s="2004" t="s">
        <v>9276</v>
      </c>
      <c r="F574" s="2004" t="s">
        <v>10962</v>
      </c>
      <c r="G574" s="2004" t="s">
        <v>9512</v>
      </c>
      <c r="H574" s="2004" t="s">
        <v>10963</v>
      </c>
      <c r="I574" s="2004" t="s">
        <v>10964</v>
      </c>
      <c r="J574" s="2004" t="s">
        <v>9230</v>
      </c>
      <c r="K574" s="2004"/>
      <c r="L574" s="2004"/>
      <c r="M574" s="2004"/>
      <c r="N574" s="2004" t="s">
        <v>9290</v>
      </c>
      <c r="O574" s="2004" t="s">
        <v>766</v>
      </c>
      <c r="P574" s="2004" t="s">
        <v>10707</v>
      </c>
      <c r="Q574" s="516">
        <v>0</v>
      </c>
      <c r="R574" s="2004"/>
      <c r="S574" s="2004"/>
      <c r="T574" s="2004"/>
      <c r="U574" s="2004"/>
      <c r="V574" s="2004"/>
      <c r="W574" s="2004"/>
      <c r="X574" s="2004"/>
      <c r="Y574" s="2004"/>
      <c r="Z574" s="2004"/>
      <c r="AA574" s="2004"/>
      <c r="AB574" s="2004"/>
      <c r="AC574" s="2004"/>
      <c r="AD574" s="2004"/>
      <c r="AE574" s="2004"/>
      <c r="AF574" s="2004"/>
      <c r="AG574" s="2004"/>
      <c r="AH574" s="2004"/>
      <c r="AI574" s="2004"/>
      <c r="AJ574" s="2004"/>
      <c r="AK574" s="2004"/>
      <c r="AL574" s="2004"/>
      <c r="AM574" s="2004"/>
      <c r="AN574" s="2004"/>
      <c r="AO574" s="2004"/>
      <c r="AP574" s="2004"/>
      <c r="AQ574" s="2004"/>
      <c r="AR574" s="2004"/>
      <c r="AS574" s="2004"/>
      <c r="AT574" s="2004"/>
      <c r="AU574" s="2004"/>
      <c r="AV574" s="2004"/>
      <c r="AW574" s="2004"/>
      <c r="AX574" s="2004"/>
      <c r="AY574" s="2004"/>
      <c r="AZ574" s="2004"/>
      <c r="BA574" s="2004"/>
      <c r="BB574" s="2004"/>
      <c r="BC574" s="2004"/>
      <c r="BD574" s="2004"/>
      <c r="BE574" s="2004"/>
      <c r="BF574" s="2004"/>
      <c r="BG574" s="2004"/>
      <c r="BH574" s="2004"/>
      <c r="BI574" s="2004"/>
      <c r="BJ574" s="2004"/>
      <c r="BK574" s="2004"/>
      <c r="BL574" s="2004"/>
      <c r="BM574" s="2004"/>
      <c r="BN574" s="2004"/>
      <c r="BO574" s="2004"/>
      <c r="BQ574" s="2004"/>
      <c r="BR574" s="2004"/>
      <c r="BS574" s="2004"/>
      <c r="BT574" s="2004"/>
      <c r="BU574" s="2004"/>
      <c r="BV574" s="2004"/>
      <c r="BW574" s="2004"/>
      <c r="BX574" s="2004"/>
      <c r="BY574" s="2004"/>
      <c r="BZ574" s="2004"/>
      <c r="CA574" s="2004"/>
      <c r="CB574" s="2004"/>
      <c r="CC574" s="2004" t="s">
        <v>2335</v>
      </c>
      <c r="CH574" s="2004"/>
      <c r="CI574" s="2004">
        <v>291</v>
      </c>
      <c r="CJ574" s="2004" t="s">
        <v>2337</v>
      </c>
      <c r="CK574" s="2004">
        <v>0</v>
      </c>
      <c r="CL574" s="2004">
        <v>0</v>
      </c>
      <c r="CM574" s="2004">
        <v>0</v>
      </c>
      <c r="CN574" s="2004">
        <v>0</v>
      </c>
      <c r="CP574" s="2004" t="s">
        <v>12250</v>
      </c>
    </row>
    <row r="575" spans="1:94">
      <c r="A575" s="2004" t="s">
        <v>9112</v>
      </c>
      <c r="B575" s="2004" t="s">
        <v>12251</v>
      </c>
      <c r="C575" s="2004" t="s">
        <v>9047</v>
      </c>
      <c r="D575" s="2004" t="s">
        <v>9275</v>
      </c>
      <c r="E575" s="2004" t="s">
        <v>9276</v>
      </c>
      <c r="F575" s="2004" t="s">
        <v>10962</v>
      </c>
      <c r="G575" s="2004" t="s">
        <v>9517</v>
      </c>
      <c r="H575" s="2004" t="s">
        <v>10967</v>
      </c>
      <c r="I575" s="2004" t="s">
        <v>10968</v>
      </c>
      <c r="J575" s="2004" t="s">
        <v>9230</v>
      </c>
      <c r="K575" s="2004"/>
      <c r="L575" s="2004"/>
      <c r="M575" s="2004"/>
      <c r="N575" s="2004" t="s">
        <v>9290</v>
      </c>
      <c r="O575" s="2004" t="s">
        <v>734</v>
      </c>
      <c r="P575" s="2004" t="s">
        <v>10969</v>
      </c>
      <c r="Q575" s="516">
        <v>2</v>
      </c>
      <c r="R575" s="2004"/>
      <c r="S575" s="2004"/>
      <c r="T575" s="2004"/>
      <c r="U575" s="2004"/>
      <c r="V575" s="2004"/>
      <c r="W575" s="2004"/>
      <c r="X575" s="2004"/>
      <c r="Y575" s="2004"/>
      <c r="Z575" s="2004"/>
      <c r="AA575" s="2004"/>
      <c r="AB575" s="2004"/>
      <c r="AC575" s="2004"/>
      <c r="AD575" s="2004"/>
      <c r="AE575" s="2004"/>
      <c r="AF575" s="2004"/>
      <c r="AG575" s="2004"/>
      <c r="AH575" s="2004"/>
      <c r="AI575" s="2004"/>
      <c r="AJ575" s="2004"/>
      <c r="AK575" s="2004"/>
      <c r="AL575" s="2004"/>
      <c r="AM575" s="2004"/>
      <c r="AN575" s="2004"/>
      <c r="AO575" s="2004"/>
      <c r="AP575" s="2004"/>
      <c r="AQ575" s="2004"/>
      <c r="AR575" s="2004"/>
      <c r="AS575" s="2004"/>
      <c r="AT575" s="2004"/>
      <c r="AU575" s="2004"/>
      <c r="AV575" s="2004"/>
      <c r="AW575" s="2004"/>
      <c r="AX575" s="2004"/>
      <c r="AY575" s="2004"/>
      <c r="AZ575" s="2004"/>
      <c r="BA575" s="2004"/>
      <c r="BB575" s="2004"/>
      <c r="BC575" s="2004"/>
      <c r="BD575" s="2004"/>
      <c r="BE575" s="2004"/>
      <c r="BF575" s="2004"/>
      <c r="BG575" s="2004"/>
      <c r="BH575" s="2004"/>
      <c r="BI575" s="2004"/>
      <c r="BJ575" s="2004"/>
      <c r="BK575" s="2004"/>
      <c r="BL575" s="2004"/>
      <c r="BM575" s="2004"/>
      <c r="BN575" s="2004"/>
      <c r="BO575" s="2004"/>
      <c r="BQ575" s="2004"/>
      <c r="BR575" s="2004"/>
      <c r="BS575" s="2004"/>
      <c r="BT575" s="2004"/>
      <c r="BU575" s="2004"/>
      <c r="BV575" s="2004"/>
      <c r="BW575" s="2004"/>
      <c r="BX575" s="2004"/>
      <c r="BY575" s="2004"/>
      <c r="BZ575" s="2004"/>
      <c r="CA575" s="2004"/>
      <c r="CB575" s="2004"/>
      <c r="CC575" s="2004" t="s">
        <v>2335</v>
      </c>
      <c r="CH575" s="2004"/>
      <c r="CI575" s="2004">
        <v>3.1592040781496702</v>
      </c>
      <c r="CJ575" s="2004" t="s">
        <v>2334</v>
      </c>
      <c r="CK575" s="2004">
        <v>0</v>
      </c>
      <c r="CL575" s="2004">
        <v>0</v>
      </c>
      <c r="CM575" s="2004">
        <v>0</v>
      </c>
      <c r="CN575" s="2004">
        <v>0</v>
      </c>
      <c r="CP575" s="2004" t="s">
        <v>12252</v>
      </c>
    </row>
    <row r="576" spans="1:94">
      <c r="A576" s="2004" t="s">
        <v>9115</v>
      </c>
      <c r="B576" s="2004" t="s">
        <v>12253</v>
      </c>
      <c r="C576" s="2004" t="s">
        <v>9047</v>
      </c>
      <c r="D576" s="2004" t="s">
        <v>1628</v>
      </c>
      <c r="E576" s="2004" t="s">
        <v>9194</v>
      </c>
      <c r="F576" s="2004" t="s">
        <v>10724</v>
      </c>
      <c r="G576" s="2004" t="s">
        <v>9196</v>
      </c>
      <c r="H576" s="2004" t="s">
        <v>10725</v>
      </c>
      <c r="I576" s="2004" t="s">
        <v>10726</v>
      </c>
      <c r="J576" s="2004" t="s">
        <v>9199</v>
      </c>
      <c r="K576" s="2004" t="s">
        <v>9200</v>
      </c>
      <c r="L576" s="2004" t="s">
        <v>2337</v>
      </c>
      <c r="M576" s="2004"/>
      <c r="N576" s="2004" t="s">
        <v>9154</v>
      </c>
      <c r="O576" s="2004" t="s">
        <v>766</v>
      </c>
      <c r="P576" s="2004" t="s">
        <v>10727</v>
      </c>
      <c r="Q576" s="516">
        <v>0</v>
      </c>
      <c r="R576" s="2004"/>
      <c r="S576" s="2004"/>
      <c r="T576" s="2004"/>
      <c r="U576" s="2004"/>
      <c r="V576" s="2004"/>
      <c r="W576" s="2004"/>
      <c r="X576" s="2004"/>
      <c r="Y576" s="2004"/>
      <c r="Z576" s="2004"/>
      <c r="AA576" s="2004"/>
      <c r="AB576" s="2004"/>
      <c r="AC576" s="2004"/>
      <c r="AD576" s="2004"/>
      <c r="AE576" s="2004"/>
      <c r="AF576" s="2004"/>
      <c r="AG576" s="2004"/>
      <c r="AH576" s="2004"/>
      <c r="AI576" s="2004"/>
      <c r="AJ576" s="2004"/>
      <c r="AK576" s="2004"/>
      <c r="AL576" s="2004"/>
      <c r="AM576" s="2004"/>
      <c r="AN576" s="2004"/>
      <c r="AO576" s="2004"/>
      <c r="AP576" s="2004"/>
      <c r="AQ576" s="2004"/>
      <c r="AR576" s="2004"/>
      <c r="AS576" s="2004"/>
      <c r="AT576" s="2004"/>
      <c r="AU576" s="2004"/>
      <c r="AV576" s="2004"/>
      <c r="AW576" s="2004"/>
      <c r="AX576" s="2004"/>
      <c r="AY576" s="2004"/>
      <c r="AZ576" s="2004"/>
      <c r="BA576" s="2004"/>
      <c r="BB576" s="2004"/>
      <c r="BC576" s="2004"/>
      <c r="BD576" s="2004"/>
      <c r="BE576" s="2004"/>
      <c r="BF576" s="2004"/>
      <c r="BG576" s="2004"/>
      <c r="BH576" s="2004"/>
      <c r="BI576" s="2004"/>
      <c r="BJ576" s="2004"/>
      <c r="BK576" s="2004"/>
      <c r="BL576" s="2004"/>
      <c r="BM576" s="2004"/>
      <c r="BN576" s="2004"/>
      <c r="BO576" s="2004"/>
      <c r="BQ576" s="2004"/>
      <c r="BR576" s="2004"/>
      <c r="BS576" s="2004"/>
      <c r="BT576" s="2004"/>
      <c r="BU576" s="2004"/>
      <c r="BV576" s="2004"/>
      <c r="BW576" s="2004"/>
      <c r="BX576" s="2004"/>
      <c r="BY576" s="2004"/>
      <c r="BZ576" s="2004"/>
      <c r="CA576" s="2004"/>
      <c r="CB576" s="2004"/>
      <c r="CC576" s="2004" t="s">
        <v>2335</v>
      </c>
      <c r="CH576" s="2004"/>
      <c r="CI576" s="2004">
        <v>11856</v>
      </c>
      <c r="CJ576" s="2004" t="s">
        <v>2334</v>
      </c>
      <c r="CK576" s="2004" t="s">
        <v>2336</v>
      </c>
      <c r="CL576" s="2004">
        <v>-1.7070000000000001</v>
      </c>
      <c r="CM576" s="2004">
        <v>0</v>
      </c>
      <c r="CN576" s="2004">
        <v>0</v>
      </c>
      <c r="CP576" s="2004" t="s">
        <v>12254</v>
      </c>
    </row>
    <row r="577" spans="1:94">
      <c r="A577" s="2004" t="s">
        <v>9115</v>
      </c>
      <c r="B577" s="2004" t="s">
        <v>12255</v>
      </c>
      <c r="C577" s="2004" t="s">
        <v>9047</v>
      </c>
      <c r="D577" s="2004" t="s">
        <v>1628</v>
      </c>
      <c r="E577" s="2004" t="s">
        <v>9194</v>
      </c>
      <c r="F577" s="2004" t="s">
        <v>10724</v>
      </c>
      <c r="G577" s="2004" t="s">
        <v>9207</v>
      </c>
      <c r="H577" s="2004" t="s">
        <v>10730</v>
      </c>
      <c r="I577" s="2004" t="s">
        <v>10731</v>
      </c>
      <c r="J577" s="2004" t="s">
        <v>9210</v>
      </c>
      <c r="K577" s="2004" t="s">
        <v>9200</v>
      </c>
      <c r="L577" s="2004" t="s">
        <v>2337</v>
      </c>
      <c r="M577" s="2004"/>
      <c r="N577" s="2004" t="s">
        <v>9238</v>
      </c>
      <c r="O577" s="2004" t="s">
        <v>734</v>
      </c>
      <c r="P577" s="2004" t="s">
        <v>9239</v>
      </c>
      <c r="Q577" s="516">
        <v>3</v>
      </c>
      <c r="R577" s="2004"/>
      <c r="S577" s="2004"/>
      <c r="T577" s="2004"/>
      <c r="U577" s="2004"/>
      <c r="V577" s="2004"/>
      <c r="W577" s="2004"/>
      <c r="X577" s="2004"/>
      <c r="Y577" s="2004"/>
      <c r="Z577" s="2004"/>
      <c r="AA577" s="2004"/>
      <c r="AB577" s="2004"/>
      <c r="AC577" s="2004"/>
      <c r="AD577" s="2004"/>
      <c r="AE577" s="2004"/>
      <c r="AF577" s="2004"/>
      <c r="AG577" s="2004"/>
      <c r="AH577" s="2004"/>
      <c r="AI577" s="2004"/>
      <c r="AJ577" s="2004"/>
      <c r="AK577" s="2004"/>
      <c r="AL577" s="2004"/>
      <c r="AM577" s="2004"/>
      <c r="AN577" s="2004"/>
      <c r="AO577" s="2004"/>
      <c r="AP577" s="2004"/>
      <c r="AQ577" s="2004"/>
      <c r="AR577" s="2004"/>
      <c r="AS577" s="2004"/>
      <c r="AT577" s="2004"/>
      <c r="AU577" s="2004"/>
      <c r="AV577" s="2004"/>
      <c r="AW577" s="2004"/>
      <c r="AX577" s="2004"/>
      <c r="AY577" s="2004"/>
      <c r="AZ577" s="2004"/>
      <c r="BA577" s="2004"/>
      <c r="BB577" s="2004"/>
      <c r="BC577" s="2004"/>
      <c r="BD577" s="2004"/>
      <c r="BE577" s="2004"/>
      <c r="BF577" s="2004"/>
      <c r="BG577" s="2004"/>
      <c r="BH577" s="2004"/>
      <c r="BI577" s="2004"/>
      <c r="BJ577" s="2004"/>
      <c r="BK577" s="2004"/>
      <c r="BL577" s="2004"/>
      <c r="BM577" s="2004"/>
      <c r="BN577" s="2004"/>
      <c r="BO577" s="2004"/>
      <c r="BQ577" s="2004"/>
      <c r="BR577" s="2004"/>
      <c r="BS577" s="2004"/>
      <c r="BT577" s="2004"/>
      <c r="BU577" s="2004"/>
      <c r="BV577" s="2004"/>
      <c r="BW577" s="2004"/>
      <c r="BX577" s="2004"/>
      <c r="BY577" s="2004"/>
      <c r="BZ577" s="2004"/>
      <c r="CA577" s="2004"/>
      <c r="CB577" s="2004"/>
      <c r="CC577" s="2004" t="s">
        <v>2335</v>
      </c>
      <c r="CH577" s="2004"/>
      <c r="CI577" s="2004">
        <v>99.94</v>
      </c>
      <c r="CJ577" s="2004" t="s">
        <v>2334</v>
      </c>
      <c r="CK577" s="2004" t="s">
        <v>2336</v>
      </c>
      <c r="CL577" s="2004">
        <v>-1.7070000000000001</v>
      </c>
      <c r="CM577" s="2004">
        <v>0</v>
      </c>
      <c r="CN577" s="2004">
        <v>0</v>
      </c>
      <c r="CP577" s="2004" t="s">
        <v>12256</v>
      </c>
    </row>
    <row r="578" spans="1:94">
      <c r="A578" s="2004" t="s">
        <v>9115</v>
      </c>
      <c r="B578" s="2004" t="s">
        <v>12257</v>
      </c>
      <c r="C578" s="2004" t="s">
        <v>9047</v>
      </c>
      <c r="D578" s="2004" t="s">
        <v>1628</v>
      </c>
      <c r="E578" s="2004" t="s">
        <v>9194</v>
      </c>
      <c r="F578" s="2004" t="s">
        <v>10724</v>
      </c>
      <c r="G578" s="2004" t="s">
        <v>9215</v>
      </c>
      <c r="H578" s="2004" t="s">
        <v>10734</v>
      </c>
      <c r="I578" s="2004" t="s">
        <v>10735</v>
      </c>
      <c r="J578" s="2004" t="s">
        <v>9210</v>
      </c>
      <c r="K578" s="2004" t="s">
        <v>9545</v>
      </c>
      <c r="L578" s="2004"/>
      <c r="M578" s="2004" t="s">
        <v>2334</v>
      </c>
      <c r="N578" s="2004" t="s">
        <v>9260</v>
      </c>
      <c r="O578" s="2004" t="s">
        <v>766</v>
      </c>
      <c r="P578" s="2004" t="s">
        <v>10736</v>
      </c>
      <c r="Q578" s="516">
        <v>0</v>
      </c>
      <c r="R578" s="2004"/>
      <c r="S578" s="2004"/>
      <c r="T578" s="2004"/>
      <c r="U578" s="2004"/>
      <c r="V578" s="2004"/>
      <c r="W578" s="2004"/>
      <c r="X578" s="2004"/>
      <c r="Y578" s="2004"/>
      <c r="Z578" s="2004"/>
      <c r="AA578" s="2004"/>
      <c r="AB578" s="2004"/>
      <c r="AC578" s="2004"/>
      <c r="AD578" s="2004"/>
      <c r="AE578" s="2004"/>
      <c r="AF578" s="2004"/>
      <c r="AG578" s="2004"/>
      <c r="AH578" s="2004"/>
      <c r="AI578" s="2004"/>
      <c r="AJ578" s="2004"/>
      <c r="AK578" s="2004"/>
      <c r="AL578" s="2004"/>
      <c r="AM578" s="2004"/>
      <c r="AN578" s="2004"/>
      <c r="AO578" s="2004"/>
      <c r="AP578" s="2004"/>
      <c r="AQ578" s="2004"/>
      <c r="AR578" s="2004"/>
      <c r="AS578" s="2004"/>
      <c r="AT578" s="2004"/>
      <c r="AU578" s="2004"/>
      <c r="AV578" s="2004"/>
      <c r="AW578" s="2004"/>
      <c r="AX578" s="2004"/>
      <c r="AY578" s="2004"/>
      <c r="AZ578" s="2004"/>
      <c r="BA578" s="2004"/>
      <c r="BB578" s="2004"/>
      <c r="BC578" s="2004"/>
      <c r="BD578" s="2004"/>
      <c r="BE578" s="2004"/>
      <c r="BF578" s="2004"/>
      <c r="BG578" s="2004"/>
      <c r="BH578" s="2004"/>
      <c r="BI578" s="2004"/>
      <c r="BJ578" s="2004"/>
      <c r="BK578" s="2004"/>
      <c r="BL578" s="2004"/>
      <c r="BM578" s="2004"/>
      <c r="BN578" s="2004"/>
      <c r="BO578" s="2004"/>
      <c r="BQ578" s="2004"/>
      <c r="BR578" s="2004"/>
      <c r="BS578" s="2004"/>
      <c r="BT578" s="2004"/>
      <c r="BU578" s="2004"/>
      <c r="BV578" s="2004"/>
      <c r="BW578" s="2004"/>
      <c r="BX578" s="2004"/>
      <c r="BY578" s="2004"/>
      <c r="BZ578" s="2004"/>
      <c r="CA578" s="2004"/>
      <c r="CB578" s="2004"/>
      <c r="CC578" s="2004" t="s">
        <v>2335</v>
      </c>
      <c r="CH578" s="2004"/>
      <c r="CI578" s="2004">
        <v>13</v>
      </c>
      <c r="CJ578" s="2004" t="s">
        <v>2334</v>
      </c>
      <c r="CK578" s="2004">
        <v>0</v>
      </c>
      <c r="CL578" s="2004">
        <v>0</v>
      </c>
      <c r="CM578" s="2004" t="s">
        <v>2336</v>
      </c>
      <c r="CN578" s="2004">
        <v>-3.7040000000000002</v>
      </c>
      <c r="CP578" s="2004" t="s">
        <v>12258</v>
      </c>
    </row>
    <row r="579" spans="1:94">
      <c r="A579" s="2004" t="s">
        <v>9115</v>
      </c>
      <c r="B579" s="2004" t="s">
        <v>12259</v>
      </c>
      <c r="C579" s="2004" t="s">
        <v>9047</v>
      </c>
      <c r="D579" s="2004" t="s">
        <v>1628</v>
      </c>
      <c r="E579" s="2004" t="s">
        <v>9194</v>
      </c>
      <c r="F579" s="2004" t="s">
        <v>10724</v>
      </c>
      <c r="G579" s="2004" t="s">
        <v>9221</v>
      </c>
      <c r="H579" s="2004" t="s">
        <v>10741</v>
      </c>
      <c r="I579" s="2004" t="s">
        <v>10742</v>
      </c>
      <c r="J579" s="2004" t="s">
        <v>9199</v>
      </c>
      <c r="K579" s="2004" t="s">
        <v>9200</v>
      </c>
      <c r="L579" s="2004" t="s">
        <v>2337</v>
      </c>
      <c r="M579" s="2004" t="s">
        <v>2334</v>
      </c>
      <c r="N579" s="2004" t="s">
        <v>10743</v>
      </c>
      <c r="O579" s="2004" t="s">
        <v>766</v>
      </c>
      <c r="P579" s="2004" t="s">
        <v>10744</v>
      </c>
      <c r="Q579" s="516">
        <v>0</v>
      </c>
      <c r="R579" s="2004"/>
      <c r="S579" s="2004"/>
      <c r="T579" s="2004"/>
      <c r="U579" s="2004"/>
      <c r="V579" s="2004"/>
      <c r="W579" s="2004"/>
      <c r="X579" s="2004"/>
      <c r="Y579" s="2004"/>
      <c r="Z579" s="2004"/>
      <c r="AA579" s="2004"/>
      <c r="AB579" s="2004"/>
      <c r="AC579" s="2004"/>
      <c r="AD579" s="2004"/>
      <c r="AE579" s="2004"/>
      <c r="AF579" s="2004"/>
      <c r="AG579" s="2004"/>
      <c r="AH579" s="2004"/>
      <c r="AI579" s="2004"/>
      <c r="AJ579" s="2004"/>
      <c r="AK579" s="2004"/>
      <c r="AL579" s="2004"/>
      <c r="AM579" s="2004"/>
      <c r="AN579" s="2004"/>
      <c r="AO579" s="2004"/>
      <c r="AP579" s="2004"/>
      <c r="AQ579" s="2004"/>
      <c r="AR579" s="2004"/>
      <c r="AS579" s="2004"/>
      <c r="AT579" s="2004"/>
      <c r="AU579" s="2004"/>
      <c r="AV579" s="2004"/>
      <c r="AW579" s="2004"/>
      <c r="AX579" s="2004"/>
      <c r="AY579" s="2004"/>
      <c r="AZ579" s="2004"/>
      <c r="BA579" s="2004"/>
      <c r="BB579" s="2004"/>
      <c r="BC579" s="2004"/>
      <c r="BD579" s="2004"/>
      <c r="BE579" s="2004"/>
      <c r="BF579" s="2004"/>
      <c r="BG579" s="2004"/>
      <c r="BH579" s="2004"/>
      <c r="BI579" s="2004"/>
      <c r="BJ579" s="2004"/>
      <c r="BK579" s="2004"/>
      <c r="BL579" s="2004"/>
      <c r="BM579" s="2004"/>
      <c r="BN579" s="2004"/>
      <c r="BO579" s="2004"/>
      <c r="BQ579" s="2004"/>
      <c r="BR579" s="2004"/>
      <c r="BS579" s="2004"/>
      <c r="BT579" s="2004"/>
      <c r="BU579" s="2004"/>
      <c r="BV579" s="2004"/>
      <c r="BW579" s="2004"/>
      <c r="BX579" s="2004"/>
      <c r="BY579" s="2004"/>
      <c r="BZ579" s="2004"/>
      <c r="CA579" s="2004"/>
      <c r="CB579" s="2004"/>
      <c r="CC579" s="2004" t="s">
        <v>2335</v>
      </c>
      <c r="CH579" s="2004"/>
      <c r="CI579" s="2004">
        <v>26</v>
      </c>
      <c r="CJ579" s="2004" t="s">
        <v>2337</v>
      </c>
      <c r="CK579" s="2004" t="s">
        <v>2339</v>
      </c>
      <c r="CL579" s="2004">
        <v>9.27</v>
      </c>
      <c r="CM579" s="2004">
        <v>0</v>
      </c>
      <c r="CN579" s="2004">
        <v>0</v>
      </c>
      <c r="CP579" s="2004" t="s">
        <v>12260</v>
      </c>
    </row>
    <row r="580" spans="1:94">
      <c r="A580" s="2004" t="s">
        <v>9115</v>
      </c>
      <c r="B580" s="2004" t="s">
        <v>12261</v>
      </c>
      <c r="C580" s="2004" t="s">
        <v>9047</v>
      </c>
      <c r="D580" s="2004" t="s">
        <v>1628</v>
      </c>
      <c r="E580" s="2004" t="s">
        <v>9194</v>
      </c>
      <c r="F580" s="2004" t="s">
        <v>10747</v>
      </c>
      <c r="G580" s="2004" t="s">
        <v>9235</v>
      </c>
      <c r="H580" s="2004" t="s">
        <v>10748</v>
      </c>
      <c r="I580" s="2004" t="s">
        <v>10749</v>
      </c>
      <c r="J580" s="2004" t="s">
        <v>9230</v>
      </c>
      <c r="K580" s="2004"/>
      <c r="L580" s="2004"/>
      <c r="M580" s="2004"/>
      <c r="N580" s="2004" t="s">
        <v>9224</v>
      </c>
      <c r="O580" s="2004" t="s">
        <v>766</v>
      </c>
      <c r="P580" s="2004" t="s">
        <v>9212</v>
      </c>
      <c r="Q580" s="516">
        <v>0</v>
      </c>
      <c r="R580" s="2004"/>
      <c r="S580" s="2004"/>
      <c r="T580" s="2004"/>
      <c r="U580" s="2004"/>
      <c r="V580" s="2004"/>
      <c r="W580" s="2004"/>
      <c r="X580" s="2004"/>
      <c r="Y580" s="2004"/>
      <c r="Z580" s="2004"/>
      <c r="AA580" s="2004"/>
      <c r="AB580" s="2004"/>
      <c r="AC580" s="2004"/>
      <c r="AD580" s="2004"/>
      <c r="AE580" s="2004"/>
      <c r="AF580" s="2004"/>
      <c r="AG580" s="2004"/>
      <c r="AH580" s="2004"/>
      <c r="AI580" s="2004"/>
      <c r="AJ580" s="2004"/>
      <c r="AK580" s="2004"/>
      <c r="AL580" s="2004"/>
      <c r="AM580" s="2004"/>
      <c r="AN580" s="2004"/>
      <c r="AO580" s="2004"/>
      <c r="AP580" s="2004"/>
      <c r="AQ580" s="2004"/>
      <c r="AR580" s="2004"/>
      <c r="AS580" s="2004"/>
      <c r="AT580" s="2004"/>
      <c r="AU580" s="2004"/>
      <c r="AV580" s="2004"/>
      <c r="AW580" s="2004"/>
      <c r="AX580" s="2004"/>
      <c r="AY580" s="2004"/>
      <c r="AZ580" s="2004"/>
      <c r="BA580" s="2004"/>
      <c r="BB580" s="2004"/>
      <c r="BC580" s="2004"/>
      <c r="BD580" s="2004"/>
      <c r="BE580" s="2004"/>
      <c r="BF580" s="2004"/>
      <c r="BG580" s="2004"/>
      <c r="BH580" s="2004"/>
      <c r="BI580" s="2004"/>
      <c r="BJ580" s="2004"/>
      <c r="BK580" s="2004"/>
      <c r="BL580" s="2004"/>
      <c r="BM580" s="2004"/>
      <c r="BN580" s="2004"/>
      <c r="BO580" s="2004"/>
      <c r="BQ580" s="2004"/>
      <c r="BR580" s="2004"/>
      <c r="BS580" s="2004"/>
      <c r="BT580" s="2004"/>
      <c r="BU580" s="2004"/>
      <c r="BV580" s="2004"/>
      <c r="BW580" s="2004"/>
      <c r="BX580" s="2004"/>
      <c r="BY580" s="2004"/>
      <c r="BZ580" s="2004"/>
      <c r="CA580" s="2004"/>
      <c r="CB580" s="2004"/>
      <c r="CC580" s="2004" t="s">
        <v>2335</v>
      </c>
      <c r="CH580" s="2004"/>
      <c r="CI580" s="2004">
        <v>225</v>
      </c>
      <c r="CJ580" s="2004" t="s">
        <v>2334</v>
      </c>
      <c r="CK580" s="2004">
        <v>0</v>
      </c>
      <c r="CL580" s="2004">
        <v>0</v>
      </c>
      <c r="CM580" s="2004">
        <v>0</v>
      </c>
      <c r="CN580" s="2004">
        <v>0</v>
      </c>
      <c r="CP580" s="2004" t="s">
        <v>12262</v>
      </c>
    </row>
    <row r="581" spans="1:94">
      <c r="A581" s="2004" t="s">
        <v>9115</v>
      </c>
      <c r="B581" s="2004" t="s">
        <v>12263</v>
      </c>
      <c r="C581" s="2004" t="s">
        <v>9047</v>
      </c>
      <c r="D581" s="2004" t="s">
        <v>1628</v>
      </c>
      <c r="E581" s="2004" t="s">
        <v>9194</v>
      </c>
      <c r="F581" s="2004" t="s">
        <v>10747</v>
      </c>
      <c r="G581" s="2004" t="s">
        <v>9243</v>
      </c>
      <c r="H581" s="2004" t="s">
        <v>10752</v>
      </c>
      <c r="I581" s="2004" t="s">
        <v>10753</v>
      </c>
      <c r="J581" s="2004" t="s">
        <v>9199</v>
      </c>
      <c r="K581" s="2004" t="s">
        <v>9200</v>
      </c>
      <c r="L581" s="2004" t="s">
        <v>2337</v>
      </c>
      <c r="M581" s="2004" t="s">
        <v>2334</v>
      </c>
      <c r="N581" s="2004" t="s">
        <v>2927</v>
      </c>
      <c r="O581" s="2004" t="s">
        <v>766</v>
      </c>
      <c r="P581" s="2004" t="s">
        <v>9201</v>
      </c>
      <c r="Q581" s="516">
        <v>0</v>
      </c>
      <c r="R581" s="2004"/>
      <c r="S581" s="2004"/>
      <c r="T581" s="2004"/>
      <c r="U581" s="2004"/>
      <c r="V581" s="2004"/>
      <c r="W581" s="2004"/>
      <c r="X581" s="2004"/>
      <c r="Y581" s="2004"/>
      <c r="Z581" s="2004"/>
      <c r="AA581" s="2004"/>
      <c r="AB581" s="2004"/>
      <c r="AC581" s="2004"/>
      <c r="AD581" s="2004"/>
      <c r="AE581" s="2004"/>
      <c r="AF581" s="2004"/>
      <c r="AG581" s="2004"/>
      <c r="AH581" s="2004"/>
      <c r="AI581" s="2004"/>
      <c r="AJ581" s="2004"/>
      <c r="AK581" s="2004"/>
      <c r="AL581" s="2004"/>
      <c r="AM581" s="2004"/>
      <c r="AN581" s="2004"/>
      <c r="AO581" s="2004"/>
      <c r="AP581" s="2004"/>
      <c r="AQ581" s="2004"/>
      <c r="AR581" s="2004"/>
      <c r="AS581" s="2004"/>
      <c r="AT581" s="2004"/>
      <c r="AU581" s="2004"/>
      <c r="AV581" s="2004"/>
      <c r="AW581" s="2004"/>
      <c r="AX581" s="2004"/>
      <c r="AY581" s="2004"/>
      <c r="AZ581" s="2004"/>
      <c r="BA581" s="2004"/>
      <c r="BB581" s="2004"/>
      <c r="BC581" s="2004"/>
      <c r="BD581" s="2004"/>
      <c r="BE581" s="2004"/>
      <c r="BF581" s="2004"/>
      <c r="BG581" s="2004"/>
      <c r="BH581" s="2004"/>
      <c r="BI581" s="2004"/>
      <c r="BJ581" s="2004"/>
      <c r="BK581" s="2004"/>
      <c r="BL581" s="2004"/>
      <c r="BM581" s="2004"/>
      <c r="BN581" s="2004"/>
      <c r="BO581" s="2004"/>
      <c r="BQ581" s="2004"/>
      <c r="BR581" s="2004"/>
      <c r="BS581" s="2004"/>
      <c r="BT581" s="2004"/>
      <c r="BU581" s="2004"/>
      <c r="BV581" s="2004"/>
      <c r="BW581" s="2004"/>
      <c r="BX581" s="2004"/>
      <c r="BY581" s="2004"/>
      <c r="BZ581" s="2004"/>
      <c r="CA581" s="2004"/>
      <c r="CB581" s="2004"/>
      <c r="CC581" s="2004" t="s">
        <v>2335</v>
      </c>
      <c r="CH581" s="2004"/>
      <c r="CI581" s="2004">
        <v>419.5</v>
      </c>
      <c r="CJ581" s="2004" t="s">
        <v>2337</v>
      </c>
      <c r="CK581" s="2004" t="s">
        <v>2336</v>
      </c>
      <c r="CL581" s="2004">
        <v>-2.2545999999999999</v>
      </c>
      <c r="CM581" s="2004">
        <v>0</v>
      </c>
      <c r="CN581" s="2004">
        <v>0</v>
      </c>
      <c r="CP581" s="2004" t="s">
        <v>12264</v>
      </c>
    </row>
    <row r="582" spans="1:94">
      <c r="A582" s="2004" t="s">
        <v>9115</v>
      </c>
      <c r="B582" s="2004" t="s">
        <v>12265</v>
      </c>
      <c r="C582" s="2004" t="s">
        <v>9047</v>
      </c>
      <c r="D582" s="2004" t="s">
        <v>1628</v>
      </c>
      <c r="E582" s="2004" t="s">
        <v>9194</v>
      </c>
      <c r="F582" s="2004" t="s">
        <v>10747</v>
      </c>
      <c r="G582" s="2004" t="s">
        <v>9775</v>
      </c>
      <c r="H582" s="2004" t="s">
        <v>10756</v>
      </c>
      <c r="I582" s="2004" t="s">
        <v>10757</v>
      </c>
      <c r="J582" s="2004" t="s">
        <v>9199</v>
      </c>
      <c r="K582" s="2004" t="s">
        <v>9200</v>
      </c>
      <c r="L582" s="2004" t="s">
        <v>2337</v>
      </c>
      <c r="M582" s="2004"/>
      <c r="N582" s="2004" t="s">
        <v>2927</v>
      </c>
      <c r="O582" s="2004" t="s">
        <v>734</v>
      </c>
      <c r="P582" s="2004" t="s">
        <v>10758</v>
      </c>
      <c r="Q582" s="516">
        <v>0</v>
      </c>
      <c r="R582" s="2004"/>
      <c r="S582" s="2004"/>
      <c r="T582" s="2004"/>
      <c r="U582" s="2004"/>
      <c r="V582" s="2004"/>
      <c r="W582" s="2004"/>
      <c r="X582" s="2004"/>
      <c r="Y582" s="2004"/>
      <c r="Z582" s="2004"/>
      <c r="AA582" s="2004"/>
      <c r="AB582" s="2004"/>
      <c r="AC582" s="2004"/>
      <c r="AD582" s="2004"/>
      <c r="AE582" s="2004"/>
      <c r="AF582" s="2004"/>
      <c r="AG582" s="2004"/>
      <c r="AH582" s="2004"/>
      <c r="AI582" s="2004"/>
      <c r="AJ582" s="2004"/>
      <c r="AK582" s="2004"/>
      <c r="AL582" s="2004"/>
      <c r="AM582" s="2004"/>
      <c r="AN582" s="2004"/>
      <c r="AO582" s="2004"/>
      <c r="AP582" s="2004"/>
      <c r="AQ582" s="2004"/>
      <c r="AR582" s="2004"/>
      <c r="AS582" s="2004"/>
      <c r="AT582" s="2004"/>
      <c r="AU582" s="2004"/>
      <c r="AV582" s="2004"/>
      <c r="AW582" s="2004"/>
      <c r="AX582" s="2004"/>
      <c r="AY582" s="2004"/>
      <c r="AZ582" s="2004"/>
      <c r="BA582" s="2004"/>
      <c r="BB582" s="2004"/>
      <c r="BC582" s="2004"/>
      <c r="BD582" s="2004"/>
      <c r="BE582" s="2004"/>
      <c r="BF582" s="2004"/>
      <c r="BG582" s="2004"/>
      <c r="BH582" s="2004"/>
      <c r="BI582" s="2004"/>
      <c r="BJ582" s="2004"/>
      <c r="BK582" s="2004"/>
      <c r="BL582" s="2004"/>
      <c r="BM582" s="2004"/>
      <c r="BN582" s="2004"/>
      <c r="BO582" s="2004"/>
      <c r="BQ582" s="2004"/>
      <c r="BR582" s="2004"/>
      <c r="BS582" s="2004"/>
      <c r="BT582" s="2004"/>
      <c r="BU582" s="2004"/>
      <c r="BV582" s="2004"/>
      <c r="BW582" s="2004"/>
      <c r="BX582" s="2004"/>
      <c r="BY582" s="2004"/>
      <c r="BZ582" s="2004"/>
      <c r="CA582" s="2004"/>
      <c r="CB582" s="2004"/>
      <c r="CC582" s="2004" t="s">
        <v>2335</v>
      </c>
      <c r="CH582" s="2004"/>
      <c r="CI582" s="2004">
        <v>32</v>
      </c>
      <c r="CJ582" s="2004" t="s">
        <v>2334</v>
      </c>
      <c r="CK582" s="2004" t="s">
        <v>2336</v>
      </c>
      <c r="CL582" s="2004">
        <v>-1.3265</v>
      </c>
      <c r="CM582" s="2004">
        <v>0</v>
      </c>
      <c r="CN582" s="2004">
        <v>0</v>
      </c>
      <c r="CP582" s="2004" t="s">
        <v>12266</v>
      </c>
    </row>
    <row r="583" spans="1:94">
      <c r="A583" s="2004" t="s">
        <v>9115</v>
      </c>
      <c r="B583" s="2004" t="s">
        <v>12267</v>
      </c>
      <c r="C583" s="2004" t="s">
        <v>9047</v>
      </c>
      <c r="D583" s="2004" t="s">
        <v>1628</v>
      </c>
      <c r="E583" s="2004" t="s">
        <v>9194</v>
      </c>
      <c r="F583" s="2004" t="s">
        <v>10747</v>
      </c>
      <c r="G583" s="2004" t="s">
        <v>10761</v>
      </c>
      <c r="H583" s="2004" t="s">
        <v>10762</v>
      </c>
      <c r="I583" s="2004" t="s">
        <v>10763</v>
      </c>
      <c r="J583" s="2004" t="s">
        <v>9199</v>
      </c>
      <c r="K583" s="2004" t="s">
        <v>9200</v>
      </c>
      <c r="L583" s="2004" t="s">
        <v>2337</v>
      </c>
      <c r="M583" s="2004" t="s">
        <v>2334</v>
      </c>
      <c r="N583" s="2004" t="s">
        <v>2951</v>
      </c>
      <c r="O583" s="2004" t="s">
        <v>9298</v>
      </c>
      <c r="P583" s="2004" t="s">
        <v>9299</v>
      </c>
      <c r="Q583" s="516">
        <v>2</v>
      </c>
      <c r="R583" s="2004"/>
      <c r="S583" s="2004"/>
      <c r="T583" s="2004"/>
      <c r="U583" s="2004"/>
      <c r="V583" s="2004"/>
      <c r="W583" s="2004"/>
      <c r="X583" s="2004"/>
      <c r="Y583" s="2004"/>
      <c r="Z583" s="2004"/>
      <c r="AA583" s="2004"/>
      <c r="AB583" s="2004"/>
      <c r="AC583" s="2004"/>
      <c r="AD583" s="2004"/>
      <c r="AE583" s="2004"/>
      <c r="AF583" s="2004"/>
      <c r="AG583" s="2004"/>
      <c r="AH583" s="2004"/>
      <c r="AI583" s="2004"/>
      <c r="AJ583" s="2004"/>
      <c r="AK583" s="2004"/>
      <c r="AL583" s="2004"/>
      <c r="AM583" s="2004"/>
      <c r="AN583" s="2004"/>
      <c r="AO583" s="2004"/>
      <c r="AP583" s="2004"/>
      <c r="AQ583" s="2004"/>
      <c r="AR583" s="2004"/>
      <c r="AS583" s="2004"/>
      <c r="AT583" s="2004"/>
      <c r="AU583" s="2004"/>
      <c r="AV583" s="2004"/>
      <c r="AW583" s="2004"/>
      <c r="AX583" s="2004"/>
      <c r="AY583" s="2004"/>
      <c r="AZ583" s="2004"/>
      <c r="BA583" s="2004"/>
      <c r="BB583" s="2004"/>
      <c r="BC583" s="2004"/>
      <c r="BD583" s="2004"/>
      <c r="BE583" s="2004"/>
      <c r="BF583" s="2004"/>
      <c r="BG583" s="2004"/>
      <c r="BH583" s="2004"/>
      <c r="BI583" s="2004"/>
      <c r="BJ583" s="2004"/>
      <c r="BK583" s="2004"/>
      <c r="BL583" s="2004"/>
      <c r="BM583" s="2004"/>
      <c r="BN583" s="2004"/>
      <c r="BO583" s="2004"/>
      <c r="BQ583" s="2004"/>
      <c r="BR583" s="2004"/>
      <c r="BS583" s="2004"/>
      <c r="BT583" s="2004"/>
      <c r="BU583" s="2004"/>
      <c r="BV583" s="2004"/>
      <c r="BW583" s="2004"/>
      <c r="BX583" s="2004"/>
      <c r="BY583" s="2004"/>
      <c r="BZ583" s="2004"/>
      <c r="CA583" s="2004"/>
      <c r="CB583" s="2004"/>
      <c r="CC583" s="2004" t="s">
        <v>2335</v>
      </c>
      <c r="CH583" s="2004"/>
      <c r="CI583" s="2004">
        <v>19.059999999999999</v>
      </c>
      <c r="CJ583" s="2004" t="s">
        <v>2334</v>
      </c>
      <c r="CK583" s="2004" t="s">
        <v>2336</v>
      </c>
      <c r="CL583" s="2004">
        <v>-7.7199</v>
      </c>
      <c r="CM583" s="2004">
        <v>0</v>
      </c>
      <c r="CN583" s="2004">
        <v>0</v>
      </c>
      <c r="CP583" s="2004" t="s">
        <v>12268</v>
      </c>
    </row>
    <row r="584" spans="1:94">
      <c r="A584" s="2004" t="s">
        <v>9115</v>
      </c>
      <c r="B584" s="2004" t="s">
        <v>12269</v>
      </c>
      <c r="C584" s="2004" t="s">
        <v>9047</v>
      </c>
      <c r="D584" s="2004" t="s">
        <v>1628</v>
      </c>
      <c r="E584" s="2004" t="s">
        <v>9194</v>
      </c>
      <c r="F584" s="2004" t="s">
        <v>10747</v>
      </c>
      <c r="G584" s="2004" t="s">
        <v>10766</v>
      </c>
      <c r="H584" s="2004" t="s">
        <v>10767</v>
      </c>
      <c r="I584" s="2004" t="s">
        <v>10768</v>
      </c>
      <c r="J584" s="2004" t="s">
        <v>9199</v>
      </c>
      <c r="K584" s="2004" t="s">
        <v>9200</v>
      </c>
      <c r="L584" s="2004"/>
      <c r="M584" s="2004"/>
      <c r="N584" s="2004" t="s">
        <v>5533</v>
      </c>
      <c r="O584" s="2004" t="s">
        <v>734</v>
      </c>
      <c r="P584" s="2004" t="s">
        <v>10769</v>
      </c>
      <c r="Q584" s="516">
        <v>1</v>
      </c>
      <c r="R584" s="2004"/>
      <c r="S584" s="2004"/>
      <c r="T584" s="2004"/>
      <c r="U584" s="2004"/>
      <c r="V584" s="2004"/>
      <c r="W584" s="2004"/>
      <c r="X584" s="2004"/>
      <c r="Y584" s="2004"/>
      <c r="Z584" s="2004"/>
      <c r="AA584" s="2004"/>
      <c r="AB584" s="2004"/>
      <c r="AC584" s="2004"/>
      <c r="AD584" s="2004"/>
      <c r="AE584" s="2004"/>
      <c r="AF584" s="2004"/>
      <c r="AG584" s="2004"/>
      <c r="AH584" s="2004"/>
      <c r="AI584" s="2004"/>
      <c r="AJ584" s="2004"/>
      <c r="AK584" s="2004"/>
      <c r="AL584" s="2004"/>
      <c r="AM584" s="2004"/>
      <c r="AN584" s="2004"/>
      <c r="AO584" s="2004"/>
      <c r="AP584" s="2004"/>
      <c r="AQ584" s="2004"/>
      <c r="AR584" s="2004"/>
      <c r="AS584" s="2004"/>
      <c r="AT584" s="2004"/>
      <c r="AU584" s="2004"/>
      <c r="AV584" s="2004"/>
      <c r="AW584" s="2004"/>
      <c r="AX584" s="2004"/>
      <c r="AY584" s="2004"/>
      <c r="AZ584" s="2004"/>
      <c r="BA584" s="2004"/>
      <c r="BB584" s="2004"/>
      <c r="BC584" s="2004"/>
      <c r="BD584" s="2004"/>
      <c r="BE584" s="2004"/>
      <c r="BF584" s="2004"/>
      <c r="BG584" s="2004"/>
      <c r="BH584" s="2004"/>
      <c r="BI584" s="2004"/>
      <c r="BJ584" s="2004"/>
      <c r="BK584" s="2004"/>
      <c r="BL584" s="2004"/>
      <c r="BM584" s="2004"/>
      <c r="BN584" s="2004"/>
      <c r="BO584" s="2004"/>
      <c r="BQ584" s="2004"/>
      <c r="BR584" s="2004"/>
      <c r="BS584" s="2004"/>
      <c r="BT584" s="2004"/>
      <c r="BU584" s="2004"/>
      <c r="BV584" s="2004"/>
      <c r="BW584" s="2004"/>
      <c r="BX584" s="2004"/>
      <c r="BY584" s="2004"/>
      <c r="BZ584" s="2004"/>
      <c r="CA584" s="2004"/>
      <c r="CB584" s="2004"/>
      <c r="CC584" s="2004" t="s">
        <v>2335</v>
      </c>
      <c r="CH584" s="2004"/>
      <c r="CI584" s="2004">
        <v>78.100000000000009</v>
      </c>
      <c r="CJ584" s="2004" t="s">
        <v>2335</v>
      </c>
      <c r="CK584" s="2004">
        <v>0</v>
      </c>
      <c r="CL584" s="2004">
        <v>0</v>
      </c>
      <c r="CM584" s="2004">
        <v>0</v>
      </c>
      <c r="CN584" s="2004">
        <v>0</v>
      </c>
      <c r="CP584" s="2004" t="s">
        <v>12270</v>
      </c>
    </row>
    <row r="585" spans="1:94">
      <c r="A585" s="2004" t="s">
        <v>9115</v>
      </c>
      <c r="B585" s="2004" t="s">
        <v>12271</v>
      </c>
      <c r="C585" s="2004" t="s">
        <v>9047</v>
      </c>
      <c r="D585" s="2004" t="s">
        <v>1628</v>
      </c>
      <c r="E585" s="2004" t="s">
        <v>9194</v>
      </c>
      <c r="F585" s="2004" t="s">
        <v>10747</v>
      </c>
      <c r="G585" s="2004" t="s">
        <v>10772</v>
      </c>
      <c r="H585" s="2004" t="s">
        <v>10773</v>
      </c>
      <c r="I585" s="2004" t="s">
        <v>10774</v>
      </c>
      <c r="J585" s="2004" t="s">
        <v>9210</v>
      </c>
      <c r="K585" s="2004" t="s">
        <v>9545</v>
      </c>
      <c r="L585" s="2004"/>
      <c r="M585" s="2004" t="s">
        <v>2334</v>
      </c>
      <c r="N585" s="2004" t="s">
        <v>9260</v>
      </c>
      <c r="O585" s="2004" t="s">
        <v>766</v>
      </c>
      <c r="P585" s="2004" t="s">
        <v>9261</v>
      </c>
      <c r="Q585" s="516">
        <v>0</v>
      </c>
      <c r="R585" s="2004"/>
      <c r="S585" s="2004"/>
      <c r="T585" s="2004"/>
      <c r="U585" s="2004"/>
      <c r="V585" s="2004"/>
      <c r="W585" s="2004"/>
      <c r="X585" s="2004"/>
      <c r="Y585" s="2004"/>
      <c r="Z585" s="2004"/>
      <c r="AA585" s="2004"/>
      <c r="AB585" s="2004"/>
      <c r="AC585" s="2004"/>
      <c r="AD585" s="2004"/>
      <c r="AE585" s="2004"/>
      <c r="AF585" s="2004"/>
      <c r="AG585" s="2004"/>
      <c r="AH585" s="2004"/>
      <c r="AI585" s="2004"/>
      <c r="AJ585" s="2004"/>
      <c r="AK585" s="2004"/>
      <c r="AL585" s="2004"/>
      <c r="AM585" s="2004"/>
      <c r="AN585" s="2004"/>
      <c r="AO585" s="2004"/>
      <c r="AP585" s="2004"/>
      <c r="AQ585" s="2004"/>
      <c r="AR585" s="2004"/>
      <c r="AS585" s="2004"/>
      <c r="AT585" s="2004"/>
      <c r="AU585" s="2004"/>
      <c r="AV585" s="2004"/>
      <c r="AW585" s="2004"/>
      <c r="AX585" s="2004"/>
      <c r="AY585" s="2004"/>
      <c r="AZ585" s="2004"/>
      <c r="BA585" s="2004"/>
      <c r="BB585" s="2004"/>
      <c r="BC585" s="2004"/>
      <c r="BD585" s="2004"/>
      <c r="BE585" s="2004"/>
      <c r="BF585" s="2004"/>
      <c r="BG585" s="2004"/>
      <c r="BH585" s="2004"/>
      <c r="BI585" s="2004"/>
      <c r="BJ585" s="2004"/>
      <c r="BK585" s="2004"/>
      <c r="BL585" s="2004"/>
      <c r="BM585" s="2004"/>
      <c r="BN585" s="2004"/>
      <c r="BO585" s="2004"/>
      <c r="BQ585" s="2004"/>
      <c r="BR585" s="2004"/>
      <c r="BS585" s="2004"/>
      <c r="BT585" s="2004"/>
      <c r="BU585" s="2004"/>
      <c r="BV585" s="2004"/>
      <c r="BW585" s="2004"/>
      <c r="BX585" s="2004"/>
      <c r="BY585" s="2004"/>
      <c r="BZ585" s="2004"/>
      <c r="CA585" s="2004"/>
      <c r="CB585" s="2004"/>
      <c r="CC585" s="2004" t="s">
        <v>2335</v>
      </c>
      <c r="CH585" s="2004"/>
      <c r="CI585" s="2004">
        <v>6453</v>
      </c>
      <c r="CJ585" s="2004" t="s">
        <v>2337</v>
      </c>
      <c r="CK585" s="2004">
        <v>0</v>
      </c>
      <c r="CL585" s="2004">
        <v>0</v>
      </c>
      <c r="CM585" s="2004">
        <v>0</v>
      </c>
      <c r="CN585" s="2004">
        <v>0</v>
      </c>
      <c r="CP585" s="2004" t="s">
        <v>12272</v>
      </c>
    </row>
    <row r="586" spans="1:94">
      <c r="A586" s="2004" t="s">
        <v>9115</v>
      </c>
      <c r="B586" s="2004" t="s">
        <v>12273</v>
      </c>
      <c r="C586" s="2004" t="s">
        <v>9047</v>
      </c>
      <c r="D586" s="2004" t="s">
        <v>1628</v>
      </c>
      <c r="E586" s="2004" t="s">
        <v>9194</v>
      </c>
      <c r="F586" s="2004" t="s">
        <v>10747</v>
      </c>
      <c r="G586" s="2004" t="s">
        <v>10778</v>
      </c>
      <c r="H586" s="2004" t="s">
        <v>10779</v>
      </c>
      <c r="I586" s="2004" t="s">
        <v>10780</v>
      </c>
      <c r="J586" s="2004" t="s">
        <v>9199</v>
      </c>
      <c r="K586" s="2004" t="s">
        <v>9200</v>
      </c>
      <c r="L586" s="2004" t="s">
        <v>2337</v>
      </c>
      <c r="M586" s="2004"/>
      <c r="N586" s="2004" t="s">
        <v>9304</v>
      </c>
      <c r="O586" s="2004" t="s">
        <v>766</v>
      </c>
      <c r="P586" s="2004" t="s">
        <v>10781</v>
      </c>
      <c r="Q586" s="516">
        <v>0</v>
      </c>
      <c r="R586" s="2004"/>
      <c r="S586" s="2004"/>
      <c r="T586" s="2004"/>
      <c r="U586" s="2004"/>
      <c r="V586" s="2004"/>
      <c r="W586" s="2004"/>
      <c r="X586" s="2004"/>
      <c r="Y586" s="2004"/>
      <c r="Z586" s="2004"/>
      <c r="AA586" s="2004"/>
      <c r="AB586" s="2004"/>
      <c r="AC586" s="2004"/>
      <c r="AD586" s="2004"/>
      <c r="AE586" s="2004"/>
      <c r="AF586" s="2004"/>
      <c r="AG586" s="2004"/>
      <c r="AH586" s="2004"/>
      <c r="AI586" s="2004"/>
      <c r="AJ586" s="2004"/>
      <c r="AK586" s="2004"/>
      <c r="AL586" s="2004"/>
      <c r="AM586" s="2004"/>
      <c r="AN586" s="2004"/>
      <c r="AO586" s="2004"/>
      <c r="AP586" s="2004"/>
      <c r="AQ586" s="2004"/>
      <c r="AR586" s="2004"/>
      <c r="AS586" s="2004"/>
      <c r="AT586" s="2004"/>
      <c r="AU586" s="2004"/>
      <c r="AV586" s="2004"/>
      <c r="AW586" s="2004"/>
      <c r="AX586" s="2004"/>
      <c r="AY586" s="2004"/>
      <c r="AZ586" s="2004"/>
      <c r="BA586" s="2004"/>
      <c r="BB586" s="2004"/>
      <c r="BC586" s="2004"/>
      <c r="BD586" s="2004"/>
      <c r="BE586" s="2004"/>
      <c r="BF586" s="2004"/>
      <c r="BG586" s="2004"/>
      <c r="BH586" s="2004"/>
      <c r="BI586" s="2004"/>
      <c r="BJ586" s="2004"/>
      <c r="BK586" s="2004"/>
      <c r="BL586" s="2004"/>
      <c r="BM586" s="2004"/>
      <c r="BN586" s="2004"/>
      <c r="BO586" s="2004"/>
      <c r="BQ586" s="2004"/>
      <c r="BR586" s="2004"/>
      <c r="BS586" s="2004"/>
      <c r="BT586" s="2004"/>
      <c r="BU586" s="2004"/>
      <c r="BV586" s="2004"/>
      <c r="BW586" s="2004"/>
      <c r="BX586" s="2004"/>
      <c r="BY586" s="2004"/>
      <c r="BZ586" s="2004"/>
      <c r="CA586" s="2004"/>
      <c r="CB586" s="2004"/>
      <c r="CC586" s="2004" t="s">
        <v>2335</v>
      </c>
      <c r="CH586" s="2004"/>
      <c r="CI586" s="2004">
        <v>158</v>
      </c>
      <c r="CJ586" s="2004" t="s">
        <v>2337</v>
      </c>
      <c r="CK586" s="2004" t="s">
        <v>2336</v>
      </c>
      <c r="CL586" s="2004">
        <v>-1.975E-2</v>
      </c>
      <c r="CM586" s="2004">
        <v>0</v>
      </c>
      <c r="CN586" s="2004">
        <v>0</v>
      </c>
      <c r="CP586" s="2004" t="s">
        <v>12274</v>
      </c>
    </row>
    <row r="587" spans="1:94">
      <c r="A587" s="2004" t="s">
        <v>9115</v>
      </c>
      <c r="B587" s="2004" t="s">
        <v>12275</v>
      </c>
      <c r="C587" s="2004" t="s">
        <v>9047</v>
      </c>
      <c r="D587" s="2004" t="s">
        <v>1628</v>
      </c>
      <c r="E587" s="2004" t="s">
        <v>9194</v>
      </c>
      <c r="F587" s="2004" t="s">
        <v>10747</v>
      </c>
      <c r="G587" s="2004" t="s">
        <v>10784</v>
      </c>
      <c r="H587" s="2004" t="s">
        <v>10785</v>
      </c>
      <c r="I587" s="2004" t="s">
        <v>10786</v>
      </c>
      <c r="J587" s="2004" t="s">
        <v>9199</v>
      </c>
      <c r="K587" s="2004" t="s">
        <v>9200</v>
      </c>
      <c r="L587" s="2004" t="s">
        <v>2337</v>
      </c>
      <c r="M587" s="2004" t="s">
        <v>2334</v>
      </c>
      <c r="N587" s="2004" t="s">
        <v>9326</v>
      </c>
      <c r="O587" s="2004" t="s">
        <v>766</v>
      </c>
      <c r="P587" s="2004" t="s">
        <v>10787</v>
      </c>
      <c r="Q587" s="516">
        <v>0</v>
      </c>
      <c r="R587" s="2004"/>
      <c r="S587" s="2004"/>
      <c r="T587" s="2004"/>
      <c r="U587" s="2004"/>
      <c r="V587" s="2004"/>
      <c r="W587" s="2004"/>
      <c r="X587" s="2004"/>
      <c r="Y587" s="2004"/>
      <c r="Z587" s="2004"/>
      <c r="AA587" s="2004"/>
      <c r="AB587" s="2004"/>
      <c r="AC587" s="2004"/>
      <c r="AD587" s="2004"/>
      <c r="AE587" s="2004"/>
      <c r="AF587" s="2004"/>
      <c r="AG587" s="2004"/>
      <c r="AH587" s="2004"/>
      <c r="AI587" s="2004"/>
      <c r="AJ587" s="2004"/>
      <c r="AK587" s="2004"/>
      <c r="AL587" s="2004"/>
      <c r="AM587" s="2004"/>
      <c r="AN587" s="2004"/>
      <c r="AO587" s="2004"/>
      <c r="AP587" s="2004"/>
      <c r="AQ587" s="2004"/>
      <c r="AR587" s="2004"/>
      <c r="AS587" s="2004"/>
      <c r="AT587" s="2004"/>
      <c r="AU587" s="2004"/>
      <c r="AV587" s="2004"/>
      <c r="AW587" s="2004"/>
      <c r="AX587" s="2004"/>
      <c r="AY587" s="2004"/>
      <c r="AZ587" s="2004"/>
      <c r="BA587" s="2004"/>
      <c r="BB587" s="2004"/>
      <c r="BC587" s="2004"/>
      <c r="BD587" s="2004"/>
      <c r="BE587" s="2004"/>
      <c r="BF587" s="2004"/>
      <c r="BG587" s="2004"/>
      <c r="BH587" s="2004"/>
      <c r="BI587" s="2004"/>
      <c r="BJ587" s="2004"/>
      <c r="BK587" s="2004"/>
      <c r="BL587" s="2004"/>
      <c r="BM587" s="2004"/>
      <c r="BN587" s="2004"/>
      <c r="BO587" s="2004"/>
      <c r="BQ587" s="2004"/>
      <c r="BR587" s="2004"/>
      <c r="BS587" s="2004"/>
      <c r="BT587" s="2004"/>
      <c r="BU587" s="2004"/>
      <c r="BV587" s="2004"/>
      <c r="BW587" s="2004"/>
      <c r="BX587" s="2004"/>
      <c r="BY587" s="2004"/>
      <c r="BZ587" s="2004"/>
      <c r="CA587" s="2004"/>
      <c r="CB587" s="2004"/>
      <c r="CC587" s="2004" t="s">
        <v>2335</v>
      </c>
      <c r="CH587" s="2004"/>
      <c r="CI587" s="2004">
        <v>0</v>
      </c>
      <c r="CJ587" s="2004" t="s">
        <v>2337</v>
      </c>
      <c r="CK587" s="2004">
        <v>0</v>
      </c>
      <c r="CL587" s="2004">
        <v>0</v>
      </c>
      <c r="CM587" s="2004">
        <v>0</v>
      </c>
      <c r="CN587" s="2004">
        <v>0</v>
      </c>
      <c r="CP587" s="2004" t="s">
        <v>12276</v>
      </c>
    </row>
    <row r="588" spans="1:94">
      <c r="A588" s="2004" t="s">
        <v>9115</v>
      </c>
      <c r="B588" s="2004" t="s">
        <v>12277</v>
      </c>
      <c r="C588" s="2004" t="s">
        <v>9047</v>
      </c>
      <c r="D588" s="2004" t="s">
        <v>1628</v>
      </c>
      <c r="E588" s="2004" t="s">
        <v>9194</v>
      </c>
      <c r="F588" s="2004" t="s">
        <v>10747</v>
      </c>
      <c r="G588" s="2004" t="s">
        <v>10790</v>
      </c>
      <c r="H588" s="2004" t="s">
        <v>10791</v>
      </c>
      <c r="I588" s="2004" t="s">
        <v>10792</v>
      </c>
      <c r="J588" s="2004" t="s">
        <v>9210</v>
      </c>
      <c r="K588" s="2004" t="s">
        <v>9200</v>
      </c>
      <c r="L588" s="2004"/>
      <c r="M588" s="2004" t="s">
        <v>2334</v>
      </c>
      <c r="N588" s="2004" t="s">
        <v>5533</v>
      </c>
      <c r="O588" s="2004" t="s">
        <v>9487</v>
      </c>
      <c r="P588" s="2004" t="s">
        <v>10793</v>
      </c>
      <c r="Q588" s="516" t="s">
        <v>9203</v>
      </c>
      <c r="R588" s="2004"/>
      <c r="S588" s="2004"/>
      <c r="T588" s="2004"/>
      <c r="U588" s="2004"/>
      <c r="V588" s="2004"/>
      <c r="W588" s="2004"/>
      <c r="X588" s="2004"/>
      <c r="Y588" s="2004"/>
      <c r="Z588" s="2004"/>
      <c r="AA588" s="2004"/>
      <c r="AB588" s="2004"/>
      <c r="AC588" s="2004"/>
      <c r="AD588" s="2004"/>
      <c r="AE588" s="2004"/>
      <c r="AF588" s="2004"/>
      <c r="AG588" s="2004"/>
      <c r="AH588" s="2004"/>
      <c r="AI588" s="2004"/>
      <c r="AJ588" s="2004"/>
      <c r="AK588" s="2004"/>
      <c r="AL588" s="2004"/>
      <c r="AM588" s="2004"/>
      <c r="AN588" s="2004"/>
      <c r="AO588" s="2004"/>
      <c r="AP588" s="2004"/>
      <c r="AQ588" s="2004"/>
      <c r="AR588" s="2004"/>
      <c r="AS588" s="2004"/>
      <c r="AT588" s="2004"/>
      <c r="AU588" s="2004"/>
      <c r="AV588" s="2004"/>
      <c r="AW588" s="2004"/>
      <c r="AX588" s="2004"/>
      <c r="AY588" s="2004"/>
      <c r="AZ588" s="2004"/>
      <c r="BA588" s="2004"/>
      <c r="BB588" s="2004"/>
      <c r="BC588" s="2004"/>
      <c r="BD588" s="2004"/>
      <c r="BE588" s="2004"/>
      <c r="BF588" s="2004"/>
      <c r="BG588" s="2004"/>
      <c r="BH588" s="2004"/>
      <c r="BI588" s="2004"/>
      <c r="BJ588" s="2004"/>
      <c r="BK588" s="2004"/>
      <c r="BL588" s="2004"/>
      <c r="BM588" s="2004"/>
      <c r="BN588" s="2004"/>
      <c r="BO588" s="2004"/>
      <c r="BQ588" s="2004"/>
      <c r="BR588" s="2004"/>
      <c r="BS588" s="2004"/>
      <c r="BT588" s="2004"/>
      <c r="BU588" s="2004"/>
      <c r="BV588" s="2004"/>
      <c r="BW588" s="2004"/>
      <c r="BX588" s="2004"/>
      <c r="BY588" s="2004"/>
      <c r="BZ588" s="2004"/>
      <c r="CA588" s="2004"/>
      <c r="CB588" s="2004"/>
      <c r="CC588" s="2004" t="s">
        <v>2335</v>
      </c>
      <c r="CH588" s="2004"/>
      <c r="CI588" s="2004" t="s">
        <v>10797</v>
      </c>
      <c r="CJ588" s="2004" t="s">
        <v>2337</v>
      </c>
      <c r="CK588" s="2004">
        <v>0</v>
      </c>
      <c r="CL588" s="2004">
        <v>0</v>
      </c>
      <c r="CM588" s="2004">
        <v>0</v>
      </c>
      <c r="CN588" s="2004">
        <v>0</v>
      </c>
      <c r="CP588" s="2004" t="s">
        <v>12278</v>
      </c>
    </row>
    <row r="589" spans="1:94">
      <c r="A589" s="2004" t="s">
        <v>9115</v>
      </c>
      <c r="B589" s="2004" t="s">
        <v>12279</v>
      </c>
      <c r="C589" s="2004" t="s">
        <v>9047</v>
      </c>
      <c r="D589" s="2004" t="s">
        <v>1628</v>
      </c>
      <c r="E589" s="2004" t="s">
        <v>9194</v>
      </c>
      <c r="F589" s="2004" t="s">
        <v>10747</v>
      </c>
      <c r="G589" s="2004" t="s">
        <v>10800</v>
      </c>
      <c r="H589" s="2004" t="s">
        <v>10801</v>
      </c>
      <c r="I589" s="2004" t="s">
        <v>10802</v>
      </c>
      <c r="J589" s="2004" t="s">
        <v>9210</v>
      </c>
      <c r="K589" s="2004" t="s">
        <v>9545</v>
      </c>
      <c r="L589" s="2004"/>
      <c r="M589" s="2004" t="s">
        <v>2334</v>
      </c>
      <c r="N589" s="2004" t="s">
        <v>5533</v>
      </c>
      <c r="O589" s="2004" t="s">
        <v>9487</v>
      </c>
      <c r="P589" s="2004" t="s">
        <v>10793</v>
      </c>
      <c r="Q589" s="516" t="s">
        <v>9203</v>
      </c>
      <c r="R589" s="2004"/>
      <c r="S589" s="2004"/>
      <c r="T589" s="2004"/>
      <c r="U589" s="2004"/>
      <c r="V589" s="2004"/>
      <c r="W589" s="2004"/>
      <c r="X589" s="2004"/>
      <c r="Y589" s="2004"/>
      <c r="Z589" s="2004"/>
      <c r="AA589" s="2004"/>
      <c r="AB589" s="2004"/>
      <c r="AC589" s="2004"/>
      <c r="AD589" s="2004"/>
      <c r="AE589" s="2004"/>
      <c r="AF589" s="2004"/>
      <c r="AG589" s="2004"/>
      <c r="AH589" s="2004"/>
      <c r="AI589" s="2004"/>
      <c r="AJ589" s="2004"/>
      <c r="AK589" s="2004"/>
      <c r="AL589" s="2004"/>
      <c r="AM589" s="2004"/>
      <c r="AN589" s="2004"/>
      <c r="AO589" s="2004"/>
      <c r="AP589" s="2004"/>
      <c r="AQ589" s="2004"/>
      <c r="AR589" s="2004"/>
      <c r="AS589" s="2004"/>
      <c r="AT589" s="2004"/>
      <c r="AU589" s="2004"/>
      <c r="AV589" s="2004"/>
      <c r="AW589" s="2004"/>
      <c r="AX589" s="2004"/>
      <c r="AY589" s="2004"/>
      <c r="AZ589" s="2004"/>
      <c r="BA589" s="2004"/>
      <c r="BB589" s="2004"/>
      <c r="BC589" s="2004"/>
      <c r="BD589" s="2004"/>
      <c r="BE589" s="2004"/>
      <c r="BF589" s="2004"/>
      <c r="BG589" s="2004"/>
      <c r="BH589" s="2004"/>
      <c r="BI589" s="2004"/>
      <c r="BJ589" s="2004"/>
      <c r="BK589" s="2004"/>
      <c r="BL589" s="2004"/>
      <c r="BM589" s="2004"/>
      <c r="BN589" s="2004"/>
      <c r="BO589" s="2004"/>
      <c r="BQ589" s="2004"/>
      <c r="BR589" s="2004"/>
      <c r="BS589" s="2004"/>
      <c r="BT589" s="2004"/>
      <c r="BU589" s="2004"/>
      <c r="BV589" s="2004"/>
      <c r="BW589" s="2004"/>
      <c r="BX589" s="2004"/>
      <c r="BY589" s="2004"/>
      <c r="BZ589" s="2004"/>
      <c r="CA589" s="2004"/>
      <c r="CB589" s="2004"/>
      <c r="CC589" s="2004" t="s">
        <v>2335</v>
      </c>
      <c r="CH589" s="2004"/>
      <c r="CI589" s="2004" t="s">
        <v>10797</v>
      </c>
      <c r="CJ589" s="2004" t="s">
        <v>2337</v>
      </c>
      <c r="CK589" s="2004">
        <v>0</v>
      </c>
      <c r="CL589" s="2004">
        <v>0</v>
      </c>
      <c r="CM589" s="2004">
        <v>0</v>
      </c>
      <c r="CN589" s="2004">
        <v>0</v>
      </c>
      <c r="CP589" s="2004" t="s">
        <v>12280</v>
      </c>
    </row>
    <row r="590" spans="1:94">
      <c r="A590" s="2004" t="s">
        <v>9115</v>
      </c>
      <c r="B590" s="2004" t="s">
        <v>12281</v>
      </c>
      <c r="C590" s="2004" t="s">
        <v>9047</v>
      </c>
      <c r="D590" s="2004" t="s">
        <v>1628</v>
      </c>
      <c r="E590" s="2004" t="s">
        <v>9194</v>
      </c>
      <c r="F590" s="2004" t="s">
        <v>10747</v>
      </c>
      <c r="G590" s="2004" t="s">
        <v>10805</v>
      </c>
      <c r="H590" s="2004" t="s">
        <v>10806</v>
      </c>
      <c r="I590" s="2004" t="s">
        <v>10807</v>
      </c>
      <c r="J590" s="2004" t="s">
        <v>9210</v>
      </c>
      <c r="K590" s="2004" t="s">
        <v>9200</v>
      </c>
      <c r="L590" s="2004"/>
      <c r="M590" s="2004" t="s">
        <v>2334</v>
      </c>
      <c r="N590" s="2004" t="s">
        <v>5533</v>
      </c>
      <c r="O590" s="2004" t="s">
        <v>9487</v>
      </c>
      <c r="P590" s="2004" t="s">
        <v>10793</v>
      </c>
      <c r="Q590" s="516" t="s">
        <v>9203</v>
      </c>
      <c r="R590" s="2004"/>
      <c r="S590" s="2004"/>
      <c r="T590" s="2004"/>
      <c r="U590" s="2004"/>
      <c r="V590" s="2004"/>
      <c r="W590" s="2004"/>
      <c r="X590" s="2004"/>
      <c r="Y590" s="2004"/>
      <c r="Z590" s="2004"/>
      <c r="AA590" s="2004"/>
      <c r="AB590" s="2004"/>
      <c r="AC590" s="2004"/>
      <c r="AD590" s="2004"/>
      <c r="AE590" s="2004"/>
      <c r="AF590" s="2004"/>
      <c r="AG590" s="2004"/>
      <c r="AH590" s="2004"/>
      <c r="AI590" s="2004"/>
      <c r="AJ590" s="2004"/>
      <c r="AK590" s="2004"/>
      <c r="AL590" s="2004"/>
      <c r="AM590" s="2004"/>
      <c r="AN590" s="2004"/>
      <c r="AO590" s="2004"/>
      <c r="AP590" s="2004"/>
      <c r="AQ590" s="2004"/>
      <c r="AR590" s="2004"/>
      <c r="AS590" s="2004"/>
      <c r="AT590" s="2004"/>
      <c r="AU590" s="2004"/>
      <c r="AV590" s="2004"/>
      <c r="AW590" s="2004"/>
      <c r="AX590" s="2004"/>
      <c r="AY590" s="2004"/>
      <c r="AZ590" s="2004"/>
      <c r="BA590" s="2004"/>
      <c r="BB590" s="2004"/>
      <c r="BC590" s="2004"/>
      <c r="BD590" s="2004"/>
      <c r="BE590" s="2004"/>
      <c r="BF590" s="2004"/>
      <c r="BG590" s="2004"/>
      <c r="BH590" s="2004"/>
      <c r="BI590" s="2004"/>
      <c r="BJ590" s="2004"/>
      <c r="BK590" s="2004"/>
      <c r="BL590" s="2004"/>
      <c r="BM590" s="2004"/>
      <c r="BN590" s="2004"/>
      <c r="BO590" s="2004"/>
      <c r="BQ590" s="2004"/>
      <c r="BR590" s="2004"/>
      <c r="BS590" s="2004"/>
      <c r="BT590" s="2004"/>
      <c r="BU590" s="2004"/>
      <c r="BV590" s="2004"/>
      <c r="BW590" s="2004"/>
      <c r="BX590" s="2004"/>
      <c r="BY590" s="2004"/>
      <c r="BZ590" s="2004"/>
      <c r="CA590" s="2004"/>
      <c r="CB590" s="2004"/>
      <c r="CC590" s="2004" t="s">
        <v>2335</v>
      </c>
      <c r="CH590" s="2004"/>
      <c r="CI590" s="2004" t="s">
        <v>10797</v>
      </c>
      <c r="CJ590" s="2004" t="s">
        <v>2337</v>
      </c>
      <c r="CK590" s="2004">
        <v>0</v>
      </c>
      <c r="CL590" s="2004">
        <v>0</v>
      </c>
      <c r="CM590" s="2004">
        <v>0</v>
      </c>
      <c r="CN590" s="2004">
        <v>0</v>
      </c>
      <c r="CP590" s="2004" t="s">
        <v>12282</v>
      </c>
    </row>
    <row r="591" spans="1:94">
      <c r="A591" s="2004" t="s">
        <v>9115</v>
      </c>
      <c r="B591" s="2004" t="s">
        <v>12283</v>
      </c>
      <c r="C591" s="2004" t="s">
        <v>9047</v>
      </c>
      <c r="D591" s="2004" t="s">
        <v>1628</v>
      </c>
      <c r="E591" s="2004" t="s">
        <v>9194</v>
      </c>
      <c r="F591" s="2004" t="s">
        <v>10747</v>
      </c>
      <c r="G591" s="2004" t="s">
        <v>10812</v>
      </c>
      <c r="H591" s="2004" t="s">
        <v>10813</v>
      </c>
      <c r="I591" s="2004" t="s">
        <v>10814</v>
      </c>
      <c r="J591" s="2004" t="s">
        <v>9210</v>
      </c>
      <c r="K591" s="2004" t="s">
        <v>9545</v>
      </c>
      <c r="L591" s="2004"/>
      <c r="M591" s="2004" t="s">
        <v>2334</v>
      </c>
      <c r="N591" s="2004" t="s">
        <v>5533</v>
      </c>
      <c r="O591" s="2004" t="s">
        <v>9487</v>
      </c>
      <c r="P591" s="2004" t="s">
        <v>10793</v>
      </c>
      <c r="Q591" s="516" t="s">
        <v>9203</v>
      </c>
      <c r="R591" s="2004"/>
      <c r="S591" s="2004"/>
      <c r="T591" s="2004"/>
      <c r="U591" s="2004"/>
      <c r="V591" s="2004"/>
      <c r="W591" s="2004"/>
      <c r="X591" s="2004"/>
      <c r="Y591" s="2004"/>
      <c r="Z591" s="2004"/>
      <c r="AA591" s="2004"/>
      <c r="AB591" s="2004"/>
      <c r="AC591" s="2004"/>
      <c r="AD591" s="2004"/>
      <c r="AE591" s="2004"/>
      <c r="AF591" s="2004"/>
      <c r="AG591" s="2004"/>
      <c r="AH591" s="2004"/>
      <c r="AI591" s="2004"/>
      <c r="AJ591" s="2004"/>
      <c r="AK591" s="2004"/>
      <c r="AL591" s="2004"/>
      <c r="AM591" s="2004"/>
      <c r="AN591" s="2004"/>
      <c r="AO591" s="2004"/>
      <c r="AP591" s="2004"/>
      <c r="AQ591" s="2004"/>
      <c r="AR591" s="2004"/>
      <c r="AS591" s="2004"/>
      <c r="AT591" s="2004"/>
      <c r="AU591" s="2004"/>
      <c r="AV591" s="2004"/>
      <c r="AW591" s="2004"/>
      <c r="AX591" s="2004"/>
      <c r="AY591" s="2004"/>
      <c r="AZ591" s="2004"/>
      <c r="BA591" s="2004"/>
      <c r="BB591" s="2004"/>
      <c r="BC591" s="2004"/>
      <c r="BD591" s="2004"/>
      <c r="BE591" s="2004"/>
      <c r="BF591" s="2004"/>
      <c r="BG591" s="2004"/>
      <c r="BH591" s="2004"/>
      <c r="BI591" s="2004"/>
      <c r="BJ591" s="2004"/>
      <c r="BK591" s="2004"/>
      <c r="BL591" s="2004"/>
      <c r="BM591" s="2004"/>
      <c r="BN591" s="2004"/>
      <c r="BO591" s="2004"/>
      <c r="BQ591" s="2004"/>
      <c r="BR591" s="2004"/>
      <c r="BS591" s="2004"/>
      <c r="BT591" s="2004"/>
      <c r="BU591" s="2004"/>
      <c r="BV591" s="2004"/>
      <c r="BW591" s="2004"/>
      <c r="BX591" s="2004"/>
      <c r="BY591" s="2004"/>
      <c r="BZ591" s="2004"/>
      <c r="CA591" s="2004"/>
      <c r="CB591" s="2004"/>
      <c r="CC591" s="2004" t="s">
        <v>2335</v>
      </c>
      <c r="CH591" s="2004"/>
      <c r="CI591" s="2004" t="s">
        <v>10797</v>
      </c>
      <c r="CJ591" s="2004" t="s">
        <v>2337</v>
      </c>
      <c r="CK591" s="2004">
        <v>0</v>
      </c>
      <c r="CL591" s="2004">
        <v>0</v>
      </c>
      <c r="CM591" s="2004">
        <v>0</v>
      </c>
      <c r="CN591" s="2004">
        <v>0</v>
      </c>
      <c r="CP591" s="2004" t="s">
        <v>12284</v>
      </c>
    </row>
    <row r="592" spans="1:94">
      <c r="A592" s="2004" t="s">
        <v>9115</v>
      </c>
      <c r="B592" s="2004" t="s">
        <v>12285</v>
      </c>
      <c r="C592" s="2004" t="s">
        <v>9047</v>
      </c>
      <c r="D592" s="2004" t="s">
        <v>1628</v>
      </c>
      <c r="E592" s="2004" t="s">
        <v>9194</v>
      </c>
      <c r="F592" s="2004" t="s">
        <v>10747</v>
      </c>
      <c r="G592" s="2004" t="s">
        <v>10817</v>
      </c>
      <c r="H592" s="2004" t="s">
        <v>10818</v>
      </c>
      <c r="I592" s="2004" t="s">
        <v>10819</v>
      </c>
      <c r="J592" s="2004" t="s">
        <v>9210</v>
      </c>
      <c r="K592" s="2004" t="s">
        <v>9200</v>
      </c>
      <c r="L592" s="2004"/>
      <c r="M592" s="2004" t="s">
        <v>2334</v>
      </c>
      <c r="N592" s="2004" t="s">
        <v>5533</v>
      </c>
      <c r="O592" s="2004" t="s">
        <v>9487</v>
      </c>
      <c r="P592" s="2004" t="s">
        <v>10594</v>
      </c>
      <c r="Q592" s="516" t="s">
        <v>9203</v>
      </c>
      <c r="R592" s="2004"/>
      <c r="S592" s="2004"/>
      <c r="T592" s="2004"/>
      <c r="U592" s="2004"/>
      <c r="V592" s="2004"/>
      <c r="W592" s="2004"/>
      <c r="X592" s="2004"/>
      <c r="Y592" s="2004"/>
      <c r="Z592" s="2004"/>
      <c r="AA592" s="2004"/>
      <c r="AB592" s="2004"/>
      <c r="AC592" s="2004"/>
      <c r="AD592" s="2004"/>
      <c r="AE592" s="2004"/>
      <c r="AF592" s="2004"/>
      <c r="AG592" s="2004"/>
      <c r="AH592" s="2004"/>
      <c r="AI592" s="2004"/>
      <c r="AJ592" s="2004"/>
      <c r="AK592" s="2004"/>
      <c r="AL592" s="2004"/>
      <c r="AM592" s="2004"/>
      <c r="AN592" s="2004"/>
      <c r="AO592" s="2004"/>
      <c r="AP592" s="2004"/>
      <c r="AQ592" s="2004"/>
      <c r="AR592" s="2004"/>
      <c r="AS592" s="2004"/>
      <c r="AT592" s="2004"/>
      <c r="AU592" s="2004"/>
      <c r="AV592" s="2004"/>
      <c r="AW592" s="2004"/>
      <c r="AX592" s="2004"/>
      <c r="AY592" s="2004"/>
      <c r="AZ592" s="2004"/>
      <c r="BA592" s="2004"/>
      <c r="BB592" s="2004"/>
      <c r="BC592" s="2004"/>
      <c r="BD592" s="2004"/>
      <c r="BE592" s="2004"/>
      <c r="BF592" s="2004"/>
      <c r="BG592" s="2004"/>
      <c r="BH592" s="2004"/>
      <c r="BI592" s="2004"/>
      <c r="BJ592" s="2004"/>
      <c r="BK592" s="2004"/>
      <c r="BL592" s="2004"/>
      <c r="BM592" s="2004"/>
      <c r="BN592" s="2004"/>
      <c r="BO592" s="2004"/>
      <c r="BQ592" s="2004"/>
      <c r="BR592" s="2004"/>
      <c r="BS592" s="2004"/>
      <c r="BT592" s="2004"/>
      <c r="BU592" s="2004"/>
      <c r="BV592" s="2004"/>
      <c r="BW592" s="2004"/>
      <c r="BX592" s="2004"/>
      <c r="BY592" s="2004"/>
      <c r="BZ592" s="2004"/>
      <c r="CA592" s="2004"/>
      <c r="CB592" s="2004"/>
      <c r="CC592" s="2004" t="s">
        <v>2335</v>
      </c>
      <c r="CH592" s="2004"/>
      <c r="CI592" s="2004" t="s">
        <v>9979</v>
      </c>
      <c r="CJ592" s="2004" t="s">
        <v>2335</v>
      </c>
      <c r="CK592" s="2004">
        <v>0</v>
      </c>
      <c r="CL592" s="2004">
        <v>0</v>
      </c>
      <c r="CM592" s="2004">
        <v>0</v>
      </c>
      <c r="CN592" s="2004">
        <v>0</v>
      </c>
      <c r="CP592" s="2004" t="s">
        <v>12286</v>
      </c>
    </row>
    <row r="593" spans="1:94">
      <c r="A593" s="2004" t="s">
        <v>9115</v>
      </c>
      <c r="B593" s="2004" t="s">
        <v>12287</v>
      </c>
      <c r="C593" s="2004" t="s">
        <v>9047</v>
      </c>
      <c r="D593" s="2004" t="s">
        <v>1628</v>
      </c>
      <c r="E593" s="2004" t="s">
        <v>9194</v>
      </c>
      <c r="F593" s="2004" t="s">
        <v>10747</v>
      </c>
      <c r="G593" s="2004" t="s">
        <v>10823</v>
      </c>
      <c r="H593" s="2004" t="s">
        <v>10824</v>
      </c>
      <c r="I593" s="2004" t="s">
        <v>10825</v>
      </c>
      <c r="J593" s="2004" t="s">
        <v>9210</v>
      </c>
      <c r="K593" s="2004" t="s">
        <v>9545</v>
      </c>
      <c r="L593" s="2004"/>
      <c r="M593" s="2004" t="s">
        <v>2334</v>
      </c>
      <c r="N593" s="2004" t="s">
        <v>5533</v>
      </c>
      <c r="O593" s="2004" t="s">
        <v>9487</v>
      </c>
      <c r="P593" s="2004" t="s">
        <v>10594</v>
      </c>
      <c r="Q593" s="516" t="s">
        <v>9203</v>
      </c>
      <c r="R593" s="2004"/>
      <c r="S593" s="2004"/>
      <c r="T593" s="2004"/>
      <c r="U593" s="2004"/>
      <c r="V593" s="2004"/>
      <c r="W593" s="2004"/>
      <c r="X593" s="2004"/>
      <c r="Y593" s="2004"/>
      <c r="Z593" s="2004"/>
      <c r="AA593" s="2004"/>
      <c r="AB593" s="2004"/>
      <c r="AC593" s="2004"/>
      <c r="AD593" s="2004"/>
      <c r="AE593" s="2004"/>
      <c r="AF593" s="2004"/>
      <c r="AG593" s="2004"/>
      <c r="AH593" s="2004"/>
      <c r="AI593" s="2004"/>
      <c r="AJ593" s="2004"/>
      <c r="AK593" s="2004"/>
      <c r="AL593" s="2004"/>
      <c r="AM593" s="2004"/>
      <c r="AN593" s="2004"/>
      <c r="AO593" s="2004"/>
      <c r="AP593" s="2004"/>
      <c r="AQ593" s="2004"/>
      <c r="AR593" s="2004"/>
      <c r="AS593" s="2004"/>
      <c r="AT593" s="2004"/>
      <c r="AU593" s="2004"/>
      <c r="AV593" s="2004"/>
      <c r="AW593" s="2004"/>
      <c r="AX593" s="2004"/>
      <c r="AY593" s="2004"/>
      <c r="AZ593" s="2004"/>
      <c r="BA593" s="2004"/>
      <c r="BB593" s="2004"/>
      <c r="BC593" s="2004"/>
      <c r="BD593" s="2004"/>
      <c r="BE593" s="2004"/>
      <c r="BF593" s="2004"/>
      <c r="BG593" s="2004"/>
      <c r="BH593" s="2004"/>
      <c r="BI593" s="2004"/>
      <c r="BJ593" s="2004"/>
      <c r="BK593" s="2004"/>
      <c r="BL593" s="2004"/>
      <c r="BM593" s="2004"/>
      <c r="BN593" s="2004"/>
      <c r="BO593" s="2004"/>
      <c r="BQ593" s="2004"/>
      <c r="BR593" s="2004"/>
      <c r="BS593" s="2004"/>
      <c r="BT593" s="2004"/>
      <c r="BU593" s="2004"/>
      <c r="BV593" s="2004"/>
      <c r="BW593" s="2004"/>
      <c r="BX593" s="2004"/>
      <c r="BY593" s="2004"/>
      <c r="BZ593" s="2004"/>
      <c r="CA593" s="2004"/>
      <c r="CB593" s="2004"/>
      <c r="CC593" s="2004" t="s">
        <v>2335</v>
      </c>
      <c r="CH593" s="2004"/>
      <c r="CI593" s="2004" t="s">
        <v>9979</v>
      </c>
      <c r="CJ593" s="2004" t="s">
        <v>2335</v>
      </c>
      <c r="CK593" s="2004">
        <v>0</v>
      </c>
      <c r="CL593" s="2004">
        <v>0</v>
      </c>
      <c r="CM593" s="2004">
        <v>0</v>
      </c>
      <c r="CN593" s="2004">
        <v>0</v>
      </c>
      <c r="CP593" s="2004" t="s">
        <v>12288</v>
      </c>
    </row>
    <row r="594" spans="1:94">
      <c r="A594" s="2004" t="s">
        <v>9115</v>
      </c>
      <c r="B594" s="2004" t="s">
        <v>12289</v>
      </c>
      <c r="C594" s="2004" t="s">
        <v>9047</v>
      </c>
      <c r="D594" s="2004" t="s">
        <v>1628</v>
      </c>
      <c r="E594" s="2004" t="s">
        <v>9194</v>
      </c>
      <c r="F594" s="2004" t="s">
        <v>10828</v>
      </c>
      <c r="G594" s="2004" t="s">
        <v>9250</v>
      </c>
      <c r="H594" s="2004" t="s">
        <v>10829</v>
      </c>
      <c r="I594" s="2004" t="s">
        <v>10830</v>
      </c>
      <c r="J594" s="2004" t="s">
        <v>9199</v>
      </c>
      <c r="K594" s="2004" t="s">
        <v>9200</v>
      </c>
      <c r="L594" s="2004" t="s">
        <v>2337</v>
      </c>
      <c r="M594" s="2004"/>
      <c r="N594" s="2004" t="s">
        <v>9290</v>
      </c>
      <c r="O594" s="2004" t="s">
        <v>734</v>
      </c>
      <c r="P594" s="2004" t="s">
        <v>9387</v>
      </c>
      <c r="Q594" s="516">
        <v>0</v>
      </c>
      <c r="R594" s="2004"/>
      <c r="S594" s="2004"/>
      <c r="T594" s="2004"/>
      <c r="U594" s="2004"/>
      <c r="V594" s="2004"/>
      <c r="W594" s="2004"/>
      <c r="X594" s="2004"/>
      <c r="Y594" s="2004"/>
      <c r="Z594" s="2004"/>
      <c r="AA594" s="2004"/>
      <c r="AB594" s="2004"/>
      <c r="AC594" s="2004"/>
      <c r="AD594" s="2004"/>
      <c r="AE594" s="2004"/>
      <c r="AF594" s="2004"/>
      <c r="AG594" s="2004"/>
      <c r="AH594" s="2004"/>
      <c r="AI594" s="2004"/>
      <c r="AJ594" s="2004"/>
      <c r="AK594" s="2004"/>
      <c r="AL594" s="2004"/>
      <c r="AM594" s="2004"/>
      <c r="AN594" s="2004"/>
      <c r="AO594" s="2004"/>
      <c r="AP594" s="2004"/>
      <c r="AQ594" s="2004"/>
      <c r="AR594" s="2004"/>
      <c r="AS594" s="2004"/>
      <c r="AT594" s="2004"/>
      <c r="AU594" s="2004"/>
      <c r="AV594" s="2004"/>
      <c r="AW594" s="2004"/>
      <c r="AX594" s="2004"/>
      <c r="AY594" s="2004"/>
      <c r="AZ594" s="2004"/>
      <c r="BA594" s="2004"/>
      <c r="BB594" s="2004"/>
      <c r="BC594" s="2004"/>
      <c r="BD594" s="2004"/>
      <c r="BE594" s="2004"/>
      <c r="BF594" s="2004"/>
      <c r="BG594" s="2004"/>
      <c r="BH594" s="2004"/>
      <c r="BI594" s="2004"/>
      <c r="BJ594" s="2004"/>
      <c r="BK594" s="2004"/>
      <c r="BL594" s="2004"/>
      <c r="BM594" s="2004"/>
      <c r="BN594" s="2004"/>
      <c r="BO594" s="2004"/>
      <c r="BQ594" s="2004"/>
      <c r="BR594" s="2004"/>
      <c r="BS594" s="2004"/>
      <c r="BT594" s="2004"/>
      <c r="BU594" s="2004"/>
      <c r="BV594" s="2004"/>
      <c r="BW594" s="2004"/>
      <c r="BX594" s="2004"/>
      <c r="BY594" s="2004"/>
      <c r="BZ594" s="2004"/>
      <c r="CA594" s="2004"/>
      <c r="CB594" s="2004"/>
      <c r="CC594" s="2004" t="s">
        <v>2335</v>
      </c>
      <c r="CH594" s="2004"/>
      <c r="CI594" s="2004">
        <v>63</v>
      </c>
      <c r="CJ594" s="2004" t="s">
        <v>2337</v>
      </c>
      <c r="CK594" s="2004" t="s">
        <v>2339</v>
      </c>
      <c r="CL594" s="2004">
        <v>0.12429999999999999</v>
      </c>
      <c r="CM594" s="2004">
        <v>0</v>
      </c>
      <c r="CN594" s="2004">
        <v>0</v>
      </c>
      <c r="CP594" s="2004" t="s">
        <v>12290</v>
      </c>
    </row>
    <row r="595" spans="1:94">
      <c r="A595" s="2004" t="s">
        <v>9115</v>
      </c>
      <c r="B595" s="2004" t="s">
        <v>12291</v>
      </c>
      <c r="C595" s="2004" t="s">
        <v>9047</v>
      </c>
      <c r="D595" s="2004" t="s">
        <v>1628</v>
      </c>
      <c r="E595" s="2004" t="s">
        <v>9194</v>
      </c>
      <c r="F595" s="2004" t="s">
        <v>10833</v>
      </c>
      <c r="G595" s="2004" t="s">
        <v>9331</v>
      </c>
      <c r="H595" s="2004" t="s">
        <v>10834</v>
      </c>
      <c r="I595" s="2004" t="s">
        <v>10835</v>
      </c>
      <c r="J595" s="2004" t="s">
        <v>9199</v>
      </c>
      <c r="K595" s="2004" t="s">
        <v>9200</v>
      </c>
      <c r="L595" s="2004"/>
      <c r="M595" s="2004"/>
      <c r="N595" s="2004" t="s">
        <v>9364</v>
      </c>
      <c r="O595" s="2004" t="s">
        <v>766</v>
      </c>
      <c r="P595" s="2004" t="s">
        <v>10836</v>
      </c>
      <c r="Q595" s="516">
        <v>0</v>
      </c>
      <c r="R595" s="2004"/>
      <c r="S595" s="2004"/>
      <c r="T595" s="2004"/>
      <c r="U595" s="2004"/>
      <c r="V595" s="2004"/>
      <c r="W595" s="2004"/>
      <c r="X595" s="2004"/>
      <c r="Y595" s="2004"/>
      <c r="Z595" s="2004"/>
      <c r="AA595" s="2004"/>
      <c r="AB595" s="2004"/>
      <c r="AC595" s="2004"/>
      <c r="AD595" s="2004"/>
      <c r="AE595" s="2004"/>
      <c r="AF595" s="2004"/>
      <c r="AG595" s="2004"/>
      <c r="AH595" s="2004"/>
      <c r="AI595" s="2004"/>
      <c r="AJ595" s="2004"/>
      <c r="AK595" s="2004"/>
      <c r="AL595" s="2004"/>
      <c r="AM595" s="2004"/>
      <c r="AN595" s="2004"/>
      <c r="AO595" s="2004"/>
      <c r="AP595" s="2004"/>
      <c r="AQ595" s="2004"/>
      <c r="AR595" s="2004"/>
      <c r="AS595" s="2004"/>
      <c r="AT595" s="2004"/>
      <c r="AU595" s="2004"/>
      <c r="AV595" s="2004"/>
      <c r="AW595" s="2004"/>
      <c r="AX595" s="2004"/>
      <c r="AY595" s="2004"/>
      <c r="AZ595" s="2004"/>
      <c r="BA595" s="2004"/>
      <c r="BB595" s="2004"/>
      <c r="BC595" s="2004"/>
      <c r="BD595" s="2004"/>
      <c r="BE595" s="2004"/>
      <c r="BF595" s="2004"/>
      <c r="BG595" s="2004"/>
      <c r="BH595" s="2004"/>
      <c r="BI595" s="2004"/>
      <c r="BJ595" s="2004"/>
      <c r="BK595" s="2004"/>
      <c r="BL595" s="2004"/>
      <c r="BM595" s="2004"/>
      <c r="BN595" s="2004"/>
      <c r="BO595" s="2004"/>
      <c r="BQ595" s="2004"/>
      <c r="BR595" s="2004"/>
      <c r="BS595" s="2004"/>
      <c r="BT595" s="2004"/>
      <c r="BU595" s="2004"/>
      <c r="BV595" s="2004"/>
      <c r="BW595" s="2004"/>
      <c r="BX595" s="2004"/>
      <c r="BY595" s="2004"/>
      <c r="BZ595" s="2004"/>
      <c r="CA595" s="2004"/>
      <c r="CB595" s="2004"/>
      <c r="CC595" s="2004" t="s">
        <v>2335</v>
      </c>
      <c r="CH595" s="2004"/>
      <c r="CI595" s="2004">
        <v>0</v>
      </c>
      <c r="CJ595" s="2004" t="s">
        <v>2335</v>
      </c>
      <c r="CK595" s="2004">
        <v>0</v>
      </c>
      <c r="CL595" s="2004">
        <v>0</v>
      </c>
      <c r="CM595" s="2004">
        <v>0</v>
      </c>
      <c r="CN595" s="2004">
        <v>0</v>
      </c>
      <c r="CP595" s="2004" t="s">
        <v>12292</v>
      </c>
    </row>
    <row r="596" spans="1:94">
      <c r="A596" s="2004" t="s">
        <v>9115</v>
      </c>
      <c r="B596" s="2004" t="s">
        <v>12293</v>
      </c>
      <c r="C596" s="2004" t="s">
        <v>9047</v>
      </c>
      <c r="D596" s="2004" t="s">
        <v>1628</v>
      </c>
      <c r="E596" s="2004" t="s">
        <v>9194</v>
      </c>
      <c r="F596" s="2004" t="s">
        <v>10833</v>
      </c>
      <c r="G596" s="2004" t="s">
        <v>9337</v>
      </c>
      <c r="H596" s="2004" t="s">
        <v>10839</v>
      </c>
      <c r="I596" s="2004" t="s">
        <v>10840</v>
      </c>
      <c r="J596" s="2004" t="s">
        <v>9230</v>
      </c>
      <c r="K596" s="2004"/>
      <c r="L596" s="2004"/>
      <c r="M596" s="2004"/>
      <c r="N596" s="2004" t="s">
        <v>9364</v>
      </c>
      <c r="O596" s="2004" t="s">
        <v>734</v>
      </c>
      <c r="P596" s="2004" t="s">
        <v>10841</v>
      </c>
      <c r="Q596" s="516">
        <v>0</v>
      </c>
      <c r="R596" s="2004"/>
      <c r="S596" s="2004"/>
      <c r="T596" s="2004"/>
      <c r="U596" s="2004"/>
      <c r="V596" s="2004"/>
      <c r="W596" s="2004"/>
      <c r="X596" s="2004"/>
      <c r="Y596" s="2004"/>
      <c r="Z596" s="2004"/>
      <c r="AA596" s="2004"/>
      <c r="AB596" s="2004"/>
      <c r="AC596" s="2004"/>
      <c r="AD596" s="2004"/>
      <c r="AE596" s="2004"/>
      <c r="AF596" s="2004"/>
      <c r="AG596" s="2004"/>
      <c r="AH596" s="2004"/>
      <c r="AI596" s="2004"/>
      <c r="AJ596" s="2004"/>
      <c r="AK596" s="2004"/>
      <c r="AL596" s="2004"/>
      <c r="AM596" s="2004"/>
      <c r="AN596" s="2004"/>
      <c r="AO596" s="2004"/>
      <c r="AP596" s="2004"/>
      <c r="AQ596" s="2004"/>
      <c r="AR596" s="2004"/>
      <c r="AS596" s="2004"/>
      <c r="AT596" s="2004"/>
      <c r="AU596" s="2004"/>
      <c r="AV596" s="2004"/>
      <c r="AW596" s="2004"/>
      <c r="AX596" s="2004"/>
      <c r="AY596" s="2004"/>
      <c r="AZ596" s="2004"/>
      <c r="BA596" s="2004"/>
      <c r="BB596" s="2004"/>
      <c r="BC596" s="2004"/>
      <c r="BD596" s="2004"/>
      <c r="BE596" s="2004"/>
      <c r="BF596" s="2004"/>
      <c r="BG596" s="2004"/>
      <c r="BH596" s="2004"/>
      <c r="BI596" s="2004"/>
      <c r="BJ596" s="2004"/>
      <c r="BK596" s="2004"/>
      <c r="BL596" s="2004"/>
      <c r="BM596" s="2004"/>
      <c r="BN596" s="2004"/>
      <c r="BO596" s="2004"/>
      <c r="BQ596" s="2004"/>
      <c r="BR596" s="2004"/>
      <c r="BS596" s="2004"/>
      <c r="BT596" s="2004"/>
      <c r="BU596" s="2004"/>
      <c r="BV596" s="2004"/>
      <c r="BW596" s="2004"/>
      <c r="BX596" s="2004"/>
      <c r="BY596" s="2004"/>
      <c r="BZ596" s="2004"/>
      <c r="CA596" s="2004"/>
      <c r="CB596" s="2004"/>
      <c r="CC596" s="2004" t="s">
        <v>2335</v>
      </c>
      <c r="CH596" s="2004"/>
      <c r="CI596" s="2004">
        <v>97.69</v>
      </c>
      <c r="CJ596" s="2004" t="s">
        <v>2334</v>
      </c>
      <c r="CK596" s="2004">
        <v>0</v>
      </c>
      <c r="CL596" s="2004">
        <v>0</v>
      </c>
      <c r="CM596" s="2004">
        <v>0</v>
      </c>
      <c r="CN596" s="2004">
        <v>0</v>
      </c>
      <c r="CP596" s="2004" t="s">
        <v>12294</v>
      </c>
    </row>
    <row r="597" spans="1:94">
      <c r="A597" s="2004" t="s">
        <v>9115</v>
      </c>
      <c r="B597" s="2004" t="s">
        <v>12295</v>
      </c>
      <c r="C597" s="2004" t="s">
        <v>9047</v>
      </c>
      <c r="D597" s="2004" t="s">
        <v>1628</v>
      </c>
      <c r="E597" s="2004" t="s">
        <v>9194</v>
      </c>
      <c r="F597" s="2004" t="s">
        <v>10833</v>
      </c>
      <c r="G597" s="2004" t="s">
        <v>9342</v>
      </c>
      <c r="H597" s="2004" t="s">
        <v>10844</v>
      </c>
      <c r="I597" s="2004" t="s">
        <v>10845</v>
      </c>
      <c r="J597" s="2004" t="s">
        <v>9230</v>
      </c>
      <c r="K597" s="2004"/>
      <c r="L597" s="2004"/>
      <c r="M597" s="2004"/>
      <c r="N597" s="2004" t="s">
        <v>9357</v>
      </c>
      <c r="O597" s="2004" t="s">
        <v>766</v>
      </c>
      <c r="P597" s="2004" t="s">
        <v>10846</v>
      </c>
      <c r="Q597" s="516">
        <v>0</v>
      </c>
      <c r="R597" s="2004"/>
      <c r="S597" s="2004"/>
      <c r="T597" s="2004"/>
      <c r="U597" s="2004"/>
      <c r="V597" s="2004"/>
      <c r="W597" s="2004"/>
      <c r="X597" s="2004"/>
      <c r="Y597" s="2004"/>
      <c r="Z597" s="2004"/>
      <c r="AA597" s="2004"/>
      <c r="AB597" s="2004"/>
      <c r="AC597" s="2004"/>
      <c r="AD597" s="2004"/>
      <c r="AE597" s="2004"/>
      <c r="AF597" s="2004"/>
      <c r="AG597" s="2004"/>
      <c r="AH597" s="2004"/>
      <c r="AI597" s="2004"/>
      <c r="AJ597" s="2004"/>
      <c r="AK597" s="2004"/>
      <c r="AL597" s="2004"/>
      <c r="AM597" s="2004"/>
      <c r="AN597" s="2004"/>
      <c r="AO597" s="2004"/>
      <c r="AP597" s="2004"/>
      <c r="AQ597" s="2004"/>
      <c r="AR597" s="2004"/>
      <c r="AS597" s="2004"/>
      <c r="AT597" s="2004"/>
      <c r="AU597" s="2004"/>
      <c r="AV597" s="2004"/>
      <c r="AW597" s="2004"/>
      <c r="AX597" s="2004"/>
      <c r="AY597" s="2004"/>
      <c r="AZ597" s="2004"/>
      <c r="BA597" s="2004"/>
      <c r="BB597" s="2004"/>
      <c r="BC597" s="2004"/>
      <c r="BD597" s="2004"/>
      <c r="BE597" s="2004"/>
      <c r="BF597" s="2004"/>
      <c r="BG597" s="2004"/>
      <c r="BH597" s="2004"/>
      <c r="BI597" s="2004"/>
      <c r="BJ597" s="2004"/>
      <c r="BK597" s="2004"/>
      <c r="BL597" s="2004"/>
      <c r="BM597" s="2004"/>
      <c r="BN597" s="2004"/>
      <c r="BO597" s="2004"/>
      <c r="BQ597" s="2004"/>
      <c r="BR597" s="2004"/>
      <c r="BS597" s="2004"/>
      <c r="BT597" s="2004"/>
      <c r="BU597" s="2004"/>
      <c r="BV597" s="2004"/>
      <c r="BW597" s="2004"/>
      <c r="BX597" s="2004"/>
      <c r="BY597" s="2004"/>
      <c r="BZ597" s="2004"/>
      <c r="CA597" s="2004"/>
      <c r="CB597" s="2004"/>
      <c r="CC597" s="2004" t="s">
        <v>2335</v>
      </c>
      <c r="CH597" s="2004"/>
      <c r="CI597" s="2004">
        <v>343</v>
      </c>
      <c r="CJ597" s="2004" t="s">
        <v>2335</v>
      </c>
      <c r="CK597" s="2004">
        <v>0</v>
      </c>
      <c r="CL597" s="2004">
        <v>0</v>
      </c>
      <c r="CM597" s="2004">
        <v>0</v>
      </c>
      <c r="CN597" s="2004">
        <v>0</v>
      </c>
      <c r="CP597" s="2004" t="s">
        <v>12296</v>
      </c>
    </row>
    <row r="598" spans="1:94">
      <c r="A598" s="2004" t="s">
        <v>9115</v>
      </c>
      <c r="B598" s="2004" t="s">
        <v>12297</v>
      </c>
      <c r="C598" s="2004" t="s">
        <v>9047</v>
      </c>
      <c r="D598" s="2004" t="s">
        <v>1628</v>
      </c>
      <c r="E598" s="2004" t="s">
        <v>9194</v>
      </c>
      <c r="F598" s="2004" t="s">
        <v>10833</v>
      </c>
      <c r="G598" s="2004" t="s">
        <v>9348</v>
      </c>
      <c r="H598" s="2004" t="s">
        <v>10849</v>
      </c>
      <c r="I598" s="2004" t="s">
        <v>10850</v>
      </c>
      <c r="J598" s="2004" t="s">
        <v>9230</v>
      </c>
      <c r="K598" s="2004"/>
      <c r="L598" s="2004"/>
      <c r="M598" s="2004"/>
      <c r="N598" s="2004" t="s">
        <v>9364</v>
      </c>
      <c r="O598" s="2004" t="s">
        <v>766</v>
      </c>
      <c r="P598" s="2004" t="s">
        <v>10851</v>
      </c>
      <c r="Q598" s="516">
        <v>0</v>
      </c>
      <c r="R598" s="2004"/>
      <c r="S598" s="2004"/>
      <c r="T598" s="2004"/>
      <c r="U598" s="2004"/>
      <c r="V598" s="2004"/>
      <c r="W598" s="2004"/>
      <c r="X598" s="2004"/>
      <c r="Y598" s="2004"/>
      <c r="Z598" s="2004"/>
      <c r="AA598" s="2004"/>
      <c r="AB598" s="2004"/>
      <c r="AC598" s="2004"/>
      <c r="AD598" s="2004"/>
      <c r="AE598" s="2004"/>
      <c r="AF598" s="2004"/>
      <c r="AG598" s="2004"/>
      <c r="AH598" s="2004"/>
      <c r="AI598" s="2004"/>
      <c r="AJ598" s="2004"/>
      <c r="AK598" s="2004"/>
      <c r="AL598" s="2004"/>
      <c r="AM598" s="2004"/>
      <c r="AN598" s="2004"/>
      <c r="AO598" s="2004"/>
      <c r="AP598" s="2004"/>
      <c r="AQ598" s="2004"/>
      <c r="AR598" s="2004"/>
      <c r="AS598" s="2004"/>
      <c r="AT598" s="2004"/>
      <c r="AU598" s="2004"/>
      <c r="AV598" s="2004"/>
      <c r="AW598" s="2004"/>
      <c r="AX598" s="2004"/>
      <c r="AY598" s="2004"/>
      <c r="AZ598" s="2004"/>
      <c r="BA598" s="2004"/>
      <c r="BB598" s="2004"/>
      <c r="BC598" s="2004"/>
      <c r="BD598" s="2004"/>
      <c r="BE598" s="2004"/>
      <c r="BF598" s="2004"/>
      <c r="BG598" s="2004"/>
      <c r="BH598" s="2004"/>
      <c r="BI598" s="2004"/>
      <c r="BJ598" s="2004"/>
      <c r="BK598" s="2004"/>
      <c r="BL598" s="2004"/>
      <c r="BM598" s="2004"/>
      <c r="BN598" s="2004"/>
      <c r="BO598" s="2004"/>
      <c r="BQ598" s="2004"/>
      <c r="BR598" s="2004"/>
      <c r="BS598" s="2004"/>
      <c r="BT598" s="2004"/>
      <c r="BU598" s="2004"/>
      <c r="BV598" s="2004"/>
      <c r="BW598" s="2004"/>
      <c r="BX598" s="2004"/>
      <c r="BY598" s="2004"/>
      <c r="BZ598" s="2004"/>
      <c r="CA598" s="2004"/>
      <c r="CB598" s="2004"/>
      <c r="CC598" s="2004" t="s">
        <v>2335</v>
      </c>
      <c r="CH598" s="2004"/>
      <c r="CI598" s="2004" t="s">
        <v>10797</v>
      </c>
      <c r="CJ598" s="2004" t="s">
        <v>2337</v>
      </c>
      <c r="CK598" s="2004">
        <v>0</v>
      </c>
      <c r="CL598" s="2004">
        <v>0</v>
      </c>
      <c r="CM598" s="2004">
        <v>0</v>
      </c>
      <c r="CN598" s="2004">
        <v>0</v>
      </c>
      <c r="CP598" s="2004" t="s">
        <v>12298</v>
      </c>
    </row>
    <row r="599" spans="1:94">
      <c r="A599" s="2004" t="s">
        <v>9115</v>
      </c>
      <c r="B599" s="2004" t="s">
        <v>12299</v>
      </c>
      <c r="C599" s="2004" t="s">
        <v>9047</v>
      </c>
      <c r="D599" s="2004" t="s">
        <v>1628</v>
      </c>
      <c r="E599" s="2004" t="s">
        <v>9194</v>
      </c>
      <c r="F599" s="2004" t="s">
        <v>10854</v>
      </c>
      <c r="G599" s="2004" t="s">
        <v>9354</v>
      </c>
      <c r="H599" s="2004" t="s">
        <v>10855</v>
      </c>
      <c r="I599" s="2004" t="s">
        <v>10856</v>
      </c>
      <c r="J599" s="2004" t="s">
        <v>9199</v>
      </c>
      <c r="K599" s="2004" t="s">
        <v>9200</v>
      </c>
      <c r="L599" s="2004" t="s">
        <v>2337</v>
      </c>
      <c r="M599" s="2004"/>
      <c r="N599" s="2004" t="s">
        <v>9372</v>
      </c>
      <c r="O599" s="2004" t="s">
        <v>766</v>
      </c>
      <c r="P599" s="2004" t="s">
        <v>9870</v>
      </c>
      <c r="Q599" s="516">
        <v>3</v>
      </c>
      <c r="R599" s="2004"/>
      <c r="S599" s="2004"/>
      <c r="T599" s="2004"/>
      <c r="U599" s="2004"/>
      <c r="V599" s="2004"/>
      <c r="W599" s="2004"/>
      <c r="X599" s="2004"/>
      <c r="Y599" s="2004"/>
      <c r="Z599" s="2004"/>
      <c r="AA599" s="2004"/>
      <c r="AB599" s="2004"/>
      <c r="AC599" s="2004"/>
      <c r="AD599" s="2004"/>
      <c r="AE599" s="2004"/>
      <c r="AF599" s="2004"/>
      <c r="AG599" s="2004"/>
      <c r="AH599" s="2004"/>
      <c r="AI599" s="2004"/>
      <c r="AJ599" s="2004"/>
      <c r="AK599" s="2004"/>
      <c r="AL599" s="2004"/>
      <c r="AM599" s="2004"/>
      <c r="AN599" s="2004"/>
      <c r="AO599" s="2004"/>
      <c r="AP599" s="2004"/>
      <c r="AQ599" s="2004"/>
      <c r="AR599" s="2004"/>
      <c r="AS599" s="2004"/>
      <c r="AT599" s="2004"/>
      <c r="AU599" s="2004"/>
      <c r="AV599" s="2004"/>
      <c r="AW599" s="2004"/>
      <c r="AX599" s="2004"/>
      <c r="AY599" s="2004"/>
      <c r="AZ599" s="2004"/>
      <c r="BA599" s="2004"/>
      <c r="BB599" s="2004"/>
      <c r="BC599" s="2004"/>
      <c r="BD599" s="2004"/>
      <c r="BE599" s="2004"/>
      <c r="BF599" s="2004"/>
      <c r="BG599" s="2004"/>
      <c r="BH599" s="2004"/>
      <c r="BI599" s="2004"/>
      <c r="BJ599" s="2004"/>
      <c r="BK599" s="2004"/>
      <c r="BL599" s="2004"/>
      <c r="BM599" s="2004"/>
      <c r="BN599" s="2004"/>
      <c r="BO599" s="2004"/>
      <c r="BQ599" s="2004"/>
      <c r="BR599" s="2004"/>
      <c r="BS599" s="2004"/>
      <c r="BT599" s="2004"/>
      <c r="BU599" s="2004"/>
      <c r="BV599" s="2004"/>
      <c r="BW599" s="2004"/>
      <c r="BX599" s="2004"/>
      <c r="BY599" s="2004"/>
      <c r="BZ599" s="2004"/>
      <c r="CA599" s="2004"/>
      <c r="CB599" s="2004"/>
      <c r="CC599" s="2004" t="s">
        <v>2335</v>
      </c>
      <c r="CH599" s="2004"/>
      <c r="CI599" s="2004">
        <v>219</v>
      </c>
      <c r="CJ599" s="2004" t="s">
        <v>2337</v>
      </c>
      <c r="CK599" s="2004">
        <v>0</v>
      </c>
      <c r="CL599" s="2004">
        <v>0</v>
      </c>
      <c r="CM599" s="2004">
        <v>0</v>
      </c>
      <c r="CN599" s="2004">
        <v>0</v>
      </c>
      <c r="CP599" s="2004" t="s">
        <v>12300</v>
      </c>
    </row>
    <row r="600" spans="1:94">
      <c r="A600" s="2004" t="s">
        <v>9115</v>
      </c>
      <c r="B600" s="2004" t="s">
        <v>12301</v>
      </c>
      <c r="C600" s="2004" t="s">
        <v>9047</v>
      </c>
      <c r="D600" s="2004" t="s">
        <v>1628</v>
      </c>
      <c r="E600" s="2004" t="s">
        <v>9194</v>
      </c>
      <c r="F600" s="2004" t="s">
        <v>10859</v>
      </c>
      <c r="G600" s="2004" t="s">
        <v>9369</v>
      </c>
      <c r="H600" s="2004" t="s">
        <v>10860</v>
      </c>
      <c r="I600" s="2004" t="s">
        <v>10861</v>
      </c>
      <c r="J600" s="2004" t="s">
        <v>9230</v>
      </c>
      <c r="K600" s="2004"/>
      <c r="L600" s="2004"/>
      <c r="M600" s="2004"/>
      <c r="N600" s="2004" t="s">
        <v>10282</v>
      </c>
      <c r="O600" s="2004" t="s">
        <v>766</v>
      </c>
      <c r="P600" s="2004" t="s">
        <v>10862</v>
      </c>
      <c r="Q600" s="516">
        <v>0</v>
      </c>
      <c r="R600" s="2004"/>
      <c r="S600" s="2004"/>
      <c r="T600" s="2004"/>
      <c r="U600" s="2004"/>
      <c r="V600" s="2004"/>
      <c r="W600" s="2004"/>
      <c r="X600" s="2004"/>
      <c r="Y600" s="2004"/>
      <c r="Z600" s="2004"/>
      <c r="AA600" s="2004"/>
      <c r="AB600" s="2004"/>
      <c r="AC600" s="2004"/>
      <c r="AD600" s="2004"/>
      <c r="AE600" s="2004"/>
      <c r="AF600" s="2004"/>
      <c r="AG600" s="2004"/>
      <c r="AH600" s="2004"/>
      <c r="AI600" s="2004"/>
      <c r="AJ600" s="2004"/>
      <c r="AK600" s="2004"/>
      <c r="AL600" s="2004"/>
      <c r="AM600" s="2004"/>
      <c r="AN600" s="2004"/>
      <c r="AO600" s="2004"/>
      <c r="AP600" s="2004"/>
      <c r="AQ600" s="2004"/>
      <c r="AR600" s="2004"/>
      <c r="AS600" s="2004"/>
      <c r="AT600" s="2004"/>
      <c r="AU600" s="2004"/>
      <c r="AV600" s="2004"/>
      <c r="AW600" s="2004"/>
      <c r="AX600" s="2004"/>
      <c r="AY600" s="2004"/>
      <c r="AZ600" s="2004"/>
      <c r="BA600" s="2004"/>
      <c r="BB600" s="2004"/>
      <c r="BC600" s="2004"/>
      <c r="BD600" s="2004"/>
      <c r="BE600" s="2004"/>
      <c r="BF600" s="2004"/>
      <c r="BG600" s="2004"/>
      <c r="BH600" s="2004"/>
      <c r="BI600" s="2004"/>
      <c r="BJ600" s="2004"/>
      <c r="BK600" s="2004"/>
      <c r="BL600" s="2004"/>
      <c r="BM600" s="2004"/>
      <c r="BN600" s="2004"/>
      <c r="BO600" s="2004"/>
      <c r="BQ600" s="2004"/>
      <c r="BR600" s="2004"/>
      <c r="BS600" s="2004"/>
      <c r="BT600" s="2004"/>
      <c r="BU600" s="2004"/>
      <c r="BV600" s="2004"/>
      <c r="BW600" s="2004"/>
      <c r="BX600" s="2004"/>
      <c r="BY600" s="2004"/>
      <c r="BZ600" s="2004"/>
      <c r="CA600" s="2004"/>
      <c r="CB600" s="2004"/>
      <c r="CC600" s="2004" t="s">
        <v>2335</v>
      </c>
      <c r="CH600" s="2004"/>
      <c r="CI600" s="2004">
        <v>185371</v>
      </c>
      <c r="CJ600" s="2004" t="s">
        <v>2337</v>
      </c>
      <c r="CK600" s="2004">
        <v>0</v>
      </c>
      <c r="CL600" s="2004">
        <v>0</v>
      </c>
      <c r="CM600" s="2004">
        <v>0</v>
      </c>
      <c r="CN600" s="2004">
        <v>0</v>
      </c>
      <c r="CP600" s="2004" t="s">
        <v>12302</v>
      </c>
    </row>
    <row r="601" spans="1:94">
      <c r="A601" s="2004" t="s">
        <v>9115</v>
      </c>
      <c r="B601" s="2004" t="s">
        <v>12303</v>
      </c>
      <c r="C601" s="2004" t="s">
        <v>9047</v>
      </c>
      <c r="D601" s="2004" t="s">
        <v>1629</v>
      </c>
      <c r="E601" s="2004" t="s">
        <v>9410</v>
      </c>
      <c r="F601" s="2004" t="s">
        <v>10865</v>
      </c>
      <c r="G601" s="2004" t="s">
        <v>9883</v>
      </c>
      <c r="H601" s="2004" t="s">
        <v>10866</v>
      </c>
      <c r="I601" s="2004" t="s">
        <v>10867</v>
      </c>
      <c r="J601" s="2004" t="s">
        <v>9199</v>
      </c>
      <c r="K601" s="2004" t="s">
        <v>9200</v>
      </c>
      <c r="L601" s="2004" t="s">
        <v>2337</v>
      </c>
      <c r="M601" s="2004" t="s">
        <v>2334</v>
      </c>
      <c r="N601" s="2004" t="s">
        <v>9414</v>
      </c>
      <c r="O601" s="2004" t="s">
        <v>766</v>
      </c>
      <c r="P601" s="2004" t="s">
        <v>10537</v>
      </c>
      <c r="Q601" s="516">
        <v>0</v>
      </c>
      <c r="R601" s="2004"/>
      <c r="S601" s="2004"/>
      <c r="T601" s="2004"/>
      <c r="U601" s="2004"/>
      <c r="V601" s="2004"/>
      <c r="W601" s="2004"/>
      <c r="X601" s="2004"/>
      <c r="Y601" s="2004"/>
      <c r="Z601" s="2004"/>
      <c r="AA601" s="2004"/>
      <c r="AB601" s="2004"/>
      <c r="AC601" s="2004"/>
      <c r="AD601" s="2004"/>
      <c r="AE601" s="2004"/>
      <c r="AF601" s="2004"/>
      <c r="AG601" s="2004"/>
      <c r="AH601" s="2004"/>
      <c r="AI601" s="2004"/>
      <c r="AJ601" s="2004"/>
      <c r="AK601" s="2004"/>
      <c r="AL601" s="2004"/>
      <c r="AM601" s="2004"/>
      <c r="AN601" s="2004"/>
      <c r="AO601" s="2004"/>
      <c r="AP601" s="2004"/>
      <c r="AQ601" s="2004"/>
      <c r="AR601" s="2004"/>
      <c r="AS601" s="2004"/>
      <c r="AT601" s="2004"/>
      <c r="AU601" s="2004"/>
      <c r="AV601" s="2004"/>
      <c r="AW601" s="2004"/>
      <c r="AX601" s="2004"/>
      <c r="AY601" s="2004"/>
      <c r="AZ601" s="2004"/>
      <c r="BA601" s="2004"/>
      <c r="BB601" s="2004"/>
      <c r="BC601" s="2004"/>
      <c r="BD601" s="2004"/>
      <c r="BE601" s="2004"/>
      <c r="BF601" s="2004"/>
      <c r="BG601" s="2004"/>
      <c r="BH601" s="2004"/>
      <c r="BI601" s="2004"/>
      <c r="BJ601" s="2004"/>
      <c r="BK601" s="2004"/>
      <c r="BL601" s="2004"/>
      <c r="BM601" s="2004"/>
      <c r="BN601" s="2004"/>
      <c r="BO601" s="2004"/>
      <c r="BQ601" s="2004"/>
      <c r="BR601" s="2004"/>
      <c r="BS601" s="2004"/>
      <c r="BT601" s="2004"/>
      <c r="BU601" s="2004"/>
      <c r="BV601" s="2004"/>
      <c r="BW601" s="2004"/>
      <c r="BX601" s="2004"/>
      <c r="BY601" s="2004"/>
      <c r="BZ601" s="2004"/>
      <c r="CA601" s="2004"/>
      <c r="CB601" s="2004"/>
      <c r="CC601" s="2004" t="s">
        <v>2335</v>
      </c>
      <c r="CH601" s="2004"/>
      <c r="CI601" s="2004">
        <v>725</v>
      </c>
      <c r="CJ601" s="2004" t="s">
        <v>2334</v>
      </c>
      <c r="CK601" s="2004" t="s">
        <v>2336</v>
      </c>
      <c r="CL601" s="2004">
        <v>-1.0055829999999999</v>
      </c>
      <c r="CM601" s="2004">
        <v>0</v>
      </c>
      <c r="CN601" s="2004">
        <v>0</v>
      </c>
      <c r="CP601" s="2004" t="s">
        <v>12304</v>
      </c>
    </row>
    <row r="602" spans="1:94">
      <c r="A602" s="2004" t="s">
        <v>9115</v>
      </c>
      <c r="B602" s="2004" t="s">
        <v>12305</v>
      </c>
      <c r="C602" s="2004" t="s">
        <v>9047</v>
      </c>
      <c r="D602" s="2004" t="s">
        <v>1629</v>
      </c>
      <c r="E602" s="2004" t="s">
        <v>9410</v>
      </c>
      <c r="F602" s="2004" t="s">
        <v>10865</v>
      </c>
      <c r="G602" s="2004" t="s">
        <v>9411</v>
      </c>
      <c r="H602" s="2004" t="s">
        <v>10870</v>
      </c>
      <c r="I602" s="2004" t="s">
        <v>10871</v>
      </c>
      <c r="J602" s="2004" t="s">
        <v>9199</v>
      </c>
      <c r="K602" s="2004" t="s">
        <v>9200</v>
      </c>
      <c r="L602" s="2004" t="s">
        <v>2337</v>
      </c>
      <c r="M602" s="2004" t="s">
        <v>2334</v>
      </c>
      <c r="N602" s="2004" t="s">
        <v>9414</v>
      </c>
      <c r="O602" s="2004" t="s">
        <v>766</v>
      </c>
      <c r="P602" s="2004" t="s">
        <v>10542</v>
      </c>
      <c r="Q602" s="516">
        <v>0</v>
      </c>
      <c r="R602" s="2004"/>
      <c r="S602" s="2004"/>
      <c r="T602" s="2004"/>
      <c r="U602" s="2004"/>
      <c r="V602" s="2004"/>
      <c r="W602" s="2004"/>
      <c r="X602" s="2004"/>
      <c r="Y602" s="2004"/>
      <c r="Z602" s="2004"/>
      <c r="AA602" s="2004"/>
      <c r="AB602" s="2004"/>
      <c r="AC602" s="2004"/>
      <c r="AD602" s="2004"/>
      <c r="AE602" s="2004"/>
      <c r="AF602" s="2004"/>
      <c r="AG602" s="2004"/>
      <c r="AH602" s="2004"/>
      <c r="AI602" s="2004"/>
      <c r="AJ602" s="2004"/>
      <c r="AK602" s="2004"/>
      <c r="AL602" s="2004"/>
      <c r="AM602" s="2004"/>
      <c r="AN602" s="2004"/>
      <c r="AO602" s="2004"/>
      <c r="AP602" s="2004"/>
      <c r="AQ602" s="2004"/>
      <c r="AR602" s="2004"/>
      <c r="AS602" s="2004"/>
      <c r="AT602" s="2004"/>
      <c r="AU602" s="2004"/>
      <c r="AV602" s="2004"/>
      <c r="AW602" s="2004"/>
      <c r="AX602" s="2004"/>
      <c r="AY602" s="2004"/>
      <c r="AZ602" s="2004"/>
      <c r="BA602" s="2004"/>
      <c r="BB602" s="2004"/>
      <c r="BC602" s="2004"/>
      <c r="BD602" s="2004"/>
      <c r="BE602" s="2004"/>
      <c r="BF602" s="2004"/>
      <c r="BG602" s="2004"/>
      <c r="BH602" s="2004"/>
      <c r="BI602" s="2004"/>
      <c r="BJ602" s="2004"/>
      <c r="BK602" s="2004"/>
      <c r="BL602" s="2004"/>
      <c r="BM602" s="2004"/>
      <c r="BN602" s="2004"/>
      <c r="BO602" s="2004"/>
      <c r="BQ602" s="2004"/>
      <c r="BR602" s="2004"/>
      <c r="BS602" s="2004"/>
      <c r="BT602" s="2004"/>
      <c r="BU602" s="2004"/>
      <c r="BV602" s="2004"/>
      <c r="BW602" s="2004"/>
      <c r="BX602" s="2004"/>
      <c r="BY602" s="2004"/>
      <c r="BZ602" s="2004"/>
      <c r="CA602" s="2004"/>
      <c r="CB602" s="2004"/>
      <c r="CC602" s="2004" t="s">
        <v>2335</v>
      </c>
      <c r="CH602" s="2004"/>
      <c r="CI602" s="2004">
        <v>3766</v>
      </c>
      <c r="CJ602" s="2004" t="s">
        <v>2337</v>
      </c>
      <c r="CK602" s="2004" t="s">
        <v>2339</v>
      </c>
      <c r="CL602" s="2004">
        <v>3.7568630000000001</v>
      </c>
      <c r="CM602" s="2004">
        <v>0</v>
      </c>
      <c r="CN602" s="2004">
        <v>0</v>
      </c>
      <c r="CP602" s="2004" t="s">
        <v>12306</v>
      </c>
    </row>
    <row r="603" spans="1:94">
      <c r="A603" s="2004" t="s">
        <v>9115</v>
      </c>
      <c r="B603" s="2004" t="s">
        <v>12307</v>
      </c>
      <c r="C603" s="2004" t="s">
        <v>9047</v>
      </c>
      <c r="D603" s="2004" t="s">
        <v>1629</v>
      </c>
      <c r="E603" s="2004" t="s">
        <v>9410</v>
      </c>
      <c r="F603" s="2004" t="s">
        <v>10865</v>
      </c>
      <c r="G603" s="2004" t="s">
        <v>9418</v>
      </c>
      <c r="H603" s="2004" t="s">
        <v>10874</v>
      </c>
      <c r="I603" s="2004" t="s">
        <v>10875</v>
      </c>
      <c r="J603" s="2004" t="s">
        <v>9199</v>
      </c>
      <c r="K603" s="2004" t="s">
        <v>9200</v>
      </c>
      <c r="L603" s="2004"/>
      <c r="M603" s="2004"/>
      <c r="N603" s="2004" t="s">
        <v>10208</v>
      </c>
      <c r="O603" s="2004" t="s">
        <v>766</v>
      </c>
      <c r="P603" s="2004" t="s">
        <v>10876</v>
      </c>
      <c r="Q603" s="516">
        <v>0</v>
      </c>
      <c r="R603" s="2004"/>
      <c r="S603" s="2004"/>
      <c r="T603" s="2004"/>
      <c r="U603" s="2004"/>
      <c r="V603" s="2004"/>
      <c r="W603" s="2004"/>
      <c r="X603" s="2004"/>
      <c r="Y603" s="2004"/>
      <c r="Z603" s="2004"/>
      <c r="AA603" s="2004"/>
      <c r="AB603" s="2004"/>
      <c r="AC603" s="2004"/>
      <c r="AD603" s="2004"/>
      <c r="AE603" s="2004"/>
      <c r="AF603" s="2004"/>
      <c r="AG603" s="2004"/>
      <c r="AH603" s="2004"/>
      <c r="AI603" s="2004"/>
      <c r="AJ603" s="2004"/>
      <c r="AK603" s="2004"/>
      <c r="AL603" s="2004"/>
      <c r="AM603" s="2004"/>
      <c r="AN603" s="2004"/>
      <c r="AO603" s="2004"/>
      <c r="AP603" s="2004"/>
      <c r="AQ603" s="2004"/>
      <c r="AR603" s="2004"/>
      <c r="AS603" s="2004"/>
      <c r="AT603" s="2004"/>
      <c r="AU603" s="2004"/>
      <c r="AV603" s="2004"/>
      <c r="AW603" s="2004"/>
      <c r="AX603" s="2004"/>
      <c r="AY603" s="2004"/>
      <c r="AZ603" s="2004"/>
      <c r="BA603" s="2004"/>
      <c r="BB603" s="2004"/>
      <c r="BC603" s="2004"/>
      <c r="BD603" s="2004"/>
      <c r="BE603" s="2004"/>
      <c r="BF603" s="2004"/>
      <c r="BG603" s="2004"/>
      <c r="BH603" s="2004"/>
      <c r="BI603" s="2004"/>
      <c r="BJ603" s="2004"/>
      <c r="BK603" s="2004"/>
      <c r="BL603" s="2004"/>
      <c r="BM603" s="2004"/>
      <c r="BN603" s="2004"/>
      <c r="BO603" s="2004"/>
      <c r="BQ603" s="2004"/>
      <c r="BR603" s="2004"/>
      <c r="BS603" s="2004"/>
      <c r="BT603" s="2004"/>
      <c r="BU603" s="2004"/>
      <c r="BV603" s="2004"/>
      <c r="BW603" s="2004"/>
      <c r="BX603" s="2004"/>
      <c r="BY603" s="2004"/>
      <c r="BZ603" s="2004"/>
      <c r="CA603" s="2004"/>
      <c r="CB603" s="2004"/>
      <c r="CC603" s="2004" t="s">
        <v>2335</v>
      </c>
      <c r="CH603" s="2004"/>
      <c r="CI603" s="2004">
        <v>5</v>
      </c>
      <c r="CJ603" s="2004" t="s">
        <v>2335</v>
      </c>
      <c r="CK603" s="2004">
        <v>0</v>
      </c>
      <c r="CL603" s="2004">
        <v>0</v>
      </c>
      <c r="CM603" s="2004">
        <v>0</v>
      </c>
      <c r="CN603" s="2004">
        <v>0</v>
      </c>
      <c r="CP603" s="2004" t="s">
        <v>12308</v>
      </c>
    </row>
    <row r="604" spans="1:94">
      <c r="A604" s="2004" t="s">
        <v>9115</v>
      </c>
      <c r="B604" s="2004" t="s">
        <v>12309</v>
      </c>
      <c r="C604" s="2004" t="s">
        <v>9047</v>
      </c>
      <c r="D604" s="2004" t="s">
        <v>1629</v>
      </c>
      <c r="E604" s="2004" t="s">
        <v>9410</v>
      </c>
      <c r="F604" s="2004" t="s">
        <v>10865</v>
      </c>
      <c r="G604" s="2004" t="s">
        <v>9424</v>
      </c>
      <c r="H604" s="2004" t="s">
        <v>10879</v>
      </c>
      <c r="I604" s="2004" t="s">
        <v>10880</v>
      </c>
      <c r="J604" s="2004" t="s">
        <v>9210</v>
      </c>
      <c r="K604" s="2004" t="s">
        <v>9545</v>
      </c>
      <c r="L604" s="2004"/>
      <c r="M604" s="2004"/>
      <c r="N604" s="2004" t="s">
        <v>9477</v>
      </c>
      <c r="O604" s="2004" t="s">
        <v>766</v>
      </c>
      <c r="P604" s="2004" t="s">
        <v>10881</v>
      </c>
      <c r="Q604" s="516">
        <v>0</v>
      </c>
      <c r="R604" s="2004"/>
      <c r="S604" s="2004"/>
      <c r="T604" s="2004"/>
      <c r="U604" s="2004"/>
      <c r="V604" s="2004"/>
      <c r="W604" s="2004"/>
      <c r="X604" s="2004"/>
      <c r="Y604" s="2004"/>
      <c r="Z604" s="2004"/>
      <c r="AA604" s="2004"/>
      <c r="AB604" s="2004"/>
      <c r="AC604" s="2004"/>
      <c r="AD604" s="2004"/>
      <c r="AE604" s="2004"/>
      <c r="AF604" s="2004"/>
      <c r="AG604" s="2004"/>
      <c r="AH604" s="2004"/>
      <c r="AI604" s="2004"/>
      <c r="AJ604" s="2004"/>
      <c r="AK604" s="2004"/>
      <c r="AL604" s="2004"/>
      <c r="AM604" s="2004"/>
      <c r="AN604" s="2004"/>
      <c r="AO604" s="2004"/>
      <c r="AP604" s="2004"/>
      <c r="AQ604" s="2004"/>
      <c r="AR604" s="2004"/>
      <c r="AS604" s="2004"/>
      <c r="AT604" s="2004"/>
      <c r="AU604" s="2004"/>
      <c r="AV604" s="2004"/>
      <c r="AW604" s="2004"/>
      <c r="AX604" s="2004"/>
      <c r="AY604" s="2004"/>
      <c r="AZ604" s="2004"/>
      <c r="BA604" s="2004"/>
      <c r="BB604" s="2004"/>
      <c r="BC604" s="2004"/>
      <c r="BD604" s="2004"/>
      <c r="BE604" s="2004"/>
      <c r="BF604" s="2004"/>
      <c r="BG604" s="2004"/>
      <c r="BH604" s="2004"/>
      <c r="BI604" s="2004"/>
      <c r="BJ604" s="2004"/>
      <c r="BK604" s="2004"/>
      <c r="BL604" s="2004"/>
      <c r="BM604" s="2004"/>
      <c r="BN604" s="2004"/>
      <c r="BO604" s="2004"/>
      <c r="BQ604" s="2004"/>
      <c r="BR604" s="2004"/>
      <c r="BS604" s="2004"/>
      <c r="BT604" s="2004"/>
      <c r="BU604" s="2004"/>
      <c r="BV604" s="2004"/>
      <c r="BW604" s="2004"/>
      <c r="BX604" s="2004"/>
      <c r="BY604" s="2004"/>
      <c r="BZ604" s="2004"/>
      <c r="CA604" s="2004"/>
      <c r="CB604" s="2004"/>
      <c r="CC604" s="2004" t="s">
        <v>2335</v>
      </c>
      <c r="CH604" s="2004"/>
      <c r="CI604" s="2004">
        <v>46898</v>
      </c>
      <c r="CJ604" s="2004" t="s">
        <v>2337</v>
      </c>
      <c r="CK604" s="2004">
        <v>0</v>
      </c>
      <c r="CL604" s="2004">
        <v>0</v>
      </c>
      <c r="CM604" s="2004">
        <v>0</v>
      </c>
      <c r="CN604" s="2004">
        <v>0</v>
      </c>
      <c r="CP604" s="2004" t="s">
        <v>12310</v>
      </c>
    </row>
    <row r="605" spans="1:94">
      <c r="A605" s="2004" t="s">
        <v>9115</v>
      </c>
      <c r="B605" s="2004" t="s">
        <v>12311</v>
      </c>
      <c r="C605" s="2004" t="s">
        <v>9047</v>
      </c>
      <c r="D605" s="2004" t="s">
        <v>1629</v>
      </c>
      <c r="E605" s="2004" t="s">
        <v>9410</v>
      </c>
      <c r="F605" s="2004" t="s">
        <v>10865</v>
      </c>
      <c r="G605" s="2004" t="s">
        <v>10889</v>
      </c>
      <c r="H605" s="2004" t="s">
        <v>10890</v>
      </c>
      <c r="I605" s="2004" t="s">
        <v>10891</v>
      </c>
      <c r="J605" s="2004" t="s">
        <v>9230</v>
      </c>
      <c r="K605" s="2004"/>
      <c r="L605" s="2004"/>
      <c r="M605" s="2004"/>
      <c r="N605" s="2004" t="s">
        <v>9364</v>
      </c>
      <c r="O605" s="2004" t="s">
        <v>766</v>
      </c>
      <c r="P605" s="2004" t="s">
        <v>10892</v>
      </c>
      <c r="Q605" s="516">
        <v>0</v>
      </c>
      <c r="R605" s="2004"/>
      <c r="S605" s="2004"/>
      <c r="T605" s="2004"/>
      <c r="U605" s="2004"/>
      <c r="V605" s="2004"/>
      <c r="W605" s="2004"/>
      <c r="X605" s="2004"/>
      <c r="Y605" s="2004"/>
      <c r="Z605" s="2004"/>
      <c r="AA605" s="2004"/>
      <c r="AB605" s="2004"/>
      <c r="AC605" s="2004"/>
      <c r="AD605" s="2004"/>
      <c r="AE605" s="2004"/>
      <c r="AF605" s="2004"/>
      <c r="AG605" s="2004"/>
      <c r="AH605" s="2004"/>
      <c r="AI605" s="2004"/>
      <c r="AJ605" s="2004"/>
      <c r="AK605" s="2004"/>
      <c r="AL605" s="2004"/>
      <c r="AM605" s="2004"/>
      <c r="AN605" s="2004"/>
      <c r="AO605" s="2004"/>
      <c r="AP605" s="2004"/>
      <c r="AQ605" s="2004"/>
      <c r="AR605" s="2004"/>
      <c r="AS605" s="2004"/>
      <c r="AT605" s="2004"/>
      <c r="AU605" s="2004"/>
      <c r="AV605" s="2004"/>
      <c r="AW605" s="2004"/>
      <c r="AX605" s="2004"/>
      <c r="AY605" s="2004"/>
      <c r="AZ605" s="2004"/>
      <c r="BA605" s="2004"/>
      <c r="BB605" s="2004"/>
      <c r="BC605" s="2004"/>
      <c r="BD605" s="2004"/>
      <c r="BE605" s="2004"/>
      <c r="BF605" s="2004"/>
      <c r="BG605" s="2004"/>
      <c r="BH605" s="2004"/>
      <c r="BI605" s="2004"/>
      <c r="BJ605" s="2004"/>
      <c r="BK605" s="2004"/>
      <c r="BL605" s="2004"/>
      <c r="BM605" s="2004"/>
      <c r="BN605" s="2004"/>
      <c r="BO605" s="2004"/>
      <c r="BQ605" s="2004"/>
      <c r="BR605" s="2004"/>
      <c r="BS605" s="2004"/>
      <c r="BT605" s="2004"/>
      <c r="BU605" s="2004"/>
      <c r="BV605" s="2004"/>
      <c r="BW605" s="2004"/>
      <c r="BX605" s="2004"/>
      <c r="BY605" s="2004"/>
      <c r="BZ605" s="2004"/>
      <c r="CA605" s="2004"/>
      <c r="CB605" s="2004"/>
      <c r="CC605" s="2004" t="s">
        <v>2335</v>
      </c>
      <c r="CH605" s="2004"/>
      <c r="CI605" s="2004">
        <v>19</v>
      </c>
      <c r="CJ605" s="2004" t="s">
        <v>2335</v>
      </c>
      <c r="CK605" s="2004">
        <v>0</v>
      </c>
      <c r="CL605" s="2004">
        <v>0</v>
      </c>
      <c r="CM605" s="2004">
        <v>0</v>
      </c>
      <c r="CN605" s="2004">
        <v>0</v>
      </c>
      <c r="CP605" s="2004" t="s">
        <v>12312</v>
      </c>
    </row>
    <row r="606" spans="1:94">
      <c r="A606" s="2004" t="s">
        <v>9115</v>
      </c>
      <c r="B606" s="2004" t="s">
        <v>12313</v>
      </c>
      <c r="C606" s="2004" t="s">
        <v>9047</v>
      </c>
      <c r="D606" s="2004" t="s">
        <v>1629</v>
      </c>
      <c r="E606" s="2004" t="s">
        <v>9410</v>
      </c>
      <c r="F606" s="2004" t="s">
        <v>10828</v>
      </c>
      <c r="G606" s="2004" t="s">
        <v>9431</v>
      </c>
      <c r="H606" s="2004" t="s">
        <v>10895</v>
      </c>
      <c r="I606" s="2004" t="s">
        <v>10896</v>
      </c>
      <c r="J606" s="2004" t="s">
        <v>9199</v>
      </c>
      <c r="K606" s="2004" t="s">
        <v>9200</v>
      </c>
      <c r="L606" s="2004" t="s">
        <v>2337</v>
      </c>
      <c r="M606" s="2004"/>
      <c r="N606" s="2004" t="s">
        <v>9290</v>
      </c>
      <c r="O606" s="2004" t="s">
        <v>734</v>
      </c>
      <c r="P606" s="2004" t="s">
        <v>9387</v>
      </c>
      <c r="Q606" s="516">
        <v>0</v>
      </c>
      <c r="R606" s="2004"/>
      <c r="S606" s="2004"/>
      <c r="T606" s="2004"/>
      <c r="U606" s="2004"/>
      <c r="V606" s="2004"/>
      <c r="W606" s="2004"/>
      <c r="X606" s="2004"/>
      <c r="Y606" s="2004"/>
      <c r="Z606" s="2004"/>
      <c r="AA606" s="2004"/>
      <c r="AB606" s="2004"/>
      <c r="AC606" s="2004"/>
      <c r="AD606" s="2004"/>
      <c r="AE606" s="2004"/>
      <c r="AF606" s="2004"/>
      <c r="AG606" s="2004"/>
      <c r="AH606" s="2004"/>
      <c r="AI606" s="2004"/>
      <c r="AJ606" s="2004"/>
      <c r="AK606" s="2004"/>
      <c r="AL606" s="2004"/>
      <c r="AM606" s="2004"/>
      <c r="AN606" s="2004"/>
      <c r="AO606" s="2004"/>
      <c r="AP606" s="2004"/>
      <c r="AQ606" s="2004"/>
      <c r="AR606" s="2004"/>
      <c r="AS606" s="2004"/>
      <c r="AT606" s="2004"/>
      <c r="AU606" s="2004"/>
      <c r="AV606" s="2004"/>
      <c r="AW606" s="2004"/>
      <c r="AX606" s="2004"/>
      <c r="AY606" s="2004"/>
      <c r="AZ606" s="2004"/>
      <c r="BA606" s="2004"/>
      <c r="BB606" s="2004"/>
      <c r="BC606" s="2004"/>
      <c r="BD606" s="2004"/>
      <c r="BE606" s="2004"/>
      <c r="BF606" s="2004"/>
      <c r="BG606" s="2004"/>
      <c r="BH606" s="2004"/>
      <c r="BI606" s="2004"/>
      <c r="BJ606" s="2004"/>
      <c r="BK606" s="2004"/>
      <c r="BL606" s="2004"/>
      <c r="BM606" s="2004"/>
      <c r="BN606" s="2004"/>
      <c r="BO606" s="2004"/>
      <c r="BQ606" s="2004"/>
      <c r="BR606" s="2004"/>
      <c r="BS606" s="2004"/>
      <c r="BT606" s="2004"/>
      <c r="BU606" s="2004"/>
      <c r="BV606" s="2004"/>
      <c r="BW606" s="2004"/>
      <c r="BX606" s="2004"/>
      <c r="BY606" s="2004"/>
      <c r="BZ606" s="2004"/>
      <c r="CA606" s="2004"/>
      <c r="CB606" s="2004"/>
      <c r="CC606" s="2004" t="s">
        <v>2335</v>
      </c>
      <c r="CH606" s="2004"/>
      <c r="CI606" s="2004">
        <v>63</v>
      </c>
      <c r="CJ606" s="2004" t="s">
        <v>2337</v>
      </c>
      <c r="CK606" s="2004" t="s">
        <v>2339</v>
      </c>
      <c r="CL606" s="2004">
        <v>0.1245</v>
      </c>
      <c r="CM606" s="2004">
        <v>0</v>
      </c>
      <c r="CN606" s="2004">
        <v>0</v>
      </c>
      <c r="CP606" s="2004" t="s">
        <v>12314</v>
      </c>
    </row>
    <row r="607" spans="1:94">
      <c r="A607" s="2004" t="s">
        <v>9115</v>
      </c>
      <c r="B607" s="2004" t="s">
        <v>12315</v>
      </c>
      <c r="C607" s="2004" t="s">
        <v>9047</v>
      </c>
      <c r="D607" s="2004" t="s">
        <v>1629</v>
      </c>
      <c r="E607" s="2004" t="s">
        <v>9410</v>
      </c>
      <c r="F607" s="2004" t="s">
        <v>10833</v>
      </c>
      <c r="G607" s="2004" t="s">
        <v>9436</v>
      </c>
      <c r="H607" s="2004" t="s">
        <v>10899</v>
      </c>
      <c r="I607" s="2004" t="s">
        <v>10900</v>
      </c>
      <c r="J607" s="2004" t="s">
        <v>9199</v>
      </c>
      <c r="K607" s="2004" t="s">
        <v>9200</v>
      </c>
      <c r="L607" s="2004"/>
      <c r="M607" s="2004" t="s">
        <v>2334</v>
      </c>
      <c r="N607" s="2004" t="s">
        <v>9364</v>
      </c>
      <c r="O607" s="2004" t="s">
        <v>766</v>
      </c>
      <c r="P607" s="2004" t="s">
        <v>10901</v>
      </c>
      <c r="Q607" s="516">
        <v>0</v>
      </c>
      <c r="R607" s="2004"/>
      <c r="S607" s="2004"/>
      <c r="T607" s="2004"/>
      <c r="U607" s="2004"/>
      <c r="V607" s="2004"/>
      <c r="W607" s="2004"/>
      <c r="X607" s="2004"/>
      <c r="Y607" s="2004"/>
      <c r="Z607" s="2004"/>
      <c r="AA607" s="2004"/>
      <c r="AB607" s="2004"/>
      <c r="AC607" s="2004"/>
      <c r="AD607" s="2004"/>
      <c r="AE607" s="2004"/>
      <c r="AF607" s="2004"/>
      <c r="AG607" s="2004"/>
      <c r="AH607" s="2004"/>
      <c r="AI607" s="2004"/>
      <c r="AJ607" s="2004"/>
      <c r="AK607" s="2004"/>
      <c r="AL607" s="2004"/>
      <c r="AM607" s="2004"/>
      <c r="AN607" s="2004"/>
      <c r="AO607" s="2004"/>
      <c r="AP607" s="2004"/>
      <c r="AQ607" s="2004"/>
      <c r="AR607" s="2004"/>
      <c r="AS607" s="2004"/>
      <c r="AT607" s="2004"/>
      <c r="AU607" s="2004"/>
      <c r="AV607" s="2004"/>
      <c r="AW607" s="2004"/>
      <c r="AX607" s="2004"/>
      <c r="AY607" s="2004"/>
      <c r="AZ607" s="2004"/>
      <c r="BA607" s="2004"/>
      <c r="BB607" s="2004"/>
      <c r="BC607" s="2004"/>
      <c r="BD607" s="2004"/>
      <c r="BE607" s="2004"/>
      <c r="BF607" s="2004"/>
      <c r="BG607" s="2004"/>
      <c r="BH607" s="2004"/>
      <c r="BI607" s="2004"/>
      <c r="BJ607" s="2004"/>
      <c r="BK607" s="2004"/>
      <c r="BL607" s="2004"/>
      <c r="BM607" s="2004"/>
      <c r="BN607" s="2004"/>
      <c r="BO607" s="2004"/>
      <c r="BQ607" s="2004"/>
      <c r="BR607" s="2004"/>
      <c r="BS607" s="2004"/>
      <c r="BT607" s="2004"/>
      <c r="BU607" s="2004"/>
      <c r="BV607" s="2004"/>
      <c r="BW607" s="2004"/>
      <c r="BX607" s="2004"/>
      <c r="BY607" s="2004"/>
      <c r="BZ607" s="2004"/>
      <c r="CA607" s="2004"/>
      <c r="CB607" s="2004"/>
      <c r="CC607" s="2004" t="s">
        <v>2335</v>
      </c>
      <c r="CH607" s="2004"/>
      <c r="CI607" s="2004">
        <v>53</v>
      </c>
      <c r="CJ607" s="2004" t="s">
        <v>2335</v>
      </c>
      <c r="CK607" s="2004">
        <v>0</v>
      </c>
      <c r="CL607" s="2004">
        <v>0</v>
      </c>
      <c r="CM607" s="2004">
        <v>0</v>
      </c>
      <c r="CN607" s="2004">
        <v>0</v>
      </c>
      <c r="CP607" s="2004" t="s">
        <v>12316</v>
      </c>
    </row>
    <row r="608" spans="1:94">
      <c r="A608" s="2004" t="s">
        <v>9115</v>
      </c>
      <c r="B608" s="2004" t="s">
        <v>12317</v>
      </c>
      <c r="C608" s="2004" t="s">
        <v>9047</v>
      </c>
      <c r="D608" s="2004" t="s">
        <v>1629</v>
      </c>
      <c r="E608" s="2004" t="s">
        <v>9410</v>
      </c>
      <c r="F608" s="2004" t="s">
        <v>10833</v>
      </c>
      <c r="G608" s="2004" t="s">
        <v>9442</v>
      </c>
      <c r="H608" s="2004" t="s">
        <v>10904</v>
      </c>
      <c r="I608" s="2004" t="s">
        <v>10905</v>
      </c>
      <c r="J608" s="2004" t="s">
        <v>9199</v>
      </c>
      <c r="K608" s="2004" t="s">
        <v>9200</v>
      </c>
      <c r="L608" s="2004" t="s">
        <v>2337</v>
      </c>
      <c r="M608" s="2004" t="s">
        <v>2334</v>
      </c>
      <c r="N608" s="2004" t="s">
        <v>9450</v>
      </c>
      <c r="O608" s="2004" t="s">
        <v>766</v>
      </c>
      <c r="P608" s="2004" t="s">
        <v>9451</v>
      </c>
      <c r="Q608" s="516">
        <v>0</v>
      </c>
      <c r="R608" s="2004"/>
      <c r="S608" s="2004"/>
      <c r="T608" s="2004"/>
      <c r="U608" s="2004"/>
      <c r="V608" s="2004"/>
      <c r="W608" s="2004"/>
      <c r="X608" s="2004"/>
      <c r="Y608" s="2004"/>
      <c r="Z608" s="2004"/>
      <c r="AA608" s="2004"/>
      <c r="AB608" s="2004"/>
      <c r="AC608" s="2004"/>
      <c r="AD608" s="2004"/>
      <c r="AE608" s="2004"/>
      <c r="AF608" s="2004"/>
      <c r="AG608" s="2004"/>
      <c r="AH608" s="2004"/>
      <c r="AI608" s="2004"/>
      <c r="AJ608" s="2004"/>
      <c r="AK608" s="2004"/>
      <c r="AL608" s="2004"/>
      <c r="AM608" s="2004"/>
      <c r="AN608" s="2004"/>
      <c r="AO608" s="2004"/>
      <c r="AP608" s="2004"/>
      <c r="AQ608" s="2004"/>
      <c r="AR608" s="2004"/>
      <c r="AS608" s="2004"/>
      <c r="AT608" s="2004"/>
      <c r="AU608" s="2004"/>
      <c r="AV608" s="2004"/>
      <c r="AW608" s="2004"/>
      <c r="AX608" s="2004"/>
      <c r="AY608" s="2004"/>
      <c r="AZ608" s="2004"/>
      <c r="BA608" s="2004"/>
      <c r="BB608" s="2004"/>
      <c r="BC608" s="2004"/>
      <c r="BD608" s="2004"/>
      <c r="BE608" s="2004"/>
      <c r="BF608" s="2004"/>
      <c r="BG608" s="2004"/>
      <c r="BH608" s="2004"/>
      <c r="BI608" s="2004"/>
      <c r="BJ608" s="2004"/>
      <c r="BK608" s="2004"/>
      <c r="BL608" s="2004"/>
      <c r="BM608" s="2004"/>
      <c r="BN608" s="2004"/>
      <c r="BO608" s="2004"/>
      <c r="BQ608" s="2004"/>
      <c r="BR608" s="2004"/>
      <c r="BS608" s="2004"/>
      <c r="BT608" s="2004"/>
      <c r="BU608" s="2004"/>
      <c r="BV608" s="2004"/>
      <c r="BW608" s="2004"/>
      <c r="BX608" s="2004"/>
      <c r="BY608" s="2004"/>
      <c r="BZ608" s="2004"/>
      <c r="CA608" s="2004"/>
      <c r="CB608" s="2004"/>
      <c r="CC608" s="2004" t="s">
        <v>2335</v>
      </c>
      <c r="CH608" s="2004"/>
      <c r="CI608" s="2004">
        <v>328</v>
      </c>
      <c r="CJ608" s="2004" t="s">
        <v>2337</v>
      </c>
      <c r="CK608" s="2004" t="s">
        <v>2339</v>
      </c>
      <c r="CL608" s="2004">
        <v>0.46828599999999998</v>
      </c>
      <c r="CM608" s="2004">
        <v>0</v>
      </c>
      <c r="CN608" s="2004">
        <v>0</v>
      </c>
      <c r="CP608" s="2004" t="s">
        <v>12318</v>
      </c>
    </row>
    <row r="609" spans="1:94">
      <c r="A609" s="2004" t="s">
        <v>9115</v>
      </c>
      <c r="B609" s="2004" t="s">
        <v>12319</v>
      </c>
      <c r="C609" s="2004" t="s">
        <v>9047</v>
      </c>
      <c r="D609" s="2004" t="s">
        <v>1629</v>
      </c>
      <c r="E609" s="2004" t="s">
        <v>9410</v>
      </c>
      <c r="F609" s="2004" t="s">
        <v>10833</v>
      </c>
      <c r="G609" s="2004" t="s">
        <v>9447</v>
      </c>
      <c r="H609" s="2004" t="s">
        <v>10908</v>
      </c>
      <c r="I609" s="2004" t="s">
        <v>10909</v>
      </c>
      <c r="J609" s="2004" t="s">
        <v>9210</v>
      </c>
      <c r="K609" s="2004" t="s">
        <v>9545</v>
      </c>
      <c r="L609" s="2004"/>
      <c r="M609" s="2004" t="s">
        <v>2334</v>
      </c>
      <c r="N609" s="2004" t="s">
        <v>9364</v>
      </c>
      <c r="O609" s="2004" t="s">
        <v>734</v>
      </c>
      <c r="P609" s="2004" t="s">
        <v>10558</v>
      </c>
      <c r="Q609" s="516">
        <v>2</v>
      </c>
      <c r="R609" s="2004"/>
      <c r="S609" s="2004"/>
      <c r="T609" s="2004"/>
      <c r="U609" s="2004"/>
      <c r="V609" s="2004"/>
      <c r="W609" s="2004"/>
      <c r="X609" s="2004"/>
      <c r="Y609" s="2004"/>
      <c r="Z609" s="2004"/>
      <c r="AA609" s="2004"/>
      <c r="AB609" s="2004"/>
      <c r="AC609" s="2004"/>
      <c r="AD609" s="2004"/>
      <c r="AE609" s="2004"/>
      <c r="AF609" s="2004"/>
      <c r="AG609" s="2004"/>
      <c r="AH609" s="2004"/>
      <c r="AI609" s="2004"/>
      <c r="AJ609" s="2004"/>
      <c r="AK609" s="2004"/>
      <c r="AL609" s="2004"/>
      <c r="AM609" s="2004"/>
      <c r="AN609" s="2004"/>
      <c r="AO609" s="2004"/>
      <c r="AP609" s="2004"/>
      <c r="AQ609" s="2004"/>
      <c r="AR609" s="2004"/>
      <c r="AS609" s="2004"/>
      <c r="AT609" s="2004"/>
      <c r="AU609" s="2004"/>
      <c r="AV609" s="2004"/>
      <c r="AW609" s="2004"/>
      <c r="AX609" s="2004"/>
      <c r="AY609" s="2004"/>
      <c r="AZ609" s="2004"/>
      <c r="BA609" s="2004"/>
      <c r="BB609" s="2004"/>
      <c r="BC609" s="2004"/>
      <c r="BD609" s="2004"/>
      <c r="BE609" s="2004"/>
      <c r="BF609" s="2004"/>
      <c r="BG609" s="2004"/>
      <c r="BH609" s="2004"/>
      <c r="BI609" s="2004"/>
      <c r="BJ609" s="2004"/>
      <c r="BK609" s="2004"/>
      <c r="BL609" s="2004"/>
      <c r="BM609" s="2004"/>
      <c r="BN609" s="2004"/>
      <c r="BO609" s="2004"/>
      <c r="BQ609" s="2004"/>
      <c r="BR609" s="2004"/>
      <c r="BS609" s="2004"/>
      <c r="BT609" s="2004"/>
      <c r="BU609" s="2004"/>
      <c r="BV609" s="2004"/>
      <c r="BW609" s="2004"/>
      <c r="BX609" s="2004"/>
      <c r="BY609" s="2004"/>
      <c r="BZ609" s="2004"/>
      <c r="CA609" s="2004"/>
      <c r="CB609" s="2004"/>
      <c r="CC609" s="2004" t="s">
        <v>2335</v>
      </c>
      <c r="CH609" s="2004"/>
      <c r="CI609" s="2004">
        <v>97.69</v>
      </c>
      <c r="CJ609" s="2004" t="s">
        <v>2334</v>
      </c>
      <c r="CK609" s="2004" t="s">
        <v>2340</v>
      </c>
      <c r="CL609" s="2004">
        <v>0</v>
      </c>
      <c r="CM609" s="2004">
        <v>0</v>
      </c>
      <c r="CN609" s="2004">
        <v>0</v>
      </c>
      <c r="CP609" s="2004" t="s">
        <v>12320</v>
      </c>
    </row>
    <row r="610" spans="1:94">
      <c r="A610" s="2004" t="s">
        <v>9115</v>
      </c>
      <c r="B610" s="2004" t="s">
        <v>12321</v>
      </c>
      <c r="C610" s="2004" t="s">
        <v>9047</v>
      </c>
      <c r="D610" s="2004" t="s">
        <v>1629</v>
      </c>
      <c r="E610" s="2004" t="s">
        <v>9410</v>
      </c>
      <c r="F610" s="2004" t="s">
        <v>10833</v>
      </c>
      <c r="G610" s="2004" t="s">
        <v>9454</v>
      </c>
      <c r="H610" s="2004" t="s">
        <v>10912</v>
      </c>
      <c r="I610" s="2004" t="s">
        <v>10913</v>
      </c>
      <c r="J610" s="2004" t="s">
        <v>9199</v>
      </c>
      <c r="K610" s="2004" t="s">
        <v>9200</v>
      </c>
      <c r="L610" s="2004"/>
      <c r="M610" s="2004"/>
      <c r="N610" s="2004" t="s">
        <v>9357</v>
      </c>
      <c r="O610" s="2004" t="s">
        <v>766</v>
      </c>
      <c r="P610" s="2004" t="s">
        <v>10846</v>
      </c>
      <c r="Q610" s="516">
        <v>0</v>
      </c>
      <c r="R610" s="2004"/>
      <c r="S610" s="2004"/>
      <c r="T610" s="2004"/>
      <c r="U610" s="2004"/>
      <c r="V610" s="2004"/>
      <c r="W610" s="2004"/>
      <c r="X610" s="2004"/>
      <c r="Y610" s="2004"/>
      <c r="Z610" s="2004"/>
      <c r="AA610" s="2004"/>
      <c r="AB610" s="2004"/>
      <c r="AC610" s="2004"/>
      <c r="AD610" s="2004"/>
      <c r="AE610" s="2004"/>
      <c r="AF610" s="2004"/>
      <c r="AG610" s="2004"/>
      <c r="AH610" s="2004"/>
      <c r="AI610" s="2004"/>
      <c r="AJ610" s="2004"/>
      <c r="AK610" s="2004"/>
      <c r="AL610" s="2004"/>
      <c r="AM610" s="2004"/>
      <c r="AN610" s="2004"/>
      <c r="AO610" s="2004"/>
      <c r="AP610" s="2004"/>
      <c r="AQ610" s="2004"/>
      <c r="AR610" s="2004"/>
      <c r="AS610" s="2004"/>
      <c r="AT610" s="2004"/>
      <c r="AU610" s="2004"/>
      <c r="AV610" s="2004"/>
      <c r="AW610" s="2004"/>
      <c r="AX610" s="2004"/>
      <c r="AY610" s="2004"/>
      <c r="AZ610" s="2004"/>
      <c r="BA610" s="2004"/>
      <c r="BB610" s="2004"/>
      <c r="BC610" s="2004"/>
      <c r="BD610" s="2004"/>
      <c r="BE610" s="2004"/>
      <c r="BF610" s="2004"/>
      <c r="BG610" s="2004"/>
      <c r="BH610" s="2004"/>
      <c r="BI610" s="2004"/>
      <c r="BJ610" s="2004"/>
      <c r="BK610" s="2004"/>
      <c r="BL610" s="2004"/>
      <c r="BM610" s="2004"/>
      <c r="BN610" s="2004"/>
      <c r="BO610" s="2004"/>
      <c r="BQ610" s="2004"/>
      <c r="BR610" s="2004"/>
      <c r="BS610" s="2004"/>
      <c r="BT610" s="2004"/>
      <c r="BU610" s="2004"/>
      <c r="BV610" s="2004"/>
      <c r="BW610" s="2004"/>
      <c r="BX610" s="2004"/>
      <c r="BY610" s="2004"/>
      <c r="BZ610" s="2004"/>
      <c r="CA610" s="2004"/>
      <c r="CB610" s="2004"/>
      <c r="CC610" s="2004" t="s">
        <v>2335</v>
      </c>
      <c r="CH610" s="2004"/>
      <c r="CI610" s="2004">
        <v>343</v>
      </c>
      <c r="CJ610" s="2004" t="s">
        <v>2335</v>
      </c>
      <c r="CK610" s="2004">
        <v>0</v>
      </c>
      <c r="CL610" s="2004">
        <v>0</v>
      </c>
      <c r="CM610" s="2004">
        <v>0</v>
      </c>
      <c r="CN610" s="2004">
        <v>0</v>
      </c>
      <c r="CP610" s="2004" t="s">
        <v>12322</v>
      </c>
    </row>
    <row r="611" spans="1:94">
      <c r="A611" s="2004" t="s">
        <v>9115</v>
      </c>
      <c r="B611" s="2004" t="s">
        <v>12323</v>
      </c>
      <c r="C611" s="2004" t="s">
        <v>9047</v>
      </c>
      <c r="D611" s="2004" t="s">
        <v>1629</v>
      </c>
      <c r="E611" s="2004" t="s">
        <v>9410</v>
      </c>
      <c r="F611" s="2004" t="s">
        <v>10833</v>
      </c>
      <c r="G611" s="2004" t="s">
        <v>10916</v>
      </c>
      <c r="H611" s="2004" t="s">
        <v>10917</v>
      </c>
      <c r="I611" s="2004" t="s">
        <v>10918</v>
      </c>
      <c r="J611" s="2004" t="s">
        <v>10919</v>
      </c>
      <c r="K611" s="2004" t="s">
        <v>9200</v>
      </c>
      <c r="L611" s="2004"/>
      <c r="M611" s="2004"/>
      <c r="N611" s="2004" t="s">
        <v>9427</v>
      </c>
      <c r="O611" s="2004" t="s">
        <v>766</v>
      </c>
      <c r="P611" s="2004" t="s">
        <v>10920</v>
      </c>
      <c r="Q611" s="516">
        <v>0</v>
      </c>
      <c r="R611" s="2004"/>
      <c r="S611" s="2004"/>
      <c r="T611" s="2004"/>
      <c r="U611" s="2004"/>
      <c r="V611" s="2004"/>
      <c r="W611" s="2004"/>
      <c r="X611" s="2004"/>
      <c r="Y611" s="2004"/>
      <c r="Z611" s="2004"/>
      <c r="AA611" s="2004"/>
      <c r="AB611" s="2004"/>
      <c r="AC611" s="2004"/>
      <c r="AD611" s="2004"/>
      <c r="AE611" s="2004"/>
      <c r="AF611" s="2004"/>
      <c r="AG611" s="2004"/>
      <c r="AH611" s="2004"/>
      <c r="AI611" s="2004"/>
      <c r="AJ611" s="2004"/>
      <c r="AK611" s="2004"/>
      <c r="AL611" s="2004"/>
      <c r="AM611" s="2004"/>
      <c r="AN611" s="2004"/>
      <c r="AO611" s="2004"/>
      <c r="AP611" s="2004"/>
      <c r="AQ611" s="2004"/>
      <c r="AR611" s="2004"/>
      <c r="AS611" s="2004"/>
      <c r="AT611" s="2004"/>
      <c r="AU611" s="2004"/>
      <c r="AV611" s="2004"/>
      <c r="AW611" s="2004"/>
      <c r="AX611" s="2004"/>
      <c r="AY611" s="2004"/>
      <c r="AZ611" s="2004"/>
      <c r="BA611" s="2004"/>
      <c r="BB611" s="2004"/>
      <c r="BC611" s="2004"/>
      <c r="BD611" s="2004"/>
      <c r="BE611" s="2004"/>
      <c r="BF611" s="2004"/>
      <c r="BG611" s="2004"/>
      <c r="BH611" s="2004"/>
      <c r="BI611" s="2004"/>
      <c r="BJ611" s="2004"/>
      <c r="BK611" s="2004"/>
      <c r="BL611" s="2004"/>
      <c r="BM611" s="2004"/>
      <c r="BN611" s="2004"/>
      <c r="BO611" s="2004"/>
      <c r="BQ611" s="2004"/>
      <c r="BR611" s="2004"/>
      <c r="BS611" s="2004"/>
      <c r="BT611" s="2004"/>
      <c r="BU611" s="2004"/>
      <c r="BV611" s="2004"/>
      <c r="BW611" s="2004"/>
      <c r="BX611" s="2004"/>
      <c r="BY611" s="2004"/>
      <c r="BZ611" s="2004"/>
      <c r="CA611" s="2004"/>
      <c r="CB611" s="2004"/>
      <c r="CC611" s="2004" t="s">
        <v>2335</v>
      </c>
      <c r="CH611" s="2004"/>
      <c r="CI611" s="2004">
        <v>0</v>
      </c>
      <c r="CJ611" s="2004" t="s">
        <v>2335</v>
      </c>
      <c r="CK611" s="2004">
        <v>0</v>
      </c>
      <c r="CL611" s="2004">
        <v>0</v>
      </c>
      <c r="CM611" s="2004">
        <v>0</v>
      </c>
      <c r="CN611" s="2004">
        <v>0</v>
      </c>
      <c r="CP611" s="2004" t="s">
        <v>12324</v>
      </c>
    </row>
    <row r="612" spans="1:94">
      <c r="A612" s="2004" t="s">
        <v>9115</v>
      </c>
      <c r="B612" s="2004" t="s">
        <v>12325</v>
      </c>
      <c r="C612" s="2004" t="s">
        <v>9047</v>
      </c>
      <c r="D612" s="2004" t="s">
        <v>1629</v>
      </c>
      <c r="E612" s="2004" t="s">
        <v>9410</v>
      </c>
      <c r="F612" s="2004" t="s">
        <v>10833</v>
      </c>
      <c r="G612" s="2004" t="s">
        <v>10923</v>
      </c>
      <c r="H612" s="2004" t="s">
        <v>10924</v>
      </c>
      <c r="I612" s="2004" t="s">
        <v>10925</v>
      </c>
      <c r="J612" s="2004" t="s">
        <v>9230</v>
      </c>
      <c r="K612" s="2004"/>
      <c r="L612" s="2004"/>
      <c r="M612" s="2004"/>
      <c r="N612" s="2004" t="s">
        <v>9450</v>
      </c>
      <c r="O612" s="2004" t="s">
        <v>766</v>
      </c>
      <c r="P612" s="2004" t="s">
        <v>10583</v>
      </c>
      <c r="Q612" s="516">
        <v>0</v>
      </c>
      <c r="R612" s="2004"/>
      <c r="S612" s="2004"/>
      <c r="T612" s="2004"/>
      <c r="U612" s="2004"/>
      <c r="V612" s="2004"/>
      <c r="W612" s="2004"/>
      <c r="X612" s="2004"/>
      <c r="Y612" s="2004"/>
      <c r="Z612" s="2004"/>
      <c r="AA612" s="2004"/>
      <c r="AB612" s="2004"/>
      <c r="AC612" s="2004"/>
      <c r="AD612" s="2004"/>
      <c r="AE612" s="2004"/>
      <c r="AF612" s="2004"/>
      <c r="AG612" s="2004"/>
      <c r="AH612" s="2004"/>
      <c r="AI612" s="2004"/>
      <c r="AJ612" s="2004"/>
      <c r="AK612" s="2004"/>
      <c r="AL612" s="2004"/>
      <c r="AM612" s="2004"/>
      <c r="AN612" s="2004"/>
      <c r="AO612" s="2004"/>
      <c r="AP612" s="2004"/>
      <c r="AQ612" s="2004"/>
      <c r="AR612" s="2004"/>
      <c r="AS612" s="2004"/>
      <c r="AT612" s="2004"/>
      <c r="AU612" s="2004"/>
      <c r="AV612" s="2004"/>
      <c r="AW612" s="2004"/>
      <c r="AX612" s="2004"/>
      <c r="AY612" s="2004"/>
      <c r="AZ612" s="2004"/>
      <c r="BA612" s="2004"/>
      <c r="BB612" s="2004"/>
      <c r="BC612" s="2004"/>
      <c r="BD612" s="2004"/>
      <c r="BE612" s="2004"/>
      <c r="BF612" s="2004"/>
      <c r="BG612" s="2004"/>
      <c r="BH612" s="2004"/>
      <c r="BI612" s="2004"/>
      <c r="BJ612" s="2004"/>
      <c r="BK612" s="2004"/>
      <c r="BL612" s="2004"/>
      <c r="BM612" s="2004"/>
      <c r="BN612" s="2004"/>
      <c r="BO612" s="2004"/>
      <c r="BQ612" s="2004"/>
      <c r="BR612" s="2004"/>
      <c r="BS612" s="2004"/>
      <c r="BT612" s="2004"/>
      <c r="BU612" s="2004"/>
      <c r="BV612" s="2004"/>
      <c r="BW612" s="2004"/>
      <c r="BX612" s="2004"/>
      <c r="BY612" s="2004"/>
      <c r="BZ612" s="2004"/>
      <c r="CA612" s="2004"/>
      <c r="CB612" s="2004"/>
      <c r="CC612" s="2004" t="s">
        <v>2335</v>
      </c>
      <c r="CH612" s="2004"/>
      <c r="CI612" s="2004">
        <v>7</v>
      </c>
      <c r="CJ612" s="2004" t="s">
        <v>2334</v>
      </c>
      <c r="CK612" s="2004">
        <v>0</v>
      </c>
      <c r="CL612" s="2004">
        <v>0</v>
      </c>
      <c r="CM612" s="2004">
        <v>0</v>
      </c>
      <c r="CN612" s="2004">
        <v>0</v>
      </c>
      <c r="CP612" s="2004" t="s">
        <v>12326</v>
      </c>
    </row>
    <row r="613" spans="1:94">
      <c r="A613" s="2004" t="s">
        <v>9115</v>
      </c>
      <c r="B613" s="2004" t="s">
        <v>12327</v>
      </c>
      <c r="C613" s="2004" t="s">
        <v>9047</v>
      </c>
      <c r="D613" s="2004" t="s">
        <v>1629</v>
      </c>
      <c r="E613" s="2004" t="s">
        <v>9410</v>
      </c>
      <c r="F613" s="2004" t="s">
        <v>10833</v>
      </c>
      <c r="G613" s="2004" t="s">
        <v>10928</v>
      </c>
      <c r="H613" s="2004" t="s">
        <v>10929</v>
      </c>
      <c r="I613" s="2004" t="s">
        <v>10930</v>
      </c>
      <c r="J613" s="2004" t="s">
        <v>9199</v>
      </c>
      <c r="K613" s="2004" t="s">
        <v>9200</v>
      </c>
      <c r="L613" s="2004"/>
      <c r="M613" s="2004"/>
      <c r="N613" s="2004" t="s">
        <v>9364</v>
      </c>
      <c r="O613" s="2004" t="s">
        <v>766</v>
      </c>
      <c r="P613" s="2004" t="s">
        <v>10931</v>
      </c>
      <c r="Q613" s="516">
        <v>0</v>
      </c>
      <c r="R613" s="2004"/>
      <c r="S613" s="2004"/>
      <c r="T613" s="2004"/>
      <c r="U613" s="2004"/>
      <c r="V613" s="2004"/>
      <c r="W613" s="2004"/>
      <c r="X613" s="2004"/>
      <c r="Y613" s="2004"/>
      <c r="Z613" s="2004"/>
      <c r="AA613" s="2004"/>
      <c r="AB613" s="2004"/>
      <c r="AC613" s="2004"/>
      <c r="AD613" s="2004"/>
      <c r="AE613" s="2004"/>
      <c r="AF613" s="2004"/>
      <c r="AG613" s="2004"/>
      <c r="AH613" s="2004"/>
      <c r="AI613" s="2004"/>
      <c r="AJ613" s="2004"/>
      <c r="AK613" s="2004"/>
      <c r="AL613" s="2004"/>
      <c r="AM613" s="2004"/>
      <c r="AN613" s="2004"/>
      <c r="AO613" s="2004"/>
      <c r="AP613" s="2004"/>
      <c r="AQ613" s="2004"/>
      <c r="AR613" s="2004"/>
      <c r="AS613" s="2004"/>
      <c r="AT613" s="2004"/>
      <c r="AU613" s="2004"/>
      <c r="AV613" s="2004"/>
      <c r="AW613" s="2004"/>
      <c r="AX613" s="2004"/>
      <c r="AY613" s="2004"/>
      <c r="AZ613" s="2004"/>
      <c r="BA613" s="2004"/>
      <c r="BB613" s="2004"/>
      <c r="BC613" s="2004"/>
      <c r="BD613" s="2004"/>
      <c r="BE613" s="2004"/>
      <c r="BF613" s="2004"/>
      <c r="BG613" s="2004"/>
      <c r="BH613" s="2004"/>
      <c r="BI613" s="2004"/>
      <c r="BJ613" s="2004"/>
      <c r="BK613" s="2004"/>
      <c r="BL613" s="2004"/>
      <c r="BM613" s="2004"/>
      <c r="BN613" s="2004"/>
      <c r="BO613" s="2004"/>
      <c r="BQ613" s="2004"/>
      <c r="BR613" s="2004"/>
      <c r="BS613" s="2004"/>
      <c r="BT613" s="2004"/>
      <c r="BU613" s="2004"/>
      <c r="BV613" s="2004"/>
      <c r="BW613" s="2004"/>
      <c r="BX613" s="2004"/>
      <c r="BY613" s="2004"/>
      <c r="BZ613" s="2004"/>
      <c r="CA613" s="2004"/>
      <c r="CB613" s="2004"/>
      <c r="CC613" s="2004" t="s">
        <v>2335</v>
      </c>
      <c r="CH613" s="2004"/>
      <c r="CI613" s="2004">
        <v>4</v>
      </c>
      <c r="CJ613" s="2004" t="s">
        <v>2337</v>
      </c>
      <c r="CK613" s="2004">
        <v>0</v>
      </c>
      <c r="CL613" s="2004">
        <v>0</v>
      </c>
      <c r="CM613" s="2004" t="s">
        <v>2339</v>
      </c>
      <c r="CN613" s="2004">
        <v>2.38944</v>
      </c>
      <c r="CP613" s="2004" t="s">
        <v>12328</v>
      </c>
    </row>
    <row r="614" spans="1:94">
      <c r="A614" s="2004" t="s">
        <v>9115</v>
      </c>
      <c r="B614" s="2004" t="s">
        <v>12329</v>
      </c>
      <c r="C614" s="2004" t="s">
        <v>9047</v>
      </c>
      <c r="D614" s="2004" t="s">
        <v>1629</v>
      </c>
      <c r="E614" s="2004" t="s">
        <v>9410</v>
      </c>
      <c r="F614" s="2004" t="s">
        <v>10833</v>
      </c>
      <c r="G614" s="2004" t="s">
        <v>10936</v>
      </c>
      <c r="H614" s="2004" t="s">
        <v>10937</v>
      </c>
      <c r="I614" s="2004" t="s">
        <v>10938</v>
      </c>
      <c r="J614" s="2004" t="s">
        <v>9230</v>
      </c>
      <c r="K614" s="2004"/>
      <c r="L614" s="2004"/>
      <c r="M614" s="2004"/>
      <c r="N614" s="2004" t="s">
        <v>9450</v>
      </c>
      <c r="O614" s="2004" t="s">
        <v>766</v>
      </c>
      <c r="P614" s="2004" t="s">
        <v>10939</v>
      </c>
      <c r="Q614" s="516">
        <v>0</v>
      </c>
      <c r="R614" s="2004"/>
      <c r="S614" s="2004"/>
      <c r="T614" s="2004"/>
      <c r="U614" s="2004"/>
      <c r="V614" s="2004"/>
      <c r="W614" s="2004"/>
      <c r="X614" s="2004"/>
      <c r="Y614" s="2004"/>
      <c r="Z614" s="2004"/>
      <c r="AA614" s="2004"/>
      <c r="AB614" s="2004"/>
      <c r="AC614" s="2004"/>
      <c r="AD614" s="2004"/>
      <c r="AE614" s="2004"/>
      <c r="AF614" s="2004"/>
      <c r="AG614" s="2004"/>
      <c r="AH614" s="2004"/>
      <c r="AI614" s="2004"/>
      <c r="AJ614" s="2004"/>
      <c r="AK614" s="2004"/>
      <c r="AL614" s="2004"/>
      <c r="AM614" s="2004"/>
      <c r="AN614" s="2004"/>
      <c r="AO614" s="2004"/>
      <c r="AP614" s="2004"/>
      <c r="AQ614" s="2004"/>
      <c r="AR614" s="2004"/>
      <c r="AS614" s="2004"/>
      <c r="AT614" s="2004"/>
      <c r="AU614" s="2004"/>
      <c r="AV614" s="2004"/>
      <c r="AW614" s="2004"/>
      <c r="AX614" s="2004"/>
      <c r="AY614" s="2004"/>
      <c r="AZ614" s="2004"/>
      <c r="BA614" s="2004"/>
      <c r="BB614" s="2004"/>
      <c r="BC614" s="2004"/>
      <c r="BD614" s="2004"/>
      <c r="BE614" s="2004"/>
      <c r="BF614" s="2004"/>
      <c r="BG614" s="2004"/>
      <c r="BH614" s="2004"/>
      <c r="BI614" s="2004"/>
      <c r="BJ614" s="2004"/>
      <c r="BK614" s="2004"/>
      <c r="BL614" s="2004"/>
      <c r="BM614" s="2004"/>
      <c r="BN614" s="2004"/>
      <c r="BO614" s="2004"/>
      <c r="BQ614" s="2004"/>
      <c r="BR614" s="2004"/>
      <c r="BS614" s="2004"/>
      <c r="BT614" s="2004"/>
      <c r="BU614" s="2004"/>
      <c r="BV614" s="2004"/>
      <c r="BW614" s="2004"/>
      <c r="BX614" s="2004"/>
      <c r="BY614" s="2004"/>
      <c r="BZ614" s="2004"/>
      <c r="CA614" s="2004"/>
      <c r="CB614" s="2004"/>
      <c r="CC614" s="2004" t="s">
        <v>2335</v>
      </c>
      <c r="CH614" s="2004"/>
      <c r="CI614" s="2004">
        <v>217</v>
      </c>
      <c r="CJ614" s="2004" t="s">
        <v>2334</v>
      </c>
      <c r="CK614" s="2004">
        <v>0</v>
      </c>
      <c r="CL614" s="2004">
        <v>0</v>
      </c>
      <c r="CM614" s="2004">
        <v>0</v>
      </c>
      <c r="CN614" s="2004">
        <v>0</v>
      </c>
      <c r="CP614" s="2004" t="s">
        <v>12330</v>
      </c>
    </row>
    <row r="615" spans="1:94">
      <c r="A615" s="2004" t="s">
        <v>9115</v>
      </c>
      <c r="B615" s="2004" t="s">
        <v>12331</v>
      </c>
      <c r="C615" s="2004" t="s">
        <v>9047</v>
      </c>
      <c r="D615" s="2004" t="s">
        <v>1629</v>
      </c>
      <c r="E615" s="2004" t="s">
        <v>9410</v>
      </c>
      <c r="F615" s="2004" t="s">
        <v>10854</v>
      </c>
      <c r="G615" s="2004" t="s">
        <v>9459</v>
      </c>
      <c r="H615" s="2004" t="s">
        <v>10942</v>
      </c>
      <c r="I615" s="2004" t="s">
        <v>10943</v>
      </c>
      <c r="J615" s="2004" t="s">
        <v>9199</v>
      </c>
      <c r="K615" s="2004" t="s">
        <v>9200</v>
      </c>
      <c r="L615" s="2004" t="s">
        <v>2337</v>
      </c>
      <c r="M615" s="2004"/>
      <c r="N615" s="2004" t="s">
        <v>9372</v>
      </c>
      <c r="O615" s="2004" t="s">
        <v>766</v>
      </c>
      <c r="P615" s="2004" t="s">
        <v>9870</v>
      </c>
      <c r="Q615" s="516">
        <v>3</v>
      </c>
      <c r="R615" s="2004"/>
      <c r="S615" s="2004"/>
      <c r="T615" s="2004"/>
      <c r="U615" s="2004"/>
      <c r="V615" s="2004"/>
      <c r="W615" s="2004"/>
      <c r="X615" s="2004"/>
      <c r="Y615" s="2004"/>
      <c r="Z615" s="2004"/>
      <c r="AA615" s="2004"/>
      <c r="AB615" s="2004"/>
      <c r="AC615" s="2004"/>
      <c r="AD615" s="2004"/>
      <c r="AE615" s="2004"/>
      <c r="AF615" s="2004"/>
      <c r="AG615" s="2004"/>
      <c r="AH615" s="2004"/>
      <c r="AI615" s="2004"/>
      <c r="AJ615" s="2004"/>
      <c r="AK615" s="2004"/>
      <c r="AL615" s="2004"/>
      <c r="AM615" s="2004"/>
      <c r="AN615" s="2004"/>
      <c r="AO615" s="2004"/>
      <c r="AP615" s="2004"/>
      <c r="AQ615" s="2004"/>
      <c r="AR615" s="2004"/>
      <c r="AS615" s="2004"/>
      <c r="AT615" s="2004"/>
      <c r="AU615" s="2004"/>
      <c r="AV615" s="2004"/>
      <c r="AW615" s="2004"/>
      <c r="AX615" s="2004"/>
      <c r="AY615" s="2004"/>
      <c r="AZ615" s="2004"/>
      <c r="BA615" s="2004"/>
      <c r="BB615" s="2004"/>
      <c r="BC615" s="2004"/>
      <c r="BD615" s="2004"/>
      <c r="BE615" s="2004"/>
      <c r="BF615" s="2004"/>
      <c r="BG615" s="2004"/>
      <c r="BH615" s="2004"/>
      <c r="BI615" s="2004"/>
      <c r="BJ615" s="2004"/>
      <c r="BK615" s="2004"/>
      <c r="BL615" s="2004"/>
      <c r="BM615" s="2004"/>
      <c r="BN615" s="2004"/>
      <c r="BO615" s="2004"/>
      <c r="BQ615" s="2004"/>
      <c r="BR615" s="2004"/>
      <c r="BS615" s="2004"/>
      <c r="BT615" s="2004"/>
      <c r="BU615" s="2004"/>
      <c r="BV615" s="2004"/>
      <c r="BW615" s="2004"/>
      <c r="BX615" s="2004"/>
      <c r="BY615" s="2004"/>
      <c r="BZ615" s="2004"/>
      <c r="CA615" s="2004"/>
      <c r="CB615" s="2004"/>
      <c r="CC615" s="2004" t="s">
        <v>2335</v>
      </c>
      <c r="CH615" s="2004"/>
      <c r="CI615" s="2004">
        <v>204</v>
      </c>
      <c r="CJ615" s="2004" t="s">
        <v>2337</v>
      </c>
      <c r="CK615" s="2004" t="s">
        <v>2339</v>
      </c>
      <c r="CL615" s="2004">
        <v>4.3889999999999998E-2</v>
      </c>
      <c r="CM615" s="2004">
        <v>0</v>
      </c>
      <c r="CN615" s="2004">
        <v>0</v>
      </c>
      <c r="CP615" s="2004" t="s">
        <v>12332</v>
      </c>
    </row>
    <row r="616" spans="1:94">
      <c r="A616" s="2004" t="s">
        <v>9115</v>
      </c>
      <c r="B616" s="2004" t="s">
        <v>12333</v>
      </c>
      <c r="C616" s="2004" t="s">
        <v>9047</v>
      </c>
      <c r="D616" s="2004" t="s">
        <v>1629</v>
      </c>
      <c r="E616" s="2004" t="s">
        <v>9410</v>
      </c>
      <c r="F616" s="2004" t="s">
        <v>10859</v>
      </c>
      <c r="G616" s="2004" t="s">
        <v>9469</v>
      </c>
      <c r="H616" s="2004" t="s">
        <v>10946</v>
      </c>
      <c r="I616" s="2004" t="s">
        <v>10947</v>
      </c>
      <c r="J616" s="2004" t="s">
        <v>9230</v>
      </c>
      <c r="K616" s="2004"/>
      <c r="L616" s="2004"/>
      <c r="M616" s="2004"/>
      <c r="N616" s="2004" t="s">
        <v>10282</v>
      </c>
      <c r="O616" s="2004" t="s">
        <v>766</v>
      </c>
      <c r="P616" s="2004" t="s">
        <v>10862</v>
      </c>
      <c r="Q616" s="516">
        <v>0</v>
      </c>
      <c r="R616" s="2004"/>
      <c r="S616" s="2004"/>
      <c r="T616" s="2004"/>
      <c r="U616" s="2004"/>
      <c r="V616" s="2004"/>
      <c r="W616" s="2004"/>
      <c r="X616" s="2004"/>
      <c r="Y616" s="2004"/>
      <c r="Z616" s="2004"/>
      <c r="AA616" s="2004"/>
      <c r="AB616" s="2004"/>
      <c r="AC616" s="2004"/>
      <c r="AD616" s="2004"/>
      <c r="AE616" s="2004"/>
      <c r="AF616" s="2004"/>
      <c r="AG616" s="2004"/>
      <c r="AH616" s="2004"/>
      <c r="AI616" s="2004"/>
      <c r="AJ616" s="2004"/>
      <c r="AK616" s="2004"/>
      <c r="AL616" s="2004"/>
      <c r="AM616" s="2004"/>
      <c r="AN616" s="2004"/>
      <c r="AO616" s="2004"/>
      <c r="AP616" s="2004"/>
      <c r="AQ616" s="2004"/>
      <c r="AR616" s="2004"/>
      <c r="AS616" s="2004"/>
      <c r="AT616" s="2004"/>
      <c r="AU616" s="2004"/>
      <c r="AV616" s="2004"/>
      <c r="AW616" s="2004"/>
      <c r="AX616" s="2004"/>
      <c r="AY616" s="2004"/>
      <c r="AZ616" s="2004"/>
      <c r="BA616" s="2004"/>
      <c r="BB616" s="2004"/>
      <c r="BC616" s="2004"/>
      <c r="BD616" s="2004"/>
      <c r="BE616" s="2004"/>
      <c r="BF616" s="2004"/>
      <c r="BG616" s="2004"/>
      <c r="BH616" s="2004"/>
      <c r="BI616" s="2004"/>
      <c r="BJ616" s="2004"/>
      <c r="BK616" s="2004"/>
      <c r="BL616" s="2004"/>
      <c r="BM616" s="2004"/>
      <c r="BN616" s="2004"/>
      <c r="BO616" s="2004"/>
      <c r="BQ616" s="2004"/>
      <c r="BR616" s="2004"/>
      <c r="BS616" s="2004"/>
      <c r="BT616" s="2004"/>
      <c r="BU616" s="2004"/>
      <c r="BV616" s="2004"/>
      <c r="BW616" s="2004"/>
      <c r="BX616" s="2004"/>
      <c r="BY616" s="2004"/>
      <c r="BZ616" s="2004"/>
      <c r="CA616" s="2004"/>
      <c r="CB616" s="2004"/>
      <c r="CC616" s="2004" t="s">
        <v>2335</v>
      </c>
      <c r="CH616" s="2004"/>
      <c r="CI616" s="2004">
        <v>185371</v>
      </c>
      <c r="CJ616" s="2004" t="s">
        <v>2337</v>
      </c>
      <c r="CK616" s="2004">
        <v>0</v>
      </c>
      <c r="CL616" s="2004">
        <v>0</v>
      </c>
      <c r="CM616" s="2004">
        <v>0</v>
      </c>
      <c r="CN616" s="2004">
        <v>0</v>
      </c>
      <c r="CP616" s="2004" t="s">
        <v>12334</v>
      </c>
    </row>
    <row r="617" spans="1:94">
      <c r="A617" s="2004" t="s">
        <v>9115</v>
      </c>
      <c r="B617" s="2004" t="s">
        <v>12335</v>
      </c>
      <c r="C617" s="2004" t="s">
        <v>9047</v>
      </c>
      <c r="D617" s="2004" t="s">
        <v>9275</v>
      </c>
      <c r="E617" s="2004" t="s">
        <v>9276</v>
      </c>
      <c r="F617" s="2004" t="s">
        <v>10950</v>
      </c>
      <c r="G617" s="2004" t="s">
        <v>9278</v>
      </c>
      <c r="H617" s="2004" t="s">
        <v>10951</v>
      </c>
      <c r="I617" s="2004" t="s">
        <v>10952</v>
      </c>
      <c r="J617" s="2004" t="s">
        <v>9230</v>
      </c>
      <c r="K617" s="2004"/>
      <c r="L617" s="2004"/>
      <c r="M617" s="2004"/>
      <c r="N617" s="2004" t="s">
        <v>9386</v>
      </c>
      <c r="O617" s="2004" t="s">
        <v>9487</v>
      </c>
      <c r="P617" s="2004" t="s">
        <v>10953</v>
      </c>
      <c r="Q617" s="516" t="s">
        <v>9203</v>
      </c>
      <c r="R617" s="2004"/>
      <c r="S617" s="2004"/>
      <c r="T617" s="2004"/>
      <c r="U617" s="2004"/>
      <c r="V617" s="2004"/>
      <c r="W617" s="2004"/>
      <c r="X617" s="2004"/>
      <c r="Y617" s="2004"/>
      <c r="Z617" s="2004"/>
      <c r="AA617" s="2004"/>
      <c r="AB617" s="2004"/>
      <c r="AC617" s="2004"/>
      <c r="AD617" s="2004"/>
      <c r="AE617" s="2004"/>
      <c r="AF617" s="2004"/>
      <c r="AG617" s="2004"/>
      <c r="AH617" s="2004"/>
      <c r="AI617" s="2004"/>
      <c r="AJ617" s="2004"/>
      <c r="AK617" s="2004"/>
      <c r="AL617" s="2004"/>
      <c r="AM617" s="2004"/>
      <c r="AN617" s="2004"/>
      <c r="AO617" s="2004"/>
      <c r="AP617" s="2004"/>
      <c r="AQ617" s="2004"/>
      <c r="AR617" s="2004"/>
      <c r="AS617" s="2004"/>
      <c r="AT617" s="2004"/>
      <c r="AU617" s="2004"/>
      <c r="AV617" s="2004"/>
      <c r="AW617" s="2004"/>
      <c r="AX617" s="2004"/>
      <c r="AY617" s="2004"/>
      <c r="AZ617" s="2004"/>
      <c r="BA617" s="2004"/>
      <c r="BB617" s="2004"/>
      <c r="BC617" s="2004"/>
      <c r="BD617" s="2004"/>
      <c r="BE617" s="2004"/>
      <c r="BF617" s="2004"/>
      <c r="BG617" s="2004"/>
      <c r="BH617" s="2004"/>
      <c r="BI617" s="2004"/>
      <c r="BJ617" s="2004"/>
      <c r="BK617" s="2004"/>
      <c r="BL617" s="2004"/>
      <c r="BM617" s="2004"/>
      <c r="BN617" s="2004"/>
      <c r="BO617" s="2004"/>
      <c r="BQ617" s="2004"/>
      <c r="BR617" s="2004"/>
      <c r="BS617" s="2004"/>
      <c r="BT617" s="2004"/>
      <c r="BU617" s="2004"/>
      <c r="BV617" s="2004"/>
      <c r="BW617" s="2004"/>
      <c r="BX617" s="2004"/>
      <c r="BY617" s="2004"/>
      <c r="BZ617" s="2004"/>
      <c r="CA617" s="2004"/>
      <c r="CB617" s="2004"/>
      <c r="CC617" s="2004" t="s">
        <v>2335</v>
      </c>
      <c r="CH617" s="2004"/>
      <c r="CI617" s="2004" t="s">
        <v>12245</v>
      </c>
      <c r="CJ617" s="2004" t="s">
        <v>2337</v>
      </c>
      <c r="CK617" s="2004">
        <v>0</v>
      </c>
      <c r="CL617" s="2004">
        <v>0</v>
      </c>
      <c r="CM617" s="2004">
        <v>0</v>
      </c>
      <c r="CN617" s="2004">
        <v>0</v>
      </c>
      <c r="CP617" s="2004" t="s">
        <v>12336</v>
      </c>
    </row>
    <row r="618" spans="1:94">
      <c r="A618" s="2004" t="s">
        <v>9115</v>
      </c>
      <c r="B618" s="2004" t="s">
        <v>12337</v>
      </c>
      <c r="C618" s="2004" t="s">
        <v>9047</v>
      </c>
      <c r="D618" s="2004" t="s">
        <v>9275</v>
      </c>
      <c r="E618" s="2004" t="s">
        <v>9276</v>
      </c>
      <c r="F618" s="2004" t="s">
        <v>10950</v>
      </c>
      <c r="G618" s="2004" t="s">
        <v>9287</v>
      </c>
      <c r="H618" s="2004" t="s">
        <v>10958</v>
      </c>
      <c r="I618" s="2004" t="s">
        <v>10959</v>
      </c>
      <c r="J618" s="2004" t="s">
        <v>9199</v>
      </c>
      <c r="K618" s="2004" t="s">
        <v>9200</v>
      </c>
      <c r="L618" s="2004"/>
      <c r="M618" s="2004" t="s">
        <v>2334</v>
      </c>
      <c r="N618" s="2004" t="s">
        <v>9281</v>
      </c>
      <c r="O618" s="2004" t="s">
        <v>9487</v>
      </c>
      <c r="P618" s="2004" t="s">
        <v>9641</v>
      </c>
      <c r="Q618" s="516" t="s">
        <v>9203</v>
      </c>
      <c r="R618" s="2004"/>
      <c r="S618" s="2004"/>
      <c r="T618" s="2004"/>
      <c r="U618" s="2004"/>
      <c r="V618" s="2004"/>
      <c r="W618" s="2004"/>
      <c r="X618" s="2004"/>
      <c r="Y618" s="2004"/>
      <c r="Z618" s="2004"/>
      <c r="AA618" s="2004"/>
      <c r="AB618" s="2004"/>
      <c r="AC618" s="2004"/>
      <c r="AD618" s="2004"/>
      <c r="AE618" s="2004"/>
      <c r="AF618" s="2004"/>
      <c r="AG618" s="2004"/>
      <c r="AH618" s="2004"/>
      <c r="AI618" s="2004"/>
      <c r="AJ618" s="2004"/>
      <c r="AK618" s="2004"/>
      <c r="AL618" s="2004"/>
      <c r="AM618" s="2004"/>
      <c r="AN618" s="2004"/>
      <c r="AO618" s="2004"/>
      <c r="AP618" s="2004"/>
      <c r="AQ618" s="2004"/>
      <c r="AR618" s="2004"/>
      <c r="AS618" s="2004"/>
      <c r="AT618" s="2004"/>
      <c r="AU618" s="2004"/>
      <c r="AV618" s="2004"/>
      <c r="AW618" s="2004"/>
      <c r="AX618" s="2004"/>
      <c r="AY618" s="2004"/>
      <c r="AZ618" s="2004"/>
      <c r="BA618" s="2004"/>
      <c r="BB618" s="2004"/>
      <c r="BC618" s="2004"/>
      <c r="BD618" s="2004"/>
      <c r="BE618" s="2004"/>
      <c r="BF618" s="2004"/>
      <c r="BG618" s="2004"/>
      <c r="BH618" s="2004"/>
      <c r="BI618" s="2004"/>
      <c r="BJ618" s="2004"/>
      <c r="BK618" s="2004"/>
      <c r="BL618" s="2004"/>
      <c r="BM618" s="2004"/>
      <c r="BN618" s="2004"/>
      <c r="BO618" s="2004"/>
      <c r="BQ618" s="2004"/>
      <c r="BR618" s="2004"/>
      <c r="BS618" s="2004"/>
      <c r="BT618" s="2004"/>
      <c r="BU618" s="2004"/>
      <c r="BV618" s="2004"/>
      <c r="BW618" s="2004"/>
      <c r="BX618" s="2004"/>
      <c r="BY618" s="2004"/>
      <c r="BZ618" s="2004"/>
      <c r="CA618" s="2004"/>
      <c r="CB618" s="2004"/>
      <c r="CC618" s="2004" t="s">
        <v>2335</v>
      </c>
      <c r="CH618" s="2004"/>
      <c r="CI618" s="2004">
        <v>81.45</v>
      </c>
      <c r="CJ618" s="2004" t="s">
        <v>2335</v>
      </c>
      <c r="CK618" s="2004">
        <v>0</v>
      </c>
      <c r="CL618" s="2004">
        <v>0</v>
      </c>
      <c r="CM618" s="2004">
        <v>0</v>
      </c>
      <c r="CN618" s="2004">
        <v>0</v>
      </c>
      <c r="CP618" s="2004" t="s">
        <v>12338</v>
      </c>
    </row>
    <row r="619" spans="1:94">
      <c r="A619" s="2004" t="s">
        <v>9115</v>
      </c>
      <c r="B619" s="2004" t="s">
        <v>12339</v>
      </c>
      <c r="C619" s="2004" t="s">
        <v>9047</v>
      </c>
      <c r="D619" s="2004" t="s">
        <v>9275</v>
      </c>
      <c r="E619" s="2004" t="s">
        <v>9276</v>
      </c>
      <c r="F619" s="2004" t="s">
        <v>10962</v>
      </c>
      <c r="G619" s="2004" t="s">
        <v>9512</v>
      </c>
      <c r="H619" s="2004" t="s">
        <v>10963</v>
      </c>
      <c r="I619" s="2004" t="s">
        <v>10964</v>
      </c>
      <c r="J619" s="2004" t="s">
        <v>9230</v>
      </c>
      <c r="K619" s="2004"/>
      <c r="L619" s="2004"/>
      <c r="M619" s="2004"/>
      <c r="N619" s="2004" t="s">
        <v>9290</v>
      </c>
      <c r="O619" s="2004" t="s">
        <v>766</v>
      </c>
      <c r="P619" s="2004" t="s">
        <v>10707</v>
      </c>
      <c r="Q619" s="516">
        <v>0</v>
      </c>
      <c r="R619" s="2004"/>
      <c r="S619" s="2004"/>
      <c r="T619" s="2004"/>
      <c r="U619" s="2004"/>
      <c r="V619" s="2004"/>
      <c r="W619" s="2004"/>
      <c r="X619" s="2004"/>
      <c r="Y619" s="2004"/>
      <c r="Z619" s="2004"/>
      <c r="AA619" s="2004"/>
      <c r="AB619" s="2004"/>
      <c r="AC619" s="2004"/>
      <c r="AD619" s="2004"/>
      <c r="AE619" s="2004"/>
      <c r="AF619" s="2004"/>
      <c r="AG619" s="2004"/>
      <c r="AH619" s="2004"/>
      <c r="AI619" s="2004"/>
      <c r="AJ619" s="2004"/>
      <c r="AK619" s="2004"/>
      <c r="AL619" s="2004"/>
      <c r="AM619" s="2004"/>
      <c r="AN619" s="2004"/>
      <c r="AO619" s="2004"/>
      <c r="AP619" s="2004"/>
      <c r="AQ619" s="2004"/>
      <c r="AR619" s="2004"/>
      <c r="AS619" s="2004"/>
      <c r="AT619" s="2004"/>
      <c r="AU619" s="2004"/>
      <c r="AV619" s="2004"/>
      <c r="AW619" s="2004"/>
      <c r="AX619" s="2004"/>
      <c r="AY619" s="2004"/>
      <c r="AZ619" s="2004"/>
      <c r="BA619" s="2004"/>
      <c r="BB619" s="2004"/>
      <c r="BC619" s="2004"/>
      <c r="BD619" s="2004"/>
      <c r="BE619" s="2004"/>
      <c r="BF619" s="2004"/>
      <c r="BG619" s="2004"/>
      <c r="BH619" s="2004"/>
      <c r="BI619" s="2004"/>
      <c r="BJ619" s="2004"/>
      <c r="BK619" s="2004"/>
      <c r="BL619" s="2004"/>
      <c r="BM619" s="2004"/>
      <c r="BN619" s="2004"/>
      <c r="BO619" s="2004"/>
      <c r="BQ619" s="2004"/>
      <c r="BR619" s="2004"/>
      <c r="BS619" s="2004"/>
      <c r="BT619" s="2004"/>
      <c r="BU619" s="2004"/>
      <c r="BV619" s="2004"/>
      <c r="BW619" s="2004"/>
      <c r="BX619" s="2004"/>
      <c r="BY619" s="2004"/>
      <c r="BZ619" s="2004"/>
      <c r="CA619" s="2004"/>
      <c r="CB619" s="2004"/>
      <c r="CC619" s="2004" t="s">
        <v>2335</v>
      </c>
      <c r="CH619" s="2004"/>
      <c r="CI619" s="2004">
        <v>52547</v>
      </c>
      <c r="CJ619" s="2004" t="s">
        <v>2337</v>
      </c>
      <c r="CK619" s="2004">
        <v>0</v>
      </c>
      <c r="CL619" s="2004">
        <v>0</v>
      </c>
      <c r="CM619" s="2004">
        <v>0</v>
      </c>
      <c r="CN619" s="2004">
        <v>0</v>
      </c>
      <c r="CP619" s="2004" t="s">
        <v>12340</v>
      </c>
    </row>
    <row r="620" spans="1:94">
      <c r="A620" s="2004" t="s">
        <v>9115</v>
      </c>
      <c r="B620" s="2004" t="s">
        <v>12341</v>
      </c>
      <c r="C620" s="2004" t="s">
        <v>9047</v>
      </c>
      <c r="D620" s="2004" t="s">
        <v>9275</v>
      </c>
      <c r="E620" s="2004" t="s">
        <v>9276</v>
      </c>
      <c r="F620" s="2004" t="s">
        <v>10962</v>
      </c>
      <c r="G620" s="2004" t="s">
        <v>9517</v>
      </c>
      <c r="H620" s="2004" t="s">
        <v>10967</v>
      </c>
      <c r="I620" s="2004" t="s">
        <v>10968</v>
      </c>
      <c r="J620" s="2004" t="s">
        <v>9230</v>
      </c>
      <c r="K620" s="2004"/>
      <c r="L620" s="2004"/>
      <c r="M620" s="2004"/>
      <c r="N620" s="2004" t="s">
        <v>9290</v>
      </c>
      <c r="O620" s="2004" t="s">
        <v>734</v>
      </c>
      <c r="P620" s="2004" t="s">
        <v>10969</v>
      </c>
      <c r="Q620" s="516">
        <v>2</v>
      </c>
      <c r="R620" s="2004"/>
      <c r="S620" s="2004"/>
      <c r="T620" s="2004"/>
      <c r="U620" s="2004"/>
      <c r="V620" s="2004"/>
      <c r="W620" s="2004"/>
      <c r="X620" s="2004"/>
      <c r="Y620" s="2004"/>
      <c r="Z620" s="2004"/>
      <c r="AA620" s="2004"/>
      <c r="AB620" s="2004"/>
      <c r="AC620" s="2004"/>
      <c r="AD620" s="2004"/>
      <c r="AE620" s="2004"/>
      <c r="AF620" s="2004"/>
      <c r="AG620" s="2004"/>
      <c r="AH620" s="2004"/>
      <c r="AI620" s="2004"/>
      <c r="AJ620" s="2004"/>
      <c r="AK620" s="2004"/>
      <c r="AL620" s="2004"/>
      <c r="AM620" s="2004"/>
      <c r="AN620" s="2004"/>
      <c r="AO620" s="2004"/>
      <c r="AP620" s="2004"/>
      <c r="AQ620" s="2004"/>
      <c r="AR620" s="2004"/>
      <c r="AS620" s="2004"/>
      <c r="AT620" s="2004"/>
      <c r="AU620" s="2004"/>
      <c r="AV620" s="2004"/>
      <c r="AW620" s="2004"/>
      <c r="AX620" s="2004"/>
      <c r="AY620" s="2004"/>
      <c r="AZ620" s="2004"/>
      <c r="BA620" s="2004"/>
      <c r="BB620" s="2004"/>
      <c r="BC620" s="2004"/>
      <c r="BD620" s="2004"/>
      <c r="BE620" s="2004"/>
      <c r="BF620" s="2004"/>
      <c r="BG620" s="2004"/>
      <c r="BH620" s="2004"/>
      <c r="BI620" s="2004"/>
      <c r="BJ620" s="2004"/>
      <c r="BK620" s="2004"/>
      <c r="BL620" s="2004"/>
      <c r="BM620" s="2004"/>
      <c r="BN620" s="2004"/>
      <c r="BO620" s="2004"/>
      <c r="BQ620" s="2004"/>
      <c r="BR620" s="2004"/>
      <c r="BS620" s="2004"/>
      <c r="BT620" s="2004"/>
      <c r="BU620" s="2004"/>
      <c r="BV620" s="2004"/>
      <c r="BW620" s="2004"/>
      <c r="BX620" s="2004"/>
      <c r="BY620" s="2004"/>
      <c r="BZ620" s="2004"/>
      <c r="CA620" s="2004"/>
      <c r="CB620" s="2004"/>
      <c r="CC620" s="2004" t="s">
        <v>2335</v>
      </c>
      <c r="CH620" s="2004"/>
      <c r="CI620" s="2004">
        <v>2</v>
      </c>
      <c r="CJ620" s="2004" t="s">
        <v>2337</v>
      </c>
      <c r="CK620" s="2004">
        <v>0</v>
      </c>
      <c r="CL620" s="2004">
        <v>0</v>
      </c>
      <c r="CM620" s="2004">
        <v>0</v>
      </c>
      <c r="CN620" s="2004">
        <v>0</v>
      </c>
      <c r="CP620" s="2004" t="s">
        <v>12342</v>
      </c>
    </row>
    <row r="621" spans="1:94">
      <c r="A621" s="2004" t="s">
        <v>9115</v>
      </c>
      <c r="B621" s="2004" t="s">
        <v>12343</v>
      </c>
      <c r="C621" s="2004" t="s">
        <v>9047</v>
      </c>
      <c r="D621" s="2004" t="s">
        <v>1628</v>
      </c>
      <c r="E621" s="2004" t="s">
        <v>9194</v>
      </c>
      <c r="F621" s="2004" t="s">
        <v>9670</v>
      </c>
      <c r="G621" s="2004" t="s">
        <v>7928</v>
      </c>
      <c r="H621" s="2004" t="s">
        <v>9671</v>
      </c>
      <c r="I621" s="2004" t="s">
        <v>9672</v>
      </c>
      <c r="J621" s="2004" t="s">
        <v>9199</v>
      </c>
      <c r="K621" s="2004" t="s">
        <v>9200</v>
      </c>
      <c r="L621" s="2004"/>
      <c r="M621" s="2004"/>
      <c r="N621" s="2004" t="s">
        <v>9154</v>
      </c>
      <c r="O621" s="2004" t="s">
        <v>766</v>
      </c>
      <c r="P621" s="2004" t="s">
        <v>9246</v>
      </c>
      <c r="Q621" s="516">
        <v>2</v>
      </c>
      <c r="R621" s="2004"/>
      <c r="S621" s="2004"/>
      <c r="T621" s="2004"/>
      <c r="U621" s="2004"/>
      <c r="V621" s="2004"/>
      <c r="W621" s="2004"/>
      <c r="X621" s="2004"/>
      <c r="Y621" s="2004"/>
      <c r="Z621" s="2004"/>
      <c r="AA621" s="2004"/>
      <c r="AB621" s="2004"/>
      <c r="AC621" s="2004"/>
      <c r="AD621" s="2004"/>
      <c r="AE621" s="2004"/>
      <c r="AF621" s="2004"/>
      <c r="AG621" s="2004"/>
      <c r="AH621" s="2004"/>
      <c r="AI621" s="2004"/>
      <c r="AJ621" s="2004"/>
      <c r="AK621" s="2004"/>
      <c r="AL621" s="2004"/>
      <c r="AM621" s="2004"/>
      <c r="AN621" s="2004"/>
      <c r="AO621" s="2004"/>
      <c r="AP621" s="2004"/>
      <c r="AQ621" s="2004"/>
      <c r="AR621" s="2004"/>
      <c r="AS621" s="2004"/>
      <c r="AT621" s="2004"/>
      <c r="AU621" s="2004"/>
      <c r="AV621" s="2004"/>
      <c r="AW621" s="2004"/>
      <c r="AX621" s="2004"/>
      <c r="AY621" s="2004"/>
      <c r="AZ621" s="2004"/>
      <c r="BA621" s="2004"/>
      <c r="BB621" s="2004"/>
      <c r="BC621" s="2004"/>
      <c r="BD621" s="2004"/>
      <c r="BE621" s="2004"/>
      <c r="BF621" s="2004"/>
      <c r="BG621" s="2004"/>
      <c r="BH621" s="2004"/>
      <c r="BI621" s="2004"/>
      <c r="BJ621" s="2004"/>
      <c r="BK621" s="2004"/>
      <c r="BL621" s="2004"/>
      <c r="BM621" s="2004"/>
      <c r="BN621" s="2004"/>
      <c r="BO621" s="2004"/>
      <c r="BQ621" s="2004"/>
      <c r="BR621" s="2004"/>
      <c r="BS621" s="2004"/>
      <c r="BT621" s="2004"/>
      <c r="BU621" s="2004"/>
      <c r="BV621" s="2004"/>
      <c r="BW621" s="2004"/>
      <c r="BX621" s="2004"/>
      <c r="BY621" s="2004"/>
      <c r="BZ621" s="2004"/>
      <c r="CA621" s="2004"/>
      <c r="CB621" s="2004"/>
      <c r="CC621" s="2004" t="s">
        <v>2335</v>
      </c>
      <c r="CH621" s="2004"/>
      <c r="CI621" s="2004">
        <v>0.45</v>
      </c>
      <c r="CJ621" s="2004" t="s">
        <v>2337</v>
      </c>
      <c r="CK621" s="2004">
        <v>0</v>
      </c>
      <c r="CL621" s="2004">
        <v>0</v>
      </c>
      <c r="CM621" s="2004" t="s">
        <v>2339</v>
      </c>
      <c r="CN621" s="2004">
        <v>1.9E-3</v>
      </c>
      <c r="CP621" s="2004" t="s">
        <v>12344</v>
      </c>
    </row>
    <row r="622" spans="1:94">
      <c r="A622" s="2004" t="s">
        <v>9115</v>
      </c>
      <c r="B622" s="2004" t="s">
        <v>12345</v>
      </c>
      <c r="C622" s="2004" t="s">
        <v>9047</v>
      </c>
      <c r="D622" s="2004" t="s">
        <v>1628</v>
      </c>
      <c r="E622" s="2004" t="s">
        <v>9194</v>
      </c>
      <c r="F622" s="2004" t="s">
        <v>9670</v>
      </c>
      <c r="G622" s="2004" t="s">
        <v>7929</v>
      </c>
      <c r="H622" s="2004" t="s">
        <v>9675</v>
      </c>
      <c r="I622" s="2004" t="s">
        <v>9676</v>
      </c>
      <c r="J622" s="2004" t="s">
        <v>9210</v>
      </c>
      <c r="K622" s="2004" t="s">
        <v>9200</v>
      </c>
      <c r="L622" s="2004"/>
      <c r="M622" s="2004"/>
      <c r="N622" s="2004" t="s">
        <v>9238</v>
      </c>
      <c r="O622" s="2004" t="s">
        <v>734</v>
      </c>
      <c r="P622" s="2004" t="s">
        <v>9239</v>
      </c>
      <c r="Q622" s="516">
        <v>2</v>
      </c>
      <c r="R622" s="2004"/>
      <c r="S622" s="2004"/>
      <c r="T622" s="2004"/>
      <c r="U622" s="2004"/>
      <c r="V622" s="2004"/>
      <c r="W622" s="2004"/>
      <c r="X622" s="2004"/>
      <c r="Y622" s="2004"/>
      <c r="Z622" s="2004"/>
      <c r="AA622" s="2004"/>
      <c r="AB622" s="2004"/>
      <c r="AC622" s="2004"/>
      <c r="AD622" s="2004"/>
      <c r="AE622" s="2004"/>
      <c r="AF622" s="2004"/>
      <c r="AG622" s="2004"/>
      <c r="AH622" s="2004"/>
      <c r="AI622" s="2004"/>
      <c r="AJ622" s="2004"/>
      <c r="AK622" s="2004"/>
      <c r="AL622" s="2004"/>
      <c r="AM622" s="2004"/>
      <c r="AN622" s="2004"/>
      <c r="AO622" s="2004"/>
      <c r="AP622" s="2004"/>
      <c r="AQ622" s="2004"/>
      <c r="AR622" s="2004"/>
      <c r="AS622" s="2004"/>
      <c r="AT622" s="2004"/>
      <c r="AU622" s="2004"/>
      <c r="AV622" s="2004"/>
      <c r="AW622" s="2004"/>
      <c r="AX622" s="2004"/>
      <c r="AY622" s="2004"/>
      <c r="AZ622" s="2004"/>
      <c r="BA622" s="2004"/>
      <c r="BB622" s="2004"/>
      <c r="BC622" s="2004"/>
      <c r="BD622" s="2004"/>
      <c r="BE622" s="2004"/>
      <c r="BF622" s="2004"/>
      <c r="BG622" s="2004"/>
      <c r="BH622" s="2004"/>
      <c r="BI622" s="2004"/>
      <c r="BJ622" s="2004"/>
      <c r="BK622" s="2004"/>
      <c r="BL622" s="2004"/>
      <c r="BM622" s="2004"/>
      <c r="BN622" s="2004"/>
      <c r="BO622" s="2004"/>
      <c r="BQ622" s="2004"/>
      <c r="BR622" s="2004"/>
      <c r="BS622" s="2004"/>
      <c r="BT622" s="2004"/>
      <c r="BU622" s="2004"/>
      <c r="BV622" s="2004"/>
      <c r="BW622" s="2004"/>
      <c r="BX622" s="2004"/>
      <c r="BY622" s="2004"/>
      <c r="BZ622" s="2004"/>
      <c r="CA622" s="2004"/>
      <c r="CB622" s="2004"/>
      <c r="CC622" s="2004" t="s">
        <v>2335</v>
      </c>
      <c r="CH622" s="2004"/>
      <c r="CI622" s="2004">
        <v>99.94</v>
      </c>
      <c r="CJ622" s="2004" t="s">
        <v>2334</v>
      </c>
      <c r="CK622" s="2004">
        <v>0</v>
      </c>
      <c r="CL622" s="2004">
        <v>0</v>
      </c>
      <c r="CM622" s="2004" t="s">
        <v>2336</v>
      </c>
      <c r="CN622" s="2004">
        <v>-1.89E-2</v>
      </c>
      <c r="CP622" s="2004" t="s">
        <v>12346</v>
      </c>
    </row>
    <row r="623" spans="1:94">
      <c r="A623" s="2004" t="s">
        <v>9115</v>
      </c>
      <c r="B623" s="2004" t="s">
        <v>12347</v>
      </c>
      <c r="C623" s="2004" t="s">
        <v>9047</v>
      </c>
      <c r="D623" s="2004" t="s">
        <v>1628</v>
      </c>
      <c r="E623" s="2004" t="s">
        <v>9194</v>
      </c>
      <c r="F623" s="2004" t="s">
        <v>9693</v>
      </c>
      <c r="G623" s="2004" t="s">
        <v>7930</v>
      </c>
      <c r="H623" s="2004" t="s">
        <v>9694</v>
      </c>
      <c r="I623" s="2004" t="s">
        <v>9695</v>
      </c>
      <c r="J623" s="2004" t="s">
        <v>9199</v>
      </c>
      <c r="K623" s="2004" t="s">
        <v>9200</v>
      </c>
      <c r="L623" s="2004"/>
      <c r="M623" s="2004"/>
      <c r="N623" s="2004" t="s">
        <v>2951</v>
      </c>
      <c r="O623" s="2004" t="s">
        <v>9298</v>
      </c>
      <c r="P623" s="2004" t="s">
        <v>9696</v>
      </c>
      <c r="Q623" s="516">
        <v>2</v>
      </c>
      <c r="R623" s="2004"/>
      <c r="S623" s="2004"/>
      <c r="T623" s="2004"/>
      <c r="U623" s="2004"/>
      <c r="V623" s="2004"/>
      <c r="W623" s="2004"/>
      <c r="X623" s="2004"/>
      <c r="Y623" s="2004"/>
      <c r="Z623" s="2004"/>
      <c r="AA623" s="2004"/>
      <c r="AB623" s="2004"/>
      <c r="AC623" s="2004"/>
      <c r="AD623" s="2004"/>
      <c r="AE623" s="2004"/>
      <c r="AF623" s="2004"/>
      <c r="AG623" s="2004"/>
      <c r="AH623" s="2004"/>
      <c r="AI623" s="2004"/>
      <c r="AJ623" s="2004"/>
      <c r="AK623" s="2004"/>
      <c r="AL623" s="2004"/>
      <c r="AM623" s="2004"/>
      <c r="AN623" s="2004"/>
      <c r="AO623" s="2004"/>
      <c r="AP623" s="2004"/>
      <c r="AQ623" s="2004"/>
      <c r="AR623" s="2004"/>
      <c r="AS623" s="2004"/>
      <c r="AT623" s="2004"/>
      <c r="AU623" s="2004"/>
      <c r="AV623" s="2004"/>
      <c r="AW623" s="2004"/>
      <c r="AX623" s="2004"/>
      <c r="AY623" s="2004"/>
      <c r="AZ623" s="2004"/>
      <c r="BA623" s="2004"/>
      <c r="BB623" s="2004"/>
      <c r="BC623" s="2004"/>
      <c r="BD623" s="2004"/>
      <c r="BE623" s="2004"/>
      <c r="BF623" s="2004"/>
      <c r="BG623" s="2004"/>
      <c r="BH623" s="2004"/>
      <c r="BI623" s="2004"/>
      <c r="BJ623" s="2004"/>
      <c r="BK623" s="2004"/>
      <c r="BL623" s="2004"/>
      <c r="BM623" s="2004"/>
      <c r="BN623" s="2004"/>
      <c r="BO623" s="2004"/>
      <c r="BQ623" s="2004"/>
      <c r="BR623" s="2004"/>
      <c r="BS623" s="2004"/>
      <c r="BT623" s="2004"/>
      <c r="BU623" s="2004"/>
      <c r="BV623" s="2004"/>
      <c r="BW623" s="2004"/>
      <c r="BX623" s="2004"/>
      <c r="BY623" s="2004"/>
      <c r="BZ623" s="2004"/>
      <c r="CA623" s="2004"/>
      <c r="CB623" s="2004"/>
      <c r="CC623" s="2004" t="s">
        <v>2335</v>
      </c>
      <c r="CH623" s="2004"/>
      <c r="CI623" s="2004">
        <v>0.03</v>
      </c>
      <c r="CJ623" s="2004" t="s">
        <v>2337</v>
      </c>
      <c r="CK623" s="2004">
        <v>0</v>
      </c>
      <c r="CL623" s="2004">
        <v>0</v>
      </c>
      <c r="CM623" s="2004" t="s">
        <v>2339</v>
      </c>
      <c r="CN623" s="2004">
        <v>7.3879999999999996E-3</v>
      </c>
      <c r="CP623" s="2004" t="s">
        <v>12348</v>
      </c>
    </row>
    <row r="624" spans="1:94">
      <c r="A624" s="2004" t="s">
        <v>9115</v>
      </c>
      <c r="B624" s="2004" t="s">
        <v>12349</v>
      </c>
      <c r="C624" s="2004" t="s">
        <v>9047</v>
      </c>
      <c r="D624" s="2004" t="s">
        <v>1628</v>
      </c>
      <c r="E624" s="2004" t="s">
        <v>9194</v>
      </c>
      <c r="F624" s="2004" t="s">
        <v>9693</v>
      </c>
      <c r="G624" s="2004" t="s">
        <v>7931</v>
      </c>
      <c r="H624" s="2004" t="s">
        <v>9700</v>
      </c>
      <c r="I624" s="2004" t="s">
        <v>9701</v>
      </c>
      <c r="J624" s="2004" t="s">
        <v>9199</v>
      </c>
      <c r="K624" s="2004" t="s">
        <v>9200</v>
      </c>
      <c r="L624" s="2004"/>
      <c r="M624" s="2004"/>
      <c r="N624" s="2004" t="s">
        <v>2927</v>
      </c>
      <c r="O624" s="2004" t="s">
        <v>766</v>
      </c>
      <c r="P624" s="2004" t="s">
        <v>9702</v>
      </c>
      <c r="Q624" s="516">
        <v>1</v>
      </c>
      <c r="R624" s="2004"/>
      <c r="S624" s="2004"/>
      <c r="T624" s="2004"/>
      <c r="U624" s="2004"/>
      <c r="V624" s="2004"/>
      <c r="W624" s="2004"/>
      <c r="X624" s="2004"/>
      <c r="Y624" s="2004"/>
      <c r="Z624" s="2004"/>
      <c r="AA624" s="2004"/>
      <c r="AB624" s="2004"/>
      <c r="AC624" s="2004"/>
      <c r="AD624" s="2004"/>
      <c r="AE624" s="2004"/>
      <c r="AF624" s="2004"/>
      <c r="AG624" s="2004"/>
      <c r="AH624" s="2004"/>
      <c r="AI624" s="2004"/>
      <c r="AJ624" s="2004"/>
      <c r="AK624" s="2004"/>
      <c r="AL624" s="2004"/>
      <c r="AM624" s="2004"/>
      <c r="AN624" s="2004"/>
      <c r="AO624" s="2004"/>
      <c r="AP624" s="2004"/>
      <c r="AQ624" s="2004"/>
      <c r="AR624" s="2004"/>
      <c r="AS624" s="2004"/>
      <c r="AT624" s="2004"/>
      <c r="AU624" s="2004"/>
      <c r="AV624" s="2004"/>
      <c r="AW624" s="2004"/>
      <c r="AX624" s="2004"/>
      <c r="AY624" s="2004"/>
      <c r="AZ624" s="2004"/>
      <c r="BA624" s="2004"/>
      <c r="BB624" s="2004"/>
      <c r="BC624" s="2004"/>
      <c r="BD624" s="2004"/>
      <c r="BE624" s="2004"/>
      <c r="BF624" s="2004"/>
      <c r="BG624" s="2004"/>
      <c r="BH624" s="2004"/>
      <c r="BI624" s="2004"/>
      <c r="BJ624" s="2004"/>
      <c r="BK624" s="2004"/>
      <c r="BL624" s="2004"/>
      <c r="BM624" s="2004"/>
      <c r="BN624" s="2004"/>
      <c r="BO624" s="2004"/>
      <c r="BQ624" s="2004"/>
      <c r="BR624" s="2004"/>
      <c r="BS624" s="2004"/>
      <c r="BT624" s="2004"/>
      <c r="BU624" s="2004"/>
      <c r="BV624" s="2004"/>
      <c r="BW624" s="2004"/>
      <c r="BX624" s="2004"/>
      <c r="BY624" s="2004"/>
      <c r="BZ624" s="2004"/>
      <c r="CA624" s="2004"/>
      <c r="CB624" s="2004"/>
      <c r="CC624" s="2004" t="s">
        <v>2335</v>
      </c>
      <c r="CH624" s="2004"/>
      <c r="CI624" s="2004">
        <v>97.8</v>
      </c>
      <c r="CJ624" s="2004" t="s">
        <v>2334</v>
      </c>
      <c r="CK624" s="2004">
        <v>0</v>
      </c>
      <c r="CL624" s="2004">
        <v>0</v>
      </c>
      <c r="CM624" s="2004" t="s">
        <v>2336</v>
      </c>
      <c r="CN624" s="2004">
        <v>-2.6200000000000001E-2</v>
      </c>
      <c r="CP624" s="2004" t="s">
        <v>12350</v>
      </c>
    </row>
    <row r="625" spans="1:94">
      <c r="A625" s="2004" t="s">
        <v>9115</v>
      </c>
      <c r="B625" s="2004" t="s">
        <v>12351</v>
      </c>
      <c r="C625" s="2004" t="s">
        <v>9047</v>
      </c>
      <c r="D625" s="2004" t="s">
        <v>1628</v>
      </c>
      <c r="E625" s="2004" t="s">
        <v>9194</v>
      </c>
      <c r="F625" s="2004" t="s">
        <v>9693</v>
      </c>
      <c r="G625" s="2004" t="s">
        <v>3020</v>
      </c>
      <c r="H625" s="2004" t="s">
        <v>9705</v>
      </c>
      <c r="I625" s="2004" t="s">
        <v>9706</v>
      </c>
      <c r="J625" s="2004" t="s">
        <v>9230</v>
      </c>
      <c r="K625" s="2004"/>
      <c r="L625" s="2004"/>
      <c r="M625" s="2004"/>
      <c r="N625" s="2004" t="s">
        <v>9218</v>
      </c>
      <c r="O625" s="2004" t="s">
        <v>9282</v>
      </c>
      <c r="P625" s="2004" t="s">
        <v>9334</v>
      </c>
      <c r="Q625" s="516">
        <v>0</v>
      </c>
      <c r="R625" s="2004"/>
      <c r="S625" s="2004"/>
      <c r="T625" s="2004"/>
      <c r="U625" s="2004"/>
      <c r="V625" s="2004"/>
      <c r="W625" s="2004"/>
      <c r="X625" s="2004"/>
      <c r="Y625" s="2004"/>
      <c r="Z625" s="2004"/>
      <c r="AA625" s="2004"/>
      <c r="AB625" s="2004"/>
      <c r="AC625" s="2004"/>
      <c r="AD625" s="2004"/>
      <c r="AE625" s="2004"/>
      <c r="AF625" s="2004"/>
      <c r="AG625" s="2004"/>
      <c r="AH625" s="2004"/>
      <c r="AI625" s="2004"/>
      <c r="AJ625" s="2004"/>
      <c r="AK625" s="2004"/>
      <c r="AL625" s="2004"/>
      <c r="AM625" s="2004"/>
      <c r="AN625" s="2004"/>
      <c r="AO625" s="2004"/>
      <c r="AP625" s="2004"/>
      <c r="AQ625" s="2004"/>
      <c r="AR625" s="2004"/>
      <c r="AS625" s="2004"/>
      <c r="AT625" s="2004"/>
      <c r="AU625" s="2004"/>
      <c r="AV625" s="2004"/>
      <c r="AW625" s="2004"/>
      <c r="AX625" s="2004"/>
      <c r="AY625" s="2004"/>
      <c r="AZ625" s="2004"/>
      <c r="BA625" s="2004"/>
      <c r="BB625" s="2004"/>
      <c r="BC625" s="2004"/>
      <c r="BD625" s="2004"/>
      <c r="BE625" s="2004"/>
      <c r="BF625" s="2004"/>
      <c r="BG625" s="2004"/>
      <c r="BH625" s="2004"/>
      <c r="BI625" s="2004"/>
      <c r="BJ625" s="2004"/>
      <c r="BK625" s="2004"/>
      <c r="BL625" s="2004"/>
      <c r="BM625" s="2004"/>
      <c r="BN625" s="2004"/>
      <c r="BO625" s="2004"/>
      <c r="BQ625" s="2004"/>
      <c r="BR625" s="2004"/>
      <c r="BS625" s="2004"/>
      <c r="BT625" s="2004"/>
      <c r="BU625" s="2004"/>
      <c r="BV625" s="2004"/>
      <c r="BW625" s="2004"/>
      <c r="BX625" s="2004"/>
      <c r="BY625" s="2004"/>
      <c r="BZ625" s="2004"/>
      <c r="CA625" s="2004"/>
      <c r="CB625" s="2004"/>
      <c r="CC625" s="2004" t="s">
        <v>2335</v>
      </c>
      <c r="CH625" s="2004"/>
      <c r="CI625" s="2004">
        <v>100</v>
      </c>
      <c r="CJ625" s="2004" t="s">
        <v>2337</v>
      </c>
      <c r="CK625" s="2004">
        <v>0</v>
      </c>
      <c r="CL625" s="2004">
        <v>0</v>
      </c>
      <c r="CM625" s="2004">
        <v>0</v>
      </c>
      <c r="CN625" s="2004">
        <v>0</v>
      </c>
      <c r="CP625" s="2004" t="s">
        <v>12352</v>
      </c>
    </row>
    <row r="626" spans="1:94">
      <c r="A626" s="2004" t="s">
        <v>9115</v>
      </c>
      <c r="B626" s="2004" t="s">
        <v>12353</v>
      </c>
      <c r="C626" s="2004" t="s">
        <v>9047</v>
      </c>
      <c r="D626" s="2004" t="s">
        <v>1628</v>
      </c>
      <c r="E626" s="2004" t="s">
        <v>9194</v>
      </c>
      <c r="F626" s="2004" t="s">
        <v>9693</v>
      </c>
      <c r="G626" s="2004" t="s">
        <v>9709</v>
      </c>
      <c r="H626" s="2004" t="s">
        <v>9710</v>
      </c>
      <c r="I626" s="2004" t="s">
        <v>9711</v>
      </c>
      <c r="J626" s="2004" t="s">
        <v>9199</v>
      </c>
      <c r="K626" s="2004" t="s">
        <v>9200</v>
      </c>
      <c r="L626" s="2004"/>
      <c r="M626" s="2004"/>
      <c r="N626" s="2004" t="s">
        <v>9260</v>
      </c>
      <c r="O626" s="2004" t="s">
        <v>766</v>
      </c>
      <c r="P626" s="2004" t="s">
        <v>9261</v>
      </c>
      <c r="Q626" s="516">
        <v>0</v>
      </c>
      <c r="R626" s="2004"/>
      <c r="S626" s="2004"/>
      <c r="T626" s="2004"/>
      <c r="U626" s="2004"/>
      <c r="V626" s="2004"/>
      <c r="W626" s="2004"/>
      <c r="X626" s="2004"/>
      <c r="Y626" s="2004"/>
      <c r="Z626" s="2004"/>
      <c r="AA626" s="2004"/>
      <c r="AB626" s="2004"/>
      <c r="AC626" s="2004"/>
      <c r="AD626" s="2004"/>
      <c r="AE626" s="2004"/>
      <c r="AF626" s="2004"/>
      <c r="AG626" s="2004"/>
      <c r="AH626" s="2004"/>
      <c r="AI626" s="2004"/>
      <c r="AJ626" s="2004"/>
      <c r="AK626" s="2004"/>
      <c r="AL626" s="2004"/>
      <c r="AM626" s="2004"/>
      <c r="AN626" s="2004"/>
      <c r="AO626" s="2004"/>
      <c r="AP626" s="2004"/>
      <c r="AQ626" s="2004"/>
      <c r="AR626" s="2004"/>
      <c r="AS626" s="2004"/>
      <c r="AT626" s="2004"/>
      <c r="AU626" s="2004"/>
      <c r="AV626" s="2004"/>
      <c r="AW626" s="2004"/>
      <c r="AX626" s="2004"/>
      <c r="AY626" s="2004"/>
      <c r="AZ626" s="2004"/>
      <c r="BA626" s="2004"/>
      <c r="BB626" s="2004"/>
      <c r="BC626" s="2004"/>
      <c r="BD626" s="2004"/>
      <c r="BE626" s="2004"/>
      <c r="BF626" s="2004"/>
      <c r="BG626" s="2004"/>
      <c r="BH626" s="2004"/>
      <c r="BI626" s="2004"/>
      <c r="BJ626" s="2004"/>
      <c r="BK626" s="2004"/>
      <c r="BL626" s="2004"/>
      <c r="BM626" s="2004"/>
      <c r="BN626" s="2004"/>
      <c r="BO626" s="2004"/>
      <c r="BQ626" s="2004"/>
      <c r="BR626" s="2004"/>
      <c r="BS626" s="2004"/>
      <c r="BT626" s="2004"/>
      <c r="BU626" s="2004"/>
      <c r="BV626" s="2004"/>
      <c r="BW626" s="2004"/>
      <c r="BX626" s="2004"/>
      <c r="BY626" s="2004"/>
      <c r="BZ626" s="2004"/>
      <c r="CA626" s="2004"/>
      <c r="CB626" s="2004"/>
      <c r="CC626" s="2004" t="s">
        <v>2335</v>
      </c>
      <c r="CH626" s="2004"/>
      <c r="CI626" s="2004">
        <v>68</v>
      </c>
      <c r="CJ626" s="2004" t="s">
        <v>2334</v>
      </c>
      <c r="CK626" s="2004">
        <v>0</v>
      </c>
      <c r="CL626" s="2004">
        <v>0</v>
      </c>
      <c r="CM626" s="2004" t="s">
        <v>2340</v>
      </c>
      <c r="CN626" s="2004">
        <v>0</v>
      </c>
      <c r="CP626" s="2004" t="s">
        <v>12354</v>
      </c>
    </row>
    <row r="627" spans="1:94">
      <c r="A627" s="2004" t="s">
        <v>9115</v>
      </c>
      <c r="B627" s="2004" t="s">
        <v>12355</v>
      </c>
      <c r="C627" s="2004" t="s">
        <v>9047</v>
      </c>
      <c r="D627" s="2004" t="s">
        <v>1628</v>
      </c>
      <c r="E627" s="2004" t="s">
        <v>9194</v>
      </c>
      <c r="F627" s="2004" t="s">
        <v>9714</v>
      </c>
      <c r="G627" s="2004" t="s">
        <v>8948</v>
      </c>
      <c r="H627" s="2004" t="s">
        <v>9715</v>
      </c>
      <c r="I627" s="2004" t="s">
        <v>9716</v>
      </c>
      <c r="J627" s="2004" t="s">
        <v>9230</v>
      </c>
      <c r="K627" s="2004"/>
      <c r="L627" s="2004"/>
      <c r="M627" s="2004"/>
      <c r="N627" s="2004" t="s">
        <v>9372</v>
      </c>
      <c r="O627" s="2004" t="s">
        <v>766</v>
      </c>
      <c r="P627" s="2004" t="s">
        <v>9717</v>
      </c>
      <c r="Q627" s="516">
        <v>0</v>
      </c>
      <c r="R627" s="2004"/>
      <c r="S627" s="2004"/>
      <c r="T627" s="2004"/>
      <c r="U627" s="2004"/>
      <c r="V627" s="2004"/>
      <c r="W627" s="2004"/>
      <c r="X627" s="2004"/>
      <c r="Y627" s="2004"/>
      <c r="Z627" s="2004"/>
      <c r="AA627" s="2004"/>
      <c r="AB627" s="2004"/>
      <c r="AC627" s="2004"/>
      <c r="AD627" s="2004"/>
      <c r="AE627" s="2004"/>
      <c r="AF627" s="2004"/>
      <c r="AG627" s="2004"/>
      <c r="AH627" s="2004"/>
      <c r="AI627" s="2004"/>
      <c r="AJ627" s="2004"/>
      <c r="AK627" s="2004"/>
      <c r="AL627" s="2004"/>
      <c r="AM627" s="2004"/>
      <c r="AN627" s="2004"/>
      <c r="AO627" s="2004"/>
      <c r="AP627" s="2004"/>
      <c r="AQ627" s="2004"/>
      <c r="AR627" s="2004"/>
      <c r="AS627" s="2004"/>
      <c r="AT627" s="2004"/>
      <c r="AU627" s="2004"/>
      <c r="AV627" s="2004"/>
      <c r="AW627" s="2004"/>
      <c r="AX627" s="2004"/>
      <c r="AY627" s="2004"/>
      <c r="AZ627" s="2004"/>
      <c r="BA627" s="2004"/>
      <c r="BB627" s="2004"/>
      <c r="BC627" s="2004"/>
      <c r="BD627" s="2004"/>
      <c r="BE627" s="2004"/>
      <c r="BF627" s="2004"/>
      <c r="BG627" s="2004"/>
      <c r="BH627" s="2004"/>
      <c r="BI627" s="2004"/>
      <c r="BJ627" s="2004"/>
      <c r="BK627" s="2004"/>
      <c r="BL627" s="2004"/>
      <c r="BM627" s="2004"/>
      <c r="BN627" s="2004"/>
      <c r="BO627" s="2004"/>
      <c r="BQ627" s="2004"/>
      <c r="BR627" s="2004"/>
      <c r="BS627" s="2004"/>
      <c r="BT627" s="2004"/>
      <c r="BU627" s="2004"/>
      <c r="BV627" s="2004"/>
      <c r="BW627" s="2004"/>
      <c r="BX627" s="2004"/>
      <c r="BY627" s="2004"/>
      <c r="BZ627" s="2004"/>
      <c r="CA627" s="2004"/>
      <c r="CB627" s="2004"/>
      <c r="CC627" s="2004" t="s">
        <v>2335</v>
      </c>
      <c r="CH627" s="2004"/>
      <c r="CI627" s="2004">
        <v>951</v>
      </c>
      <c r="CJ627" s="2004" t="s">
        <v>2337</v>
      </c>
      <c r="CK627" s="2004">
        <v>0</v>
      </c>
      <c r="CL627" s="2004">
        <v>0</v>
      </c>
      <c r="CM627" s="2004">
        <v>0</v>
      </c>
      <c r="CN627" s="2004">
        <v>0</v>
      </c>
      <c r="CP627" s="2004" t="s">
        <v>12356</v>
      </c>
    </row>
    <row r="628" spans="1:94">
      <c r="A628" s="2004" t="s">
        <v>9115</v>
      </c>
      <c r="B628" s="2004" t="s">
        <v>12357</v>
      </c>
      <c r="C628" s="2004" t="s">
        <v>9047</v>
      </c>
      <c r="D628" s="2004" t="s">
        <v>1628</v>
      </c>
      <c r="E628" s="2004" t="s">
        <v>9194</v>
      </c>
      <c r="F628" s="2004" t="s">
        <v>9720</v>
      </c>
      <c r="G628" s="2004" t="s">
        <v>8955</v>
      </c>
      <c r="H628" s="2004" t="s">
        <v>9721</v>
      </c>
      <c r="I628" s="2004" t="s">
        <v>9722</v>
      </c>
      <c r="J628" s="2004" t="s">
        <v>9230</v>
      </c>
      <c r="K628" s="2004"/>
      <c r="L628" s="2004"/>
      <c r="M628" s="2004"/>
      <c r="N628" s="2004" t="s">
        <v>9386</v>
      </c>
      <c r="O628" s="2004" t="s">
        <v>734</v>
      </c>
      <c r="P628" s="2004" t="s">
        <v>9387</v>
      </c>
      <c r="Q628" s="516" t="s">
        <v>9203</v>
      </c>
      <c r="R628" s="2004"/>
      <c r="S628" s="2004"/>
      <c r="T628" s="2004"/>
      <c r="U628" s="2004"/>
      <c r="V628" s="2004"/>
      <c r="W628" s="2004"/>
      <c r="X628" s="2004"/>
      <c r="Y628" s="2004"/>
      <c r="Z628" s="2004"/>
      <c r="AA628" s="2004"/>
      <c r="AB628" s="2004"/>
      <c r="AC628" s="2004"/>
      <c r="AD628" s="2004"/>
      <c r="AE628" s="2004"/>
      <c r="AF628" s="2004"/>
      <c r="AG628" s="2004"/>
      <c r="AH628" s="2004"/>
      <c r="AI628" s="2004"/>
      <c r="AJ628" s="2004"/>
      <c r="AK628" s="2004"/>
      <c r="AL628" s="2004"/>
      <c r="AM628" s="2004"/>
      <c r="AN628" s="2004"/>
      <c r="AO628" s="2004"/>
      <c r="AP628" s="2004"/>
      <c r="AQ628" s="2004"/>
      <c r="AR628" s="2004"/>
      <c r="AS628" s="2004"/>
      <c r="AT628" s="2004"/>
      <c r="AU628" s="2004"/>
      <c r="AV628" s="2004"/>
      <c r="AW628" s="2004"/>
      <c r="AX628" s="2004"/>
      <c r="AY628" s="2004"/>
      <c r="AZ628" s="2004"/>
      <c r="BA628" s="2004"/>
      <c r="BB628" s="2004"/>
      <c r="BC628" s="2004"/>
      <c r="BD628" s="2004"/>
      <c r="BE628" s="2004"/>
      <c r="BF628" s="2004"/>
      <c r="BG628" s="2004"/>
      <c r="BH628" s="2004"/>
      <c r="BI628" s="2004"/>
      <c r="BJ628" s="2004"/>
      <c r="BK628" s="2004"/>
      <c r="BL628" s="2004"/>
      <c r="BM628" s="2004"/>
      <c r="BN628" s="2004"/>
      <c r="BO628" s="2004"/>
      <c r="BQ628" s="2004"/>
      <c r="BR628" s="2004"/>
      <c r="BS628" s="2004"/>
      <c r="BT628" s="2004"/>
      <c r="BU628" s="2004"/>
      <c r="BV628" s="2004"/>
      <c r="BW628" s="2004"/>
      <c r="BX628" s="2004"/>
      <c r="BY628" s="2004"/>
      <c r="BZ628" s="2004"/>
      <c r="CA628" s="2004"/>
      <c r="CB628" s="2004"/>
      <c r="CC628" s="2004" t="s">
        <v>2335</v>
      </c>
      <c r="CH628" s="2004"/>
      <c r="CI628" s="2004">
        <v>67</v>
      </c>
      <c r="CJ628" s="2004" t="s">
        <v>2334</v>
      </c>
      <c r="CK628" s="2004">
        <v>0</v>
      </c>
      <c r="CL628" s="2004">
        <v>0</v>
      </c>
      <c r="CM628" s="2004">
        <v>0</v>
      </c>
      <c r="CN628" s="2004">
        <v>0</v>
      </c>
      <c r="CP628" s="2004" t="s">
        <v>12358</v>
      </c>
    </row>
    <row r="629" spans="1:94">
      <c r="A629" s="2004" t="s">
        <v>9115</v>
      </c>
      <c r="B629" s="2004" t="s">
        <v>12359</v>
      </c>
      <c r="C629" s="2004" t="s">
        <v>9047</v>
      </c>
      <c r="D629" s="2004" t="s">
        <v>9726</v>
      </c>
      <c r="E629" s="2004" t="s">
        <v>9727</v>
      </c>
      <c r="F629" s="2004" t="s">
        <v>9728</v>
      </c>
      <c r="G629" s="2004" t="s">
        <v>8987</v>
      </c>
      <c r="H629" s="2004" t="s">
        <v>9729</v>
      </c>
      <c r="I629" s="2004" t="s">
        <v>9730</v>
      </c>
      <c r="J629" s="2004" t="s">
        <v>9199</v>
      </c>
      <c r="K629" s="2004" t="s">
        <v>9200</v>
      </c>
      <c r="L629" s="2004"/>
      <c r="M629" s="2004" t="s">
        <v>2334</v>
      </c>
      <c r="N629" s="2004" t="s">
        <v>9281</v>
      </c>
      <c r="O629" s="2004" t="s">
        <v>9282</v>
      </c>
      <c r="P629" s="2004" t="s">
        <v>9283</v>
      </c>
      <c r="Q629" s="516">
        <v>1</v>
      </c>
      <c r="R629" s="2004"/>
      <c r="S629" s="2004"/>
      <c r="T629" s="2004"/>
      <c r="U629" s="2004"/>
      <c r="V629" s="2004"/>
      <c r="W629" s="2004"/>
      <c r="X629" s="2004"/>
      <c r="Y629" s="2004"/>
      <c r="Z629" s="2004"/>
      <c r="AA629" s="2004"/>
      <c r="AB629" s="2004"/>
      <c r="AC629" s="2004"/>
      <c r="AD629" s="2004"/>
      <c r="AE629" s="2004"/>
      <c r="AF629" s="2004"/>
      <c r="AG629" s="2004"/>
      <c r="AH629" s="2004"/>
      <c r="AI629" s="2004"/>
      <c r="AJ629" s="2004"/>
      <c r="AK629" s="2004"/>
      <c r="AL629" s="2004"/>
      <c r="AM629" s="2004"/>
      <c r="AN629" s="2004"/>
      <c r="AO629" s="2004"/>
      <c r="AP629" s="2004"/>
      <c r="AQ629" s="2004"/>
      <c r="AR629" s="2004"/>
      <c r="AS629" s="2004"/>
      <c r="AT629" s="2004"/>
      <c r="AU629" s="2004"/>
      <c r="AV629" s="2004"/>
      <c r="AW629" s="2004"/>
      <c r="AX629" s="2004"/>
      <c r="AY629" s="2004"/>
      <c r="AZ629" s="2004"/>
      <c r="BA629" s="2004"/>
      <c r="BB629" s="2004"/>
      <c r="BC629" s="2004"/>
      <c r="BD629" s="2004"/>
      <c r="BE629" s="2004"/>
      <c r="BF629" s="2004"/>
      <c r="BG629" s="2004"/>
      <c r="BH629" s="2004"/>
      <c r="BI629" s="2004"/>
      <c r="BJ629" s="2004"/>
      <c r="BK629" s="2004"/>
      <c r="BL629" s="2004"/>
      <c r="BM629" s="2004"/>
      <c r="BN629" s="2004"/>
      <c r="BO629" s="2004"/>
      <c r="BQ629" s="2004"/>
      <c r="BR629" s="2004"/>
      <c r="BS629" s="2004"/>
      <c r="BT629" s="2004"/>
      <c r="BU629" s="2004"/>
      <c r="BV629" s="2004"/>
      <c r="BW629" s="2004"/>
      <c r="BX629" s="2004"/>
      <c r="BY629" s="2004"/>
      <c r="BZ629" s="2004"/>
      <c r="CA629" s="2004"/>
      <c r="CB629" s="2004"/>
      <c r="CC629" s="2004" t="s">
        <v>2335</v>
      </c>
      <c r="CH629" s="2004"/>
      <c r="CI629" s="2004">
        <v>83.9</v>
      </c>
      <c r="CJ629" s="2004" t="s">
        <v>2337</v>
      </c>
      <c r="CK629" s="2004">
        <v>0</v>
      </c>
      <c r="CL629" s="2004">
        <v>0</v>
      </c>
      <c r="CM629" s="2004">
        <v>0</v>
      </c>
      <c r="CN629" s="2004">
        <v>0</v>
      </c>
      <c r="CP629" s="2004" t="s">
        <v>12360</v>
      </c>
    </row>
    <row r="630" spans="1:94">
      <c r="A630" s="2004" t="s">
        <v>9115</v>
      </c>
      <c r="B630" s="2004" t="s">
        <v>12361</v>
      </c>
      <c r="C630" s="2004" t="s">
        <v>9047</v>
      </c>
      <c r="D630" s="2004" t="s">
        <v>9275</v>
      </c>
      <c r="E630" s="2004" t="s">
        <v>9276</v>
      </c>
      <c r="F630" s="2004" t="s">
        <v>9733</v>
      </c>
      <c r="G630" s="2004" t="s">
        <v>8971</v>
      </c>
      <c r="H630" s="2004" t="s">
        <v>9734</v>
      </c>
      <c r="I630" s="2004" t="s">
        <v>9735</v>
      </c>
      <c r="J630" s="2004" t="s">
        <v>9230</v>
      </c>
      <c r="K630" s="2004"/>
      <c r="L630" s="2004"/>
      <c r="M630" s="2004"/>
      <c r="N630" s="2004" t="s">
        <v>9211</v>
      </c>
      <c r="O630" s="2004" t="s">
        <v>766</v>
      </c>
      <c r="P630" s="2004" t="s">
        <v>9736</v>
      </c>
      <c r="Q630" s="516">
        <v>2</v>
      </c>
      <c r="R630" s="2004"/>
      <c r="S630" s="2004"/>
      <c r="T630" s="2004"/>
      <c r="U630" s="2004"/>
      <c r="V630" s="2004"/>
      <c r="W630" s="2004"/>
      <c r="X630" s="2004"/>
      <c r="Y630" s="2004"/>
      <c r="Z630" s="2004"/>
      <c r="AA630" s="2004"/>
      <c r="AB630" s="2004"/>
      <c r="AC630" s="2004"/>
      <c r="AD630" s="2004"/>
      <c r="AE630" s="2004"/>
      <c r="AF630" s="2004"/>
      <c r="AG630" s="2004"/>
      <c r="AH630" s="2004"/>
      <c r="AI630" s="2004"/>
      <c r="AJ630" s="2004"/>
      <c r="AK630" s="2004"/>
      <c r="AL630" s="2004"/>
      <c r="AM630" s="2004"/>
      <c r="AN630" s="2004"/>
      <c r="AO630" s="2004"/>
      <c r="AP630" s="2004"/>
      <c r="AQ630" s="2004"/>
      <c r="AR630" s="2004"/>
      <c r="AS630" s="2004"/>
      <c r="AT630" s="2004"/>
      <c r="AU630" s="2004"/>
      <c r="AV630" s="2004"/>
      <c r="AW630" s="2004"/>
      <c r="AX630" s="2004"/>
      <c r="AY630" s="2004"/>
      <c r="AZ630" s="2004"/>
      <c r="BA630" s="2004"/>
      <c r="BB630" s="2004"/>
      <c r="BC630" s="2004"/>
      <c r="BD630" s="2004"/>
      <c r="BE630" s="2004"/>
      <c r="BF630" s="2004"/>
      <c r="BG630" s="2004"/>
      <c r="BH630" s="2004"/>
      <c r="BI630" s="2004"/>
      <c r="BJ630" s="2004"/>
      <c r="BK630" s="2004"/>
      <c r="BL630" s="2004"/>
      <c r="BM630" s="2004"/>
      <c r="BN630" s="2004"/>
      <c r="BO630" s="2004"/>
      <c r="BQ630" s="2004"/>
      <c r="BR630" s="2004"/>
      <c r="BS630" s="2004"/>
      <c r="BT630" s="2004"/>
      <c r="BU630" s="2004"/>
      <c r="BV630" s="2004"/>
      <c r="BW630" s="2004"/>
      <c r="BX630" s="2004"/>
      <c r="BY630" s="2004"/>
      <c r="BZ630" s="2004"/>
      <c r="CA630" s="2004"/>
      <c r="CB630" s="2004"/>
      <c r="CC630" s="2004" t="s">
        <v>2335</v>
      </c>
      <c r="CH630" s="2004"/>
      <c r="CI630" s="2004">
        <v>132.76</v>
      </c>
      <c r="CJ630" s="2004" t="s">
        <v>2334</v>
      </c>
      <c r="CK630" s="2004">
        <v>0</v>
      </c>
      <c r="CL630" s="2004">
        <v>0</v>
      </c>
      <c r="CM630" s="2004">
        <v>0</v>
      </c>
      <c r="CN630" s="2004">
        <v>0</v>
      </c>
      <c r="CP630" s="2004" t="s">
        <v>12362</v>
      </c>
    </row>
    <row r="631" spans="1:94">
      <c r="A631" s="2004" t="s">
        <v>9115</v>
      </c>
      <c r="B631" s="2004" t="s">
        <v>12363</v>
      </c>
      <c r="C631" s="2004" t="s">
        <v>9047</v>
      </c>
      <c r="D631" s="2004" t="s">
        <v>9275</v>
      </c>
      <c r="E631" s="2004" t="s">
        <v>9276</v>
      </c>
      <c r="F631" s="2004" t="s">
        <v>9733</v>
      </c>
      <c r="G631" s="2004" t="s">
        <v>8974</v>
      </c>
      <c r="H631" s="2004" t="s">
        <v>9739</v>
      </c>
      <c r="I631" s="2004" t="s">
        <v>9740</v>
      </c>
      <c r="J631" s="2004" t="s">
        <v>9199</v>
      </c>
      <c r="K631" s="2004" t="s">
        <v>9200</v>
      </c>
      <c r="L631" s="2004"/>
      <c r="M631" s="2004" t="s">
        <v>2334</v>
      </c>
      <c r="N631" s="2004" t="s">
        <v>9281</v>
      </c>
      <c r="O631" s="2004" t="s">
        <v>9282</v>
      </c>
      <c r="P631" s="2004" t="s">
        <v>9283</v>
      </c>
      <c r="Q631" s="516">
        <v>1</v>
      </c>
      <c r="R631" s="2004"/>
      <c r="S631" s="2004"/>
      <c r="T631" s="2004"/>
      <c r="U631" s="2004"/>
      <c r="V631" s="2004"/>
      <c r="W631" s="2004"/>
      <c r="X631" s="2004"/>
      <c r="Y631" s="2004"/>
      <c r="Z631" s="2004"/>
      <c r="AA631" s="2004"/>
      <c r="AB631" s="2004"/>
      <c r="AC631" s="2004"/>
      <c r="AD631" s="2004"/>
      <c r="AE631" s="2004"/>
      <c r="AF631" s="2004"/>
      <c r="AG631" s="2004"/>
      <c r="AH631" s="2004"/>
      <c r="AI631" s="2004"/>
      <c r="AJ631" s="2004"/>
      <c r="AK631" s="2004"/>
      <c r="AL631" s="2004"/>
      <c r="AM631" s="2004"/>
      <c r="AN631" s="2004"/>
      <c r="AO631" s="2004"/>
      <c r="AP631" s="2004"/>
      <c r="AQ631" s="2004"/>
      <c r="AR631" s="2004"/>
      <c r="AS631" s="2004"/>
      <c r="AT631" s="2004"/>
      <c r="AU631" s="2004"/>
      <c r="AV631" s="2004"/>
      <c r="AW631" s="2004"/>
      <c r="AX631" s="2004"/>
      <c r="AY631" s="2004"/>
      <c r="AZ631" s="2004"/>
      <c r="BA631" s="2004"/>
      <c r="BB631" s="2004"/>
      <c r="BC631" s="2004"/>
      <c r="BD631" s="2004"/>
      <c r="BE631" s="2004"/>
      <c r="BF631" s="2004"/>
      <c r="BG631" s="2004"/>
      <c r="BH631" s="2004"/>
      <c r="BI631" s="2004"/>
      <c r="BJ631" s="2004"/>
      <c r="BK631" s="2004"/>
      <c r="BL631" s="2004"/>
      <c r="BM631" s="2004"/>
      <c r="BN631" s="2004"/>
      <c r="BO631" s="2004"/>
      <c r="BQ631" s="2004"/>
      <c r="BR631" s="2004"/>
      <c r="BS631" s="2004"/>
      <c r="BT631" s="2004"/>
      <c r="BU631" s="2004"/>
      <c r="BV631" s="2004"/>
      <c r="BW631" s="2004"/>
      <c r="BX631" s="2004"/>
      <c r="BY631" s="2004"/>
      <c r="BZ631" s="2004"/>
      <c r="CA631" s="2004"/>
      <c r="CB631" s="2004"/>
      <c r="CC631" s="2004" t="s">
        <v>2335</v>
      </c>
      <c r="CH631" s="2004"/>
      <c r="CI631" s="2004">
        <v>78.400000000000006</v>
      </c>
      <c r="CJ631" s="2004" t="s">
        <v>2334</v>
      </c>
      <c r="CK631" s="2004">
        <v>0</v>
      </c>
      <c r="CL631" s="2004">
        <v>0</v>
      </c>
      <c r="CM631" s="2004">
        <v>0</v>
      </c>
      <c r="CN631" s="2004">
        <v>0</v>
      </c>
      <c r="CP631" s="2004" t="s">
        <v>12364</v>
      </c>
    </row>
    <row r="632" spans="1:94" ht="7.5" customHeight="1">
      <c r="A632" s="2192"/>
      <c r="B632" s="2192"/>
      <c r="C632" s="2192"/>
      <c r="D632" s="2192"/>
      <c r="E632" s="2192"/>
      <c r="F632" s="2192"/>
      <c r="G632" s="2192"/>
      <c r="H632" s="2192"/>
      <c r="I632" s="2192"/>
      <c r="J632" s="2192"/>
      <c r="K632" s="2192"/>
      <c r="L632" s="2192"/>
      <c r="M632" s="2192"/>
      <c r="N632" s="2192"/>
      <c r="O632" s="2192"/>
      <c r="P632" s="2192"/>
      <c r="Q632" s="2193"/>
      <c r="R632" s="2192"/>
      <c r="S632" s="2192"/>
      <c r="T632" s="2192"/>
      <c r="U632" s="2192"/>
      <c r="V632" s="2192"/>
      <c r="W632" s="2192"/>
      <c r="X632" s="2192"/>
      <c r="Y632" s="2192"/>
      <c r="Z632" s="2192"/>
      <c r="AA632" s="2192"/>
      <c r="AB632" s="2192"/>
      <c r="AC632" s="2192"/>
      <c r="AD632" s="2192"/>
      <c r="AE632" s="2192"/>
      <c r="AF632" s="2192"/>
      <c r="AG632" s="2192"/>
      <c r="AH632" s="2192"/>
      <c r="AI632" s="2192"/>
      <c r="AJ632" s="2192"/>
      <c r="AK632" s="2192"/>
      <c r="AL632" s="2192"/>
      <c r="AM632" s="2192"/>
      <c r="AN632" s="2192"/>
      <c r="AO632" s="2192"/>
      <c r="AP632" s="2192"/>
      <c r="AQ632" s="2192"/>
      <c r="AR632" s="2192"/>
      <c r="AS632" s="2192"/>
      <c r="AT632" s="2192"/>
      <c r="AU632" s="2192"/>
      <c r="AV632" s="2192"/>
      <c r="AW632" s="2192"/>
      <c r="AX632" s="2192"/>
      <c r="AY632" s="2192"/>
      <c r="AZ632" s="2192"/>
      <c r="BA632" s="2192"/>
      <c r="BB632" s="2192"/>
      <c r="BC632" s="2192"/>
      <c r="BD632" s="2192"/>
      <c r="BE632" s="2192"/>
      <c r="BF632" s="2192"/>
      <c r="BG632" s="2192"/>
      <c r="BH632" s="2192"/>
      <c r="BI632" s="2192"/>
      <c r="BJ632" s="2192"/>
      <c r="BK632" s="2192"/>
      <c r="BL632" s="2192"/>
      <c r="BM632" s="2192"/>
      <c r="BN632" s="2192"/>
      <c r="BO632" s="2192"/>
      <c r="BP632" s="2193"/>
      <c r="BQ632" s="2192"/>
      <c r="BR632" s="2192"/>
      <c r="BS632" s="2192"/>
      <c r="BT632" s="2192"/>
      <c r="BU632" s="2192"/>
      <c r="BV632" s="2192"/>
      <c r="BW632" s="2192"/>
      <c r="BX632" s="2192"/>
      <c r="BY632" s="2192"/>
      <c r="BZ632" s="2192"/>
      <c r="CA632" s="2192"/>
      <c r="CB632" s="2192"/>
      <c r="CC632" s="2192"/>
      <c r="CD632" s="2192"/>
      <c r="CE632" s="2192"/>
      <c r="CF632" s="2192"/>
      <c r="CG632" s="2192"/>
      <c r="CH632" s="2192"/>
      <c r="CI632" s="2192"/>
      <c r="CJ632" s="2192"/>
      <c r="CK632" s="2192"/>
      <c r="CL632" s="2192"/>
      <c r="CM632" s="2192"/>
      <c r="CN632" s="2192"/>
      <c r="CP632" s="2192"/>
    </row>
    <row r="633" spans="1:94">
      <c r="A633" s="2004"/>
      <c r="B633" s="2004"/>
      <c r="C633" s="2004"/>
      <c r="D633" s="2004"/>
      <c r="E633" s="2004"/>
      <c r="F633" s="2004"/>
      <c r="G633" s="2004"/>
      <c r="H633" s="2004"/>
      <c r="I633" s="2004"/>
      <c r="J633" s="2004"/>
      <c r="K633" s="2004"/>
      <c r="L633" s="2004"/>
      <c r="M633" s="2004"/>
      <c r="N633" s="2004"/>
      <c r="O633" s="2004"/>
      <c r="P633" s="2004"/>
      <c r="R633" s="2004"/>
      <c r="S633" s="2004"/>
      <c r="T633" s="2004"/>
      <c r="U633" s="2004"/>
      <c r="V633" s="2004"/>
      <c r="W633" s="2004"/>
      <c r="X633" s="2004"/>
      <c r="Y633" s="2004"/>
      <c r="Z633" s="2004"/>
      <c r="AA633" s="2004"/>
      <c r="AB633" s="2004"/>
      <c r="AC633" s="2004"/>
      <c r="AD633" s="2004"/>
      <c r="AE633" s="2004"/>
      <c r="AF633" s="2004"/>
      <c r="AG633" s="2004"/>
      <c r="AH633" s="2004"/>
      <c r="AI633" s="2004"/>
      <c r="AJ633" s="2004"/>
      <c r="AK633" s="2004"/>
      <c r="AL633" s="2004"/>
      <c r="AM633" s="2004"/>
      <c r="AN633" s="2004"/>
      <c r="AO633" s="2004"/>
      <c r="AP633" s="2004"/>
      <c r="AQ633" s="2004"/>
      <c r="AR633" s="2004"/>
      <c r="AS633" s="2004"/>
      <c r="AT633" s="2004"/>
      <c r="AU633" s="2004"/>
      <c r="AV633" s="2004"/>
      <c r="AW633" s="2004"/>
      <c r="AX633" s="2004"/>
      <c r="AY633" s="2004"/>
      <c r="AZ633" s="2004"/>
      <c r="BA633" s="2004"/>
      <c r="BB633" s="2004"/>
      <c r="BC633" s="2004"/>
      <c r="BD633" s="2004"/>
      <c r="BE633" s="2004"/>
      <c r="BF633" s="2004"/>
      <c r="BG633" s="2004"/>
      <c r="BH633" s="2004"/>
      <c r="BI633" s="2004"/>
      <c r="BJ633" s="2004"/>
      <c r="BK633" s="2004"/>
      <c r="BL633" s="2004"/>
      <c r="BM633" s="2004"/>
      <c r="BN633" s="2004"/>
      <c r="BO633" s="2004"/>
      <c r="BQ633" s="2004"/>
      <c r="BR633" s="2004"/>
      <c r="BS633" s="2004"/>
      <c r="BT633" s="2004"/>
      <c r="BU633" s="2004"/>
      <c r="BV633" s="2004"/>
      <c r="BW633" s="2004"/>
      <c r="BX633" s="2004"/>
      <c r="BY633" s="2004"/>
      <c r="BZ633" s="2004"/>
      <c r="CA633" s="2004"/>
      <c r="CB633" s="2004"/>
      <c r="CH633" s="2004"/>
      <c r="CP633" s="2004"/>
    </row>
    <row r="634" spans="1:94">
      <c r="A634" s="2004"/>
      <c r="B634" s="2004"/>
      <c r="C634" s="2004"/>
      <c r="D634" s="2004"/>
      <c r="E634" s="2004"/>
      <c r="F634" s="2004"/>
      <c r="G634" s="2004"/>
      <c r="H634" s="2004"/>
      <c r="I634" s="2004"/>
      <c r="J634" s="2004"/>
      <c r="K634" s="2004"/>
      <c r="L634" s="2004"/>
      <c r="M634" s="2004"/>
      <c r="N634" s="2004"/>
      <c r="O634" s="2004"/>
      <c r="P634" s="2004"/>
      <c r="R634" s="2004"/>
      <c r="S634" s="2004"/>
      <c r="T634" s="2004"/>
      <c r="U634" s="2004"/>
      <c r="V634" s="2004"/>
      <c r="W634" s="2004"/>
      <c r="X634" s="2004"/>
      <c r="Y634" s="2004"/>
      <c r="Z634" s="2004"/>
      <c r="AA634" s="2004"/>
      <c r="AB634" s="2004"/>
      <c r="AC634" s="2004"/>
      <c r="AD634" s="2004"/>
      <c r="AE634" s="2004"/>
      <c r="AF634" s="2004"/>
      <c r="AG634" s="2004"/>
      <c r="AH634" s="2004"/>
      <c r="AI634" s="2004"/>
      <c r="AJ634" s="2004"/>
      <c r="AK634" s="2004"/>
      <c r="AL634" s="2004"/>
      <c r="AM634" s="2004"/>
      <c r="AN634" s="2004"/>
      <c r="AO634" s="2004"/>
      <c r="AP634" s="2004"/>
      <c r="AQ634" s="2004"/>
      <c r="AR634" s="2004"/>
      <c r="AS634" s="2004"/>
      <c r="AT634" s="2004"/>
      <c r="AU634" s="2004"/>
      <c r="AV634" s="2004"/>
      <c r="AW634" s="2004"/>
      <c r="AX634" s="2004"/>
      <c r="AY634" s="2004"/>
      <c r="AZ634" s="2004"/>
      <c r="BA634" s="2004"/>
      <c r="BB634" s="2004"/>
      <c r="BC634" s="2004"/>
      <c r="BD634" s="2004"/>
      <c r="BE634" s="2004"/>
      <c r="BF634" s="2004"/>
      <c r="BG634" s="2004"/>
      <c r="BH634" s="2004"/>
      <c r="BI634" s="2004"/>
      <c r="BJ634" s="2004"/>
      <c r="BK634" s="2004"/>
      <c r="BL634" s="2004"/>
      <c r="BM634" s="2004"/>
      <c r="BN634" s="2004"/>
      <c r="BO634" s="2004"/>
      <c r="BQ634" s="2004"/>
      <c r="BR634" s="2004"/>
      <c r="BS634" s="2004"/>
      <c r="BT634" s="2004"/>
      <c r="BU634" s="2004"/>
      <c r="BV634" s="2004"/>
      <c r="BW634" s="2004"/>
      <c r="BX634" s="2004"/>
      <c r="BY634" s="2004"/>
      <c r="BZ634" s="2004"/>
      <c r="CA634" s="2004"/>
      <c r="CB634" s="2004"/>
      <c r="CH634" s="2004"/>
      <c r="CP634" s="2004"/>
    </row>
    <row r="635" spans="1:94">
      <c r="A635" s="2004"/>
      <c r="B635" s="2004"/>
      <c r="C635" s="2004"/>
      <c r="D635" s="2004"/>
      <c r="E635" s="2004"/>
      <c r="F635" s="2004"/>
      <c r="G635" s="2004"/>
      <c r="H635" s="2004"/>
      <c r="I635" s="2004"/>
      <c r="J635" s="2004"/>
      <c r="K635" s="2004"/>
      <c r="L635" s="2004"/>
      <c r="M635" s="2004"/>
      <c r="N635" s="2004"/>
      <c r="O635" s="2004"/>
      <c r="P635" s="2004"/>
      <c r="R635" s="2004"/>
      <c r="S635" s="2004"/>
      <c r="T635" s="2004"/>
      <c r="U635" s="2004"/>
      <c r="V635" s="2004"/>
      <c r="W635" s="2004"/>
      <c r="X635" s="2004"/>
      <c r="Y635" s="2004"/>
      <c r="Z635" s="2004"/>
      <c r="AA635" s="2004"/>
      <c r="AB635" s="2004"/>
      <c r="AC635" s="2004"/>
      <c r="AD635" s="2004"/>
      <c r="AE635" s="2004"/>
      <c r="AF635" s="2004"/>
      <c r="AG635" s="2004"/>
      <c r="AH635" s="2004"/>
      <c r="AI635" s="2004"/>
      <c r="AJ635" s="2004"/>
      <c r="AK635" s="2004"/>
      <c r="AL635" s="2004"/>
      <c r="AM635" s="2004"/>
      <c r="AN635" s="2004"/>
      <c r="AO635" s="2004"/>
      <c r="AP635" s="2004"/>
      <c r="AQ635" s="2004"/>
      <c r="AR635" s="2004"/>
      <c r="AS635" s="2004"/>
      <c r="AT635" s="2004"/>
      <c r="AU635" s="2004"/>
      <c r="AV635" s="2004"/>
      <c r="AW635" s="2004"/>
      <c r="AX635" s="2004"/>
      <c r="AY635" s="2004"/>
      <c r="AZ635" s="2004"/>
      <c r="BA635" s="2004"/>
      <c r="BB635" s="2004"/>
      <c r="BC635" s="2004"/>
      <c r="BD635" s="2004"/>
      <c r="BE635" s="2004"/>
      <c r="BF635" s="2004"/>
      <c r="BG635" s="2004"/>
      <c r="BH635" s="2004"/>
      <c r="BI635" s="2004"/>
      <c r="BJ635" s="2004"/>
      <c r="BK635" s="2004"/>
      <c r="BL635" s="2004"/>
      <c r="BM635" s="2004"/>
      <c r="BN635" s="2004"/>
      <c r="BO635" s="2004"/>
      <c r="BQ635" s="2004"/>
      <c r="BR635" s="2004"/>
      <c r="BS635" s="2004"/>
      <c r="BT635" s="2004"/>
      <c r="BU635" s="2004"/>
      <c r="BV635" s="2004"/>
      <c r="BW635" s="2004"/>
      <c r="BX635" s="2004"/>
      <c r="BY635" s="2004"/>
      <c r="BZ635" s="2004"/>
      <c r="CA635" s="2004"/>
      <c r="CB635" s="2004"/>
      <c r="CH635" s="2004"/>
      <c r="CP635" s="2004"/>
    </row>
    <row r="636" spans="1:94">
      <c r="A636" s="2004"/>
      <c r="B636" s="2004"/>
      <c r="C636" s="2004"/>
      <c r="D636" s="2004"/>
      <c r="E636" s="2004"/>
      <c r="F636" s="2004"/>
      <c r="G636" s="2004"/>
      <c r="H636" s="2004"/>
      <c r="I636" s="2004"/>
      <c r="J636" s="2004"/>
      <c r="K636" s="2004"/>
      <c r="L636" s="2004"/>
      <c r="M636" s="2004"/>
      <c r="N636" s="2004"/>
      <c r="O636" s="2004"/>
      <c r="P636" s="2004"/>
      <c r="R636" s="2004"/>
      <c r="S636" s="2004"/>
      <c r="T636" s="2004"/>
      <c r="U636" s="2004"/>
      <c r="V636" s="2004"/>
      <c r="W636" s="2004"/>
      <c r="X636" s="2004"/>
      <c r="Y636" s="2004"/>
      <c r="Z636" s="2004"/>
      <c r="AA636" s="2004"/>
      <c r="AB636" s="2004"/>
      <c r="AC636" s="2004"/>
      <c r="AD636" s="2004"/>
      <c r="AE636" s="2004"/>
      <c r="AF636" s="2004"/>
      <c r="AG636" s="2004"/>
      <c r="AH636" s="2004"/>
      <c r="AI636" s="2004"/>
      <c r="AJ636" s="2004"/>
      <c r="AK636" s="2004"/>
      <c r="AL636" s="2004"/>
      <c r="AM636" s="2004"/>
      <c r="AN636" s="2004"/>
      <c r="AO636" s="2004"/>
      <c r="AP636" s="2004"/>
      <c r="AQ636" s="2004"/>
      <c r="AR636" s="2004"/>
      <c r="AS636" s="2004"/>
      <c r="AT636" s="2004"/>
      <c r="AU636" s="2004"/>
      <c r="AV636" s="2004"/>
      <c r="AW636" s="2004"/>
      <c r="AX636" s="2004"/>
      <c r="AY636" s="2004"/>
      <c r="AZ636" s="2004"/>
      <c r="BA636" s="2004"/>
      <c r="BB636" s="2004"/>
      <c r="BC636" s="2004"/>
      <c r="BD636" s="2004"/>
      <c r="BE636" s="2004"/>
      <c r="BF636" s="2004"/>
      <c r="BG636" s="2004"/>
      <c r="BH636" s="2004"/>
      <c r="BI636" s="2004"/>
      <c r="BJ636" s="2004"/>
      <c r="BK636" s="2004"/>
      <c r="BL636" s="2004"/>
      <c r="BM636" s="2004"/>
      <c r="BN636" s="2004"/>
      <c r="BO636" s="2004"/>
      <c r="BQ636" s="2004"/>
      <c r="BR636" s="2004"/>
      <c r="BS636" s="2004"/>
      <c r="BT636" s="2004"/>
      <c r="BU636" s="2004"/>
      <c r="BV636" s="2004"/>
      <c r="BW636" s="2004"/>
      <c r="BX636" s="2004"/>
      <c r="BY636" s="2004"/>
      <c r="BZ636" s="2004"/>
      <c r="CA636" s="2004"/>
      <c r="CB636" s="2004"/>
      <c r="CH636" s="2004"/>
      <c r="CP636" s="2004"/>
    </row>
    <row r="637" spans="1:94">
      <c r="A637" s="2004"/>
      <c r="B637" s="2004"/>
      <c r="C637" s="2004"/>
      <c r="D637" s="2004"/>
      <c r="E637" s="2004"/>
      <c r="F637" s="2004"/>
      <c r="G637" s="2004"/>
      <c r="H637" s="2004"/>
      <c r="I637" s="2004"/>
      <c r="J637" s="2004"/>
      <c r="K637" s="2004"/>
      <c r="L637" s="2004"/>
      <c r="M637" s="2004"/>
      <c r="N637" s="2004"/>
      <c r="O637" s="2004"/>
      <c r="P637" s="2004"/>
      <c r="R637" s="2004"/>
      <c r="S637" s="2004"/>
      <c r="T637" s="2004"/>
      <c r="U637" s="2004"/>
      <c r="V637" s="2004"/>
      <c r="W637" s="2004"/>
      <c r="X637" s="2004"/>
      <c r="Y637" s="2004"/>
      <c r="Z637" s="2004"/>
      <c r="AA637" s="2004"/>
      <c r="AB637" s="2004"/>
      <c r="AC637" s="2004"/>
      <c r="AD637" s="2004"/>
      <c r="AE637" s="2004"/>
      <c r="AF637" s="2004"/>
      <c r="AG637" s="2004"/>
      <c r="AH637" s="2004"/>
      <c r="AI637" s="2004"/>
      <c r="AJ637" s="2004"/>
      <c r="AK637" s="2004"/>
      <c r="AL637" s="2004"/>
      <c r="AM637" s="2004"/>
      <c r="AN637" s="2004"/>
      <c r="AO637" s="2004"/>
      <c r="AP637" s="2004"/>
      <c r="AQ637" s="2004"/>
      <c r="AR637" s="2004"/>
      <c r="AS637" s="2004"/>
      <c r="AT637" s="2004"/>
      <c r="AU637" s="2004"/>
      <c r="AV637" s="2004"/>
      <c r="AW637" s="2004"/>
      <c r="AX637" s="2004"/>
      <c r="AY637" s="2004"/>
      <c r="AZ637" s="2004"/>
      <c r="BA637" s="2004"/>
      <c r="BB637" s="2004"/>
      <c r="BC637" s="2004"/>
      <c r="BD637" s="2004"/>
      <c r="BE637" s="2004"/>
      <c r="BF637" s="2004"/>
      <c r="BG637" s="2004"/>
      <c r="BH637" s="2004"/>
      <c r="BI637" s="2004"/>
      <c r="BJ637" s="2004"/>
      <c r="BK637" s="2004"/>
      <c r="BL637" s="2004"/>
      <c r="BM637" s="2004"/>
      <c r="BN637" s="2004"/>
      <c r="BO637" s="2004"/>
      <c r="BQ637" s="2004"/>
      <c r="BR637" s="2004"/>
      <c r="BS637" s="2004"/>
      <c r="BT637" s="2004"/>
      <c r="BU637" s="2004"/>
      <c r="BV637" s="2004"/>
      <c r="BW637" s="2004"/>
      <c r="BX637" s="2004"/>
      <c r="BY637" s="2004"/>
      <c r="BZ637" s="2004"/>
      <c r="CA637" s="2004"/>
      <c r="CB637" s="2004"/>
      <c r="CH637" s="2004"/>
      <c r="CP637" s="2004"/>
    </row>
    <row r="638" spans="1:94">
      <c r="A638" s="2004"/>
      <c r="B638" s="2004"/>
      <c r="C638" s="2004"/>
      <c r="D638" s="2004"/>
      <c r="E638" s="2004"/>
      <c r="F638" s="2004"/>
      <c r="G638" s="2004"/>
      <c r="H638" s="2004"/>
      <c r="I638" s="2004"/>
      <c r="J638" s="2004"/>
      <c r="K638" s="2004"/>
      <c r="L638" s="2004"/>
      <c r="M638" s="2004"/>
      <c r="N638" s="2004"/>
      <c r="O638" s="2004"/>
      <c r="P638" s="2004"/>
      <c r="R638" s="2004"/>
      <c r="S638" s="2004"/>
      <c r="T638" s="2004"/>
      <c r="U638" s="2004"/>
      <c r="V638" s="2004"/>
      <c r="W638" s="2004"/>
      <c r="X638" s="2004"/>
      <c r="Y638" s="2004"/>
      <c r="Z638" s="2004"/>
      <c r="AA638" s="2004"/>
      <c r="AB638" s="2004"/>
      <c r="AC638" s="2004"/>
      <c r="AD638" s="2004"/>
      <c r="AE638" s="2004"/>
      <c r="AF638" s="2004"/>
      <c r="AG638" s="2004"/>
      <c r="AH638" s="2004"/>
      <c r="AI638" s="2004"/>
      <c r="AJ638" s="2004"/>
      <c r="AK638" s="2004"/>
      <c r="AL638" s="2004"/>
      <c r="AM638" s="2004"/>
      <c r="AN638" s="2004"/>
      <c r="AO638" s="2004"/>
      <c r="AP638" s="2004"/>
      <c r="AQ638" s="2004"/>
      <c r="AR638" s="2004"/>
      <c r="AS638" s="2004"/>
      <c r="AT638" s="2004"/>
      <c r="AU638" s="2004"/>
      <c r="AV638" s="2004"/>
      <c r="AW638" s="2004"/>
      <c r="AX638" s="2004"/>
      <c r="AY638" s="2004"/>
      <c r="AZ638" s="2004"/>
      <c r="BA638" s="2004"/>
      <c r="BB638" s="2004"/>
      <c r="BC638" s="2004"/>
      <c r="BD638" s="2004"/>
      <c r="BE638" s="2004"/>
      <c r="BF638" s="2004"/>
      <c r="BG638" s="2004"/>
      <c r="BH638" s="2004"/>
      <c r="BI638" s="2004"/>
      <c r="BJ638" s="2004"/>
      <c r="BK638" s="2004"/>
      <c r="BL638" s="2004"/>
      <c r="BM638" s="2004"/>
      <c r="BN638" s="2004"/>
      <c r="BO638" s="2004"/>
      <c r="BQ638" s="2004"/>
      <c r="BR638" s="2004"/>
      <c r="BS638" s="2004"/>
      <c r="BT638" s="2004"/>
      <c r="BU638" s="2004"/>
      <c r="BV638" s="2004"/>
      <c r="BW638" s="2004"/>
      <c r="BX638" s="2004"/>
      <c r="BY638" s="2004"/>
      <c r="BZ638" s="2004"/>
      <c r="CA638" s="2004"/>
      <c r="CB638" s="2004"/>
      <c r="CH638" s="2004"/>
      <c r="CP638" s="2004"/>
    </row>
    <row r="639" spans="1:94">
      <c r="A639" s="2004"/>
      <c r="B639" s="2004"/>
      <c r="C639" s="2004"/>
      <c r="D639" s="2004"/>
      <c r="E639" s="2004"/>
      <c r="F639" s="2004"/>
      <c r="G639" s="2004"/>
      <c r="H639" s="2004"/>
      <c r="I639" s="2004"/>
      <c r="J639" s="2004"/>
      <c r="K639" s="2004"/>
      <c r="L639" s="2004"/>
      <c r="M639" s="2004"/>
      <c r="N639" s="2004"/>
      <c r="O639" s="2004"/>
      <c r="P639" s="2004"/>
      <c r="R639" s="2004"/>
      <c r="S639" s="2004"/>
      <c r="T639" s="2004"/>
      <c r="U639" s="2004"/>
      <c r="V639" s="2004"/>
      <c r="W639" s="2004"/>
      <c r="X639" s="2004"/>
      <c r="Y639" s="2004"/>
      <c r="Z639" s="2004"/>
      <c r="AA639" s="2004"/>
      <c r="AB639" s="2004"/>
      <c r="AC639" s="2004"/>
      <c r="AD639" s="2004"/>
      <c r="AE639" s="2004"/>
      <c r="AF639" s="2004"/>
      <c r="AG639" s="2004"/>
      <c r="AH639" s="2004"/>
      <c r="AI639" s="2004"/>
      <c r="AJ639" s="2004"/>
      <c r="AK639" s="2004"/>
      <c r="AL639" s="2004"/>
      <c r="AM639" s="2004"/>
      <c r="AN639" s="2004"/>
      <c r="AO639" s="2004"/>
      <c r="AP639" s="2004"/>
      <c r="AQ639" s="2004"/>
      <c r="AR639" s="2004"/>
      <c r="AS639" s="2004"/>
      <c r="AT639" s="2004"/>
      <c r="AU639" s="2004"/>
      <c r="AV639" s="2004"/>
      <c r="AW639" s="2004"/>
      <c r="AX639" s="2004"/>
      <c r="AY639" s="2004"/>
      <c r="AZ639" s="2004"/>
      <c r="BA639" s="2004"/>
      <c r="BB639" s="2004"/>
      <c r="BC639" s="2004"/>
      <c r="BD639" s="2004"/>
      <c r="BE639" s="2004"/>
      <c r="BF639" s="2004"/>
      <c r="BG639" s="2004"/>
      <c r="BH639" s="2004"/>
      <c r="BI639" s="2004"/>
      <c r="BJ639" s="2004"/>
      <c r="BK639" s="2004"/>
      <c r="BL639" s="2004"/>
      <c r="BM639" s="2004"/>
      <c r="BN639" s="2004"/>
      <c r="BO639" s="2004"/>
      <c r="BQ639" s="2004"/>
      <c r="BR639" s="2004"/>
      <c r="BS639" s="2004"/>
      <c r="BT639" s="2004"/>
      <c r="BU639" s="2004"/>
      <c r="BV639" s="2004"/>
      <c r="BW639" s="2004"/>
      <c r="BX639" s="2004"/>
      <c r="BY639" s="2004"/>
      <c r="BZ639" s="2004"/>
      <c r="CA639" s="2004"/>
      <c r="CB639" s="2004"/>
      <c r="CH639" s="2004"/>
      <c r="CP639" s="2004"/>
    </row>
    <row r="640" spans="1:94">
      <c r="A640" s="2004"/>
      <c r="B640" s="2004"/>
      <c r="C640" s="2004"/>
      <c r="D640" s="2004"/>
      <c r="E640" s="2004"/>
      <c r="F640" s="2004"/>
      <c r="G640" s="2004"/>
      <c r="H640" s="2004"/>
      <c r="I640" s="2004"/>
      <c r="J640" s="2004"/>
      <c r="K640" s="2004"/>
      <c r="L640" s="2004"/>
      <c r="M640" s="2004"/>
      <c r="N640" s="2004"/>
      <c r="O640" s="2004"/>
      <c r="P640" s="2004"/>
      <c r="R640" s="2004"/>
      <c r="S640" s="2004"/>
      <c r="T640" s="2004"/>
      <c r="U640" s="2004"/>
      <c r="V640" s="2004"/>
      <c r="W640" s="2004"/>
      <c r="X640" s="2004"/>
      <c r="Y640" s="2004"/>
      <c r="Z640" s="2004"/>
      <c r="AA640" s="2004"/>
      <c r="AB640" s="2004"/>
      <c r="AC640" s="2004"/>
      <c r="AD640" s="2004"/>
      <c r="AE640" s="2004"/>
      <c r="AF640" s="2004"/>
      <c r="AG640" s="2004"/>
      <c r="AH640" s="2004"/>
      <c r="AI640" s="2004"/>
      <c r="AJ640" s="2004"/>
      <c r="AK640" s="2004"/>
      <c r="AL640" s="2004"/>
      <c r="AM640" s="2004"/>
      <c r="AN640" s="2004"/>
      <c r="AO640" s="2004"/>
      <c r="AP640" s="2004"/>
      <c r="AQ640" s="2004"/>
      <c r="AR640" s="2004"/>
      <c r="AS640" s="2004"/>
      <c r="AT640" s="2004"/>
      <c r="AU640" s="2004"/>
      <c r="AV640" s="2004"/>
      <c r="AW640" s="2004"/>
      <c r="AX640" s="2004"/>
      <c r="AY640" s="2004"/>
      <c r="AZ640" s="2004"/>
      <c r="BA640" s="2004"/>
      <c r="BB640" s="2004"/>
      <c r="BC640" s="2004"/>
      <c r="BD640" s="2004"/>
      <c r="BE640" s="2004"/>
      <c r="BF640" s="2004"/>
      <c r="BG640" s="2004"/>
      <c r="BH640" s="2004"/>
      <c r="BI640" s="2004"/>
      <c r="BJ640" s="2004"/>
      <c r="BK640" s="2004"/>
      <c r="BL640" s="2004"/>
      <c r="BM640" s="2004"/>
      <c r="BN640" s="2004"/>
      <c r="BO640" s="2004"/>
      <c r="BQ640" s="2004"/>
      <c r="BR640" s="2004"/>
      <c r="BS640" s="2004"/>
      <c r="BT640" s="2004"/>
      <c r="BU640" s="2004"/>
      <c r="BV640" s="2004"/>
      <c r="BW640" s="2004"/>
      <c r="BX640" s="2004"/>
      <c r="BY640" s="2004"/>
      <c r="BZ640" s="2004"/>
      <c r="CA640" s="2004"/>
      <c r="CB640" s="2004"/>
      <c r="CH640" s="2004"/>
      <c r="CP640" s="2004"/>
    </row>
    <row r="641" spans="1:1">
      <c r="A641" s="2004"/>
    </row>
    <row r="642" spans="1:1">
      <c r="A642" s="2004"/>
    </row>
    <row r="643" spans="1:1">
      <c r="A643" s="2004"/>
    </row>
    <row r="644" spans="1:1">
      <c r="A644" s="2004"/>
    </row>
    <row r="645" spans="1:1">
      <c r="A645" s="2004"/>
    </row>
    <row r="646" spans="1:1">
      <c r="A646" s="2004"/>
    </row>
    <row r="647" spans="1:1">
      <c r="A647" s="2004"/>
    </row>
    <row r="648" spans="1:1">
      <c r="A648" s="2004"/>
    </row>
    <row r="649" spans="1:1">
      <c r="A649" s="2004"/>
    </row>
    <row r="650" spans="1:1">
      <c r="A650" s="2004"/>
    </row>
    <row r="651" spans="1:1">
      <c r="A651" s="2004"/>
    </row>
    <row r="652" spans="1:1">
      <c r="A652" s="2004"/>
    </row>
    <row r="653" spans="1:1">
      <c r="A653" s="2004"/>
    </row>
    <row r="654" spans="1:1">
      <c r="A654" s="2004"/>
    </row>
    <row r="655" spans="1:1">
      <c r="A655" s="2004"/>
    </row>
    <row r="656" spans="1:1">
      <c r="A656" s="2004"/>
    </row>
    <row r="657" spans="1:1">
      <c r="A657" s="2004"/>
    </row>
    <row r="658" spans="1:1">
      <c r="A658" s="2004"/>
    </row>
    <row r="659" spans="1:1">
      <c r="A659" s="2004"/>
    </row>
    <row r="660" spans="1:1">
      <c r="A660" s="2004"/>
    </row>
    <row r="661" spans="1:1">
      <c r="A661" s="2004"/>
    </row>
    <row r="662" spans="1:1">
      <c r="A662" s="2004"/>
    </row>
    <row r="663" spans="1:1">
      <c r="A663" s="2004"/>
    </row>
    <row r="664" spans="1:1">
      <c r="A664" s="2004"/>
    </row>
    <row r="665" spans="1:1">
      <c r="A665" s="2004"/>
    </row>
    <row r="666" spans="1:1">
      <c r="A666" s="2004"/>
    </row>
    <row r="667" spans="1:1">
      <c r="A667" s="2004"/>
    </row>
    <row r="668" spans="1:1">
      <c r="A668" s="2004"/>
    </row>
    <row r="669" spans="1:1">
      <c r="A669" s="2004"/>
    </row>
    <row r="670" spans="1:1">
      <c r="A670" s="2004"/>
    </row>
    <row r="671" spans="1:1">
      <c r="A671" s="2004"/>
    </row>
    <row r="672" spans="1:1">
      <c r="A672" s="2004"/>
    </row>
    <row r="673" spans="1:1">
      <c r="A673" s="2004"/>
    </row>
    <row r="674" spans="1:1">
      <c r="A674" s="2004"/>
    </row>
    <row r="675" spans="1:1">
      <c r="A675" s="2004"/>
    </row>
    <row r="676" spans="1:1">
      <c r="A676" s="2004"/>
    </row>
    <row r="677" spans="1:1">
      <c r="A677" s="2004"/>
    </row>
    <row r="678" spans="1:1">
      <c r="A678" s="2004"/>
    </row>
    <row r="679" spans="1:1">
      <c r="A679" s="2004"/>
    </row>
    <row r="680" spans="1:1">
      <c r="A680" s="2004"/>
    </row>
    <row r="681" spans="1:1">
      <c r="A681" s="2004"/>
    </row>
    <row r="682" spans="1:1">
      <c r="A682" s="2004"/>
    </row>
    <row r="683" spans="1:1">
      <c r="A683" s="2004"/>
    </row>
    <row r="684" spans="1:1">
      <c r="A684" s="2004"/>
    </row>
    <row r="685" spans="1:1">
      <c r="A685" s="2004"/>
    </row>
    <row r="686" spans="1:1">
      <c r="A686" s="2004"/>
    </row>
    <row r="687" spans="1:1">
      <c r="A687" s="2004"/>
    </row>
    <row r="688" spans="1:1">
      <c r="A688" s="2004"/>
    </row>
    <row r="689" spans="1:1">
      <c r="A689" s="2004"/>
    </row>
    <row r="690" spans="1:1">
      <c r="A690" s="2004"/>
    </row>
    <row r="691" spans="1:1">
      <c r="A691" s="2004"/>
    </row>
    <row r="692" spans="1:1">
      <c r="A692" s="2004"/>
    </row>
    <row r="693" spans="1:1">
      <c r="A693" s="2004"/>
    </row>
    <row r="694" spans="1:1">
      <c r="A694" s="2004"/>
    </row>
    <row r="695" spans="1:1">
      <c r="A695" s="2004"/>
    </row>
    <row r="696" spans="1:1">
      <c r="A696" s="2004"/>
    </row>
    <row r="697" spans="1:1">
      <c r="A697" s="2004"/>
    </row>
    <row r="698" spans="1:1">
      <c r="A698" s="2004"/>
    </row>
    <row r="699" spans="1:1">
      <c r="A699" s="2004"/>
    </row>
    <row r="700" spans="1:1">
      <c r="A700" s="2004"/>
    </row>
    <row r="701" spans="1:1">
      <c r="A701" s="2004"/>
    </row>
    <row r="702" spans="1:1">
      <c r="A702" s="2004"/>
    </row>
    <row r="703" spans="1:1">
      <c r="A703" s="2004"/>
    </row>
    <row r="704" spans="1:1">
      <c r="A704" s="2004"/>
    </row>
    <row r="705" spans="1:1">
      <c r="A705" s="2004"/>
    </row>
    <row r="706" spans="1:1">
      <c r="A706" s="2004"/>
    </row>
    <row r="707" spans="1:1">
      <c r="A707" s="2004"/>
    </row>
    <row r="708" spans="1:1">
      <c r="A708" s="2004"/>
    </row>
    <row r="709" spans="1:1">
      <c r="A709" s="2004"/>
    </row>
    <row r="710" spans="1:1">
      <c r="A710" s="2004"/>
    </row>
    <row r="711" spans="1:1">
      <c r="A711" s="2004"/>
    </row>
    <row r="712" spans="1:1">
      <c r="A712" s="2004"/>
    </row>
    <row r="713" spans="1:1">
      <c r="A713" s="2004"/>
    </row>
    <row r="714" spans="1:1">
      <c r="A714" s="2004"/>
    </row>
    <row r="715" spans="1:1">
      <c r="A715" s="2004"/>
    </row>
    <row r="716" spans="1:1">
      <c r="A716" s="2004"/>
    </row>
    <row r="717" spans="1:1">
      <c r="A717" s="2004"/>
    </row>
    <row r="718" spans="1:1">
      <c r="A718" s="2004"/>
    </row>
    <row r="719" spans="1:1">
      <c r="A719" s="2004"/>
    </row>
    <row r="720" spans="1:1">
      <c r="A720" s="2004"/>
    </row>
    <row r="721" spans="1:1">
      <c r="A721" s="2004"/>
    </row>
    <row r="722" spans="1:1">
      <c r="A722" s="2004"/>
    </row>
    <row r="723" spans="1:1">
      <c r="A723" s="2004"/>
    </row>
    <row r="724" spans="1:1">
      <c r="A724" s="2004"/>
    </row>
    <row r="725" spans="1:1">
      <c r="A725" s="2004"/>
    </row>
    <row r="726" spans="1:1">
      <c r="A726" s="2004"/>
    </row>
    <row r="727" spans="1:1">
      <c r="A727" s="2004"/>
    </row>
    <row r="728" spans="1:1">
      <c r="A728" s="2004"/>
    </row>
  </sheetData>
  <sheetProtection algorithmName="SHA-512" hashValue="quxgCO7tacv2WslT45M3Eaaz1+Bv0PjytKUZ1mWBviIFz2WMwqrrb+n+pHc6W3MMSjca3tkLHzL9dOffJ6s0Pw==" saltValue="ACklSvJuKVC9hcAY1RS8ew==" spinCount="100000" sheet="1" objects="1" scenarios="1"/>
  <autoFilter ref="A2:CB529" xr:uid="{00000000-0009-0000-0000-000038000000}"/>
  <pageMargins left="0.7" right="0.7" top="0.75" bottom="0.75" header="0.3" footer="0.3"/>
  <pageSetup paperSize="9" orientation="portrait" r:id="rId1"/>
  <customProperties>
    <customPr name="_pios_id" r:id="rId2"/>
    <customPr name="EpmWorksheetKeyString_GUID" r:id="rId3"/>
  </customPropertie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EJ529"/>
  <sheetViews>
    <sheetView workbookViewId="0"/>
  </sheetViews>
  <sheetFormatPr defaultColWidth="9" defaultRowHeight="14.25"/>
  <cols>
    <col min="1" max="1" width="18.5" style="56" bestFit="1" customWidth="1"/>
    <col min="2" max="2" width="34.125" style="57" customWidth="1"/>
    <col min="6" max="6" width="11.125" bestFit="1" customWidth="1"/>
    <col min="7" max="7" width="13.5" bestFit="1" customWidth="1"/>
    <col min="8" max="8" width="17.5" style="54" bestFit="1" customWidth="1"/>
    <col min="9" max="9" width="29.125" style="54" customWidth="1"/>
    <col min="13" max="13" width="11" bestFit="1" customWidth="1"/>
    <col min="14" max="14" width="11" customWidth="1"/>
    <col min="15" max="15" width="15.125" style="54" bestFit="1" customWidth="1"/>
    <col min="16" max="16" width="27.5" style="54" customWidth="1"/>
    <col min="22" max="22" width="15.5" style="54" bestFit="1" customWidth="1"/>
    <col min="23" max="23" width="24.5" style="54" customWidth="1"/>
    <col min="29" max="29" width="17.5" style="54" bestFit="1" customWidth="1"/>
    <col min="30" max="30" width="31.5" style="54" customWidth="1"/>
    <col min="32" max="32" width="19.125" customWidth="1"/>
    <col min="36" max="36" width="15.125" style="54" bestFit="1" customWidth="1"/>
    <col min="37" max="37" width="20.5" style="54" bestFit="1" customWidth="1"/>
    <col min="43" max="43" width="15.5" style="54" bestFit="1" customWidth="1"/>
    <col min="44" max="44" width="68.125" style="54" bestFit="1" customWidth="1"/>
    <col min="50" max="50" width="15.125" style="54" bestFit="1" customWidth="1"/>
    <col min="51" max="51" width="29" style="54" customWidth="1"/>
    <col min="57" max="57" width="17.125" style="54" customWidth="1"/>
    <col min="58" max="58" width="27.5" style="54" customWidth="1"/>
    <col min="64" max="64" width="14.125" style="54" bestFit="1" customWidth="1"/>
    <col min="65" max="65" width="25.5" style="54" bestFit="1" customWidth="1"/>
    <col min="71" max="71" width="15.5" style="54" bestFit="1" customWidth="1"/>
    <col min="72" max="72" width="43.125" style="54" bestFit="1" customWidth="1"/>
    <col min="78" max="78" width="17.5" style="54" bestFit="1" customWidth="1"/>
    <col min="79" max="79" width="42.125" style="54" customWidth="1"/>
    <col min="85" max="85" width="18" style="54" bestFit="1" customWidth="1"/>
    <col min="86" max="86" width="42.125" style="54" customWidth="1"/>
    <col min="92" max="92" width="17.125" style="54" bestFit="1" customWidth="1"/>
    <col min="93" max="93" width="56.125" style="54" customWidth="1"/>
    <col min="95" max="95" width="9" customWidth="1"/>
    <col min="98" max="98" width="10.125" style="516" bestFit="1" customWidth="1"/>
    <col min="99" max="99" width="14.125" style="54" bestFit="1" customWidth="1"/>
    <col min="100" max="100" width="40.5" style="54" bestFit="1" customWidth="1"/>
    <col min="105" max="105" width="10.125" bestFit="1" customWidth="1"/>
    <col min="106" max="106" width="15.5" style="54" bestFit="1" customWidth="1"/>
    <col min="107" max="107" width="72.5" style="54" bestFit="1" customWidth="1"/>
    <col min="113" max="113" width="17.125" style="54" bestFit="1" customWidth="1"/>
    <col min="114" max="114" width="36.125" style="54" bestFit="1" customWidth="1"/>
    <col min="119" max="119" width="9" style="516"/>
    <col min="120" max="120" width="9" style="54" customWidth="1"/>
    <col min="121" max="121" width="33" style="54" customWidth="1"/>
    <col min="122" max="122" width="7.125" style="54" bestFit="1" customWidth="1"/>
    <col min="123" max="123" width="7.125" style="54" customWidth="1"/>
    <col min="124" max="125" width="9" style="54"/>
    <col min="126" max="126" width="14.5" style="54" customWidth="1"/>
    <col min="127" max="127" width="9" style="54"/>
    <col min="128" max="128" width="33" style="54" customWidth="1"/>
    <col min="129" max="129" width="7.125" style="54" bestFit="1" customWidth="1"/>
    <col min="130" max="130" width="7.125" style="54" customWidth="1"/>
    <col min="131" max="132" width="9" style="54"/>
    <col min="133" max="133" width="14.5" style="54" customWidth="1"/>
    <col min="134" max="134" width="9" style="54"/>
    <col min="135" max="135" width="33" style="54" customWidth="1"/>
    <col min="136" max="136" width="7.125" style="54" bestFit="1" customWidth="1"/>
    <col min="137" max="137" width="7.125" style="54" customWidth="1"/>
    <col min="138" max="139" width="9" style="54"/>
    <col min="140" max="140" width="14.5" style="54" customWidth="1"/>
    <col min="141" max="16384" width="9" style="54"/>
  </cols>
  <sheetData>
    <row r="1" spans="1:140" ht="26.45" customHeight="1">
      <c r="A1" s="2213" t="s">
        <v>2308</v>
      </c>
      <c r="B1" s="2214" t="s">
        <v>2309</v>
      </c>
      <c r="C1" s="2215"/>
      <c r="D1" s="2215"/>
      <c r="E1" s="2215"/>
      <c r="F1" s="2215"/>
      <c r="G1" s="2215"/>
      <c r="H1" s="2216"/>
      <c r="I1" s="2216"/>
      <c r="J1" s="2217"/>
      <c r="K1" s="2217"/>
      <c r="L1" s="2217"/>
      <c r="M1" s="2217"/>
      <c r="N1" s="2217"/>
      <c r="O1" s="2207"/>
      <c r="P1" s="2207"/>
      <c r="Q1" s="2212"/>
      <c r="R1" s="2212"/>
      <c r="S1" s="2212"/>
      <c r="T1" s="2212"/>
      <c r="U1" s="2212"/>
      <c r="V1" s="2208"/>
      <c r="W1" s="2208"/>
      <c r="X1" s="2215"/>
      <c r="Y1" s="2215"/>
      <c r="Z1" s="2215"/>
      <c r="AA1" s="2215"/>
      <c r="AB1" s="2215"/>
      <c r="AC1" s="2206"/>
      <c r="AD1" s="2206"/>
      <c r="AE1" s="2210"/>
      <c r="AF1" s="2210"/>
      <c r="AG1" s="2210"/>
      <c r="AH1" s="2210"/>
      <c r="AI1" s="2210"/>
      <c r="AJ1" s="2207"/>
      <c r="AK1" s="2207"/>
      <c r="AL1" s="2212"/>
      <c r="AM1" s="2212"/>
      <c r="AN1" s="2212"/>
      <c r="AO1" s="2212"/>
      <c r="AP1" s="2212"/>
      <c r="AQ1" s="2208"/>
      <c r="AR1" s="2208"/>
      <c r="AS1" s="2215"/>
      <c r="AT1" s="2215"/>
      <c r="AU1" s="2215"/>
      <c r="AV1" s="2215"/>
      <c r="AW1" s="2215"/>
      <c r="AX1" s="2206"/>
      <c r="AY1" s="2206"/>
      <c r="AZ1" s="2210"/>
      <c r="BA1" s="2210"/>
      <c r="BB1" s="2210"/>
      <c r="BC1" s="2210"/>
      <c r="BD1" s="2210"/>
      <c r="BE1" s="2207"/>
      <c r="BF1" s="2207"/>
      <c r="BG1" s="2212"/>
      <c r="BH1" s="2212"/>
      <c r="BI1" s="2212"/>
      <c r="BJ1" s="2212"/>
      <c r="BK1" s="2212"/>
      <c r="BL1" s="2208"/>
      <c r="BM1" s="2208"/>
      <c r="BN1" s="2215"/>
      <c r="BO1" s="2215"/>
      <c r="BP1" s="2215"/>
      <c r="BQ1" s="2215"/>
      <c r="BR1" s="2215"/>
      <c r="BS1" s="2206"/>
      <c r="BT1" s="2206"/>
      <c r="BU1" s="2210"/>
      <c r="BV1" s="2210"/>
      <c r="BW1" s="2210"/>
      <c r="BX1" s="2210"/>
      <c r="BY1" s="2210"/>
      <c r="BZ1" s="2207"/>
      <c r="CA1" s="2207"/>
      <c r="CB1" s="2212"/>
      <c r="CC1" s="2212"/>
      <c r="CD1" s="2212"/>
      <c r="CE1" s="2212"/>
      <c r="CF1" s="2212"/>
      <c r="CG1" s="2208"/>
      <c r="CH1" s="2208"/>
      <c r="CI1" s="2215"/>
      <c r="CJ1" s="2215"/>
      <c r="CK1" s="2215"/>
      <c r="CL1" s="2215"/>
      <c r="CM1" s="2215"/>
      <c r="CN1" s="2206"/>
      <c r="CO1" s="2206"/>
      <c r="CP1" s="2210"/>
      <c r="CQ1" s="2210"/>
      <c r="CR1" s="2210"/>
      <c r="CS1" s="2210"/>
      <c r="CT1" s="2211"/>
      <c r="CU1" s="2207"/>
      <c r="CV1" s="2207"/>
      <c r="CW1" s="2212"/>
      <c r="CX1" s="2212"/>
      <c r="CY1" s="2212"/>
      <c r="CZ1" s="2212"/>
      <c r="DA1" s="2212"/>
      <c r="DB1" s="2208"/>
      <c r="DC1" s="2208"/>
      <c r="DD1" s="2215"/>
      <c r="DE1" s="2215"/>
      <c r="DF1" s="2215"/>
      <c r="DG1" s="2215"/>
      <c r="DH1" s="2215"/>
      <c r="DI1" s="2206"/>
      <c r="DJ1" s="2206"/>
      <c r="DK1" s="2210"/>
      <c r="DL1" s="2210"/>
      <c r="DM1" s="2210"/>
      <c r="DN1" s="2210"/>
      <c r="DO1" s="2211"/>
      <c r="DP1" s="2207"/>
      <c r="DQ1" s="2207"/>
      <c r="DR1" s="2207"/>
      <c r="DS1" s="2207"/>
      <c r="DT1" s="2207"/>
      <c r="DU1" s="2207"/>
      <c r="DV1" s="2207"/>
      <c r="DW1" s="2208"/>
      <c r="DX1" s="2208"/>
      <c r="DY1" s="2208"/>
      <c r="DZ1" s="2208"/>
      <c r="EA1" s="2208"/>
      <c r="EB1" s="2208"/>
      <c r="EC1" s="2208"/>
      <c r="ED1" s="2206"/>
      <c r="EE1" s="2206"/>
      <c r="EF1" s="2206"/>
      <c r="EG1" s="2206"/>
      <c r="EH1" s="2206"/>
      <c r="EI1" s="2206"/>
      <c r="EJ1" s="2206"/>
    </row>
    <row r="2" spans="1:140" s="55" customFormat="1" ht="12.75">
      <c r="A2" s="55" t="s">
        <v>9192</v>
      </c>
      <c r="B2" s="55" t="str">
        <f xml:space="preserve"> A2 &amp; "PC"</f>
        <v>AFWPC</v>
      </c>
      <c r="C2" s="55" t="str">
        <f xml:space="preserve"> A2 &amp; "Unit"</f>
        <v>AFWUnit</v>
      </c>
      <c r="D2" s="55" t="str">
        <f xml:space="preserve"> A2 &amp; "UnitDes"</f>
        <v>AFWUnitDes</v>
      </c>
      <c r="E2" s="55" t="s">
        <v>12365</v>
      </c>
      <c r="F2" s="55" t="str">
        <f xml:space="preserve"> A2 &amp; 'PC LIST'!$J$2</f>
        <v>AFWODI type</v>
      </c>
      <c r="G2" s="55" t="str">
        <f xml:space="preserve"> A2 &amp; "201819Actual"</f>
        <v>AFW201819Actual</v>
      </c>
      <c r="H2" s="55" t="s">
        <v>9050</v>
      </c>
      <c r="I2" s="55" t="str">
        <f>H2&amp;"PC"</f>
        <v>ANHPC</v>
      </c>
      <c r="J2" s="55" t="str">
        <f xml:space="preserve"> H2 &amp; "Unit"</f>
        <v>ANHUnit</v>
      </c>
      <c r="K2" s="55" t="str">
        <f xml:space="preserve"> H2 &amp; "UnitDes"</f>
        <v>ANHUnitDes</v>
      </c>
      <c r="L2" s="55" t="s">
        <v>12366</v>
      </c>
      <c r="M2" s="55" t="str">
        <f xml:space="preserve"> H2 &amp; 'PC LIST'!$J$2</f>
        <v>ANHODI type</v>
      </c>
      <c r="N2" s="55" t="str">
        <f xml:space="preserve"> H2 &amp; "201819Actual"</f>
        <v>ANH201819Actual</v>
      </c>
      <c r="O2" s="55" t="s">
        <v>9536</v>
      </c>
      <c r="P2" s="55" t="str">
        <f>O2&amp;"PC"</f>
        <v>BRLPC</v>
      </c>
      <c r="Q2" s="55" t="str">
        <f xml:space="preserve"> O2 &amp; "Unit"</f>
        <v>BRLUnit</v>
      </c>
      <c r="R2" s="55" t="str">
        <f xml:space="preserve"> O2 &amp; "UnitDes"</f>
        <v>BRLUnitDes</v>
      </c>
      <c r="S2" s="55" t="s">
        <v>12367</v>
      </c>
      <c r="T2" s="55" t="str">
        <f xml:space="preserve"> O2 &amp; 'PC LIST'!$J$2</f>
        <v>BRLODI type</v>
      </c>
      <c r="U2" s="55" t="str">
        <f xml:space="preserve"> O2 &amp; "201819Actual"</f>
        <v>BRL201819Actual</v>
      </c>
      <c r="V2" s="55" t="s">
        <v>9668</v>
      </c>
      <c r="W2" s="55" t="str">
        <f>V2&amp;"PC"</f>
        <v>DVWPC</v>
      </c>
      <c r="X2" s="55" t="str">
        <f xml:space="preserve"> V2 &amp; "Unit"</f>
        <v>DVWUnit</v>
      </c>
      <c r="Y2" s="55" t="str">
        <f xml:space="preserve"> V2 &amp; "UnitDes"</f>
        <v>DVWUnitDes</v>
      </c>
      <c r="Z2" s="55" t="s">
        <v>12368</v>
      </c>
      <c r="AA2" s="55" t="str">
        <f xml:space="preserve"> V2 &amp; 'PC LIST'!$J$2</f>
        <v>DVWODI type</v>
      </c>
      <c r="AB2" s="55" t="str">
        <f xml:space="preserve"> V2 &amp; "201819Actual"</f>
        <v>DVW201819Actual</v>
      </c>
      <c r="AC2" s="55" t="s">
        <v>9057</v>
      </c>
      <c r="AD2" s="55" t="str">
        <f>AC2&amp;"PC"</f>
        <v>NESPC</v>
      </c>
      <c r="AE2" s="55" t="str">
        <f xml:space="preserve"> AC2 &amp; "Unit"</f>
        <v>NESUnit</v>
      </c>
      <c r="AF2" s="55" t="str">
        <f xml:space="preserve"> AC2 &amp; "UnitDes"</f>
        <v>NESUnitDes</v>
      </c>
      <c r="AG2" s="55" t="s">
        <v>12369</v>
      </c>
      <c r="AH2" s="55" t="str">
        <f xml:space="preserve"> AC2 &amp; 'PC LIST'!$J$2</f>
        <v>NESODI type</v>
      </c>
      <c r="AI2" s="55" t="str">
        <f xml:space="preserve"> AC2 &amp; "201819Actual"</f>
        <v>NES201819Actual</v>
      </c>
      <c r="AJ2" s="55" t="s">
        <v>10063</v>
      </c>
      <c r="AK2" s="55" t="str">
        <f>AJ2&amp;"PC"</f>
        <v>PRTPC</v>
      </c>
      <c r="AL2" s="55" t="str">
        <f xml:space="preserve"> AJ2 &amp; "Unit"</f>
        <v>PRTUnit</v>
      </c>
      <c r="AM2" s="55" t="str">
        <f xml:space="preserve"> AJ2 &amp; "UnitDes"</f>
        <v>PRTUnitDes</v>
      </c>
      <c r="AN2" s="55" t="s">
        <v>12370</v>
      </c>
      <c r="AO2" s="55" t="str">
        <f xml:space="preserve"> AJ2 &amp; 'PC LIST'!$J$2</f>
        <v>PRTODI type</v>
      </c>
      <c r="AP2" s="55" t="str">
        <f xml:space="preserve"> AJ2 &amp; "201819Actual"</f>
        <v>PRT201819Actual</v>
      </c>
      <c r="AQ2" s="55" t="s">
        <v>10143</v>
      </c>
      <c r="AR2" s="55" t="str">
        <f>AQ2&amp;"PC"</f>
        <v>SBWPC</v>
      </c>
      <c r="AS2" s="55" t="str">
        <f xml:space="preserve"> AQ2 &amp; "Unit"</f>
        <v>SBWUnit</v>
      </c>
      <c r="AT2" s="55" t="str">
        <f xml:space="preserve"> AQ2 &amp; "UnitDes"</f>
        <v>SBWUnitDes</v>
      </c>
      <c r="AU2" s="55" t="s">
        <v>12371</v>
      </c>
      <c r="AV2" s="55" t="str">
        <f xml:space="preserve"> AQ2 &amp; 'PC LIST'!$J$2</f>
        <v>SBWODI type</v>
      </c>
      <c r="AW2" s="55" t="str">
        <f xml:space="preserve"> AQ2 &amp; "201819Actual"</f>
        <v>SBW201819Actual</v>
      </c>
      <c r="AX2" s="55" t="s">
        <v>10226</v>
      </c>
      <c r="AY2" s="55" t="str">
        <f>AX2&amp;"PC"</f>
        <v>SESPC</v>
      </c>
      <c r="AZ2" s="55" t="str">
        <f xml:space="preserve"> AX2 &amp; "Unit"</f>
        <v>SESUnit</v>
      </c>
      <c r="BA2" s="55" t="str">
        <f xml:space="preserve"> AX2 &amp; "UnitDes"</f>
        <v>SESUnitDes</v>
      </c>
      <c r="BB2" s="55" t="s">
        <v>12372</v>
      </c>
      <c r="BC2" s="55" t="str">
        <f xml:space="preserve"> AX2 &amp; 'PC LIST'!$J$2</f>
        <v>SESODI type</v>
      </c>
      <c r="BD2" s="55" t="str">
        <f xml:space="preserve"> AX2 &amp; "201819Actual"</f>
        <v>SES201819Actual</v>
      </c>
      <c r="BE2" s="55" t="s">
        <v>10333</v>
      </c>
      <c r="BF2" s="55" t="str">
        <f>BE2&amp;"PC"</f>
        <v>SEWPC</v>
      </c>
      <c r="BG2" s="55" t="str">
        <f xml:space="preserve"> BE2 &amp; "Unit"</f>
        <v>SEWUnit</v>
      </c>
      <c r="BH2" s="55" t="str">
        <f xml:space="preserve"> BE2 &amp; "UnitDes"</f>
        <v>SEWUnitDes</v>
      </c>
      <c r="BI2" s="55" t="s">
        <v>12373</v>
      </c>
      <c r="BJ2" s="55" t="str">
        <f xml:space="preserve"> BE2 &amp; 'PC LIST'!$J$2</f>
        <v>SEWODI type</v>
      </c>
      <c r="BK2" s="55" t="str">
        <f xml:space="preserve"> BE2 &amp; "201819Actual"</f>
        <v>SEW201819Actual</v>
      </c>
      <c r="BL2" s="55" t="s">
        <v>9070</v>
      </c>
      <c r="BM2" s="55" t="str">
        <f>BL2&amp;"PC"</f>
        <v>SRNPC</v>
      </c>
      <c r="BN2" s="55" t="str">
        <f xml:space="preserve"> BL2 &amp; "Unit"</f>
        <v>SRNUnit</v>
      </c>
      <c r="BO2" s="55" t="str">
        <f xml:space="preserve"> BL2 &amp; "UnitDes"</f>
        <v>SRNUnitDes</v>
      </c>
      <c r="BP2" s="55" t="s">
        <v>12374</v>
      </c>
      <c r="BQ2" s="55" t="str">
        <f xml:space="preserve"> BL2 &amp; 'PC LIST'!$J$2</f>
        <v>SRNODI type</v>
      </c>
      <c r="BR2" s="55" t="str">
        <f xml:space="preserve"> BL2 &amp; "201819Actual"</f>
        <v>SRN201819Actual</v>
      </c>
      <c r="BS2" s="55" t="s">
        <v>10648</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"201819Actual"</f>
        <v>SSC201819Actual</v>
      </c>
      <c r="BZ2" s="55" t="s">
        <v>9060</v>
      </c>
      <c r="CA2" s="55" t="str">
        <f>BZ2&amp;"PC"</f>
        <v>SVTPC</v>
      </c>
      <c r="CB2" s="55" t="str">
        <f xml:space="preserve"> BZ2 &amp; "Unit"</f>
        <v>SVTUnit</v>
      </c>
      <c r="CC2" s="55" t="str">
        <f xml:space="preserve"> BZ2 &amp; "UnitDes"</f>
        <v>SVTUnitDes</v>
      </c>
      <c r="CD2" s="55" t="s">
        <v>12375</v>
      </c>
      <c r="CE2" s="55" t="str">
        <f xml:space="preserve"> BZ2 &amp; 'PC LIST'!$J$2</f>
        <v>SVTODI type</v>
      </c>
      <c r="CF2" s="55" t="str">
        <f xml:space="preserve"> BZ2 &amp; "201819Actual"</f>
        <v>SVT201819Actual</v>
      </c>
      <c r="CG2" s="55" t="s">
        <v>9066</v>
      </c>
      <c r="CH2" s="55" t="str">
        <f>CG2&amp;"PC"</f>
        <v>SWTPC</v>
      </c>
      <c r="CI2" s="55" t="str">
        <f xml:space="preserve"> CG2 &amp; "Unit"</f>
        <v>SWTUnit</v>
      </c>
      <c r="CJ2" s="55" t="str">
        <f xml:space="preserve"> CG2 &amp; "UnitDes"</f>
        <v>SWTUnitDes</v>
      </c>
      <c r="CK2" s="55" t="s">
        <v>12376</v>
      </c>
      <c r="CL2" s="55" t="str">
        <f xml:space="preserve"> CG2 &amp; 'PC LIST'!$J$2</f>
        <v>SWTODI type</v>
      </c>
      <c r="CM2" s="55" t="str">
        <f xml:space="preserve"> CG2 &amp; "201819Actual"</f>
        <v>SWT201819Actual</v>
      </c>
      <c r="CN2" s="55" t="s">
        <v>9073</v>
      </c>
      <c r="CO2" s="55" t="str">
        <f>CN2&amp;"PC"</f>
        <v>TMSPC</v>
      </c>
      <c r="CP2" s="55" t="str">
        <f xml:space="preserve"> CN2 &amp; "Unit"</f>
        <v>TMSUnit</v>
      </c>
      <c r="CQ2" s="55" t="str">
        <f xml:space="preserve"> CN2 &amp; "UnitDes"</f>
        <v>TMSUnitDes</v>
      </c>
      <c r="CR2" s="55" t="s">
        <v>12377</v>
      </c>
      <c r="CS2" s="55" t="str">
        <f xml:space="preserve"> CN2 &amp; 'PC LIST'!$J$2</f>
        <v>TMSODI type</v>
      </c>
      <c r="CT2" s="709" t="str">
        <f xml:space="preserve"> CN2 &amp; "201819Actual"</f>
        <v>TMS201819Actual</v>
      </c>
      <c r="CU2" s="55" t="s">
        <v>9077</v>
      </c>
      <c r="CV2" s="55" t="str">
        <f>CU2&amp;"PC"</f>
        <v>NWTPC</v>
      </c>
      <c r="CW2" s="55" t="str">
        <f xml:space="preserve"> CU2 &amp; "Unit"</f>
        <v>NWTUnit</v>
      </c>
      <c r="CX2" s="55" t="str">
        <f xml:space="preserve"> CU2 &amp; "UnitDes"</f>
        <v>NWTUnitDes</v>
      </c>
      <c r="CY2" s="55" t="s">
        <v>12378</v>
      </c>
      <c r="CZ2" s="55" t="str">
        <f xml:space="preserve"> CU2 &amp; 'PC LIST'!$J$2</f>
        <v>NWTODI type</v>
      </c>
      <c r="DA2" s="55" t="str">
        <f xml:space="preserve"> CU2 &amp; "201819Actual"</f>
        <v>NWT201819Actual</v>
      </c>
      <c r="DB2" s="55" t="s">
        <v>9054</v>
      </c>
      <c r="DC2" s="55" t="str">
        <f>DB2&amp;"PC"</f>
        <v>WSHPC</v>
      </c>
      <c r="DD2" s="55" t="str">
        <f xml:space="preserve"> DB2 &amp; "Unit"</f>
        <v>WSHUnit</v>
      </c>
      <c r="DE2" s="55" t="str">
        <f xml:space="preserve"> DB2 &amp; "UnitDes"</f>
        <v>WSHUnitDes</v>
      </c>
      <c r="DF2" s="55" t="s">
        <v>12379</v>
      </c>
      <c r="DG2" s="55" t="str">
        <f xml:space="preserve"> DB2 &amp; 'PC LIST'!$J$2</f>
        <v>WSHODI type</v>
      </c>
      <c r="DH2" s="55" t="str">
        <f xml:space="preserve"> DB2 &amp; "201819Actual"</f>
        <v>WSH201819Actual</v>
      </c>
      <c r="DI2" s="55" t="s">
        <v>9080</v>
      </c>
      <c r="DJ2" s="55" t="s">
        <v>12380</v>
      </c>
      <c r="DK2" s="55" t="str">
        <f xml:space="preserve"> DI2 &amp; "Unit"</f>
        <v>WSXUnit</v>
      </c>
      <c r="DL2" s="55" t="str">
        <f xml:space="preserve"> DI2 &amp; "UnitDes"</f>
        <v>WSXUnitDes</v>
      </c>
      <c r="DM2" s="55" t="s">
        <v>12381</v>
      </c>
      <c r="DN2" s="55" t="str">
        <f xml:space="preserve"> DI2 &amp; 'PC LIST'!$J$2</f>
        <v>WSXODI type</v>
      </c>
      <c r="DO2" s="709" t="str">
        <f xml:space="preserve"> DI2 &amp; "201819Actual"</f>
        <v>WSX201819Actual</v>
      </c>
      <c r="DP2" s="55" t="s">
        <v>9082</v>
      </c>
      <c r="DQ2" s="55" t="str">
        <f>DP2&amp;"PC"</f>
        <v>YKYPC</v>
      </c>
      <c r="DR2" s="55" t="str">
        <f xml:space="preserve"> DP2 &amp; "Unit"</f>
        <v>YKYUnit</v>
      </c>
      <c r="DS2" s="55" t="str">
        <f xml:space="preserve"> DP2 &amp; "UnitDes"</f>
        <v>YKYUnitDes</v>
      </c>
      <c r="DT2" s="55" t="s">
        <v>12382</v>
      </c>
      <c r="DU2" s="55" t="str">
        <f xml:space="preserve"> DP2 &amp; 'PC LIST'!$J$2</f>
        <v>YKYODI type</v>
      </c>
      <c r="DV2" s="55" t="str">
        <f xml:space="preserve"> DP2 &amp; "201819Actual"</f>
        <v>YKY201819Actual</v>
      </c>
      <c r="DW2" s="55" t="s">
        <v>9112</v>
      </c>
      <c r="DX2" s="55" t="str">
        <f>DW2&amp;"PC"</f>
        <v>HDDPC</v>
      </c>
      <c r="DY2" s="55" t="str">
        <f xml:space="preserve"> DW2 &amp; "Unit"</f>
        <v>HDDUnit</v>
      </c>
      <c r="DZ2" s="55" t="str">
        <f xml:space="preserve"> DW2 &amp; "UnitDes"</f>
        <v>HDDUnitDes</v>
      </c>
      <c r="EA2" s="55" t="s">
        <v>12383</v>
      </c>
      <c r="EB2" s="55" t="str">
        <f xml:space="preserve"> DW2 &amp; 'PC LIST'!$J$2</f>
        <v>HDDODI type</v>
      </c>
      <c r="EC2" s="55" t="str">
        <f xml:space="preserve"> DW2 &amp; "201819Actual"</f>
        <v>HDD201819Actual</v>
      </c>
      <c r="ED2" s="55" t="s">
        <v>9115</v>
      </c>
      <c r="EE2" s="55" t="str">
        <f>ED2&amp;"PC"</f>
        <v>SVEPC</v>
      </c>
      <c r="EF2" s="55" t="str">
        <f xml:space="preserve"> ED2 &amp; "Unit"</f>
        <v>SVEUnit</v>
      </c>
      <c r="EG2" s="55" t="str">
        <f xml:space="preserve"> ED2 &amp; "UnitDes"</f>
        <v>SVEUnitDes</v>
      </c>
      <c r="EH2" s="55" t="s">
        <v>12384</v>
      </c>
      <c r="EI2" s="55" t="str">
        <f xml:space="preserve"> ED2 &amp; 'PC LIST'!$J$2</f>
        <v>SVEODI type</v>
      </c>
      <c r="EJ2" s="55" t="str">
        <f xml:space="preserve"> ED2 &amp; "201819Actual"</f>
        <v>SVE201819Actual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LIST'!CI3</f>
        <v>196.1</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07">
        <f>'PC LIST'!CI16</f>
        <v>8.73</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07">
        <f>'PC LIST'!CI55</f>
        <v>14.67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07" t="str">
        <f>'PC LIST'!CI76</f>
        <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LIST'!CI89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08">
        <f>'PC LIST'!CI133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07">
        <f>'PC LIST'!CI146</f>
        <v>0.71</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08">
        <f>'PC LIST'!CI161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LIST'!CI182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LIST'!CI216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LIST'!CI249</f>
        <v>99.915000000000006</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08" t="str">
        <f>'PC LIST'!CI264</f>
        <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07">
        <f>'PC LIST'!CI309</f>
        <v>99.99</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LIST'!CI351</f>
        <v>87.782413076603007</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LIST'!CI406</f>
        <v>4.8</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07">
        <f>'PC LIST'!CI433</f>
        <v>99.97</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LIST'!CI464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LIST'!CI496</f>
        <v>99.962000000000003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f>'PC LIST'!CI530</f>
        <v>1.02</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f>'PC LIST'!CI576</f>
        <v>11856</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LIST'!CI4</f>
        <v>149.19999999999999</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07">
        <f>'PC LIST'!CI17</f>
        <v>287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07" t="str">
        <f>'PC LIST'!CI56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07" t="str">
        <f>'PC LIST'!CI77</f>
        <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LIST'!CI90</f>
        <v>1060</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08">
        <f>'PC LIST'!CI134</f>
        <v>99.96</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07">
        <f>'PC LIST'!CI147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08">
        <f>'PC LIST'!CI162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LIST'!CI183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LIST'!CI217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LIST'!CI250</f>
        <v>1.51</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08" t="str">
        <f>'PC LIST'!CI265</f>
        <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07">
        <f>'PC LIST'!CI310</f>
        <v>2.13</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LIST'!CI352</f>
        <v>18.6056988747921</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LIST'!CI407</f>
        <v>6</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07">
        <f>'PC LIST'!CI434</f>
        <v>3.28</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LIST'!CI465</f>
        <v>6.7000000000000004E-2</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LIST'!CI497</f>
        <v>5</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f>'PC LIST'!CI531</f>
        <v>99.94</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f>'PC LIST'!CI577</f>
        <v>99.94</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LIST'!CI5</f>
        <v>1105.3</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07">
        <f>'PC LIST'!CI18</f>
        <v>1.18</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07" t="str">
        <f>'PC LIST'!CI57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07" t="str">
        <f>'PC LIST'!CI78</f>
        <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LIST'!CI91</f>
        <v>99.941000000000003</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08">
        <f>'PC LIST'!CI135</f>
        <v>0.437</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07">
        <f>'PC LIST'!CI148</f>
        <v>18.279320362470102</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08">
        <f>'PC LIST'!CI163</f>
        <v>0.27</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LIST'!CI184</f>
        <v>3.6</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LIST'!CI218</f>
        <v>101.8</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LIST'!CI251</f>
        <v>7.15</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08" t="str">
        <f>'PC LIST'!CI266</f>
        <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07" t="str">
        <f>'PC LIST'!CI311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LIST'!CI353</f>
        <v>4.3935037719999999</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LIST'!CI408</f>
        <v>101.182</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07">
        <f>'PC LIST'!CI435</f>
        <v>16</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LIST'!CI466</f>
        <v>96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LIST'!CI498</f>
        <v>7964</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LIST'!CI532</f>
        <v>NA</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f>'PC LIST'!CI578</f>
        <v>13</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LIST'!CI6</f>
        <v>-42.1</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07">
        <f>'PC LIST'!CI19</f>
        <v>1</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07">
        <f>'PC LIST'!CI58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07" t="str">
        <f>'PC LIST'!CI79</f>
        <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LIST'!CI92</f>
        <v>2667</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08">
        <f>'PC LIST'!CI136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07">
        <f>'PC LIST'!CI149</f>
        <v>4.3019999999999996</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08">
        <f>'PC LIST'!CI164</f>
        <v>255</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LIST'!CI185</f>
        <v>86.884250225089886</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LIST'!CI219</f>
        <v>7</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LIST'!CI252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08" t="str">
        <f>'PC LIST'!CI267</f>
        <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07" t="str">
        <f>'PC LIST'!CI312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LIST'!CI354</f>
        <v>28.25</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2963" t="s">
        <v>12385</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07">
        <f>'PC LIST'!CI436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LIST'!CI467</f>
        <v>111</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LIST'!CI499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LIST'!CI533</f>
        <v>Milestone</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f>'PC LIST'!CI579</f>
        <v>26</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LIST'!CI7</f>
        <v>-4.1500000000000004</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07">
        <f>'PC LIST'!CI20</f>
        <v>44.9</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07">
        <f>'PC LIST'!CI59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07" t="str">
        <f>'PC LIST'!CI80</f>
        <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2963" t="s">
        <v>12386</v>
      </c>
      <c r="AJ7" s="56" t="str">
        <f>'PC LIST'!B137</f>
        <v>PR14PRTWSW_B1</v>
      </c>
      <c r="AK7" s="57" t="str">
        <f>'PC LIST'!I137</f>
        <v>B1: Leakage</v>
      </c>
      <c r="AL7" s="57" t="str">
        <f>'PC LIST'!O137</f>
        <v>nr</v>
      </c>
      <c r="AM7" s="57" t="str">
        <f>'PC LIST'!P137</f>
        <v>Megalitres per day (Ml/d)</v>
      </c>
      <c r="AN7" s="56">
        <f>'PC LIST'!Q137</f>
        <v>2</v>
      </c>
      <c r="AO7" s="56" t="str">
        <f>'PC LIST'!J137</f>
        <v>Out &amp; under</v>
      </c>
      <c r="AP7" s="708">
        <f>'PC LIST'!CI137</f>
        <v>28.12</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07">
        <f>'PC LIST'!CI150</f>
        <v>0.66</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08">
        <f>'PC LIST'!CI165</f>
        <v>99.97</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LIST'!CI186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LIST'!CI220</f>
        <v>99.98</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LIST'!CI253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08" t="str">
        <f>'PC LIST'!CI268</f>
        <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07">
        <f>'PC LIST'!CI313</f>
        <v>0.161</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LIST'!CI355</f>
        <v>7957</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LIST'!CI410</f>
        <v>98.456999999999994</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07">
        <f>'PC LIST'!CI437</f>
        <v>32.590000000000003</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LIST'!CI468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LIST'!CI500</f>
        <v>289.8</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f>'PC LIST'!CI534</f>
        <v>0.11799999999999999</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f>'PC LIST'!CI580</f>
        <v>225</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LIST'!CI8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07">
        <f>'PC LIST'!CI21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07">
        <f>'PC LIST'!CI60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07" t="str">
        <f>'PC LIST'!CI81</f>
        <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LIST'!CI94</f>
        <v>195</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08" t="str">
        <f>'PC LIST'!CI138</f>
        <v>3 mins 54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07" t="str">
        <f>'PC LIST'!CI151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08">
        <f>'PC LIST'!CI166</f>
        <v>388</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LIST'!CI187</f>
        <v>85.4</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LIST'!CI221</f>
        <v>0.68</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LIST'!CI254</f>
        <v>70.5</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08" t="str">
        <f>'PC LIST'!CI269</f>
        <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07">
        <f>'PC LIST'!CI314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LIST'!CI356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LIST'!CI411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07">
        <f>'PC LIST'!CI438</f>
        <v>86.88</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LIST'!CI469</f>
        <v>5.85</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LIST'!CI501</f>
        <v>10.46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f>'PC LIST'!CI535</f>
        <v>107.79897272165408</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f>'PC LIST'!CI581</f>
        <v>419.5</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LIST'!CI9</f>
        <v>0.23</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07">
        <f>'PC LIST'!CI22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07">
        <f>'PC LIST'!CI61</f>
        <v>99.99</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07" t="str">
        <f>'PC LIST'!CI82</f>
        <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LIST'!CI95</f>
        <v>4113</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08">
        <f>'PC LIST'!CI139</f>
        <v>80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07">
        <f>'PC LIST'!CI152</f>
        <v>7872</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08" t="str">
        <f>'PC LIST'!CI167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LIST'!CI188</f>
        <v>73</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LIST'!CI222</f>
        <v>209</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LIST'!CI255</f>
        <v>13.2</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08" t="str">
        <f>'PC LIST'!CI270</f>
        <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07" t="str">
        <f>'PC LIST'!CI315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LIST'!CI357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LIST'!CI412</f>
        <v>6.7</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07">
        <f>'PC LIST'!CI439</f>
        <v>641</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LIST'!CI470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LIST'!CI502</f>
        <v>133.5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f>'PC LIST'!CI536</f>
        <v>100</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f>'PC LIST'!CI582</f>
        <v>32</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LIST'!CI10</f>
        <v>309</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07">
        <f>'PC LIST'!CI23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07">
        <f>'PC LIST'!CI62</f>
        <v>1934</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07" t="str">
        <f>'PC LIST'!CI83</f>
        <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LIST'!CI96</f>
        <v>136.26</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08" t="str">
        <f>'PC LIST'!CI140</f>
        <v>n/a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07">
        <f>'PC LIST'!CI153</f>
        <v>151.33000000000001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08">
        <f>'PC LIST'!CI168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LIST'!CI189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LIST'!CI223</f>
        <v>558.75</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LIST'!CI256</f>
        <v>136.41</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08" t="str">
        <f>'PC LIST'!CI271</f>
        <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07">
        <f>'PC LIST'!CI316</f>
        <v>84.49</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LIST'!CI358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LIST'!CI413</f>
        <v>165.721</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07">
        <f>'PC LIST'!CI440</f>
        <v>85</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LIST'!CI471</f>
        <v>1939</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LIST'!CI503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f>'PC LIST'!CI537</f>
        <v>185</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f>'PC LIST'!CI583</f>
        <v>19.059999999999999</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LIST'!CI11</f>
        <v>2530</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07">
        <f>'PC LIST'!CI24</f>
        <v>-11</v>
      </c>
      <c r="O11" s="56" t="str">
        <f>'PC LIST'!B63</f>
        <v>PR14BRLWSW_F1</v>
      </c>
      <c r="P11" s="57" t="str">
        <f>'PC LIST'!I63</f>
        <v>F1: Leakage</v>
      </c>
      <c r="Q11" s="57" t="str">
        <f>'PC LIST'!O63</f>
        <v>nr</v>
      </c>
      <c r="R11" s="57" t="str">
        <f>'PC LIST'!P63</f>
        <v>Megalitres per day (Ml/d)</v>
      </c>
      <c r="S11" s="56">
        <f>'PC LIST'!Q63</f>
        <v>1</v>
      </c>
      <c r="T11" s="56" t="str">
        <f>'PC LIST'!J63</f>
        <v>Out &amp; under</v>
      </c>
      <c r="U11" s="707">
        <f>'PC LIST'!CI63</f>
        <v>45.83</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07" t="str">
        <f>'PC LIST'!CI84</f>
        <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LIST'!CI97</f>
        <v>64.180000000000007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08" t="str">
        <f>'PC LIST'!CI141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07">
        <f>'PC LIST'!CI154</f>
        <v>74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08">
        <f>'PC LIST'!CI169</f>
        <v>56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LIST'!CI190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LIST'!CI224</f>
        <v>129.9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LIST'!CI257</f>
        <v>138</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08" t="str">
        <f>'PC LIST'!CI272</f>
        <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07">
        <f>'PC LIST'!CI317</f>
        <v>2.89</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LIST'!CI359</f>
        <v>7</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LIST'!CI414</f>
        <v>56.68</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07">
        <f>'PC LIST'!CI441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LIST'!CI472</f>
        <v>66.400000000000006</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f>'PC LIST'!CI504</f>
        <v>40</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f>'PC LIST'!CI538</f>
        <v>4986.6100000000006</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f>'PC LIST'!CI584</f>
        <v>78.100000000000009</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LIST'!CI12</f>
        <v>68</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07">
        <f>'PC LIST'!CI25</f>
        <v>186</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07">
        <f>'PC LIST'!CI64</f>
        <v>56</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07" t="str">
        <f>'PC LIST'!CI85</f>
        <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LIST'!CI98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08" t="str">
        <f>'PC LIST'!CI142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07">
        <f>'PC LIST'!CI155</f>
        <v>617.73384965962032</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08">
        <f>'PC LIST'!CI170</f>
        <v>24.1</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LIST'!CI191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LIST'!CI225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LIST'!CI258</f>
        <v>635</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08" t="str">
        <f>'PC LIST'!CI273</f>
        <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07">
        <f>'PC LIST'!CI318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LIST'!CI360</f>
        <v>0.26</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LIST'!CI415</f>
        <v>50.5</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07" t="str">
        <f>'PC LIST'!CI442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LIST'!CI473</f>
        <v>80</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LIST'!CI505</f>
        <v>11</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f>'PC LIST'!CI539</f>
        <v>70</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f>'PC LIST'!CI585</f>
        <v>6453</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LIST'!CI13</f>
        <v>477</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07">
        <f>'PC LIST'!CI26</f>
        <v>99</v>
      </c>
      <c r="O13" s="56" t="str">
        <f>'PC LIST'!B65</f>
        <v>PR14BRLWSW_H1</v>
      </c>
      <c r="P13" s="57" t="str">
        <f>'PC LIST'!I65</f>
        <v>H1: Total carbon emissions</v>
      </c>
      <c r="Q13" s="57" t="str">
        <f>'PC LIST'!O65</f>
        <v>nr</v>
      </c>
      <c r="R13" s="57" t="str">
        <f>'PC LIST'!P65</f>
        <v>kgCO2e per person</v>
      </c>
      <c r="S13" s="56">
        <f>'PC LIST'!Q65</f>
        <v>0</v>
      </c>
      <c r="T13" s="56" t="str">
        <f>'PC LIST'!J65</f>
        <v>NFI</v>
      </c>
      <c r="U13" s="707">
        <f>'PC LIST'!CI65</f>
        <v>22.81</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07" t="str">
        <f>'PC LIST'!CI86</f>
        <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LIST'!CI99</f>
        <v>85.9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08">
        <f>'PC LIST'!CI143</f>
        <v>89.1</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07" t="str">
        <f>'PC LIST'!CI156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08">
        <f>'PC LIST'!CI171</f>
        <v>162.62</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LIST'!CI192</f>
        <v>14.2</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LIST'!CI226</f>
        <v>144</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LIST'!CI259</f>
        <v>95</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08" t="str">
        <f>'PC LIST'!CI274</f>
        <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07">
        <f>'PC LIST'!CI319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LIST'!CI361</f>
        <v>98</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LIST'!CI416</f>
        <v>89.03</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07">
        <f>'PC LIST'!CI443</f>
        <v>170</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LIST'!CI474</f>
        <v>2010</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LIST'!CI506</f>
        <v>11524</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f>'PC LIST'!CI540</f>
        <v>83.86</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f>'PC LIST'!CI586</f>
        <v>158</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LIST'!CI14</f>
        <v>81.2</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07">
        <f>'PC LIST'!CI27</f>
        <v>5</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07">
        <f>'PC LIST'!CI66</f>
        <v>-14</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07" t="str">
        <f>'PC LIST'!CI87</f>
        <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LIST'!CI100</f>
        <v>43</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08">
        <f>'PC LIST'!CI144</f>
        <v>152.38999999999999</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07">
        <f>'PC LIST'!CI157</f>
        <v>44</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08">
        <f>'PC LIST'!CI172</f>
        <v>11798</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LIST'!CI193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LIST'!CI227</f>
        <v>389</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LIST'!CI260</f>
        <v>30838</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08" t="str">
        <f>'PC LIST'!CI275</f>
        <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07">
        <f>'PC LIST'!CI320</f>
        <v>95.4</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LIST'!CI362</f>
        <v>42</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LIST'!CI417</f>
        <v>32069</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07">
        <f>'PC LIST'!CI444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LIST'!CI475</f>
        <v>99.96</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LIST'!CI507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f>'PC LIST'!CI541</f>
        <v>140.40690574617878</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f>'PC LIST'!CI587</f>
        <v>0</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LIST'!CI15</f>
        <v>68.3</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07">
        <f>'PC LIST'!CI28</f>
        <v>29</v>
      </c>
      <c r="O15" s="56" t="str">
        <f>'PC LIST'!B67</f>
        <v>PR14BRLWSW_H3</v>
      </c>
      <c r="P15" s="57" t="str">
        <f>'PC LIST'!I67</f>
        <v>H3: Biodiversity index</v>
      </c>
      <c r="Q15" s="57" t="str">
        <f>'PC LIST'!O67</f>
        <v>score</v>
      </c>
      <c r="R15" s="57" t="str">
        <f>'PC LIST'!P67</f>
        <v>Biodiversity index</v>
      </c>
      <c r="S15" s="56">
        <f>'PC LIST'!Q67</f>
        <v>0</v>
      </c>
      <c r="T15" s="56" t="str">
        <f>'PC LIST'!J67</f>
        <v>NFI</v>
      </c>
      <c r="U15" s="707">
        <f>'PC LIST'!CI67</f>
        <v>17668</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07" t="str">
        <f>'PC LIST'!CI88</f>
        <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LIST'!CI101</f>
        <v>93</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08">
        <f>'PC LIST'!CI145</f>
        <v>95</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07">
        <f>'PC LIST'!CI158</f>
        <v>87.57</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08">
        <f>'PC LIST'!CI173</f>
        <v>91</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LIST'!CI194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LIST'!CI228</f>
        <v>8255</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LIST'!CI261</f>
        <v>86.4</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08" t="str">
        <f>'PC LIST'!CI276</f>
        <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07">
        <f>'PC LIST'!CI321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LIST'!CI363</f>
        <v>747</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LIST'!CI418</f>
        <v>89.27</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07">
        <f>'PC LIST'!CI445</f>
        <v>99.6</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LIST'!CI476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LIST'!CI508</f>
        <v>11</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f>'PC LIST'!CI542</f>
        <v>78.400000000000006</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LIST'!CI588</f>
        <v>On track</v>
      </c>
    </row>
    <row r="16" spans="1:140" ht="15.75" customHeight="1">
      <c r="B16" s="56"/>
      <c r="C16" s="2004"/>
      <c r="D16" s="2004"/>
      <c r="E16" s="2004"/>
      <c r="F16" s="2004"/>
      <c r="G16" s="2004"/>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07">
        <f>'PC LIST'!CI29</f>
        <v>58</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07">
        <f>'PC LIST'!CI68</f>
        <v>97.93</v>
      </c>
      <c r="V16" s="56"/>
      <c r="W16" s="57"/>
      <c r="X16" s="57"/>
      <c r="Y16" s="57"/>
      <c r="Z16" s="2004"/>
      <c r="AA16" s="2004"/>
      <c r="AB16" s="2004"/>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LIST'!CI102</f>
        <v>148</v>
      </c>
      <c r="AJ16" s="56"/>
      <c r="AK16" s="57"/>
      <c r="AL16" s="2004"/>
      <c r="AM16" s="2004"/>
      <c r="AN16" s="2004"/>
      <c r="AO16" s="2004"/>
      <c r="AP16" s="2004"/>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07">
        <f>'PC LIST'!CI159</f>
        <v>1.423</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08">
        <f>'PC LIST'!CI174</f>
        <v>0</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LIST'!CI195</f>
        <v>99.98</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LIST'!CI229</f>
        <v>0.52</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LIST'!CI262</f>
        <v>98</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08" t="str">
        <f>'PC LIST'!CI277</f>
        <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07" t="str">
        <f>'PC LIST'!CI322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LIST'!CI364</f>
        <v>45.7</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LIST'!CI419</f>
        <v>90.75</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07">
        <f>'PC LIST'!CI446</f>
        <v>118</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LIST'!CI477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LIST'!CI509</f>
        <v>100</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f>'PC LIST'!CI543</f>
        <v>67</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LIST'!CI589</f>
        <v>On track</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07">
        <f>'PC LIST'!CI30</f>
        <v>57</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07">
        <f>'PC LIST'!CI69</f>
        <v>148.30000000000001</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LIST'!CI103</f>
        <v>Our Contribution report published</v>
      </c>
      <c r="AL17" s="2004"/>
      <c r="AM17" s="2004"/>
      <c r="AN17" s="2004"/>
      <c r="AO17" s="2004"/>
      <c r="AP17" s="2004"/>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07">
        <f>'PC LIST'!CI160</f>
        <v>3.25</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08">
        <f>'PC LIST'!CI175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LIST'!CI196</f>
        <v>11</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LIST'!CI230</f>
        <v>54</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LIST'!CI263</f>
        <v>749</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08" t="str">
        <f>'PC LIST'!CI278</f>
        <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07">
        <f>'PC LIST'!CI323</f>
        <v>10192</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LIST'!CI365</f>
        <v>690</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LIST'!CI420</f>
        <v>16379</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07">
        <f>'PC LIST'!CI447</f>
        <v>15967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LIST'!CI478</f>
        <v>Good</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LIST'!CI510</f>
        <v>1692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f>'PC LIST'!CI544</f>
        <v>99.94</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LIST'!CI590</f>
        <v>On track</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07" t="str">
        <f>'PC LIST'!CI31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07">
        <f>'PC LIST'!CI70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LIST'!CI104</f>
        <v>n/a</v>
      </c>
      <c r="AL18" s="2004"/>
      <c r="AM18" s="2004"/>
      <c r="AN18" s="2004"/>
      <c r="AO18" s="2004"/>
      <c r="AP18" s="2004"/>
      <c r="AQ18" s="56"/>
      <c r="AR18" s="57"/>
      <c r="AS18" s="2004"/>
      <c r="AT18" s="2004"/>
      <c r="AU18" s="2004"/>
      <c r="AV18" s="2004"/>
      <c r="AW18" s="2004"/>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08">
        <f>'PC LIST'!CI176</f>
        <v>10401</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LIST'!CI197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LIST'!CI231</f>
        <v>99.7</v>
      </c>
      <c r="BS18" s="56"/>
      <c r="BT18" s="57"/>
      <c r="BU18" s="57"/>
      <c r="BV18" s="57"/>
      <c r="BW18" s="2004"/>
      <c r="BX18" s="2004"/>
      <c r="BY18" s="2004"/>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08" t="str">
        <f>'PC LIST'!CI279</f>
        <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07">
        <f>'PC LIST'!CI324</f>
        <v>1537</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LIST'!CI366</f>
        <v>-170.69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LIST'!CI421</f>
        <v>61.66</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07">
        <f>'PC LIST'!CI448</f>
        <v>52.43</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LIST'!CI479</f>
        <v>80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LIST'!CI511</f>
        <v>9116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f>'PC LIST'!CI545</f>
        <v>0</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LIST'!CI591</f>
        <v>On track</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07" t="str">
        <f>'PC LIST'!CI32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07">
        <f>'PC LIST'!CI71</f>
        <v>84.71</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LIST'!CI105</f>
        <v>902</v>
      </c>
      <c r="AL19" s="2004"/>
      <c r="AM19" s="2004"/>
      <c r="AN19" s="2004"/>
      <c r="AO19" s="2004"/>
      <c r="AP19" s="2004"/>
      <c r="AS19" s="2004"/>
      <c r="AT19" s="2004"/>
      <c r="AU19" s="2004"/>
      <c r="AV19" s="2004"/>
      <c r="AW19" s="2004"/>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08">
        <f>'PC LIST'!CI177</f>
        <v>1.01</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LIST'!CI198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LIST'!CI232</f>
        <v>15.8</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08" t="str">
        <f>'PC LIST'!CI280</f>
        <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07">
        <f>'PC LIST'!CI325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LIST'!CI367</f>
        <v>24897</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LIST'!CI422</f>
        <v>4.21</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07">
        <f>'PC LIST'!CI449</f>
        <v>86.88</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LIST'!CI480</f>
        <v>38</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LIST'!CI512</f>
        <v>11</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f>'PC LIST'!CI546</f>
        <v>348</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LIST'!CI592</f>
        <v>Delivered</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07">
        <f>'PC LIST'!CI33</f>
        <v>99.95</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07">
        <f>'PC LIST'!CI72</f>
        <v>89</v>
      </c>
      <c r="X20" s="2004"/>
      <c r="Y20" s="2004"/>
      <c r="Z20" s="2004"/>
      <c r="AA20" s="2004"/>
      <c r="AB20" s="2004"/>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LIST'!CI106</f>
        <v>124</v>
      </c>
      <c r="AL20" s="2004"/>
      <c r="AM20" s="2004"/>
      <c r="AN20" s="2004"/>
      <c r="AO20" s="2004"/>
      <c r="AP20" s="2004"/>
      <c r="AS20" s="2004"/>
      <c r="AT20" s="2004"/>
      <c r="AU20" s="2004"/>
      <c r="AV20" s="2004"/>
      <c r="AW20" s="2004"/>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08">
        <f>'PC LIST'!CI178</f>
        <v>7.8</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LIST'!CI199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LIST'!CI233</f>
        <v>57</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08" t="str">
        <f>'PC LIST'!CI281</f>
        <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07">
        <f>'PC LIST'!CI326</f>
        <v>12</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LIST'!CI368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LIST'!CI423</f>
        <v>322.89</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07">
        <f>'PC LIST'!CI450</f>
        <v>641</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LIST'!CI481</f>
        <v>1.43</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LIST'!CI513</f>
        <v>188</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f>'PC LIST'!CI547</f>
        <v>7.89</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LIST'!CI593</f>
        <v>Delivered</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07">
        <f>'PC LIST'!CI34</f>
        <v>133</v>
      </c>
      <c r="O21" s="56" t="str">
        <f>'PC LIST'!B73</f>
        <v>PR14BRLHHR_J3</v>
      </c>
      <c r="P21" s="57" t="str">
        <f>'PC LIST'!I73</f>
        <v>J3: Value for money</v>
      </c>
      <c r="Q21" s="57" t="str">
        <f>'PC LIST'!O73</f>
        <v>%</v>
      </c>
      <c r="R21" s="57" t="str">
        <f>'PC LIST'!P73</f>
        <v>% customer satisfaction</v>
      </c>
      <c r="S21" s="56">
        <f>'PC LIST'!Q73</f>
        <v>0</v>
      </c>
      <c r="T21" s="56" t="str">
        <f>'PC LIST'!J73</f>
        <v>NFI</v>
      </c>
      <c r="U21" s="707">
        <f>'PC LIST'!CI73</f>
        <v>67.599999999999994</v>
      </c>
      <c r="X21" s="2004"/>
      <c r="Y21" s="2004"/>
      <c r="Z21" s="2004"/>
      <c r="AA21" s="2004"/>
      <c r="AB21" s="2004"/>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LIST'!CI107</f>
        <v>48</v>
      </c>
      <c r="AL21" s="2004"/>
      <c r="AM21" s="2004"/>
      <c r="AN21" s="2004"/>
      <c r="AO21" s="2004"/>
      <c r="AP21" s="2004"/>
      <c r="AS21" s="2004"/>
      <c r="AT21" s="2004"/>
      <c r="AU21" s="2004"/>
      <c r="AV21" s="2004"/>
      <c r="AW21" s="2004"/>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08">
        <f>'PC LIST'!CI179</f>
        <v>91.5</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LIST'!CI200</f>
        <v>1</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LIST'!CI234</f>
        <v>5</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08" t="str">
        <f>'PC LIST'!CI282</f>
        <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07">
        <f>'PC LIST'!CI327</f>
        <v>56.646525515988195</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LIST'!CI369</f>
        <v>520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LIST'!CI424</f>
        <v>39.166499999999999</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07">
        <f>'PC LIST'!CI451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LIST'!CI482</f>
        <v>50176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LIST'!CI514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f>'PC LIST'!CI548</f>
        <v>26</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f>'PC LIST'!CI594</f>
        <v>63</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07">
        <f>'PC LIST'!CI35</f>
        <v>2033</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07">
        <f>'PC LIST'!CI74</f>
        <v>91.4</v>
      </c>
      <c r="X22" s="2004"/>
      <c r="Y22" s="2004"/>
      <c r="Z22" s="2004"/>
      <c r="AA22" s="2004"/>
      <c r="AB22" s="2004"/>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LIST'!CI108</f>
        <v>50</v>
      </c>
      <c r="AL22" s="2004"/>
      <c r="AM22" s="2004"/>
      <c r="AN22" s="2004"/>
      <c r="AO22" s="2004"/>
      <c r="AP22" s="2004"/>
      <c r="AS22" s="2004"/>
      <c r="AT22" s="2004"/>
      <c r="AU22" s="2004"/>
      <c r="AV22" s="2004"/>
      <c r="AW22" s="2004"/>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08">
        <f>'PC LIST'!CI180</f>
        <v>80.5</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LIST'!CI201</f>
        <v>0.59</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LIST'!CI235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08" t="str">
        <f>'PC LIST'!CI283</f>
        <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07">
        <f>'PC LIST'!CI328</f>
        <v>9.476146685660094</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LIST'!CI370</f>
        <v>83.617424242424207</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LIST'!CI425</f>
        <v>178.93</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07">
        <f>'PC LIST'!CI452</f>
        <v>85</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LIST'!CI483</f>
        <v>Complete</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LIST'!CI515</f>
        <v>17</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f>'PC LIST'!CI549</f>
        <v>93.744790337089739</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f>'PC LIST'!CI595</f>
        <v>0</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07">
        <f>'PC LIST'!CI36</f>
        <v>41</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07">
        <f>'PC LIST'!CI75</f>
        <v>1595</v>
      </c>
      <c r="X23" s="2004"/>
      <c r="Y23" s="2004"/>
      <c r="Z23" s="2004"/>
      <c r="AA23" s="2004"/>
      <c r="AB23" s="2004"/>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LIST'!CI109</f>
        <v>246</v>
      </c>
      <c r="AL23" s="2004"/>
      <c r="AM23" s="2004"/>
      <c r="AN23" s="2004"/>
      <c r="AO23" s="2004"/>
      <c r="AP23" s="2004"/>
      <c r="AS23" s="2004"/>
      <c r="AT23" s="2004"/>
      <c r="AU23" s="2004"/>
      <c r="AV23" s="2004"/>
      <c r="AW23" s="2004"/>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08">
        <f>'PC LIST'!CI181</f>
        <v>8</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LIST'!CI202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LIST'!CI236</f>
        <v>7</v>
      </c>
      <c r="BU23" s="2004"/>
      <c r="BV23" s="2004"/>
      <c r="BW23" s="2004"/>
      <c r="BX23" s="2004"/>
      <c r="BY23" s="2004"/>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08" t="str">
        <f>'PC LIST'!CI284</f>
        <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07">
        <f>'PC LIST'!CI329</f>
        <v>82.763504392661929</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LIST'!CI371</f>
        <v>5.3385370588502896</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LIST'!CI426</f>
        <v>1</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07">
        <f>'PC LIST'!CI453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LIST'!CI484</f>
        <v>-</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LIST'!CI516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f>'PC LIST'!CI550</f>
        <v>27.500000000000004</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f>'PC LIST'!CI596</f>
        <v>97.69</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07">
        <f>'PC LIST'!CI37</f>
        <v>1</v>
      </c>
      <c r="O24" s="56"/>
      <c r="P24" s="57"/>
      <c r="Q24" s="57"/>
      <c r="R24" s="57"/>
      <c r="S24" s="2004"/>
      <c r="T24" s="56"/>
      <c r="U24" s="56"/>
      <c r="X24" s="2004"/>
      <c r="Y24" s="2004"/>
      <c r="Z24" s="2004"/>
      <c r="AA24" s="2004"/>
      <c r="AB24" s="2004"/>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LIST'!CI110</f>
        <v>2967</v>
      </c>
      <c r="AL24" s="2004"/>
      <c r="AM24" s="2004"/>
      <c r="AN24" s="2004"/>
      <c r="AO24" s="2004"/>
      <c r="AP24" s="2004"/>
      <c r="AS24" s="2004"/>
      <c r="AT24" s="2004"/>
      <c r="AU24" s="2004"/>
      <c r="AV24" s="2004"/>
      <c r="AW24" s="2004"/>
      <c r="AX24" s="56"/>
      <c r="AY24" s="57"/>
      <c r="AZ24" s="57"/>
      <c r="BA24" s="57"/>
      <c r="BB24" s="2004"/>
      <c r="BC24" s="2004"/>
      <c r="BD24" s="2004"/>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LIST'!CI203</f>
        <v>2</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LIST'!CI237</f>
        <v>83</v>
      </c>
      <c r="BU24" s="2004"/>
      <c r="BV24" s="2004"/>
      <c r="BW24" s="2004"/>
      <c r="BX24" s="2004"/>
      <c r="BY24" s="2004"/>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08" t="str">
        <f>'PC LIST'!CI285</f>
        <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07">
        <f>'PC LIST'!CI330</f>
        <v>93</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LIST'!CI372</f>
        <v>4.5813281010000004</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LIST'!CI427</f>
        <v>143</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07" t="str">
        <f>'PC LIST'!CI454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LIST'!CI485</f>
        <v>257</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LIST'!CI517</f>
        <v>11</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f>'PC LIST'!CI551</f>
        <v>148</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f>'PC LIST'!CI597</f>
        <v>343</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07">
        <f>'PC LIST'!CI38</f>
        <v>65.3</v>
      </c>
      <c r="Q25" s="54"/>
      <c r="R25" s="54"/>
      <c r="S25" s="54"/>
      <c r="T25" s="56"/>
      <c r="U25" s="56"/>
      <c r="X25" s="2004"/>
      <c r="Y25" s="2004"/>
      <c r="Z25" s="2004"/>
      <c r="AA25" s="2004"/>
      <c r="AB25" s="2004"/>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LIST'!CI111</f>
        <v>59</v>
      </c>
      <c r="AL25" s="2004"/>
      <c r="AM25" s="2004"/>
      <c r="AN25" s="2004"/>
      <c r="AO25" s="2004"/>
      <c r="AP25" s="2004"/>
      <c r="AS25" s="2004"/>
      <c r="AT25" s="2004"/>
      <c r="AU25" s="2004"/>
      <c r="AV25" s="2004"/>
      <c r="AW25" s="2004"/>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LIST'!CI204</f>
        <v>2826</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LIST'!CI238</f>
        <v>N/A</v>
      </c>
      <c r="BU25" s="2004"/>
      <c r="BV25" s="2004"/>
      <c r="BW25" s="2004"/>
      <c r="BX25" s="2004"/>
      <c r="BY25" s="2004"/>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08" t="str">
        <f>'PC LIST'!CI286</f>
        <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07">
        <f>'PC LIST'!CI331</f>
        <v>2938</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LIST'!CI373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LIST'!CI428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07">
        <f>'PC LIST'!CI455</f>
        <v>79</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LIST'!CI486</f>
        <v>118</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LIST'!CI518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f>'PC LIST'!CI552</f>
        <v>11</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LIST'!CI598</f>
        <v>On track</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07">
        <f>'PC LIST'!CI39</f>
        <v>99</v>
      </c>
      <c r="Q26" s="2004"/>
      <c r="R26" s="2004"/>
      <c r="S26" s="2004"/>
      <c r="T26" s="56"/>
      <c r="U26" s="56"/>
      <c r="X26" s="2004"/>
      <c r="Y26" s="2004"/>
      <c r="Z26" s="2004"/>
      <c r="AA26" s="2004"/>
      <c r="AB26" s="2004"/>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LIST'!CI112</f>
        <v>1</v>
      </c>
      <c r="AL26" s="2004"/>
      <c r="AM26" s="2004"/>
      <c r="AN26" s="2004"/>
      <c r="AO26" s="2004"/>
      <c r="AP26" s="2004"/>
      <c r="AS26" s="2004"/>
      <c r="AT26" s="2004"/>
      <c r="AU26" s="2004"/>
      <c r="AV26" s="2004"/>
      <c r="AW26" s="2004"/>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LIST'!CI205</f>
        <v>36.299999999999997</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LIST'!CI239</f>
        <v>N/A</v>
      </c>
      <c r="BU26" s="2004"/>
      <c r="BV26" s="2004"/>
      <c r="BW26" s="2004"/>
      <c r="BX26" s="2004"/>
      <c r="BY26" s="2004"/>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08" t="str">
        <f>'PC LIST'!CI287</f>
        <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07">
        <f>'PC LIST'!CI332</f>
        <v>335</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LIST'!CI374</f>
        <v>Stable</v>
      </c>
      <c r="CU26" s="56" t="str">
        <f>'PC LIST'!B429</f>
        <v>PR14UUHHR_A-1</v>
      </c>
      <c r="CV26" s="57" t="str">
        <f>'PC LIST'!I429</f>
        <v>A-1: Service incentive mechanism (SIM)</v>
      </c>
      <c r="CW26" s="57" t="str">
        <f>'PC LIST'!O429</f>
        <v>text</v>
      </c>
      <c r="CX26" s="57" t="str">
        <f>'PC LIST'!P429</f>
        <v>Service incentive mechanism (SIM) score ranking</v>
      </c>
      <c r="CY26" s="56">
        <f>'PC LIST'!Q429</f>
        <v>2</v>
      </c>
      <c r="CZ26" s="56" t="str">
        <f>'PC LIST'!J429</f>
        <v>Out &amp; under</v>
      </c>
      <c r="DA26" s="56">
        <f>'PC LIST'!CI429</f>
        <v>87.639669640685241</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07">
        <f>'PC LIST'!CI456</f>
        <v>559</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LIST'!CI487</f>
        <v>25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LIST'!CI519</f>
        <v>11524</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f>'PC LIST'!CI553</f>
        <v>0</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f>'PC LIST'!CI599</f>
        <v>219</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07">
        <f>'PC LIST'!CI40</f>
        <v>185</v>
      </c>
      <c r="Q27" s="2004"/>
      <c r="R27" s="2004"/>
      <c r="S27" s="2004"/>
      <c r="T27" s="56"/>
      <c r="U27" s="56"/>
      <c r="X27" s="2004"/>
      <c r="Y27" s="2004"/>
      <c r="Z27" s="2004"/>
      <c r="AA27" s="2004"/>
      <c r="AB27" s="2004"/>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LIST'!CI113</f>
        <v>73</v>
      </c>
      <c r="AL27" s="2004"/>
      <c r="AM27" s="2004"/>
      <c r="AN27" s="2004"/>
      <c r="AO27" s="2004"/>
      <c r="AP27" s="2004"/>
      <c r="AS27" s="2004"/>
      <c r="AT27" s="2004"/>
      <c r="AU27" s="2004"/>
      <c r="AV27" s="2004"/>
      <c r="AW27" s="2004"/>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LIST'!CI206</f>
        <v>-9.9436040682389981E-2</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LIST'!CI240</f>
        <v>N/A</v>
      </c>
      <c r="BU27" s="2004"/>
      <c r="BV27" s="2004"/>
      <c r="BW27" s="2004"/>
      <c r="BX27" s="2004"/>
      <c r="BY27" s="2004"/>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08" t="str">
        <f>'PC LIST'!CI288</f>
        <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07" t="str">
        <f>'PC LIST'!CI333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LIST'!CI375</f>
        <v>49</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LIST'!CI430</f>
        <v>5.6849999999999996</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07">
        <f>'PC LIST'!CI457</f>
        <v>88</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LIST'!CI488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LIST'!CI520</f>
        <v>11</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LIST'!CI554</f>
        <v>NA</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f>'PC LIST'!CI600</f>
        <v>185371</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07">
        <f>'PC LIST'!CI41</f>
        <v>39</v>
      </c>
      <c r="Q28" s="2004"/>
      <c r="R28" s="2004"/>
      <c r="S28" s="2004"/>
      <c r="T28" s="56"/>
      <c r="U28" s="56"/>
      <c r="X28" s="2004"/>
      <c r="Y28" s="2004"/>
      <c r="Z28" s="2004"/>
      <c r="AA28" s="2004"/>
      <c r="AB28" s="2004"/>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LIST'!CI114</f>
        <v>33</v>
      </c>
      <c r="AL28" s="2004"/>
      <c r="AM28" s="2004"/>
      <c r="AN28" s="2004"/>
      <c r="AO28" s="2004"/>
      <c r="AP28" s="2004"/>
      <c r="AS28" s="2004"/>
      <c r="AT28" s="2004"/>
      <c r="AU28" s="2004"/>
      <c r="AV28" s="2004"/>
      <c r="AW28" s="2004"/>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LIST'!CI207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LIST'!CI241</f>
        <v>65</v>
      </c>
      <c r="BU28" s="2004"/>
      <c r="BV28" s="2004"/>
      <c r="BW28" s="2004"/>
      <c r="BX28" s="2004"/>
      <c r="BY28" s="2004"/>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08" t="str">
        <f>'PC LIST'!CI289</f>
        <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07" t="str">
        <f>'PC LIST'!CI334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LIST'!CI376</f>
        <v>1032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LIST'!CI431</f>
        <v>58</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07">
        <f>'PC LIST'!CI458</f>
        <v>85</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LIST'!CI489</f>
        <v>96</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LIST'!CI521</f>
        <v>100</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f>'PC LIST'!CI555</f>
        <v>97.694825362658506</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f>'PC LIST'!CI601</f>
        <v>725</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07">
        <f>'PC LIST'!CI42</f>
        <v>29</v>
      </c>
      <c r="Q29" s="2004"/>
      <c r="R29" s="2004"/>
      <c r="S29" s="2004"/>
      <c r="T29" s="56"/>
      <c r="U29" s="56"/>
      <c r="X29" s="2004"/>
      <c r="Y29" s="2004"/>
      <c r="Z29" s="2004"/>
      <c r="AA29" s="2004"/>
      <c r="AB29" s="2004"/>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LIST'!CI115</f>
        <v>n/a</v>
      </c>
      <c r="AL29" s="2004"/>
      <c r="AM29" s="2004"/>
      <c r="AN29" s="2004"/>
      <c r="AO29" s="2004"/>
      <c r="AP29" s="2004"/>
      <c r="AS29" s="2004"/>
      <c r="AT29" s="2004"/>
      <c r="AU29" s="2004"/>
      <c r="AV29" s="2004"/>
      <c r="AW29" s="2004"/>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LIST'!CI208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LIST'!CI242</f>
        <v>64</v>
      </c>
      <c r="BU29" s="2004"/>
      <c r="BV29" s="2004"/>
      <c r="BW29" s="2004"/>
      <c r="BX29" s="2004"/>
      <c r="BY29" s="2004"/>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08" t="str">
        <f>'PC LIST'!CI290</f>
        <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07">
        <f>'PC LIST'!CI335</f>
        <v>98.7</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LIST'!CI377</f>
        <v>0.24099999999999999</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LIST'!CI432</f>
        <v>314.0734882776373</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07">
        <f>'PC LIST'!CI459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LIST'!CI490</f>
        <v>69</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LIST'!CI522</f>
        <v>84</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f>'PC LIST'!CI556</f>
        <v>1</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f>'PC LIST'!CI602</f>
        <v>3766</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07">
        <f>'PC LIST'!CI43</f>
        <v>58</v>
      </c>
      <c r="Q30" s="2004"/>
      <c r="R30" s="2004"/>
      <c r="S30" s="2004"/>
      <c r="T30" s="56"/>
      <c r="U30" s="56"/>
      <c r="X30" s="2004"/>
      <c r="Y30" s="2004"/>
      <c r="Z30" s="2004"/>
      <c r="AA30" s="2004"/>
      <c r="AB30" s="2004"/>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LIST'!CI116</f>
        <v>8.6999999999999993</v>
      </c>
      <c r="AL30" s="2004"/>
      <c r="AM30" s="2004"/>
      <c r="AN30" s="2004"/>
      <c r="AO30" s="2004"/>
      <c r="AP30" s="2004"/>
      <c r="AS30" s="2004"/>
      <c r="AT30" s="2004"/>
      <c r="AU30" s="2004"/>
      <c r="AV30" s="2004"/>
      <c r="AW30" s="2004"/>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LIST'!CI209</f>
        <v>3.6</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LIST'!CI243</f>
        <v>55</v>
      </c>
      <c r="BU30" s="2004"/>
      <c r="BV30" s="2004"/>
      <c r="BW30" s="2004"/>
      <c r="BX30" s="2004"/>
      <c r="BY30" s="2004"/>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08" t="str">
        <f>'PC LIST'!CI291</f>
        <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07">
        <f>'PC LIST'!CI336</f>
        <v>91.7</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LIST'!CI378</f>
        <v>45</v>
      </c>
      <c r="CU30" s="56"/>
      <c r="CV30" s="57"/>
      <c r="CW30" s="57"/>
      <c r="CX30" s="57"/>
      <c r="CY30" s="2004"/>
      <c r="CZ30" s="2004"/>
      <c r="DA30" s="2004"/>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07">
        <f>'PC LIST'!CI460</f>
        <v>86.88</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LIST'!CI491</f>
        <v>92</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LIST'!CI523</f>
        <v>14221</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f>'PC LIST'!CI557</f>
        <v>534</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f>'PC LIST'!CI603</f>
        <v>5</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07">
        <f>'PC LIST'!CI44</f>
        <v>57</v>
      </c>
      <c r="Q31" s="2004"/>
      <c r="R31" s="2004"/>
      <c r="S31" s="2004"/>
      <c r="T31" s="56"/>
      <c r="U31" s="56"/>
      <c r="X31" s="2004"/>
      <c r="Y31" s="2004"/>
      <c r="Z31" s="2004"/>
      <c r="AA31" s="2004"/>
      <c r="AB31" s="2004"/>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LIST'!CI117</f>
        <v>85.9</v>
      </c>
      <c r="AL31" s="2004"/>
      <c r="AM31" s="2004"/>
      <c r="AN31" s="2004"/>
      <c r="AO31" s="2004"/>
      <c r="AP31" s="2004"/>
      <c r="AS31" s="2004"/>
      <c r="AT31" s="2004"/>
      <c r="AU31" s="2004"/>
      <c r="AV31" s="2004"/>
      <c r="AW31" s="2004"/>
      <c r="AZ31" s="2004"/>
      <c r="BA31" s="2004"/>
      <c r="BB31" s="2004"/>
      <c r="BC31" s="2004"/>
      <c r="BD31" s="2004"/>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LIST'!CI210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LIST'!CI244</f>
        <v>59</v>
      </c>
      <c r="BU31" s="2004"/>
      <c r="BV31" s="2004"/>
      <c r="BW31" s="2004"/>
      <c r="BX31" s="2004"/>
      <c r="BY31" s="2004"/>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08" t="str">
        <f>'PC LIST'!CI292</f>
        <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07">
        <f>'PC LIST'!CI337</f>
        <v>98.697068403908787</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LIST'!CI379</f>
        <v>962842</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07">
        <f>'PC LIST'!CI461</f>
        <v>85</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LIST'!CI492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LIST'!CI524</f>
        <v>95% (water), 88%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f>'PC LIST'!CI558</f>
        <v>4</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f>'PC LIST'!CI604</f>
        <v>46898</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07" t="str">
        <f>'PC LIST'!CI45</f>
        <v>Green</v>
      </c>
      <c r="Q32" s="2004"/>
      <c r="R32" s="2004"/>
      <c r="S32" s="2004"/>
      <c r="T32" s="56"/>
      <c r="U32" s="56"/>
      <c r="X32" s="2004"/>
      <c r="Y32" s="2004"/>
      <c r="Z32" s="2004"/>
      <c r="AA32" s="2004"/>
      <c r="AB32" s="2004"/>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LIST'!CI118</f>
        <v>43</v>
      </c>
      <c r="AL32" s="2004"/>
      <c r="AM32" s="2004"/>
      <c r="AN32" s="2004"/>
      <c r="AO32" s="2004"/>
      <c r="AP32" s="2004"/>
      <c r="AS32" s="2004"/>
      <c r="AT32" s="2004"/>
      <c r="AU32" s="2004"/>
      <c r="AV32" s="2004"/>
      <c r="AW32" s="2004"/>
      <c r="AZ32" s="2004"/>
      <c r="BA32" s="2004"/>
      <c r="BB32" s="2004"/>
      <c r="BC32" s="2004"/>
      <c r="BD32" s="2004"/>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LIST'!CI211</f>
        <v>85.4</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LIST'!CI245</f>
        <v>131726</v>
      </c>
      <c r="BU32" s="2004"/>
      <c r="BV32" s="2004"/>
      <c r="BW32" s="2004"/>
      <c r="BX32" s="2004"/>
      <c r="BY32" s="2004"/>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08" t="str">
        <f>'PC LIST'!CI293</f>
        <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07">
        <f>'PC LIST'!CI338</f>
        <v>99.890662080261677</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LIST'!CI380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07">
        <f>'PC LIST'!CI462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LIST'!CI493</f>
        <v>147</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LIST'!CI525</f>
        <v>3.02</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f>'PC LIST'!CI559</f>
        <v>29</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f>'PC LIST'!CI605</f>
        <v>19</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07" t="str">
        <f>'PC LIST'!CI46</f>
        <v>Green</v>
      </c>
      <c r="Q33" s="2004"/>
      <c r="R33" s="2004"/>
      <c r="S33" s="2004"/>
      <c r="T33" s="56"/>
      <c r="U33" s="56"/>
      <c r="X33" s="2004"/>
      <c r="Y33" s="2004"/>
      <c r="Z33" s="2004"/>
      <c r="AA33" s="2004"/>
      <c r="AB33" s="2004"/>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LIST'!CI119</f>
        <v>93</v>
      </c>
      <c r="AL33" s="2004"/>
      <c r="AM33" s="2004"/>
      <c r="AN33" s="2004"/>
      <c r="AO33" s="2004"/>
      <c r="AP33" s="2004"/>
      <c r="AS33" s="2004"/>
      <c r="AT33" s="2004"/>
      <c r="AU33" s="2004"/>
      <c r="AV33" s="2004"/>
      <c r="AW33" s="2004"/>
      <c r="AZ33" s="2004"/>
      <c r="BA33" s="2004"/>
      <c r="BB33" s="2004"/>
      <c r="BC33" s="2004"/>
      <c r="BD33" s="2004"/>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LIST'!CI212</f>
        <v>73</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LIST'!CI246</f>
        <v>269926</v>
      </c>
      <c r="BU33" s="2004"/>
      <c r="BV33" s="2004"/>
      <c r="BW33" s="2004"/>
      <c r="BX33" s="2004"/>
      <c r="BY33" s="2004"/>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08" t="str">
        <f>'PC LIST'!CI294</f>
        <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07">
        <f>'PC LIST'!CI339</f>
        <v>99.686520376175551</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LIST'!CI381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07">
        <f>'PC LIST'!CI463</f>
        <v>120783</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LIST'!CI494</f>
        <v>3.06</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LIST'!CI526</f>
        <v>31606</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f>'PC LIST'!CI560</f>
        <v>0</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f>'PC LIST'!CI606</f>
        <v>63</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07" t="str">
        <f>'PC LIST'!CI47</f>
        <v>1st among the 10 WaSCs</v>
      </c>
      <c r="Q34" s="2004"/>
      <c r="R34" s="2004"/>
      <c r="S34" s="2004"/>
      <c r="T34" s="56"/>
      <c r="U34" s="56"/>
      <c r="X34" s="2004"/>
      <c r="Y34" s="2004"/>
      <c r="Z34" s="2004"/>
      <c r="AA34" s="2004"/>
      <c r="AB34" s="2004"/>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LIST'!CI120</f>
        <v>148</v>
      </c>
      <c r="AL34" s="2004"/>
      <c r="AM34" s="2004"/>
      <c r="AN34" s="2004"/>
      <c r="AO34" s="2004"/>
      <c r="AP34" s="2004"/>
      <c r="AS34" s="2004"/>
      <c r="AT34" s="2004"/>
      <c r="AU34" s="2004"/>
      <c r="AV34" s="2004"/>
      <c r="AW34" s="2004"/>
      <c r="AZ34" s="2004"/>
      <c r="BA34" s="2004"/>
      <c r="BB34" s="2004"/>
      <c r="BC34" s="2004"/>
      <c r="BD34" s="2004"/>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LIST'!CI213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LIST'!CI247</f>
        <v>60</v>
      </c>
      <c r="BU34" s="2004"/>
      <c r="BV34" s="2004"/>
      <c r="BW34" s="2004"/>
      <c r="BX34" s="2004"/>
      <c r="BY34" s="2004"/>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08" t="str">
        <f>'PC LIST'!CI295</f>
        <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07">
        <f>'PC LIST'!CI340</f>
        <v>2</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LIST'!CI382</f>
        <v>230</v>
      </c>
      <c r="CW34" s="54"/>
      <c r="CX34" s="54"/>
      <c r="CY34" s="54"/>
      <c r="CZ34" s="54"/>
      <c r="DA34" s="54"/>
      <c r="DD34" s="54"/>
      <c r="DE34" s="54"/>
      <c r="DF34" s="2004"/>
      <c r="DG34" s="2004"/>
      <c r="DH34" s="2004"/>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LIST'!CI495</f>
        <v>1.4</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LIST'!CI527</f>
        <v>77%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f>'PC LIST'!CI561</f>
        <v>252</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f>'PC LIST'!CI607</f>
        <v>53</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07">
        <f>'PC LIST'!CI48</f>
        <v>90</v>
      </c>
      <c r="Q35" s="2004"/>
      <c r="R35" s="2004"/>
      <c r="S35" s="2004"/>
      <c r="T35" s="56"/>
      <c r="U35" s="56"/>
      <c r="X35" s="2004"/>
      <c r="Y35" s="2004"/>
      <c r="Z35" s="2004"/>
      <c r="AA35" s="2004"/>
      <c r="AB35" s="2004"/>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LIST'!CI121</f>
        <v>Our Contribution report published</v>
      </c>
      <c r="AL35" s="2004"/>
      <c r="AM35" s="2004"/>
      <c r="AN35" s="2004"/>
      <c r="AO35" s="2004"/>
      <c r="AP35" s="2004"/>
      <c r="AS35" s="2004"/>
      <c r="AT35" s="2004"/>
      <c r="AU35" s="2004"/>
      <c r="AV35" s="2004"/>
      <c r="AW35" s="2004"/>
      <c r="AZ35" s="2004"/>
      <c r="BA35" s="2004"/>
      <c r="BB35" s="2004"/>
      <c r="BC35" s="2004"/>
      <c r="BD35" s="2004"/>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LIST'!CI214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LIST'!CI248</f>
        <v>80</v>
      </c>
      <c r="BU35" s="2004"/>
      <c r="BV35" s="2004"/>
      <c r="BW35" s="2004"/>
      <c r="BX35" s="2004"/>
      <c r="BY35" s="2004"/>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08" t="str">
        <f>'PC LIST'!CI296</f>
        <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07">
        <f>'PC LIST'!CI341</f>
        <v>248</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LIST'!CI383</f>
        <v>295</v>
      </c>
      <c r="CW35" s="2004"/>
      <c r="CX35" s="2004"/>
      <c r="CY35" s="2004"/>
      <c r="CZ35" s="2004"/>
      <c r="DA35" s="2004"/>
      <c r="DD35" s="54"/>
      <c r="DE35" s="54"/>
      <c r="DF35" s="54"/>
      <c r="DG35" s="54"/>
      <c r="DH35" s="54"/>
      <c r="DK35" s="54"/>
      <c r="DL35" s="54"/>
      <c r="DM35" s="2004"/>
      <c r="DN35" s="2004"/>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LIST'!CI528</f>
        <v>11</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f>'PC LIST'!CI562</f>
        <v>0</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f>'PC LIST'!CI608</f>
        <v>328</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07" t="str">
        <f>'PC LIST'!CI49</f>
        <v>14/28</v>
      </c>
      <c r="Q36" s="2004"/>
      <c r="R36" s="2004"/>
      <c r="S36" s="2004"/>
      <c r="T36" s="56"/>
      <c r="U36" s="56"/>
      <c r="X36" s="2004"/>
      <c r="Y36" s="2004"/>
      <c r="Z36" s="2004"/>
      <c r="AA36" s="2004"/>
      <c r="AB36" s="2004"/>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LIST'!CI122</f>
        <v>8.6999999999999993</v>
      </c>
      <c r="AL36" s="2004"/>
      <c r="AM36" s="2004"/>
      <c r="AN36" s="2004"/>
      <c r="AO36" s="2004"/>
      <c r="AP36" s="2004"/>
      <c r="AS36" s="2004"/>
      <c r="AT36" s="2004"/>
      <c r="AU36" s="2004"/>
      <c r="AV36" s="2004"/>
      <c r="AW36" s="2004"/>
      <c r="AZ36" s="2004"/>
      <c r="BA36" s="2004"/>
      <c r="BB36" s="2004"/>
      <c r="BC36" s="2004"/>
      <c r="BD36" s="2004"/>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LIST'!CI215</f>
        <v>4.4000000000000004</v>
      </c>
      <c r="BL36" s="56"/>
      <c r="BM36" s="57"/>
      <c r="BN36" s="57"/>
      <c r="BO36" s="57"/>
      <c r="BP36" s="2004"/>
      <c r="BQ36" s="2004"/>
      <c r="BR36" s="2004"/>
      <c r="BU36" s="2004"/>
      <c r="BV36" s="2004"/>
      <c r="BW36" s="2004"/>
      <c r="BX36" s="2004"/>
      <c r="BY36" s="2004"/>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08" t="str">
        <f>'PC LIST'!CI297</f>
        <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07">
        <f>'PC LIST'!CI342</f>
        <v>68.739592858627418</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LIST'!CI384</f>
        <v>98.85</v>
      </c>
      <c r="CW36" s="2004"/>
      <c r="CX36" s="2004"/>
      <c r="CY36" s="2004"/>
      <c r="CZ36" s="2004"/>
      <c r="DA36" s="2004"/>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LIST'!CI529</f>
        <v>100</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LIST'!CI563</f>
        <v>NA</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f>'PC LIST'!CI609</f>
        <v>97.69</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07">
        <f>'PC LIST'!CI50</f>
        <v>2</v>
      </c>
      <c r="Q37" s="2004"/>
      <c r="R37" s="2004"/>
      <c r="S37" s="2004"/>
      <c r="T37" s="56"/>
      <c r="U37" s="56"/>
      <c r="X37" s="2004"/>
      <c r="Y37" s="2004"/>
      <c r="Z37" s="2004"/>
      <c r="AA37" s="2004"/>
      <c r="AB37" s="2004"/>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LIST'!CI123</f>
        <v>85.9</v>
      </c>
      <c r="AL37" s="2004"/>
      <c r="AM37" s="2004"/>
      <c r="AN37" s="2004"/>
      <c r="AO37" s="2004"/>
      <c r="AP37" s="2004"/>
      <c r="AS37" s="2004"/>
      <c r="AT37" s="2004"/>
      <c r="AU37" s="2004"/>
      <c r="AV37" s="2004"/>
      <c r="AW37" s="2004"/>
      <c r="AZ37" s="2004"/>
      <c r="BA37" s="2004"/>
      <c r="BB37" s="2004"/>
      <c r="BC37" s="2004"/>
      <c r="BD37" s="2004"/>
      <c r="BE37" s="56"/>
      <c r="BF37" s="57"/>
      <c r="BG37" s="57"/>
      <c r="BH37" s="57"/>
      <c r="BI37" s="2004"/>
      <c r="BJ37" s="56"/>
      <c r="BK37" s="56"/>
      <c r="BN37" s="54"/>
      <c r="BO37" s="54"/>
      <c r="BP37" s="54"/>
      <c r="BQ37" s="54"/>
      <c r="BR37" s="54"/>
      <c r="BU37" s="2004"/>
      <c r="BV37" s="2004"/>
      <c r="BW37" s="2004"/>
      <c r="BX37" s="2004"/>
      <c r="BY37" s="2004"/>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08" t="str">
        <f>'PC LIST'!CI298</f>
        <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07">
        <f>'PC LIST'!CI343</f>
        <v>5.3513145688828558</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LIST'!CI385</f>
        <v>0</v>
      </c>
      <c r="CW37" s="2004"/>
      <c r="CX37" s="2004"/>
      <c r="CY37" s="2004"/>
      <c r="CZ37" s="2004"/>
      <c r="DA37" s="2004"/>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f>'PC LIST'!CI564</f>
        <v>1</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f>'PC LIST'!CI610</f>
        <v>343</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07">
        <f>'PC LIST'!CI51</f>
        <v>2</v>
      </c>
      <c r="Q38" s="2004"/>
      <c r="R38" s="2004"/>
      <c r="S38" s="2004"/>
      <c r="T38" s="56"/>
      <c r="U38" s="56"/>
      <c r="X38" s="2004"/>
      <c r="Y38" s="2004"/>
      <c r="Z38" s="2004"/>
      <c r="AA38" s="2004"/>
      <c r="AB38" s="2004"/>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LIST'!CI124</f>
        <v>43</v>
      </c>
      <c r="AL38" s="2004"/>
      <c r="AM38" s="2004"/>
      <c r="AN38" s="2004"/>
      <c r="AO38" s="2004"/>
      <c r="AP38" s="2004"/>
      <c r="AS38" s="2004"/>
      <c r="AT38" s="2004"/>
      <c r="AU38" s="2004"/>
      <c r="AV38" s="2004"/>
      <c r="AW38" s="2004"/>
      <c r="AZ38" s="2004"/>
      <c r="BA38" s="2004"/>
      <c r="BB38" s="2004"/>
      <c r="BC38" s="2004"/>
      <c r="BD38" s="2004"/>
      <c r="BG38" s="54"/>
      <c r="BH38" s="54"/>
      <c r="BI38" s="54"/>
      <c r="BJ38" s="56"/>
      <c r="BK38" s="56"/>
      <c r="BN38" s="54"/>
      <c r="BO38" s="54"/>
      <c r="BP38" s="54"/>
      <c r="BQ38" s="54"/>
      <c r="BR38" s="54"/>
      <c r="BU38" s="2004"/>
      <c r="BV38" s="2004"/>
      <c r="BW38" s="2004"/>
      <c r="BX38" s="2004"/>
      <c r="BY38" s="2004"/>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08" t="str">
        <f>'PC LIST'!CI299</f>
        <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07">
        <f>'PC LIST'!CI344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LIST'!CI386</f>
        <v>100</v>
      </c>
      <c r="CW38" s="2004"/>
      <c r="CX38" s="2004"/>
      <c r="CY38" s="2004"/>
      <c r="CZ38" s="2004"/>
      <c r="DA38" s="2004"/>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f>'PC LIST'!CI565</f>
        <v>97.694825362658506</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f>'PC LIST'!CI611</f>
        <v>0</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07">
        <f>'PC LIST'!CI52</f>
        <v>29</v>
      </c>
      <c r="Q39" s="2004"/>
      <c r="R39" s="2004"/>
      <c r="S39" s="2004"/>
      <c r="T39" s="56"/>
      <c r="U39" s="56"/>
      <c r="X39" s="2004"/>
      <c r="Y39" s="2004"/>
      <c r="Z39" s="2004"/>
      <c r="AA39" s="2004"/>
      <c r="AB39" s="2004"/>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LIST'!CI125</f>
        <v>8.1999999999999993</v>
      </c>
      <c r="AL39" s="2004"/>
      <c r="AM39" s="2004"/>
      <c r="AN39" s="2004"/>
      <c r="AO39" s="2004"/>
      <c r="AP39" s="2004"/>
      <c r="AS39" s="2004"/>
      <c r="AT39" s="2004"/>
      <c r="AU39" s="2004"/>
      <c r="AV39" s="2004"/>
      <c r="AW39" s="2004"/>
      <c r="AZ39" s="2004"/>
      <c r="BA39" s="2004"/>
      <c r="BB39" s="2004"/>
      <c r="BC39" s="2004"/>
      <c r="BD39" s="2004"/>
      <c r="BG39" s="54"/>
      <c r="BH39" s="54"/>
      <c r="BI39" s="54"/>
      <c r="BJ39" s="56"/>
      <c r="BK39" s="56"/>
      <c r="BN39" s="54"/>
      <c r="BO39" s="54"/>
      <c r="BP39" s="54"/>
      <c r="BQ39" s="54"/>
      <c r="BR39" s="54"/>
      <c r="BU39" s="2004"/>
      <c r="BV39" s="2004"/>
      <c r="BW39" s="2004"/>
      <c r="BX39" s="2004"/>
      <c r="BY39" s="2004"/>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08" t="str">
        <f>'PC LIST'!CI300</f>
        <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07" t="str">
        <f>'PC LIST'!CI345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LIST'!CI387</f>
        <v>24897</v>
      </c>
      <c r="CW39" s="2004"/>
      <c r="CX39" s="2004"/>
      <c r="CY39" s="2004"/>
      <c r="CZ39" s="2004"/>
      <c r="DA39" s="2004"/>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f>'PC LIST'!CI566</f>
        <v>0</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f>'PC LIST'!CI612</f>
        <v>7</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07">
        <f>'PC LIST'!CI53</f>
        <v>58</v>
      </c>
      <c r="Q40" s="2004"/>
      <c r="R40" s="2004"/>
      <c r="S40" s="2004"/>
      <c r="T40" s="56"/>
      <c r="U40" s="56"/>
      <c r="X40" s="2004"/>
      <c r="Y40" s="2004"/>
      <c r="Z40" s="2004"/>
      <c r="AA40" s="2004"/>
      <c r="AB40" s="2004"/>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LIST'!CI126</f>
        <v>75</v>
      </c>
      <c r="AL40" s="2004"/>
      <c r="AM40" s="2004"/>
      <c r="AN40" s="2004"/>
      <c r="AO40" s="2004"/>
      <c r="AP40" s="2004"/>
      <c r="AS40" s="2004"/>
      <c r="AT40" s="2004"/>
      <c r="AU40" s="2004"/>
      <c r="AV40" s="2004"/>
      <c r="AW40" s="2004"/>
      <c r="AZ40" s="2004"/>
      <c r="BA40" s="2004"/>
      <c r="BB40" s="2004"/>
      <c r="BC40" s="2004"/>
      <c r="BD40" s="2004"/>
      <c r="BG40" s="54"/>
      <c r="BH40" s="54"/>
      <c r="BI40" s="54"/>
      <c r="BJ40" s="56"/>
      <c r="BK40" s="56"/>
      <c r="BN40" s="54"/>
      <c r="BO40" s="54"/>
      <c r="BP40" s="54"/>
      <c r="BQ40" s="54"/>
      <c r="BR40" s="54"/>
      <c r="BU40" s="2004"/>
      <c r="BV40" s="2004"/>
      <c r="BW40" s="2004"/>
      <c r="BX40" s="2004"/>
      <c r="BY40" s="2004"/>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08" t="str">
        <f>'PC LIST'!CI301</f>
        <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07">
        <f>'PC LIST'!CI346</f>
        <v>155.68900000000002</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LIST'!CI388</f>
        <v>8931</v>
      </c>
      <c r="CW40" s="2004"/>
      <c r="CX40" s="2004"/>
      <c r="CY40" s="2004"/>
      <c r="CZ40" s="2004"/>
      <c r="DA40" s="2004"/>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f>'PC LIST'!CI567</f>
        <v>0</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f>'PC LIST'!CI613</f>
        <v>4</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07">
        <f>'PC LIST'!CI54</f>
        <v>57</v>
      </c>
      <c r="Q41" s="2004"/>
      <c r="R41" s="2004"/>
      <c r="S41" s="2004"/>
      <c r="T41" s="56"/>
      <c r="U41" s="56"/>
      <c r="X41" s="2004"/>
      <c r="Y41" s="2004"/>
      <c r="Z41" s="2004"/>
      <c r="AA41" s="2004"/>
      <c r="AB41" s="2004"/>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LIST'!CI127</f>
        <v>78</v>
      </c>
      <c r="AL41" s="2004"/>
      <c r="AM41" s="2004"/>
      <c r="AN41" s="2004"/>
      <c r="AO41" s="2004"/>
      <c r="AP41" s="2004"/>
      <c r="AS41" s="2004"/>
      <c r="AT41" s="2004"/>
      <c r="AU41" s="2004"/>
      <c r="AV41" s="2004"/>
      <c r="AW41" s="2004"/>
      <c r="AZ41" s="2004"/>
      <c r="BA41" s="2004"/>
      <c r="BB41" s="2004"/>
      <c r="BC41" s="2004"/>
      <c r="BD41" s="2004"/>
      <c r="BG41" s="54"/>
      <c r="BH41" s="54"/>
      <c r="BI41" s="54"/>
      <c r="BJ41" s="56"/>
      <c r="BK41" s="56"/>
      <c r="BN41" s="54"/>
      <c r="BO41" s="54"/>
      <c r="BP41" s="54"/>
      <c r="BQ41" s="54"/>
      <c r="BR41" s="54"/>
      <c r="BU41" s="2004"/>
      <c r="BV41" s="2004"/>
      <c r="BW41" s="2004"/>
      <c r="BX41" s="2004"/>
      <c r="BY41" s="2004"/>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08" t="str">
        <f>'PC LIST'!CI302</f>
        <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07">
        <f>'PC LIST'!CI347</f>
        <v>93</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LIST'!CI389</f>
        <v>Not available</v>
      </c>
      <c r="CW41" s="2004"/>
      <c r="CX41" s="2004"/>
      <c r="CY41" s="2004"/>
      <c r="CZ41" s="2004"/>
      <c r="DA41" s="2004"/>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LIST'!CI568</f>
        <v>NA</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f>'PC LIST'!CI614</f>
        <v>217</v>
      </c>
    </row>
    <row r="42" spans="8:140" ht="15.75" customHeight="1">
      <c r="H42" s="56"/>
      <c r="I42" s="57"/>
      <c r="J42" s="57"/>
      <c r="K42" s="57"/>
      <c r="L42" s="2004"/>
      <c r="M42" s="56"/>
      <c r="N42" s="56"/>
      <c r="Q42" s="2004"/>
      <c r="R42" s="2004"/>
      <c r="S42" s="2004"/>
      <c r="T42" s="56"/>
      <c r="U42" s="56"/>
      <c r="X42" s="2004"/>
      <c r="Y42" s="2004"/>
      <c r="Z42" s="2004"/>
      <c r="AA42" s="2004"/>
      <c r="AB42" s="2004"/>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LIST'!CI128</f>
        <v>71</v>
      </c>
      <c r="AL42" s="2004"/>
      <c r="AM42" s="2004"/>
      <c r="AN42" s="2004"/>
      <c r="AO42" s="2004"/>
      <c r="AP42" s="2004"/>
      <c r="AS42" s="2004"/>
      <c r="AT42" s="2004"/>
      <c r="AU42" s="2004"/>
      <c r="AV42" s="2004"/>
      <c r="AW42" s="2004"/>
      <c r="AZ42" s="2004"/>
      <c r="BA42" s="2004"/>
      <c r="BB42" s="2004"/>
      <c r="BC42" s="2004"/>
      <c r="BD42" s="2004"/>
      <c r="BG42" s="54"/>
      <c r="BH42" s="54"/>
      <c r="BI42" s="54"/>
      <c r="BJ42" s="56"/>
      <c r="BK42" s="56"/>
      <c r="BN42" s="54"/>
      <c r="BO42" s="54"/>
      <c r="BP42" s="54"/>
      <c r="BQ42" s="54"/>
      <c r="BR42" s="54"/>
      <c r="BU42" s="2004"/>
      <c r="BV42" s="2004"/>
      <c r="BW42" s="2004"/>
      <c r="BX42" s="2004"/>
      <c r="BY42" s="2004"/>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08" t="str">
        <f>'PC LIST'!CI303</f>
        <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07">
        <f>'PC LIST'!CI348</f>
        <v>87.62</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LIST'!CI390</f>
        <v>0</v>
      </c>
      <c r="CW42" s="2004"/>
      <c r="CX42" s="2004"/>
      <c r="CY42" s="2004"/>
      <c r="CZ42" s="2004"/>
      <c r="DA42" s="2004"/>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f>'PC LIST'!CI569</f>
        <v>5</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f>'PC LIST'!CI615</f>
        <v>204</v>
      </c>
    </row>
    <row r="43" spans="8:140" ht="15.75" customHeight="1">
      <c r="J43" s="54"/>
      <c r="K43" s="54"/>
      <c r="L43" s="54"/>
      <c r="M43" s="56"/>
      <c r="N43" s="56"/>
      <c r="Q43" s="2004"/>
      <c r="R43" s="2004"/>
      <c r="S43" s="2004"/>
      <c r="T43" s="56"/>
      <c r="U43" s="56"/>
      <c r="X43" s="2004"/>
      <c r="Y43" s="2004"/>
      <c r="Z43" s="2004"/>
      <c r="AA43" s="2004"/>
      <c r="AB43" s="2004"/>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LIST'!CI129</f>
        <v>93</v>
      </c>
      <c r="AL43" s="2004"/>
      <c r="AM43" s="2004"/>
      <c r="AN43" s="2004"/>
      <c r="AO43" s="2004"/>
      <c r="AP43" s="2004"/>
      <c r="AS43" s="2004"/>
      <c r="AT43" s="2004"/>
      <c r="AU43" s="2004"/>
      <c r="AV43" s="2004"/>
      <c r="AW43" s="2004"/>
      <c r="AZ43" s="2004"/>
      <c r="BA43" s="2004"/>
      <c r="BB43" s="2004"/>
      <c r="BC43" s="2004"/>
      <c r="BD43" s="2004"/>
      <c r="BG43" s="54"/>
      <c r="BH43" s="54"/>
      <c r="BI43" s="54"/>
      <c r="BJ43" s="56"/>
      <c r="BK43" s="56"/>
      <c r="BN43" s="54"/>
      <c r="BO43" s="54"/>
      <c r="BP43" s="54"/>
      <c r="BQ43" s="54"/>
      <c r="BR43" s="54"/>
      <c r="BU43" s="2004"/>
      <c r="BV43" s="2004"/>
      <c r="BW43" s="2004"/>
      <c r="BX43" s="2004"/>
      <c r="BY43" s="2004"/>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08" t="str">
        <f>'PC LIST'!CI304</f>
        <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07">
        <f>'PC LIST'!CI349</f>
        <v>66</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LIST'!CI391</f>
        <v>396</v>
      </c>
      <c r="CW43" s="2004"/>
      <c r="CX43" s="2004"/>
      <c r="CY43" s="2004"/>
      <c r="CZ43" s="2004"/>
      <c r="DA43" s="2004"/>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f>'PC LIST'!CI570</f>
        <v>1</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f>'PC LIST'!CI616</f>
        <v>185371</v>
      </c>
    </row>
    <row r="44" spans="8:140" ht="15.75" customHeight="1">
      <c r="J44" s="54"/>
      <c r="K44" s="54"/>
      <c r="L44" s="54"/>
      <c r="M44" s="56"/>
      <c r="N44" s="56"/>
      <c r="Q44" s="2004"/>
      <c r="R44" s="2004"/>
      <c r="S44" s="2004"/>
      <c r="T44" s="56"/>
      <c r="U44" s="56"/>
      <c r="X44" s="2004"/>
      <c r="Y44" s="2004"/>
      <c r="Z44" s="2004"/>
      <c r="AA44" s="2004"/>
      <c r="AB44" s="2004"/>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LIST'!CI130</f>
        <v>148</v>
      </c>
      <c r="AL44" s="2004"/>
      <c r="AM44" s="2004"/>
      <c r="AN44" s="2004"/>
      <c r="AO44" s="2004"/>
      <c r="AP44" s="2004"/>
      <c r="AS44" s="2004"/>
      <c r="AT44" s="2004"/>
      <c r="AU44" s="2004"/>
      <c r="AV44" s="2004"/>
      <c r="AW44" s="2004"/>
      <c r="AZ44" s="2004"/>
      <c r="BA44" s="2004"/>
      <c r="BB44" s="2004"/>
      <c r="BC44" s="2004"/>
      <c r="BD44" s="2004"/>
      <c r="BG44" s="54"/>
      <c r="BH44" s="54"/>
      <c r="BI44" s="54"/>
      <c r="BJ44" s="56"/>
      <c r="BK44" s="56"/>
      <c r="BN44" s="54"/>
      <c r="BO44" s="54"/>
      <c r="BP44" s="54"/>
      <c r="BQ44" s="54"/>
      <c r="BR44" s="54"/>
      <c r="BU44" s="2004"/>
      <c r="BV44" s="2004"/>
      <c r="BW44" s="2004"/>
      <c r="BX44" s="2004"/>
      <c r="BY44" s="2004"/>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08" t="str">
        <f>'PC LIST'!CI305</f>
        <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07">
        <f>'PC LIST'!CI350</f>
        <v>30875</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LIST'!CI392</f>
        <v>Scheme delivered 2015/16</v>
      </c>
      <c r="CW44" s="2004"/>
      <c r="CX44" s="2004"/>
      <c r="CY44" s="2004"/>
      <c r="CZ44" s="2004"/>
      <c r="DA44" s="2004"/>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f>'PC LIST'!CI571</f>
        <v>534</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LIST'!CI617</f>
        <v>Upper Quartile</v>
      </c>
    </row>
    <row r="45" spans="8:140" ht="15.75" customHeight="1">
      <c r="J45" s="54"/>
      <c r="K45" s="54"/>
      <c r="L45" s="54"/>
      <c r="M45" s="56"/>
      <c r="N45" s="56"/>
      <c r="Q45" s="2004"/>
      <c r="R45" s="2004"/>
      <c r="S45" s="2004"/>
      <c r="T45" s="56"/>
      <c r="U45" s="56"/>
      <c r="X45" s="2004"/>
      <c r="Y45" s="2004"/>
      <c r="Z45" s="2004"/>
      <c r="AA45" s="2004"/>
      <c r="AB45" s="2004"/>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LIST'!CI131</f>
        <v>Our Contribution report published</v>
      </c>
      <c r="AL45" s="2004"/>
      <c r="AM45" s="2004"/>
      <c r="AN45" s="2004"/>
      <c r="AO45" s="2004"/>
      <c r="AP45" s="2004"/>
      <c r="AS45" s="2004"/>
      <c r="AT45" s="2004"/>
      <c r="AU45" s="2004"/>
      <c r="AV45" s="2004"/>
      <c r="AW45" s="2004"/>
      <c r="AZ45" s="2004"/>
      <c r="BA45" s="2004"/>
      <c r="BB45" s="2004"/>
      <c r="BC45" s="2004"/>
      <c r="BD45" s="2004"/>
      <c r="BG45" s="54"/>
      <c r="BH45" s="54"/>
      <c r="BI45" s="54"/>
      <c r="BJ45" s="56"/>
      <c r="BK45" s="56"/>
      <c r="BN45" s="54"/>
      <c r="BO45" s="54"/>
      <c r="BP45" s="54"/>
      <c r="BQ45" s="54"/>
      <c r="BR45" s="54"/>
      <c r="BU45" s="2004"/>
      <c r="BV45" s="2004"/>
      <c r="BW45" s="2004"/>
      <c r="BX45" s="2004"/>
      <c r="BY45" s="2004"/>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08" t="str">
        <f>'PC LIST'!CI306</f>
        <v/>
      </c>
      <c r="CG45" s="56"/>
      <c r="CH45" s="59"/>
      <c r="CI45" s="59"/>
      <c r="CJ45" s="59"/>
      <c r="CK45" s="2004"/>
      <c r="CL45" s="2004"/>
      <c r="CM45" s="2004"/>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LIST'!CI393</f>
        <v>3</v>
      </c>
      <c r="CW45" s="2004"/>
      <c r="CX45" s="2004"/>
      <c r="CY45" s="2004"/>
      <c r="CZ45" s="2004"/>
      <c r="DA45" s="2004"/>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LIST'!CI572</f>
        <v>Upper Quartile</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f>'PC LIST'!CI618</f>
        <v>81.45</v>
      </c>
    </row>
    <row r="46" spans="8:140" ht="15.75" customHeight="1">
      <c r="J46" s="54"/>
      <c r="K46" s="54"/>
      <c r="L46" s="54"/>
      <c r="M46" s="56"/>
      <c r="N46" s="56"/>
      <c r="Q46" s="2004"/>
      <c r="R46" s="2004"/>
      <c r="S46" s="2004"/>
      <c r="T46" s="56"/>
      <c r="U46" s="56"/>
      <c r="X46" s="2004"/>
      <c r="Y46" s="2004"/>
      <c r="Z46" s="2004"/>
      <c r="AA46" s="2004"/>
      <c r="AB46" s="2004"/>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LIST'!CI132</f>
        <v>-</v>
      </c>
      <c r="AL46" s="2004"/>
      <c r="AM46" s="2004"/>
      <c r="AN46" s="2004"/>
      <c r="AO46" s="2004"/>
      <c r="AP46" s="2004"/>
      <c r="AS46" s="2004"/>
      <c r="AT46" s="2004"/>
      <c r="AU46" s="2004"/>
      <c r="AV46" s="2004"/>
      <c r="AW46" s="2004"/>
      <c r="AZ46" s="2004"/>
      <c r="BA46" s="2004"/>
      <c r="BB46" s="2004"/>
      <c r="BC46" s="2004"/>
      <c r="BD46" s="2004"/>
      <c r="BG46" s="54"/>
      <c r="BH46" s="54"/>
      <c r="BI46" s="54"/>
      <c r="BJ46" s="56"/>
      <c r="BK46" s="56"/>
      <c r="BN46" s="54"/>
      <c r="BO46" s="54"/>
      <c r="BP46" s="54"/>
      <c r="BQ46" s="54"/>
      <c r="BR46" s="54"/>
      <c r="BU46" s="2004"/>
      <c r="BV46" s="2004"/>
      <c r="BW46" s="2004"/>
      <c r="BX46" s="2004"/>
      <c r="BY46" s="2004"/>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08" t="str">
        <f>'PC LIST'!CI307</f>
        <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LIST'!CI394</f>
        <v>21</v>
      </c>
      <c r="CW46" s="2004"/>
      <c r="CX46" s="2004"/>
      <c r="CY46" s="2004"/>
      <c r="CZ46" s="2004"/>
      <c r="DA46" s="2004"/>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f>'PC LIST'!CI573</f>
        <v>81.45</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f>'PC LIST'!CI619</f>
        <v>52547</v>
      </c>
    </row>
    <row r="47" spans="8:140" ht="15.75" customHeight="1">
      <c r="J47" s="54"/>
      <c r="K47" s="54"/>
      <c r="L47" s="54"/>
      <c r="M47" s="56"/>
      <c r="N47" s="56"/>
      <c r="Q47" s="2004"/>
      <c r="R47" s="2004"/>
      <c r="S47" s="2004"/>
      <c r="T47" s="56"/>
      <c r="U47" s="56"/>
      <c r="X47" s="2004"/>
      <c r="Y47" s="2004"/>
      <c r="Z47" s="2004"/>
      <c r="AA47" s="2004"/>
      <c r="AB47" s="2004"/>
      <c r="AC47" s="56"/>
      <c r="AD47" s="58"/>
      <c r="AE47" s="58"/>
      <c r="AF47" s="58"/>
      <c r="AG47" s="2004"/>
      <c r="AH47" s="2004"/>
      <c r="AI47" s="2004"/>
      <c r="AL47" s="2004"/>
      <c r="AM47" s="2004"/>
      <c r="AN47" s="2004"/>
      <c r="AO47" s="2004"/>
      <c r="AP47" s="2004"/>
      <c r="AS47" s="2004"/>
      <c r="AT47" s="2004"/>
      <c r="AU47" s="2004"/>
      <c r="AV47" s="2004"/>
      <c r="AW47" s="2004"/>
      <c r="AZ47" s="2004"/>
      <c r="BA47" s="2004"/>
      <c r="BB47" s="2004"/>
      <c r="BC47" s="2004"/>
      <c r="BD47" s="2004"/>
      <c r="BG47" s="54"/>
      <c r="BH47" s="54"/>
      <c r="BI47" s="54"/>
      <c r="BJ47" s="56"/>
      <c r="BK47" s="56"/>
      <c r="BN47" s="2004"/>
      <c r="BO47" s="2004"/>
      <c r="BP47" s="2004"/>
      <c r="BQ47" s="2004"/>
      <c r="BR47" s="2004"/>
      <c r="BU47" s="2004"/>
      <c r="BV47" s="2004"/>
      <c r="BW47" s="2004"/>
      <c r="BX47" s="2004"/>
      <c r="BY47" s="2004"/>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08" t="str">
        <f>'PC LIST'!CI308</f>
        <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LIST'!CI395</f>
        <v>Yes</v>
      </c>
      <c r="CW47" s="2004"/>
      <c r="CX47" s="2004"/>
      <c r="CY47" s="2004"/>
      <c r="CZ47" s="2004"/>
      <c r="DA47" s="2004"/>
      <c r="DD47" s="2004"/>
      <c r="DE47" s="2004"/>
      <c r="DF47" s="2004"/>
      <c r="DG47" s="2004"/>
      <c r="DH47" s="2004"/>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f>'PC LIST'!CI574</f>
        <v>291</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f>'PC LIST'!CI620</f>
        <v>2</v>
      </c>
    </row>
    <row r="48" spans="8:140" ht="15.75" customHeight="1">
      <c r="J48" s="54"/>
      <c r="K48" s="54"/>
      <c r="L48" s="54"/>
      <c r="M48" s="56"/>
      <c r="N48" s="56"/>
      <c r="Q48" s="2004"/>
      <c r="R48" s="2004"/>
      <c r="S48" s="2004"/>
      <c r="T48" s="56"/>
      <c r="U48" s="56"/>
      <c r="X48" s="2004"/>
      <c r="Y48" s="2004"/>
      <c r="Z48" s="2004"/>
      <c r="AA48" s="2004"/>
      <c r="AB48" s="2004"/>
      <c r="AE48" s="2004"/>
      <c r="AF48" s="2004"/>
      <c r="AG48" s="2004"/>
      <c r="AH48" s="2004"/>
      <c r="AI48" s="2004"/>
      <c r="AL48" s="2004"/>
      <c r="AM48" s="2004"/>
      <c r="AN48" s="2004"/>
      <c r="AO48" s="2004"/>
      <c r="AP48" s="2004"/>
      <c r="AS48" s="2004"/>
      <c r="AT48" s="2004"/>
      <c r="AU48" s="2004"/>
      <c r="AV48" s="2004"/>
      <c r="AW48" s="2004"/>
      <c r="AZ48" s="2004"/>
      <c r="BA48" s="2004"/>
      <c r="BB48" s="2004"/>
      <c r="BC48" s="2004"/>
      <c r="BD48" s="2004"/>
      <c r="BG48" s="54"/>
      <c r="BH48" s="54"/>
      <c r="BI48" s="54"/>
      <c r="BJ48" s="56"/>
      <c r="BK48" s="56"/>
      <c r="BN48" s="2004"/>
      <c r="BO48" s="2004"/>
      <c r="BP48" s="2004"/>
      <c r="BQ48" s="2004"/>
      <c r="BR48" s="2004"/>
      <c r="BU48" s="2004"/>
      <c r="BV48" s="2004"/>
      <c r="BW48" s="2004"/>
      <c r="BX48" s="2004"/>
      <c r="BY48" s="2004"/>
      <c r="BZ48" s="56"/>
      <c r="CA48" s="57"/>
      <c r="CB48" s="57"/>
      <c r="CC48" s="57"/>
      <c r="CD48" s="2004"/>
      <c r="CE48" s="2004"/>
      <c r="CF48" s="2004"/>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LIST'!CI396</f>
        <v>Yes</v>
      </c>
      <c r="CW48" s="2004"/>
      <c r="CX48" s="2004"/>
      <c r="CY48" s="2004"/>
      <c r="CZ48" s="2004"/>
      <c r="DA48" s="2004"/>
      <c r="DD48" s="2004"/>
      <c r="DE48" s="2004"/>
      <c r="DF48" s="2004"/>
      <c r="DG48" s="2004"/>
      <c r="DH48" s="2004"/>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f>'PC LIST'!CI575</f>
        <v>3.1592040781496702</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f>'PC LIST'!CI621</f>
        <v>0.45</v>
      </c>
    </row>
    <row r="49" spans="10:140" ht="15.75" customHeight="1">
      <c r="J49" s="54"/>
      <c r="K49" s="54"/>
      <c r="L49" s="54"/>
      <c r="M49" s="56"/>
      <c r="N49" s="56"/>
      <c r="Q49" s="2004"/>
      <c r="R49" s="2004"/>
      <c r="S49" s="2004"/>
      <c r="T49" s="56"/>
      <c r="U49" s="56"/>
      <c r="X49" s="2004"/>
      <c r="Y49" s="2004"/>
      <c r="Z49" s="2004"/>
      <c r="AA49" s="2004"/>
      <c r="AB49" s="2004"/>
      <c r="AE49" s="2004"/>
      <c r="AF49" s="2004"/>
      <c r="AG49" s="2004"/>
      <c r="AH49" s="2004"/>
      <c r="AI49" s="2004"/>
      <c r="AL49" s="2004"/>
      <c r="AM49" s="2004"/>
      <c r="AN49" s="2004"/>
      <c r="AO49" s="2004"/>
      <c r="AP49" s="2004"/>
      <c r="AS49" s="2004"/>
      <c r="AT49" s="2004"/>
      <c r="AU49" s="2004"/>
      <c r="AV49" s="2004"/>
      <c r="AW49" s="2004"/>
      <c r="AZ49" s="2004"/>
      <c r="BA49" s="2004"/>
      <c r="BB49" s="2004"/>
      <c r="BC49" s="2004"/>
      <c r="BD49" s="2004"/>
      <c r="BG49" s="54"/>
      <c r="BH49" s="54"/>
      <c r="BI49" s="54"/>
      <c r="BJ49" s="56"/>
      <c r="BK49" s="56"/>
      <c r="BN49" s="2004"/>
      <c r="BO49" s="2004"/>
      <c r="BP49" s="2004"/>
      <c r="BQ49" s="2004"/>
      <c r="BR49" s="2004"/>
      <c r="BU49" s="2004"/>
      <c r="BV49" s="2004"/>
      <c r="BW49" s="2004"/>
      <c r="BX49" s="2004"/>
      <c r="BY49" s="2004"/>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LIST'!CI397</f>
        <v>18.0244518602792</v>
      </c>
      <c r="CW49" s="2004"/>
      <c r="CX49" s="2004"/>
      <c r="CY49" s="2004"/>
      <c r="CZ49" s="2004"/>
      <c r="DA49" s="2004"/>
      <c r="DD49" s="2004"/>
      <c r="DE49" s="2004"/>
      <c r="DF49" s="2004"/>
      <c r="DG49" s="2004"/>
      <c r="DH49" s="2004"/>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f>'PC LIST'!CI622</f>
        <v>99.94</v>
      </c>
    </row>
    <row r="50" spans="10:140" ht="15.75" customHeight="1">
      <c r="J50" s="54"/>
      <c r="K50" s="54"/>
      <c r="L50" s="54"/>
      <c r="M50" s="56"/>
      <c r="N50" s="56"/>
      <c r="Q50" s="2004"/>
      <c r="R50" s="2004"/>
      <c r="S50" s="2004"/>
      <c r="T50" s="56"/>
      <c r="U50" s="56"/>
      <c r="X50" s="2004"/>
      <c r="Y50" s="2004"/>
      <c r="Z50" s="2004"/>
      <c r="AA50" s="2004"/>
      <c r="AB50" s="2004"/>
      <c r="AE50" s="2004"/>
      <c r="AF50" s="2004"/>
      <c r="AG50" s="2004"/>
      <c r="AH50" s="2004"/>
      <c r="AI50" s="2004"/>
      <c r="AL50" s="2004"/>
      <c r="AM50" s="2004"/>
      <c r="AN50" s="2004"/>
      <c r="AO50" s="2004"/>
      <c r="AP50" s="2004"/>
      <c r="AS50" s="2004"/>
      <c r="AT50" s="2004"/>
      <c r="AU50" s="2004"/>
      <c r="AV50" s="2004"/>
      <c r="AW50" s="2004"/>
      <c r="AZ50" s="2004"/>
      <c r="BA50" s="2004"/>
      <c r="BB50" s="2004"/>
      <c r="BC50" s="2004"/>
      <c r="BD50" s="2004"/>
      <c r="BG50" s="54"/>
      <c r="BH50" s="54"/>
      <c r="BI50" s="54"/>
      <c r="BJ50" s="56"/>
      <c r="BK50" s="56"/>
      <c r="BN50" s="2004"/>
      <c r="BO50" s="2004"/>
      <c r="BP50" s="2004"/>
      <c r="BQ50" s="2004"/>
      <c r="BR50" s="2004"/>
      <c r="BU50" s="2004"/>
      <c r="BV50" s="2004"/>
      <c r="BW50" s="2004"/>
      <c r="BX50" s="2004"/>
      <c r="BY50" s="2004"/>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LIST'!CI398</f>
        <v>87.553648068669503</v>
      </c>
      <c r="CW50" s="2004"/>
      <c r="CX50" s="2004"/>
      <c r="CY50" s="2004"/>
      <c r="CZ50" s="2004"/>
      <c r="DA50" s="2004"/>
      <c r="DD50" s="2004"/>
      <c r="DE50" s="2004"/>
      <c r="DF50" s="2004"/>
      <c r="DG50" s="2004"/>
      <c r="DH50" s="2004"/>
      <c r="DK50" s="54"/>
      <c r="DL50" s="54"/>
      <c r="DM50" s="54"/>
      <c r="DN50" s="54"/>
      <c r="DO50" s="56"/>
      <c r="DV50" s="56"/>
      <c r="DW50" s="2209"/>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f>'PC LIST'!CI623</f>
        <v>0.03</v>
      </c>
    </row>
    <row r="51" spans="10:140" ht="15.75" customHeight="1">
      <c r="J51" s="54"/>
      <c r="K51" s="54"/>
      <c r="L51" s="54"/>
      <c r="M51" s="56"/>
      <c r="N51" s="56"/>
      <c r="Q51" s="2004"/>
      <c r="R51" s="2004"/>
      <c r="S51" s="2004"/>
      <c r="T51" s="56"/>
      <c r="U51" s="56"/>
      <c r="X51" s="2004"/>
      <c r="Y51" s="2004"/>
      <c r="Z51" s="2004"/>
      <c r="AA51" s="2004"/>
      <c r="AB51" s="2004"/>
      <c r="AE51" s="2004"/>
      <c r="AF51" s="2004"/>
      <c r="AG51" s="2004"/>
      <c r="AH51" s="2004"/>
      <c r="AI51" s="2004"/>
      <c r="AL51" s="2004"/>
      <c r="AM51" s="2004"/>
      <c r="AN51" s="2004"/>
      <c r="AO51" s="2004"/>
      <c r="AP51" s="2004"/>
      <c r="AS51" s="2004"/>
      <c r="AT51" s="2004"/>
      <c r="AU51" s="2004"/>
      <c r="AV51" s="2004"/>
      <c r="AW51" s="2004"/>
      <c r="AZ51" s="2004"/>
      <c r="BA51" s="2004"/>
      <c r="BB51" s="2004"/>
      <c r="BC51" s="2004"/>
      <c r="BD51" s="2004"/>
      <c r="BG51" s="2004"/>
      <c r="BH51" s="2004"/>
      <c r="BI51" s="2004"/>
      <c r="BJ51" s="56"/>
      <c r="BK51" s="56"/>
      <c r="BN51" s="2004"/>
      <c r="BO51" s="2004"/>
      <c r="BP51" s="2004"/>
      <c r="BQ51" s="2004"/>
      <c r="BR51" s="2004"/>
      <c r="BU51" s="2004"/>
      <c r="BV51" s="2004"/>
      <c r="BW51" s="2004"/>
      <c r="BX51" s="2004"/>
      <c r="BY51" s="2004"/>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LIST'!CI399</f>
        <v>4.5844396667562499</v>
      </c>
      <c r="CW51" s="2004"/>
      <c r="CX51" s="2004"/>
      <c r="CY51" s="2004"/>
      <c r="CZ51" s="2004"/>
      <c r="DA51" s="2004"/>
      <c r="DD51" s="2004"/>
      <c r="DE51" s="2004"/>
      <c r="DF51" s="2004"/>
      <c r="DG51" s="2004"/>
      <c r="DH51" s="2004"/>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f>'PC LIST'!CI624</f>
        <v>97.8</v>
      </c>
    </row>
    <row r="52" spans="10:140" ht="15.75" customHeight="1">
      <c r="J52" s="54"/>
      <c r="K52" s="54"/>
      <c r="L52" s="54"/>
      <c r="M52" s="56"/>
      <c r="N52" s="56"/>
      <c r="Q52" s="2004"/>
      <c r="R52" s="2004"/>
      <c r="S52" s="2004"/>
      <c r="T52" s="56"/>
      <c r="U52" s="56"/>
      <c r="X52" s="2004"/>
      <c r="Y52" s="2004"/>
      <c r="Z52" s="2004"/>
      <c r="AA52" s="2004"/>
      <c r="AB52" s="2004"/>
      <c r="AE52" s="2004"/>
      <c r="AF52" s="2004"/>
      <c r="AG52" s="2004"/>
      <c r="AH52" s="2004"/>
      <c r="AI52" s="2004"/>
      <c r="AL52" s="2004"/>
      <c r="AM52" s="2004"/>
      <c r="AN52" s="2004"/>
      <c r="AO52" s="2004"/>
      <c r="AP52" s="2004"/>
      <c r="AS52" s="2004"/>
      <c r="AT52" s="2004"/>
      <c r="AU52" s="2004"/>
      <c r="AV52" s="2004"/>
      <c r="AW52" s="2004"/>
      <c r="AZ52" s="2004"/>
      <c r="BA52" s="2004"/>
      <c r="BB52" s="2004"/>
      <c r="BC52" s="2004"/>
      <c r="BD52" s="2004"/>
      <c r="BG52" s="2004"/>
      <c r="BH52" s="2004"/>
      <c r="BI52" s="2004"/>
      <c r="BJ52" s="56"/>
      <c r="BK52" s="56"/>
      <c r="BN52" s="2004"/>
      <c r="BO52" s="2004"/>
      <c r="BP52" s="2004"/>
      <c r="BQ52" s="2004"/>
      <c r="BR52" s="2004"/>
      <c r="BU52" s="2004"/>
      <c r="BV52" s="2004"/>
      <c r="BW52" s="2004"/>
      <c r="BX52" s="2004"/>
      <c r="BY52" s="2004"/>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LIST'!CI400</f>
        <v>4.4366204585769697</v>
      </c>
      <c r="CW52" s="2004"/>
      <c r="CX52" s="2004"/>
      <c r="CY52" s="2004"/>
      <c r="CZ52" s="2004"/>
      <c r="DA52" s="2004"/>
      <c r="DD52" s="2004"/>
      <c r="DE52" s="2004"/>
      <c r="DF52" s="2004"/>
      <c r="DG52" s="2004"/>
      <c r="DH52" s="2004"/>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f>'PC LIST'!CI625</f>
        <v>100</v>
      </c>
    </row>
    <row r="53" spans="10:140" ht="15.75" customHeight="1">
      <c r="J53" s="54"/>
      <c r="K53" s="54"/>
      <c r="L53" s="54"/>
      <c r="M53" s="56"/>
      <c r="N53" s="56"/>
      <c r="Q53" s="2004"/>
      <c r="R53" s="2004"/>
      <c r="S53" s="2004"/>
      <c r="T53" s="56"/>
      <c r="U53" s="56"/>
      <c r="X53" s="2004"/>
      <c r="Y53" s="2004"/>
      <c r="Z53" s="2004"/>
      <c r="AA53" s="2004"/>
      <c r="AB53" s="2004"/>
      <c r="AE53" s="2004"/>
      <c r="AF53" s="2004"/>
      <c r="AG53" s="2004"/>
      <c r="AH53" s="2004"/>
      <c r="AI53" s="2004"/>
      <c r="AL53" s="2004"/>
      <c r="AM53" s="2004"/>
      <c r="AN53" s="2004"/>
      <c r="AO53" s="2004"/>
      <c r="AP53" s="2004"/>
      <c r="AS53" s="2004"/>
      <c r="AT53" s="2004"/>
      <c r="AU53" s="2004"/>
      <c r="AV53" s="2004"/>
      <c r="AW53" s="2004"/>
      <c r="AZ53" s="2004"/>
      <c r="BA53" s="2004"/>
      <c r="BB53" s="2004"/>
      <c r="BC53" s="2004"/>
      <c r="BD53" s="2004"/>
      <c r="BG53" s="2004"/>
      <c r="BH53" s="2004"/>
      <c r="BI53" s="2004"/>
      <c r="BJ53" s="56"/>
      <c r="BK53" s="56"/>
      <c r="BN53" s="2004"/>
      <c r="BO53" s="2004"/>
      <c r="BP53" s="2004"/>
      <c r="BQ53" s="2004"/>
      <c r="BR53" s="2004"/>
      <c r="BU53" s="2004"/>
      <c r="BV53" s="2004"/>
      <c r="BW53" s="2004"/>
      <c r="BX53" s="2004"/>
      <c r="BY53" s="2004"/>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LIST'!CI401</f>
        <v>98.822091713264996</v>
      </c>
      <c r="CW53" s="2004"/>
      <c r="CX53" s="2004"/>
      <c r="CY53" s="2004"/>
      <c r="CZ53" s="2004"/>
      <c r="DA53" s="2004"/>
      <c r="DD53" s="2004"/>
      <c r="DE53" s="2004"/>
      <c r="DF53" s="2004"/>
      <c r="DG53" s="2004"/>
      <c r="DH53" s="2004"/>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f>'PC LIST'!CI626</f>
        <v>68</v>
      </c>
    </row>
    <row r="54" spans="10:140" ht="15.75" customHeight="1">
      <c r="J54" s="54"/>
      <c r="K54" s="54"/>
      <c r="L54" s="54"/>
      <c r="M54" s="56"/>
      <c r="N54" s="56"/>
      <c r="Q54" s="2004"/>
      <c r="R54" s="2004"/>
      <c r="S54" s="2004"/>
      <c r="T54" s="56"/>
      <c r="U54" s="56"/>
      <c r="X54" s="2004"/>
      <c r="Y54" s="2004"/>
      <c r="Z54" s="2004"/>
      <c r="AA54" s="2004"/>
      <c r="AB54" s="2004"/>
      <c r="AE54" s="2004"/>
      <c r="AF54" s="2004"/>
      <c r="AG54" s="2004"/>
      <c r="AH54" s="2004"/>
      <c r="AI54" s="2004"/>
      <c r="AL54" s="2004"/>
      <c r="AM54" s="2004"/>
      <c r="AN54" s="2004"/>
      <c r="AO54" s="2004"/>
      <c r="AP54" s="2004"/>
      <c r="AS54" s="2004"/>
      <c r="AT54" s="2004"/>
      <c r="AU54" s="2004"/>
      <c r="AV54" s="2004"/>
      <c r="AW54" s="2004"/>
      <c r="AZ54" s="2004"/>
      <c r="BA54" s="2004"/>
      <c r="BB54" s="2004"/>
      <c r="BC54" s="2004"/>
      <c r="BD54" s="2004"/>
      <c r="BG54" s="2004"/>
      <c r="BH54" s="2004"/>
      <c r="BI54" s="2004"/>
      <c r="BJ54" s="56"/>
      <c r="BK54" s="56"/>
      <c r="BN54" s="2004"/>
      <c r="BO54" s="2004"/>
      <c r="BP54" s="2004"/>
      <c r="BQ54" s="2004"/>
      <c r="BR54" s="2004"/>
      <c r="BU54" s="2004"/>
      <c r="BV54" s="2004"/>
      <c r="BW54" s="2004"/>
      <c r="BX54" s="2004"/>
      <c r="BY54" s="2004"/>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LIST'!CI402</f>
        <v>75.029926160142097</v>
      </c>
      <c r="CW54" s="2004"/>
      <c r="CX54" s="2004"/>
      <c r="CY54" s="2004"/>
      <c r="CZ54" s="2004"/>
      <c r="DA54" s="2004"/>
      <c r="DD54" s="2004"/>
      <c r="DE54" s="2004"/>
      <c r="DF54" s="2004"/>
      <c r="DG54" s="2004"/>
      <c r="DH54" s="2004"/>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f>'PC LIST'!CI627</f>
        <v>951</v>
      </c>
    </row>
    <row r="55" spans="10:140" ht="15.75" customHeight="1">
      <c r="J55" s="2004"/>
      <c r="K55" s="2004"/>
      <c r="L55" s="2004"/>
      <c r="M55" s="56"/>
      <c r="N55" s="56"/>
      <c r="Q55" s="2004"/>
      <c r="R55" s="2004"/>
      <c r="S55" s="2004"/>
      <c r="T55" s="56"/>
      <c r="U55" s="56"/>
      <c r="X55" s="2004"/>
      <c r="Y55" s="2004"/>
      <c r="Z55" s="2004"/>
      <c r="AA55" s="2004"/>
      <c r="AB55" s="2004"/>
      <c r="AE55" s="2004"/>
      <c r="AF55" s="2004"/>
      <c r="AG55" s="2004"/>
      <c r="AH55" s="2004"/>
      <c r="AI55" s="2004"/>
      <c r="AL55" s="2004"/>
      <c r="AM55" s="2004"/>
      <c r="AN55" s="2004"/>
      <c r="AO55" s="2004"/>
      <c r="AP55" s="2004"/>
      <c r="AS55" s="2004"/>
      <c r="AT55" s="2004"/>
      <c r="AU55" s="2004"/>
      <c r="AV55" s="2004"/>
      <c r="AW55" s="2004"/>
      <c r="AZ55" s="2004"/>
      <c r="BA55" s="2004"/>
      <c r="BB55" s="2004"/>
      <c r="BC55" s="2004"/>
      <c r="BD55" s="2004"/>
      <c r="BG55" s="2004"/>
      <c r="BH55" s="2004"/>
      <c r="BI55" s="2004"/>
      <c r="BJ55" s="56"/>
      <c r="BK55" s="56"/>
      <c r="BN55" s="2004"/>
      <c r="BO55" s="2004"/>
      <c r="BP55" s="2004"/>
      <c r="BQ55" s="2004"/>
      <c r="BR55" s="2004"/>
      <c r="BU55" s="2004"/>
      <c r="BV55" s="2004"/>
      <c r="BW55" s="2004"/>
      <c r="BX55" s="2004"/>
      <c r="BY55" s="2004"/>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LIST'!CI403</f>
        <v>Online self serve channel</v>
      </c>
      <c r="CW55" s="2004"/>
      <c r="CX55" s="2004"/>
      <c r="CY55" s="2004"/>
      <c r="CZ55" s="2004"/>
      <c r="DA55" s="2004"/>
      <c r="DD55" s="2004"/>
      <c r="DE55" s="2004"/>
      <c r="DF55" s="2004"/>
      <c r="DG55" s="2004"/>
      <c r="DH55" s="2004"/>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f>'PC LIST'!CI628</f>
        <v>67</v>
      </c>
    </row>
    <row r="56" spans="10:140" ht="15.75" customHeight="1">
      <c r="J56" s="2004"/>
      <c r="K56" s="2004"/>
      <c r="L56" s="2004"/>
      <c r="M56" s="56"/>
      <c r="N56" s="56"/>
      <c r="Q56" s="2004"/>
      <c r="R56" s="2004"/>
      <c r="S56" s="2004"/>
      <c r="T56" s="56"/>
      <c r="U56" s="56"/>
      <c r="X56" s="2004"/>
      <c r="Y56" s="2004"/>
      <c r="Z56" s="2004"/>
      <c r="AA56" s="2004"/>
      <c r="AB56" s="2004"/>
      <c r="AE56" s="2004"/>
      <c r="AF56" s="2004"/>
      <c r="AG56" s="2004"/>
      <c r="AH56" s="2004"/>
      <c r="AI56" s="2004"/>
      <c r="AL56" s="2004"/>
      <c r="AM56" s="2004"/>
      <c r="AN56" s="2004"/>
      <c r="AO56" s="2004"/>
      <c r="AP56" s="2004"/>
      <c r="AS56" s="2004"/>
      <c r="AT56" s="2004"/>
      <c r="AU56" s="2004"/>
      <c r="AV56" s="2004"/>
      <c r="AW56" s="2004"/>
      <c r="AZ56" s="2004"/>
      <c r="BA56" s="2004"/>
      <c r="BB56" s="2004"/>
      <c r="BC56" s="2004"/>
      <c r="BD56" s="2004"/>
      <c r="BG56" s="2004"/>
      <c r="BH56" s="2004"/>
      <c r="BI56" s="2004"/>
      <c r="BJ56" s="56"/>
      <c r="BK56" s="56"/>
      <c r="BN56" s="2004"/>
      <c r="BO56" s="2004"/>
      <c r="BP56" s="2004"/>
      <c r="BQ56" s="2004"/>
      <c r="BR56" s="2004"/>
      <c r="BU56" s="2004"/>
      <c r="BV56" s="2004"/>
      <c r="BW56" s="2004"/>
      <c r="BX56" s="2004"/>
      <c r="BY56" s="2004"/>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LIST'!CI404</f>
        <v>57.98</v>
      </c>
      <c r="CW56" s="2004"/>
      <c r="CX56" s="2004"/>
      <c r="CY56" s="2004"/>
      <c r="CZ56" s="2004"/>
      <c r="DA56" s="2004"/>
      <c r="DD56" s="2004"/>
      <c r="DE56" s="2004"/>
      <c r="DF56" s="2004"/>
      <c r="DG56" s="2004"/>
      <c r="DH56" s="2004"/>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f>'PC LIST'!CI629</f>
        <v>83.9</v>
      </c>
    </row>
    <row r="57" spans="10:140" ht="15.75" customHeight="1">
      <c r="J57" s="2004"/>
      <c r="K57" s="2004"/>
      <c r="L57" s="2004"/>
      <c r="M57" s="56"/>
      <c r="N57" s="56"/>
      <c r="Q57" s="2004"/>
      <c r="R57" s="2004"/>
      <c r="S57" s="2004"/>
      <c r="T57" s="56"/>
      <c r="U57" s="56"/>
      <c r="X57" s="2004"/>
      <c r="Y57" s="2004"/>
      <c r="Z57" s="2004"/>
      <c r="AA57" s="2004"/>
      <c r="AB57" s="2004"/>
      <c r="AE57" s="2004"/>
      <c r="AF57" s="2004"/>
      <c r="AG57" s="2004"/>
      <c r="AH57" s="2004"/>
      <c r="AI57" s="2004"/>
      <c r="AL57" s="2004"/>
      <c r="AM57" s="2004"/>
      <c r="AN57" s="2004"/>
      <c r="AO57" s="2004"/>
      <c r="AP57" s="2004"/>
      <c r="AS57" s="2004"/>
      <c r="AT57" s="2004"/>
      <c r="AU57" s="2004"/>
      <c r="AV57" s="2004"/>
      <c r="AW57" s="2004"/>
      <c r="AZ57" s="2004"/>
      <c r="BA57" s="2004"/>
      <c r="BB57" s="2004"/>
      <c r="BC57" s="2004"/>
      <c r="BD57" s="2004"/>
      <c r="BG57" s="2004"/>
      <c r="BH57" s="2004"/>
      <c r="BI57" s="2004"/>
      <c r="BJ57" s="56"/>
      <c r="BK57" s="56"/>
      <c r="BN57" s="2004"/>
      <c r="BO57" s="2004"/>
      <c r="BP57" s="2004"/>
      <c r="BQ57" s="2004"/>
      <c r="BR57" s="2004"/>
      <c r="BU57" s="2004"/>
      <c r="BV57" s="2004"/>
      <c r="BW57" s="2004"/>
      <c r="BX57" s="2004"/>
      <c r="BY57" s="2004"/>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LIST'!CI405</f>
        <v>87.918246609468497</v>
      </c>
      <c r="CW57" s="2004"/>
      <c r="CX57" s="2004"/>
      <c r="CY57" s="2004"/>
      <c r="CZ57" s="2004"/>
      <c r="DA57" s="2004"/>
      <c r="DD57" s="2004"/>
      <c r="DE57" s="2004"/>
      <c r="DF57" s="2004"/>
      <c r="DG57" s="2004"/>
      <c r="DH57" s="2004"/>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f>'PC LIST'!CI630</f>
        <v>132.76</v>
      </c>
    </row>
    <row r="58" spans="10:140" ht="15.75" customHeight="1">
      <c r="J58" s="2004"/>
      <c r="K58" s="2004"/>
      <c r="L58" s="2004"/>
      <c r="M58" s="2004"/>
      <c r="N58" s="2004"/>
      <c r="Q58" s="2004"/>
      <c r="R58" s="2004"/>
      <c r="S58" s="2004"/>
      <c r="T58" s="2004"/>
      <c r="U58" s="2004"/>
      <c r="X58" s="2004"/>
      <c r="Y58" s="2004"/>
      <c r="Z58" s="2004"/>
      <c r="AA58" s="2004"/>
      <c r="AB58" s="2004"/>
      <c r="AE58" s="2004"/>
      <c r="AF58" s="2004"/>
      <c r="AG58" s="2004"/>
      <c r="AH58" s="2004"/>
      <c r="AI58" s="2004"/>
      <c r="AL58" s="2004"/>
      <c r="AM58" s="2004"/>
      <c r="AN58" s="2004"/>
      <c r="AO58" s="2004"/>
      <c r="AP58" s="2004"/>
      <c r="AS58" s="2004"/>
      <c r="AT58" s="2004"/>
      <c r="AU58" s="2004"/>
      <c r="AV58" s="2004"/>
      <c r="AW58" s="2004"/>
      <c r="AZ58" s="2004"/>
      <c r="BA58" s="2004"/>
      <c r="BB58" s="2004"/>
      <c r="BC58" s="2004"/>
      <c r="BD58" s="2004"/>
      <c r="BG58" s="2004"/>
      <c r="BH58" s="2004"/>
      <c r="BI58" s="2004"/>
      <c r="BJ58" s="2004"/>
      <c r="BK58" s="2004"/>
      <c r="BN58" s="2004"/>
      <c r="BO58" s="2004"/>
      <c r="BP58" s="2004"/>
      <c r="BQ58" s="2004"/>
      <c r="BR58" s="2004"/>
      <c r="BU58" s="2004"/>
      <c r="BV58" s="2004"/>
      <c r="BW58" s="2004"/>
      <c r="BX58" s="2004"/>
      <c r="BY58" s="2004"/>
      <c r="CB58" s="54"/>
      <c r="CC58" s="54"/>
      <c r="CD58" s="54"/>
      <c r="CE58" s="54"/>
      <c r="CF58" s="54"/>
      <c r="CI58" s="54"/>
      <c r="CJ58" s="54"/>
      <c r="CK58" s="54"/>
      <c r="CL58" s="54"/>
      <c r="CM58" s="54"/>
      <c r="CN58" s="56"/>
      <c r="CO58" s="57"/>
      <c r="CP58" s="57"/>
      <c r="CQ58" s="57"/>
      <c r="CR58" s="2004"/>
      <c r="CS58" s="2004"/>
      <c r="CW58" s="2004"/>
      <c r="CX58" s="2004"/>
      <c r="CY58" s="2004"/>
      <c r="CZ58" s="2004"/>
      <c r="DA58" s="2004"/>
      <c r="DD58" s="2004"/>
      <c r="DE58" s="2004"/>
      <c r="DF58" s="2004"/>
      <c r="DG58" s="2004"/>
      <c r="DH58" s="2004"/>
      <c r="DK58" s="54"/>
      <c r="DL58" s="54"/>
      <c r="DM58" s="54"/>
      <c r="DN58" s="54"/>
      <c r="DO58" s="710"/>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f>'PC LIST'!CI631</f>
        <v>78.400000000000006</v>
      </c>
    </row>
    <row r="59" spans="10:140" ht="15.75" customHeight="1">
      <c r="J59" s="2004"/>
      <c r="K59" s="2004"/>
      <c r="L59" s="2004"/>
      <c r="M59" s="2004"/>
      <c r="N59" s="2004"/>
      <c r="Q59" s="2004"/>
      <c r="R59" s="2004"/>
      <c r="S59" s="2004"/>
      <c r="T59" s="2004"/>
      <c r="U59" s="2004"/>
      <c r="X59" s="2004"/>
      <c r="Y59" s="2004"/>
      <c r="Z59" s="2004"/>
      <c r="AA59" s="2004"/>
      <c r="AB59" s="2004"/>
      <c r="AE59" s="2004"/>
      <c r="AF59" s="2004"/>
      <c r="AG59" s="2004"/>
      <c r="AH59" s="2004"/>
      <c r="AI59" s="2004"/>
      <c r="AL59" s="2004"/>
      <c r="AM59" s="2004"/>
      <c r="AN59" s="2004"/>
      <c r="AO59" s="2004"/>
      <c r="AP59" s="2004"/>
      <c r="AS59" s="2004"/>
      <c r="AT59" s="2004"/>
      <c r="AU59" s="2004"/>
      <c r="AV59" s="2004"/>
      <c r="AW59" s="2004"/>
      <c r="AZ59" s="2004"/>
      <c r="BA59" s="2004"/>
      <c r="BB59" s="2004"/>
      <c r="BC59" s="2004"/>
      <c r="BD59" s="2004"/>
      <c r="BG59" s="2004"/>
      <c r="BH59" s="2004"/>
      <c r="BI59" s="2004"/>
      <c r="BJ59" s="2004"/>
      <c r="BK59" s="2004"/>
      <c r="BN59" s="2004"/>
      <c r="BO59" s="2004"/>
      <c r="BP59" s="2004"/>
      <c r="BQ59" s="2004"/>
      <c r="BR59" s="2004"/>
      <c r="BU59" s="2004"/>
      <c r="BV59" s="2004"/>
      <c r="BW59" s="2004"/>
      <c r="BX59" s="2004"/>
      <c r="BY59" s="2004"/>
      <c r="CB59" s="54"/>
      <c r="CC59" s="54"/>
      <c r="CD59" s="54"/>
      <c r="CE59" s="54"/>
      <c r="CF59" s="54"/>
      <c r="CI59" s="54"/>
      <c r="CJ59" s="54"/>
      <c r="CK59" s="54"/>
      <c r="CL59" s="54"/>
      <c r="CM59" s="54"/>
      <c r="CP59" s="54"/>
      <c r="CQ59" s="54"/>
      <c r="CR59" s="54"/>
      <c r="CS59" s="54"/>
      <c r="CT59" s="710"/>
      <c r="CW59" s="2004"/>
      <c r="CX59" s="2004"/>
      <c r="CY59" s="2004"/>
      <c r="CZ59" s="2004"/>
      <c r="DA59" s="2004"/>
      <c r="DD59" s="2004"/>
      <c r="DE59" s="2004"/>
      <c r="DF59" s="2004"/>
      <c r="DG59" s="2004"/>
      <c r="DH59" s="2004"/>
      <c r="DK59" s="54"/>
      <c r="DL59" s="54"/>
      <c r="DM59" s="54"/>
      <c r="DN59" s="54"/>
      <c r="DO59" s="710"/>
    </row>
    <row r="60" spans="10:140" ht="15.75" customHeight="1">
      <c r="J60" s="2004"/>
      <c r="K60" s="2004"/>
      <c r="L60" s="2004"/>
      <c r="M60" s="2004"/>
      <c r="N60" s="2004"/>
      <c r="Q60" s="2004"/>
      <c r="R60" s="2004"/>
      <c r="S60" s="2004"/>
      <c r="T60" s="2004"/>
      <c r="U60" s="2004"/>
      <c r="X60" s="2004"/>
      <c r="Y60" s="2004"/>
      <c r="Z60" s="2004"/>
      <c r="AA60" s="2004"/>
      <c r="AB60" s="2004"/>
      <c r="AE60" s="2004"/>
      <c r="AF60" s="2004"/>
      <c r="AG60" s="2004"/>
      <c r="AH60" s="2004"/>
      <c r="AI60" s="2004"/>
      <c r="AL60" s="2004"/>
      <c r="AM60" s="2004"/>
      <c r="AN60" s="2004"/>
      <c r="AO60" s="2004"/>
      <c r="AP60" s="2004"/>
      <c r="AS60" s="2004"/>
      <c r="AT60" s="2004"/>
      <c r="AU60" s="2004"/>
      <c r="AV60" s="2004"/>
      <c r="AW60" s="2004"/>
      <c r="AZ60" s="2004"/>
      <c r="BA60" s="2004"/>
      <c r="BB60" s="2004"/>
      <c r="BC60" s="2004"/>
      <c r="BD60" s="2004"/>
      <c r="BG60" s="2004"/>
      <c r="BH60" s="2004"/>
      <c r="BI60" s="2004"/>
      <c r="BJ60" s="2004"/>
      <c r="BK60" s="2004"/>
      <c r="BN60" s="2004"/>
      <c r="BO60" s="2004"/>
      <c r="BP60" s="2004"/>
      <c r="BQ60" s="2004"/>
      <c r="BR60" s="2004"/>
      <c r="BU60" s="2004"/>
      <c r="BV60" s="2004"/>
      <c r="BW60" s="2004"/>
      <c r="BX60" s="2004"/>
      <c r="BY60" s="2004"/>
      <c r="CB60" s="2004"/>
      <c r="CC60" s="2004"/>
      <c r="CD60" s="2004"/>
      <c r="CE60" s="2004"/>
      <c r="CF60" s="2004"/>
      <c r="CI60" s="2004"/>
      <c r="CJ60" s="2004"/>
      <c r="CK60" s="2004"/>
      <c r="CL60" s="2004"/>
      <c r="CM60" s="2004"/>
      <c r="CP60" s="54"/>
      <c r="CQ60" s="54"/>
      <c r="CR60" s="54"/>
      <c r="CS60" s="54"/>
      <c r="CT60" s="710"/>
      <c r="CW60" s="2004"/>
      <c r="CX60" s="2004"/>
      <c r="CY60" s="2004"/>
      <c r="CZ60" s="2004"/>
      <c r="DA60" s="2004"/>
      <c r="DD60" s="2004"/>
      <c r="DE60" s="2004"/>
      <c r="DF60" s="2004"/>
      <c r="DG60" s="2004"/>
      <c r="DH60" s="2004"/>
      <c r="DK60" s="54"/>
      <c r="DL60" s="54"/>
      <c r="DM60" s="54"/>
      <c r="DN60" s="54"/>
      <c r="DO60" s="710"/>
    </row>
    <row r="61" spans="10:140" ht="15.75" customHeight="1">
      <c r="J61" s="2004"/>
      <c r="K61" s="2004"/>
      <c r="L61" s="2004"/>
      <c r="M61" s="2004"/>
      <c r="N61" s="2004"/>
      <c r="Q61" s="2004"/>
      <c r="R61" s="2004"/>
      <c r="S61" s="2004"/>
      <c r="T61" s="2004"/>
      <c r="U61" s="2004"/>
      <c r="X61" s="2004"/>
      <c r="Y61" s="2004"/>
      <c r="Z61" s="2004"/>
      <c r="AA61" s="2004"/>
      <c r="AB61" s="2004"/>
      <c r="AE61" s="2004"/>
      <c r="AF61" s="2004"/>
      <c r="AG61" s="2004"/>
      <c r="AH61" s="2004"/>
      <c r="AI61" s="2004"/>
      <c r="AL61" s="2004"/>
      <c r="AM61" s="2004"/>
      <c r="AN61" s="2004"/>
      <c r="AO61" s="2004"/>
      <c r="AP61" s="2004"/>
      <c r="AS61" s="2004"/>
      <c r="AT61" s="2004"/>
      <c r="AU61" s="2004"/>
      <c r="AV61" s="2004"/>
      <c r="AW61" s="2004"/>
      <c r="AZ61" s="2004"/>
      <c r="BA61" s="2004"/>
      <c r="BB61" s="2004"/>
      <c r="BC61" s="2004"/>
      <c r="BD61" s="2004"/>
      <c r="BG61" s="2004"/>
      <c r="BH61" s="2004"/>
      <c r="BI61" s="2004"/>
      <c r="BJ61" s="2004"/>
      <c r="BK61" s="2004"/>
      <c r="BN61" s="2004"/>
      <c r="BO61" s="2004"/>
      <c r="BP61" s="2004"/>
      <c r="BQ61" s="2004"/>
      <c r="BR61" s="2004"/>
      <c r="BU61" s="2004"/>
      <c r="BV61" s="2004"/>
      <c r="BW61" s="2004"/>
      <c r="BX61" s="2004"/>
      <c r="BY61" s="2004"/>
      <c r="CB61" s="2004"/>
      <c r="CC61" s="2004"/>
      <c r="CD61" s="2004"/>
      <c r="CE61" s="2004"/>
      <c r="CF61" s="2004"/>
      <c r="CI61" s="2004"/>
      <c r="CJ61" s="2004"/>
      <c r="CK61" s="2004"/>
      <c r="CL61" s="2004"/>
      <c r="CM61" s="2004"/>
      <c r="CP61" s="54"/>
      <c r="CQ61" s="54"/>
      <c r="CR61" s="54"/>
      <c r="CS61" s="54"/>
      <c r="CT61" s="710"/>
      <c r="CW61" s="2004"/>
      <c r="CX61" s="2004"/>
      <c r="CY61" s="2004"/>
      <c r="CZ61" s="2004"/>
      <c r="DA61" s="2004"/>
      <c r="DD61" s="2004"/>
      <c r="DE61" s="2004"/>
      <c r="DF61" s="2004"/>
      <c r="DG61" s="2004"/>
      <c r="DH61" s="2004"/>
      <c r="DK61" s="2004"/>
      <c r="DL61" s="2004"/>
      <c r="DM61" s="2004"/>
      <c r="DN61" s="2004"/>
    </row>
    <row r="62" spans="10:140" ht="15.75" customHeight="1">
      <c r="J62" s="2004"/>
      <c r="K62" s="2004"/>
      <c r="L62" s="2004"/>
      <c r="M62" s="2004"/>
      <c r="N62" s="2004"/>
      <c r="Q62" s="2004"/>
      <c r="R62" s="2004"/>
      <c r="S62" s="2004"/>
      <c r="T62" s="2004"/>
      <c r="U62" s="2004"/>
      <c r="X62" s="2004"/>
      <c r="Y62" s="2004"/>
      <c r="Z62" s="2004"/>
      <c r="AA62" s="2004"/>
      <c r="AB62" s="2004"/>
      <c r="AE62" s="2004"/>
      <c r="AF62" s="2004"/>
      <c r="AG62" s="2004"/>
      <c r="AH62" s="2004"/>
      <c r="AI62" s="2004"/>
      <c r="AL62" s="2004"/>
      <c r="AM62" s="2004"/>
      <c r="AN62" s="2004"/>
      <c r="AO62" s="2004"/>
      <c r="AP62" s="2004"/>
      <c r="AS62" s="2004"/>
      <c r="AT62" s="2004"/>
      <c r="AU62" s="2004"/>
      <c r="AV62" s="2004"/>
      <c r="AW62" s="2004"/>
      <c r="AZ62" s="2004"/>
      <c r="BA62" s="2004"/>
      <c r="BB62" s="2004"/>
      <c r="BC62" s="2004"/>
      <c r="BD62" s="2004"/>
      <c r="BG62" s="2004"/>
      <c r="BH62" s="2004"/>
      <c r="BI62" s="2004"/>
      <c r="BJ62" s="2004"/>
      <c r="BK62" s="2004"/>
      <c r="BN62" s="2004"/>
      <c r="BO62" s="2004"/>
      <c r="BP62" s="2004"/>
      <c r="BQ62" s="2004"/>
      <c r="BR62" s="2004"/>
      <c r="BU62" s="2004"/>
      <c r="BV62" s="2004"/>
      <c r="BW62" s="2004"/>
      <c r="BX62" s="2004"/>
      <c r="BY62" s="2004"/>
      <c r="CB62" s="2004"/>
      <c r="CC62" s="2004"/>
      <c r="CD62" s="2004"/>
      <c r="CE62" s="2004"/>
      <c r="CF62" s="2004"/>
      <c r="CI62" s="2004"/>
      <c r="CJ62" s="2004"/>
      <c r="CK62" s="2004"/>
      <c r="CL62" s="2004"/>
      <c r="CM62" s="2004"/>
      <c r="CP62" s="54"/>
      <c r="CQ62" s="54"/>
      <c r="CR62" s="54"/>
      <c r="CS62" s="54"/>
      <c r="CT62" s="710"/>
      <c r="CW62" s="2004"/>
      <c r="CX62" s="2004"/>
      <c r="CY62" s="2004"/>
      <c r="CZ62" s="2004"/>
      <c r="DA62" s="2004"/>
      <c r="DD62" s="2004"/>
      <c r="DE62" s="2004"/>
      <c r="DF62" s="2004"/>
      <c r="DG62" s="2004"/>
      <c r="DH62" s="2004"/>
      <c r="DK62" s="2004"/>
      <c r="DL62" s="2004"/>
      <c r="DM62" s="2004"/>
      <c r="DN62" s="2004"/>
    </row>
    <row r="63" spans="10:140" ht="15.75" customHeight="1">
      <c r="J63" s="2004"/>
      <c r="K63" s="2004"/>
      <c r="L63" s="2004"/>
      <c r="M63" s="2004"/>
      <c r="N63" s="2004"/>
      <c r="Q63" s="2004"/>
      <c r="R63" s="2004"/>
      <c r="S63" s="2004"/>
      <c r="T63" s="2004"/>
      <c r="U63" s="2004"/>
      <c r="X63" s="2004"/>
      <c r="Y63" s="2004"/>
      <c r="Z63" s="2004"/>
      <c r="AA63" s="2004"/>
      <c r="AB63" s="2004"/>
      <c r="AE63" s="2004"/>
      <c r="AF63" s="2004"/>
      <c r="AG63" s="2004"/>
      <c r="AH63" s="2004"/>
      <c r="AI63" s="2004"/>
      <c r="AL63" s="2004"/>
      <c r="AM63" s="2004"/>
      <c r="AN63" s="2004"/>
      <c r="AO63" s="2004"/>
      <c r="AP63" s="2004"/>
      <c r="AS63" s="2004"/>
      <c r="AT63" s="2004"/>
      <c r="AU63" s="2004"/>
      <c r="AV63" s="2004"/>
      <c r="AW63" s="2004"/>
      <c r="AZ63" s="2004"/>
      <c r="BA63" s="2004"/>
      <c r="BB63" s="2004"/>
      <c r="BC63" s="2004"/>
      <c r="BD63" s="2004"/>
      <c r="BG63" s="2004"/>
      <c r="BH63" s="2004"/>
      <c r="BI63" s="2004"/>
      <c r="BJ63" s="2004"/>
      <c r="BK63" s="2004"/>
      <c r="BN63" s="2004"/>
      <c r="BO63" s="2004"/>
      <c r="BP63" s="2004"/>
      <c r="BQ63" s="2004"/>
      <c r="BR63" s="2004"/>
      <c r="BU63" s="2004"/>
      <c r="BV63" s="2004"/>
      <c r="BW63" s="2004"/>
      <c r="BX63" s="2004"/>
      <c r="BY63" s="2004"/>
      <c r="CB63" s="2004"/>
      <c r="CC63" s="2004"/>
      <c r="CD63" s="2004"/>
      <c r="CE63" s="2004"/>
      <c r="CF63" s="2004"/>
      <c r="CI63" s="2004"/>
      <c r="CJ63" s="2004"/>
      <c r="CK63" s="2004"/>
      <c r="CL63" s="2004"/>
      <c r="CM63" s="2004"/>
      <c r="CP63" s="54"/>
      <c r="CQ63" s="54"/>
      <c r="CR63" s="54"/>
      <c r="CS63" s="54"/>
      <c r="CT63" s="710"/>
      <c r="CW63" s="2004"/>
      <c r="CX63" s="2004"/>
      <c r="CY63" s="2004"/>
      <c r="CZ63" s="2004"/>
      <c r="DA63" s="2004"/>
      <c r="DD63" s="2004"/>
      <c r="DE63" s="2004"/>
      <c r="DF63" s="2004"/>
      <c r="DG63" s="2004"/>
      <c r="DH63" s="2004"/>
      <c r="DK63" s="2004"/>
      <c r="DL63" s="2004"/>
      <c r="DM63" s="2004"/>
      <c r="DN63" s="2004"/>
    </row>
    <row r="64" spans="10:140" ht="15.75" customHeight="1">
      <c r="J64" s="2004"/>
      <c r="K64" s="2004"/>
      <c r="L64" s="2004"/>
      <c r="M64" s="2004"/>
      <c r="N64" s="2004"/>
      <c r="Q64" s="2004"/>
      <c r="R64" s="2004"/>
      <c r="S64" s="2004"/>
      <c r="T64" s="2004"/>
      <c r="U64" s="2004"/>
      <c r="X64" s="2004"/>
      <c r="Y64" s="2004"/>
      <c r="Z64" s="2004"/>
      <c r="AA64" s="2004"/>
      <c r="AB64" s="2004"/>
      <c r="AE64" s="2004"/>
      <c r="AF64" s="2004"/>
      <c r="AG64" s="2004"/>
      <c r="AH64" s="2004"/>
      <c r="AI64" s="2004"/>
      <c r="AL64" s="2004"/>
      <c r="AM64" s="2004"/>
      <c r="AN64" s="2004"/>
      <c r="AO64" s="2004"/>
      <c r="AP64" s="2004"/>
      <c r="AS64" s="2004"/>
      <c r="AT64" s="2004"/>
      <c r="AU64" s="2004"/>
      <c r="AV64" s="2004"/>
      <c r="AW64" s="2004"/>
      <c r="AZ64" s="2004"/>
      <c r="BA64" s="2004"/>
      <c r="BB64" s="2004"/>
      <c r="BC64" s="2004"/>
      <c r="BD64" s="2004"/>
      <c r="BG64" s="2004"/>
      <c r="BH64" s="2004"/>
      <c r="BI64" s="2004"/>
      <c r="BJ64" s="2004"/>
      <c r="BK64" s="2004"/>
      <c r="BN64" s="2004"/>
      <c r="BO64" s="2004"/>
      <c r="BP64" s="2004"/>
      <c r="BQ64" s="2004"/>
      <c r="BR64" s="2004"/>
      <c r="BU64" s="2004"/>
      <c r="BV64" s="2004"/>
      <c r="BW64" s="2004"/>
      <c r="BX64" s="2004"/>
      <c r="BY64" s="2004"/>
      <c r="CB64" s="2004"/>
      <c r="CC64" s="2004"/>
      <c r="CD64" s="2004"/>
      <c r="CE64" s="2004"/>
      <c r="CF64" s="2004"/>
      <c r="CI64" s="2004"/>
      <c r="CJ64" s="2004"/>
      <c r="CK64" s="2004"/>
      <c r="CL64" s="2004"/>
      <c r="CM64" s="2004"/>
      <c r="CP64" s="54"/>
      <c r="CQ64" s="54"/>
      <c r="CR64" s="54"/>
      <c r="CS64" s="54"/>
      <c r="CT64" s="710"/>
      <c r="CW64" s="2004"/>
      <c r="CX64" s="2004"/>
      <c r="CY64" s="2004"/>
      <c r="CZ64" s="2004"/>
      <c r="DA64" s="2004"/>
      <c r="DD64" s="2004"/>
      <c r="DE64" s="2004"/>
      <c r="DF64" s="2004"/>
      <c r="DG64" s="2004"/>
      <c r="DH64" s="2004"/>
      <c r="DK64" s="2004"/>
      <c r="DL64" s="2004"/>
      <c r="DM64" s="2004"/>
      <c r="DN64" s="2004"/>
    </row>
    <row r="65" spans="94:107" ht="15.75" customHeight="1">
      <c r="CP65" s="54"/>
      <c r="CQ65" s="54"/>
      <c r="CR65" s="54"/>
      <c r="CS65" s="54"/>
      <c r="CT65" s="710"/>
      <c r="CW65" s="2004"/>
      <c r="CX65" s="2004"/>
      <c r="CY65" s="2004"/>
      <c r="CZ65" s="2004"/>
      <c r="DA65" s="2004"/>
    </row>
    <row r="66" spans="94:107" ht="15.75" customHeight="1">
      <c r="CP66" s="54"/>
      <c r="CQ66" s="54"/>
      <c r="CR66" s="54"/>
      <c r="CS66" s="54"/>
      <c r="CT66" s="710"/>
      <c r="CW66" s="2004"/>
      <c r="CX66" s="2004"/>
      <c r="CY66" s="2004"/>
      <c r="CZ66" s="2004"/>
      <c r="DA66" s="2004"/>
      <c r="DB66" s="56"/>
      <c r="DC66" s="57"/>
    </row>
    <row r="67" spans="94:107" ht="15.75" customHeight="1">
      <c r="CP67" s="54"/>
      <c r="CQ67" s="54"/>
      <c r="CR67" s="54"/>
      <c r="CS67" s="54"/>
      <c r="CT67" s="710"/>
      <c r="CW67" s="2004"/>
      <c r="CX67" s="2004"/>
      <c r="CY67" s="2004"/>
      <c r="CZ67" s="2004"/>
      <c r="DA67" s="2004"/>
    </row>
    <row r="68" spans="94:107" ht="15.75" customHeight="1">
      <c r="CP68" s="54"/>
      <c r="CQ68" s="54"/>
      <c r="CR68" s="54"/>
      <c r="CS68" s="54"/>
      <c r="CT68" s="710"/>
      <c r="CW68" s="2004"/>
      <c r="CX68" s="2004"/>
      <c r="CY68" s="2004"/>
      <c r="CZ68" s="2004"/>
      <c r="DA68" s="2004"/>
    </row>
    <row r="69" spans="94:107" ht="15.75" customHeight="1">
      <c r="CP69" s="54"/>
      <c r="CQ69" s="54"/>
      <c r="CR69" s="54"/>
      <c r="CS69" s="54"/>
      <c r="CT69" s="710"/>
      <c r="CW69" s="2004"/>
      <c r="CX69" s="2004"/>
      <c r="CY69" s="2004"/>
      <c r="CZ69" s="2004"/>
      <c r="DA69" s="2004"/>
    </row>
    <row r="70" spans="94:107" ht="15.75" customHeight="1">
      <c r="CP70" s="54"/>
      <c r="CQ70" s="54"/>
      <c r="CR70" s="54"/>
      <c r="CS70" s="54"/>
      <c r="CT70" s="710"/>
      <c r="CW70" s="2004"/>
      <c r="CX70" s="2004"/>
      <c r="CY70" s="2004"/>
      <c r="CZ70" s="2004"/>
      <c r="DA70" s="2004"/>
    </row>
    <row r="71" spans="94:107" ht="15.75" customHeight="1">
      <c r="CP71" s="2004"/>
      <c r="CQ71" s="2004"/>
      <c r="CR71" s="2004"/>
      <c r="CS71" s="2004"/>
      <c r="CW71" s="2004"/>
      <c r="CX71" s="2004"/>
      <c r="CY71" s="2004"/>
      <c r="CZ71" s="2004"/>
      <c r="DA71" s="2004"/>
    </row>
    <row r="72" spans="94:107" ht="15.75" customHeight="1">
      <c r="CP72" s="2004"/>
      <c r="CQ72" s="2004"/>
      <c r="CR72" s="2004"/>
      <c r="CS72" s="2004"/>
      <c r="CW72" s="2004"/>
      <c r="CX72" s="2004"/>
      <c r="CY72" s="2004"/>
      <c r="CZ72" s="2004"/>
      <c r="DA72" s="2004"/>
    </row>
    <row r="73" spans="94:107" ht="15.75" customHeight="1">
      <c r="CP73" s="2004"/>
      <c r="CQ73" s="2004"/>
      <c r="CR73" s="2004"/>
      <c r="CS73" s="2004"/>
      <c r="CW73" s="2004"/>
      <c r="CX73" s="2004"/>
      <c r="CY73" s="2004"/>
      <c r="CZ73" s="2004"/>
      <c r="DA73" s="2004"/>
    </row>
    <row r="74" spans="94:107" ht="15.75" customHeight="1">
      <c r="CP74" s="2004"/>
      <c r="CQ74" s="2004"/>
      <c r="CR74" s="2004"/>
      <c r="CS74" s="2004"/>
      <c r="CW74" s="2004"/>
      <c r="CX74" s="2004"/>
      <c r="CY74" s="2004"/>
      <c r="CZ74" s="2004"/>
      <c r="DA74" s="2004"/>
    </row>
    <row r="75" spans="94:107" ht="15.75" customHeight="1">
      <c r="CP75" s="2004"/>
      <c r="CQ75" s="2004"/>
      <c r="CR75" s="2004"/>
      <c r="CS75" s="2004"/>
      <c r="CW75" s="2004"/>
      <c r="CX75" s="2004"/>
      <c r="CY75" s="2004"/>
      <c r="CZ75" s="2004"/>
      <c r="DA75" s="2004"/>
    </row>
    <row r="76" spans="94:107" ht="15.75" customHeight="1">
      <c r="CP76" s="2004"/>
      <c r="CQ76" s="2004"/>
      <c r="CR76" s="2004"/>
      <c r="CS76" s="2004"/>
      <c r="CW76" s="2004"/>
      <c r="CX76" s="2004"/>
      <c r="CY76" s="2004"/>
      <c r="CZ76" s="2004"/>
      <c r="DA76" s="2004"/>
    </row>
    <row r="77" spans="94:107" ht="15.75" customHeight="1">
      <c r="CP77" s="2004"/>
      <c r="CQ77" s="2004"/>
      <c r="CR77" s="2004"/>
      <c r="CS77" s="2004"/>
      <c r="CW77" s="2004"/>
      <c r="CX77" s="2004"/>
      <c r="CY77" s="2004"/>
      <c r="CZ77" s="2004"/>
      <c r="DA77" s="2004"/>
    </row>
    <row r="78" spans="94:107" ht="15.75" customHeight="1">
      <c r="CP78" s="2004"/>
      <c r="CQ78" s="2004"/>
      <c r="CR78" s="2004"/>
      <c r="CS78" s="2004"/>
      <c r="CW78" s="2004"/>
      <c r="CX78" s="2004"/>
      <c r="CY78" s="2004"/>
      <c r="CZ78" s="2004"/>
      <c r="DA78" s="2004"/>
    </row>
    <row r="79" spans="94:107" ht="15.75" customHeight="1">
      <c r="CP79" s="2004"/>
      <c r="CQ79" s="2004"/>
      <c r="CR79" s="2004"/>
      <c r="CS79" s="2004"/>
      <c r="CW79" s="2004"/>
      <c r="CX79" s="2004"/>
      <c r="CY79" s="2004"/>
      <c r="CZ79" s="2004"/>
      <c r="DA79" s="2004"/>
    </row>
    <row r="80" spans="94:107" ht="15.75" customHeight="1">
      <c r="CP80" s="2004"/>
      <c r="CQ80" s="2004"/>
      <c r="CR80" s="2004"/>
      <c r="CS80" s="2004"/>
      <c r="CW80" s="2004"/>
      <c r="CX80" s="2004"/>
      <c r="CY80" s="2004"/>
      <c r="CZ80" s="2004"/>
      <c r="DA80" s="2004"/>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4Y3ApqOo5z2D54bgTJ/e4om3rRYiYS5Lv8wg4mm3f4XbzCsAQrpxJHv6kJhP5MCmHiTL87RVr4GrQqneF1QX2Q==" saltValue="NDivl0J/C/QmRbWd+xz5y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customProperties>
    <customPr name="_pios_id" r:id="rId2"/>
    <customPr name="EpmWorksheetKeyString_GUID" r:id="rId3"/>
  </customProperties>
  <legacyDrawing r:id="rId4"/>
  <legacyDrawingHF r:id="rId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BH223"/>
  <sheetViews>
    <sheetView workbookViewId="0"/>
  </sheetViews>
  <sheetFormatPr defaultColWidth="8.875" defaultRowHeight="14.25"/>
  <cols>
    <col min="49" max="52" width="9" style="2004"/>
    <col min="53" max="53" width="3.125" customWidth="1"/>
  </cols>
  <sheetData>
    <row r="1" spans="1:54" ht="90">
      <c r="A1" s="2218"/>
      <c r="B1" s="2218"/>
      <c r="C1" s="2218"/>
      <c r="D1" s="2218"/>
      <c r="E1" s="2218"/>
      <c r="F1" s="2218"/>
      <c r="G1" s="2218"/>
      <c r="H1" s="2218"/>
      <c r="I1" s="2218"/>
      <c r="J1" s="2218"/>
      <c r="K1" s="2218" t="s">
        <v>12387</v>
      </c>
      <c r="L1" s="2218"/>
      <c r="M1" s="2218"/>
      <c r="N1" s="2218"/>
      <c r="O1" s="2218"/>
      <c r="P1" s="2218"/>
      <c r="Q1" s="2218"/>
      <c r="R1" s="2218"/>
      <c r="S1" s="2218"/>
      <c r="T1" s="2218"/>
      <c r="U1" s="2218"/>
      <c r="V1" s="2218" t="s">
        <v>12388</v>
      </c>
      <c r="W1" s="2218"/>
      <c r="X1" s="2218"/>
      <c r="Y1" s="2218"/>
      <c r="Z1" s="2218"/>
      <c r="AA1" s="2218"/>
      <c r="AB1" s="2218"/>
      <c r="AC1" s="2218" t="s">
        <v>12389</v>
      </c>
      <c r="AD1" s="2218"/>
      <c r="AE1" s="2218"/>
      <c r="AF1" s="2218"/>
      <c r="AG1" s="2218"/>
      <c r="AH1" s="2218"/>
      <c r="AI1" s="2218"/>
      <c r="AJ1" s="2218" t="s">
        <v>12390</v>
      </c>
      <c r="AK1" s="2218"/>
      <c r="AL1" s="2218"/>
      <c r="AM1" s="2218"/>
      <c r="AN1" s="2218"/>
      <c r="AO1" s="2218"/>
      <c r="AP1" s="2218"/>
      <c r="AQ1" s="2218"/>
      <c r="AR1" s="2219" t="s">
        <v>12391</v>
      </c>
      <c r="AS1" s="2219"/>
      <c r="AT1" s="2219"/>
      <c r="AU1" s="2220" t="s">
        <v>12392</v>
      </c>
      <c r="AV1" s="2220"/>
      <c r="AW1" s="2221" t="s">
        <v>12393</v>
      </c>
      <c r="AX1" s="2221"/>
      <c r="AY1" s="2960" t="s">
        <v>12394</v>
      </c>
      <c r="AZ1" s="2960"/>
      <c r="BA1" s="2218"/>
      <c r="BB1" s="2218"/>
    </row>
    <row r="2" spans="1:54" ht="56.25">
      <c r="A2" s="2218" t="s">
        <v>2308</v>
      </c>
      <c r="B2" s="2218" t="s">
        <v>9133</v>
      </c>
      <c r="C2" s="2218" t="s">
        <v>9132</v>
      </c>
      <c r="D2" s="2218" t="s">
        <v>9135</v>
      </c>
      <c r="E2" s="2218" t="s">
        <v>9137</v>
      </c>
      <c r="F2" s="2218" t="s">
        <v>2309</v>
      </c>
      <c r="G2" s="2218" t="s">
        <v>12395</v>
      </c>
      <c r="H2" s="2218" t="s">
        <v>12396</v>
      </c>
      <c r="I2" s="2218" t="s">
        <v>9145</v>
      </c>
      <c r="J2" s="2218" t="s">
        <v>9147</v>
      </c>
      <c r="K2" s="2218" t="s">
        <v>12397</v>
      </c>
      <c r="L2" s="2218" t="s">
        <v>12398</v>
      </c>
      <c r="M2" s="2218" t="s">
        <v>12399</v>
      </c>
      <c r="N2" s="2218" t="s">
        <v>12400</v>
      </c>
      <c r="O2" s="2218" t="s">
        <v>12401</v>
      </c>
      <c r="P2" s="2218" t="s">
        <v>12402</v>
      </c>
      <c r="Q2" s="2218" t="s">
        <v>2368</v>
      </c>
      <c r="R2" s="2218" t="s">
        <v>12403</v>
      </c>
      <c r="S2" s="2218" t="s">
        <v>12404</v>
      </c>
      <c r="T2" s="2218" t="s">
        <v>2310</v>
      </c>
      <c r="U2" s="2218" t="s">
        <v>2312</v>
      </c>
      <c r="V2" s="2218" t="s">
        <v>12405</v>
      </c>
      <c r="W2" s="2218" t="s">
        <v>12406</v>
      </c>
      <c r="X2" s="2218" t="s">
        <v>9163</v>
      </c>
      <c r="Y2" s="2218" t="s">
        <v>2928</v>
      </c>
      <c r="Z2" s="2218" t="s">
        <v>2929</v>
      </c>
      <c r="AA2" s="2218" t="s">
        <v>2930</v>
      </c>
      <c r="AB2" s="2218" t="s">
        <v>2931</v>
      </c>
      <c r="AC2" s="2218" t="s">
        <v>12405</v>
      </c>
      <c r="AD2" s="2218" t="s">
        <v>12406</v>
      </c>
      <c r="AE2" s="2218" t="s">
        <v>9163</v>
      </c>
      <c r="AF2" s="2218" t="s">
        <v>2928</v>
      </c>
      <c r="AG2" s="2218" t="s">
        <v>2929</v>
      </c>
      <c r="AH2" s="2218" t="s">
        <v>2930</v>
      </c>
      <c r="AI2" s="2218" t="s">
        <v>2931</v>
      </c>
      <c r="AJ2" s="2218" t="s">
        <v>12405</v>
      </c>
      <c r="AK2" s="2218" t="s">
        <v>12406</v>
      </c>
      <c r="AL2" s="2218" t="s">
        <v>9163</v>
      </c>
      <c r="AM2" s="2218" t="s">
        <v>2928</v>
      </c>
      <c r="AN2" s="2218" t="s">
        <v>2929</v>
      </c>
      <c r="AO2" s="2218" t="s">
        <v>2930</v>
      </c>
      <c r="AP2" s="2218" t="s">
        <v>2931</v>
      </c>
      <c r="AQ2" s="2218" t="s">
        <v>12407</v>
      </c>
      <c r="AR2" s="2219" t="s">
        <v>12408</v>
      </c>
      <c r="AS2" s="2219" t="s">
        <v>12409</v>
      </c>
      <c r="AT2" s="2219" t="s">
        <v>12410</v>
      </c>
      <c r="AU2" s="2220" t="s">
        <v>12411</v>
      </c>
      <c r="AV2" s="2220" t="s">
        <v>12412</v>
      </c>
      <c r="AW2" s="2221" t="s">
        <v>12413</v>
      </c>
      <c r="AX2" s="2221" t="s">
        <v>12414</v>
      </c>
      <c r="AY2" s="2960" t="s">
        <v>12415</v>
      </c>
      <c r="AZ2" s="2960" t="s">
        <v>12416</v>
      </c>
      <c r="BA2" s="2218"/>
      <c r="BB2" s="2218" t="s">
        <v>2309</v>
      </c>
    </row>
    <row r="3" spans="1:54">
      <c r="A3" s="2004" t="s">
        <v>9390</v>
      </c>
      <c r="B3" s="2004" t="s">
        <v>9047</v>
      </c>
      <c r="C3" s="2004" t="s">
        <v>9050</v>
      </c>
      <c r="D3" s="2004" t="s">
        <v>9194</v>
      </c>
      <c r="E3" s="2004" t="s">
        <v>9392</v>
      </c>
      <c r="F3" s="2004" t="s">
        <v>9394</v>
      </c>
      <c r="G3" s="2004" t="s">
        <v>9210</v>
      </c>
      <c r="H3" s="2004" t="s">
        <v>9260</v>
      </c>
      <c r="I3" s="2004" t="s">
        <v>9396</v>
      </c>
      <c r="J3" s="2004" t="s">
        <v>2338</v>
      </c>
      <c r="K3" s="2004" t="s">
        <v>2934</v>
      </c>
      <c r="L3" s="2004" t="s">
        <v>2934</v>
      </c>
      <c r="M3" s="2004" t="s">
        <v>2934</v>
      </c>
      <c r="N3" s="2004" t="s">
        <v>2934</v>
      </c>
      <c r="O3" s="2004" t="s">
        <v>2934</v>
      </c>
      <c r="P3" s="2004" t="s">
        <v>12417</v>
      </c>
      <c r="Q3" s="2004" t="s">
        <v>9394</v>
      </c>
      <c r="R3" s="2004"/>
      <c r="S3" s="2004"/>
      <c r="T3" s="2004" t="s">
        <v>9395</v>
      </c>
      <c r="U3" s="2004" t="s">
        <v>9203</v>
      </c>
      <c r="V3" s="2004"/>
      <c r="W3" s="2004"/>
      <c r="X3" s="2004"/>
      <c r="Y3" s="2004"/>
      <c r="Z3" s="2004"/>
      <c r="AA3" s="2004"/>
      <c r="AB3" s="2004"/>
      <c r="AC3" s="2004"/>
      <c r="AD3" s="2004"/>
      <c r="AE3" s="2004"/>
      <c r="AF3" s="2004"/>
      <c r="AG3" s="2004"/>
      <c r="AH3" s="2004"/>
      <c r="AI3" s="2004"/>
      <c r="AJ3" s="2004"/>
      <c r="AK3" s="2004"/>
      <c r="AL3" s="2004"/>
      <c r="AM3" s="2004"/>
      <c r="AN3" s="2004"/>
      <c r="AO3" s="2004"/>
      <c r="AP3" s="2004"/>
      <c r="AQ3" s="2004"/>
      <c r="AR3" s="2004" t="s">
        <v>2338</v>
      </c>
      <c r="AS3" s="2004" t="s">
        <v>2934</v>
      </c>
      <c r="AT3" s="2004" t="s">
        <v>2337</v>
      </c>
      <c r="AU3" s="2004" t="s">
        <v>2935</v>
      </c>
      <c r="AV3" s="2004" t="s">
        <v>2334</v>
      </c>
      <c r="AW3" s="2004" t="s">
        <v>2934</v>
      </c>
      <c r="AX3" s="2004" t="s">
        <v>2337</v>
      </c>
      <c r="AY3" s="2004" t="s">
        <v>2934</v>
      </c>
      <c r="AZ3" s="2004" t="s">
        <v>2337</v>
      </c>
      <c r="BA3" s="2004"/>
      <c r="BB3" s="2004" t="s">
        <v>12418</v>
      </c>
    </row>
    <row r="4" spans="1:54">
      <c r="A4" s="2004" t="s">
        <v>9390</v>
      </c>
      <c r="B4" s="2004" t="s">
        <v>9047</v>
      </c>
      <c r="C4" s="2004" t="s">
        <v>9050</v>
      </c>
      <c r="D4" s="2004" t="s">
        <v>9194</v>
      </c>
      <c r="E4" s="2004" t="s">
        <v>9392</v>
      </c>
      <c r="F4" s="2004" t="s">
        <v>9394</v>
      </c>
      <c r="G4" s="2004"/>
      <c r="H4" s="2004"/>
      <c r="I4" s="2004"/>
      <c r="J4" s="2004"/>
      <c r="K4" s="2004"/>
      <c r="L4" s="2004"/>
      <c r="M4" s="2004"/>
      <c r="N4" s="2004"/>
      <c r="O4" s="2004"/>
      <c r="P4" s="2004" t="s">
        <v>12419</v>
      </c>
      <c r="Q4" s="2004" t="s">
        <v>12420</v>
      </c>
      <c r="R4" s="2004" t="s">
        <v>12421</v>
      </c>
      <c r="S4" s="2004"/>
      <c r="T4" s="2004" t="s">
        <v>766</v>
      </c>
      <c r="U4" s="516" t="s">
        <v>3016</v>
      </c>
      <c r="V4" s="2004">
        <v>750</v>
      </c>
      <c r="W4" s="2004"/>
      <c r="X4" s="2004">
        <v>750</v>
      </c>
      <c r="Y4" s="2004">
        <v>750</v>
      </c>
      <c r="Z4" s="2004">
        <v>750</v>
      </c>
      <c r="AA4" s="2004">
        <v>750</v>
      </c>
      <c r="AB4" s="2004">
        <v>750</v>
      </c>
      <c r="AC4" s="2004">
        <v>1500</v>
      </c>
      <c r="AD4" s="2004"/>
      <c r="AE4" s="2004">
        <v>1500</v>
      </c>
      <c r="AF4" s="2004">
        <v>1500</v>
      </c>
      <c r="AG4" s="2004">
        <v>1500</v>
      </c>
      <c r="AH4" s="2004">
        <v>1500</v>
      </c>
      <c r="AI4" s="2004">
        <v>1500</v>
      </c>
      <c r="AJ4" s="2004"/>
      <c r="AK4" s="2004"/>
      <c r="AL4" s="2004"/>
      <c r="AM4" s="2004"/>
      <c r="AN4" s="2004"/>
      <c r="AO4" s="2004"/>
      <c r="AP4" s="2004"/>
      <c r="AQ4" s="2004">
        <v>1500</v>
      </c>
      <c r="AR4" s="2004">
        <v>6529</v>
      </c>
      <c r="AS4" s="2004">
        <v>1256</v>
      </c>
      <c r="AT4" s="2004" t="s">
        <v>2337</v>
      </c>
      <c r="AU4" s="2004">
        <v>2459</v>
      </c>
      <c r="AV4" s="2004" t="s">
        <v>2334</v>
      </c>
      <c r="AW4" s="2004">
        <v>1263</v>
      </c>
      <c r="AX4" s="2004" t="s">
        <v>2337</v>
      </c>
      <c r="AY4" s="2004">
        <v>2267</v>
      </c>
      <c r="AZ4" s="2004" t="s">
        <v>2334</v>
      </c>
      <c r="BA4" s="2004"/>
      <c r="BB4" s="2004" t="s">
        <v>12422</v>
      </c>
    </row>
    <row r="5" spans="1:54">
      <c r="A5" s="2004" t="s">
        <v>9390</v>
      </c>
      <c r="B5" s="2004" t="s">
        <v>9047</v>
      </c>
      <c r="C5" s="2004" t="s">
        <v>9050</v>
      </c>
      <c r="D5" s="2004" t="s">
        <v>9194</v>
      </c>
      <c r="E5" s="2004" t="s">
        <v>9392</v>
      </c>
      <c r="F5" s="2004" t="s">
        <v>9394</v>
      </c>
      <c r="G5" s="2004"/>
      <c r="H5" s="2004"/>
      <c r="I5" s="2004"/>
      <c r="J5" s="2004"/>
      <c r="K5" s="2004"/>
      <c r="L5" s="2004"/>
      <c r="M5" s="2004"/>
      <c r="N5" s="2004"/>
      <c r="O5" s="2004"/>
      <c r="P5" s="2004" t="s">
        <v>12423</v>
      </c>
      <c r="Q5" s="2004" t="s">
        <v>12424</v>
      </c>
      <c r="R5" s="2004" t="s">
        <v>12425</v>
      </c>
      <c r="S5" s="2004"/>
      <c r="T5" s="2004"/>
      <c r="U5" s="2004">
        <v>1</v>
      </c>
      <c r="V5" s="2004"/>
      <c r="W5" s="2004"/>
      <c r="X5" s="2004">
        <v>-5.3</v>
      </c>
      <c r="Y5" s="2004">
        <v>-5.3</v>
      </c>
      <c r="Z5" s="2004">
        <v>-5.3</v>
      </c>
      <c r="AA5" s="2004">
        <v>-5.3</v>
      </c>
      <c r="AB5" s="2004">
        <v>-5.3</v>
      </c>
      <c r="AC5" s="2004"/>
      <c r="AD5" s="2004"/>
      <c r="AE5" s="2004">
        <v>1.8</v>
      </c>
      <c r="AF5" s="2004">
        <v>1.8</v>
      </c>
      <c r="AG5" s="2004">
        <v>1.8</v>
      </c>
      <c r="AH5" s="2004">
        <v>1.8</v>
      </c>
      <c r="AI5" s="2004">
        <v>1.8</v>
      </c>
      <c r="AJ5" s="2004"/>
      <c r="AK5" s="2004"/>
      <c r="AL5" s="2004"/>
      <c r="AM5" s="2004"/>
      <c r="AN5" s="2004"/>
      <c r="AO5" s="2004"/>
      <c r="AP5" s="2004"/>
      <c r="AQ5" s="2004" t="s">
        <v>12426</v>
      </c>
      <c r="AR5" s="2004" t="s">
        <v>4150</v>
      </c>
      <c r="AS5" s="2004" t="s">
        <v>12427</v>
      </c>
      <c r="AT5" s="2004" t="s">
        <v>2337</v>
      </c>
      <c r="AU5" s="2004" t="s">
        <v>12428</v>
      </c>
      <c r="AV5" s="2004" t="s">
        <v>2334</v>
      </c>
      <c r="AW5" s="2004">
        <v>-11</v>
      </c>
      <c r="AX5" s="2004" t="s">
        <v>2337</v>
      </c>
      <c r="AY5" s="2004">
        <v>0</v>
      </c>
      <c r="AZ5" s="2004" t="s">
        <v>2337</v>
      </c>
      <c r="BA5" s="2004"/>
      <c r="BB5" s="2004" t="s">
        <v>12429</v>
      </c>
    </row>
    <row r="6" spans="1:54">
      <c r="A6" s="2004" t="s">
        <v>9390</v>
      </c>
      <c r="B6" s="2004" t="s">
        <v>9047</v>
      </c>
      <c r="C6" s="2004" t="s">
        <v>9050</v>
      </c>
      <c r="D6" s="2004" t="s">
        <v>9194</v>
      </c>
      <c r="E6" s="2004" t="s">
        <v>9392</v>
      </c>
      <c r="F6" s="2004" t="s">
        <v>9394</v>
      </c>
      <c r="G6" s="2004"/>
      <c r="H6" s="2004"/>
      <c r="I6" s="2004"/>
      <c r="J6" s="2004"/>
      <c r="K6" s="2004"/>
      <c r="L6" s="2004"/>
      <c r="M6" s="2004"/>
      <c r="N6" s="2004"/>
      <c r="O6" s="2004"/>
      <c r="P6" s="2004" t="s">
        <v>12430</v>
      </c>
      <c r="Q6" s="2004" t="s">
        <v>12431</v>
      </c>
      <c r="R6" s="2004" t="s">
        <v>12432</v>
      </c>
      <c r="S6" s="2004"/>
      <c r="T6" s="2004"/>
      <c r="U6" s="2004">
        <v>2</v>
      </c>
      <c r="V6" s="2004">
        <v>0.56000000000000005</v>
      </c>
      <c r="W6" s="2004"/>
      <c r="X6" s="2004">
        <v>0.47</v>
      </c>
      <c r="Y6" s="2004">
        <v>0.47</v>
      </c>
      <c r="Z6" s="2004">
        <v>0.47</v>
      </c>
      <c r="AA6" s="2004">
        <v>0.47</v>
      </c>
      <c r="AB6" s="2004">
        <v>0.47</v>
      </c>
      <c r="AC6" s="2004">
        <v>0.66</v>
      </c>
      <c r="AD6" s="2004"/>
      <c r="AE6" s="2004">
        <v>0.52</v>
      </c>
      <c r="AF6" s="2004">
        <v>0.52</v>
      </c>
      <c r="AG6" s="2004">
        <v>0.52</v>
      </c>
      <c r="AH6" s="2004">
        <v>0.52</v>
      </c>
      <c r="AI6" s="2004">
        <v>0.52</v>
      </c>
      <c r="AJ6" s="2004"/>
      <c r="AK6" s="2004"/>
      <c r="AL6" s="2004"/>
      <c r="AM6" s="2004"/>
      <c r="AN6" s="2004"/>
      <c r="AO6" s="2004"/>
      <c r="AP6" s="2004"/>
      <c r="AQ6" s="2004">
        <v>0.52</v>
      </c>
      <c r="AR6" s="2004">
        <v>0.47</v>
      </c>
      <c r="AS6" s="2004">
        <v>0.39</v>
      </c>
      <c r="AT6" s="2004" t="s">
        <v>2337</v>
      </c>
      <c r="AU6" s="2004">
        <v>0.41</v>
      </c>
      <c r="AV6" s="2004" t="s">
        <v>2337</v>
      </c>
      <c r="AW6" s="2004">
        <v>0.36</v>
      </c>
      <c r="AX6" s="2004" t="s">
        <v>2337</v>
      </c>
      <c r="AY6" s="2004">
        <v>0.37</v>
      </c>
      <c r="AZ6" s="2004" t="s">
        <v>2337</v>
      </c>
      <c r="BA6" s="2004"/>
      <c r="BB6" s="2004" t="s">
        <v>12433</v>
      </c>
    </row>
    <row r="7" spans="1:54">
      <c r="A7" s="2004" t="s">
        <v>9390</v>
      </c>
      <c r="B7" s="2004" t="s">
        <v>9047</v>
      </c>
      <c r="C7" s="2004" t="s">
        <v>9050</v>
      </c>
      <c r="D7" s="2004" t="s">
        <v>9194</v>
      </c>
      <c r="E7" s="2004" t="s">
        <v>9392</v>
      </c>
      <c r="F7" s="2004" t="s">
        <v>9394</v>
      </c>
      <c r="G7" s="2004"/>
      <c r="H7" s="2004"/>
      <c r="I7" s="2004"/>
      <c r="J7" s="2004"/>
      <c r="K7" s="2004"/>
      <c r="L7" s="2004"/>
      <c r="M7" s="2004"/>
      <c r="N7" s="2004"/>
      <c r="O7" s="2004"/>
      <c r="P7" s="2004" t="s">
        <v>12434</v>
      </c>
      <c r="Q7" s="2004" t="s">
        <v>12435</v>
      </c>
      <c r="R7" s="2004" t="s">
        <v>12436</v>
      </c>
      <c r="S7" s="2004"/>
      <c r="T7" s="2004"/>
      <c r="U7" s="2004">
        <v>2</v>
      </c>
      <c r="V7" s="2004">
        <v>7.0000000000000007E-2</v>
      </c>
      <c r="W7" s="2004"/>
      <c r="X7" s="2004">
        <v>7.0000000000000007E-2</v>
      </c>
      <c r="Y7" s="2004">
        <v>7.0000000000000007E-2</v>
      </c>
      <c r="Z7" s="2004">
        <v>7.0000000000000007E-2</v>
      </c>
      <c r="AA7" s="2004">
        <v>7.0000000000000007E-2</v>
      </c>
      <c r="AB7" s="2004">
        <v>7.0000000000000007E-2</v>
      </c>
      <c r="AC7" s="2004">
        <v>0.19</v>
      </c>
      <c r="AD7" s="2004"/>
      <c r="AE7" s="2004">
        <v>0.16</v>
      </c>
      <c r="AF7" s="2004">
        <v>0.16</v>
      </c>
      <c r="AG7" s="2004">
        <v>0.16</v>
      </c>
      <c r="AH7" s="2004">
        <v>0.16</v>
      </c>
      <c r="AI7" s="2004">
        <v>0.16</v>
      </c>
      <c r="AJ7" s="2004"/>
      <c r="AK7" s="2004"/>
      <c r="AL7" s="2004"/>
      <c r="AM7" s="2004"/>
      <c r="AN7" s="2004"/>
      <c r="AO7" s="2004"/>
      <c r="AP7" s="2004"/>
      <c r="AQ7" s="2004">
        <v>0.16</v>
      </c>
      <c r="AR7" s="2004">
        <v>0.06</v>
      </c>
      <c r="AS7" s="2004">
        <v>0.05</v>
      </c>
      <c r="AT7" s="2004" t="s">
        <v>2337</v>
      </c>
      <c r="AU7" s="2004">
        <v>0.04</v>
      </c>
      <c r="AV7" s="2004" t="s">
        <v>2337</v>
      </c>
      <c r="AW7" s="2004">
        <v>0.05</v>
      </c>
      <c r="AX7" s="2004" t="s">
        <v>2337</v>
      </c>
      <c r="AY7" s="2004">
        <v>7.0000000000000007E-2</v>
      </c>
      <c r="AZ7" s="2004" t="s">
        <v>2337</v>
      </c>
      <c r="BA7" s="2004"/>
      <c r="BB7" s="2004" t="s">
        <v>12437</v>
      </c>
    </row>
    <row r="8" spans="1:54">
      <c r="A8" s="2004" t="s">
        <v>9398</v>
      </c>
      <c r="B8" s="2004" t="s">
        <v>9047</v>
      </c>
      <c r="C8" s="2004" t="s">
        <v>9050</v>
      </c>
      <c r="D8" s="2004" t="s">
        <v>9194</v>
      </c>
      <c r="E8" s="2004" t="s">
        <v>9399</v>
      </c>
      <c r="F8" s="2004" t="s">
        <v>9401</v>
      </c>
      <c r="G8" s="2004" t="s">
        <v>9210</v>
      </c>
      <c r="H8" s="2004" t="s">
        <v>9260</v>
      </c>
      <c r="I8" s="2004" t="s">
        <v>9396</v>
      </c>
      <c r="J8" s="2004" t="s">
        <v>2338</v>
      </c>
      <c r="K8" s="2004" t="s">
        <v>2934</v>
      </c>
      <c r="L8" s="2004" t="s">
        <v>2934</v>
      </c>
      <c r="M8" s="2004" t="s">
        <v>2934</v>
      </c>
      <c r="N8" s="2004" t="s">
        <v>2934</v>
      </c>
      <c r="O8" s="2004" t="s">
        <v>2934</v>
      </c>
      <c r="P8" s="2004" t="s">
        <v>12417</v>
      </c>
      <c r="Q8" s="2004" t="s">
        <v>9401</v>
      </c>
      <c r="R8" s="2004"/>
      <c r="S8" s="2004"/>
      <c r="T8" s="2004" t="s">
        <v>9395</v>
      </c>
      <c r="U8" s="2004" t="s">
        <v>9203</v>
      </c>
      <c r="V8" s="2004"/>
      <c r="W8" s="2004"/>
      <c r="X8" s="2004"/>
      <c r="Y8" s="2004"/>
      <c r="Z8" s="2004"/>
      <c r="AA8" s="2004"/>
      <c r="AB8" s="2004"/>
      <c r="AC8" s="2004"/>
      <c r="AD8" s="2004"/>
      <c r="AE8" s="2004"/>
      <c r="AF8" s="2004"/>
      <c r="AG8" s="2004"/>
      <c r="AH8" s="2004"/>
      <c r="AI8" s="2004"/>
      <c r="AJ8" s="2004"/>
      <c r="AK8" s="2004"/>
      <c r="AL8" s="2004"/>
      <c r="AM8" s="2004"/>
      <c r="AN8" s="2004"/>
      <c r="AO8" s="2004"/>
      <c r="AP8" s="2004"/>
      <c r="AQ8" s="2004"/>
      <c r="AR8" s="2004" t="s">
        <v>2338</v>
      </c>
      <c r="AS8" s="2004" t="s">
        <v>2934</v>
      </c>
      <c r="AT8" s="2004" t="s">
        <v>2337</v>
      </c>
      <c r="AU8" s="2004" t="s">
        <v>2934</v>
      </c>
      <c r="AV8" s="2004" t="s">
        <v>2337</v>
      </c>
      <c r="AW8" s="2004" t="s">
        <v>2934</v>
      </c>
      <c r="AX8" s="2004" t="s">
        <v>2337</v>
      </c>
      <c r="AY8" s="2004" t="s">
        <v>2934</v>
      </c>
      <c r="AZ8" s="2004" t="s">
        <v>2337</v>
      </c>
      <c r="BA8" s="2004"/>
      <c r="BB8" s="2004" t="s">
        <v>12438</v>
      </c>
    </row>
    <row r="9" spans="1:54">
      <c r="A9" s="2004" t="s">
        <v>9398</v>
      </c>
      <c r="B9" s="2004" t="s">
        <v>9047</v>
      </c>
      <c r="C9" s="2004" t="s">
        <v>9050</v>
      </c>
      <c r="D9" s="2004" t="s">
        <v>9194</v>
      </c>
      <c r="E9" s="2004" t="s">
        <v>9399</v>
      </c>
      <c r="F9" s="2004" t="s">
        <v>9401</v>
      </c>
      <c r="G9" s="2004"/>
      <c r="H9" s="2004"/>
      <c r="I9" s="2004"/>
      <c r="J9" s="2004"/>
      <c r="K9" s="2004"/>
      <c r="L9" s="2004"/>
      <c r="M9" s="2004"/>
      <c r="N9" s="2004"/>
      <c r="O9" s="2004"/>
      <c r="P9" s="2004" t="s">
        <v>12419</v>
      </c>
      <c r="Q9" s="2004" t="s">
        <v>12439</v>
      </c>
      <c r="R9" s="2004" t="s">
        <v>12440</v>
      </c>
      <c r="S9" s="2004"/>
      <c r="T9" s="2004"/>
      <c r="U9" s="516" t="s">
        <v>3016</v>
      </c>
      <c r="V9" s="2004"/>
      <c r="W9" s="2004"/>
      <c r="X9" s="2004">
        <v>4</v>
      </c>
      <c r="Y9" s="2004">
        <v>4</v>
      </c>
      <c r="Z9" s="2004">
        <v>4</v>
      </c>
      <c r="AA9" s="2004">
        <v>4</v>
      </c>
      <c r="AB9" s="2004">
        <v>4</v>
      </c>
      <c r="AC9" s="2004"/>
      <c r="AD9" s="2004"/>
      <c r="AE9" s="2004">
        <v>6</v>
      </c>
      <c r="AF9" s="2004">
        <v>6</v>
      </c>
      <c r="AG9" s="2004">
        <v>6</v>
      </c>
      <c r="AH9" s="2004">
        <v>6</v>
      </c>
      <c r="AI9" s="2004">
        <v>6</v>
      </c>
      <c r="AJ9" s="2004"/>
      <c r="AK9" s="2004"/>
      <c r="AL9" s="2004"/>
      <c r="AM9" s="2004"/>
      <c r="AN9" s="2004"/>
      <c r="AO9" s="2004"/>
      <c r="AP9" s="2004"/>
      <c r="AQ9" s="2004">
        <v>6</v>
      </c>
      <c r="AR9" s="2004">
        <v>6</v>
      </c>
      <c r="AS9" s="2004">
        <v>8</v>
      </c>
      <c r="AT9" s="2004" t="s">
        <v>2334</v>
      </c>
      <c r="AU9" s="2004">
        <v>3</v>
      </c>
      <c r="AV9" s="2004" t="s">
        <v>2337</v>
      </c>
      <c r="AW9" s="2004">
        <v>4</v>
      </c>
      <c r="AX9" s="2004" t="s">
        <v>2337</v>
      </c>
      <c r="AY9" s="2004">
        <v>5</v>
      </c>
      <c r="AZ9" s="2004" t="s">
        <v>2337</v>
      </c>
      <c r="BA9" s="2004"/>
      <c r="BB9" s="2004" t="s">
        <v>12441</v>
      </c>
    </row>
    <row r="10" spans="1:54">
      <c r="A10" s="2004" t="s">
        <v>9398</v>
      </c>
      <c r="B10" s="2004" t="s">
        <v>9047</v>
      </c>
      <c r="C10" s="2004" t="s">
        <v>9050</v>
      </c>
      <c r="D10" s="2004" t="s">
        <v>9194</v>
      </c>
      <c r="E10" s="2004" t="s">
        <v>9399</v>
      </c>
      <c r="F10" s="2004" t="s">
        <v>9401</v>
      </c>
      <c r="G10" s="2004"/>
      <c r="H10" s="2004"/>
      <c r="I10" s="2004"/>
      <c r="J10" s="2004"/>
      <c r="K10" s="2004"/>
      <c r="L10" s="2004"/>
      <c r="M10" s="2004"/>
      <c r="N10" s="2004"/>
      <c r="O10" s="2004"/>
      <c r="P10" s="2004" t="s">
        <v>12423</v>
      </c>
      <c r="Q10" s="2004" t="s">
        <v>12442</v>
      </c>
      <c r="R10" s="2004" t="s">
        <v>12443</v>
      </c>
      <c r="S10" s="2004"/>
      <c r="T10" s="2004" t="s">
        <v>734</v>
      </c>
      <c r="U10" s="2004">
        <v>2</v>
      </c>
      <c r="V10" s="2004">
        <v>0.1</v>
      </c>
      <c r="W10" s="2004"/>
      <c r="X10" s="2004">
        <v>0</v>
      </c>
      <c r="Y10" s="2004">
        <v>0</v>
      </c>
      <c r="Z10" s="2004">
        <v>0</v>
      </c>
      <c r="AA10" s="2004">
        <v>0</v>
      </c>
      <c r="AB10" s="2004">
        <v>0</v>
      </c>
      <c r="AC10" s="2004">
        <v>0.52</v>
      </c>
      <c r="AD10" s="2004"/>
      <c r="AE10" s="2004">
        <v>0.26</v>
      </c>
      <c r="AF10" s="2004">
        <v>0.26</v>
      </c>
      <c r="AG10" s="2004">
        <v>0.26</v>
      </c>
      <c r="AH10" s="2004">
        <v>0.26</v>
      </c>
      <c r="AI10" s="2004">
        <v>0.26</v>
      </c>
      <c r="AJ10" s="2004"/>
      <c r="AK10" s="2004"/>
      <c r="AL10" s="2004"/>
      <c r="AM10" s="2004"/>
      <c r="AN10" s="2004"/>
      <c r="AO10" s="2004"/>
      <c r="AP10" s="2004"/>
      <c r="AQ10" s="2004">
        <v>0.26</v>
      </c>
      <c r="AR10" s="2004">
        <v>0</v>
      </c>
      <c r="AS10" s="2004">
        <v>0</v>
      </c>
      <c r="AT10" s="2004" t="s">
        <v>2337</v>
      </c>
      <c r="AU10" s="2004">
        <v>0</v>
      </c>
      <c r="AV10" s="2004" t="s">
        <v>2337</v>
      </c>
      <c r="AW10" s="2004">
        <v>0</v>
      </c>
      <c r="AX10" s="2004" t="s">
        <v>2337</v>
      </c>
      <c r="AY10" s="2004">
        <v>0</v>
      </c>
      <c r="AZ10" s="2004" t="s">
        <v>2337</v>
      </c>
      <c r="BA10" s="2004"/>
      <c r="BB10" s="2004" t="s">
        <v>12444</v>
      </c>
    </row>
    <row r="11" spans="1:54">
      <c r="A11" s="2004" t="s">
        <v>9398</v>
      </c>
      <c r="B11" s="2004" t="s">
        <v>9047</v>
      </c>
      <c r="C11" s="2004" t="s">
        <v>9050</v>
      </c>
      <c r="D11" s="2004" t="s">
        <v>9194</v>
      </c>
      <c r="E11" s="2004" t="s">
        <v>9399</v>
      </c>
      <c r="F11" s="2004" t="s">
        <v>9401</v>
      </c>
      <c r="G11" s="2004"/>
      <c r="H11" s="2004"/>
      <c r="I11" s="2004"/>
      <c r="J11" s="2004"/>
      <c r="K11" s="2004"/>
      <c r="L11" s="2004"/>
      <c r="M11" s="2004"/>
      <c r="N11" s="2004"/>
      <c r="O11" s="2004"/>
      <c r="P11" s="2004" t="s">
        <v>12430</v>
      </c>
      <c r="Q11" s="2004" t="s">
        <v>12445</v>
      </c>
      <c r="R11" s="2004" t="s">
        <v>12445</v>
      </c>
      <c r="S11" s="2004"/>
      <c r="T11" s="2004"/>
      <c r="U11" s="516" t="s">
        <v>3016</v>
      </c>
      <c r="V11" s="2004">
        <v>0</v>
      </c>
      <c r="W11" s="2004"/>
      <c r="X11" s="2004">
        <v>0</v>
      </c>
      <c r="Y11" s="2004">
        <v>0</v>
      </c>
      <c r="Z11" s="2004">
        <v>0</v>
      </c>
      <c r="AA11" s="2004">
        <v>0</v>
      </c>
      <c r="AB11" s="2004">
        <v>0</v>
      </c>
      <c r="AC11" s="2004">
        <v>1</v>
      </c>
      <c r="AD11" s="2004"/>
      <c r="AE11" s="2004">
        <v>1</v>
      </c>
      <c r="AF11" s="2004">
        <v>1</v>
      </c>
      <c r="AG11" s="2004">
        <v>1</v>
      </c>
      <c r="AH11" s="2004">
        <v>1</v>
      </c>
      <c r="AI11" s="2004">
        <v>1</v>
      </c>
      <c r="AJ11" s="2004"/>
      <c r="AK11" s="2004"/>
      <c r="AL11" s="2004"/>
      <c r="AM11" s="2004"/>
      <c r="AN11" s="2004"/>
      <c r="AO11" s="2004"/>
      <c r="AP11" s="2004"/>
      <c r="AQ11" s="2004">
        <v>1</v>
      </c>
      <c r="AR11" s="2004">
        <v>0</v>
      </c>
      <c r="AS11" s="2004">
        <v>0</v>
      </c>
      <c r="AT11" s="2004" t="s">
        <v>2337</v>
      </c>
      <c r="AU11" s="2004">
        <v>0</v>
      </c>
      <c r="AV11" s="2004" t="s">
        <v>2337</v>
      </c>
      <c r="AW11" s="2004">
        <v>0</v>
      </c>
      <c r="AX11" s="2004" t="s">
        <v>2337</v>
      </c>
      <c r="AY11" s="2004">
        <v>0</v>
      </c>
      <c r="AZ11" s="2004" t="s">
        <v>2337</v>
      </c>
      <c r="BA11" s="2004"/>
      <c r="BB11" s="2004" t="s">
        <v>12446</v>
      </c>
    </row>
    <row r="12" spans="1:54">
      <c r="A12" s="2004" t="s">
        <v>9473</v>
      </c>
      <c r="B12" s="2004" t="s">
        <v>9047</v>
      </c>
      <c r="C12" s="2004" t="s">
        <v>9050</v>
      </c>
      <c r="D12" s="2004" t="s">
        <v>9410</v>
      </c>
      <c r="E12" s="2004" t="s">
        <v>9474</v>
      </c>
      <c r="F12" s="2004" t="s">
        <v>9476</v>
      </c>
      <c r="G12" s="2004" t="s">
        <v>9210</v>
      </c>
      <c r="H12" s="2004" t="s">
        <v>9477</v>
      </c>
      <c r="I12" s="2004" t="s">
        <v>9396</v>
      </c>
      <c r="J12" s="2004" t="s">
        <v>2338</v>
      </c>
      <c r="K12" s="2004" t="s">
        <v>2934</v>
      </c>
      <c r="L12" s="2004" t="s">
        <v>2934</v>
      </c>
      <c r="M12" s="2004" t="s">
        <v>2934</v>
      </c>
      <c r="N12" s="2004" t="s">
        <v>2934</v>
      </c>
      <c r="O12" s="2004" t="s">
        <v>2934</v>
      </c>
      <c r="P12" s="2004" t="s">
        <v>12417</v>
      </c>
      <c r="Q12" s="2004" t="s">
        <v>9476</v>
      </c>
      <c r="R12" s="2004"/>
      <c r="S12" s="2004"/>
      <c r="T12" s="2004" t="s">
        <v>9395</v>
      </c>
      <c r="U12" s="2004" t="s">
        <v>9203</v>
      </c>
      <c r="V12" s="2004"/>
      <c r="W12" s="2004"/>
      <c r="X12" s="2004"/>
      <c r="Y12" s="2004"/>
      <c r="Z12" s="2004"/>
      <c r="AA12" s="2004"/>
      <c r="AB12" s="2004"/>
      <c r="AC12" s="2004"/>
      <c r="AD12" s="2004"/>
      <c r="AE12" s="2004"/>
      <c r="AF12" s="2004"/>
      <c r="AG12" s="2004"/>
      <c r="AH12" s="2004"/>
      <c r="AI12" s="2004"/>
      <c r="AJ12" s="2004"/>
      <c r="AK12" s="2004"/>
      <c r="AL12" s="2004"/>
      <c r="AM12" s="2004"/>
      <c r="AN12" s="2004"/>
      <c r="AO12" s="2004"/>
      <c r="AP12" s="2004"/>
      <c r="AQ12" s="2004"/>
      <c r="AR12" s="2004" t="s">
        <v>2338</v>
      </c>
      <c r="AS12" s="2004" t="s">
        <v>2934</v>
      </c>
      <c r="AT12" s="2004" t="s">
        <v>2337</v>
      </c>
      <c r="AU12" s="2004" t="s">
        <v>2934</v>
      </c>
      <c r="AV12" s="2004" t="s">
        <v>2337</v>
      </c>
      <c r="AW12" s="2004" t="s">
        <v>2934</v>
      </c>
      <c r="AX12" s="2004" t="s">
        <v>2337</v>
      </c>
      <c r="AY12" s="2004" t="s">
        <v>2934</v>
      </c>
      <c r="AZ12" s="2004" t="s">
        <v>2337</v>
      </c>
      <c r="BA12" s="2004"/>
      <c r="BB12" s="2004" t="s">
        <v>12447</v>
      </c>
    </row>
    <row r="13" spans="1:54">
      <c r="A13" s="2004" t="s">
        <v>9473</v>
      </c>
      <c r="B13" s="2004" t="s">
        <v>9047</v>
      </c>
      <c r="C13" s="2004" t="s">
        <v>9050</v>
      </c>
      <c r="D13" s="2004" t="s">
        <v>9410</v>
      </c>
      <c r="E13" s="2004" t="s">
        <v>9474</v>
      </c>
      <c r="F13" s="2004" t="s">
        <v>9476</v>
      </c>
      <c r="G13" s="2004"/>
      <c r="H13" s="2004"/>
      <c r="I13" s="2004"/>
      <c r="J13" s="2004"/>
      <c r="K13" s="2004"/>
      <c r="L13" s="2004"/>
      <c r="M13" s="2004"/>
      <c r="N13" s="2004"/>
      <c r="O13" s="2004"/>
      <c r="P13" s="2004" t="s">
        <v>12419</v>
      </c>
      <c r="Q13" s="2004" t="s">
        <v>9450</v>
      </c>
      <c r="R13" s="2004" t="s">
        <v>12448</v>
      </c>
      <c r="S13" s="2004"/>
      <c r="T13" s="2004" t="s">
        <v>766</v>
      </c>
      <c r="U13" s="516" t="s">
        <v>3016</v>
      </c>
      <c r="V13" s="2004">
        <v>140</v>
      </c>
      <c r="W13" s="2004"/>
      <c r="X13" s="2004">
        <v>117</v>
      </c>
      <c r="Y13" s="2004">
        <v>117</v>
      </c>
      <c r="Z13" s="2004">
        <v>117</v>
      </c>
      <c r="AA13" s="2004">
        <v>117</v>
      </c>
      <c r="AB13" s="2004">
        <v>117</v>
      </c>
      <c r="AC13" s="2004">
        <v>165</v>
      </c>
      <c r="AD13" s="2004"/>
      <c r="AE13" s="2004">
        <v>160</v>
      </c>
      <c r="AF13" s="2004">
        <v>160</v>
      </c>
      <c r="AG13" s="2004">
        <v>160</v>
      </c>
      <c r="AH13" s="2004">
        <v>160</v>
      </c>
      <c r="AI13" s="2004">
        <v>160</v>
      </c>
      <c r="AJ13" s="2004"/>
      <c r="AK13" s="2004"/>
      <c r="AL13" s="2004"/>
      <c r="AM13" s="2004"/>
      <c r="AN13" s="2004"/>
      <c r="AO13" s="2004"/>
      <c r="AP13" s="2004"/>
      <c r="AQ13" s="2004">
        <v>160</v>
      </c>
      <c r="AR13" s="2004">
        <v>142</v>
      </c>
      <c r="AS13" s="2004">
        <v>81</v>
      </c>
      <c r="AT13" s="2004" t="s">
        <v>2337</v>
      </c>
      <c r="AU13" s="2004">
        <v>105</v>
      </c>
      <c r="AV13" s="2004" t="s">
        <v>2337</v>
      </c>
      <c r="AW13" s="2004">
        <v>113</v>
      </c>
      <c r="AX13" s="2004" t="s">
        <v>2337</v>
      </c>
      <c r="AY13" s="2004">
        <v>82</v>
      </c>
      <c r="AZ13" s="2004" t="s">
        <v>2337</v>
      </c>
      <c r="BA13" s="2004"/>
      <c r="BB13" s="2004" t="s">
        <v>12449</v>
      </c>
    </row>
    <row r="14" spans="1:54">
      <c r="A14" s="2004" t="s">
        <v>9473</v>
      </c>
      <c r="B14" s="2004" t="s">
        <v>9047</v>
      </c>
      <c r="C14" s="2004" t="s">
        <v>9050</v>
      </c>
      <c r="D14" s="2004" t="s">
        <v>9410</v>
      </c>
      <c r="E14" s="2004" t="s">
        <v>9474</v>
      </c>
      <c r="F14" s="2004" t="s">
        <v>9476</v>
      </c>
      <c r="G14" s="2004"/>
      <c r="H14" s="2004"/>
      <c r="I14" s="2004"/>
      <c r="J14" s="2004"/>
      <c r="K14" s="2004"/>
      <c r="L14" s="2004"/>
      <c r="M14" s="2004"/>
      <c r="N14" s="2004"/>
      <c r="O14" s="2004"/>
      <c r="P14" s="2004" t="s">
        <v>12423</v>
      </c>
      <c r="Q14" s="2004" t="s">
        <v>3042</v>
      </c>
      <c r="R14" s="2004" t="s">
        <v>12450</v>
      </c>
      <c r="S14" s="2004"/>
      <c r="T14" s="2004" t="s">
        <v>766</v>
      </c>
      <c r="U14" s="516" t="s">
        <v>3016</v>
      </c>
      <c r="V14" s="2004">
        <v>420</v>
      </c>
      <c r="W14" s="2004"/>
      <c r="X14" s="2004">
        <v>420</v>
      </c>
      <c r="Y14" s="2004">
        <v>420</v>
      </c>
      <c r="Z14" s="2004">
        <v>420</v>
      </c>
      <c r="AA14" s="2004">
        <v>420</v>
      </c>
      <c r="AB14" s="2004">
        <v>420</v>
      </c>
      <c r="AC14" s="2004">
        <v>520</v>
      </c>
      <c r="AD14" s="2004"/>
      <c r="AE14" s="2004">
        <v>520</v>
      </c>
      <c r="AF14" s="2004">
        <v>520</v>
      </c>
      <c r="AG14" s="2004">
        <v>520</v>
      </c>
      <c r="AH14" s="2004">
        <v>520</v>
      </c>
      <c r="AI14" s="2004">
        <v>520</v>
      </c>
      <c r="AJ14" s="2004"/>
      <c r="AK14" s="2004"/>
      <c r="AL14" s="2004"/>
      <c r="AM14" s="2004"/>
      <c r="AN14" s="2004"/>
      <c r="AO14" s="2004"/>
      <c r="AP14" s="2004"/>
      <c r="AQ14" s="2004">
        <v>520</v>
      </c>
      <c r="AR14" s="2004">
        <v>250</v>
      </c>
      <c r="AS14" s="2004">
        <v>247</v>
      </c>
      <c r="AT14" s="2004" t="s">
        <v>2337</v>
      </c>
      <c r="AU14" s="2004">
        <v>228</v>
      </c>
      <c r="AV14" s="2004" t="s">
        <v>2337</v>
      </c>
      <c r="AW14" s="2004">
        <v>246</v>
      </c>
      <c r="AX14" s="2004" t="s">
        <v>2337</v>
      </c>
      <c r="AY14" s="2004">
        <v>214</v>
      </c>
      <c r="AZ14" s="2004" t="s">
        <v>2337</v>
      </c>
      <c r="BA14" s="2004"/>
      <c r="BB14" s="2004" t="s">
        <v>12451</v>
      </c>
    </row>
    <row r="15" spans="1:54">
      <c r="A15" s="2004" t="s">
        <v>9473</v>
      </c>
      <c r="B15" s="2004" t="s">
        <v>9047</v>
      </c>
      <c r="C15" s="2004" t="s">
        <v>9050</v>
      </c>
      <c r="D15" s="2004" t="s">
        <v>9410</v>
      </c>
      <c r="E15" s="2004" t="s">
        <v>9474</v>
      </c>
      <c r="F15" s="2004" t="s">
        <v>9476</v>
      </c>
      <c r="G15" s="2004"/>
      <c r="H15" s="2004"/>
      <c r="I15" s="2004"/>
      <c r="J15" s="2004"/>
      <c r="K15" s="2004"/>
      <c r="L15" s="2004"/>
      <c r="M15" s="2004"/>
      <c r="N15" s="2004"/>
      <c r="O15" s="2004"/>
      <c r="P15" s="2004" t="s">
        <v>12430</v>
      </c>
      <c r="Q15" s="2004" t="s">
        <v>12452</v>
      </c>
      <c r="R15" s="2004" t="s">
        <v>12453</v>
      </c>
      <c r="S15" s="2004"/>
      <c r="T15" s="2004" t="s">
        <v>766</v>
      </c>
      <c r="U15" s="516" t="s">
        <v>3016</v>
      </c>
      <c r="V15" s="2004"/>
      <c r="W15" s="2004"/>
      <c r="X15" s="2004">
        <v>203</v>
      </c>
      <c r="Y15" s="2004">
        <v>203</v>
      </c>
      <c r="Z15" s="2004">
        <v>203</v>
      </c>
      <c r="AA15" s="2004">
        <v>203</v>
      </c>
      <c r="AB15" s="2004">
        <v>203</v>
      </c>
      <c r="AC15" s="2004"/>
      <c r="AD15" s="2004"/>
      <c r="AE15" s="2004">
        <v>340</v>
      </c>
      <c r="AF15" s="2004">
        <v>340</v>
      </c>
      <c r="AG15" s="2004">
        <v>340</v>
      </c>
      <c r="AH15" s="2004">
        <v>340</v>
      </c>
      <c r="AI15" s="2004">
        <v>340</v>
      </c>
      <c r="AJ15" s="2004"/>
      <c r="AK15" s="2004"/>
      <c r="AL15" s="2004"/>
      <c r="AM15" s="2004"/>
      <c r="AN15" s="2004"/>
      <c r="AO15" s="2004"/>
      <c r="AP15" s="2004"/>
      <c r="AQ15" s="2004">
        <v>340</v>
      </c>
      <c r="AR15" s="2004">
        <v>263</v>
      </c>
      <c r="AS15" s="2004">
        <v>220</v>
      </c>
      <c r="AT15" s="2004" t="s">
        <v>2337</v>
      </c>
      <c r="AU15" s="2004">
        <v>264</v>
      </c>
      <c r="AV15" s="2004" t="s">
        <v>2337</v>
      </c>
      <c r="AW15" s="2004">
        <v>161</v>
      </c>
      <c r="AX15" s="2004" t="s">
        <v>2337</v>
      </c>
      <c r="AY15" s="2004">
        <v>112</v>
      </c>
      <c r="AZ15" s="2004" t="s">
        <v>2337</v>
      </c>
      <c r="BA15" s="2004"/>
      <c r="BB15" s="2004" t="s">
        <v>12454</v>
      </c>
    </row>
    <row r="16" spans="1:54">
      <c r="A16" s="2004" t="s">
        <v>9473</v>
      </c>
      <c r="B16" s="2004" t="s">
        <v>9047</v>
      </c>
      <c r="C16" s="2004" t="s">
        <v>9050</v>
      </c>
      <c r="D16" s="2004" t="s">
        <v>9410</v>
      </c>
      <c r="E16" s="2004" t="s">
        <v>9474</v>
      </c>
      <c r="F16" s="2004" t="s">
        <v>9476</v>
      </c>
      <c r="G16" s="2004"/>
      <c r="H16" s="2004"/>
      <c r="I16" s="2004"/>
      <c r="J16" s="2004"/>
      <c r="K16" s="2004"/>
      <c r="L16" s="2004"/>
      <c r="M16" s="2004"/>
      <c r="N16" s="2004"/>
      <c r="O16" s="2004"/>
      <c r="P16" s="2004" t="s">
        <v>12434</v>
      </c>
      <c r="Q16" s="2004" t="s">
        <v>12455</v>
      </c>
      <c r="R16" s="2004" t="s">
        <v>12455</v>
      </c>
      <c r="S16" s="2004"/>
      <c r="T16" s="2004" t="s">
        <v>766</v>
      </c>
      <c r="U16" s="516" t="s">
        <v>3016</v>
      </c>
      <c r="V16" s="2004">
        <v>14763</v>
      </c>
      <c r="W16" s="2004"/>
      <c r="X16" s="2004">
        <v>12983</v>
      </c>
      <c r="Y16" s="2004">
        <v>12983</v>
      </c>
      <c r="Z16" s="2004">
        <v>12983</v>
      </c>
      <c r="AA16" s="2004">
        <v>12983</v>
      </c>
      <c r="AB16" s="2004">
        <v>12983</v>
      </c>
      <c r="AC16" s="2004">
        <v>15987</v>
      </c>
      <c r="AD16" s="2004"/>
      <c r="AE16" s="2004">
        <v>14183</v>
      </c>
      <c r="AF16" s="2004">
        <v>14183</v>
      </c>
      <c r="AG16" s="2004">
        <v>14183</v>
      </c>
      <c r="AH16" s="2004">
        <v>14183</v>
      </c>
      <c r="AI16" s="2004">
        <v>14183</v>
      </c>
      <c r="AJ16" s="2004"/>
      <c r="AK16" s="2004"/>
      <c r="AL16" s="2004"/>
      <c r="AM16" s="2004"/>
      <c r="AN16" s="2004"/>
      <c r="AO16" s="2004"/>
      <c r="AP16" s="2004"/>
      <c r="AQ16" s="2004">
        <v>14183</v>
      </c>
      <c r="AR16" s="2004">
        <v>11017</v>
      </c>
      <c r="AS16" s="2004">
        <v>11885</v>
      </c>
      <c r="AT16" s="2004" t="s">
        <v>2337</v>
      </c>
      <c r="AU16" s="2004">
        <v>10522</v>
      </c>
      <c r="AV16" s="2004" t="s">
        <v>2337</v>
      </c>
      <c r="AW16" s="2004">
        <v>11936</v>
      </c>
      <c r="AX16" s="2004" t="s">
        <v>2337</v>
      </c>
      <c r="AY16" s="2004">
        <v>11908</v>
      </c>
      <c r="AZ16" s="2004" t="s">
        <v>2337</v>
      </c>
      <c r="BA16" s="2004"/>
      <c r="BB16" s="2004" t="s">
        <v>12456</v>
      </c>
    </row>
    <row r="17" spans="1:54">
      <c r="A17" s="2004" t="s">
        <v>9479</v>
      </c>
      <c r="B17" s="2004" t="s">
        <v>9047</v>
      </c>
      <c r="C17" s="2004" t="s">
        <v>9050</v>
      </c>
      <c r="D17" s="2004" t="s">
        <v>9410</v>
      </c>
      <c r="E17" s="2004" t="s">
        <v>9480</v>
      </c>
      <c r="F17" s="2004" t="s">
        <v>9482</v>
      </c>
      <c r="G17" s="2004" t="s">
        <v>9210</v>
      </c>
      <c r="H17" s="2004" t="s">
        <v>9477</v>
      </c>
      <c r="I17" s="2004" t="s">
        <v>9396</v>
      </c>
      <c r="J17" s="2004" t="s">
        <v>2338</v>
      </c>
      <c r="K17" s="2004" t="s">
        <v>2934</v>
      </c>
      <c r="L17" s="2004" t="s">
        <v>2934</v>
      </c>
      <c r="M17" s="2004" t="s">
        <v>2934</v>
      </c>
      <c r="N17" s="2004" t="s">
        <v>2934</v>
      </c>
      <c r="O17" s="2004" t="s">
        <v>2934</v>
      </c>
      <c r="P17" s="2004" t="s">
        <v>12417</v>
      </c>
      <c r="Q17" s="2004" t="s">
        <v>9482</v>
      </c>
      <c r="R17" s="2004"/>
      <c r="S17" s="2004"/>
      <c r="T17" s="2004" t="s">
        <v>9395</v>
      </c>
      <c r="U17" s="2004" t="s">
        <v>9203</v>
      </c>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2004" t="s">
        <v>2338</v>
      </c>
      <c r="AS17" s="2004" t="s">
        <v>2934</v>
      </c>
      <c r="AT17" s="2004" t="s">
        <v>2337</v>
      </c>
      <c r="AU17" s="2004" t="s">
        <v>2934</v>
      </c>
      <c r="AV17" s="2004" t="s">
        <v>2337</v>
      </c>
      <c r="AW17" s="2004" t="s">
        <v>2934</v>
      </c>
      <c r="AX17" s="2004" t="s">
        <v>2337</v>
      </c>
      <c r="AY17" s="2004" t="s">
        <v>2934</v>
      </c>
      <c r="AZ17" s="2004" t="s">
        <v>2337</v>
      </c>
      <c r="BA17" s="2004"/>
      <c r="BB17" s="2004" t="s">
        <v>12457</v>
      </c>
    </row>
    <row r="18" spans="1:54">
      <c r="A18" s="2004" t="s">
        <v>9479</v>
      </c>
      <c r="B18" s="2004" t="s">
        <v>9047</v>
      </c>
      <c r="C18" s="2004" t="s">
        <v>9050</v>
      </c>
      <c r="D18" s="2004" t="s">
        <v>9410</v>
      </c>
      <c r="E18" s="2004" t="s">
        <v>9480</v>
      </c>
      <c r="F18" s="2004" t="s">
        <v>9482</v>
      </c>
      <c r="G18" s="2004"/>
      <c r="H18" s="2004"/>
      <c r="I18" s="2004"/>
      <c r="J18" s="2004"/>
      <c r="K18" s="2004"/>
      <c r="L18" s="2004"/>
      <c r="M18" s="2004"/>
      <c r="N18" s="2004"/>
      <c r="O18" s="2004"/>
      <c r="P18" s="2004" t="s">
        <v>12419</v>
      </c>
      <c r="Q18" s="2004" t="s">
        <v>12458</v>
      </c>
      <c r="R18" s="2004" t="s">
        <v>12459</v>
      </c>
      <c r="S18" s="2004"/>
      <c r="T18" s="2004" t="s">
        <v>734</v>
      </c>
      <c r="U18" s="2004">
        <v>2</v>
      </c>
      <c r="V18" s="2004">
        <v>0.5</v>
      </c>
      <c r="W18" s="2004"/>
      <c r="X18" s="2004">
        <v>0.5</v>
      </c>
      <c r="Y18" s="2004">
        <v>0.5</v>
      </c>
      <c r="Z18" s="2004">
        <v>0.5</v>
      </c>
      <c r="AA18" s="2004">
        <v>0.5</v>
      </c>
      <c r="AB18" s="2004">
        <v>0.5</v>
      </c>
      <c r="AC18" s="2004">
        <v>1.7</v>
      </c>
      <c r="AD18" s="2004"/>
      <c r="AE18" s="2004">
        <v>1.7</v>
      </c>
      <c r="AF18" s="2004">
        <v>1.7</v>
      </c>
      <c r="AG18" s="2004">
        <v>1.7</v>
      </c>
      <c r="AH18" s="2004">
        <v>1.7</v>
      </c>
      <c r="AI18" s="2004">
        <v>1.7</v>
      </c>
      <c r="AJ18" s="2004"/>
      <c r="AK18" s="2004"/>
      <c r="AL18" s="2004"/>
      <c r="AM18" s="2004"/>
      <c r="AN18" s="2004"/>
      <c r="AO18" s="2004"/>
      <c r="AP18" s="2004"/>
      <c r="AQ18" s="2004">
        <v>1.7</v>
      </c>
      <c r="AR18" s="2004">
        <v>0</v>
      </c>
      <c r="AS18" s="2004">
        <v>0</v>
      </c>
      <c r="AT18" s="2004" t="s">
        <v>2337</v>
      </c>
      <c r="AU18" s="2004">
        <v>0.18</v>
      </c>
      <c r="AV18" s="2004" t="s">
        <v>2337</v>
      </c>
      <c r="AW18" s="2004">
        <v>0.48</v>
      </c>
      <c r="AX18" s="2004" t="s">
        <v>2337</v>
      </c>
      <c r="AY18" s="2004">
        <v>5</v>
      </c>
      <c r="AZ18" s="2004" t="s">
        <v>2334</v>
      </c>
      <c r="BA18" s="2004"/>
      <c r="BB18" s="2004" t="s">
        <v>12460</v>
      </c>
    </row>
    <row r="19" spans="1:54">
      <c r="A19" s="2004" t="s">
        <v>9479</v>
      </c>
      <c r="B19" s="2004" t="s">
        <v>9047</v>
      </c>
      <c r="C19" s="2004" t="s">
        <v>9050</v>
      </c>
      <c r="D19" s="2004" t="s">
        <v>9410</v>
      </c>
      <c r="E19" s="2004" t="s">
        <v>9480</v>
      </c>
      <c r="F19" s="2004" t="s">
        <v>9482</v>
      </c>
      <c r="G19" s="2004"/>
      <c r="H19" s="2004"/>
      <c r="I19" s="2004"/>
      <c r="J19" s="2004"/>
      <c r="K19" s="2004"/>
      <c r="L19" s="2004"/>
      <c r="M19" s="2004"/>
      <c r="N19" s="2004"/>
      <c r="O19" s="2004"/>
      <c r="P19" s="2004" t="s">
        <v>12423</v>
      </c>
      <c r="Q19" s="2004" t="s">
        <v>12461</v>
      </c>
      <c r="R19" s="2004" t="s">
        <v>12462</v>
      </c>
      <c r="S19" s="2004"/>
      <c r="T19" s="2004"/>
      <c r="U19" s="2004">
        <v>2</v>
      </c>
      <c r="V19" s="2004">
        <v>2.1</v>
      </c>
      <c r="W19" s="2004"/>
      <c r="X19" s="2004">
        <v>0</v>
      </c>
      <c r="Y19" s="2004">
        <v>0</v>
      </c>
      <c r="Z19" s="2004">
        <v>0</v>
      </c>
      <c r="AA19" s="2004">
        <v>0</v>
      </c>
      <c r="AB19" s="2004">
        <v>0</v>
      </c>
      <c r="AC19" s="2004">
        <v>2.8</v>
      </c>
      <c r="AD19" s="2004"/>
      <c r="AE19" s="2004">
        <v>2.8</v>
      </c>
      <c r="AF19" s="2004">
        <v>2.8</v>
      </c>
      <c r="AG19" s="2004">
        <v>2.8</v>
      </c>
      <c r="AH19" s="2004">
        <v>2.8</v>
      </c>
      <c r="AI19" s="2004">
        <v>2.8</v>
      </c>
      <c r="AJ19" s="2004"/>
      <c r="AK19" s="2004"/>
      <c r="AL19" s="2004"/>
      <c r="AM19" s="2004"/>
      <c r="AN19" s="2004"/>
      <c r="AO19" s="2004"/>
      <c r="AP19" s="2004"/>
      <c r="AQ19" s="2004">
        <v>2.8</v>
      </c>
      <c r="AR19" s="2004">
        <v>1.25</v>
      </c>
      <c r="AS19" s="2004">
        <v>0.82</v>
      </c>
      <c r="AT19" s="2004" t="s">
        <v>2337</v>
      </c>
      <c r="AU19" s="2004">
        <v>0.42</v>
      </c>
      <c r="AV19" s="2004" t="s">
        <v>2337</v>
      </c>
      <c r="AW19" s="2004">
        <v>1.1100000000000001</v>
      </c>
      <c r="AX19" s="2004" t="s">
        <v>2337</v>
      </c>
      <c r="AY19" s="2004">
        <v>1.3</v>
      </c>
      <c r="AZ19" s="2004" t="s">
        <v>2337</v>
      </c>
      <c r="BA19" s="2004"/>
      <c r="BB19" s="2004" t="s">
        <v>12463</v>
      </c>
    </row>
    <row r="20" spans="1:54">
      <c r="A20" s="2004" t="s">
        <v>9542</v>
      </c>
      <c r="B20" s="2004" t="s">
        <v>9085</v>
      </c>
      <c r="C20" s="2004" t="s">
        <v>9536</v>
      </c>
      <c r="D20" s="2004" t="s">
        <v>9194</v>
      </c>
      <c r="E20" s="2004" t="s">
        <v>7929</v>
      </c>
      <c r="F20" s="2004" t="s">
        <v>9544</v>
      </c>
      <c r="G20" s="2004" t="s">
        <v>9210</v>
      </c>
      <c r="H20" s="2004" t="s">
        <v>9260</v>
      </c>
      <c r="I20" s="2004" t="s">
        <v>9546</v>
      </c>
      <c r="J20" s="2004" t="s">
        <v>2338</v>
      </c>
      <c r="K20" s="2004" t="s">
        <v>2338</v>
      </c>
      <c r="L20" s="2004" t="s">
        <v>2338</v>
      </c>
      <c r="M20" s="2004" t="s">
        <v>2338</v>
      </c>
      <c r="N20" s="2004" t="s">
        <v>2338</v>
      </c>
      <c r="O20" s="2004" t="s">
        <v>2338</v>
      </c>
      <c r="P20" s="2004" t="s">
        <v>12417</v>
      </c>
      <c r="Q20" s="2004" t="s">
        <v>9544</v>
      </c>
      <c r="R20" s="2004"/>
      <c r="S20" s="2004"/>
      <c r="T20" s="2004" t="s">
        <v>9395</v>
      </c>
      <c r="U20" s="2004" t="s">
        <v>9203</v>
      </c>
      <c r="V20" s="2004"/>
      <c r="W20" s="2004"/>
      <c r="X20" s="2004"/>
      <c r="Y20" s="2004"/>
      <c r="Z20" s="2004"/>
      <c r="AA20" s="2004"/>
      <c r="AB20" s="2004"/>
      <c r="AC20" s="2004"/>
      <c r="AD20" s="2004"/>
      <c r="AE20" s="2004"/>
      <c r="AF20" s="2004"/>
      <c r="AG20" s="2004"/>
      <c r="AH20" s="2004"/>
      <c r="AI20" s="2004"/>
      <c r="AJ20" s="2004"/>
      <c r="AK20" s="2004"/>
      <c r="AL20" s="2004"/>
      <c r="AM20" s="2004"/>
      <c r="AN20" s="2004"/>
      <c r="AO20" s="2004"/>
      <c r="AP20" s="2004"/>
      <c r="AQ20" s="2004"/>
      <c r="AR20" s="2004" t="s">
        <v>2338</v>
      </c>
      <c r="AS20" s="2004" t="s">
        <v>2338</v>
      </c>
      <c r="AT20" s="2004" t="s">
        <v>2337</v>
      </c>
      <c r="AU20" s="2004" t="s">
        <v>2338</v>
      </c>
      <c r="AV20" s="2004" t="s">
        <v>2337</v>
      </c>
      <c r="AW20" s="2004" t="s">
        <v>9548</v>
      </c>
      <c r="AX20" s="2004" t="s">
        <v>2334</v>
      </c>
      <c r="AY20" s="2004" t="s">
        <v>9548</v>
      </c>
      <c r="AZ20" s="2004" t="s">
        <v>2334</v>
      </c>
      <c r="BA20" s="2004"/>
      <c r="BB20" s="2004" t="s">
        <v>12464</v>
      </c>
    </row>
    <row r="21" spans="1:54">
      <c r="A21" s="2004" t="s">
        <v>9542</v>
      </c>
      <c r="B21" s="2004" t="s">
        <v>9085</v>
      </c>
      <c r="C21" s="2004" t="s">
        <v>9536</v>
      </c>
      <c r="D21" s="2004" t="s">
        <v>9194</v>
      </c>
      <c r="E21" s="2004" t="s">
        <v>7929</v>
      </c>
      <c r="F21" s="2004" t="s">
        <v>9544</v>
      </c>
      <c r="G21" s="2004"/>
      <c r="H21" s="2004"/>
      <c r="I21" s="2004"/>
      <c r="J21" s="2004"/>
      <c r="K21" s="2004"/>
      <c r="L21" s="2004"/>
      <c r="M21" s="2004"/>
      <c r="N21" s="2004"/>
      <c r="O21" s="2004"/>
      <c r="P21" s="2004" t="s">
        <v>12419</v>
      </c>
      <c r="Q21" s="2004" t="s">
        <v>12465</v>
      </c>
      <c r="R21" s="2004" t="s">
        <v>12425</v>
      </c>
      <c r="S21" s="2004"/>
      <c r="T21" s="2004" t="s">
        <v>766</v>
      </c>
      <c r="U21" s="516" t="s">
        <v>3016</v>
      </c>
      <c r="V21" s="2004">
        <v>950</v>
      </c>
      <c r="W21" s="2004">
        <v>950</v>
      </c>
      <c r="X21" s="2004">
        <v>950</v>
      </c>
      <c r="Y21" s="2004">
        <v>950</v>
      </c>
      <c r="Z21" s="2004">
        <v>950</v>
      </c>
      <c r="AA21" s="2004">
        <v>950</v>
      </c>
      <c r="AB21" s="2004">
        <v>950</v>
      </c>
      <c r="AC21" s="2004">
        <v>1166</v>
      </c>
      <c r="AD21" s="2004"/>
      <c r="AE21" s="2004">
        <v>1166</v>
      </c>
      <c r="AF21" s="2004">
        <v>1166</v>
      </c>
      <c r="AG21" s="2004">
        <v>1166</v>
      </c>
      <c r="AH21" s="2004">
        <v>1166</v>
      </c>
      <c r="AI21" s="2004">
        <v>1166</v>
      </c>
      <c r="AJ21" s="2004">
        <v>734</v>
      </c>
      <c r="AK21" s="2004"/>
      <c r="AL21" s="2004">
        <v>734</v>
      </c>
      <c r="AM21" s="2004">
        <v>734</v>
      </c>
      <c r="AN21" s="2004">
        <v>734</v>
      </c>
      <c r="AO21" s="2004">
        <v>734</v>
      </c>
      <c r="AP21" s="2004">
        <v>734</v>
      </c>
      <c r="AQ21" s="2004"/>
      <c r="AR21" s="2004">
        <v>977</v>
      </c>
      <c r="AS21" s="2004">
        <v>764</v>
      </c>
      <c r="AT21" s="2004" t="s">
        <v>2337</v>
      </c>
      <c r="AU21" s="2004">
        <v>1034</v>
      </c>
      <c r="AV21" s="2004" t="s">
        <v>2334</v>
      </c>
      <c r="AW21" s="2004">
        <v>1222</v>
      </c>
      <c r="AX21" s="2004" t="s">
        <v>2334</v>
      </c>
      <c r="AY21" s="2004">
        <v>1074</v>
      </c>
      <c r="AZ21" s="2004" t="s">
        <v>2334</v>
      </c>
      <c r="BA21" s="2004"/>
      <c r="BB21" s="2004" t="s">
        <v>12466</v>
      </c>
    </row>
    <row r="22" spans="1:54">
      <c r="A22" s="2004" t="s">
        <v>9542</v>
      </c>
      <c r="B22" s="2004" t="s">
        <v>9085</v>
      </c>
      <c r="C22" s="2004" t="s">
        <v>9536</v>
      </c>
      <c r="D22" s="2004" t="s">
        <v>9194</v>
      </c>
      <c r="E22" s="2004" t="s">
        <v>7929</v>
      </c>
      <c r="F22" s="2004" t="s">
        <v>9544</v>
      </c>
      <c r="G22" s="2004"/>
      <c r="H22" s="2004"/>
      <c r="I22" s="2004"/>
      <c r="J22" s="2004"/>
      <c r="K22" s="2004"/>
      <c r="L22" s="2004"/>
      <c r="M22" s="2004"/>
      <c r="N22" s="2004"/>
      <c r="O22" s="2004"/>
      <c r="P22" s="2004" t="s">
        <v>12423</v>
      </c>
      <c r="Q22" s="2004" t="s">
        <v>12467</v>
      </c>
      <c r="R22" s="2004" t="s">
        <v>12468</v>
      </c>
      <c r="S22" s="2004"/>
      <c r="T22" s="2004" t="s">
        <v>766</v>
      </c>
      <c r="U22" s="516" t="s">
        <v>3016</v>
      </c>
      <c r="V22" s="2004">
        <v>69</v>
      </c>
      <c r="W22" s="2004">
        <v>68</v>
      </c>
      <c r="X22" s="2004">
        <v>69</v>
      </c>
      <c r="Y22" s="2004">
        <v>69</v>
      </c>
      <c r="Z22" s="2004">
        <v>69</v>
      </c>
      <c r="AA22" s="2004">
        <v>69</v>
      </c>
      <c r="AB22" s="2004">
        <v>69</v>
      </c>
      <c r="AC22" s="2004">
        <v>129</v>
      </c>
      <c r="AD22" s="2004"/>
      <c r="AE22" s="2004">
        <v>129</v>
      </c>
      <c r="AF22" s="2004">
        <v>129</v>
      </c>
      <c r="AG22" s="2004">
        <v>129</v>
      </c>
      <c r="AH22" s="2004">
        <v>129</v>
      </c>
      <c r="AI22" s="2004">
        <v>129</v>
      </c>
      <c r="AJ22" s="2004">
        <v>9</v>
      </c>
      <c r="AK22" s="2004"/>
      <c r="AL22" s="2004">
        <v>9</v>
      </c>
      <c r="AM22" s="2004">
        <v>9</v>
      </c>
      <c r="AN22" s="2004">
        <v>9</v>
      </c>
      <c r="AO22" s="2004">
        <v>9</v>
      </c>
      <c r="AP22" s="2004">
        <v>9</v>
      </c>
      <c r="AQ22" s="2004"/>
      <c r="AR22" s="2004">
        <v>71</v>
      </c>
      <c r="AS22" s="2004">
        <v>71</v>
      </c>
      <c r="AT22" s="2004" t="s">
        <v>2337</v>
      </c>
      <c r="AU22" s="2004">
        <v>94</v>
      </c>
      <c r="AV22" s="2004" t="s">
        <v>2334</v>
      </c>
      <c r="AW22" s="2004">
        <v>65</v>
      </c>
      <c r="AX22" s="2004" t="s">
        <v>2337</v>
      </c>
      <c r="AY22" s="2004">
        <v>61</v>
      </c>
      <c r="AZ22" s="2004" t="s">
        <v>2337</v>
      </c>
      <c r="BA22" s="2004"/>
      <c r="BB22" s="2004" t="s">
        <v>12469</v>
      </c>
    </row>
    <row r="23" spans="1:54">
      <c r="A23" s="2004" t="s">
        <v>9550</v>
      </c>
      <c r="B23" s="2004" t="s">
        <v>9085</v>
      </c>
      <c r="C23" s="2004" t="s">
        <v>9536</v>
      </c>
      <c r="D23" s="2004" t="s">
        <v>9194</v>
      </c>
      <c r="E23" s="2004" t="s">
        <v>8928</v>
      </c>
      <c r="F23" s="2004" t="s">
        <v>9552</v>
      </c>
      <c r="G23" s="2004" t="s">
        <v>9210</v>
      </c>
      <c r="H23" s="2004" t="s">
        <v>9260</v>
      </c>
      <c r="I23" s="2004" t="s">
        <v>9546</v>
      </c>
      <c r="J23" s="2004" t="s">
        <v>2338</v>
      </c>
      <c r="K23" s="2004" t="s">
        <v>2338</v>
      </c>
      <c r="L23" s="2004" t="s">
        <v>2338</v>
      </c>
      <c r="M23" s="2004" t="s">
        <v>2338</v>
      </c>
      <c r="N23" s="2004" t="s">
        <v>2338</v>
      </c>
      <c r="O23" s="2004" t="s">
        <v>2338</v>
      </c>
      <c r="P23" s="2004" t="s">
        <v>12417</v>
      </c>
      <c r="Q23" s="2004" t="s">
        <v>9552</v>
      </c>
      <c r="R23" s="2004"/>
      <c r="S23" s="2004"/>
      <c r="T23" s="2004" t="s">
        <v>9395</v>
      </c>
      <c r="U23" s="2004" t="s">
        <v>9203</v>
      </c>
      <c r="V23" s="2004"/>
      <c r="W23" s="2004"/>
      <c r="X23" s="2004"/>
      <c r="Y23" s="2004"/>
      <c r="Z23" s="2004"/>
      <c r="AA23" s="2004"/>
      <c r="AB23" s="2004"/>
      <c r="AC23" s="2004"/>
      <c r="AD23" s="2004"/>
      <c r="AE23" s="2004"/>
      <c r="AF23" s="2004"/>
      <c r="AG23" s="2004"/>
      <c r="AH23" s="2004"/>
      <c r="AI23" s="2004"/>
      <c r="AJ23" s="2004"/>
      <c r="AK23" s="2004"/>
      <c r="AL23" s="2004"/>
      <c r="AM23" s="2004"/>
      <c r="AN23" s="2004"/>
      <c r="AO23" s="2004"/>
      <c r="AP23" s="2004"/>
      <c r="AQ23" s="2004"/>
      <c r="AR23" s="2004" t="s">
        <v>2338</v>
      </c>
      <c r="AS23" s="2004" t="s">
        <v>2338</v>
      </c>
      <c r="AT23" s="2004" t="s">
        <v>2337</v>
      </c>
      <c r="AU23" s="2004" t="s">
        <v>2338</v>
      </c>
      <c r="AV23" s="2004" t="s">
        <v>2337</v>
      </c>
      <c r="AW23" s="2004" t="s">
        <v>2338</v>
      </c>
      <c r="AX23" s="2004" t="s">
        <v>2337</v>
      </c>
      <c r="AY23" s="2004" t="s">
        <v>2338</v>
      </c>
      <c r="AZ23" s="2004" t="s">
        <v>2337</v>
      </c>
      <c r="BA23" s="2004"/>
      <c r="BB23" s="2004" t="s">
        <v>12470</v>
      </c>
    </row>
    <row r="24" spans="1:54">
      <c r="A24" s="2004" t="s">
        <v>9550</v>
      </c>
      <c r="B24" s="2004" t="s">
        <v>9085</v>
      </c>
      <c r="C24" s="2004" t="s">
        <v>9536</v>
      </c>
      <c r="D24" s="2004" t="s">
        <v>9194</v>
      </c>
      <c r="E24" s="2004" t="s">
        <v>8928</v>
      </c>
      <c r="F24" s="2004" t="s">
        <v>9552</v>
      </c>
      <c r="G24" s="2004"/>
      <c r="H24" s="2004"/>
      <c r="I24" s="2004"/>
      <c r="J24" s="2004"/>
      <c r="K24" s="2004"/>
      <c r="L24" s="2004"/>
      <c r="M24" s="2004"/>
      <c r="N24" s="2004"/>
      <c r="O24" s="2004"/>
      <c r="P24" s="2004" t="s">
        <v>12419</v>
      </c>
      <c r="Q24" s="2004" t="s">
        <v>12471</v>
      </c>
      <c r="R24" s="2004" t="s">
        <v>12445</v>
      </c>
      <c r="S24" s="2004"/>
      <c r="T24" s="2004" t="s">
        <v>766</v>
      </c>
      <c r="U24" s="516" t="s">
        <v>3016</v>
      </c>
      <c r="V24" s="2004">
        <v>0</v>
      </c>
      <c r="W24" s="2004">
        <v>0</v>
      </c>
      <c r="X24" s="2004">
        <v>0</v>
      </c>
      <c r="Y24" s="2004">
        <v>0</v>
      </c>
      <c r="Z24" s="2004">
        <v>0</v>
      </c>
      <c r="AA24" s="2004">
        <v>0</v>
      </c>
      <c r="AB24" s="2004">
        <v>0</v>
      </c>
      <c r="AC24" s="2004">
        <v>1</v>
      </c>
      <c r="AD24" s="2004"/>
      <c r="AE24" s="2004">
        <v>1</v>
      </c>
      <c r="AF24" s="2004">
        <v>1</v>
      </c>
      <c r="AG24" s="2004">
        <v>1</v>
      </c>
      <c r="AH24" s="2004">
        <v>1</v>
      </c>
      <c r="AI24" s="2004">
        <v>1</v>
      </c>
      <c r="AJ24" s="2004">
        <v>0</v>
      </c>
      <c r="AK24" s="2004"/>
      <c r="AL24" s="2004">
        <v>0</v>
      </c>
      <c r="AM24" s="2004">
        <v>0</v>
      </c>
      <c r="AN24" s="2004">
        <v>0</v>
      </c>
      <c r="AO24" s="2004">
        <v>0</v>
      </c>
      <c r="AP24" s="2004">
        <v>0</v>
      </c>
      <c r="AQ24" s="2004"/>
      <c r="AR24" s="2004">
        <v>0</v>
      </c>
      <c r="AS24" s="2004">
        <v>0</v>
      </c>
      <c r="AT24" s="2004" t="s">
        <v>2337</v>
      </c>
      <c r="AU24" s="2004">
        <v>0</v>
      </c>
      <c r="AV24" s="2004" t="s">
        <v>2337</v>
      </c>
      <c r="AW24" s="2004">
        <v>0</v>
      </c>
      <c r="AX24" s="2004" t="s">
        <v>2337</v>
      </c>
      <c r="AY24" s="2004">
        <v>0</v>
      </c>
      <c r="AZ24" s="2004" t="s">
        <v>2337</v>
      </c>
      <c r="BA24" s="2004"/>
      <c r="BB24" s="2004" t="s">
        <v>12472</v>
      </c>
    </row>
    <row r="25" spans="1:54">
      <c r="A25" s="2004" t="s">
        <v>9550</v>
      </c>
      <c r="B25" s="2004" t="s">
        <v>9085</v>
      </c>
      <c r="C25" s="2004" t="s">
        <v>9536</v>
      </c>
      <c r="D25" s="2004" t="s">
        <v>9194</v>
      </c>
      <c r="E25" s="2004" t="s">
        <v>8928</v>
      </c>
      <c r="F25" s="2004" t="s">
        <v>9552</v>
      </c>
      <c r="G25" s="2004"/>
      <c r="H25" s="2004"/>
      <c r="I25" s="2004"/>
      <c r="J25" s="2004"/>
      <c r="K25" s="2004"/>
      <c r="L25" s="2004"/>
      <c r="M25" s="2004"/>
      <c r="N25" s="2004"/>
      <c r="O25" s="2004"/>
      <c r="P25" s="2004" t="s">
        <v>12423</v>
      </c>
      <c r="Q25" s="2004" t="s">
        <v>12473</v>
      </c>
      <c r="R25" s="2004" t="s">
        <v>12474</v>
      </c>
      <c r="S25" s="2004"/>
      <c r="T25" s="2004" t="s">
        <v>766</v>
      </c>
      <c r="U25" s="516" t="s">
        <v>3016</v>
      </c>
      <c r="V25" s="2004">
        <v>3976</v>
      </c>
      <c r="W25" s="2004">
        <v>3267</v>
      </c>
      <c r="X25" s="2004">
        <v>3976</v>
      </c>
      <c r="Y25" s="2004">
        <v>3976</v>
      </c>
      <c r="Z25" s="2004">
        <v>3976</v>
      </c>
      <c r="AA25" s="2004">
        <v>3976</v>
      </c>
      <c r="AB25" s="2004">
        <v>3976</v>
      </c>
      <c r="AC25" s="2004">
        <v>5083</v>
      </c>
      <c r="AD25" s="2004"/>
      <c r="AE25" s="2004">
        <v>5083</v>
      </c>
      <c r="AF25" s="2004">
        <v>5083</v>
      </c>
      <c r="AG25" s="2004">
        <v>5083</v>
      </c>
      <c r="AH25" s="2004">
        <v>5083</v>
      </c>
      <c r="AI25" s="2004">
        <v>5083</v>
      </c>
      <c r="AJ25" s="2004">
        <v>2869</v>
      </c>
      <c r="AK25" s="2004"/>
      <c r="AL25" s="2004">
        <v>2869</v>
      </c>
      <c r="AM25" s="2004">
        <v>2869</v>
      </c>
      <c r="AN25" s="2004">
        <v>2869</v>
      </c>
      <c r="AO25" s="2004">
        <v>2869</v>
      </c>
      <c r="AP25" s="2004">
        <v>2869</v>
      </c>
      <c r="AQ25" s="2004"/>
      <c r="AR25" s="2004">
        <v>3595</v>
      </c>
      <c r="AS25" s="2004">
        <v>3353</v>
      </c>
      <c r="AT25" s="2004" t="s">
        <v>2337</v>
      </c>
      <c r="AU25" s="2004">
        <v>2870</v>
      </c>
      <c r="AV25" s="2004" t="s">
        <v>2337</v>
      </c>
      <c r="AW25" s="2004">
        <v>3279</v>
      </c>
      <c r="AX25" s="2004" t="s">
        <v>2337</v>
      </c>
      <c r="AY25" s="2004">
        <v>2913</v>
      </c>
      <c r="AZ25" s="2004" t="s">
        <v>2337</v>
      </c>
      <c r="BA25" s="2004"/>
      <c r="BB25" s="2004" t="s">
        <v>12475</v>
      </c>
    </row>
    <row r="26" spans="1:54">
      <c r="A26" s="2004" t="s">
        <v>10168</v>
      </c>
      <c r="B26" s="2004" t="s">
        <v>9085</v>
      </c>
      <c r="C26" s="2004" t="s">
        <v>10143</v>
      </c>
      <c r="D26" s="2004" t="s">
        <v>9194</v>
      </c>
      <c r="E26" s="2004" t="s">
        <v>9709</v>
      </c>
      <c r="F26" s="2004" t="s">
        <v>10170</v>
      </c>
      <c r="G26" s="2004" t="s">
        <v>9210</v>
      </c>
      <c r="H26" s="2004" t="s">
        <v>9260</v>
      </c>
      <c r="I26" s="2004" t="s">
        <v>9546</v>
      </c>
      <c r="J26" s="2004" t="s">
        <v>2338</v>
      </c>
      <c r="K26" s="2004" t="s">
        <v>2338</v>
      </c>
      <c r="L26" s="2004" t="s">
        <v>2338</v>
      </c>
      <c r="M26" s="2004" t="s">
        <v>2338</v>
      </c>
      <c r="N26" s="2004" t="s">
        <v>2338</v>
      </c>
      <c r="O26" s="2004" t="s">
        <v>2338</v>
      </c>
      <c r="P26" s="2004" t="s">
        <v>12417</v>
      </c>
      <c r="Q26" s="2004" t="s">
        <v>10170</v>
      </c>
      <c r="R26" s="2004"/>
      <c r="S26" s="2004"/>
      <c r="T26" s="2004" t="s">
        <v>9395</v>
      </c>
      <c r="U26" s="2004" t="s">
        <v>9203</v>
      </c>
      <c r="V26" s="2004"/>
      <c r="W26" s="2004"/>
      <c r="X26" s="2004"/>
      <c r="Y26" s="2004"/>
      <c r="Z26" s="2004"/>
      <c r="AA26" s="2004"/>
      <c r="AB26" s="2004"/>
      <c r="AC26" s="2004"/>
      <c r="AD26" s="2004"/>
      <c r="AE26" s="2004"/>
      <c r="AF26" s="2004"/>
      <c r="AG26" s="2004"/>
      <c r="AH26" s="2004"/>
      <c r="AI26" s="2004"/>
      <c r="AJ26" s="2004"/>
      <c r="AK26" s="2004"/>
      <c r="AL26" s="2004"/>
      <c r="AM26" s="2004"/>
      <c r="AN26" s="2004"/>
      <c r="AO26" s="2004"/>
      <c r="AP26" s="2004"/>
      <c r="AQ26" s="2004"/>
      <c r="AR26" s="2004" t="s">
        <v>2338</v>
      </c>
      <c r="AS26" s="2004" t="s">
        <v>2338</v>
      </c>
      <c r="AT26" s="2004" t="s">
        <v>2337</v>
      </c>
      <c r="AU26" s="2004" t="s">
        <v>2338</v>
      </c>
      <c r="AV26" s="2004" t="s">
        <v>2337</v>
      </c>
      <c r="AW26" s="2004" t="s">
        <v>2338</v>
      </c>
      <c r="AX26" s="2004" t="s">
        <v>2337</v>
      </c>
      <c r="AY26" s="2004" t="s">
        <v>2338</v>
      </c>
      <c r="AZ26" s="2004" t="s">
        <v>2337</v>
      </c>
      <c r="BA26" s="2004"/>
      <c r="BB26" s="2004" t="s">
        <v>12476</v>
      </c>
    </row>
    <row r="27" spans="1:54">
      <c r="A27" s="2004" t="s">
        <v>10168</v>
      </c>
      <c r="B27" s="2004" t="s">
        <v>9085</v>
      </c>
      <c r="C27" s="2004" t="s">
        <v>10143</v>
      </c>
      <c r="D27" s="2004" t="s">
        <v>9194</v>
      </c>
      <c r="E27" s="2004" t="s">
        <v>9709</v>
      </c>
      <c r="F27" s="2004" t="s">
        <v>10170</v>
      </c>
      <c r="G27" s="2004"/>
      <c r="H27" s="2004"/>
      <c r="I27" s="2004"/>
      <c r="J27" s="2004"/>
      <c r="K27" s="2004"/>
      <c r="L27" s="2004"/>
      <c r="M27" s="2004"/>
      <c r="N27" s="2004"/>
      <c r="O27" s="2004"/>
      <c r="P27" s="2004" t="s">
        <v>12419</v>
      </c>
      <c r="Q27" s="2004" t="s">
        <v>12477</v>
      </c>
      <c r="R27" s="2004" t="s">
        <v>12425</v>
      </c>
      <c r="S27" s="2004"/>
      <c r="T27" s="2004" t="s">
        <v>766</v>
      </c>
      <c r="U27" s="516" t="s">
        <v>3016</v>
      </c>
      <c r="V27" s="2004"/>
      <c r="W27" s="2004"/>
      <c r="X27" s="2004">
        <v>350</v>
      </c>
      <c r="Y27" s="2004">
        <v>350</v>
      </c>
      <c r="Z27" s="2004">
        <v>350</v>
      </c>
      <c r="AA27" s="2004">
        <v>350</v>
      </c>
      <c r="AB27" s="2004">
        <v>350</v>
      </c>
      <c r="AC27" s="2004"/>
      <c r="AD27" s="2004"/>
      <c r="AE27" s="2004">
        <v>435</v>
      </c>
      <c r="AF27" s="2004">
        <v>435</v>
      </c>
      <c r="AG27" s="2004">
        <v>435</v>
      </c>
      <c r="AH27" s="2004">
        <v>435</v>
      </c>
      <c r="AI27" s="2004">
        <v>435</v>
      </c>
      <c r="AJ27" s="2004"/>
      <c r="AK27" s="2004"/>
      <c r="AL27" s="2004">
        <v>265</v>
      </c>
      <c r="AM27" s="2004">
        <v>265</v>
      </c>
      <c r="AN27" s="2004">
        <v>265</v>
      </c>
      <c r="AO27" s="2004">
        <v>265</v>
      </c>
      <c r="AP27" s="2004">
        <v>265</v>
      </c>
      <c r="AQ27" s="2004"/>
      <c r="AR27" s="2004">
        <v>291</v>
      </c>
      <c r="AS27" s="2004">
        <v>260</v>
      </c>
      <c r="AT27" s="2004" t="s">
        <v>2337</v>
      </c>
      <c r="AU27" s="2004">
        <v>280</v>
      </c>
      <c r="AV27" s="2004" t="s">
        <v>2337</v>
      </c>
      <c r="AW27" s="2004">
        <v>283</v>
      </c>
      <c r="AX27" s="2004" t="s">
        <v>2337</v>
      </c>
      <c r="AY27" s="2004">
        <v>228</v>
      </c>
      <c r="AZ27" s="2004" t="s">
        <v>2337</v>
      </c>
      <c r="BA27" s="2004"/>
      <c r="BB27" s="2004" t="s">
        <v>12478</v>
      </c>
    </row>
    <row r="28" spans="1:54">
      <c r="A28" s="2004" t="s">
        <v>10168</v>
      </c>
      <c r="B28" s="2004" t="s">
        <v>9085</v>
      </c>
      <c r="C28" s="2004" t="s">
        <v>10143</v>
      </c>
      <c r="D28" s="2004" t="s">
        <v>9194</v>
      </c>
      <c r="E28" s="2004" t="s">
        <v>9709</v>
      </c>
      <c r="F28" s="2004" t="s">
        <v>10170</v>
      </c>
      <c r="G28" s="2004"/>
      <c r="H28" s="2004"/>
      <c r="I28" s="2004"/>
      <c r="J28" s="2004"/>
      <c r="K28" s="2004"/>
      <c r="L28" s="2004"/>
      <c r="M28" s="2004"/>
      <c r="N28" s="2004"/>
      <c r="O28" s="2004"/>
      <c r="P28" s="2004" t="s">
        <v>12423</v>
      </c>
      <c r="Q28" s="2004" t="s">
        <v>12479</v>
      </c>
      <c r="R28" s="2004" t="s">
        <v>12421</v>
      </c>
      <c r="S28" s="2004"/>
      <c r="T28" s="2004" t="s">
        <v>766</v>
      </c>
      <c r="U28" s="516" t="s">
        <v>3016</v>
      </c>
      <c r="V28" s="2004"/>
      <c r="W28" s="2004"/>
      <c r="X28" s="2004">
        <v>6</v>
      </c>
      <c r="Y28" s="2004">
        <v>6</v>
      </c>
      <c r="Z28" s="2004">
        <v>6</v>
      </c>
      <c r="AA28" s="2004">
        <v>6</v>
      </c>
      <c r="AB28" s="2004">
        <v>6</v>
      </c>
      <c r="AC28" s="2004"/>
      <c r="AD28" s="2004"/>
      <c r="AE28" s="2004">
        <v>15</v>
      </c>
      <c r="AF28" s="2004">
        <v>15</v>
      </c>
      <c r="AG28" s="2004">
        <v>15</v>
      </c>
      <c r="AH28" s="2004">
        <v>15</v>
      </c>
      <c r="AI28" s="2004">
        <v>15</v>
      </c>
      <c r="AJ28" s="2004"/>
      <c r="AK28" s="2004"/>
      <c r="AL28" s="2004">
        <v>0</v>
      </c>
      <c r="AM28" s="2004">
        <v>0</v>
      </c>
      <c r="AN28" s="2004">
        <v>0</v>
      </c>
      <c r="AO28" s="2004">
        <v>0</v>
      </c>
      <c r="AP28" s="2004">
        <v>0</v>
      </c>
      <c r="AQ28" s="2004"/>
      <c r="AR28" s="2004">
        <v>0</v>
      </c>
      <c r="AS28" s="2004">
        <v>0</v>
      </c>
      <c r="AT28" s="2004" t="s">
        <v>2337</v>
      </c>
      <c r="AU28" s="2004">
        <v>0</v>
      </c>
      <c r="AV28" s="2004" t="s">
        <v>2337</v>
      </c>
      <c r="AW28" s="2004">
        <v>5</v>
      </c>
      <c r="AX28" s="2004" t="s">
        <v>2337</v>
      </c>
      <c r="AY28" s="2004">
        <v>0</v>
      </c>
      <c r="AZ28" s="2004" t="s">
        <v>2337</v>
      </c>
      <c r="BA28" s="2004"/>
      <c r="BB28" s="2004" t="s">
        <v>12480</v>
      </c>
    </row>
    <row r="29" spans="1:54">
      <c r="A29" s="2004" t="s">
        <v>10168</v>
      </c>
      <c r="B29" s="2004" t="s">
        <v>9085</v>
      </c>
      <c r="C29" s="2004" t="s">
        <v>10143</v>
      </c>
      <c r="D29" s="2004" t="s">
        <v>9194</v>
      </c>
      <c r="E29" s="2004" t="s">
        <v>9709</v>
      </c>
      <c r="F29" s="2004" t="s">
        <v>10170</v>
      </c>
      <c r="G29" s="2004"/>
      <c r="H29" s="2004"/>
      <c r="I29" s="2004"/>
      <c r="J29" s="2004"/>
      <c r="K29" s="2004"/>
      <c r="L29" s="2004"/>
      <c r="M29" s="2004"/>
      <c r="N29" s="2004"/>
      <c r="O29" s="2004"/>
      <c r="P29" s="2004" t="s">
        <v>12430</v>
      </c>
      <c r="Q29" s="2004" t="s">
        <v>12481</v>
      </c>
      <c r="R29" s="2004" t="s">
        <v>12482</v>
      </c>
      <c r="S29" s="2004"/>
      <c r="T29" s="2004" t="s">
        <v>734</v>
      </c>
      <c r="U29" s="2004">
        <v>2</v>
      </c>
      <c r="V29" s="2004"/>
      <c r="W29" s="2004"/>
      <c r="X29" s="2004">
        <v>0.19</v>
      </c>
      <c r="Y29" s="2004">
        <v>0.19</v>
      </c>
      <c r="Z29" s="2004">
        <v>0.19</v>
      </c>
      <c r="AA29" s="2004">
        <v>0.19</v>
      </c>
      <c r="AB29" s="2004">
        <v>0.19</v>
      </c>
      <c r="AC29" s="2004"/>
      <c r="AD29" s="2004"/>
      <c r="AE29" s="2004">
        <v>0.47</v>
      </c>
      <c r="AF29" s="2004">
        <v>0.47</v>
      </c>
      <c r="AG29" s="2004">
        <v>0.47</v>
      </c>
      <c r="AH29" s="2004">
        <v>0.47</v>
      </c>
      <c r="AI29" s="2004">
        <v>0.47</v>
      </c>
      <c r="AJ29" s="2004"/>
      <c r="AK29" s="2004"/>
      <c r="AL29" s="2004">
        <v>0</v>
      </c>
      <c r="AM29" s="2004">
        <v>0</v>
      </c>
      <c r="AN29" s="2004">
        <v>0</v>
      </c>
      <c r="AO29" s="2004">
        <v>0</v>
      </c>
      <c r="AP29" s="2004">
        <v>0</v>
      </c>
      <c r="AQ29" s="2004"/>
      <c r="AR29" s="2004">
        <v>0.18</v>
      </c>
      <c r="AS29" s="2004">
        <v>0</v>
      </c>
      <c r="AT29" s="2004" t="s">
        <v>2337</v>
      </c>
      <c r="AU29" s="2004">
        <v>0</v>
      </c>
      <c r="AV29" s="2004" t="s">
        <v>2337</v>
      </c>
      <c r="AW29" s="2004">
        <v>0</v>
      </c>
      <c r="AX29" s="2004" t="s">
        <v>2337</v>
      </c>
      <c r="AY29" s="2004">
        <v>0</v>
      </c>
      <c r="AZ29" s="2004" t="s">
        <v>2337</v>
      </c>
      <c r="BA29" s="2004"/>
      <c r="BB29" s="2004" t="s">
        <v>12483</v>
      </c>
    </row>
    <row r="30" spans="1:54">
      <c r="A30" s="2004" t="s">
        <v>10168</v>
      </c>
      <c r="B30" s="2004" t="s">
        <v>9085</v>
      </c>
      <c r="C30" s="2004" t="s">
        <v>10143</v>
      </c>
      <c r="D30" s="2004" t="s">
        <v>9194</v>
      </c>
      <c r="E30" s="2004" t="s">
        <v>9709</v>
      </c>
      <c r="F30" s="2004" t="s">
        <v>10170</v>
      </c>
      <c r="G30" s="2004"/>
      <c r="H30" s="2004"/>
      <c r="I30" s="2004"/>
      <c r="J30" s="2004"/>
      <c r="K30" s="2004"/>
      <c r="L30" s="2004"/>
      <c r="M30" s="2004"/>
      <c r="N30" s="2004"/>
      <c r="O30" s="2004"/>
      <c r="P30" s="2004" t="s">
        <v>12434</v>
      </c>
      <c r="Q30" s="2004" t="s">
        <v>12484</v>
      </c>
      <c r="R30" s="2004" t="s">
        <v>12468</v>
      </c>
      <c r="S30" s="2004"/>
      <c r="T30" s="2004" t="s">
        <v>766</v>
      </c>
      <c r="U30" s="516" t="s">
        <v>3016</v>
      </c>
      <c r="V30" s="2004"/>
      <c r="W30" s="2004"/>
      <c r="X30" s="2004">
        <v>0</v>
      </c>
      <c r="Y30" s="2004">
        <v>0</v>
      </c>
      <c r="Z30" s="2004">
        <v>0</v>
      </c>
      <c r="AA30" s="2004">
        <v>0</v>
      </c>
      <c r="AB30" s="2004">
        <v>0</v>
      </c>
      <c r="AC30" s="2004"/>
      <c r="AD30" s="2004"/>
      <c r="AE30" s="2004">
        <v>19</v>
      </c>
      <c r="AF30" s="2004">
        <v>19</v>
      </c>
      <c r="AG30" s="2004">
        <v>19</v>
      </c>
      <c r="AH30" s="2004">
        <v>19</v>
      </c>
      <c r="AI30" s="2004">
        <v>19</v>
      </c>
      <c r="AJ30" s="2004"/>
      <c r="AK30" s="2004"/>
      <c r="AL30" s="2004">
        <v>0</v>
      </c>
      <c r="AM30" s="2004">
        <v>0</v>
      </c>
      <c r="AN30" s="2004">
        <v>0</v>
      </c>
      <c r="AO30" s="2004">
        <v>0</v>
      </c>
      <c r="AP30" s="2004">
        <v>0</v>
      </c>
      <c r="AQ30" s="2004"/>
      <c r="AR30" s="2004">
        <v>0</v>
      </c>
      <c r="AS30" s="2004">
        <v>0</v>
      </c>
      <c r="AT30" s="2004" t="s">
        <v>2337</v>
      </c>
      <c r="AU30" s="2004">
        <v>0</v>
      </c>
      <c r="AV30" s="2004" t="s">
        <v>2337</v>
      </c>
      <c r="AW30" s="2004">
        <v>0</v>
      </c>
      <c r="AX30" s="2004" t="s">
        <v>2337</v>
      </c>
      <c r="AY30" s="2004">
        <v>0</v>
      </c>
      <c r="AZ30" s="2004" t="s">
        <v>2337</v>
      </c>
      <c r="BA30" s="2004"/>
      <c r="BB30" s="2004" t="s">
        <v>12485</v>
      </c>
    </row>
    <row r="31" spans="1:54">
      <c r="A31" s="2004" t="s">
        <v>10168</v>
      </c>
      <c r="B31" s="2004" t="s">
        <v>9085</v>
      </c>
      <c r="C31" s="2004" t="s">
        <v>10143</v>
      </c>
      <c r="D31" s="2004" t="s">
        <v>9194</v>
      </c>
      <c r="E31" s="2004" t="s">
        <v>9709</v>
      </c>
      <c r="F31" s="2004" t="s">
        <v>10170</v>
      </c>
      <c r="G31" s="2004"/>
      <c r="H31" s="2004"/>
      <c r="I31" s="2004"/>
      <c r="J31" s="2004"/>
      <c r="K31" s="2004"/>
      <c r="L31" s="2004"/>
      <c r="M31" s="2004"/>
      <c r="N31" s="2004"/>
      <c r="O31" s="2004"/>
      <c r="P31" s="2004" t="s">
        <v>12486</v>
      </c>
      <c r="Q31" s="2004" t="s">
        <v>12487</v>
      </c>
      <c r="R31" s="2004" t="s">
        <v>12432</v>
      </c>
      <c r="S31" s="2004"/>
      <c r="T31" s="2004" t="s">
        <v>766</v>
      </c>
      <c r="U31" s="2004">
        <v>2</v>
      </c>
      <c r="V31" s="2004"/>
      <c r="W31" s="2004"/>
      <c r="X31" s="2004">
        <v>0.23</v>
      </c>
      <c r="Y31" s="2004">
        <v>0.23</v>
      </c>
      <c r="Z31" s="2004">
        <v>0.23</v>
      </c>
      <c r="AA31" s="2004">
        <v>0.23</v>
      </c>
      <c r="AB31" s="2004">
        <v>0.23</v>
      </c>
      <c r="AC31" s="2004"/>
      <c r="AD31" s="2004"/>
      <c r="AE31" s="2004">
        <v>0.46</v>
      </c>
      <c r="AF31" s="2004">
        <v>0.46</v>
      </c>
      <c r="AG31" s="2004">
        <v>0.46</v>
      </c>
      <c r="AH31" s="2004">
        <v>0.46</v>
      </c>
      <c r="AI31" s="2004">
        <v>0.46</v>
      </c>
      <c r="AJ31" s="2004"/>
      <c r="AK31" s="2004"/>
      <c r="AL31" s="2004">
        <v>0</v>
      </c>
      <c r="AM31" s="2004">
        <v>0</v>
      </c>
      <c r="AN31" s="2004">
        <v>0</v>
      </c>
      <c r="AO31" s="2004">
        <v>0</v>
      </c>
      <c r="AP31" s="2004">
        <v>0</v>
      </c>
      <c r="AQ31" s="2004"/>
      <c r="AR31" s="2004">
        <v>0.24</v>
      </c>
      <c r="AS31" s="2004">
        <v>0.18</v>
      </c>
      <c r="AT31" s="2004" t="s">
        <v>2337</v>
      </c>
      <c r="AU31" s="2004">
        <v>0.31</v>
      </c>
      <c r="AV31" s="2004" t="s">
        <v>2337</v>
      </c>
      <c r="AW31" s="2004">
        <v>0.22</v>
      </c>
      <c r="AX31" s="2004" t="s">
        <v>2337</v>
      </c>
      <c r="AY31" s="2004">
        <v>0.22</v>
      </c>
      <c r="AZ31" s="2004" t="s">
        <v>2337</v>
      </c>
      <c r="BA31" s="2004"/>
      <c r="BB31" s="2004" t="s">
        <v>12488</v>
      </c>
    </row>
    <row r="32" spans="1:54">
      <c r="A32" s="2004" t="s">
        <v>10168</v>
      </c>
      <c r="B32" s="2004" t="s">
        <v>9085</v>
      </c>
      <c r="C32" s="2004" t="s">
        <v>10143</v>
      </c>
      <c r="D32" s="2004" t="s">
        <v>9194</v>
      </c>
      <c r="E32" s="2004" t="s">
        <v>9709</v>
      </c>
      <c r="F32" s="2004" t="s">
        <v>10170</v>
      </c>
      <c r="G32" s="2004"/>
      <c r="H32" s="2004"/>
      <c r="I32" s="2004"/>
      <c r="J32" s="2004"/>
      <c r="K32" s="2004"/>
      <c r="L32" s="2004"/>
      <c r="M32" s="2004"/>
      <c r="N32" s="2004"/>
      <c r="O32" s="2004"/>
      <c r="P32" s="2004" t="s">
        <v>12489</v>
      </c>
      <c r="Q32" s="2004" t="s">
        <v>12490</v>
      </c>
      <c r="R32" s="2004" t="s">
        <v>12440</v>
      </c>
      <c r="S32" s="2004"/>
      <c r="T32" s="2004" t="s">
        <v>734</v>
      </c>
      <c r="U32" s="2004">
        <v>2</v>
      </c>
      <c r="V32" s="2004"/>
      <c r="W32" s="2004"/>
      <c r="X32" s="2004">
        <v>7.0000000000000007E-2</v>
      </c>
      <c r="Y32" s="2004">
        <v>7.0000000000000007E-2</v>
      </c>
      <c r="Z32" s="2004">
        <v>7.0000000000000007E-2</v>
      </c>
      <c r="AA32" s="2004">
        <v>7.0000000000000007E-2</v>
      </c>
      <c r="AB32" s="2004">
        <v>7.0000000000000007E-2</v>
      </c>
      <c r="AC32" s="2004"/>
      <c r="AD32" s="2004"/>
      <c r="AE32" s="2004">
        <v>0.14000000000000001</v>
      </c>
      <c r="AF32" s="2004">
        <v>0.14000000000000001</v>
      </c>
      <c r="AG32" s="2004">
        <v>0.14000000000000001</v>
      </c>
      <c r="AH32" s="2004">
        <v>0.14000000000000001</v>
      </c>
      <c r="AI32" s="2004">
        <v>0.14000000000000001</v>
      </c>
      <c r="AJ32" s="2004"/>
      <c r="AK32" s="2004"/>
      <c r="AL32" s="2004">
        <v>0</v>
      </c>
      <c r="AM32" s="2004">
        <v>0</v>
      </c>
      <c r="AN32" s="2004">
        <v>0</v>
      </c>
      <c r="AO32" s="2004">
        <v>0</v>
      </c>
      <c r="AP32" s="2004">
        <v>0</v>
      </c>
      <c r="AQ32" s="2004"/>
      <c r="AR32" s="2004">
        <v>0</v>
      </c>
      <c r="AS32" s="2004">
        <v>0</v>
      </c>
      <c r="AT32" s="2004" t="s">
        <v>2337</v>
      </c>
      <c r="AU32" s="2004">
        <v>0</v>
      </c>
      <c r="AV32" s="2004" t="s">
        <v>2337</v>
      </c>
      <c r="AW32" s="2004">
        <v>0.05</v>
      </c>
      <c r="AX32" s="2004" t="s">
        <v>2337</v>
      </c>
      <c r="AY32" s="2004">
        <v>0</v>
      </c>
      <c r="AZ32" s="2004" t="s">
        <v>2337</v>
      </c>
      <c r="BA32" s="2004"/>
      <c r="BB32" s="2004" t="s">
        <v>12491</v>
      </c>
    </row>
    <row r="33" spans="1:54">
      <c r="A33" s="2004" t="s">
        <v>10168</v>
      </c>
      <c r="B33" s="2004" t="s">
        <v>9085</v>
      </c>
      <c r="C33" s="2004" t="s">
        <v>10143</v>
      </c>
      <c r="D33" s="2004" t="s">
        <v>9194</v>
      </c>
      <c r="E33" s="2004" t="s">
        <v>9709</v>
      </c>
      <c r="F33" s="2004" t="s">
        <v>10170</v>
      </c>
      <c r="G33" s="2004"/>
      <c r="H33" s="2004"/>
      <c r="I33" s="2004"/>
      <c r="J33" s="2004"/>
      <c r="K33" s="2004"/>
      <c r="L33" s="2004"/>
      <c r="M33" s="2004"/>
      <c r="N33" s="2004"/>
      <c r="O33" s="2004"/>
      <c r="P33" s="2004" t="s">
        <v>12492</v>
      </c>
      <c r="Q33" s="2004" t="s">
        <v>12493</v>
      </c>
      <c r="R33" s="2004" t="s">
        <v>12443</v>
      </c>
      <c r="S33" s="2004"/>
      <c r="T33" s="2004" t="s">
        <v>734</v>
      </c>
      <c r="U33" s="2004">
        <v>2</v>
      </c>
      <c r="V33" s="2004"/>
      <c r="W33" s="2004"/>
      <c r="X33" s="2004">
        <v>0</v>
      </c>
      <c r="Y33" s="2004">
        <v>0</v>
      </c>
      <c r="Z33" s="2004">
        <v>0</v>
      </c>
      <c r="AA33" s="2004">
        <v>0</v>
      </c>
      <c r="AB33" s="2004">
        <v>0</v>
      </c>
      <c r="AC33" s="2004"/>
      <c r="AD33" s="2004"/>
      <c r="AE33" s="2004">
        <v>5</v>
      </c>
      <c r="AF33" s="2004">
        <v>5</v>
      </c>
      <c r="AG33" s="2004">
        <v>5</v>
      </c>
      <c r="AH33" s="2004">
        <v>5</v>
      </c>
      <c r="AI33" s="2004">
        <v>5</v>
      </c>
      <c r="AJ33" s="2004"/>
      <c r="AK33" s="2004"/>
      <c r="AL33" s="2004">
        <v>0</v>
      </c>
      <c r="AM33" s="2004">
        <v>0</v>
      </c>
      <c r="AN33" s="2004">
        <v>0</v>
      </c>
      <c r="AO33" s="2004">
        <v>0</v>
      </c>
      <c r="AP33" s="2004">
        <v>0</v>
      </c>
      <c r="AQ33" s="2004"/>
      <c r="AR33" s="2004">
        <v>0</v>
      </c>
      <c r="AS33" s="2004">
        <v>0</v>
      </c>
      <c r="AT33" s="2004" t="s">
        <v>2337</v>
      </c>
      <c r="AU33" s="2004">
        <v>0</v>
      </c>
      <c r="AV33" s="2004" t="s">
        <v>2337</v>
      </c>
      <c r="AW33" s="2004">
        <v>0</v>
      </c>
      <c r="AX33" s="2004" t="s">
        <v>2337</v>
      </c>
      <c r="AY33" s="2004">
        <v>0</v>
      </c>
      <c r="AZ33" s="2004" t="s">
        <v>2337</v>
      </c>
      <c r="BA33" s="2004"/>
      <c r="BB33" s="2004" t="s">
        <v>12494</v>
      </c>
    </row>
    <row r="34" spans="1:54">
      <c r="A34" s="2004" t="s">
        <v>10168</v>
      </c>
      <c r="B34" s="2004" t="s">
        <v>9085</v>
      </c>
      <c r="C34" s="2004" t="s">
        <v>10143</v>
      </c>
      <c r="D34" s="2004" t="s">
        <v>9194</v>
      </c>
      <c r="E34" s="2004" t="s">
        <v>9709</v>
      </c>
      <c r="F34" s="2004" t="s">
        <v>10170</v>
      </c>
      <c r="G34" s="2004"/>
      <c r="H34" s="2004"/>
      <c r="I34" s="2004"/>
      <c r="J34" s="2004"/>
      <c r="K34" s="2004"/>
      <c r="L34" s="2004"/>
      <c r="M34" s="2004"/>
      <c r="N34" s="2004"/>
      <c r="O34" s="2004"/>
      <c r="P34" s="2004" t="s">
        <v>12495</v>
      </c>
      <c r="Q34" s="2004" t="s">
        <v>12496</v>
      </c>
      <c r="R34" s="2004" t="s">
        <v>12445</v>
      </c>
      <c r="S34" s="2004"/>
      <c r="T34" s="2004" t="s">
        <v>766</v>
      </c>
      <c r="U34" s="516" t="s">
        <v>3016</v>
      </c>
      <c r="V34" s="2004"/>
      <c r="W34" s="2004"/>
      <c r="X34" s="2004">
        <v>1</v>
      </c>
      <c r="Y34" s="2004">
        <v>1</v>
      </c>
      <c r="Z34" s="2004">
        <v>1</v>
      </c>
      <c r="AA34" s="2004">
        <v>1</v>
      </c>
      <c r="AB34" s="2004">
        <v>1</v>
      </c>
      <c r="AC34" s="2004"/>
      <c r="AD34" s="2004"/>
      <c r="AE34" s="2004">
        <v>2</v>
      </c>
      <c r="AF34" s="2004">
        <v>2</v>
      </c>
      <c r="AG34" s="2004">
        <v>2</v>
      </c>
      <c r="AH34" s="2004">
        <v>2</v>
      </c>
      <c r="AI34" s="2004">
        <v>2</v>
      </c>
      <c r="AJ34" s="2004"/>
      <c r="AK34" s="2004"/>
      <c r="AL34" s="2004">
        <v>0</v>
      </c>
      <c r="AM34" s="2004">
        <v>0</v>
      </c>
      <c r="AN34" s="2004">
        <v>0</v>
      </c>
      <c r="AO34" s="2004">
        <v>0</v>
      </c>
      <c r="AP34" s="2004">
        <v>0</v>
      </c>
      <c r="AQ34" s="2004"/>
      <c r="AR34" s="2004">
        <v>0</v>
      </c>
      <c r="AS34" s="2004">
        <v>0</v>
      </c>
      <c r="AT34" s="2004" t="s">
        <v>2337</v>
      </c>
      <c r="AU34" s="2004">
        <v>0</v>
      </c>
      <c r="AV34" s="2004" t="s">
        <v>2337</v>
      </c>
      <c r="AW34" s="2004">
        <v>0</v>
      </c>
      <c r="AX34" s="2004" t="s">
        <v>2337</v>
      </c>
      <c r="AY34" s="2004">
        <v>0</v>
      </c>
      <c r="AZ34" s="2004" t="s">
        <v>2337</v>
      </c>
      <c r="BA34" s="2004"/>
      <c r="BB34" s="2004" t="s">
        <v>12497</v>
      </c>
    </row>
    <row r="35" spans="1:54">
      <c r="A35" s="2004" t="s">
        <v>10168</v>
      </c>
      <c r="B35" s="2004" t="s">
        <v>9085</v>
      </c>
      <c r="C35" s="2004" t="s">
        <v>10143</v>
      </c>
      <c r="D35" s="2004" t="s">
        <v>9194</v>
      </c>
      <c r="E35" s="2004" t="s">
        <v>9709</v>
      </c>
      <c r="F35" s="2004" t="s">
        <v>10170</v>
      </c>
      <c r="G35" s="2004"/>
      <c r="H35" s="2004"/>
      <c r="I35" s="2004"/>
      <c r="J35" s="2004"/>
      <c r="K35" s="2004"/>
      <c r="L35" s="2004"/>
      <c r="M35" s="2004"/>
      <c r="N35" s="2004"/>
      <c r="O35" s="2004"/>
      <c r="P35" s="2004" t="s">
        <v>12498</v>
      </c>
      <c r="Q35" s="2004" t="s">
        <v>12499</v>
      </c>
      <c r="R35" s="2004" t="s">
        <v>12500</v>
      </c>
      <c r="S35" s="2004"/>
      <c r="T35" s="2004" t="s">
        <v>766</v>
      </c>
      <c r="U35" s="516" t="s">
        <v>3016</v>
      </c>
      <c r="V35" s="2004"/>
      <c r="W35" s="2004"/>
      <c r="X35" s="2004">
        <v>0</v>
      </c>
      <c r="Y35" s="2004">
        <v>0</v>
      </c>
      <c r="Z35" s="2004">
        <v>0</v>
      </c>
      <c r="AA35" s="2004">
        <v>0</v>
      </c>
      <c r="AB35" s="2004">
        <v>0</v>
      </c>
      <c r="AC35" s="2004"/>
      <c r="AD35" s="2004"/>
      <c r="AE35" s="2004">
        <v>1</v>
      </c>
      <c r="AF35" s="2004">
        <v>1</v>
      </c>
      <c r="AG35" s="2004">
        <v>1</v>
      </c>
      <c r="AH35" s="2004">
        <v>1</v>
      </c>
      <c r="AI35" s="2004">
        <v>1</v>
      </c>
      <c r="AJ35" s="2004"/>
      <c r="AK35" s="2004"/>
      <c r="AL35" s="2004">
        <v>0</v>
      </c>
      <c r="AM35" s="2004">
        <v>0</v>
      </c>
      <c r="AN35" s="2004">
        <v>0</v>
      </c>
      <c r="AO35" s="2004">
        <v>0</v>
      </c>
      <c r="AP35" s="2004">
        <v>0</v>
      </c>
      <c r="AQ35" s="2004"/>
      <c r="AR35" s="2004">
        <v>0</v>
      </c>
      <c r="AS35" s="2004">
        <v>0</v>
      </c>
      <c r="AT35" s="2004" t="s">
        <v>2337</v>
      </c>
      <c r="AU35" s="2004">
        <v>0</v>
      </c>
      <c r="AV35" s="2004" t="s">
        <v>2337</v>
      </c>
      <c r="AW35" s="2004">
        <v>0</v>
      </c>
      <c r="AX35" s="2004" t="s">
        <v>2337</v>
      </c>
      <c r="AY35" s="2004">
        <v>0</v>
      </c>
      <c r="AZ35" s="2004" t="s">
        <v>2337</v>
      </c>
      <c r="BA35" s="2004"/>
      <c r="BB35" s="2004" t="s">
        <v>12501</v>
      </c>
    </row>
    <row r="36" spans="1:54">
      <c r="A36" s="2004" t="s">
        <v>10168</v>
      </c>
      <c r="B36" s="2004" t="s">
        <v>9085</v>
      </c>
      <c r="C36" s="2004" t="s">
        <v>10143</v>
      </c>
      <c r="D36" s="2004" t="s">
        <v>9194</v>
      </c>
      <c r="E36" s="2004" t="s">
        <v>9709</v>
      </c>
      <c r="F36" s="2004" t="s">
        <v>10170</v>
      </c>
      <c r="G36" s="2004"/>
      <c r="H36" s="2004"/>
      <c r="I36" s="2004"/>
      <c r="J36" s="2004"/>
      <c r="K36" s="2004"/>
      <c r="L36" s="2004"/>
      <c r="M36" s="2004"/>
      <c r="N36" s="2004"/>
      <c r="O36" s="2004"/>
      <c r="P36" s="2004" t="s">
        <v>3072</v>
      </c>
      <c r="Q36" s="2004" t="s">
        <v>12502</v>
      </c>
      <c r="R36" s="2004" t="s">
        <v>12474</v>
      </c>
      <c r="S36" s="2004"/>
      <c r="T36" s="2004" t="s">
        <v>766</v>
      </c>
      <c r="U36" s="516" t="s">
        <v>3016</v>
      </c>
      <c r="V36" s="2004"/>
      <c r="W36" s="2004"/>
      <c r="X36" s="2004">
        <v>900</v>
      </c>
      <c r="Y36" s="2004">
        <v>900</v>
      </c>
      <c r="Z36" s="2004">
        <v>900</v>
      </c>
      <c r="AA36" s="2004">
        <v>900</v>
      </c>
      <c r="AB36" s="2004">
        <v>900</v>
      </c>
      <c r="AC36" s="2004"/>
      <c r="AD36" s="2004"/>
      <c r="AE36" s="2004">
        <v>1100</v>
      </c>
      <c r="AF36" s="2004">
        <v>1100</v>
      </c>
      <c r="AG36" s="2004">
        <v>1100</v>
      </c>
      <c r="AH36" s="2004">
        <v>1100</v>
      </c>
      <c r="AI36" s="2004">
        <v>1100</v>
      </c>
      <c r="AJ36" s="2004"/>
      <c r="AK36" s="2004"/>
      <c r="AL36" s="2004">
        <v>700</v>
      </c>
      <c r="AM36" s="2004">
        <v>700</v>
      </c>
      <c r="AN36" s="2004">
        <v>700</v>
      </c>
      <c r="AO36" s="2004">
        <v>700</v>
      </c>
      <c r="AP36" s="2004">
        <v>700</v>
      </c>
      <c r="AQ36" s="2004"/>
      <c r="AR36" s="2004">
        <v>781</v>
      </c>
      <c r="AS36" s="2004">
        <v>230</v>
      </c>
      <c r="AT36" s="2004" t="s">
        <v>2337</v>
      </c>
      <c r="AU36" s="2004">
        <v>212</v>
      </c>
      <c r="AV36" s="2004" t="s">
        <v>2337</v>
      </c>
      <c r="AW36" s="2004">
        <v>221</v>
      </c>
      <c r="AX36" s="2004" t="s">
        <v>2337</v>
      </c>
      <c r="AY36" s="2004">
        <v>124</v>
      </c>
      <c r="AZ36" s="2004" t="s">
        <v>2337</v>
      </c>
      <c r="BA36" s="2004"/>
      <c r="BB36" s="2004" t="s">
        <v>12503</v>
      </c>
    </row>
    <row r="37" spans="1:54">
      <c r="A37" s="2004" t="s">
        <v>10438</v>
      </c>
      <c r="B37" s="2004" t="s">
        <v>9085</v>
      </c>
      <c r="C37" s="2004" t="s">
        <v>10333</v>
      </c>
      <c r="D37" s="2004" t="s">
        <v>9194</v>
      </c>
      <c r="E37" s="2004" t="s">
        <v>4289</v>
      </c>
      <c r="F37" s="2004" t="s">
        <v>10440</v>
      </c>
      <c r="G37" s="2004" t="s">
        <v>9210</v>
      </c>
      <c r="H37" s="2004" t="s">
        <v>9260</v>
      </c>
      <c r="I37" s="2004" t="s">
        <v>9546</v>
      </c>
      <c r="J37" s="2004" t="s">
        <v>2338</v>
      </c>
      <c r="K37" s="2004" t="s">
        <v>2338</v>
      </c>
      <c r="L37" s="2004" t="s">
        <v>2338</v>
      </c>
      <c r="M37" s="2004" t="s">
        <v>2338</v>
      </c>
      <c r="N37" s="2004" t="s">
        <v>2338</v>
      </c>
      <c r="O37" s="2004" t="s">
        <v>2338</v>
      </c>
      <c r="P37" s="2004" t="s">
        <v>12417</v>
      </c>
      <c r="Q37" s="2004" t="s">
        <v>10440</v>
      </c>
      <c r="R37" s="2004"/>
      <c r="S37" s="2004"/>
      <c r="T37" s="2004" t="s">
        <v>9395</v>
      </c>
      <c r="U37" s="2004" t="s">
        <v>9203</v>
      </c>
      <c r="V37" s="2004"/>
      <c r="W37" s="2004"/>
      <c r="X37" s="2004"/>
      <c r="Y37" s="2004"/>
      <c r="Z37" s="2004"/>
      <c r="AA37" s="2004"/>
      <c r="AB37" s="2004"/>
      <c r="AC37" s="2004"/>
      <c r="AD37" s="2004"/>
      <c r="AE37" s="2004"/>
      <c r="AF37" s="2004"/>
      <c r="AG37" s="2004"/>
      <c r="AH37" s="2004"/>
      <c r="AI37" s="2004"/>
      <c r="AJ37" s="2004"/>
      <c r="AK37" s="2004"/>
      <c r="AL37" s="2004"/>
      <c r="AM37" s="2004"/>
      <c r="AN37" s="2004"/>
      <c r="AO37" s="2004"/>
      <c r="AP37" s="2004"/>
      <c r="AQ37" s="2004"/>
      <c r="AR37" s="2004" t="s">
        <v>2338</v>
      </c>
      <c r="AS37" s="2004" t="s">
        <v>2338</v>
      </c>
      <c r="AT37" s="2004" t="s">
        <v>2337</v>
      </c>
      <c r="AU37" s="2004" t="s">
        <v>2338</v>
      </c>
      <c r="AV37" s="2004" t="s">
        <v>2337</v>
      </c>
      <c r="AW37" s="2004" t="s">
        <v>2338</v>
      </c>
      <c r="AX37" s="2004" t="s">
        <v>2337</v>
      </c>
      <c r="AY37" s="2004" t="s">
        <v>2338</v>
      </c>
      <c r="AZ37" s="2004" t="s">
        <v>2337</v>
      </c>
      <c r="BA37" s="2004"/>
      <c r="BB37" s="2004" t="s">
        <v>12504</v>
      </c>
    </row>
    <row r="38" spans="1:54">
      <c r="A38" s="2004" t="s">
        <v>10438</v>
      </c>
      <c r="B38" s="2004" t="s">
        <v>9085</v>
      </c>
      <c r="C38" s="2004" t="s">
        <v>10333</v>
      </c>
      <c r="D38" s="2004" t="s">
        <v>9194</v>
      </c>
      <c r="E38" s="2004" t="s">
        <v>4289</v>
      </c>
      <c r="F38" s="2004" t="s">
        <v>10440</v>
      </c>
      <c r="G38" s="2004"/>
      <c r="H38" s="2004"/>
      <c r="I38" s="2004"/>
      <c r="J38" s="2004"/>
      <c r="K38" s="2004"/>
      <c r="L38" s="2004"/>
      <c r="M38" s="2004"/>
      <c r="N38" s="2004"/>
      <c r="O38" s="2004"/>
      <c r="P38" s="2004" t="s">
        <v>12419</v>
      </c>
      <c r="Q38" s="2004" t="s">
        <v>12505</v>
      </c>
      <c r="R38" s="2004" t="s">
        <v>12440</v>
      </c>
      <c r="S38" s="2004"/>
      <c r="T38" s="2004" t="s">
        <v>734</v>
      </c>
      <c r="U38" s="2004">
        <v>2</v>
      </c>
      <c r="V38" s="2004"/>
      <c r="W38" s="2004">
        <v>0.05</v>
      </c>
      <c r="X38" s="2004">
        <v>0.05</v>
      </c>
      <c r="Y38" s="2004">
        <v>0.05</v>
      </c>
      <c r="Z38" s="2004">
        <v>0.05</v>
      </c>
      <c r="AA38" s="2004">
        <v>0.05</v>
      </c>
      <c r="AB38" s="2004">
        <v>0.05</v>
      </c>
      <c r="AC38" s="2004"/>
      <c r="AD38" s="2004"/>
      <c r="AE38" s="2004">
        <v>0.08</v>
      </c>
      <c r="AF38" s="2004">
        <v>0.08</v>
      </c>
      <c r="AG38" s="2004">
        <v>0.08</v>
      </c>
      <c r="AH38" s="2004">
        <v>0.08</v>
      </c>
      <c r="AI38" s="2004">
        <v>0.08</v>
      </c>
      <c r="AJ38" s="2004"/>
      <c r="AK38" s="2004"/>
      <c r="AL38" s="2004"/>
      <c r="AM38" s="2004"/>
      <c r="AN38" s="2004"/>
      <c r="AO38" s="2004"/>
      <c r="AP38" s="2004"/>
      <c r="AQ38" s="2004"/>
      <c r="AR38" s="2004">
        <v>0.02</v>
      </c>
      <c r="AS38" s="2004">
        <v>0.03</v>
      </c>
      <c r="AT38" s="2004" t="s">
        <v>2337</v>
      </c>
      <c r="AU38" s="2004">
        <v>0.08</v>
      </c>
      <c r="AV38" s="2004" t="s">
        <v>2337</v>
      </c>
      <c r="AW38" s="2004">
        <v>0.05</v>
      </c>
      <c r="AX38" s="2004" t="s">
        <v>2337</v>
      </c>
      <c r="AY38" s="2004">
        <v>0.04</v>
      </c>
      <c r="AZ38" s="2004" t="s">
        <v>2337</v>
      </c>
      <c r="BA38" s="2004"/>
      <c r="BB38" s="2004" t="s">
        <v>12506</v>
      </c>
    </row>
    <row r="39" spans="1:54">
      <c r="A39" s="2004" t="s">
        <v>10438</v>
      </c>
      <c r="B39" s="2004" t="s">
        <v>9085</v>
      </c>
      <c r="C39" s="2004" t="s">
        <v>10333</v>
      </c>
      <c r="D39" s="2004" t="s">
        <v>9194</v>
      </c>
      <c r="E39" s="2004" t="s">
        <v>4289</v>
      </c>
      <c r="F39" s="2004" t="s">
        <v>10440</v>
      </c>
      <c r="G39" s="2004"/>
      <c r="H39" s="2004"/>
      <c r="I39" s="2004"/>
      <c r="J39" s="2004"/>
      <c r="K39" s="2004"/>
      <c r="L39" s="2004"/>
      <c r="M39" s="2004"/>
      <c r="N39" s="2004"/>
      <c r="O39" s="2004"/>
      <c r="P39" s="2004" t="s">
        <v>12423</v>
      </c>
      <c r="Q39" s="2004" t="s">
        <v>12507</v>
      </c>
      <c r="R39" s="2004" t="s">
        <v>12443</v>
      </c>
      <c r="S39" s="2004"/>
      <c r="T39" s="2004" t="s">
        <v>734</v>
      </c>
      <c r="U39" s="2004">
        <v>2</v>
      </c>
      <c r="V39" s="2004"/>
      <c r="W39" s="2004"/>
      <c r="X39" s="2004">
        <v>0.21</v>
      </c>
      <c r="Y39" s="2004">
        <v>0.21</v>
      </c>
      <c r="Z39" s="2004">
        <v>0.21</v>
      </c>
      <c r="AA39" s="2004">
        <v>0.21</v>
      </c>
      <c r="AB39" s="2004">
        <v>0.21</v>
      </c>
      <c r="AC39" s="2004"/>
      <c r="AD39" s="2004"/>
      <c r="AE39" s="2004">
        <v>0.84</v>
      </c>
      <c r="AF39" s="2004">
        <v>0.84</v>
      </c>
      <c r="AG39" s="2004">
        <v>0.84</v>
      </c>
      <c r="AH39" s="2004">
        <v>0.84</v>
      </c>
      <c r="AI39" s="2004">
        <v>0.84</v>
      </c>
      <c r="AJ39" s="2004"/>
      <c r="AK39" s="2004"/>
      <c r="AL39" s="2004"/>
      <c r="AM39" s="2004"/>
      <c r="AN39" s="2004"/>
      <c r="AO39" s="2004"/>
      <c r="AP39" s="2004"/>
      <c r="AQ39" s="2004"/>
      <c r="AR39" s="2004">
        <v>0.43</v>
      </c>
      <c r="AS39" s="2004">
        <v>0</v>
      </c>
      <c r="AT39" s="2004" t="s">
        <v>2337</v>
      </c>
      <c r="AU39" s="2004">
        <v>0</v>
      </c>
      <c r="AV39" s="2004" t="s">
        <v>2337</v>
      </c>
      <c r="AW39" s="2004">
        <v>0</v>
      </c>
      <c r="AX39" s="2004" t="s">
        <v>2337</v>
      </c>
      <c r="AY39" s="2004">
        <v>0</v>
      </c>
      <c r="AZ39" s="2004" t="s">
        <v>2337</v>
      </c>
      <c r="BA39" s="2004"/>
      <c r="BB39" s="2004" t="s">
        <v>12508</v>
      </c>
    </row>
    <row r="40" spans="1:54">
      <c r="A40" s="2004" t="s">
        <v>10438</v>
      </c>
      <c r="B40" s="2004" t="s">
        <v>9085</v>
      </c>
      <c r="C40" s="2004" t="s">
        <v>10333</v>
      </c>
      <c r="D40" s="2004" t="s">
        <v>9194</v>
      </c>
      <c r="E40" s="2004" t="s">
        <v>4289</v>
      </c>
      <c r="F40" s="2004" t="s">
        <v>10440</v>
      </c>
      <c r="G40" s="2004"/>
      <c r="H40" s="2004"/>
      <c r="I40" s="2004"/>
      <c r="J40" s="2004"/>
      <c r="K40" s="2004"/>
      <c r="L40" s="2004"/>
      <c r="M40" s="2004"/>
      <c r="N40" s="2004"/>
      <c r="O40" s="2004"/>
      <c r="P40" s="2004" t="s">
        <v>12430</v>
      </c>
      <c r="Q40" s="2004" t="s">
        <v>12509</v>
      </c>
      <c r="R40" s="2004" t="s">
        <v>12445</v>
      </c>
      <c r="S40" s="2004"/>
      <c r="T40" s="2004" t="s">
        <v>766</v>
      </c>
      <c r="U40" s="516" t="s">
        <v>3016</v>
      </c>
      <c r="V40" s="2004"/>
      <c r="W40" s="2004"/>
      <c r="X40" s="2004">
        <v>4</v>
      </c>
      <c r="Y40" s="2004">
        <v>4</v>
      </c>
      <c r="Z40" s="2004">
        <v>4</v>
      </c>
      <c r="AA40" s="2004">
        <v>4</v>
      </c>
      <c r="AB40" s="2004">
        <v>4</v>
      </c>
      <c r="AC40" s="2004"/>
      <c r="AD40" s="2004"/>
      <c r="AE40" s="2004">
        <v>11</v>
      </c>
      <c r="AF40" s="2004">
        <v>11</v>
      </c>
      <c r="AG40" s="2004">
        <v>11</v>
      </c>
      <c r="AH40" s="2004">
        <v>11</v>
      </c>
      <c r="AI40" s="2004">
        <v>11</v>
      </c>
      <c r="AJ40" s="2004"/>
      <c r="AK40" s="2004"/>
      <c r="AL40" s="2004"/>
      <c r="AM40" s="2004"/>
      <c r="AN40" s="2004"/>
      <c r="AO40" s="2004"/>
      <c r="AP40" s="2004"/>
      <c r="AQ40" s="2004"/>
      <c r="AR40" s="2004">
        <v>3</v>
      </c>
      <c r="AS40" s="2004">
        <v>0</v>
      </c>
      <c r="AT40" s="2004" t="s">
        <v>2337</v>
      </c>
      <c r="AU40" s="2004">
        <v>0</v>
      </c>
      <c r="AV40" s="2004" t="s">
        <v>2337</v>
      </c>
      <c r="AW40" s="2004">
        <v>0</v>
      </c>
      <c r="AX40" s="2004" t="s">
        <v>2337</v>
      </c>
      <c r="AY40" s="2004">
        <v>0</v>
      </c>
      <c r="AZ40" s="2004" t="s">
        <v>2337</v>
      </c>
      <c r="BA40" s="2004"/>
      <c r="BB40" s="2004" t="s">
        <v>12510</v>
      </c>
    </row>
    <row r="41" spans="1:54">
      <c r="A41" s="2004" t="s">
        <v>10438</v>
      </c>
      <c r="B41" s="2004" t="s">
        <v>9085</v>
      </c>
      <c r="C41" s="2004" t="s">
        <v>10333</v>
      </c>
      <c r="D41" s="2004" t="s">
        <v>9194</v>
      </c>
      <c r="E41" s="2004" t="s">
        <v>4289</v>
      </c>
      <c r="F41" s="2004" t="s">
        <v>10440</v>
      </c>
      <c r="G41" s="2004"/>
      <c r="H41" s="2004"/>
      <c r="I41" s="2004"/>
      <c r="J41" s="2004"/>
      <c r="K41" s="2004"/>
      <c r="L41" s="2004"/>
      <c r="M41" s="2004"/>
      <c r="N41" s="2004"/>
      <c r="O41" s="2004"/>
      <c r="P41" s="2004" t="s">
        <v>12434</v>
      </c>
      <c r="Q41" s="2004" t="s">
        <v>12511</v>
      </c>
      <c r="R41" s="2004" t="s">
        <v>12500</v>
      </c>
      <c r="S41" s="2004"/>
      <c r="T41" s="2004" t="s">
        <v>766</v>
      </c>
      <c r="U41" s="516" t="s">
        <v>3016</v>
      </c>
      <c r="V41" s="2004"/>
      <c r="W41" s="2004"/>
      <c r="X41" s="2004">
        <v>0</v>
      </c>
      <c r="Y41" s="2004">
        <v>0</v>
      </c>
      <c r="Z41" s="2004">
        <v>0</v>
      </c>
      <c r="AA41" s="2004">
        <v>0</v>
      </c>
      <c r="AB41" s="2004">
        <v>0</v>
      </c>
      <c r="AC41" s="2004"/>
      <c r="AD41" s="2004"/>
      <c r="AE41" s="2004">
        <v>1</v>
      </c>
      <c r="AF41" s="2004">
        <v>1</v>
      </c>
      <c r="AG41" s="2004">
        <v>1</v>
      </c>
      <c r="AH41" s="2004">
        <v>1</v>
      </c>
      <c r="AI41" s="2004">
        <v>1</v>
      </c>
      <c r="AJ41" s="2004"/>
      <c r="AK41" s="2004"/>
      <c r="AL41" s="2004"/>
      <c r="AM41" s="2004"/>
      <c r="AN41" s="2004"/>
      <c r="AO41" s="2004"/>
      <c r="AP41" s="2004"/>
      <c r="AQ41" s="2004"/>
      <c r="AR41" s="2004">
        <v>0</v>
      </c>
      <c r="AS41" s="2004">
        <v>0</v>
      </c>
      <c r="AT41" s="2004" t="s">
        <v>2337</v>
      </c>
      <c r="AU41" s="2004">
        <v>0</v>
      </c>
      <c r="AV41" s="2004" t="s">
        <v>2337</v>
      </c>
      <c r="AW41" s="2004">
        <v>0</v>
      </c>
      <c r="AX41" s="2004" t="s">
        <v>2337</v>
      </c>
      <c r="AY41" s="2004">
        <v>0</v>
      </c>
      <c r="AZ41" s="2004" t="s">
        <v>2337</v>
      </c>
      <c r="BA41" s="2004"/>
      <c r="BB41" s="2004" t="s">
        <v>12512</v>
      </c>
    </row>
    <row r="42" spans="1:54">
      <c r="A42" s="2004" t="s">
        <v>10485</v>
      </c>
      <c r="B42" s="2004" t="s">
        <v>9047</v>
      </c>
      <c r="C42" s="2004" t="s">
        <v>9070</v>
      </c>
      <c r="D42" s="2004" t="s">
        <v>9194</v>
      </c>
      <c r="E42" s="2004">
        <v>1</v>
      </c>
      <c r="F42" s="2004" t="s">
        <v>12513</v>
      </c>
      <c r="G42" s="2004" t="s">
        <v>9210</v>
      </c>
      <c r="H42" s="2004" t="s">
        <v>9260</v>
      </c>
      <c r="I42" s="2004" t="s">
        <v>9546</v>
      </c>
      <c r="J42" s="2004" t="s">
        <v>4140</v>
      </c>
      <c r="K42" s="2004" t="s">
        <v>2338</v>
      </c>
      <c r="L42" s="2004" t="s">
        <v>2338</v>
      </c>
      <c r="M42" s="2004" t="s">
        <v>2338</v>
      </c>
      <c r="N42" s="2004" t="s">
        <v>2338</v>
      </c>
      <c r="O42" s="2004" t="s">
        <v>2338</v>
      </c>
      <c r="P42" s="2004" t="s">
        <v>12417</v>
      </c>
      <c r="Q42" s="2004" t="s">
        <v>12513</v>
      </c>
      <c r="R42" s="2004"/>
      <c r="S42" s="2004"/>
      <c r="T42" s="2004" t="s">
        <v>9395</v>
      </c>
      <c r="U42" s="2004" t="s">
        <v>9203</v>
      </c>
      <c r="V42" s="2004"/>
      <c r="W42" s="2004"/>
      <c r="X42" s="2004"/>
      <c r="Y42" s="2004"/>
      <c r="Z42" s="2004"/>
      <c r="AA42" s="2004"/>
      <c r="AB42" s="2004"/>
      <c r="AC42" s="2004"/>
      <c r="AD42" s="2004"/>
      <c r="AE42" s="2004"/>
      <c r="AF42" s="2004"/>
      <c r="AG42" s="2004"/>
      <c r="AH42" s="2004"/>
      <c r="AI42" s="2004"/>
      <c r="AJ42" s="2004"/>
      <c r="AK42" s="2004"/>
      <c r="AL42" s="2004"/>
      <c r="AM42" s="2004"/>
      <c r="AN42" s="2004"/>
      <c r="AO42" s="2004"/>
      <c r="AP42" s="2004"/>
      <c r="AQ42" s="2004"/>
      <c r="AR42" s="2004" t="s">
        <v>4140</v>
      </c>
      <c r="AS42" s="2004" t="s">
        <v>2338</v>
      </c>
      <c r="AT42" s="2004" t="s">
        <v>2337</v>
      </c>
      <c r="AU42" s="2004" t="s">
        <v>2338</v>
      </c>
      <c r="AV42" s="2004" t="s">
        <v>2337</v>
      </c>
      <c r="AW42" s="2004" t="s">
        <v>2338</v>
      </c>
      <c r="AX42" s="2004" t="s">
        <v>2337</v>
      </c>
      <c r="AY42" s="2004" t="s">
        <v>2338</v>
      </c>
      <c r="AZ42" s="2004" t="s">
        <v>2337</v>
      </c>
      <c r="BA42" s="2004"/>
      <c r="BB42" s="2004" t="s">
        <v>12514</v>
      </c>
    </row>
    <row r="43" spans="1:54">
      <c r="A43" s="2004" t="s">
        <v>10485</v>
      </c>
      <c r="B43" s="2004" t="s">
        <v>9047</v>
      </c>
      <c r="C43" s="2004" t="s">
        <v>9070</v>
      </c>
      <c r="D43" s="2004" t="s">
        <v>9194</v>
      </c>
      <c r="E43" s="2004">
        <v>1</v>
      </c>
      <c r="F43" s="2004" t="s">
        <v>12513</v>
      </c>
      <c r="G43" s="2004"/>
      <c r="H43" s="2004"/>
      <c r="I43" s="2004"/>
      <c r="J43" s="2004"/>
      <c r="K43" s="2004"/>
      <c r="L43" s="2004"/>
      <c r="M43" s="2004"/>
      <c r="N43" s="2004"/>
      <c r="O43" s="2004"/>
      <c r="P43" s="2004" t="s">
        <v>12419</v>
      </c>
      <c r="Q43" s="2004" t="s">
        <v>12515</v>
      </c>
      <c r="R43" s="2004" t="s">
        <v>12425</v>
      </c>
      <c r="S43" s="2004"/>
      <c r="T43" s="2004" t="s">
        <v>766</v>
      </c>
      <c r="U43" s="516" t="s">
        <v>3016</v>
      </c>
      <c r="V43" s="2004"/>
      <c r="W43" s="2004"/>
      <c r="X43" s="2004"/>
      <c r="Y43" s="2004"/>
      <c r="Z43" s="2004"/>
      <c r="AA43" s="2004"/>
      <c r="AB43" s="2004"/>
      <c r="AC43" s="2004"/>
      <c r="AD43" s="2004"/>
      <c r="AE43" s="2004">
        <v>2865</v>
      </c>
      <c r="AF43" s="2004">
        <v>2865</v>
      </c>
      <c r="AG43" s="2004">
        <v>2865</v>
      </c>
      <c r="AH43" s="2004">
        <v>2865</v>
      </c>
      <c r="AI43" s="2004">
        <v>2865</v>
      </c>
      <c r="AJ43" s="2004"/>
      <c r="AK43" s="2004"/>
      <c r="AL43" s="2004">
        <v>2383</v>
      </c>
      <c r="AM43" s="2004">
        <v>2383</v>
      </c>
      <c r="AN43" s="2004">
        <v>2383</v>
      </c>
      <c r="AO43" s="2004">
        <v>2383</v>
      </c>
      <c r="AP43" s="2004">
        <v>2383</v>
      </c>
      <c r="AQ43" s="2004"/>
      <c r="AR43" s="2004">
        <v>1770</v>
      </c>
      <c r="AS43" s="2004">
        <v>1322</v>
      </c>
      <c r="AT43" s="2004" t="s">
        <v>2337</v>
      </c>
      <c r="AU43" s="2004">
        <v>1996</v>
      </c>
      <c r="AV43" s="2004" t="s">
        <v>2337</v>
      </c>
      <c r="AW43" s="2004">
        <v>1844</v>
      </c>
      <c r="AX43" s="2004" t="s">
        <v>2337</v>
      </c>
      <c r="AY43" s="2004">
        <v>1917</v>
      </c>
      <c r="AZ43" s="2004" t="s">
        <v>2337</v>
      </c>
      <c r="BA43" s="2004"/>
      <c r="BB43" s="2004" t="s">
        <v>12516</v>
      </c>
    </row>
    <row r="44" spans="1:54">
      <c r="A44" s="2004" t="s">
        <v>10485</v>
      </c>
      <c r="B44" s="2004" t="s">
        <v>9047</v>
      </c>
      <c r="C44" s="2004" t="s">
        <v>9070</v>
      </c>
      <c r="D44" s="2004" t="s">
        <v>9194</v>
      </c>
      <c r="E44" s="2004">
        <v>1</v>
      </c>
      <c r="F44" s="2004" t="s">
        <v>12513</v>
      </c>
      <c r="G44" s="2004"/>
      <c r="H44" s="2004"/>
      <c r="I44" s="2004"/>
      <c r="J44" s="2004"/>
      <c r="K44" s="2004"/>
      <c r="L44" s="2004"/>
      <c r="M44" s="2004"/>
      <c r="N44" s="2004"/>
      <c r="O44" s="2004"/>
      <c r="P44" s="2004" t="s">
        <v>12423</v>
      </c>
      <c r="Q44" s="2004" t="s">
        <v>12517</v>
      </c>
      <c r="R44" s="2004" t="s">
        <v>12436</v>
      </c>
      <c r="S44" s="2004"/>
      <c r="T44" s="2004" t="s">
        <v>734</v>
      </c>
      <c r="U44" s="2004">
        <v>2</v>
      </c>
      <c r="V44" s="2004"/>
      <c r="W44" s="2004"/>
      <c r="X44" s="2004"/>
      <c r="Y44" s="2004"/>
      <c r="Z44" s="2004"/>
      <c r="AA44" s="2004"/>
      <c r="AB44" s="2004"/>
      <c r="AC44" s="2004"/>
      <c r="AD44" s="2004"/>
      <c r="AE44" s="2004">
        <v>99.82</v>
      </c>
      <c r="AF44" s="2004">
        <v>99.82</v>
      </c>
      <c r="AG44" s="2004">
        <v>99.82</v>
      </c>
      <c r="AH44" s="2004">
        <v>99.82</v>
      </c>
      <c r="AI44" s="2004">
        <v>99.82</v>
      </c>
      <c r="AJ44" s="2004"/>
      <c r="AK44" s="2004"/>
      <c r="AL44" s="2004">
        <v>99.74</v>
      </c>
      <c r="AM44" s="2004">
        <v>99.74</v>
      </c>
      <c r="AN44" s="2004">
        <v>99.74</v>
      </c>
      <c r="AO44" s="2004">
        <v>99.74</v>
      </c>
      <c r="AP44" s="2004">
        <v>99.74</v>
      </c>
      <c r="AQ44" s="2004"/>
      <c r="AR44" s="2004">
        <v>99.96</v>
      </c>
      <c r="AS44" s="2004">
        <v>99.96</v>
      </c>
      <c r="AT44" s="2004" t="s">
        <v>2337</v>
      </c>
      <c r="AU44" s="2004">
        <v>99.91</v>
      </c>
      <c r="AV44" s="2004" t="s">
        <v>2337</v>
      </c>
      <c r="AW44" s="2004">
        <v>99.93</v>
      </c>
      <c r="AX44" s="2004" t="s">
        <v>2337</v>
      </c>
      <c r="AY44" s="2004">
        <v>99.97</v>
      </c>
      <c r="AZ44" s="2004" t="s">
        <v>2337</v>
      </c>
      <c r="BA44" s="2004"/>
      <c r="BB44" s="2004" t="s">
        <v>12518</v>
      </c>
    </row>
    <row r="45" spans="1:54">
      <c r="A45" s="2004" t="s">
        <v>10485</v>
      </c>
      <c r="B45" s="2004" t="s">
        <v>9047</v>
      </c>
      <c r="C45" s="2004" t="s">
        <v>9070</v>
      </c>
      <c r="D45" s="2004" t="s">
        <v>9194</v>
      </c>
      <c r="E45" s="2004">
        <v>1</v>
      </c>
      <c r="F45" s="2004" t="s">
        <v>12513</v>
      </c>
      <c r="G45" s="2004"/>
      <c r="H45" s="2004"/>
      <c r="I45" s="2004"/>
      <c r="J45" s="2004"/>
      <c r="K45" s="2004"/>
      <c r="L45" s="2004"/>
      <c r="M45" s="2004"/>
      <c r="N45" s="2004"/>
      <c r="O45" s="2004"/>
      <c r="P45" s="2004" t="s">
        <v>12430</v>
      </c>
      <c r="Q45" s="2004" t="s">
        <v>12519</v>
      </c>
      <c r="R45" s="2004" t="s">
        <v>12440</v>
      </c>
      <c r="S45" s="2004"/>
      <c r="T45" s="2004" t="s">
        <v>734</v>
      </c>
      <c r="U45" s="2004">
        <v>2</v>
      </c>
      <c r="V45" s="2004"/>
      <c r="W45" s="2004"/>
      <c r="X45" s="2004"/>
      <c r="Y45" s="2004"/>
      <c r="Z45" s="2004"/>
      <c r="AA45" s="2004"/>
      <c r="AB45" s="2004"/>
      <c r="AC45" s="2004"/>
      <c r="AD45" s="2004"/>
      <c r="AE45" s="2004">
        <v>99.92</v>
      </c>
      <c r="AF45" s="2004">
        <v>99.92</v>
      </c>
      <c r="AG45" s="2004">
        <v>99.92</v>
      </c>
      <c r="AH45" s="2004">
        <v>99.92</v>
      </c>
      <c r="AI45" s="2004">
        <v>99.92</v>
      </c>
      <c r="AJ45" s="2004"/>
      <c r="AK45" s="2004"/>
      <c r="AL45" s="2004">
        <v>99.88</v>
      </c>
      <c r="AM45" s="2004">
        <v>99.88</v>
      </c>
      <c r="AN45" s="2004">
        <v>99.88</v>
      </c>
      <c r="AO45" s="2004">
        <v>99.88</v>
      </c>
      <c r="AP45" s="2004">
        <v>99.88</v>
      </c>
      <c r="AQ45" s="2004"/>
      <c r="AR45" s="2004">
        <v>100</v>
      </c>
      <c r="AS45" s="2004">
        <v>100</v>
      </c>
      <c r="AT45" s="2004" t="s">
        <v>2337</v>
      </c>
      <c r="AU45" s="2004">
        <v>99.98</v>
      </c>
      <c r="AV45" s="2004" t="s">
        <v>2337</v>
      </c>
      <c r="AW45" s="2004">
        <v>99.98</v>
      </c>
      <c r="AX45" s="2004" t="s">
        <v>2337</v>
      </c>
      <c r="AY45" s="2004">
        <v>99.93</v>
      </c>
      <c r="AZ45" s="2004" t="s">
        <v>2337</v>
      </c>
      <c r="BA45" s="2004"/>
      <c r="BB45" s="2004" t="s">
        <v>12520</v>
      </c>
    </row>
    <row r="46" spans="1:54">
      <c r="A46" s="2004" t="s">
        <v>10485</v>
      </c>
      <c r="B46" s="2004" t="s">
        <v>9047</v>
      </c>
      <c r="C46" s="2004" t="s">
        <v>9070</v>
      </c>
      <c r="D46" s="2004" t="s">
        <v>9194</v>
      </c>
      <c r="E46" s="2004">
        <v>1</v>
      </c>
      <c r="F46" s="2004" t="s">
        <v>12513</v>
      </c>
      <c r="G46" s="2004"/>
      <c r="H46" s="2004"/>
      <c r="I46" s="2004"/>
      <c r="J46" s="2004"/>
      <c r="K46" s="2004"/>
      <c r="L46" s="2004"/>
      <c r="M46" s="2004"/>
      <c r="N46" s="2004"/>
      <c r="O46" s="2004"/>
      <c r="P46" s="2004" t="s">
        <v>12434</v>
      </c>
      <c r="Q46" s="2004" t="s">
        <v>12521</v>
      </c>
      <c r="R46" s="2004" t="s">
        <v>12443</v>
      </c>
      <c r="S46" s="2004"/>
      <c r="T46" s="2004" t="s">
        <v>734</v>
      </c>
      <c r="U46" s="516" t="s">
        <v>3016</v>
      </c>
      <c r="V46" s="2004"/>
      <c r="W46" s="2004"/>
      <c r="X46" s="2004"/>
      <c r="Y46" s="2004"/>
      <c r="Z46" s="2004"/>
      <c r="AA46" s="2004"/>
      <c r="AB46" s="2004"/>
      <c r="AC46" s="2004"/>
      <c r="AD46" s="2004"/>
      <c r="AE46" s="2004">
        <v>99</v>
      </c>
      <c r="AF46" s="2004">
        <v>99</v>
      </c>
      <c r="AG46" s="2004">
        <v>99</v>
      </c>
      <c r="AH46" s="2004">
        <v>99</v>
      </c>
      <c r="AI46" s="2004">
        <v>99</v>
      </c>
      <c r="AJ46" s="2004"/>
      <c r="AK46" s="2004"/>
      <c r="AL46" s="2004">
        <v>98</v>
      </c>
      <c r="AM46" s="2004">
        <v>98</v>
      </c>
      <c r="AN46" s="2004">
        <v>98</v>
      </c>
      <c r="AO46" s="2004">
        <v>98</v>
      </c>
      <c r="AP46" s="2004">
        <v>98</v>
      </c>
      <c r="AQ46" s="2004"/>
      <c r="AR46" s="2004">
        <v>99.96</v>
      </c>
      <c r="AS46" s="2004">
        <v>100</v>
      </c>
      <c r="AT46" s="2004" t="s">
        <v>2337</v>
      </c>
      <c r="AU46" s="2004">
        <v>100</v>
      </c>
      <c r="AV46" s="2004" t="s">
        <v>2337</v>
      </c>
      <c r="AW46" s="2004">
        <v>99.94</v>
      </c>
      <c r="AX46" s="2004" t="s">
        <v>2337</v>
      </c>
      <c r="AY46" s="2004">
        <v>100</v>
      </c>
      <c r="AZ46" s="2004" t="s">
        <v>2337</v>
      </c>
      <c r="BA46" s="2004"/>
      <c r="BB46" s="2004" t="s">
        <v>12522</v>
      </c>
    </row>
    <row r="47" spans="1:54">
      <c r="A47" s="2004" t="s">
        <v>10485</v>
      </c>
      <c r="B47" s="2004" t="s">
        <v>9047</v>
      </c>
      <c r="C47" s="2004" t="s">
        <v>9070</v>
      </c>
      <c r="D47" s="2004" t="s">
        <v>9194</v>
      </c>
      <c r="E47" s="2004">
        <v>1</v>
      </c>
      <c r="F47" s="2004" t="s">
        <v>12513</v>
      </c>
      <c r="G47" s="2004"/>
      <c r="H47" s="2004"/>
      <c r="I47" s="2004"/>
      <c r="J47" s="2004"/>
      <c r="K47" s="2004"/>
      <c r="L47" s="2004"/>
      <c r="M47" s="2004"/>
      <c r="N47" s="2004"/>
      <c r="O47" s="2004"/>
      <c r="P47" s="2004" t="s">
        <v>12486</v>
      </c>
      <c r="Q47" s="2004" t="s">
        <v>12523</v>
      </c>
      <c r="R47" s="2004" t="s">
        <v>12445</v>
      </c>
      <c r="S47" s="2004"/>
      <c r="T47" s="2004" t="s">
        <v>766</v>
      </c>
      <c r="U47" s="516" t="s">
        <v>3016</v>
      </c>
      <c r="V47" s="2004"/>
      <c r="W47" s="2004"/>
      <c r="X47" s="2004"/>
      <c r="Y47" s="2004"/>
      <c r="Z47" s="2004"/>
      <c r="AA47" s="2004"/>
      <c r="AB47" s="2004"/>
      <c r="AC47" s="2004"/>
      <c r="AD47" s="2004"/>
      <c r="AE47" s="2004">
        <v>10</v>
      </c>
      <c r="AF47" s="2004">
        <v>10</v>
      </c>
      <c r="AG47" s="2004">
        <v>10</v>
      </c>
      <c r="AH47" s="2004">
        <v>10</v>
      </c>
      <c r="AI47" s="2004">
        <v>10</v>
      </c>
      <c r="AJ47" s="2004"/>
      <c r="AK47" s="2004"/>
      <c r="AL47" s="2004">
        <v>6</v>
      </c>
      <c r="AM47" s="2004">
        <v>6</v>
      </c>
      <c r="AN47" s="2004">
        <v>6</v>
      </c>
      <c r="AO47" s="2004">
        <v>6</v>
      </c>
      <c r="AP47" s="2004">
        <v>6</v>
      </c>
      <c r="AQ47" s="2004"/>
      <c r="AR47" s="2004">
        <v>0</v>
      </c>
      <c r="AS47" s="2004">
        <v>0</v>
      </c>
      <c r="AT47" s="2004" t="s">
        <v>2337</v>
      </c>
      <c r="AU47" s="2004">
        <v>0</v>
      </c>
      <c r="AV47" s="2004" t="s">
        <v>2337</v>
      </c>
      <c r="AW47" s="2004">
        <v>1</v>
      </c>
      <c r="AX47" s="2004" t="s">
        <v>2337</v>
      </c>
      <c r="AY47" s="2004">
        <v>0</v>
      </c>
      <c r="AZ47" s="2004" t="s">
        <v>2337</v>
      </c>
      <c r="BA47" s="2004"/>
      <c r="BB47" s="2004" t="s">
        <v>12524</v>
      </c>
    </row>
    <row r="48" spans="1:54">
      <c r="A48" s="2004" t="s">
        <v>10525</v>
      </c>
      <c r="B48" s="2004" t="s">
        <v>9047</v>
      </c>
      <c r="C48" s="2004" t="s">
        <v>9070</v>
      </c>
      <c r="D48" s="2004" t="s">
        <v>9410</v>
      </c>
      <c r="E48" s="2004">
        <v>1</v>
      </c>
      <c r="F48" s="2004" t="s">
        <v>12525</v>
      </c>
      <c r="G48" s="2004" t="s">
        <v>9210</v>
      </c>
      <c r="H48" s="2004" t="s">
        <v>9477</v>
      </c>
      <c r="I48" s="2004" t="s">
        <v>9546</v>
      </c>
      <c r="J48" s="2004" t="s">
        <v>4140</v>
      </c>
      <c r="K48" s="2004" t="s">
        <v>2338</v>
      </c>
      <c r="L48" s="2004" t="s">
        <v>2338</v>
      </c>
      <c r="M48" s="2004" t="s">
        <v>2338</v>
      </c>
      <c r="N48" s="2004" t="s">
        <v>2338</v>
      </c>
      <c r="O48" s="2004" t="s">
        <v>2338</v>
      </c>
      <c r="P48" s="2004" t="s">
        <v>12417</v>
      </c>
      <c r="Q48" s="2004" t="s">
        <v>12525</v>
      </c>
      <c r="R48" s="2004"/>
      <c r="S48" s="2004"/>
      <c r="T48" s="2004" t="s">
        <v>9395</v>
      </c>
      <c r="U48" s="2004" t="s">
        <v>9203</v>
      </c>
      <c r="V48" s="2004"/>
      <c r="W48" s="2004"/>
      <c r="X48" s="2004"/>
      <c r="Y48" s="2004"/>
      <c r="Z48" s="2004"/>
      <c r="AA48" s="2004"/>
      <c r="AB48" s="2004"/>
      <c r="AC48" s="2004"/>
      <c r="AD48" s="2004"/>
      <c r="AE48" s="2004"/>
      <c r="AF48" s="2004"/>
      <c r="AG48" s="2004"/>
      <c r="AH48" s="2004"/>
      <c r="AI48" s="2004"/>
      <c r="AJ48" s="2004"/>
      <c r="AK48" s="2004"/>
      <c r="AL48" s="2004"/>
      <c r="AM48" s="2004"/>
      <c r="AN48" s="2004"/>
      <c r="AO48" s="2004"/>
      <c r="AP48" s="2004"/>
      <c r="AQ48" s="2004"/>
      <c r="AR48" s="2004" t="s">
        <v>4140</v>
      </c>
      <c r="AS48" s="2004" t="s">
        <v>2338</v>
      </c>
      <c r="AT48" s="2004" t="s">
        <v>2337</v>
      </c>
      <c r="AU48" s="2004" t="s">
        <v>2338</v>
      </c>
      <c r="AV48" s="2004" t="s">
        <v>2337</v>
      </c>
      <c r="AW48" s="2004" t="s">
        <v>2338</v>
      </c>
      <c r="AX48" s="2004" t="s">
        <v>2337</v>
      </c>
      <c r="AY48" s="2004" t="s">
        <v>2338</v>
      </c>
      <c r="AZ48" s="2004" t="s">
        <v>2337</v>
      </c>
      <c r="BA48" s="2004"/>
      <c r="BB48" s="2004" t="s">
        <v>12526</v>
      </c>
    </row>
    <row r="49" spans="1:54">
      <c r="A49" s="2004" t="s">
        <v>10525</v>
      </c>
      <c r="B49" s="2004" t="s">
        <v>9047</v>
      </c>
      <c r="C49" s="2004" t="s">
        <v>9070</v>
      </c>
      <c r="D49" s="2004" t="s">
        <v>9410</v>
      </c>
      <c r="E49" s="2004">
        <v>1</v>
      </c>
      <c r="F49" s="2004" t="s">
        <v>12525</v>
      </c>
      <c r="G49" s="2004"/>
      <c r="H49" s="2004"/>
      <c r="I49" s="2004"/>
      <c r="J49" s="2004"/>
      <c r="K49" s="2004"/>
      <c r="L49" s="2004"/>
      <c r="M49" s="2004"/>
      <c r="N49" s="2004"/>
      <c r="O49" s="2004"/>
      <c r="P49" s="2004" t="s">
        <v>12419</v>
      </c>
      <c r="Q49" s="2004" t="s">
        <v>3042</v>
      </c>
      <c r="R49" s="2004" t="s">
        <v>12450</v>
      </c>
      <c r="S49" s="2004"/>
      <c r="T49" s="2004" t="s">
        <v>766</v>
      </c>
      <c r="U49" s="516" t="s">
        <v>3016</v>
      </c>
      <c r="V49" s="2004"/>
      <c r="W49" s="2004"/>
      <c r="X49" s="2004"/>
      <c r="Y49" s="2004"/>
      <c r="Z49" s="2004"/>
      <c r="AA49" s="2004"/>
      <c r="AB49" s="2004"/>
      <c r="AC49" s="2004"/>
      <c r="AD49" s="2004"/>
      <c r="AE49" s="2004">
        <v>392</v>
      </c>
      <c r="AF49" s="2004">
        <v>392</v>
      </c>
      <c r="AG49" s="2004">
        <v>392</v>
      </c>
      <c r="AH49" s="2004">
        <v>392</v>
      </c>
      <c r="AI49" s="2004">
        <v>392</v>
      </c>
      <c r="AJ49" s="2004"/>
      <c r="AK49" s="2004"/>
      <c r="AL49" s="2004">
        <v>368</v>
      </c>
      <c r="AM49" s="2004">
        <v>368</v>
      </c>
      <c r="AN49" s="2004">
        <v>368</v>
      </c>
      <c r="AO49" s="2004">
        <v>368</v>
      </c>
      <c r="AP49" s="2004">
        <v>368</v>
      </c>
      <c r="AQ49" s="2004"/>
      <c r="AR49" s="2004">
        <v>268</v>
      </c>
      <c r="AS49" s="2004">
        <v>242</v>
      </c>
      <c r="AT49" s="2004" t="s">
        <v>2337</v>
      </c>
      <c r="AU49" s="2004">
        <v>233</v>
      </c>
      <c r="AV49" s="2004" t="s">
        <v>2337</v>
      </c>
      <c r="AW49" s="2004">
        <v>234</v>
      </c>
      <c r="AX49" s="2004" t="s">
        <v>2337</v>
      </c>
      <c r="AY49" s="2004">
        <v>245</v>
      </c>
      <c r="AZ49" s="2004" t="s">
        <v>2337</v>
      </c>
      <c r="BA49" s="2004"/>
      <c r="BB49" s="2004" t="s">
        <v>12527</v>
      </c>
    </row>
    <row r="50" spans="1:54">
      <c r="A50" s="2004" t="s">
        <v>10525</v>
      </c>
      <c r="B50" s="2004" t="s">
        <v>9047</v>
      </c>
      <c r="C50" s="2004" t="s">
        <v>9070</v>
      </c>
      <c r="D50" s="2004" t="s">
        <v>9410</v>
      </c>
      <c r="E50" s="2004">
        <v>1</v>
      </c>
      <c r="F50" s="2004" t="s">
        <v>12525</v>
      </c>
      <c r="G50" s="2004"/>
      <c r="H50" s="2004"/>
      <c r="I50" s="2004"/>
      <c r="J50" s="2004"/>
      <c r="K50" s="2004"/>
      <c r="L50" s="2004"/>
      <c r="M50" s="2004"/>
      <c r="N50" s="2004"/>
      <c r="O50" s="2004"/>
      <c r="P50" s="2004" t="s">
        <v>12423</v>
      </c>
      <c r="Q50" s="2004" t="s">
        <v>12528</v>
      </c>
      <c r="R50" s="2004" t="s">
        <v>12459</v>
      </c>
      <c r="S50" s="2004"/>
      <c r="T50" s="2004" t="s">
        <v>734</v>
      </c>
      <c r="U50" s="2004">
        <v>1</v>
      </c>
      <c r="V50" s="2004"/>
      <c r="W50" s="2004"/>
      <c r="X50" s="2004"/>
      <c r="Y50" s="2004"/>
      <c r="Z50" s="2004"/>
      <c r="AA50" s="2004"/>
      <c r="AB50" s="2004"/>
      <c r="AC50" s="2004"/>
      <c r="AD50" s="2004"/>
      <c r="AE50" s="2004">
        <v>99.9</v>
      </c>
      <c r="AF50" s="2004">
        <v>99.9</v>
      </c>
      <c r="AG50" s="2004">
        <v>99.9</v>
      </c>
      <c r="AH50" s="2004">
        <v>99.9</v>
      </c>
      <c r="AI50" s="2004">
        <v>99.9</v>
      </c>
      <c r="AJ50" s="2004"/>
      <c r="AK50" s="2004"/>
      <c r="AL50" s="2004">
        <v>99.8</v>
      </c>
      <c r="AM50" s="2004">
        <v>99.8</v>
      </c>
      <c r="AN50" s="2004">
        <v>99.8</v>
      </c>
      <c r="AO50" s="2004">
        <v>99.8</v>
      </c>
      <c r="AP50" s="2004">
        <v>99.8</v>
      </c>
      <c r="AQ50" s="2004"/>
      <c r="AR50" s="2004">
        <v>100</v>
      </c>
      <c r="AS50" s="2004">
        <v>100</v>
      </c>
      <c r="AT50" s="2004" t="s">
        <v>2337</v>
      </c>
      <c r="AU50" s="2004">
        <v>100</v>
      </c>
      <c r="AV50" s="2004" t="s">
        <v>2337</v>
      </c>
      <c r="AW50" s="2004">
        <v>99.93</v>
      </c>
      <c r="AX50" s="2004" t="s">
        <v>2337</v>
      </c>
      <c r="AY50" s="2004">
        <v>100</v>
      </c>
      <c r="AZ50" s="2004" t="s">
        <v>2337</v>
      </c>
      <c r="BA50" s="2004"/>
      <c r="BB50" s="2004" t="s">
        <v>12529</v>
      </c>
    </row>
    <row r="51" spans="1:54">
      <c r="A51" s="2004" t="s">
        <v>10525</v>
      </c>
      <c r="B51" s="2004" t="s">
        <v>9047</v>
      </c>
      <c r="C51" s="2004" t="s">
        <v>9070</v>
      </c>
      <c r="D51" s="2004" t="s">
        <v>9410</v>
      </c>
      <c r="E51" s="2004">
        <v>1</v>
      </c>
      <c r="F51" s="2004" t="s">
        <v>12525</v>
      </c>
      <c r="G51" s="2004"/>
      <c r="H51" s="2004"/>
      <c r="I51" s="2004"/>
      <c r="J51" s="2004"/>
      <c r="K51" s="2004"/>
      <c r="L51" s="2004"/>
      <c r="M51" s="2004"/>
      <c r="N51" s="2004"/>
      <c r="O51" s="2004"/>
      <c r="P51" s="2004" t="s">
        <v>12430</v>
      </c>
      <c r="Q51" s="2004" t="s">
        <v>12530</v>
      </c>
      <c r="R51" s="2004" t="s">
        <v>12531</v>
      </c>
      <c r="S51" s="2004"/>
      <c r="T51" s="2004" t="s">
        <v>766</v>
      </c>
      <c r="U51" s="516" t="s">
        <v>3016</v>
      </c>
      <c r="V51" s="2004"/>
      <c r="W51" s="2004"/>
      <c r="X51" s="2004"/>
      <c r="Y51" s="2004"/>
      <c r="Z51" s="2004"/>
      <c r="AA51" s="2004"/>
      <c r="AB51" s="2004"/>
      <c r="AC51" s="2004"/>
      <c r="AD51" s="2004"/>
      <c r="AE51" s="2004">
        <v>13004</v>
      </c>
      <c r="AF51" s="2004">
        <v>13004</v>
      </c>
      <c r="AG51" s="2004">
        <v>13004</v>
      </c>
      <c r="AH51" s="2004">
        <v>13004</v>
      </c>
      <c r="AI51" s="2004">
        <v>13004</v>
      </c>
      <c r="AJ51" s="2004"/>
      <c r="AK51" s="2004"/>
      <c r="AL51" s="2004">
        <v>10974</v>
      </c>
      <c r="AM51" s="2004">
        <v>10974</v>
      </c>
      <c r="AN51" s="2004">
        <v>10974</v>
      </c>
      <c r="AO51" s="2004">
        <v>10974</v>
      </c>
      <c r="AP51" s="2004">
        <v>10974</v>
      </c>
      <c r="AQ51" s="2004"/>
      <c r="AR51" s="2004">
        <v>8810</v>
      </c>
      <c r="AS51" s="2004">
        <v>7428</v>
      </c>
      <c r="AT51" s="2004" t="s">
        <v>2337</v>
      </c>
      <c r="AU51" s="2004">
        <v>7614</v>
      </c>
      <c r="AV51" s="2004" t="s">
        <v>2337</v>
      </c>
      <c r="AW51" s="2004">
        <v>6734</v>
      </c>
      <c r="AX51" s="2004" t="s">
        <v>2337</v>
      </c>
      <c r="AY51" s="2004">
        <v>7791</v>
      </c>
      <c r="AZ51" s="2004" t="s">
        <v>2337</v>
      </c>
      <c r="BA51" s="2004"/>
      <c r="BB51" s="2004" t="s">
        <v>12532</v>
      </c>
    </row>
    <row r="52" spans="1:54">
      <c r="A52" s="2004" t="s">
        <v>10665</v>
      </c>
      <c r="B52" s="2004" t="s">
        <v>9085</v>
      </c>
      <c r="C52" s="2004" t="s">
        <v>10648</v>
      </c>
      <c r="D52" s="2004" t="s">
        <v>9194</v>
      </c>
      <c r="E52" s="2004">
        <v>2.2000000000000002</v>
      </c>
      <c r="F52" s="2004" t="s">
        <v>10667</v>
      </c>
      <c r="G52" s="2004" t="s">
        <v>9210</v>
      </c>
      <c r="H52" s="2004" t="s">
        <v>9260</v>
      </c>
      <c r="I52" s="2004" t="s">
        <v>9546</v>
      </c>
      <c r="J52" s="2004" t="s">
        <v>2338</v>
      </c>
      <c r="K52" s="2004" t="s">
        <v>2338</v>
      </c>
      <c r="L52" s="2004" t="s">
        <v>2338</v>
      </c>
      <c r="M52" s="2004" t="s">
        <v>2338</v>
      </c>
      <c r="N52" s="2004" t="s">
        <v>2338</v>
      </c>
      <c r="O52" s="2004" t="s">
        <v>2338</v>
      </c>
      <c r="P52" s="2004" t="s">
        <v>12417</v>
      </c>
      <c r="Q52" s="2004" t="s">
        <v>10667</v>
      </c>
      <c r="R52" s="2004"/>
      <c r="S52" s="2004"/>
      <c r="T52" s="2004" t="s">
        <v>9395</v>
      </c>
      <c r="U52" s="2004" t="s">
        <v>9203</v>
      </c>
      <c r="V52" s="2004"/>
      <c r="W52" s="2004"/>
      <c r="X52" s="2004"/>
      <c r="Y52" s="2004"/>
      <c r="Z52" s="2004"/>
      <c r="AA52" s="2004"/>
      <c r="AB52" s="2004"/>
      <c r="AC52" s="2004"/>
      <c r="AD52" s="2004"/>
      <c r="AE52" s="2004"/>
      <c r="AF52" s="2004"/>
      <c r="AG52" s="2004"/>
      <c r="AH52" s="2004"/>
      <c r="AI52" s="2004"/>
      <c r="AJ52" s="2004"/>
      <c r="AK52" s="2004"/>
      <c r="AL52" s="2004"/>
      <c r="AM52" s="2004"/>
      <c r="AN52" s="2004"/>
      <c r="AO52" s="2004"/>
      <c r="AP52" s="2004"/>
      <c r="AQ52" s="2004"/>
      <c r="AR52" s="2004" t="s">
        <v>2338</v>
      </c>
      <c r="AS52" s="2004" t="s">
        <v>2338</v>
      </c>
      <c r="AT52" s="2004" t="s">
        <v>2337</v>
      </c>
      <c r="AU52" s="2004" t="s">
        <v>2338</v>
      </c>
      <c r="AV52" s="2004" t="s">
        <v>2337</v>
      </c>
      <c r="AW52" s="2004" t="s">
        <v>2338</v>
      </c>
      <c r="AX52" s="2004" t="s">
        <v>2337</v>
      </c>
      <c r="AY52" s="2004" t="s">
        <v>2338</v>
      </c>
      <c r="AZ52" s="2004" t="s">
        <v>2337</v>
      </c>
      <c r="BA52" s="2004"/>
      <c r="BB52" s="2004" t="s">
        <v>12533</v>
      </c>
    </row>
    <row r="53" spans="1:54">
      <c r="A53" s="2004" t="s">
        <v>10665</v>
      </c>
      <c r="B53" s="2004" t="s">
        <v>9085</v>
      </c>
      <c r="C53" s="2004" t="s">
        <v>10648</v>
      </c>
      <c r="D53" s="2004" t="s">
        <v>9194</v>
      </c>
      <c r="E53" s="2004">
        <v>2.2000000000000002</v>
      </c>
      <c r="F53" s="2004" t="s">
        <v>10667</v>
      </c>
      <c r="G53" s="2004"/>
      <c r="H53" s="2004"/>
      <c r="I53" s="2004"/>
      <c r="J53" s="2004"/>
      <c r="K53" s="2004"/>
      <c r="L53" s="2004"/>
      <c r="M53" s="2004"/>
      <c r="N53" s="2004"/>
      <c r="O53" s="2004"/>
      <c r="P53" s="2004" t="s">
        <v>12419</v>
      </c>
      <c r="Q53" s="2004" t="s">
        <v>2958</v>
      </c>
      <c r="R53" s="2004" t="s">
        <v>12425</v>
      </c>
      <c r="S53" s="2004">
        <v>0.5</v>
      </c>
      <c r="T53" s="2004" t="s">
        <v>766</v>
      </c>
      <c r="U53" s="516" t="s">
        <v>3016</v>
      </c>
      <c r="V53" s="2004">
        <v>1537</v>
      </c>
      <c r="W53" s="2004"/>
      <c r="X53" s="2004">
        <v>1360</v>
      </c>
      <c r="Y53" s="2004">
        <v>1360</v>
      </c>
      <c r="Z53" s="2004">
        <v>1360</v>
      </c>
      <c r="AA53" s="2004">
        <v>1360</v>
      </c>
      <c r="AB53" s="2004">
        <v>1360</v>
      </c>
      <c r="AC53" s="2004">
        <v>1839</v>
      </c>
      <c r="AD53" s="2004"/>
      <c r="AE53" s="2004">
        <v>1784</v>
      </c>
      <c r="AF53" s="2004">
        <v>1784</v>
      </c>
      <c r="AG53" s="2004">
        <v>1784</v>
      </c>
      <c r="AH53" s="2004">
        <v>1784</v>
      </c>
      <c r="AI53" s="2004">
        <v>1784</v>
      </c>
      <c r="AJ53" s="2004">
        <v>1234</v>
      </c>
      <c r="AK53" s="2004"/>
      <c r="AL53" s="2004">
        <v>937</v>
      </c>
      <c r="AM53" s="2004">
        <v>937</v>
      </c>
      <c r="AN53" s="2004">
        <v>937</v>
      </c>
      <c r="AO53" s="2004">
        <v>937</v>
      </c>
      <c r="AP53" s="2004">
        <v>937</v>
      </c>
      <c r="AQ53" s="2004"/>
      <c r="AR53" s="2004">
        <v>1104</v>
      </c>
      <c r="AS53" s="2004">
        <v>895</v>
      </c>
      <c r="AT53" s="2004" t="s">
        <v>2337</v>
      </c>
      <c r="AU53" s="2004">
        <v>1013</v>
      </c>
      <c r="AV53" s="2004" t="s">
        <v>2337</v>
      </c>
      <c r="AW53" s="2004">
        <v>1300</v>
      </c>
      <c r="AX53" s="2004" t="s">
        <v>2337</v>
      </c>
      <c r="AY53" s="2004">
        <v>1244</v>
      </c>
      <c r="AZ53" s="2004" t="s">
        <v>2337</v>
      </c>
      <c r="BA53" s="2004"/>
      <c r="BB53" s="2004" t="s">
        <v>12534</v>
      </c>
    </row>
    <row r="54" spans="1:54">
      <c r="A54" s="2004" t="s">
        <v>10665</v>
      </c>
      <c r="B54" s="2004" t="s">
        <v>9085</v>
      </c>
      <c r="C54" s="2004" t="s">
        <v>10648</v>
      </c>
      <c r="D54" s="2004" t="s">
        <v>9194</v>
      </c>
      <c r="E54" s="2004">
        <v>2.2000000000000002</v>
      </c>
      <c r="F54" s="2004" t="s">
        <v>10667</v>
      </c>
      <c r="G54" s="2004"/>
      <c r="H54" s="2004"/>
      <c r="I54" s="2004"/>
      <c r="J54" s="2004"/>
      <c r="K54" s="2004"/>
      <c r="L54" s="2004"/>
      <c r="M54" s="2004"/>
      <c r="N54" s="2004"/>
      <c r="O54" s="2004"/>
      <c r="P54" s="2004" t="s">
        <v>12423</v>
      </c>
      <c r="Q54" s="2004" t="s">
        <v>12421</v>
      </c>
      <c r="R54" s="2004" t="s">
        <v>12421</v>
      </c>
      <c r="S54" s="2004">
        <v>0.125</v>
      </c>
      <c r="T54" s="2004" t="s">
        <v>766</v>
      </c>
      <c r="U54" s="516" t="s">
        <v>3016</v>
      </c>
      <c r="V54" s="2004">
        <v>72</v>
      </c>
      <c r="W54" s="2004"/>
      <c r="X54" s="2004">
        <v>72</v>
      </c>
      <c r="Y54" s="2004">
        <v>72</v>
      </c>
      <c r="Z54" s="2004">
        <v>72</v>
      </c>
      <c r="AA54" s="2004">
        <v>72</v>
      </c>
      <c r="AB54" s="2004">
        <v>72</v>
      </c>
      <c r="AC54" s="2004">
        <v>216</v>
      </c>
      <c r="AD54" s="2004"/>
      <c r="AE54" s="2004">
        <v>216</v>
      </c>
      <c r="AF54" s="2004">
        <v>216</v>
      </c>
      <c r="AG54" s="2004">
        <v>216</v>
      </c>
      <c r="AH54" s="2004">
        <v>216</v>
      </c>
      <c r="AI54" s="2004">
        <v>216</v>
      </c>
      <c r="AJ54" s="2004">
        <v>0</v>
      </c>
      <c r="AK54" s="2004"/>
      <c r="AL54" s="2004">
        <v>0</v>
      </c>
      <c r="AM54" s="2004">
        <v>0</v>
      </c>
      <c r="AN54" s="2004">
        <v>0</v>
      </c>
      <c r="AO54" s="2004">
        <v>0</v>
      </c>
      <c r="AP54" s="2004">
        <v>0</v>
      </c>
      <c r="AQ54" s="2004"/>
      <c r="AR54" s="2004">
        <v>20</v>
      </c>
      <c r="AS54" s="2004">
        <v>40</v>
      </c>
      <c r="AT54" s="2004" t="s">
        <v>2337</v>
      </c>
      <c r="AU54" s="2004">
        <v>102</v>
      </c>
      <c r="AV54" s="2004" t="s">
        <v>2334</v>
      </c>
      <c r="AW54" s="2004">
        <v>637</v>
      </c>
      <c r="AX54" s="2004" t="s">
        <v>2334</v>
      </c>
      <c r="AY54" s="2004">
        <v>2389</v>
      </c>
      <c r="AZ54" s="2004" t="s">
        <v>2334</v>
      </c>
      <c r="BA54" s="2004"/>
      <c r="BB54" s="2004" t="s">
        <v>12535</v>
      </c>
    </row>
    <row r="55" spans="1:54">
      <c r="A55" s="2004" t="s">
        <v>10665</v>
      </c>
      <c r="B55" s="2004" t="s">
        <v>9085</v>
      </c>
      <c r="C55" s="2004" t="s">
        <v>10648</v>
      </c>
      <c r="D55" s="2004" t="s">
        <v>9194</v>
      </c>
      <c r="E55" s="2004">
        <v>2.2000000000000002</v>
      </c>
      <c r="F55" s="2004" t="s">
        <v>10667</v>
      </c>
      <c r="G55" s="2004"/>
      <c r="H55" s="2004"/>
      <c r="I55" s="2004"/>
      <c r="J55" s="2004"/>
      <c r="K55" s="2004"/>
      <c r="L55" s="2004"/>
      <c r="M55" s="2004"/>
      <c r="N55" s="2004"/>
      <c r="O55" s="2004"/>
      <c r="P55" s="2004" t="s">
        <v>12430</v>
      </c>
      <c r="Q55" s="2004" t="s">
        <v>12536</v>
      </c>
      <c r="R55" s="2004" t="s">
        <v>12468</v>
      </c>
      <c r="S55" s="2004">
        <v>0.125</v>
      </c>
      <c r="T55" s="2004" t="s">
        <v>766</v>
      </c>
      <c r="U55" s="516" t="s">
        <v>3016</v>
      </c>
      <c r="V55" s="2004">
        <v>17</v>
      </c>
      <c r="W55" s="2004"/>
      <c r="X55" s="2004">
        <v>0</v>
      </c>
      <c r="Y55" s="2004">
        <v>0</v>
      </c>
      <c r="Z55" s="2004">
        <v>0</v>
      </c>
      <c r="AA55" s="2004">
        <v>0</v>
      </c>
      <c r="AB55" s="2004">
        <v>0</v>
      </c>
      <c r="AC55" s="2004">
        <v>81</v>
      </c>
      <c r="AD55" s="2004"/>
      <c r="AE55" s="2004">
        <v>20</v>
      </c>
      <c r="AF55" s="2004">
        <v>20</v>
      </c>
      <c r="AG55" s="2004">
        <v>20</v>
      </c>
      <c r="AH55" s="2004">
        <v>20</v>
      </c>
      <c r="AI55" s="2004">
        <v>20</v>
      </c>
      <c r="AJ55" s="2004">
        <v>0</v>
      </c>
      <c r="AK55" s="2004"/>
      <c r="AL55" s="2004">
        <v>0</v>
      </c>
      <c r="AM55" s="2004">
        <v>0</v>
      </c>
      <c r="AN55" s="2004">
        <v>0</v>
      </c>
      <c r="AO55" s="2004">
        <v>0</v>
      </c>
      <c r="AP55" s="2004">
        <v>0</v>
      </c>
      <c r="AQ55" s="2004"/>
      <c r="AR55" s="2004">
        <v>1</v>
      </c>
      <c r="AS55" s="2004">
        <v>1</v>
      </c>
      <c r="AT55" s="2004" t="s">
        <v>2334</v>
      </c>
      <c r="AU55" s="2004">
        <v>1</v>
      </c>
      <c r="AV55" s="2004" t="s">
        <v>2334</v>
      </c>
      <c r="AW55" s="2004">
        <v>1</v>
      </c>
      <c r="AX55" s="2004" t="s">
        <v>2334</v>
      </c>
      <c r="AY55" s="2004">
        <v>1</v>
      </c>
      <c r="AZ55" s="2004" t="s">
        <v>2334</v>
      </c>
      <c r="BA55" s="2004"/>
      <c r="BB55" s="2004" t="s">
        <v>12537</v>
      </c>
    </row>
    <row r="56" spans="1:54">
      <c r="A56" s="2004" t="s">
        <v>10665</v>
      </c>
      <c r="B56" s="2004" t="s">
        <v>9085</v>
      </c>
      <c r="C56" s="2004" t="s">
        <v>10648</v>
      </c>
      <c r="D56" s="2004" t="s">
        <v>9194</v>
      </c>
      <c r="E56" s="2004">
        <v>2.2000000000000002</v>
      </c>
      <c r="F56" s="2004" t="s">
        <v>10667</v>
      </c>
      <c r="G56" s="2004"/>
      <c r="H56" s="2004"/>
      <c r="I56" s="2004"/>
      <c r="J56" s="2004"/>
      <c r="K56" s="2004"/>
      <c r="L56" s="2004"/>
      <c r="M56" s="2004"/>
      <c r="N56" s="2004"/>
      <c r="O56" s="2004"/>
      <c r="P56" s="2004" t="s">
        <v>12434</v>
      </c>
      <c r="Q56" s="2004" t="s">
        <v>12538</v>
      </c>
      <c r="R56" s="2004" t="s">
        <v>12432</v>
      </c>
      <c r="S56" s="2004">
        <v>0.125</v>
      </c>
      <c r="T56" s="2004" t="s">
        <v>766</v>
      </c>
      <c r="U56" s="2004">
        <v>2</v>
      </c>
      <c r="V56" s="2004">
        <v>0.92</v>
      </c>
      <c r="W56" s="2004"/>
      <c r="X56" s="2004">
        <v>0.92</v>
      </c>
      <c r="Y56" s="2004">
        <v>0.92</v>
      </c>
      <c r="Z56" s="2004">
        <v>0.92</v>
      </c>
      <c r="AA56" s="2004">
        <v>0.92</v>
      </c>
      <c r="AB56" s="2004">
        <v>0.92</v>
      </c>
      <c r="AC56" s="2004">
        <v>1.05</v>
      </c>
      <c r="AD56" s="2004"/>
      <c r="AE56" s="2004">
        <v>1.05</v>
      </c>
      <c r="AF56" s="2004">
        <v>1.05</v>
      </c>
      <c r="AG56" s="2004">
        <v>1.05</v>
      </c>
      <c r="AH56" s="2004">
        <v>1.05</v>
      </c>
      <c r="AI56" s="2004">
        <v>1.05</v>
      </c>
      <c r="AJ56" s="2004">
        <v>0.79</v>
      </c>
      <c r="AK56" s="2004"/>
      <c r="AL56" s="2004">
        <v>0.79</v>
      </c>
      <c r="AM56" s="2004">
        <v>0.79</v>
      </c>
      <c r="AN56" s="2004">
        <v>0.79</v>
      </c>
      <c r="AO56" s="2004">
        <v>0.79</v>
      </c>
      <c r="AP56" s="2004">
        <v>0.79</v>
      </c>
      <c r="AQ56" s="2004"/>
      <c r="AR56" s="2004">
        <v>0.72599999999999998</v>
      </c>
      <c r="AS56" s="2004">
        <v>0.84599999999999997</v>
      </c>
      <c r="AT56" s="2004" t="s">
        <v>2337</v>
      </c>
      <c r="AU56" s="2004">
        <v>0.83499999999999996</v>
      </c>
      <c r="AV56" s="2004" t="s">
        <v>2337</v>
      </c>
      <c r="AW56" s="2004">
        <v>0.69699999999999995</v>
      </c>
      <c r="AX56" s="2004" t="s">
        <v>2337</v>
      </c>
      <c r="AY56" s="2004">
        <v>0.82</v>
      </c>
      <c r="AZ56" s="2004" t="s">
        <v>2337</v>
      </c>
      <c r="BA56" s="2004"/>
      <c r="BB56" s="2004" t="s">
        <v>12539</v>
      </c>
    </row>
    <row r="57" spans="1:54">
      <c r="A57" s="2004" t="s">
        <v>10665</v>
      </c>
      <c r="B57" s="2004" t="s">
        <v>9085</v>
      </c>
      <c r="C57" s="2004" t="s">
        <v>10648</v>
      </c>
      <c r="D57" s="2004" t="s">
        <v>9194</v>
      </c>
      <c r="E57" s="2004">
        <v>2.2000000000000002</v>
      </c>
      <c r="F57" s="2004" t="s">
        <v>10667</v>
      </c>
      <c r="G57" s="2004"/>
      <c r="H57" s="2004"/>
      <c r="I57" s="2004"/>
      <c r="J57" s="2004"/>
      <c r="K57" s="2004"/>
      <c r="L57" s="2004"/>
      <c r="M57" s="2004"/>
      <c r="N57" s="2004"/>
      <c r="O57" s="2004"/>
      <c r="P57" s="2004" t="s">
        <v>12486</v>
      </c>
      <c r="Q57" s="2004" t="s">
        <v>12540</v>
      </c>
      <c r="R57" s="2004" t="s">
        <v>12436</v>
      </c>
      <c r="S57" s="2004">
        <v>0.125</v>
      </c>
      <c r="T57" s="2004" t="s">
        <v>9282</v>
      </c>
      <c r="U57" s="2004">
        <v>2</v>
      </c>
      <c r="V57" s="2004">
        <v>0.04</v>
      </c>
      <c r="W57" s="2004"/>
      <c r="X57" s="2004">
        <v>0.02</v>
      </c>
      <c r="Y57" s="2004">
        <v>0.02</v>
      </c>
      <c r="Z57" s="2004">
        <v>0.02</v>
      </c>
      <c r="AA57" s="2004">
        <v>0.02</v>
      </c>
      <c r="AB57" s="2004">
        <v>0.02</v>
      </c>
      <c r="AC57" s="2004">
        <v>0.13</v>
      </c>
      <c r="AD57" s="2004"/>
      <c r="AE57" s="2004">
        <v>0.08</v>
      </c>
      <c r="AF57" s="2004">
        <v>0.08</v>
      </c>
      <c r="AG57" s="2004">
        <v>0.08</v>
      </c>
      <c r="AH57" s="2004">
        <v>0.08</v>
      </c>
      <c r="AI57" s="2004">
        <v>0.08</v>
      </c>
      <c r="AJ57" s="2004">
        <v>0.02</v>
      </c>
      <c r="AK57" s="2004"/>
      <c r="AL57" s="2004">
        <v>0</v>
      </c>
      <c r="AM57" s="2004">
        <v>0</v>
      </c>
      <c r="AN57" s="2004">
        <v>0</v>
      </c>
      <c r="AO57" s="2004">
        <v>0</v>
      </c>
      <c r="AP57" s="2004">
        <v>0</v>
      </c>
      <c r="AQ57" s="2004"/>
      <c r="AR57" s="2004">
        <v>9.0999999999999998E-2</v>
      </c>
      <c r="AS57" s="2004">
        <v>0.106</v>
      </c>
      <c r="AT57" s="2004" t="s">
        <v>2334</v>
      </c>
      <c r="AU57" s="2004">
        <v>0</v>
      </c>
      <c r="AV57" s="2004" t="s">
        <v>2337</v>
      </c>
      <c r="AW57" s="2004">
        <v>0.13</v>
      </c>
      <c r="AX57" s="2004" t="s">
        <v>2334</v>
      </c>
      <c r="AY57" s="2004">
        <v>6.2E-2</v>
      </c>
      <c r="AZ57" s="2004" t="s">
        <v>2334</v>
      </c>
      <c r="BA57" s="2004"/>
      <c r="BB57" s="2004" t="s">
        <v>12541</v>
      </c>
    </row>
    <row r="58" spans="1:54">
      <c r="A58" s="2004" t="s">
        <v>10669</v>
      </c>
      <c r="B58" s="2004" t="s">
        <v>9085</v>
      </c>
      <c r="C58" s="2004" t="s">
        <v>10648</v>
      </c>
      <c r="D58" s="2004" t="s">
        <v>9194</v>
      </c>
      <c r="E58" s="2004">
        <v>2.2999999999999998</v>
      </c>
      <c r="F58" s="2004" t="s">
        <v>10671</v>
      </c>
      <c r="G58" s="2004" t="s">
        <v>9210</v>
      </c>
      <c r="H58" s="2004" t="s">
        <v>9260</v>
      </c>
      <c r="I58" s="2004" t="s">
        <v>9546</v>
      </c>
      <c r="J58" s="2004" t="s">
        <v>2338</v>
      </c>
      <c r="K58" s="2004" t="s">
        <v>2338</v>
      </c>
      <c r="L58" s="2004" t="s">
        <v>2338</v>
      </c>
      <c r="M58" s="2004" t="s">
        <v>2338</v>
      </c>
      <c r="N58" s="2004" t="s">
        <v>2338</v>
      </c>
      <c r="O58" s="2004" t="s">
        <v>2338</v>
      </c>
      <c r="P58" s="2004" t="s">
        <v>12417</v>
      </c>
      <c r="Q58" s="2004" t="s">
        <v>10671</v>
      </c>
      <c r="R58" s="2004"/>
      <c r="S58" s="2004"/>
      <c r="T58" s="2004" t="s">
        <v>9395</v>
      </c>
      <c r="U58" s="2004" t="s">
        <v>9203</v>
      </c>
      <c r="V58" s="2004"/>
      <c r="W58" s="2004"/>
      <c r="X58" s="2004"/>
      <c r="Y58" s="2004"/>
      <c r="Z58" s="2004"/>
      <c r="AA58" s="2004"/>
      <c r="AB58" s="2004"/>
      <c r="AC58" s="2004"/>
      <c r="AD58" s="2004"/>
      <c r="AE58" s="2004"/>
      <c r="AF58" s="2004"/>
      <c r="AG58" s="2004"/>
      <c r="AH58" s="2004"/>
      <c r="AI58" s="2004"/>
      <c r="AJ58" s="2004"/>
      <c r="AK58" s="2004"/>
      <c r="AL58" s="2004"/>
      <c r="AM58" s="2004"/>
      <c r="AN58" s="2004"/>
      <c r="AO58" s="2004"/>
      <c r="AP58" s="2004"/>
      <c r="AQ58" s="2004"/>
      <c r="AR58" s="2004" t="s">
        <v>2338</v>
      </c>
      <c r="AS58" s="2004" t="s">
        <v>2338</v>
      </c>
      <c r="AT58" s="2004" t="s">
        <v>2337</v>
      </c>
      <c r="AU58" s="2004" t="s">
        <v>2338</v>
      </c>
      <c r="AV58" s="2004" t="s">
        <v>2337</v>
      </c>
      <c r="AW58" s="2004" t="s">
        <v>2338</v>
      </c>
      <c r="AX58" s="2004" t="s">
        <v>2337</v>
      </c>
      <c r="AY58" s="2004" t="s">
        <v>2338</v>
      </c>
      <c r="AZ58" s="2004" t="s">
        <v>2337</v>
      </c>
      <c r="BA58" s="2004"/>
      <c r="BB58" s="2004" t="s">
        <v>12542</v>
      </c>
    </row>
    <row r="59" spans="1:54">
      <c r="A59" s="2004" t="s">
        <v>10669</v>
      </c>
      <c r="B59" s="2004" t="s">
        <v>9085</v>
      </c>
      <c r="C59" s="2004" t="s">
        <v>10648</v>
      </c>
      <c r="D59" s="2004" t="s">
        <v>9194</v>
      </c>
      <c r="E59" s="2004">
        <v>2.2999999999999998</v>
      </c>
      <c r="F59" s="2004" t="s">
        <v>10671</v>
      </c>
      <c r="G59" s="2004"/>
      <c r="H59" s="2004"/>
      <c r="I59" s="2004"/>
      <c r="J59" s="2004"/>
      <c r="K59" s="2004"/>
      <c r="L59" s="2004"/>
      <c r="M59" s="2004"/>
      <c r="N59" s="2004"/>
      <c r="O59" s="2004"/>
      <c r="P59" s="2004" t="s">
        <v>12419</v>
      </c>
      <c r="Q59" s="2004" t="s">
        <v>12543</v>
      </c>
      <c r="R59" s="2004" t="s">
        <v>12440</v>
      </c>
      <c r="S59" s="2004">
        <v>0.3</v>
      </c>
      <c r="T59" s="2004" t="s">
        <v>734</v>
      </c>
      <c r="U59" s="2004">
        <v>2</v>
      </c>
      <c r="V59" s="2004">
        <v>0.05</v>
      </c>
      <c r="W59" s="2004"/>
      <c r="X59" s="2004">
        <v>0.05</v>
      </c>
      <c r="Y59" s="2004">
        <v>0.05</v>
      </c>
      <c r="Z59" s="2004">
        <v>0.05</v>
      </c>
      <c r="AA59" s="2004">
        <v>0.05</v>
      </c>
      <c r="AB59" s="2004">
        <v>0.05</v>
      </c>
      <c r="AC59" s="2004">
        <v>0.15</v>
      </c>
      <c r="AD59" s="2004"/>
      <c r="AE59" s="2004">
        <v>0.15</v>
      </c>
      <c r="AF59" s="2004">
        <v>0.15</v>
      </c>
      <c r="AG59" s="2004">
        <v>0.15</v>
      </c>
      <c r="AH59" s="2004">
        <v>0.15</v>
      </c>
      <c r="AI59" s="2004">
        <v>0.15</v>
      </c>
      <c r="AJ59" s="2004">
        <v>0</v>
      </c>
      <c r="AK59" s="2004"/>
      <c r="AL59" s="2004">
        <v>0</v>
      </c>
      <c r="AM59" s="2004">
        <v>0</v>
      </c>
      <c r="AN59" s="2004">
        <v>0</v>
      </c>
      <c r="AO59" s="2004">
        <v>0</v>
      </c>
      <c r="AP59" s="2004">
        <v>0</v>
      </c>
      <c r="AQ59" s="2004"/>
      <c r="AR59" s="2004">
        <v>3.3000000000000002E-2</v>
      </c>
      <c r="AS59" s="2004">
        <v>3.3000000000000002E-2</v>
      </c>
      <c r="AT59" s="2004" t="s">
        <v>2337</v>
      </c>
      <c r="AU59" s="2004">
        <v>0</v>
      </c>
      <c r="AV59" s="2004" t="s">
        <v>2337</v>
      </c>
      <c r="AW59" s="2004">
        <v>5.2999999999999999E-2</v>
      </c>
      <c r="AX59" s="2004" t="s">
        <v>2334</v>
      </c>
      <c r="AY59" s="2004">
        <v>1.4999999999999999E-2</v>
      </c>
      <c r="AZ59" s="2004" t="s">
        <v>2337</v>
      </c>
      <c r="BA59" s="2004"/>
      <c r="BB59" s="2004" t="s">
        <v>12544</v>
      </c>
    </row>
    <row r="60" spans="1:54">
      <c r="A60" s="2004" t="s">
        <v>10669</v>
      </c>
      <c r="B60" s="2004" t="s">
        <v>9085</v>
      </c>
      <c r="C60" s="2004" t="s">
        <v>10648</v>
      </c>
      <c r="D60" s="2004" t="s">
        <v>9194</v>
      </c>
      <c r="E60" s="2004">
        <v>2.2999999999999998</v>
      </c>
      <c r="F60" s="2004" t="s">
        <v>10671</v>
      </c>
      <c r="G60" s="2004"/>
      <c r="H60" s="2004"/>
      <c r="I60" s="2004"/>
      <c r="J60" s="2004"/>
      <c r="K60" s="2004"/>
      <c r="L60" s="2004"/>
      <c r="M60" s="2004"/>
      <c r="N60" s="2004"/>
      <c r="O60" s="2004"/>
      <c r="P60" s="2004" t="s">
        <v>12423</v>
      </c>
      <c r="Q60" s="2004" t="s">
        <v>12545</v>
      </c>
      <c r="R60" s="2004" t="s">
        <v>12443</v>
      </c>
      <c r="S60" s="2004">
        <v>0.3</v>
      </c>
      <c r="T60" s="2004" t="s">
        <v>734</v>
      </c>
      <c r="U60" s="2004">
        <v>2</v>
      </c>
      <c r="V60" s="2004">
        <v>0</v>
      </c>
      <c r="W60" s="2004"/>
      <c r="X60" s="2004">
        <v>0</v>
      </c>
      <c r="Y60" s="2004">
        <v>0</v>
      </c>
      <c r="Z60" s="2004">
        <v>0</v>
      </c>
      <c r="AA60" s="2004">
        <v>0</v>
      </c>
      <c r="AB60" s="2004">
        <v>0</v>
      </c>
      <c r="AC60" s="2004">
        <v>4.1900000000000004</v>
      </c>
      <c r="AD60" s="2004"/>
      <c r="AE60" s="2004">
        <v>2.1</v>
      </c>
      <c r="AF60" s="2004">
        <v>2.1</v>
      </c>
      <c r="AG60" s="2004">
        <v>2.1</v>
      </c>
      <c r="AH60" s="2004">
        <v>2.1</v>
      </c>
      <c r="AI60" s="2004">
        <v>2.1</v>
      </c>
      <c r="AJ60" s="2004">
        <v>0</v>
      </c>
      <c r="AK60" s="2004"/>
      <c r="AL60" s="2004">
        <v>0</v>
      </c>
      <c r="AM60" s="2004">
        <v>0</v>
      </c>
      <c r="AN60" s="2004">
        <v>0</v>
      </c>
      <c r="AO60" s="2004">
        <v>0</v>
      </c>
      <c r="AP60" s="2004">
        <v>0</v>
      </c>
      <c r="AQ60" s="2004"/>
      <c r="AR60" s="2004">
        <v>0</v>
      </c>
      <c r="AS60" s="2004">
        <v>0</v>
      </c>
      <c r="AT60" s="2004" t="s">
        <v>2337</v>
      </c>
      <c r="AU60" s="2004">
        <v>0</v>
      </c>
      <c r="AV60" s="2004" t="s">
        <v>2337</v>
      </c>
      <c r="AW60" s="2004">
        <v>0</v>
      </c>
      <c r="AX60" s="2004" t="s">
        <v>2337</v>
      </c>
      <c r="AY60" s="2004">
        <v>0</v>
      </c>
      <c r="AZ60" s="2004" t="s">
        <v>2337</v>
      </c>
      <c r="BA60" s="2004"/>
      <c r="BB60" s="2004" t="s">
        <v>12546</v>
      </c>
    </row>
    <row r="61" spans="1:54">
      <c r="A61" s="2004" t="s">
        <v>10669</v>
      </c>
      <c r="B61" s="2004" t="s">
        <v>9085</v>
      </c>
      <c r="C61" s="2004" t="s">
        <v>10648</v>
      </c>
      <c r="D61" s="2004" t="s">
        <v>9194</v>
      </c>
      <c r="E61" s="2004">
        <v>2.2999999999999998</v>
      </c>
      <c r="F61" s="2004" t="s">
        <v>10671</v>
      </c>
      <c r="G61" s="2004"/>
      <c r="H61" s="2004"/>
      <c r="I61" s="2004"/>
      <c r="J61" s="2004"/>
      <c r="K61" s="2004"/>
      <c r="L61" s="2004"/>
      <c r="M61" s="2004"/>
      <c r="N61" s="2004"/>
      <c r="O61" s="2004"/>
      <c r="P61" s="2004" t="s">
        <v>12430</v>
      </c>
      <c r="Q61" s="2004" t="s">
        <v>12547</v>
      </c>
      <c r="R61" s="2004" t="s">
        <v>12445</v>
      </c>
      <c r="S61" s="2004">
        <v>0.2</v>
      </c>
      <c r="T61" s="2004" t="s">
        <v>766</v>
      </c>
      <c r="U61" s="516" t="s">
        <v>3016</v>
      </c>
      <c r="V61" s="2004">
        <v>0</v>
      </c>
      <c r="W61" s="2004"/>
      <c r="X61" s="2004">
        <v>0</v>
      </c>
      <c r="Y61" s="2004">
        <v>0</v>
      </c>
      <c r="Z61" s="2004">
        <v>0</v>
      </c>
      <c r="AA61" s="2004">
        <v>0</v>
      </c>
      <c r="AB61" s="2004">
        <v>0</v>
      </c>
      <c r="AC61" s="2004">
        <v>4</v>
      </c>
      <c r="AD61" s="2004"/>
      <c r="AE61" s="2004">
        <v>2</v>
      </c>
      <c r="AF61" s="2004">
        <v>2</v>
      </c>
      <c r="AG61" s="2004">
        <v>2</v>
      </c>
      <c r="AH61" s="2004">
        <v>2</v>
      </c>
      <c r="AI61" s="2004">
        <v>2</v>
      </c>
      <c r="AJ61" s="2004">
        <v>0</v>
      </c>
      <c r="AK61" s="2004"/>
      <c r="AL61" s="2004">
        <v>0</v>
      </c>
      <c r="AM61" s="2004">
        <v>0</v>
      </c>
      <c r="AN61" s="2004">
        <v>0</v>
      </c>
      <c r="AO61" s="2004">
        <v>0</v>
      </c>
      <c r="AP61" s="2004">
        <v>0</v>
      </c>
      <c r="AQ61" s="2004"/>
      <c r="AR61" s="2004">
        <v>0</v>
      </c>
      <c r="AS61" s="2004">
        <v>0</v>
      </c>
      <c r="AT61" s="2004" t="s">
        <v>2337</v>
      </c>
      <c r="AU61" s="2004">
        <v>0</v>
      </c>
      <c r="AV61" s="2004" t="s">
        <v>2337</v>
      </c>
      <c r="AW61" s="2004">
        <v>0</v>
      </c>
      <c r="AX61" s="2004" t="s">
        <v>2337</v>
      </c>
      <c r="AY61" s="2004">
        <v>0</v>
      </c>
      <c r="AZ61" s="2004" t="s">
        <v>2337</v>
      </c>
      <c r="BA61" s="2004"/>
      <c r="BB61" s="2004" t="s">
        <v>12548</v>
      </c>
    </row>
    <row r="62" spans="1:54">
      <c r="A62" s="2004" t="s">
        <v>10669</v>
      </c>
      <c r="B62" s="2004" t="s">
        <v>9085</v>
      </c>
      <c r="C62" s="2004" t="s">
        <v>10648</v>
      </c>
      <c r="D62" s="2004" t="s">
        <v>9194</v>
      </c>
      <c r="E62" s="2004">
        <v>2.2999999999999998</v>
      </c>
      <c r="F62" s="2004" t="s">
        <v>10671</v>
      </c>
      <c r="G62" s="2004"/>
      <c r="H62" s="2004"/>
      <c r="I62" s="2004"/>
      <c r="J62" s="2004"/>
      <c r="K62" s="2004"/>
      <c r="L62" s="2004"/>
      <c r="M62" s="2004"/>
      <c r="N62" s="2004"/>
      <c r="O62" s="2004"/>
      <c r="P62" s="2004" t="s">
        <v>12434</v>
      </c>
      <c r="Q62" s="2004" t="s">
        <v>12549</v>
      </c>
      <c r="R62" s="2004" t="s">
        <v>12500</v>
      </c>
      <c r="S62" s="2004">
        <v>0.15</v>
      </c>
      <c r="T62" s="2004" t="s">
        <v>766</v>
      </c>
      <c r="U62" s="516" t="s">
        <v>3016</v>
      </c>
      <c r="V62" s="2004">
        <v>0</v>
      </c>
      <c r="W62" s="2004"/>
      <c r="X62" s="2004">
        <v>0</v>
      </c>
      <c r="Y62" s="2004">
        <v>0</v>
      </c>
      <c r="Z62" s="2004">
        <v>0</v>
      </c>
      <c r="AA62" s="2004">
        <v>0</v>
      </c>
      <c r="AB62" s="2004">
        <v>0</v>
      </c>
      <c r="AC62" s="2004">
        <v>2</v>
      </c>
      <c r="AD62" s="2004"/>
      <c r="AE62" s="2004">
        <v>1</v>
      </c>
      <c r="AF62" s="2004">
        <v>1</v>
      </c>
      <c r="AG62" s="2004">
        <v>1</v>
      </c>
      <c r="AH62" s="2004">
        <v>1</v>
      </c>
      <c r="AI62" s="2004">
        <v>1</v>
      </c>
      <c r="AJ62" s="2004">
        <v>0</v>
      </c>
      <c r="AK62" s="2004"/>
      <c r="AL62" s="2004">
        <v>0</v>
      </c>
      <c r="AM62" s="2004">
        <v>0</v>
      </c>
      <c r="AN62" s="2004">
        <v>0</v>
      </c>
      <c r="AO62" s="2004">
        <v>0</v>
      </c>
      <c r="AP62" s="2004">
        <v>0</v>
      </c>
      <c r="AQ62" s="2004"/>
      <c r="AR62" s="2004">
        <v>0</v>
      </c>
      <c r="AS62" s="2004">
        <v>2</v>
      </c>
      <c r="AT62" s="2004" t="s">
        <v>2334</v>
      </c>
      <c r="AU62" s="2004">
        <v>0</v>
      </c>
      <c r="AV62" s="2004" t="s">
        <v>2337</v>
      </c>
      <c r="AW62" s="2004">
        <v>0</v>
      </c>
      <c r="AX62" s="2004" t="s">
        <v>2337</v>
      </c>
      <c r="AY62" s="2004">
        <v>0</v>
      </c>
      <c r="AZ62" s="2004" t="s">
        <v>2337</v>
      </c>
      <c r="BA62" s="2004"/>
      <c r="BB62" s="2004" t="s">
        <v>12550</v>
      </c>
    </row>
    <row r="63" spans="1:54">
      <c r="A63" s="2004" t="s">
        <v>10669</v>
      </c>
      <c r="B63" s="2004" t="s">
        <v>9085</v>
      </c>
      <c r="C63" s="2004" t="s">
        <v>10648</v>
      </c>
      <c r="D63" s="2004" t="s">
        <v>9194</v>
      </c>
      <c r="E63" s="2004">
        <v>2.2999999999999998</v>
      </c>
      <c r="F63" s="2004" t="s">
        <v>10671</v>
      </c>
      <c r="G63" s="2004"/>
      <c r="H63" s="2004"/>
      <c r="I63" s="2004"/>
      <c r="J63" s="2004"/>
      <c r="K63" s="2004"/>
      <c r="L63" s="2004"/>
      <c r="M63" s="2004"/>
      <c r="N63" s="2004"/>
      <c r="O63" s="2004"/>
      <c r="P63" s="2004" t="s">
        <v>12486</v>
      </c>
      <c r="Q63" s="2004" t="s">
        <v>12551</v>
      </c>
      <c r="R63" s="2004" t="s">
        <v>12474</v>
      </c>
      <c r="S63" s="2004">
        <v>0.05</v>
      </c>
      <c r="T63" s="2004" t="s">
        <v>766</v>
      </c>
      <c r="U63" s="516" t="s">
        <v>3016</v>
      </c>
      <c r="V63" s="2004">
        <v>4019</v>
      </c>
      <c r="W63" s="2004"/>
      <c r="X63" s="2004">
        <v>3756</v>
      </c>
      <c r="Y63" s="2004">
        <v>3756</v>
      </c>
      <c r="Z63" s="2004">
        <v>3756</v>
      </c>
      <c r="AA63" s="2004">
        <v>3756</v>
      </c>
      <c r="AB63" s="2004">
        <v>3756</v>
      </c>
      <c r="AC63" s="2004">
        <v>4972</v>
      </c>
      <c r="AD63" s="2004"/>
      <c r="AE63" s="2004">
        <v>4818</v>
      </c>
      <c r="AF63" s="2004">
        <v>4818</v>
      </c>
      <c r="AG63" s="2004">
        <v>4818</v>
      </c>
      <c r="AH63" s="2004">
        <v>4818</v>
      </c>
      <c r="AI63" s="2004">
        <v>4818</v>
      </c>
      <c r="AJ63" s="2004">
        <v>3066</v>
      </c>
      <c r="AK63" s="2004"/>
      <c r="AL63" s="2004">
        <v>2694</v>
      </c>
      <c r="AM63" s="2004">
        <v>2694</v>
      </c>
      <c r="AN63" s="2004">
        <v>2694</v>
      </c>
      <c r="AO63" s="2004">
        <v>2694</v>
      </c>
      <c r="AP63" s="2004">
        <v>2694</v>
      </c>
      <c r="AQ63" s="2004"/>
      <c r="AR63" s="2004">
        <v>4045</v>
      </c>
      <c r="AS63" s="2004">
        <v>3996</v>
      </c>
      <c r="AT63" s="2004" t="s">
        <v>2334</v>
      </c>
      <c r="AU63" s="2004">
        <v>3058</v>
      </c>
      <c r="AV63" s="2004" t="s">
        <v>2337</v>
      </c>
      <c r="AW63" s="2004">
        <v>2662</v>
      </c>
      <c r="AX63" s="2004" t="s">
        <v>2337</v>
      </c>
      <c r="AY63" s="2004">
        <v>2802</v>
      </c>
      <c r="AZ63" s="2004" t="s">
        <v>2337</v>
      </c>
      <c r="BA63" s="2004"/>
      <c r="BB63" s="2004" t="s">
        <v>12552</v>
      </c>
    </row>
    <row r="64" spans="1:54">
      <c r="A64" s="2004" t="s">
        <v>10907</v>
      </c>
      <c r="B64" s="2004" t="s">
        <v>9047</v>
      </c>
      <c r="C64" s="2004" t="s">
        <v>9060</v>
      </c>
      <c r="D64" s="2004" t="s">
        <v>9410</v>
      </c>
      <c r="E64" s="2004" t="s">
        <v>9447</v>
      </c>
      <c r="F64" s="2004" t="s">
        <v>10909</v>
      </c>
      <c r="G64" s="2004" t="s">
        <v>9210</v>
      </c>
      <c r="H64" s="2004" t="s">
        <v>9364</v>
      </c>
      <c r="I64" s="2004" t="s">
        <v>10558</v>
      </c>
      <c r="J64" s="2004" t="s">
        <v>2338</v>
      </c>
      <c r="K64" s="2004">
        <v>100</v>
      </c>
      <c r="L64" s="2004">
        <v>100</v>
      </c>
      <c r="M64" s="2004">
        <v>100</v>
      </c>
      <c r="N64" s="2004">
        <v>100</v>
      </c>
      <c r="O64" s="2004">
        <v>100</v>
      </c>
      <c r="P64" s="2004" t="s">
        <v>12417</v>
      </c>
      <c r="Q64" s="2004" t="s">
        <v>10909</v>
      </c>
      <c r="R64" s="2004"/>
      <c r="S64" s="2004"/>
      <c r="T64" s="2004" t="s">
        <v>734</v>
      </c>
      <c r="U64" s="2004">
        <v>2</v>
      </c>
      <c r="V64" s="2004"/>
      <c r="W64" s="2004"/>
      <c r="X64" s="2004"/>
      <c r="Y64" s="2004"/>
      <c r="Z64" s="2004"/>
      <c r="AA64" s="2004"/>
      <c r="AB64" s="2004"/>
      <c r="AC64" s="2004"/>
      <c r="AD64" s="2004"/>
      <c r="AE64" s="2004"/>
      <c r="AF64" s="2004"/>
      <c r="AG64" s="2004"/>
      <c r="AH64" s="2004"/>
      <c r="AI64" s="2004"/>
      <c r="AJ64" s="2004"/>
      <c r="AK64" s="2004"/>
      <c r="AL64" s="2004"/>
      <c r="AM64" s="2004"/>
      <c r="AN64" s="2004"/>
      <c r="AO64" s="2004"/>
      <c r="AP64" s="2004"/>
      <c r="AQ64" s="2004"/>
      <c r="AR64" s="2004">
        <v>95.74</v>
      </c>
      <c r="AS64" s="2004">
        <v>97.51</v>
      </c>
      <c r="AT64" s="2004" t="s">
        <v>2334</v>
      </c>
      <c r="AU64" s="2004">
        <v>97.988160870777804</v>
      </c>
      <c r="AV64" s="2004" t="s">
        <v>2334</v>
      </c>
      <c r="AW64" s="2004">
        <v>97.67</v>
      </c>
      <c r="AX64" s="2004" t="s">
        <v>2334</v>
      </c>
      <c r="AY64" s="2004" t="s">
        <v>9204</v>
      </c>
      <c r="AZ64" s="2004" t="s">
        <v>9204</v>
      </c>
      <c r="BA64" s="2004"/>
      <c r="BB64" s="2004" t="s">
        <v>12553</v>
      </c>
    </row>
    <row r="65" spans="1:54">
      <c r="A65" s="2004" t="s">
        <v>10907</v>
      </c>
      <c r="B65" s="2004" t="s">
        <v>9047</v>
      </c>
      <c r="C65" s="2004" t="s">
        <v>9060</v>
      </c>
      <c r="D65" s="2004" t="s">
        <v>9410</v>
      </c>
      <c r="E65" s="2004" t="s">
        <v>9447</v>
      </c>
      <c r="F65" s="2004" t="s">
        <v>10909</v>
      </c>
      <c r="G65" s="2004"/>
      <c r="H65" s="2004"/>
      <c r="I65" s="2004"/>
      <c r="J65" s="2004"/>
      <c r="K65" s="2004"/>
      <c r="L65" s="2004"/>
      <c r="M65" s="2004"/>
      <c r="N65" s="2004"/>
      <c r="O65" s="2004"/>
      <c r="P65" s="2004" t="s">
        <v>12419</v>
      </c>
      <c r="Q65" s="2004" t="s">
        <v>12554</v>
      </c>
      <c r="R65" s="2004" t="s">
        <v>12462</v>
      </c>
      <c r="S65" s="2004">
        <v>0.25</v>
      </c>
      <c r="T65" s="2004" t="s">
        <v>734</v>
      </c>
      <c r="U65" s="2004">
        <v>2</v>
      </c>
      <c r="V65" s="2004"/>
      <c r="W65" s="2004"/>
      <c r="X65" s="2004"/>
      <c r="Y65" s="2004"/>
      <c r="Z65" s="2004"/>
      <c r="AA65" s="2004"/>
      <c r="AB65" s="2004"/>
      <c r="AC65" s="2004"/>
      <c r="AD65" s="2004"/>
      <c r="AE65" s="2004"/>
      <c r="AF65" s="2004"/>
      <c r="AG65" s="2004"/>
      <c r="AH65" s="2004"/>
      <c r="AI65" s="2004"/>
      <c r="AJ65" s="2004"/>
      <c r="AK65" s="2004"/>
      <c r="AL65" s="2004"/>
      <c r="AM65" s="2004"/>
      <c r="AN65" s="2004"/>
      <c r="AO65" s="2004"/>
      <c r="AP65" s="2004"/>
      <c r="AQ65" s="2004"/>
      <c r="AR65" s="2004">
        <v>99.86</v>
      </c>
      <c r="AS65" s="2004">
        <v>99.01</v>
      </c>
      <c r="AT65" s="2004"/>
      <c r="AU65" s="2004">
        <v>99.857954545454504</v>
      </c>
      <c r="AV65" s="2004" t="s">
        <v>2337</v>
      </c>
      <c r="AW65" s="2004">
        <v>99.86</v>
      </c>
      <c r="AX65" s="2004" t="s">
        <v>2334</v>
      </c>
      <c r="AY65" s="2004" t="s">
        <v>9204</v>
      </c>
      <c r="AZ65" s="2004" t="s">
        <v>9204</v>
      </c>
      <c r="BA65" s="2004"/>
      <c r="BB65" s="2004" t="s">
        <v>12555</v>
      </c>
    </row>
    <row r="66" spans="1:54">
      <c r="A66" s="2004" t="s">
        <v>10907</v>
      </c>
      <c r="B66" s="2004" t="s">
        <v>9047</v>
      </c>
      <c r="C66" s="2004" t="s">
        <v>9060</v>
      </c>
      <c r="D66" s="2004" t="s">
        <v>9410</v>
      </c>
      <c r="E66" s="2004" t="s">
        <v>9447</v>
      </c>
      <c r="F66" s="2004" t="s">
        <v>10909</v>
      </c>
      <c r="G66" s="2004"/>
      <c r="H66" s="2004"/>
      <c r="I66" s="2004"/>
      <c r="J66" s="2004"/>
      <c r="K66" s="2004"/>
      <c r="L66" s="2004"/>
      <c r="M66" s="2004"/>
      <c r="N66" s="2004"/>
      <c r="O66" s="2004"/>
      <c r="P66" s="2004" t="s">
        <v>12423</v>
      </c>
      <c r="Q66" s="2004" t="s">
        <v>12556</v>
      </c>
      <c r="R66" s="2004" t="s">
        <v>12557</v>
      </c>
      <c r="S66" s="2004">
        <v>0.25</v>
      </c>
      <c r="T66" s="2004" t="s">
        <v>734</v>
      </c>
      <c r="U66" s="2004">
        <v>2</v>
      </c>
      <c r="V66" s="2004"/>
      <c r="W66" s="2004"/>
      <c r="X66" s="2004"/>
      <c r="Y66" s="2004"/>
      <c r="Z66" s="2004"/>
      <c r="AA66" s="2004"/>
      <c r="AB66" s="2004"/>
      <c r="AC66" s="2004"/>
      <c r="AD66" s="2004"/>
      <c r="AE66" s="2004"/>
      <c r="AF66" s="2004"/>
      <c r="AG66" s="2004"/>
      <c r="AH66" s="2004"/>
      <c r="AI66" s="2004"/>
      <c r="AJ66" s="2004"/>
      <c r="AK66" s="2004"/>
      <c r="AL66" s="2004"/>
      <c r="AM66" s="2004"/>
      <c r="AN66" s="2004"/>
      <c r="AO66" s="2004"/>
      <c r="AP66" s="2004"/>
      <c r="AQ66" s="2004"/>
      <c r="AR66" s="2004">
        <v>94.77</v>
      </c>
      <c r="AS66" s="2004">
        <v>97.88</v>
      </c>
      <c r="AT66" s="2004"/>
      <c r="AU66" s="2004">
        <v>97.869318181818201</v>
      </c>
      <c r="AV66" s="2004" t="s">
        <v>2337</v>
      </c>
      <c r="AW66" s="2004">
        <v>97</v>
      </c>
      <c r="AX66" s="2004" t="s">
        <v>2334</v>
      </c>
      <c r="AY66" s="2004" t="s">
        <v>9204</v>
      </c>
      <c r="AZ66" s="2004" t="s">
        <v>9204</v>
      </c>
      <c r="BA66" s="2004"/>
      <c r="BB66" s="2004" t="s">
        <v>12558</v>
      </c>
    </row>
    <row r="67" spans="1:54">
      <c r="A67" s="2004" t="s">
        <v>10907</v>
      </c>
      <c r="B67" s="2004" t="s">
        <v>9047</v>
      </c>
      <c r="C67" s="2004" t="s">
        <v>9060</v>
      </c>
      <c r="D67" s="2004" t="s">
        <v>9410</v>
      </c>
      <c r="E67" s="2004" t="s">
        <v>9447</v>
      </c>
      <c r="F67" s="2004" t="s">
        <v>10909</v>
      </c>
      <c r="G67" s="2004"/>
      <c r="H67" s="2004"/>
      <c r="I67" s="2004"/>
      <c r="J67" s="2004"/>
      <c r="K67" s="2004"/>
      <c r="L67" s="2004"/>
      <c r="M67" s="2004"/>
      <c r="N67" s="2004"/>
      <c r="O67" s="2004"/>
      <c r="P67" s="2004" t="s">
        <v>12430</v>
      </c>
      <c r="Q67" s="2004" t="s">
        <v>12559</v>
      </c>
      <c r="R67" s="2004" t="s">
        <v>12560</v>
      </c>
      <c r="S67" s="2004">
        <v>0.25</v>
      </c>
      <c r="T67" s="2004" t="s">
        <v>734</v>
      </c>
      <c r="U67" s="2004">
        <v>2</v>
      </c>
      <c r="V67" s="2004"/>
      <c r="W67" s="2004"/>
      <c r="X67" s="2004"/>
      <c r="Y67" s="2004"/>
      <c r="Z67" s="2004"/>
      <c r="AA67" s="2004"/>
      <c r="AB67" s="2004"/>
      <c r="AC67" s="2004"/>
      <c r="AD67" s="2004"/>
      <c r="AE67" s="2004"/>
      <c r="AF67" s="2004"/>
      <c r="AG67" s="2004"/>
      <c r="AH67" s="2004"/>
      <c r="AI67" s="2004"/>
      <c r="AJ67" s="2004"/>
      <c r="AK67" s="2004"/>
      <c r="AL67" s="2004"/>
      <c r="AM67" s="2004"/>
      <c r="AN67" s="2004"/>
      <c r="AO67" s="2004"/>
      <c r="AP67" s="2004"/>
      <c r="AQ67" s="2004"/>
      <c r="AR67" s="2004">
        <v>88.72</v>
      </c>
      <c r="AS67" s="2004">
        <v>93.18</v>
      </c>
      <c r="AT67" s="2004"/>
      <c r="AU67" s="2004">
        <v>94.230769230769198</v>
      </c>
      <c r="AV67" s="2004" t="s">
        <v>2337</v>
      </c>
      <c r="AW67" s="2004">
        <v>93.85</v>
      </c>
      <c r="AX67" s="2004" t="s">
        <v>2334</v>
      </c>
      <c r="AY67" s="2004" t="s">
        <v>9204</v>
      </c>
      <c r="AZ67" s="2004" t="s">
        <v>9204</v>
      </c>
      <c r="BA67" s="2004"/>
      <c r="BB67" s="2004" t="s">
        <v>12561</v>
      </c>
    </row>
    <row r="68" spans="1:54">
      <c r="A68" s="2004" t="s">
        <v>10907</v>
      </c>
      <c r="B68" s="2004" t="s">
        <v>9047</v>
      </c>
      <c r="C68" s="2004" t="s">
        <v>9060</v>
      </c>
      <c r="D68" s="2004" t="s">
        <v>9410</v>
      </c>
      <c r="E68" s="2004" t="s">
        <v>9447</v>
      </c>
      <c r="F68" s="2004" t="s">
        <v>10909</v>
      </c>
      <c r="G68" s="2004"/>
      <c r="H68" s="2004"/>
      <c r="I68" s="2004"/>
      <c r="J68" s="2004"/>
      <c r="K68" s="2004"/>
      <c r="L68" s="2004"/>
      <c r="M68" s="2004"/>
      <c r="N68" s="2004"/>
      <c r="O68" s="2004"/>
      <c r="P68" s="2004" t="s">
        <v>12434</v>
      </c>
      <c r="Q68" s="2004" t="s">
        <v>12562</v>
      </c>
      <c r="R68" s="2004" t="s">
        <v>12563</v>
      </c>
      <c r="S68" s="2004">
        <v>0.25</v>
      </c>
      <c r="T68" s="2004" t="s">
        <v>734</v>
      </c>
      <c r="U68" s="2004">
        <v>2</v>
      </c>
      <c r="V68" s="2004"/>
      <c r="W68" s="2004"/>
      <c r="X68" s="2004"/>
      <c r="Y68" s="2004"/>
      <c r="Z68" s="2004"/>
      <c r="AA68" s="2004"/>
      <c r="AB68" s="2004"/>
      <c r="AC68" s="2004"/>
      <c r="AD68" s="2004"/>
      <c r="AE68" s="2004"/>
      <c r="AF68" s="2004"/>
      <c r="AG68" s="2004"/>
      <c r="AH68" s="2004"/>
      <c r="AI68" s="2004"/>
      <c r="AJ68" s="2004"/>
      <c r="AK68" s="2004"/>
      <c r="AL68" s="2004"/>
      <c r="AM68" s="2004"/>
      <c r="AN68" s="2004"/>
      <c r="AO68" s="2004"/>
      <c r="AP68" s="2004"/>
      <c r="AQ68" s="2004"/>
      <c r="AR68" s="2004">
        <v>99.61</v>
      </c>
      <c r="AS68" s="2004">
        <v>99.96</v>
      </c>
      <c r="AT68" s="2004"/>
      <c r="AU68" s="2004">
        <v>99.9946015250692</v>
      </c>
      <c r="AV68" s="2004" t="s">
        <v>2337</v>
      </c>
      <c r="AW68" s="2004">
        <v>99.995999999999995</v>
      </c>
      <c r="AX68" s="2004" t="s">
        <v>2337</v>
      </c>
      <c r="AY68" s="2004" t="s">
        <v>9204</v>
      </c>
      <c r="AZ68" s="2004" t="s">
        <v>9204</v>
      </c>
      <c r="BA68" s="2004"/>
      <c r="BB68" s="2004" t="s">
        <v>12564</v>
      </c>
    </row>
    <row r="69" spans="1:54">
      <c r="A69" s="2004" t="s">
        <v>10927</v>
      </c>
      <c r="B69" s="2004" t="s">
        <v>9047</v>
      </c>
      <c r="C69" s="2004" t="s">
        <v>9060</v>
      </c>
      <c r="D69" s="2004" t="s">
        <v>9410</v>
      </c>
      <c r="E69" s="2004" t="s">
        <v>10928</v>
      </c>
      <c r="F69" s="2004" t="s">
        <v>10930</v>
      </c>
      <c r="G69" s="2004" t="s">
        <v>9199</v>
      </c>
      <c r="H69" s="2004" t="s">
        <v>9364</v>
      </c>
      <c r="I69" s="2004" t="s">
        <v>10931</v>
      </c>
      <c r="J69" s="2004"/>
      <c r="K69" s="2004"/>
      <c r="L69" s="2004"/>
      <c r="M69" s="2004"/>
      <c r="N69" s="2004"/>
      <c r="O69" s="2004">
        <v>3</v>
      </c>
      <c r="P69" s="2004" t="s">
        <v>12417</v>
      </c>
      <c r="Q69" s="2004" t="s">
        <v>10930</v>
      </c>
      <c r="R69" s="2004"/>
      <c r="S69" s="2004"/>
      <c r="T69" s="2004" t="s">
        <v>766</v>
      </c>
      <c r="U69" s="516" t="s">
        <v>3016</v>
      </c>
      <c r="V69" s="2004"/>
      <c r="W69" s="2004"/>
      <c r="X69" s="2004"/>
      <c r="Y69" s="2004"/>
      <c r="Z69" s="2004"/>
      <c r="AA69" s="2004"/>
      <c r="AB69" s="2004"/>
      <c r="AC69" s="2004"/>
      <c r="AD69" s="2004"/>
      <c r="AE69" s="2004"/>
      <c r="AF69" s="2004"/>
      <c r="AG69" s="2004"/>
      <c r="AH69" s="2004"/>
      <c r="AI69" s="2004"/>
      <c r="AJ69" s="2004"/>
      <c r="AK69" s="2004"/>
      <c r="AL69" s="2004"/>
      <c r="AM69" s="2004"/>
      <c r="AN69" s="2004"/>
      <c r="AO69" s="2004"/>
      <c r="AP69" s="2004"/>
      <c r="AQ69" s="2004"/>
      <c r="AR69" s="2004"/>
      <c r="AS69" s="2004" t="s">
        <v>12565</v>
      </c>
      <c r="AT69" s="2004"/>
      <c r="AU69" s="2004" t="s">
        <v>10933</v>
      </c>
      <c r="AV69" s="2004" t="s">
        <v>2335</v>
      </c>
      <c r="AW69" s="2004">
        <v>0</v>
      </c>
      <c r="AX69" s="2004" t="s">
        <v>2335</v>
      </c>
      <c r="AY69" s="2004" t="s">
        <v>9204</v>
      </c>
      <c r="AZ69" s="2004" t="s">
        <v>9204</v>
      </c>
      <c r="BA69" s="2004"/>
      <c r="BB69" s="2004" t="s">
        <v>12566</v>
      </c>
    </row>
    <row r="70" spans="1:54">
      <c r="A70" s="2004" t="s">
        <v>10927</v>
      </c>
      <c r="B70" s="2004" t="s">
        <v>9047</v>
      </c>
      <c r="C70" s="2004" t="s">
        <v>9060</v>
      </c>
      <c r="D70" s="2004" t="s">
        <v>9410</v>
      </c>
      <c r="E70" s="2004" t="s">
        <v>10928</v>
      </c>
      <c r="F70" s="2004" t="s">
        <v>10930</v>
      </c>
      <c r="G70" s="2004"/>
      <c r="H70" s="2004"/>
      <c r="I70" s="2004"/>
      <c r="J70" s="2004"/>
      <c r="K70" s="2004"/>
      <c r="L70" s="2004"/>
      <c r="M70" s="2004"/>
      <c r="N70" s="2004"/>
      <c r="O70" s="2004"/>
      <c r="P70" s="2004" t="s">
        <v>12419</v>
      </c>
      <c r="Q70" s="2004" t="s">
        <v>12567</v>
      </c>
      <c r="R70" s="2004" t="s">
        <v>12568</v>
      </c>
      <c r="S70" s="2004"/>
      <c r="T70" s="2004" t="s">
        <v>766</v>
      </c>
      <c r="U70" s="516" t="s">
        <v>3016</v>
      </c>
      <c r="V70" s="2004"/>
      <c r="W70" s="2004"/>
      <c r="X70" s="2004"/>
      <c r="Y70" s="2004"/>
      <c r="Z70" s="2004"/>
      <c r="AA70" s="2004"/>
      <c r="AB70" s="2004"/>
      <c r="AC70" s="2004"/>
      <c r="AD70" s="2004"/>
      <c r="AE70" s="2004"/>
      <c r="AF70" s="2004"/>
      <c r="AG70" s="2004"/>
      <c r="AH70" s="2004"/>
      <c r="AI70" s="2004"/>
      <c r="AJ70" s="2004"/>
      <c r="AK70" s="2004"/>
      <c r="AL70" s="2004"/>
      <c r="AM70" s="2004"/>
      <c r="AN70" s="2004"/>
      <c r="AO70" s="2004"/>
      <c r="AP70" s="2004"/>
      <c r="AQ70" s="2004"/>
      <c r="AR70" s="2004" t="s">
        <v>4140</v>
      </c>
      <c r="AS70" s="2004" t="s">
        <v>4140</v>
      </c>
      <c r="AT70" s="2004"/>
      <c r="AU70" s="2004" t="s">
        <v>10933</v>
      </c>
      <c r="AV70" s="2004" t="s">
        <v>2335</v>
      </c>
      <c r="AW70" s="2004">
        <v>0</v>
      </c>
      <c r="AX70" s="2004" t="s">
        <v>2335</v>
      </c>
      <c r="AY70" s="2004" t="s">
        <v>9204</v>
      </c>
      <c r="AZ70" s="2004" t="s">
        <v>9204</v>
      </c>
      <c r="BA70" s="2004"/>
      <c r="BB70" s="2004" t="s">
        <v>12569</v>
      </c>
    </row>
    <row r="71" spans="1:54">
      <c r="A71" s="2004" t="s">
        <v>10927</v>
      </c>
      <c r="B71" s="2004" t="s">
        <v>9047</v>
      </c>
      <c r="C71" s="2004" t="s">
        <v>9060</v>
      </c>
      <c r="D71" s="2004" t="s">
        <v>9410</v>
      </c>
      <c r="E71" s="2004" t="s">
        <v>10928</v>
      </c>
      <c r="F71" s="2004" t="s">
        <v>10930</v>
      </c>
      <c r="G71" s="2004"/>
      <c r="H71" s="2004"/>
      <c r="I71" s="2004"/>
      <c r="J71" s="2004"/>
      <c r="K71" s="2004"/>
      <c r="L71" s="2004"/>
      <c r="M71" s="2004"/>
      <c r="N71" s="2004"/>
      <c r="O71" s="2004"/>
      <c r="P71" s="2004" t="s">
        <v>12423</v>
      </c>
      <c r="Q71" s="2004" t="s">
        <v>12570</v>
      </c>
      <c r="R71" s="2004" t="s">
        <v>12571</v>
      </c>
      <c r="S71" s="2004"/>
      <c r="T71" s="2004" t="s">
        <v>766</v>
      </c>
      <c r="U71" s="516" t="s">
        <v>3016</v>
      </c>
      <c r="V71" s="2004"/>
      <c r="W71" s="2004"/>
      <c r="X71" s="2004"/>
      <c r="Y71" s="2004"/>
      <c r="Z71" s="2004"/>
      <c r="AA71" s="2004"/>
      <c r="AB71" s="2004"/>
      <c r="AC71" s="2004"/>
      <c r="AD71" s="2004"/>
      <c r="AE71" s="2004"/>
      <c r="AF71" s="2004"/>
      <c r="AG71" s="2004"/>
      <c r="AH71" s="2004"/>
      <c r="AI71" s="2004"/>
      <c r="AJ71" s="2004"/>
      <c r="AK71" s="2004"/>
      <c r="AL71" s="2004"/>
      <c r="AM71" s="2004"/>
      <c r="AN71" s="2004"/>
      <c r="AO71" s="2004"/>
      <c r="AP71" s="2004"/>
      <c r="AQ71" s="2004"/>
      <c r="AR71" s="2004" t="s">
        <v>4140</v>
      </c>
      <c r="AS71" s="2004" t="s">
        <v>4140</v>
      </c>
      <c r="AT71" s="2004"/>
      <c r="AU71" s="2004" t="s">
        <v>10933</v>
      </c>
      <c r="AV71" s="2004" t="s">
        <v>2335</v>
      </c>
      <c r="AW71" s="2004">
        <v>0</v>
      </c>
      <c r="AX71" s="2004" t="s">
        <v>2335</v>
      </c>
      <c r="AY71" s="2004" t="s">
        <v>9204</v>
      </c>
      <c r="AZ71" s="2004" t="s">
        <v>9204</v>
      </c>
      <c r="BA71" s="2004"/>
      <c r="BB71" s="2004" t="s">
        <v>12572</v>
      </c>
    </row>
    <row r="72" spans="1:54">
      <c r="A72" s="2004" t="s">
        <v>10927</v>
      </c>
      <c r="B72" s="2004" t="s">
        <v>9047</v>
      </c>
      <c r="C72" s="2004" t="s">
        <v>9060</v>
      </c>
      <c r="D72" s="2004" t="s">
        <v>9410</v>
      </c>
      <c r="E72" s="2004" t="s">
        <v>10928</v>
      </c>
      <c r="F72" s="2004" t="s">
        <v>10930</v>
      </c>
      <c r="G72" s="2004"/>
      <c r="H72" s="2004"/>
      <c r="I72" s="2004"/>
      <c r="J72" s="2004"/>
      <c r="K72" s="2004"/>
      <c r="L72" s="2004"/>
      <c r="M72" s="2004"/>
      <c r="N72" s="2004"/>
      <c r="O72" s="2004"/>
      <c r="P72" s="2004" t="s">
        <v>12430</v>
      </c>
      <c r="Q72" s="2004" t="s">
        <v>12573</v>
      </c>
      <c r="R72" s="2004" t="s">
        <v>12448</v>
      </c>
      <c r="S72" s="2004"/>
      <c r="T72" s="2004" t="s">
        <v>766</v>
      </c>
      <c r="U72" s="516" t="s">
        <v>3016</v>
      </c>
      <c r="V72" s="2004"/>
      <c r="W72" s="2004"/>
      <c r="X72" s="2004"/>
      <c r="Y72" s="2004"/>
      <c r="Z72" s="2004"/>
      <c r="AA72" s="2004"/>
      <c r="AB72" s="2004"/>
      <c r="AC72" s="2004"/>
      <c r="AD72" s="2004"/>
      <c r="AE72" s="2004"/>
      <c r="AF72" s="2004"/>
      <c r="AG72" s="2004"/>
      <c r="AH72" s="2004"/>
      <c r="AI72" s="2004"/>
      <c r="AJ72" s="2004"/>
      <c r="AK72" s="2004"/>
      <c r="AL72" s="2004"/>
      <c r="AM72" s="2004"/>
      <c r="AN72" s="2004"/>
      <c r="AO72" s="2004"/>
      <c r="AP72" s="2004"/>
      <c r="AQ72" s="2004"/>
      <c r="AR72" s="2004" t="s">
        <v>4140</v>
      </c>
      <c r="AS72" s="2004" t="s">
        <v>4140</v>
      </c>
      <c r="AT72" s="2004"/>
      <c r="AU72" s="2004" t="s">
        <v>10933</v>
      </c>
      <c r="AV72" s="2004" t="s">
        <v>2335</v>
      </c>
      <c r="AW72" s="2004">
        <v>0</v>
      </c>
      <c r="AX72" s="2004" t="s">
        <v>2335</v>
      </c>
      <c r="AY72" s="2004" t="s">
        <v>9204</v>
      </c>
      <c r="AZ72" s="2004" t="s">
        <v>9204</v>
      </c>
      <c r="BA72" s="2004"/>
      <c r="BB72" s="2004" t="s">
        <v>12574</v>
      </c>
    </row>
    <row r="73" spans="1:54">
      <c r="A73" s="2004" t="s">
        <v>10927</v>
      </c>
      <c r="B73" s="2004" t="s">
        <v>9047</v>
      </c>
      <c r="C73" s="2004" t="s">
        <v>9060</v>
      </c>
      <c r="D73" s="2004" t="s">
        <v>9410</v>
      </c>
      <c r="E73" s="2004" t="s">
        <v>10928</v>
      </c>
      <c r="F73" s="2004" t="s">
        <v>10930</v>
      </c>
      <c r="G73" s="2004"/>
      <c r="H73" s="2004"/>
      <c r="I73" s="2004"/>
      <c r="J73" s="2004"/>
      <c r="K73" s="2004"/>
      <c r="L73" s="2004"/>
      <c r="M73" s="2004"/>
      <c r="N73" s="2004"/>
      <c r="O73" s="2004"/>
      <c r="P73" s="2004" t="s">
        <v>12434</v>
      </c>
      <c r="Q73" s="2004" t="s">
        <v>12575</v>
      </c>
      <c r="R73" s="2004" t="s">
        <v>12576</v>
      </c>
      <c r="S73" s="2004"/>
      <c r="T73" s="2004" t="s">
        <v>766</v>
      </c>
      <c r="U73" s="516" t="s">
        <v>3016</v>
      </c>
      <c r="V73" s="2004"/>
      <c r="W73" s="2004"/>
      <c r="X73" s="2004"/>
      <c r="Y73" s="2004"/>
      <c r="Z73" s="2004"/>
      <c r="AA73" s="2004"/>
      <c r="AB73" s="2004"/>
      <c r="AC73" s="2004"/>
      <c r="AD73" s="2004"/>
      <c r="AE73" s="2004"/>
      <c r="AF73" s="2004"/>
      <c r="AG73" s="2004"/>
      <c r="AH73" s="2004"/>
      <c r="AI73" s="2004"/>
      <c r="AJ73" s="2004"/>
      <c r="AK73" s="2004"/>
      <c r="AL73" s="2004"/>
      <c r="AM73" s="2004"/>
      <c r="AN73" s="2004"/>
      <c r="AO73" s="2004"/>
      <c r="AP73" s="2004"/>
      <c r="AQ73" s="2004"/>
      <c r="AR73" s="2004" t="s">
        <v>4140</v>
      </c>
      <c r="AS73" s="2004" t="s">
        <v>4140</v>
      </c>
      <c r="AT73" s="2004"/>
      <c r="AU73" s="2004" t="s">
        <v>10933</v>
      </c>
      <c r="AV73" s="2004" t="s">
        <v>2335</v>
      </c>
      <c r="AW73" s="2004">
        <v>0</v>
      </c>
      <c r="AX73" s="2004" t="s">
        <v>2335</v>
      </c>
      <c r="AY73" s="2004" t="s">
        <v>9204</v>
      </c>
      <c r="AZ73" s="2004" t="s">
        <v>9204</v>
      </c>
      <c r="BA73" s="2004"/>
      <c r="BB73" s="2004" t="s">
        <v>12577</v>
      </c>
    </row>
    <row r="74" spans="1:54">
      <c r="A74" s="2004" t="s">
        <v>10980</v>
      </c>
      <c r="B74" s="2004" t="s">
        <v>9047</v>
      </c>
      <c r="C74" s="2004" t="s">
        <v>9066</v>
      </c>
      <c r="D74" s="2004" t="s">
        <v>9194</v>
      </c>
      <c r="E74" s="2004" t="s">
        <v>9215</v>
      </c>
      <c r="F74" s="2004" t="s">
        <v>12578</v>
      </c>
      <c r="G74" s="2004" t="s">
        <v>9210</v>
      </c>
      <c r="H74" s="2004" t="s">
        <v>9260</v>
      </c>
      <c r="I74" s="2004" t="s">
        <v>9546</v>
      </c>
      <c r="J74" s="2004" t="s">
        <v>2338</v>
      </c>
      <c r="K74" s="2004" t="s">
        <v>2338</v>
      </c>
      <c r="L74" s="2004" t="s">
        <v>2338</v>
      </c>
      <c r="M74" s="2004" t="s">
        <v>2338</v>
      </c>
      <c r="N74" s="2004" t="s">
        <v>2338</v>
      </c>
      <c r="O74" s="2004" t="s">
        <v>2338</v>
      </c>
      <c r="P74" s="2004" t="s">
        <v>12417</v>
      </c>
      <c r="Q74" s="2004" t="s">
        <v>12578</v>
      </c>
      <c r="R74" s="2004"/>
      <c r="S74" s="2004"/>
      <c r="T74" s="2004" t="s">
        <v>9395</v>
      </c>
      <c r="U74" s="2004" t="s">
        <v>9203</v>
      </c>
      <c r="V74" s="2004"/>
      <c r="W74" s="2004"/>
      <c r="X74" s="2004"/>
      <c r="Y74" s="2004"/>
      <c r="Z74" s="2004"/>
      <c r="AA74" s="2004"/>
      <c r="AB74" s="2004"/>
      <c r="AC74" s="2004"/>
      <c r="AD74" s="2004"/>
      <c r="AE74" s="2004"/>
      <c r="AF74" s="2004"/>
      <c r="AG74" s="2004"/>
      <c r="AH74" s="2004"/>
      <c r="AI74" s="2004"/>
      <c r="AJ74" s="2004"/>
      <c r="AK74" s="2004"/>
      <c r="AL74" s="2004"/>
      <c r="AM74" s="2004"/>
      <c r="AN74" s="2004"/>
      <c r="AO74" s="2004"/>
      <c r="AP74" s="2004"/>
      <c r="AQ74" s="2004"/>
      <c r="AR74" s="2004" t="s">
        <v>2338</v>
      </c>
      <c r="AS74" s="2004" t="s">
        <v>2338</v>
      </c>
      <c r="AT74" s="2004" t="s">
        <v>2337</v>
      </c>
      <c r="AU74" s="2004" t="s">
        <v>2338</v>
      </c>
      <c r="AV74" s="2004" t="s">
        <v>2337</v>
      </c>
      <c r="AW74" s="2004" t="s">
        <v>2338</v>
      </c>
      <c r="AX74" s="2004" t="s">
        <v>2337</v>
      </c>
      <c r="AY74" s="2004" t="s">
        <v>2338</v>
      </c>
      <c r="AZ74" s="2004" t="s">
        <v>2337</v>
      </c>
      <c r="BA74" s="2004"/>
      <c r="BB74" s="2004" t="s">
        <v>12579</v>
      </c>
    </row>
    <row r="75" spans="1:54">
      <c r="A75" s="2004" t="s">
        <v>10980</v>
      </c>
      <c r="B75" s="2004" t="s">
        <v>9047</v>
      </c>
      <c r="C75" s="2004" t="s">
        <v>9066</v>
      </c>
      <c r="D75" s="2004" t="s">
        <v>9194</v>
      </c>
      <c r="E75" s="2004" t="s">
        <v>9215</v>
      </c>
      <c r="F75" s="2004" t="s">
        <v>12578</v>
      </c>
      <c r="G75" s="2004"/>
      <c r="H75" s="2004"/>
      <c r="I75" s="2004"/>
      <c r="J75" s="2004"/>
      <c r="K75" s="2004"/>
      <c r="L75" s="2004"/>
      <c r="M75" s="2004"/>
      <c r="N75" s="2004"/>
      <c r="O75" s="2004"/>
      <c r="P75" s="2004" t="s">
        <v>12419</v>
      </c>
      <c r="Q75" s="2004" t="s">
        <v>12477</v>
      </c>
      <c r="R75" s="2004" t="s">
        <v>12425</v>
      </c>
      <c r="S75" s="2004"/>
      <c r="T75" s="2004" t="s">
        <v>766</v>
      </c>
      <c r="U75" s="516" t="s">
        <v>3016</v>
      </c>
      <c r="V75" s="2004"/>
      <c r="W75" s="2004"/>
      <c r="X75" s="2004">
        <v>2430</v>
      </c>
      <c r="Y75" s="2004">
        <v>2430</v>
      </c>
      <c r="Z75" s="2004">
        <v>2430</v>
      </c>
      <c r="AA75" s="2004">
        <v>2430</v>
      </c>
      <c r="AB75" s="2004">
        <v>2430</v>
      </c>
      <c r="AC75" s="2004"/>
      <c r="AD75" s="2004"/>
      <c r="AE75" s="2004">
        <v>2900</v>
      </c>
      <c r="AF75" s="2004">
        <v>2900</v>
      </c>
      <c r="AG75" s="2004">
        <v>2900</v>
      </c>
      <c r="AH75" s="2004">
        <v>2900</v>
      </c>
      <c r="AI75" s="2004">
        <v>2900</v>
      </c>
      <c r="AJ75" s="2004"/>
      <c r="AK75" s="2004"/>
      <c r="AL75" s="2004">
        <v>1960</v>
      </c>
      <c r="AM75" s="2004">
        <v>1960</v>
      </c>
      <c r="AN75" s="2004">
        <v>1960</v>
      </c>
      <c r="AO75" s="2004">
        <v>1960</v>
      </c>
      <c r="AP75" s="2004">
        <v>1960</v>
      </c>
      <c r="AQ75" s="2004"/>
      <c r="AR75" s="2004">
        <v>2650</v>
      </c>
      <c r="AS75" s="2004">
        <v>2250</v>
      </c>
      <c r="AT75" s="2004" t="s">
        <v>2337</v>
      </c>
      <c r="AU75" s="2004">
        <v>2478</v>
      </c>
      <c r="AV75" s="2004" t="s">
        <v>2337</v>
      </c>
      <c r="AW75" s="2004">
        <v>2496</v>
      </c>
      <c r="AX75" s="2004" t="s">
        <v>2337</v>
      </c>
      <c r="AY75" s="2004">
        <v>2517</v>
      </c>
      <c r="AZ75" s="2004" t="s">
        <v>2334</v>
      </c>
      <c r="BA75" s="2004"/>
      <c r="BB75" s="2004" t="s">
        <v>12580</v>
      </c>
    </row>
    <row r="76" spans="1:54">
      <c r="A76" s="2004" t="s">
        <v>10980</v>
      </c>
      <c r="B76" s="2004" t="s">
        <v>9047</v>
      </c>
      <c r="C76" s="2004" t="s">
        <v>9066</v>
      </c>
      <c r="D76" s="2004" t="s">
        <v>9194</v>
      </c>
      <c r="E76" s="2004" t="s">
        <v>9215</v>
      </c>
      <c r="F76" s="2004" t="s">
        <v>12578</v>
      </c>
      <c r="G76" s="2004"/>
      <c r="H76" s="2004"/>
      <c r="I76" s="2004"/>
      <c r="J76" s="2004"/>
      <c r="K76" s="2004"/>
      <c r="L76" s="2004"/>
      <c r="M76" s="2004"/>
      <c r="N76" s="2004"/>
      <c r="O76" s="2004"/>
      <c r="P76" s="2004" t="s">
        <v>12423</v>
      </c>
      <c r="Q76" s="2004" t="s">
        <v>12479</v>
      </c>
      <c r="R76" s="2004" t="s">
        <v>12421</v>
      </c>
      <c r="S76" s="2004"/>
      <c r="T76" s="2004" t="s">
        <v>766</v>
      </c>
      <c r="U76" s="516" t="s">
        <v>3016</v>
      </c>
      <c r="V76" s="2004"/>
      <c r="W76" s="2004"/>
      <c r="X76" s="2004">
        <v>437</v>
      </c>
      <c r="Y76" s="2004">
        <v>437</v>
      </c>
      <c r="Z76" s="2004">
        <v>437</v>
      </c>
      <c r="AA76" s="2004">
        <v>437</v>
      </c>
      <c r="AB76" s="2004">
        <v>437</v>
      </c>
      <c r="AC76" s="2004"/>
      <c r="AD76" s="2004"/>
      <c r="AE76" s="2004">
        <v>1115</v>
      </c>
      <c r="AF76" s="2004">
        <v>1115</v>
      </c>
      <c r="AG76" s="2004">
        <v>1115</v>
      </c>
      <c r="AH76" s="2004">
        <v>1115</v>
      </c>
      <c r="AI76" s="2004">
        <v>1115</v>
      </c>
      <c r="AJ76" s="2004"/>
      <c r="AK76" s="2004"/>
      <c r="AL76" s="2004">
        <v>0</v>
      </c>
      <c r="AM76" s="2004">
        <v>0</v>
      </c>
      <c r="AN76" s="2004">
        <v>0</v>
      </c>
      <c r="AO76" s="2004">
        <v>0</v>
      </c>
      <c r="AP76" s="2004">
        <v>0</v>
      </c>
      <c r="AQ76" s="2004"/>
      <c r="AR76" s="2004">
        <v>488</v>
      </c>
      <c r="AS76" s="2004">
        <v>2466</v>
      </c>
      <c r="AT76" s="2004" t="s">
        <v>2334</v>
      </c>
      <c r="AU76" s="2004">
        <v>1689</v>
      </c>
      <c r="AV76" s="2004" t="s">
        <v>2337</v>
      </c>
      <c r="AW76" s="2004">
        <v>716</v>
      </c>
      <c r="AX76" s="2004" t="s">
        <v>2337</v>
      </c>
      <c r="AY76" s="2004">
        <v>471</v>
      </c>
      <c r="AZ76" s="2004" t="s">
        <v>2334</v>
      </c>
      <c r="BA76" s="2004"/>
      <c r="BB76" s="2004" t="s">
        <v>12581</v>
      </c>
    </row>
    <row r="77" spans="1:54">
      <c r="A77" s="2004" t="s">
        <v>10980</v>
      </c>
      <c r="B77" s="2004" t="s">
        <v>9047</v>
      </c>
      <c r="C77" s="2004" t="s">
        <v>9066</v>
      </c>
      <c r="D77" s="2004" t="s">
        <v>9194</v>
      </c>
      <c r="E77" s="2004" t="s">
        <v>9215</v>
      </c>
      <c r="F77" s="2004" t="s">
        <v>12578</v>
      </c>
      <c r="G77" s="2004"/>
      <c r="H77" s="2004"/>
      <c r="I77" s="2004"/>
      <c r="J77" s="2004"/>
      <c r="K77" s="2004"/>
      <c r="L77" s="2004"/>
      <c r="M77" s="2004"/>
      <c r="N77" s="2004"/>
      <c r="O77" s="2004"/>
      <c r="P77" s="2004" t="s">
        <v>12430</v>
      </c>
      <c r="Q77" s="2004" t="s">
        <v>12481</v>
      </c>
      <c r="R77" s="2004" t="s">
        <v>12482</v>
      </c>
      <c r="S77" s="2004"/>
      <c r="T77" s="2004" t="s">
        <v>734</v>
      </c>
      <c r="U77" s="2004">
        <v>2</v>
      </c>
      <c r="V77" s="2004"/>
      <c r="W77" s="2004"/>
      <c r="X77" s="2004">
        <v>0.54</v>
      </c>
      <c r="Y77" s="2004">
        <v>0.54</v>
      </c>
      <c r="Z77" s="2004">
        <v>0.54</v>
      </c>
      <c r="AA77" s="2004">
        <v>0.54</v>
      </c>
      <c r="AB77" s="2004">
        <v>0.54</v>
      </c>
      <c r="AC77" s="2004"/>
      <c r="AD77" s="2004"/>
      <c r="AE77" s="2004">
        <v>1.02</v>
      </c>
      <c r="AF77" s="2004">
        <v>1.02</v>
      </c>
      <c r="AG77" s="2004">
        <v>1.02</v>
      </c>
      <c r="AH77" s="2004">
        <v>1.02</v>
      </c>
      <c r="AI77" s="2004">
        <v>1.02</v>
      </c>
      <c r="AJ77" s="2004"/>
      <c r="AK77" s="2004"/>
      <c r="AL77" s="2004">
        <v>0.06</v>
      </c>
      <c r="AM77" s="2004">
        <v>0.06</v>
      </c>
      <c r="AN77" s="2004">
        <v>0.06</v>
      </c>
      <c r="AO77" s="2004">
        <v>0.06</v>
      </c>
      <c r="AP77" s="2004">
        <v>0.06</v>
      </c>
      <c r="AQ77" s="2004"/>
      <c r="AR77" s="2004">
        <v>0.11</v>
      </c>
      <c r="AS77" s="2004">
        <v>0.34</v>
      </c>
      <c r="AT77" s="2004" t="s">
        <v>2337</v>
      </c>
      <c r="AU77" s="2004">
        <v>0.14000000000000001</v>
      </c>
      <c r="AV77" s="2004" t="s">
        <v>2337</v>
      </c>
      <c r="AW77" s="2004">
        <v>0.11</v>
      </c>
      <c r="AX77" s="2004" t="s">
        <v>2337</v>
      </c>
      <c r="AY77" s="2004">
        <v>0.2</v>
      </c>
      <c r="AZ77" s="2004" t="s">
        <v>2337</v>
      </c>
      <c r="BA77" s="2004"/>
      <c r="BB77" s="2004" t="s">
        <v>12582</v>
      </c>
    </row>
    <row r="78" spans="1:54">
      <c r="A78" s="2004" t="s">
        <v>10980</v>
      </c>
      <c r="B78" s="2004" t="s">
        <v>9047</v>
      </c>
      <c r="C78" s="2004" t="s">
        <v>9066</v>
      </c>
      <c r="D78" s="2004" t="s">
        <v>9194</v>
      </c>
      <c r="E78" s="2004" t="s">
        <v>9215</v>
      </c>
      <c r="F78" s="2004" t="s">
        <v>12578</v>
      </c>
      <c r="G78" s="2004"/>
      <c r="H78" s="2004"/>
      <c r="I78" s="2004"/>
      <c r="J78" s="2004"/>
      <c r="K78" s="2004"/>
      <c r="L78" s="2004"/>
      <c r="M78" s="2004"/>
      <c r="N78" s="2004"/>
      <c r="O78" s="2004"/>
      <c r="P78" s="2004" t="s">
        <v>12434</v>
      </c>
      <c r="Q78" s="2004" t="s">
        <v>12484</v>
      </c>
      <c r="R78" s="2004" t="s">
        <v>12468</v>
      </c>
      <c r="S78" s="2004"/>
      <c r="T78" s="2004" t="s">
        <v>766</v>
      </c>
      <c r="U78" s="516" t="s">
        <v>3016</v>
      </c>
      <c r="V78" s="2004"/>
      <c r="W78" s="2004"/>
      <c r="X78" s="2004">
        <v>204</v>
      </c>
      <c r="Y78" s="2004">
        <v>204</v>
      </c>
      <c r="Z78" s="2004">
        <v>204</v>
      </c>
      <c r="AA78" s="2004">
        <v>204</v>
      </c>
      <c r="AB78" s="2004">
        <v>204</v>
      </c>
      <c r="AC78" s="2004"/>
      <c r="AD78" s="2004"/>
      <c r="AE78" s="2004">
        <v>287</v>
      </c>
      <c r="AF78" s="2004">
        <v>287</v>
      </c>
      <c r="AG78" s="2004">
        <v>287</v>
      </c>
      <c r="AH78" s="2004">
        <v>287</v>
      </c>
      <c r="AI78" s="2004">
        <v>287</v>
      </c>
      <c r="AJ78" s="2004"/>
      <c r="AK78" s="2004"/>
      <c r="AL78" s="2004">
        <v>121</v>
      </c>
      <c r="AM78" s="2004">
        <v>121</v>
      </c>
      <c r="AN78" s="2004">
        <v>121</v>
      </c>
      <c r="AO78" s="2004">
        <v>121</v>
      </c>
      <c r="AP78" s="2004">
        <v>121</v>
      </c>
      <c r="AQ78" s="2004"/>
      <c r="AR78" s="2004">
        <v>167</v>
      </c>
      <c r="AS78" s="2004">
        <v>167</v>
      </c>
      <c r="AT78" s="2004" t="s">
        <v>2337</v>
      </c>
      <c r="AU78" s="2004">
        <v>164</v>
      </c>
      <c r="AV78" s="2004" t="s">
        <v>2337</v>
      </c>
      <c r="AW78" s="2004">
        <v>161</v>
      </c>
      <c r="AX78" s="2004" t="s">
        <v>2337</v>
      </c>
      <c r="AY78" s="2004">
        <v>158</v>
      </c>
      <c r="AZ78" s="2004" t="s">
        <v>2337</v>
      </c>
      <c r="BA78" s="2004"/>
      <c r="BB78" s="2004" t="s">
        <v>12583</v>
      </c>
    </row>
    <row r="79" spans="1:54">
      <c r="A79" s="2004" t="s">
        <v>10980</v>
      </c>
      <c r="B79" s="2004" t="s">
        <v>9047</v>
      </c>
      <c r="C79" s="2004" t="s">
        <v>9066</v>
      </c>
      <c r="D79" s="2004" t="s">
        <v>9194</v>
      </c>
      <c r="E79" s="2004" t="s">
        <v>9215</v>
      </c>
      <c r="F79" s="2004" t="s">
        <v>12578</v>
      </c>
      <c r="G79" s="2004"/>
      <c r="H79" s="2004"/>
      <c r="I79" s="2004"/>
      <c r="J79" s="2004"/>
      <c r="K79" s="2004"/>
      <c r="L79" s="2004"/>
      <c r="M79" s="2004"/>
      <c r="N79" s="2004"/>
      <c r="O79" s="2004"/>
      <c r="P79" s="2004" t="s">
        <v>12486</v>
      </c>
      <c r="Q79" s="2004" t="s">
        <v>12431</v>
      </c>
      <c r="R79" s="2004" t="s">
        <v>12432</v>
      </c>
      <c r="S79" s="2004"/>
      <c r="T79" s="2004" t="s">
        <v>766</v>
      </c>
      <c r="U79" s="2004">
        <v>2</v>
      </c>
      <c r="V79" s="2004"/>
      <c r="W79" s="2004"/>
      <c r="X79" s="2004">
        <v>9.4600000000000009</v>
      </c>
      <c r="Y79" s="2004">
        <v>9.4600000000000009</v>
      </c>
      <c r="Z79" s="2004">
        <v>9.4600000000000009</v>
      </c>
      <c r="AA79" s="2004">
        <v>9.4600000000000009</v>
      </c>
      <c r="AB79" s="2004">
        <v>9.4600000000000009</v>
      </c>
      <c r="AC79" s="2004"/>
      <c r="AD79" s="2004"/>
      <c r="AE79" s="2004">
        <v>12.13</v>
      </c>
      <c r="AF79" s="2004">
        <v>12.13</v>
      </c>
      <c r="AG79" s="2004">
        <v>12.13</v>
      </c>
      <c r="AH79" s="2004">
        <v>12.13</v>
      </c>
      <c r="AI79" s="2004">
        <v>12.13</v>
      </c>
      <c r="AJ79" s="2004"/>
      <c r="AK79" s="2004"/>
      <c r="AL79" s="2004">
        <v>6.79</v>
      </c>
      <c r="AM79" s="2004">
        <v>6.79</v>
      </c>
      <c r="AN79" s="2004">
        <v>6.79</v>
      </c>
      <c r="AO79" s="2004">
        <v>6.79</v>
      </c>
      <c r="AP79" s="2004">
        <v>6.79</v>
      </c>
      <c r="AQ79" s="2004"/>
      <c r="AR79" s="2004">
        <v>2.72</v>
      </c>
      <c r="AS79" s="2004">
        <v>2.34</v>
      </c>
      <c r="AT79" s="2004" t="s">
        <v>2337</v>
      </c>
      <c r="AU79" s="2004">
        <v>2.2400000000000002</v>
      </c>
      <c r="AV79" s="2004" t="s">
        <v>2337</v>
      </c>
      <c r="AW79" s="2004">
        <v>1.7</v>
      </c>
      <c r="AX79" s="2004" t="s">
        <v>2337</v>
      </c>
      <c r="AY79" s="2004">
        <v>1.61</v>
      </c>
      <c r="AZ79" s="2004" t="s">
        <v>2337</v>
      </c>
      <c r="BA79" s="2004"/>
      <c r="BB79" s="2004" t="s">
        <v>12584</v>
      </c>
    </row>
    <row r="80" spans="1:54">
      <c r="A80" s="2004" t="s">
        <v>10980</v>
      </c>
      <c r="B80" s="2004" t="s">
        <v>9047</v>
      </c>
      <c r="C80" s="2004" t="s">
        <v>9066</v>
      </c>
      <c r="D80" s="2004" t="s">
        <v>9194</v>
      </c>
      <c r="E80" s="2004" t="s">
        <v>9215</v>
      </c>
      <c r="F80" s="2004" t="s">
        <v>12578</v>
      </c>
      <c r="G80" s="2004"/>
      <c r="H80" s="2004"/>
      <c r="I80" s="2004"/>
      <c r="J80" s="2004"/>
      <c r="K80" s="2004"/>
      <c r="L80" s="2004"/>
      <c r="M80" s="2004"/>
      <c r="N80" s="2004"/>
      <c r="O80" s="2004"/>
      <c r="P80" s="2004" t="s">
        <v>12489</v>
      </c>
      <c r="Q80" s="2004" t="s">
        <v>12585</v>
      </c>
      <c r="R80" s="2004" t="s">
        <v>12436</v>
      </c>
      <c r="S80" s="2004"/>
      <c r="T80" s="2004" t="s">
        <v>734</v>
      </c>
      <c r="U80" s="2004">
        <v>2</v>
      </c>
      <c r="V80" s="2004"/>
      <c r="W80" s="2004"/>
      <c r="X80" s="2004">
        <v>0.18</v>
      </c>
      <c r="Y80" s="2004">
        <v>0.18</v>
      </c>
      <c r="Z80" s="2004">
        <v>0.18</v>
      </c>
      <c r="AA80" s="2004">
        <v>0.18</v>
      </c>
      <c r="AB80" s="2004">
        <v>0.18</v>
      </c>
      <c r="AC80" s="2004"/>
      <c r="AD80" s="2004"/>
      <c r="AE80" s="2004">
        <v>0.28999999999999998</v>
      </c>
      <c r="AF80" s="2004">
        <v>0.28999999999999998</v>
      </c>
      <c r="AG80" s="2004">
        <v>0.28999999999999998</v>
      </c>
      <c r="AH80" s="2004">
        <v>0.28999999999999998</v>
      </c>
      <c r="AI80" s="2004">
        <v>0.28999999999999998</v>
      </c>
      <c r="AJ80" s="2004"/>
      <c r="AK80" s="2004"/>
      <c r="AL80" s="2004">
        <v>7.0000000000000007E-2</v>
      </c>
      <c r="AM80" s="2004">
        <v>7.0000000000000007E-2</v>
      </c>
      <c r="AN80" s="2004">
        <v>7.0000000000000007E-2</v>
      </c>
      <c r="AO80" s="2004">
        <v>7.0000000000000007E-2</v>
      </c>
      <c r="AP80" s="2004">
        <v>7.0000000000000007E-2</v>
      </c>
      <c r="AQ80" s="2004"/>
      <c r="AR80" s="2004">
        <v>0.1</v>
      </c>
      <c r="AS80" s="2004">
        <v>0.13</v>
      </c>
      <c r="AT80" s="2004" t="s">
        <v>2337</v>
      </c>
      <c r="AU80" s="2004">
        <v>0.08</v>
      </c>
      <c r="AV80" s="2004" t="s">
        <v>2337</v>
      </c>
      <c r="AW80" s="2004">
        <v>0.04</v>
      </c>
      <c r="AX80" s="2004" t="s">
        <v>2337</v>
      </c>
      <c r="AY80" s="2004">
        <v>7.0000000000000007E-2</v>
      </c>
      <c r="AZ80" s="2004" t="s">
        <v>2337</v>
      </c>
      <c r="BA80" s="2004"/>
      <c r="BB80" s="2004" t="s">
        <v>12586</v>
      </c>
    </row>
    <row r="81" spans="1:54">
      <c r="A81" s="2004" t="s">
        <v>10984</v>
      </c>
      <c r="B81" s="2004" t="s">
        <v>9047</v>
      </c>
      <c r="C81" s="2004" t="s">
        <v>9066</v>
      </c>
      <c r="D81" s="2004" t="s">
        <v>9194</v>
      </c>
      <c r="E81" s="2004" t="s">
        <v>9221</v>
      </c>
      <c r="F81" s="2004" t="s">
        <v>12587</v>
      </c>
      <c r="G81" s="2004" t="s">
        <v>9210</v>
      </c>
      <c r="H81" s="2004" t="s">
        <v>9260</v>
      </c>
      <c r="I81" s="2004" t="s">
        <v>9546</v>
      </c>
      <c r="J81" s="2004" t="s">
        <v>2338</v>
      </c>
      <c r="K81" s="2004" t="s">
        <v>2338</v>
      </c>
      <c r="L81" s="2004" t="s">
        <v>2338</v>
      </c>
      <c r="M81" s="2004" t="s">
        <v>2338</v>
      </c>
      <c r="N81" s="2004" t="s">
        <v>2338</v>
      </c>
      <c r="O81" s="2004" t="s">
        <v>2338</v>
      </c>
      <c r="P81" s="2004" t="s">
        <v>12417</v>
      </c>
      <c r="Q81" s="2004" t="s">
        <v>12587</v>
      </c>
      <c r="R81" s="2004"/>
      <c r="S81" s="2004"/>
      <c r="T81" s="2004" t="s">
        <v>9395</v>
      </c>
      <c r="U81" s="2004" t="s">
        <v>9203</v>
      </c>
      <c r="V81" s="2004"/>
      <c r="W81" s="2004"/>
      <c r="X81" s="2004"/>
      <c r="Y81" s="2004"/>
      <c r="Z81" s="2004"/>
      <c r="AA81" s="2004"/>
      <c r="AB81" s="2004"/>
      <c r="AC81" s="2004"/>
      <c r="AD81" s="2004"/>
      <c r="AE81" s="2004"/>
      <c r="AF81" s="2004"/>
      <c r="AG81" s="2004"/>
      <c r="AH81" s="2004"/>
      <c r="AI81" s="2004"/>
      <c r="AJ81" s="2004"/>
      <c r="AK81" s="2004"/>
      <c r="AL81" s="2004"/>
      <c r="AM81" s="2004"/>
      <c r="AN81" s="2004"/>
      <c r="AO81" s="2004"/>
      <c r="AP81" s="2004"/>
      <c r="AQ81" s="2004"/>
      <c r="AR81" s="2004" t="s">
        <v>2338</v>
      </c>
      <c r="AS81" s="2004" t="s">
        <v>2338</v>
      </c>
      <c r="AT81" s="2004" t="s">
        <v>2337</v>
      </c>
      <c r="AU81" s="2004" t="s">
        <v>2338</v>
      </c>
      <c r="AV81" s="2004" t="s">
        <v>2337</v>
      </c>
      <c r="AW81" s="2004" t="s">
        <v>2338</v>
      </c>
      <c r="AX81" s="2004" t="s">
        <v>2337</v>
      </c>
      <c r="AY81" s="2004" t="s">
        <v>2338</v>
      </c>
      <c r="AZ81" s="2004" t="s">
        <v>2337</v>
      </c>
      <c r="BA81" s="2004"/>
      <c r="BB81" s="2004" t="s">
        <v>12588</v>
      </c>
    </row>
    <row r="82" spans="1:54">
      <c r="A82" s="2004" t="s">
        <v>10984</v>
      </c>
      <c r="B82" s="2004" t="s">
        <v>9047</v>
      </c>
      <c r="C82" s="2004" t="s">
        <v>9066</v>
      </c>
      <c r="D82" s="2004" t="s">
        <v>9194</v>
      </c>
      <c r="E82" s="2004" t="s">
        <v>9221</v>
      </c>
      <c r="F82" s="2004" t="s">
        <v>12587</v>
      </c>
      <c r="G82" s="2004"/>
      <c r="H82" s="2004"/>
      <c r="I82" s="2004"/>
      <c r="J82" s="2004"/>
      <c r="K82" s="2004"/>
      <c r="L82" s="2004"/>
      <c r="M82" s="2004"/>
      <c r="N82" s="2004"/>
      <c r="O82" s="2004"/>
      <c r="P82" s="2004" t="s">
        <v>12419</v>
      </c>
      <c r="Q82" s="2004" t="s">
        <v>12505</v>
      </c>
      <c r="R82" s="2004" t="s">
        <v>12440</v>
      </c>
      <c r="S82" s="2004"/>
      <c r="T82" s="2004" t="s">
        <v>734</v>
      </c>
      <c r="U82" s="2004">
        <v>2</v>
      </c>
      <c r="V82" s="2004"/>
      <c r="W82" s="2004"/>
      <c r="X82" s="2004">
        <v>7.0000000000000007E-2</v>
      </c>
      <c r="Y82" s="2004">
        <v>7.0000000000000007E-2</v>
      </c>
      <c r="Z82" s="2004">
        <v>7.0000000000000007E-2</v>
      </c>
      <c r="AA82" s="2004">
        <v>7.0000000000000007E-2</v>
      </c>
      <c r="AB82" s="2004">
        <v>7.0000000000000007E-2</v>
      </c>
      <c r="AC82" s="2004"/>
      <c r="AD82" s="2004"/>
      <c r="AE82" s="2004">
        <v>0.12</v>
      </c>
      <c r="AF82" s="2004">
        <v>0.12</v>
      </c>
      <c r="AG82" s="2004">
        <v>0.12</v>
      </c>
      <c r="AH82" s="2004">
        <v>0.12</v>
      </c>
      <c r="AI82" s="2004">
        <v>0.12</v>
      </c>
      <c r="AJ82" s="2004"/>
      <c r="AK82" s="2004"/>
      <c r="AL82" s="2004">
        <v>0.02</v>
      </c>
      <c r="AM82" s="2004">
        <v>0.02</v>
      </c>
      <c r="AN82" s="2004">
        <v>0.02</v>
      </c>
      <c r="AO82" s="2004">
        <v>0.02</v>
      </c>
      <c r="AP82" s="2004">
        <v>0.02</v>
      </c>
      <c r="AQ82" s="2004"/>
      <c r="AR82" s="2004">
        <v>0</v>
      </c>
      <c r="AS82" s="2004">
        <v>0.04</v>
      </c>
      <c r="AT82" s="2004" t="s">
        <v>2337</v>
      </c>
      <c r="AU82" s="2004">
        <v>0.01</v>
      </c>
      <c r="AV82" s="2004" t="s">
        <v>2337</v>
      </c>
      <c r="AW82" s="2004">
        <v>0.01</v>
      </c>
      <c r="AX82" s="2004" t="s">
        <v>2337</v>
      </c>
      <c r="AY82" s="2004">
        <v>0.03</v>
      </c>
      <c r="AZ82" s="2004" t="s">
        <v>2337</v>
      </c>
      <c r="BA82" s="2004"/>
      <c r="BB82" s="2004" t="s">
        <v>12589</v>
      </c>
    </row>
    <row r="83" spans="1:54">
      <c r="A83" s="2004" t="s">
        <v>10984</v>
      </c>
      <c r="B83" s="2004" t="s">
        <v>9047</v>
      </c>
      <c r="C83" s="2004" t="s">
        <v>9066</v>
      </c>
      <c r="D83" s="2004" t="s">
        <v>9194</v>
      </c>
      <c r="E83" s="2004" t="s">
        <v>9221</v>
      </c>
      <c r="F83" s="2004" t="s">
        <v>12587</v>
      </c>
      <c r="G83" s="2004"/>
      <c r="H83" s="2004"/>
      <c r="I83" s="2004"/>
      <c r="J83" s="2004"/>
      <c r="K83" s="2004"/>
      <c r="L83" s="2004"/>
      <c r="M83" s="2004"/>
      <c r="N83" s="2004"/>
      <c r="O83" s="2004"/>
      <c r="P83" s="2004" t="s">
        <v>12423</v>
      </c>
      <c r="Q83" s="2004" t="s">
        <v>12507</v>
      </c>
      <c r="R83" s="2004" t="s">
        <v>12443</v>
      </c>
      <c r="S83" s="2004"/>
      <c r="T83" s="2004" t="s">
        <v>734</v>
      </c>
      <c r="U83" s="2004">
        <v>2</v>
      </c>
      <c r="V83" s="2004"/>
      <c r="W83" s="2004"/>
      <c r="X83" s="2004">
        <v>0</v>
      </c>
      <c r="Y83" s="2004">
        <v>0</v>
      </c>
      <c r="Z83" s="2004">
        <v>0</v>
      </c>
      <c r="AA83" s="2004">
        <v>0</v>
      </c>
      <c r="AB83" s="2004">
        <v>0</v>
      </c>
      <c r="AC83" s="2004"/>
      <c r="AD83" s="2004"/>
      <c r="AE83" s="2004">
        <v>0.6</v>
      </c>
      <c r="AF83" s="2004">
        <v>0.6</v>
      </c>
      <c r="AG83" s="2004">
        <v>0.6</v>
      </c>
      <c r="AH83" s="2004">
        <v>0.6</v>
      </c>
      <c r="AI83" s="2004">
        <v>0.6</v>
      </c>
      <c r="AJ83" s="2004"/>
      <c r="AK83" s="2004"/>
      <c r="AL83" s="2004">
        <v>0</v>
      </c>
      <c r="AM83" s="2004">
        <v>0</v>
      </c>
      <c r="AN83" s="2004">
        <v>0</v>
      </c>
      <c r="AO83" s="2004">
        <v>0</v>
      </c>
      <c r="AP83" s="2004">
        <v>0</v>
      </c>
      <c r="AQ83" s="2004"/>
      <c r="AR83" s="2004">
        <v>0</v>
      </c>
      <c r="AS83" s="2004">
        <v>0</v>
      </c>
      <c r="AT83" s="2004" t="s">
        <v>2337</v>
      </c>
      <c r="AU83" s="2004">
        <v>0</v>
      </c>
      <c r="AV83" s="2004" t="s">
        <v>2337</v>
      </c>
      <c r="AW83" s="2004">
        <v>0</v>
      </c>
      <c r="AX83" s="2004" t="s">
        <v>2337</v>
      </c>
      <c r="AY83" s="2004">
        <v>0</v>
      </c>
      <c r="AZ83" s="2004" t="s">
        <v>2337</v>
      </c>
      <c r="BA83" s="2004"/>
      <c r="BB83" s="2004" t="s">
        <v>12590</v>
      </c>
    </row>
    <row r="84" spans="1:54">
      <c r="A84" s="2004" t="s">
        <v>10984</v>
      </c>
      <c r="B84" s="2004" t="s">
        <v>9047</v>
      </c>
      <c r="C84" s="2004" t="s">
        <v>9066</v>
      </c>
      <c r="D84" s="2004" t="s">
        <v>9194</v>
      </c>
      <c r="E84" s="2004" t="s">
        <v>9221</v>
      </c>
      <c r="F84" s="2004" t="s">
        <v>12587</v>
      </c>
      <c r="G84" s="2004"/>
      <c r="H84" s="2004"/>
      <c r="I84" s="2004"/>
      <c r="J84" s="2004"/>
      <c r="K84" s="2004"/>
      <c r="L84" s="2004"/>
      <c r="M84" s="2004"/>
      <c r="N84" s="2004"/>
      <c r="O84" s="2004"/>
      <c r="P84" s="2004" t="s">
        <v>12430</v>
      </c>
      <c r="Q84" s="2004" t="s">
        <v>12509</v>
      </c>
      <c r="R84" s="2004" t="s">
        <v>12445</v>
      </c>
      <c r="S84" s="2004"/>
      <c r="T84" s="2004" t="s">
        <v>766</v>
      </c>
      <c r="U84" s="516" t="s">
        <v>3016</v>
      </c>
      <c r="V84" s="2004"/>
      <c r="W84" s="2004"/>
      <c r="X84" s="2004">
        <v>2</v>
      </c>
      <c r="Y84" s="2004">
        <v>2</v>
      </c>
      <c r="Z84" s="2004">
        <v>2</v>
      </c>
      <c r="AA84" s="2004">
        <v>2</v>
      </c>
      <c r="AB84" s="2004">
        <v>2</v>
      </c>
      <c r="AC84" s="2004"/>
      <c r="AD84" s="2004"/>
      <c r="AE84" s="2004">
        <v>4</v>
      </c>
      <c r="AF84" s="2004">
        <v>4</v>
      </c>
      <c r="AG84" s="2004">
        <v>4</v>
      </c>
      <c r="AH84" s="2004">
        <v>4</v>
      </c>
      <c r="AI84" s="2004">
        <v>4</v>
      </c>
      <c r="AJ84" s="2004"/>
      <c r="AK84" s="2004"/>
      <c r="AL84" s="2004">
        <v>0</v>
      </c>
      <c r="AM84" s="2004">
        <v>0</v>
      </c>
      <c r="AN84" s="2004">
        <v>0</v>
      </c>
      <c r="AO84" s="2004">
        <v>0</v>
      </c>
      <c r="AP84" s="2004">
        <v>0</v>
      </c>
      <c r="AQ84" s="2004"/>
      <c r="AR84" s="2004">
        <v>0</v>
      </c>
      <c r="AS84" s="2004">
        <v>0</v>
      </c>
      <c r="AT84" s="2004" t="s">
        <v>2337</v>
      </c>
      <c r="AU84" s="2004">
        <v>0</v>
      </c>
      <c r="AV84" s="2004" t="s">
        <v>2337</v>
      </c>
      <c r="AW84" s="2004">
        <v>0</v>
      </c>
      <c r="AX84" s="2004" t="s">
        <v>2337</v>
      </c>
      <c r="AY84" s="2004">
        <v>0</v>
      </c>
      <c r="AZ84" s="2004" t="s">
        <v>2337</v>
      </c>
      <c r="BA84" s="2004"/>
      <c r="BB84" s="2004" t="s">
        <v>12591</v>
      </c>
    </row>
    <row r="85" spans="1:54">
      <c r="A85" s="2004" t="s">
        <v>10984</v>
      </c>
      <c r="B85" s="2004" t="s">
        <v>9047</v>
      </c>
      <c r="C85" s="2004" t="s">
        <v>9066</v>
      </c>
      <c r="D85" s="2004" t="s">
        <v>9194</v>
      </c>
      <c r="E85" s="2004" t="s">
        <v>9221</v>
      </c>
      <c r="F85" s="2004" t="s">
        <v>12587</v>
      </c>
      <c r="G85" s="2004"/>
      <c r="H85" s="2004"/>
      <c r="I85" s="2004"/>
      <c r="J85" s="2004"/>
      <c r="K85" s="2004"/>
      <c r="L85" s="2004"/>
      <c r="M85" s="2004"/>
      <c r="N85" s="2004"/>
      <c r="O85" s="2004"/>
      <c r="P85" s="2004" t="s">
        <v>12434</v>
      </c>
      <c r="Q85" s="2004" t="s">
        <v>12511</v>
      </c>
      <c r="R85" s="2004" t="s">
        <v>12500</v>
      </c>
      <c r="S85" s="2004"/>
      <c r="T85" s="2004" t="s">
        <v>766</v>
      </c>
      <c r="U85" s="516" t="s">
        <v>3016</v>
      </c>
      <c r="V85" s="2004"/>
      <c r="W85" s="2004"/>
      <c r="X85" s="2004">
        <v>0</v>
      </c>
      <c r="Y85" s="2004">
        <v>0</v>
      </c>
      <c r="Z85" s="2004">
        <v>0</v>
      </c>
      <c r="AA85" s="2004">
        <v>0</v>
      </c>
      <c r="AB85" s="2004">
        <v>0</v>
      </c>
      <c r="AC85" s="2004"/>
      <c r="AD85" s="2004"/>
      <c r="AE85" s="2004">
        <v>1</v>
      </c>
      <c r="AF85" s="2004">
        <v>1</v>
      </c>
      <c r="AG85" s="2004">
        <v>1</v>
      </c>
      <c r="AH85" s="2004">
        <v>1</v>
      </c>
      <c r="AI85" s="2004">
        <v>1</v>
      </c>
      <c r="AJ85" s="2004"/>
      <c r="AK85" s="2004"/>
      <c r="AL85" s="2004">
        <v>0</v>
      </c>
      <c r="AM85" s="2004">
        <v>0</v>
      </c>
      <c r="AN85" s="2004">
        <v>0</v>
      </c>
      <c r="AO85" s="2004">
        <v>0</v>
      </c>
      <c r="AP85" s="2004">
        <v>0</v>
      </c>
      <c r="AQ85" s="2004"/>
      <c r="AR85" s="2004">
        <v>0</v>
      </c>
      <c r="AS85" s="2004">
        <v>0</v>
      </c>
      <c r="AT85" s="2004" t="s">
        <v>2337</v>
      </c>
      <c r="AU85" s="2004">
        <v>0</v>
      </c>
      <c r="AV85" s="2004" t="s">
        <v>2337</v>
      </c>
      <c r="AW85" s="2004">
        <v>0</v>
      </c>
      <c r="AX85" s="2004" t="s">
        <v>2337</v>
      </c>
      <c r="AY85" s="2004">
        <v>1</v>
      </c>
      <c r="AZ85" s="2004" t="s">
        <v>2334</v>
      </c>
      <c r="BA85" s="2004"/>
      <c r="BB85" s="2004" t="s">
        <v>12592</v>
      </c>
    </row>
    <row r="86" spans="1:54">
      <c r="A86" s="2004" t="s">
        <v>10984</v>
      </c>
      <c r="B86" s="2004" t="s">
        <v>9047</v>
      </c>
      <c r="C86" s="2004" t="s">
        <v>9066</v>
      </c>
      <c r="D86" s="2004" t="s">
        <v>9194</v>
      </c>
      <c r="E86" s="2004" t="s">
        <v>9221</v>
      </c>
      <c r="F86" s="2004" t="s">
        <v>12587</v>
      </c>
      <c r="G86" s="2004"/>
      <c r="H86" s="2004"/>
      <c r="I86" s="2004"/>
      <c r="J86" s="2004"/>
      <c r="K86" s="2004"/>
      <c r="L86" s="2004"/>
      <c r="M86" s="2004"/>
      <c r="N86" s="2004"/>
      <c r="O86" s="2004"/>
      <c r="P86" s="2004" t="s">
        <v>12486</v>
      </c>
      <c r="Q86" s="2004" t="s">
        <v>12593</v>
      </c>
      <c r="R86" s="2004" t="s">
        <v>12474</v>
      </c>
      <c r="S86" s="2004"/>
      <c r="T86" s="2004" t="s">
        <v>766</v>
      </c>
      <c r="U86" s="516" t="s">
        <v>3016</v>
      </c>
      <c r="V86" s="2004"/>
      <c r="W86" s="2004"/>
      <c r="X86" s="2004">
        <v>2237</v>
      </c>
      <c r="Y86" s="2004">
        <v>2237</v>
      </c>
      <c r="Z86" s="2004">
        <v>2237</v>
      </c>
      <c r="AA86" s="2004">
        <v>2237</v>
      </c>
      <c r="AB86" s="2004">
        <v>2237</v>
      </c>
      <c r="AC86" s="2004"/>
      <c r="AD86" s="2004"/>
      <c r="AE86" s="2004">
        <v>2861</v>
      </c>
      <c r="AF86" s="2004">
        <v>2861</v>
      </c>
      <c r="AG86" s="2004">
        <v>2861</v>
      </c>
      <c r="AH86" s="2004">
        <v>2861</v>
      </c>
      <c r="AI86" s="2004">
        <v>2861</v>
      </c>
      <c r="AJ86" s="2004"/>
      <c r="AK86" s="2004"/>
      <c r="AL86" s="2004">
        <v>1613</v>
      </c>
      <c r="AM86" s="2004">
        <v>1613</v>
      </c>
      <c r="AN86" s="2004">
        <v>1613</v>
      </c>
      <c r="AO86" s="2004">
        <v>1613</v>
      </c>
      <c r="AP86" s="2004">
        <v>1613</v>
      </c>
      <c r="AQ86" s="2004"/>
      <c r="AR86" s="2004">
        <v>2822</v>
      </c>
      <c r="AS86" s="2004">
        <v>3010</v>
      </c>
      <c r="AT86" s="2004" t="s">
        <v>2334</v>
      </c>
      <c r="AU86" s="2004">
        <v>2154</v>
      </c>
      <c r="AV86" s="2004" t="s">
        <v>2337</v>
      </c>
      <c r="AW86" s="2004">
        <v>2606</v>
      </c>
      <c r="AX86" s="2004" t="s">
        <v>2337</v>
      </c>
      <c r="AY86" s="2004">
        <v>2607</v>
      </c>
      <c r="AZ86" s="2004" t="s">
        <v>2334</v>
      </c>
      <c r="BA86" s="2004"/>
      <c r="BB86" s="2004" t="s">
        <v>12594</v>
      </c>
    </row>
    <row r="87" spans="1:54">
      <c r="A87" s="2004" t="s">
        <v>11098</v>
      </c>
      <c r="B87" s="2004" t="s">
        <v>9047</v>
      </c>
      <c r="C87" s="2004" t="s">
        <v>9066</v>
      </c>
      <c r="D87" s="2004" t="s">
        <v>9410</v>
      </c>
      <c r="E87" s="2004" t="s">
        <v>9424</v>
      </c>
      <c r="F87" s="2004" t="s">
        <v>12595</v>
      </c>
      <c r="G87" s="2004" t="s">
        <v>9210</v>
      </c>
      <c r="H87" s="2004" t="s">
        <v>9477</v>
      </c>
      <c r="I87" s="2004" t="s">
        <v>9546</v>
      </c>
      <c r="J87" s="2004" t="s">
        <v>2338</v>
      </c>
      <c r="K87" s="2004" t="s">
        <v>2338</v>
      </c>
      <c r="L87" s="2004" t="s">
        <v>2338</v>
      </c>
      <c r="M87" s="2004" t="s">
        <v>2338</v>
      </c>
      <c r="N87" s="2004" t="s">
        <v>2338</v>
      </c>
      <c r="O87" s="2004" t="s">
        <v>2338</v>
      </c>
      <c r="P87" s="2004" t="s">
        <v>12417</v>
      </c>
      <c r="Q87" s="2004" t="s">
        <v>12595</v>
      </c>
      <c r="R87" s="2004"/>
      <c r="S87" s="2004"/>
      <c r="T87" s="2004" t="s">
        <v>9395</v>
      </c>
      <c r="U87" s="2004" t="s">
        <v>9203</v>
      </c>
      <c r="V87" s="2004"/>
      <c r="W87" s="2004"/>
      <c r="X87" s="2004"/>
      <c r="Y87" s="2004"/>
      <c r="Z87" s="2004"/>
      <c r="AA87" s="2004"/>
      <c r="AB87" s="2004"/>
      <c r="AC87" s="2004"/>
      <c r="AD87" s="2004"/>
      <c r="AE87" s="2004"/>
      <c r="AF87" s="2004"/>
      <c r="AG87" s="2004"/>
      <c r="AH87" s="2004"/>
      <c r="AI87" s="2004"/>
      <c r="AJ87" s="2004"/>
      <c r="AK87" s="2004"/>
      <c r="AL87" s="2004"/>
      <c r="AM87" s="2004"/>
      <c r="AN87" s="2004"/>
      <c r="AO87" s="2004"/>
      <c r="AP87" s="2004"/>
      <c r="AQ87" s="2004"/>
      <c r="AR87" s="2004" t="s">
        <v>2338</v>
      </c>
      <c r="AS87" s="2004" t="s">
        <v>2338</v>
      </c>
      <c r="AT87" s="2004" t="s">
        <v>2337</v>
      </c>
      <c r="AU87" s="2004" t="s">
        <v>2338</v>
      </c>
      <c r="AV87" s="2004" t="s">
        <v>2337</v>
      </c>
      <c r="AW87" s="2004" t="s">
        <v>2338</v>
      </c>
      <c r="AX87" s="2004" t="s">
        <v>2337</v>
      </c>
      <c r="AY87" s="2004" t="s">
        <v>2338</v>
      </c>
      <c r="AZ87" s="2004" t="s">
        <v>2337</v>
      </c>
      <c r="BA87" s="2004"/>
      <c r="BB87" s="2004" t="s">
        <v>12596</v>
      </c>
    </row>
    <row r="88" spans="1:54">
      <c r="A88" s="2004" t="s">
        <v>11098</v>
      </c>
      <c r="B88" s="2004" t="s">
        <v>9047</v>
      </c>
      <c r="C88" s="2004" t="s">
        <v>9066</v>
      </c>
      <c r="D88" s="2004" t="s">
        <v>9410</v>
      </c>
      <c r="E88" s="2004" t="s">
        <v>9424</v>
      </c>
      <c r="F88" s="2004" t="s">
        <v>12595</v>
      </c>
      <c r="G88" s="2004"/>
      <c r="H88" s="2004"/>
      <c r="I88" s="2004"/>
      <c r="J88" s="2004"/>
      <c r="K88" s="2004"/>
      <c r="L88" s="2004"/>
      <c r="M88" s="2004"/>
      <c r="N88" s="2004"/>
      <c r="O88" s="2004"/>
      <c r="P88" s="2004" t="s">
        <v>12419</v>
      </c>
      <c r="Q88" s="2004" t="s">
        <v>3042</v>
      </c>
      <c r="R88" s="2004" t="s">
        <v>12450</v>
      </c>
      <c r="S88" s="2004"/>
      <c r="T88" s="2004" t="s">
        <v>766</v>
      </c>
      <c r="U88" s="516" t="s">
        <v>3016</v>
      </c>
      <c r="V88" s="2004"/>
      <c r="W88" s="2004"/>
      <c r="X88" s="2004">
        <v>167</v>
      </c>
      <c r="Y88" s="2004">
        <v>167</v>
      </c>
      <c r="Z88" s="2004">
        <v>167</v>
      </c>
      <c r="AA88" s="2004">
        <v>167</v>
      </c>
      <c r="AB88" s="2004">
        <v>167</v>
      </c>
      <c r="AC88" s="2004"/>
      <c r="AD88" s="2004"/>
      <c r="AE88" s="2004">
        <v>221</v>
      </c>
      <c r="AF88" s="2004">
        <v>221</v>
      </c>
      <c r="AG88" s="2004">
        <v>221</v>
      </c>
      <c r="AH88" s="2004">
        <v>221</v>
      </c>
      <c r="AI88" s="2004">
        <v>221</v>
      </c>
      <c r="AJ88" s="2004"/>
      <c r="AK88" s="2004"/>
      <c r="AL88" s="2004">
        <v>113</v>
      </c>
      <c r="AM88" s="2004">
        <v>113</v>
      </c>
      <c r="AN88" s="2004">
        <v>113</v>
      </c>
      <c r="AO88" s="2004">
        <v>113</v>
      </c>
      <c r="AP88" s="2004">
        <v>113</v>
      </c>
      <c r="AQ88" s="2004"/>
      <c r="AR88" s="2004">
        <v>152</v>
      </c>
      <c r="AS88" s="2004">
        <v>161</v>
      </c>
      <c r="AT88" s="2004" t="s">
        <v>2337</v>
      </c>
      <c r="AU88" s="2004">
        <v>114</v>
      </c>
      <c r="AV88" s="2004" t="s">
        <v>2337</v>
      </c>
      <c r="AW88" s="2004">
        <v>89</v>
      </c>
      <c r="AX88" s="2004" t="s">
        <v>2337</v>
      </c>
      <c r="AY88" s="2004">
        <v>170</v>
      </c>
      <c r="AZ88" s="2004" t="s">
        <v>2334</v>
      </c>
      <c r="BA88" s="2004"/>
      <c r="BB88" s="2004" t="s">
        <v>12597</v>
      </c>
    </row>
    <row r="89" spans="1:54">
      <c r="A89" s="2004" t="s">
        <v>11098</v>
      </c>
      <c r="B89" s="2004" t="s">
        <v>9047</v>
      </c>
      <c r="C89" s="2004" t="s">
        <v>9066</v>
      </c>
      <c r="D89" s="2004" t="s">
        <v>9410</v>
      </c>
      <c r="E89" s="2004" t="s">
        <v>9424</v>
      </c>
      <c r="F89" s="2004" t="s">
        <v>12595</v>
      </c>
      <c r="G89" s="2004"/>
      <c r="H89" s="2004"/>
      <c r="I89" s="2004"/>
      <c r="J89" s="2004"/>
      <c r="K89" s="2004"/>
      <c r="L89" s="2004"/>
      <c r="M89" s="2004"/>
      <c r="N89" s="2004"/>
      <c r="O89" s="2004"/>
      <c r="P89" s="2004" t="s">
        <v>12423</v>
      </c>
      <c r="Q89" s="2004" t="s">
        <v>12598</v>
      </c>
      <c r="R89" s="2004" t="s">
        <v>12448</v>
      </c>
      <c r="S89" s="2004"/>
      <c r="T89" s="2004" t="s">
        <v>766</v>
      </c>
      <c r="U89" s="516" t="s">
        <v>3016</v>
      </c>
      <c r="V89" s="2004"/>
      <c r="W89" s="2004"/>
      <c r="X89" s="2004">
        <v>70</v>
      </c>
      <c r="Y89" s="2004">
        <v>70</v>
      </c>
      <c r="Z89" s="2004">
        <v>70</v>
      </c>
      <c r="AA89" s="2004">
        <v>70</v>
      </c>
      <c r="AB89" s="2004">
        <v>70</v>
      </c>
      <c r="AC89" s="2004"/>
      <c r="AD89" s="2004"/>
      <c r="AE89" s="2004">
        <v>100</v>
      </c>
      <c r="AF89" s="2004">
        <v>100</v>
      </c>
      <c r="AG89" s="2004">
        <v>100</v>
      </c>
      <c r="AH89" s="2004">
        <v>100</v>
      </c>
      <c r="AI89" s="2004">
        <v>100</v>
      </c>
      <c r="AJ89" s="2004"/>
      <c r="AK89" s="2004"/>
      <c r="AL89" s="2004">
        <v>40</v>
      </c>
      <c r="AM89" s="2004">
        <v>40</v>
      </c>
      <c r="AN89" s="2004">
        <v>40</v>
      </c>
      <c r="AO89" s="2004">
        <v>40</v>
      </c>
      <c r="AP89" s="2004">
        <v>40</v>
      </c>
      <c r="AQ89" s="2004"/>
      <c r="AR89" s="2004">
        <v>87</v>
      </c>
      <c r="AS89" s="2004">
        <v>97</v>
      </c>
      <c r="AT89" s="2004" t="s">
        <v>2337</v>
      </c>
      <c r="AU89" s="2004">
        <v>97</v>
      </c>
      <c r="AV89" s="2004" t="s">
        <v>2337</v>
      </c>
      <c r="AW89" s="2004">
        <v>96</v>
      </c>
      <c r="AX89" s="2004" t="s">
        <v>2337</v>
      </c>
      <c r="AY89" s="2004">
        <v>107</v>
      </c>
      <c r="AZ89" s="2004" t="s">
        <v>2334</v>
      </c>
      <c r="BA89" s="2004"/>
      <c r="BB89" s="2004" t="s">
        <v>12599</v>
      </c>
    </row>
    <row r="90" spans="1:54">
      <c r="A90" s="2004" t="s">
        <v>11098</v>
      </c>
      <c r="B90" s="2004" t="s">
        <v>9047</v>
      </c>
      <c r="C90" s="2004" t="s">
        <v>9066</v>
      </c>
      <c r="D90" s="2004" t="s">
        <v>9410</v>
      </c>
      <c r="E90" s="2004" t="s">
        <v>9424</v>
      </c>
      <c r="F90" s="2004" t="s">
        <v>12595</v>
      </c>
      <c r="G90" s="2004"/>
      <c r="H90" s="2004"/>
      <c r="I90" s="2004"/>
      <c r="J90" s="2004"/>
      <c r="K90" s="2004"/>
      <c r="L90" s="2004"/>
      <c r="M90" s="2004"/>
      <c r="N90" s="2004"/>
      <c r="O90" s="2004"/>
      <c r="P90" s="2004" t="s">
        <v>12430</v>
      </c>
      <c r="Q90" s="2004" t="s">
        <v>12600</v>
      </c>
      <c r="R90" s="2004" t="s">
        <v>12453</v>
      </c>
      <c r="S90" s="2004"/>
      <c r="T90" s="2004" t="s">
        <v>766</v>
      </c>
      <c r="U90" s="516" t="s">
        <v>3016</v>
      </c>
      <c r="V90" s="2004"/>
      <c r="W90" s="2004"/>
      <c r="X90" s="2004">
        <v>80</v>
      </c>
      <c r="Y90" s="2004">
        <v>80</v>
      </c>
      <c r="Z90" s="2004">
        <v>80</v>
      </c>
      <c r="AA90" s="2004">
        <v>80</v>
      </c>
      <c r="AB90" s="2004">
        <v>80</v>
      </c>
      <c r="AC90" s="2004"/>
      <c r="AD90" s="2004"/>
      <c r="AE90" s="2004">
        <v>110</v>
      </c>
      <c r="AF90" s="2004">
        <v>110</v>
      </c>
      <c r="AG90" s="2004">
        <v>110</v>
      </c>
      <c r="AH90" s="2004">
        <v>110</v>
      </c>
      <c r="AI90" s="2004">
        <v>110</v>
      </c>
      <c r="AJ90" s="2004"/>
      <c r="AK90" s="2004"/>
      <c r="AL90" s="2004">
        <v>50</v>
      </c>
      <c r="AM90" s="2004">
        <v>50</v>
      </c>
      <c r="AN90" s="2004">
        <v>50</v>
      </c>
      <c r="AO90" s="2004">
        <v>50</v>
      </c>
      <c r="AP90" s="2004">
        <v>50</v>
      </c>
      <c r="AQ90" s="2004"/>
      <c r="AR90" s="2004">
        <v>96</v>
      </c>
      <c r="AS90" s="2004">
        <v>96</v>
      </c>
      <c r="AT90" s="2004" t="s">
        <v>2337</v>
      </c>
      <c r="AU90" s="2004">
        <v>71</v>
      </c>
      <c r="AV90" s="2004" t="s">
        <v>2337</v>
      </c>
      <c r="AW90" s="2004">
        <v>68</v>
      </c>
      <c r="AX90" s="2004" t="s">
        <v>2337</v>
      </c>
      <c r="AY90" s="2004">
        <v>55</v>
      </c>
      <c r="AZ90" s="2004" t="s">
        <v>2337</v>
      </c>
      <c r="BA90" s="2004"/>
      <c r="BB90" s="2004" t="s">
        <v>12601</v>
      </c>
    </row>
    <row r="91" spans="1:54">
      <c r="A91" s="2004" t="s">
        <v>11098</v>
      </c>
      <c r="B91" s="2004" t="s">
        <v>9047</v>
      </c>
      <c r="C91" s="2004" t="s">
        <v>9066</v>
      </c>
      <c r="D91" s="2004" t="s">
        <v>9410</v>
      </c>
      <c r="E91" s="2004" t="s">
        <v>9424</v>
      </c>
      <c r="F91" s="2004" t="s">
        <v>12595</v>
      </c>
      <c r="G91" s="2004"/>
      <c r="H91" s="2004"/>
      <c r="I91" s="2004"/>
      <c r="J91" s="2004"/>
      <c r="K91" s="2004"/>
      <c r="L91" s="2004"/>
      <c r="M91" s="2004"/>
      <c r="N91" s="2004"/>
      <c r="O91" s="2004"/>
      <c r="P91" s="2004" t="s">
        <v>12434</v>
      </c>
      <c r="Q91" s="2004" t="s">
        <v>12602</v>
      </c>
      <c r="R91" s="2004" t="s">
        <v>12453</v>
      </c>
      <c r="S91" s="2004"/>
      <c r="T91" s="2004" t="s">
        <v>766</v>
      </c>
      <c r="U91" s="516" t="s">
        <v>3016</v>
      </c>
      <c r="V91" s="2004"/>
      <c r="W91" s="2004"/>
      <c r="X91" s="2004">
        <v>30</v>
      </c>
      <c r="Y91" s="2004">
        <v>30</v>
      </c>
      <c r="Z91" s="2004">
        <v>30</v>
      </c>
      <c r="AA91" s="2004">
        <v>30</v>
      </c>
      <c r="AB91" s="2004">
        <v>30</v>
      </c>
      <c r="AC91" s="2004"/>
      <c r="AD91" s="2004"/>
      <c r="AE91" s="2004">
        <v>45</v>
      </c>
      <c r="AF91" s="2004">
        <v>45</v>
      </c>
      <c r="AG91" s="2004">
        <v>45</v>
      </c>
      <c r="AH91" s="2004">
        <v>45</v>
      </c>
      <c r="AI91" s="2004">
        <v>45</v>
      </c>
      <c r="AJ91" s="2004"/>
      <c r="AK91" s="2004"/>
      <c r="AL91" s="2004">
        <v>15</v>
      </c>
      <c r="AM91" s="2004">
        <v>15</v>
      </c>
      <c r="AN91" s="2004">
        <v>15</v>
      </c>
      <c r="AO91" s="2004">
        <v>15</v>
      </c>
      <c r="AP91" s="2004">
        <v>15</v>
      </c>
      <c r="AQ91" s="2004"/>
      <c r="AR91" s="2004">
        <v>21</v>
      </c>
      <c r="AS91" s="2004">
        <v>16</v>
      </c>
      <c r="AT91" s="2004" t="s">
        <v>2337</v>
      </c>
      <c r="AU91" s="2004">
        <v>16</v>
      </c>
      <c r="AV91" s="2004" t="s">
        <v>2337</v>
      </c>
      <c r="AW91" s="2004">
        <v>12</v>
      </c>
      <c r="AX91" s="2004" t="s">
        <v>2337</v>
      </c>
      <c r="AY91" s="2004">
        <v>1</v>
      </c>
      <c r="AZ91" s="2004" t="s">
        <v>2337</v>
      </c>
      <c r="BA91" s="2004"/>
      <c r="BB91" s="2004" t="s">
        <v>12603</v>
      </c>
    </row>
    <row r="92" spans="1:54">
      <c r="A92" s="2004" t="s">
        <v>11098</v>
      </c>
      <c r="B92" s="2004" t="s">
        <v>9047</v>
      </c>
      <c r="C92" s="2004" t="s">
        <v>9066</v>
      </c>
      <c r="D92" s="2004" t="s">
        <v>9410</v>
      </c>
      <c r="E92" s="2004" t="s">
        <v>9424</v>
      </c>
      <c r="F92" s="2004" t="s">
        <v>12595</v>
      </c>
      <c r="G92" s="2004"/>
      <c r="H92" s="2004"/>
      <c r="I92" s="2004"/>
      <c r="J92" s="2004"/>
      <c r="K92" s="2004"/>
      <c r="L92" s="2004"/>
      <c r="M92" s="2004"/>
      <c r="N92" s="2004"/>
      <c r="O92" s="2004"/>
      <c r="P92" s="2004" t="s">
        <v>12486</v>
      </c>
      <c r="Q92" s="2004" t="s">
        <v>12455</v>
      </c>
      <c r="R92" s="2004" t="s">
        <v>12455</v>
      </c>
      <c r="S92" s="2004"/>
      <c r="T92" s="2004" t="s">
        <v>766</v>
      </c>
      <c r="U92" s="516" t="s">
        <v>3016</v>
      </c>
      <c r="V92" s="2004"/>
      <c r="W92" s="2004"/>
      <c r="X92" s="2004">
        <v>3600</v>
      </c>
      <c r="Y92" s="2004">
        <v>3600</v>
      </c>
      <c r="Z92" s="2004">
        <v>3600</v>
      </c>
      <c r="AA92" s="2004">
        <v>3600</v>
      </c>
      <c r="AB92" s="2004">
        <v>3600</v>
      </c>
      <c r="AC92" s="2004"/>
      <c r="AD92" s="2004"/>
      <c r="AE92" s="2004">
        <v>4464</v>
      </c>
      <c r="AF92" s="2004">
        <v>4464</v>
      </c>
      <c r="AG92" s="2004">
        <v>4464</v>
      </c>
      <c r="AH92" s="2004">
        <v>4464</v>
      </c>
      <c r="AI92" s="2004">
        <v>4464</v>
      </c>
      <c r="AJ92" s="2004"/>
      <c r="AK92" s="2004"/>
      <c r="AL92" s="2004">
        <v>2736</v>
      </c>
      <c r="AM92" s="2004">
        <v>2736</v>
      </c>
      <c r="AN92" s="2004">
        <v>2736</v>
      </c>
      <c r="AO92" s="2004">
        <v>2736</v>
      </c>
      <c r="AP92" s="2004">
        <v>2736</v>
      </c>
      <c r="AQ92" s="2004"/>
      <c r="AR92" s="2004">
        <v>3411</v>
      </c>
      <c r="AS92" s="2004">
        <v>3754</v>
      </c>
      <c r="AT92" s="2004" t="s">
        <v>2337</v>
      </c>
      <c r="AU92" s="2004">
        <v>3533</v>
      </c>
      <c r="AV92" s="2004" t="s">
        <v>2337</v>
      </c>
      <c r="AW92" s="2004">
        <v>3285</v>
      </c>
      <c r="AX92" s="2004" t="s">
        <v>2337</v>
      </c>
      <c r="AY92" s="2004">
        <v>3136</v>
      </c>
      <c r="AZ92" s="2004" t="s">
        <v>2337</v>
      </c>
      <c r="BA92" s="2004"/>
      <c r="BB92" s="2004" t="s">
        <v>12604</v>
      </c>
    </row>
    <row r="93" spans="1:54">
      <c r="A93" s="2004" t="s">
        <v>11098</v>
      </c>
      <c r="B93" s="2004" t="s">
        <v>9047</v>
      </c>
      <c r="C93" s="2004" t="s">
        <v>9066</v>
      </c>
      <c r="D93" s="2004" t="s">
        <v>9410</v>
      </c>
      <c r="E93" s="2004" t="s">
        <v>9424</v>
      </c>
      <c r="F93" s="2004" t="s">
        <v>12595</v>
      </c>
      <c r="G93" s="2004"/>
      <c r="H93" s="2004"/>
      <c r="I93" s="2004"/>
      <c r="J93" s="2004"/>
      <c r="K93" s="2004"/>
      <c r="L93" s="2004"/>
      <c r="M93" s="2004"/>
      <c r="N93" s="2004"/>
      <c r="O93" s="2004"/>
      <c r="P93" s="2004" t="s">
        <v>12489</v>
      </c>
      <c r="Q93" s="2004" t="s">
        <v>12605</v>
      </c>
      <c r="R93" s="2004" t="s">
        <v>12606</v>
      </c>
      <c r="S93" s="2004"/>
      <c r="T93" s="2004" t="s">
        <v>766</v>
      </c>
      <c r="U93" s="516" t="s">
        <v>3016</v>
      </c>
      <c r="V93" s="2004"/>
      <c r="W93" s="2004"/>
      <c r="X93" s="2004">
        <v>284</v>
      </c>
      <c r="Y93" s="2004">
        <v>284</v>
      </c>
      <c r="Z93" s="2004">
        <v>284</v>
      </c>
      <c r="AA93" s="2004">
        <v>284</v>
      </c>
      <c r="AB93" s="2004">
        <v>284</v>
      </c>
      <c r="AC93" s="2004"/>
      <c r="AD93" s="2004"/>
      <c r="AE93" s="2004">
        <v>376</v>
      </c>
      <c r="AF93" s="2004">
        <v>376</v>
      </c>
      <c r="AG93" s="2004">
        <v>376</v>
      </c>
      <c r="AH93" s="2004">
        <v>376</v>
      </c>
      <c r="AI93" s="2004">
        <v>376</v>
      </c>
      <c r="AJ93" s="2004"/>
      <c r="AK93" s="2004"/>
      <c r="AL93" s="2004">
        <v>192</v>
      </c>
      <c r="AM93" s="2004">
        <v>192</v>
      </c>
      <c r="AN93" s="2004">
        <v>192</v>
      </c>
      <c r="AO93" s="2004">
        <v>192</v>
      </c>
      <c r="AP93" s="2004">
        <v>192</v>
      </c>
      <c r="AQ93" s="2004"/>
      <c r="AR93" s="2004">
        <v>320</v>
      </c>
      <c r="AS93" s="2004">
        <v>258</v>
      </c>
      <c r="AT93" s="2004" t="s">
        <v>2337</v>
      </c>
      <c r="AU93" s="2004">
        <v>262</v>
      </c>
      <c r="AV93" s="2004" t="s">
        <v>2337</v>
      </c>
      <c r="AW93" s="2004">
        <v>244</v>
      </c>
      <c r="AX93" s="2004" t="s">
        <v>2337</v>
      </c>
      <c r="AY93" s="2004">
        <v>126</v>
      </c>
      <c r="AZ93" s="2004" t="s">
        <v>2337</v>
      </c>
      <c r="BA93" s="2004"/>
      <c r="BB93" s="2004" t="s">
        <v>12607</v>
      </c>
    </row>
    <row r="94" spans="1:54">
      <c r="A94" s="2004" t="s">
        <v>11102</v>
      </c>
      <c r="B94" s="2004" t="s">
        <v>9047</v>
      </c>
      <c r="C94" s="2004" t="s">
        <v>9066</v>
      </c>
      <c r="D94" s="2004" t="s">
        <v>9410</v>
      </c>
      <c r="E94" s="2004" t="s">
        <v>10889</v>
      </c>
      <c r="F94" s="2004" t="s">
        <v>12608</v>
      </c>
      <c r="G94" s="2004" t="s">
        <v>9210</v>
      </c>
      <c r="H94" s="2004" t="s">
        <v>9477</v>
      </c>
      <c r="I94" s="2004" t="s">
        <v>9546</v>
      </c>
      <c r="J94" s="2004" t="s">
        <v>2338</v>
      </c>
      <c r="K94" s="2004" t="s">
        <v>2338</v>
      </c>
      <c r="L94" s="2004" t="s">
        <v>2338</v>
      </c>
      <c r="M94" s="2004" t="s">
        <v>2338</v>
      </c>
      <c r="N94" s="2004" t="s">
        <v>2338</v>
      </c>
      <c r="O94" s="2004" t="s">
        <v>2338</v>
      </c>
      <c r="P94" s="2004" t="s">
        <v>12417</v>
      </c>
      <c r="Q94" s="2004" t="s">
        <v>12608</v>
      </c>
      <c r="R94" s="2004"/>
      <c r="S94" s="2004"/>
      <c r="T94" s="2004" t="s">
        <v>9395</v>
      </c>
      <c r="U94" s="2004" t="s">
        <v>9203</v>
      </c>
      <c r="V94" s="2004"/>
      <c r="W94" s="2004"/>
      <c r="X94" s="2004"/>
      <c r="Y94" s="2004"/>
      <c r="Z94" s="2004"/>
      <c r="AA94" s="2004"/>
      <c r="AB94" s="2004"/>
      <c r="AC94" s="2004"/>
      <c r="AD94" s="2004"/>
      <c r="AE94" s="2004"/>
      <c r="AF94" s="2004"/>
      <c r="AG94" s="2004"/>
      <c r="AH94" s="2004"/>
      <c r="AI94" s="2004"/>
      <c r="AJ94" s="2004"/>
      <c r="AK94" s="2004"/>
      <c r="AL94" s="2004"/>
      <c r="AM94" s="2004"/>
      <c r="AN94" s="2004"/>
      <c r="AO94" s="2004"/>
      <c r="AP94" s="2004"/>
      <c r="AQ94" s="2004"/>
      <c r="AR94" s="2004" t="s">
        <v>2338</v>
      </c>
      <c r="AS94" s="2004" t="s">
        <v>2338</v>
      </c>
      <c r="AT94" s="2004" t="s">
        <v>2337</v>
      </c>
      <c r="AU94" s="2004" t="s">
        <v>2338</v>
      </c>
      <c r="AV94" s="2004" t="s">
        <v>2337</v>
      </c>
      <c r="AW94" s="2004" t="s">
        <v>2338</v>
      </c>
      <c r="AX94" s="2004" t="s">
        <v>2337</v>
      </c>
      <c r="AY94" s="2004" t="s">
        <v>2338</v>
      </c>
      <c r="AZ94" s="2004" t="s">
        <v>2337</v>
      </c>
      <c r="BA94" s="2004"/>
      <c r="BB94" s="2004" t="s">
        <v>12609</v>
      </c>
    </row>
    <row r="95" spans="1:54">
      <c r="A95" s="2004" t="s">
        <v>11102</v>
      </c>
      <c r="B95" s="2004" t="s">
        <v>9047</v>
      </c>
      <c r="C95" s="2004" t="s">
        <v>9066</v>
      </c>
      <c r="D95" s="2004" t="s">
        <v>9410</v>
      </c>
      <c r="E95" s="2004" t="s">
        <v>10889</v>
      </c>
      <c r="F95" s="2004" t="s">
        <v>12608</v>
      </c>
      <c r="G95" s="2004"/>
      <c r="H95" s="2004"/>
      <c r="I95" s="2004"/>
      <c r="J95" s="2004"/>
      <c r="K95" s="2004"/>
      <c r="L95" s="2004"/>
      <c r="M95" s="2004"/>
      <c r="N95" s="2004"/>
      <c r="O95" s="2004"/>
      <c r="P95" s="2004" t="s">
        <v>12419</v>
      </c>
      <c r="Q95" s="2004" t="s">
        <v>12610</v>
      </c>
      <c r="R95" s="2004" t="s">
        <v>12462</v>
      </c>
      <c r="S95" s="2004"/>
      <c r="T95" s="2004" t="s">
        <v>734</v>
      </c>
      <c r="U95" s="2004">
        <v>2</v>
      </c>
      <c r="V95" s="2004"/>
      <c r="W95" s="2004"/>
      <c r="X95" s="2004">
        <v>7.2</v>
      </c>
      <c r="Y95" s="2004">
        <v>7.2</v>
      </c>
      <c r="Z95" s="2004">
        <v>7.2</v>
      </c>
      <c r="AA95" s="2004">
        <v>7.2</v>
      </c>
      <c r="AB95" s="2004">
        <v>7.2</v>
      </c>
      <c r="AC95" s="2004"/>
      <c r="AD95" s="2004"/>
      <c r="AE95" s="2004">
        <v>9.6999999999999993</v>
      </c>
      <c r="AF95" s="2004">
        <v>9.6999999999999993</v>
      </c>
      <c r="AG95" s="2004">
        <v>9.6999999999999993</v>
      </c>
      <c r="AH95" s="2004">
        <v>9.6999999999999993</v>
      </c>
      <c r="AI95" s="2004">
        <v>9.6999999999999993</v>
      </c>
      <c r="AJ95" s="2004"/>
      <c r="AK95" s="2004"/>
      <c r="AL95" s="2004">
        <v>4.7</v>
      </c>
      <c r="AM95" s="2004">
        <v>4.7</v>
      </c>
      <c r="AN95" s="2004">
        <v>4.7</v>
      </c>
      <c r="AO95" s="2004">
        <v>4.7</v>
      </c>
      <c r="AP95" s="2004">
        <v>4.7</v>
      </c>
      <c r="AQ95" s="2004"/>
      <c r="AR95" s="2004">
        <v>3.93</v>
      </c>
      <c r="AS95" s="2004">
        <v>4.2300000000000004</v>
      </c>
      <c r="AT95" s="2004" t="s">
        <v>2337</v>
      </c>
      <c r="AU95" s="2004">
        <v>1.6</v>
      </c>
      <c r="AV95" s="2004" t="s">
        <v>2337</v>
      </c>
      <c r="AW95" s="2004">
        <v>2.9</v>
      </c>
      <c r="AX95" s="2004" t="s">
        <v>2337</v>
      </c>
      <c r="AY95" s="2004">
        <v>1.3029315960912058</v>
      </c>
      <c r="AZ95" s="2004" t="s">
        <v>2337</v>
      </c>
      <c r="BA95" s="2004"/>
      <c r="BB95" s="2004" t="s">
        <v>12611</v>
      </c>
    </row>
    <row r="96" spans="1:54">
      <c r="A96" s="2004" t="s">
        <v>11102</v>
      </c>
      <c r="B96" s="2004" t="s">
        <v>9047</v>
      </c>
      <c r="C96" s="2004" t="s">
        <v>9066</v>
      </c>
      <c r="D96" s="2004" t="s">
        <v>9410</v>
      </c>
      <c r="E96" s="2004" t="s">
        <v>10889</v>
      </c>
      <c r="F96" s="2004" t="s">
        <v>12608</v>
      </c>
      <c r="G96" s="2004"/>
      <c r="H96" s="2004"/>
      <c r="I96" s="2004"/>
      <c r="J96" s="2004"/>
      <c r="K96" s="2004"/>
      <c r="L96" s="2004"/>
      <c r="M96" s="2004"/>
      <c r="N96" s="2004"/>
      <c r="O96" s="2004"/>
      <c r="P96" s="2004" t="s">
        <v>12423</v>
      </c>
      <c r="Q96" s="2004" t="s">
        <v>12612</v>
      </c>
      <c r="R96" s="2004" t="s">
        <v>12459</v>
      </c>
      <c r="S96" s="2004"/>
      <c r="T96" s="2004" t="s">
        <v>734</v>
      </c>
      <c r="U96" s="2004">
        <v>2</v>
      </c>
      <c r="V96" s="2004"/>
      <c r="W96" s="2004"/>
      <c r="X96" s="2004">
        <v>0.36</v>
      </c>
      <c r="Y96" s="2004">
        <v>0.36</v>
      </c>
      <c r="Z96" s="2004">
        <v>0.36</v>
      </c>
      <c r="AA96" s="2004">
        <v>0.36</v>
      </c>
      <c r="AB96" s="2004">
        <v>0.36</v>
      </c>
      <c r="AC96" s="2004"/>
      <c r="AD96" s="2004"/>
      <c r="AE96" s="2004">
        <v>0.56999999999999995</v>
      </c>
      <c r="AF96" s="2004">
        <v>0.56999999999999995</v>
      </c>
      <c r="AG96" s="2004">
        <v>0.56999999999999995</v>
      </c>
      <c r="AH96" s="2004">
        <v>0.56999999999999995</v>
      </c>
      <c r="AI96" s="2004">
        <v>0.56999999999999995</v>
      </c>
      <c r="AJ96" s="2004"/>
      <c r="AK96" s="2004"/>
      <c r="AL96" s="2004">
        <v>0.15</v>
      </c>
      <c r="AM96" s="2004">
        <v>0.15</v>
      </c>
      <c r="AN96" s="2004">
        <v>0.15</v>
      </c>
      <c r="AO96" s="2004">
        <v>0.15</v>
      </c>
      <c r="AP96" s="2004">
        <v>0.15</v>
      </c>
      <c r="AQ96" s="2004"/>
      <c r="AR96" s="2004">
        <v>0.27</v>
      </c>
      <c r="AS96" s="2004">
        <v>0.46</v>
      </c>
      <c r="AT96" s="2004" t="s">
        <v>2337</v>
      </c>
      <c r="AU96" s="2004">
        <v>0.08</v>
      </c>
      <c r="AV96" s="2004" t="s">
        <v>2337</v>
      </c>
      <c r="AW96" s="2004">
        <v>0.06</v>
      </c>
      <c r="AX96" s="2004" t="s">
        <v>2337</v>
      </c>
      <c r="AY96" s="2004">
        <v>0.10933791973831708</v>
      </c>
      <c r="AZ96" s="2004" t="s">
        <v>2337</v>
      </c>
      <c r="BA96" s="2004"/>
      <c r="BB96" s="2004" t="s">
        <v>12613</v>
      </c>
    </row>
    <row r="97" spans="1:54">
      <c r="A97" s="2004" t="s">
        <v>11102</v>
      </c>
      <c r="B97" s="2004" t="s">
        <v>9047</v>
      </c>
      <c r="C97" s="2004" t="s">
        <v>9066</v>
      </c>
      <c r="D97" s="2004" t="s">
        <v>9410</v>
      </c>
      <c r="E97" s="2004" t="s">
        <v>10889</v>
      </c>
      <c r="F97" s="2004" t="s">
        <v>12608</v>
      </c>
      <c r="G97" s="2004"/>
      <c r="H97" s="2004"/>
      <c r="I97" s="2004"/>
      <c r="J97" s="2004"/>
      <c r="K97" s="2004"/>
      <c r="L97" s="2004"/>
      <c r="M97" s="2004"/>
      <c r="N97" s="2004"/>
      <c r="O97" s="2004"/>
      <c r="P97" s="2004" t="s">
        <v>12430</v>
      </c>
      <c r="Q97" s="2004" t="s">
        <v>12593</v>
      </c>
      <c r="R97" s="2004" t="s">
        <v>12614</v>
      </c>
      <c r="S97" s="2004"/>
      <c r="T97" s="2004" t="s">
        <v>766</v>
      </c>
      <c r="U97" s="516" t="s">
        <v>3016</v>
      </c>
      <c r="V97" s="2004"/>
      <c r="W97" s="2004"/>
      <c r="X97" s="2004">
        <v>7335</v>
      </c>
      <c r="Y97" s="2004">
        <v>7335</v>
      </c>
      <c r="Z97" s="2004">
        <v>7335</v>
      </c>
      <c r="AA97" s="2004">
        <v>7335</v>
      </c>
      <c r="AB97" s="2004">
        <v>7335</v>
      </c>
      <c r="AC97" s="2004"/>
      <c r="AD97" s="2004"/>
      <c r="AE97" s="2004">
        <v>8841</v>
      </c>
      <c r="AF97" s="2004">
        <v>8841</v>
      </c>
      <c r="AG97" s="2004">
        <v>8841</v>
      </c>
      <c r="AH97" s="2004">
        <v>8841</v>
      </c>
      <c r="AI97" s="2004">
        <v>8841</v>
      </c>
      <c r="AJ97" s="2004"/>
      <c r="AK97" s="2004"/>
      <c r="AL97" s="2004">
        <v>5829</v>
      </c>
      <c r="AM97" s="2004">
        <v>5829</v>
      </c>
      <c r="AN97" s="2004">
        <v>5829</v>
      </c>
      <c r="AO97" s="2004">
        <v>5829</v>
      </c>
      <c r="AP97" s="2004">
        <v>5829</v>
      </c>
      <c r="AQ97" s="2004"/>
      <c r="AR97" s="2004">
        <v>7267</v>
      </c>
      <c r="AS97" s="2004">
        <v>8527</v>
      </c>
      <c r="AT97" s="2004" t="s">
        <v>2337</v>
      </c>
      <c r="AU97" s="2004">
        <v>8428</v>
      </c>
      <c r="AV97" s="2004" t="s">
        <v>2337</v>
      </c>
      <c r="AW97" s="2004">
        <v>6109</v>
      </c>
      <c r="AX97" s="2004" t="s">
        <v>2337</v>
      </c>
      <c r="AY97" s="2004">
        <v>7073</v>
      </c>
      <c r="AZ97" s="2004" t="s">
        <v>2337</v>
      </c>
      <c r="BA97" s="2004"/>
      <c r="BB97" s="2004" t="s">
        <v>12594</v>
      </c>
    </row>
    <row r="98" spans="1:54">
      <c r="A98" s="2004" t="s">
        <v>11214</v>
      </c>
      <c r="B98" s="2004" t="s">
        <v>9047</v>
      </c>
      <c r="C98" s="2004" t="s">
        <v>9073</v>
      </c>
      <c r="D98" s="2004" t="s">
        <v>9194</v>
      </c>
      <c r="E98" s="2004" t="s">
        <v>11216</v>
      </c>
      <c r="F98" s="2004" t="s">
        <v>11218</v>
      </c>
      <c r="G98" s="2004" t="s">
        <v>9210</v>
      </c>
      <c r="H98" s="2004" t="s">
        <v>9260</v>
      </c>
      <c r="I98" s="2004" t="s">
        <v>9546</v>
      </c>
      <c r="J98" s="2004" t="s">
        <v>2338</v>
      </c>
      <c r="K98" s="2004" t="s">
        <v>2338</v>
      </c>
      <c r="L98" s="2004" t="s">
        <v>2338</v>
      </c>
      <c r="M98" s="2004" t="s">
        <v>2338</v>
      </c>
      <c r="N98" s="2004" t="s">
        <v>2338</v>
      </c>
      <c r="O98" s="2004" t="s">
        <v>2338</v>
      </c>
      <c r="P98" s="2004" t="s">
        <v>12417</v>
      </c>
      <c r="Q98" s="2004" t="s">
        <v>11218</v>
      </c>
      <c r="R98" s="2004"/>
      <c r="S98" s="2004"/>
      <c r="T98" s="2004" t="s">
        <v>9395</v>
      </c>
      <c r="U98" s="2004" t="s">
        <v>9203</v>
      </c>
      <c r="V98" s="2004"/>
      <c r="W98" s="2004"/>
      <c r="X98" s="2004"/>
      <c r="Y98" s="2004"/>
      <c r="Z98" s="2004"/>
      <c r="AA98" s="2004"/>
      <c r="AB98" s="2004"/>
      <c r="AC98" s="2004"/>
      <c r="AD98" s="2004"/>
      <c r="AE98" s="2004"/>
      <c r="AF98" s="2004"/>
      <c r="AG98" s="2004"/>
      <c r="AH98" s="2004"/>
      <c r="AI98" s="2004"/>
      <c r="AJ98" s="2004"/>
      <c r="AK98" s="2004"/>
      <c r="AL98" s="2004"/>
      <c r="AM98" s="2004"/>
      <c r="AN98" s="2004"/>
      <c r="AO98" s="2004"/>
      <c r="AP98" s="2004"/>
      <c r="AQ98" s="2004"/>
      <c r="AR98" s="2004" t="s">
        <v>2338</v>
      </c>
      <c r="AS98" s="2004" t="s">
        <v>9548</v>
      </c>
      <c r="AT98" s="2004" t="s">
        <v>2334</v>
      </c>
      <c r="AU98" s="2004" t="s">
        <v>9548</v>
      </c>
      <c r="AV98" s="2004" t="s">
        <v>2334</v>
      </c>
      <c r="AW98" s="2004" t="s">
        <v>9548</v>
      </c>
      <c r="AX98" s="2004" t="s">
        <v>2334</v>
      </c>
      <c r="AY98" s="2004" t="s">
        <v>9548</v>
      </c>
      <c r="AZ98" s="2004" t="s">
        <v>2334</v>
      </c>
      <c r="BA98" s="2004"/>
      <c r="BB98" s="2004" t="s">
        <v>12615</v>
      </c>
    </row>
    <row r="99" spans="1:54">
      <c r="A99" s="2004" t="s">
        <v>11214</v>
      </c>
      <c r="B99" s="2004" t="s">
        <v>9047</v>
      </c>
      <c r="C99" s="2004" t="s">
        <v>9073</v>
      </c>
      <c r="D99" s="2004" t="s">
        <v>9194</v>
      </c>
      <c r="E99" s="2004" t="s">
        <v>11216</v>
      </c>
      <c r="F99" s="2004" t="s">
        <v>11218</v>
      </c>
      <c r="G99" s="2004"/>
      <c r="H99" s="2004"/>
      <c r="I99" s="2004"/>
      <c r="J99" s="2004"/>
      <c r="K99" s="2004"/>
      <c r="L99" s="2004"/>
      <c r="M99" s="2004"/>
      <c r="N99" s="2004"/>
      <c r="O99" s="2004"/>
      <c r="P99" s="2004" t="s">
        <v>12419</v>
      </c>
      <c r="Q99" s="2004" t="s">
        <v>12477</v>
      </c>
      <c r="R99" s="2004" t="s">
        <v>12425</v>
      </c>
      <c r="S99" s="2004"/>
      <c r="T99" s="2004" t="s">
        <v>766</v>
      </c>
      <c r="U99" s="516" t="s">
        <v>3016</v>
      </c>
      <c r="V99" s="2004">
        <v>11000</v>
      </c>
      <c r="W99" s="2004">
        <v>8840</v>
      </c>
      <c r="X99" s="2004">
        <v>8840</v>
      </c>
      <c r="Y99" s="2004">
        <v>8840</v>
      </c>
      <c r="Z99" s="2004">
        <v>8840</v>
      </c>
      <c r="AA99" s="2004">
        <v>8840</v>
      </c>
      <c r="AB99" s="2004">
        <v>8840</v>
      </c>
      <c r="AC99" s="2004"/>
      <c r="AD99" s="2004"/>
      <c r="AE99" s="2004">
        <v>11206</v>
      </c>
      <c r="AF99" s="2004">
        <v>11206</v>
      </c>
      <c r="AG99" s="2004">
        <v>11206</v>
      </c>
      <c r="AH99" s="2004">
        <v>11206</v>
      </c>
      <c r="AI99" s="2004">
        <v>11206</v>
      </c>
      <c r="AJ99" s="2004" t="s">
        <v>4140</v>
      </c>
      <c r="AK99" s="2004" t="s">
        <v>4140</v>
      </c>
      <c r="AL99" s="2004" t="s">
        <v>4140</v>
      </c>
      <c r="AM99" s="2004" t="s">
        <v>4140</v>
      </c>
      <c r="AN99" s="2004" t="s">
        <v>4140</v>
      </c>
      <c r="AO99" s="2004" t="s">
        <v>4140</v>
      </c>
      <c r="AP99" s="2004" t="s">
        <v>4140</v>
      </c>
      <c r="AQ99" s="2004">
        <v>13572</v>
      </c>
      <c r="AR99" s="2004">
        <v>8822</v>
      </c>
      <c r="AS99" s="2004">
        <v>6926</v>
      </c>
      <c r="AT99" s="2004" t="s">
        <v>2337</v>
      </c>
      <c r="AU99" s="2004">
        <v>8326</v>
      </c>
      <c r="AV99" s="2004" t="s">
        <v>2337</v>
      </c>
      <c r="AW99" s="2004">
        <v>8546</v>
      </c>
      <c r="AX99" s="2004" t="s">
        <v>2337</v>
      </c>
      <c r="AY99" s="2004">
        <v>10388</v>
      </c>
      <c r="AZ99" s="2004" t="s">
        <v>2334</v>
      </c>
      <c r="BA99" s="2004"/>
      <c r="BB99" s="2004" t="s">
        <v>12616</v>
      </c>
    </row>
    <row r="100" spans="1:54">
      <c r="A100" s="2004" t="s">
        <v>11214</v>
      </c>
      <c r="B100" s="2004" t="s">
        <v>9047</v>
      </c>
      <c r="C100" s="2004" t="s">
        <v>9073</v>
      </c>
      <c r="D100" s="2004" t="s">
        <v>9194</v>
      </c>
      <c r="E100" s="2004" t="s">
        <v>11216</v>
      </c>
      <c r="F100" s="2004" t="s">
        <v>11218</v>
      </c>
      <c r="G100" s="2004"/>
      <c r="H100" s="2004"/>
      <c r="I100" s="2004"/>
      <c r="J100" s="2004"/>
      <c r="K100" s="2004"/>
      <c r="L100" s="2004"/>
      <c r="M100" s="2004"/>
      <c r="N100" s="2004"/>
      <c r="O100" s="2004"/>
      <c r="P100" s="2004" t="s">
        <v>12423</v>
      </c>
      <c r="Q100" s="2004" t="s">
        <v>12617</v>
      </c>
      <c r="R100" s="2004" t="s">
        <v>12421</v>
      </c>
      <c r="S100" s="2004"/>
      <c r="T100" s="2004" t="s">
        <v>766</v>
      </c>
      <c r="U100" s="516" t="s">
        <v>3016</v>
      </c>
      <c r="V100" s="2004">
        <v>1568</v>
      </c>
      <c r="W100" s="2004">
        <v>1354</v>
      </c>
      <c r="X100" s="2004">
        <v>1354</v>
      </c>
      <c r="Y100" s="2004">
        <v>1354</v>
      </c>
      <c r="Z100" s="2004">
        <v>1354</v>
      </c>
      <c r="AA100" s="2004">
        <v>1354</v>
      </c>
      <c r="AB100" s="2004">
        <v>1354</v>
      </c>
      <c r="AC100" s="2004"/>
      <c r="AD100" s="2004"/>
      <c r="AE100" s="2004">
        <v>3055</v>
      </c>
      <c r="AF100" s="2004">
        <v>3055</v>
      </c>
      <c r="AG100" s="2004">
        <v>3055</v>
      </c>
      <c r="AH100" s="2004">
        <v>3055</v>
      </c>
      <c r="AI100" s="2004">
        <v>3055</v>
      </c>
      <c r="AJ100" s="2004" t="s">
        <v>4140</v>
      </c>
      <c r="AK100" s="2004" t="s">
        <v>4140</v>
      </c>
      <c r="AL100" s="2004" t="s">
        <v>4140</v>
      </c>
      <c r="AM100" s="2004" t="s">
        <v>4140</v>
      </c>
      <c r="AN100" s="2004" t="s">
        <v>4140</v>
      </c>
      <c r="AO100" s="2004" t="s">
        <v>4140</v>
      </c>
      <c r="AP100" s="2004" t="s">
        <v>4140</v>
      </c>
      <c r="AQ100" s="2004">
        <v>4756</v>
      </c>
      <c r="AR100" s="2004">
        <v>3124</v>
      </c>
      <c r="AS100" s="2004">
        <v>15151</v>
      </c>
      <c r="AT100" s="2004" t="s">
        <v>2334</v>
      </c>
      <c r="AU100" s="2004">
        <v>6051</v>
      </c>
      <c r="AV100" s="2004" t="s">
        <v>2334</v>
      </c>
      <c r="AW100" s="2004">
        <v>23457</v>
      </c>
      <c r="AX100" s="2004" t="s">
        <v>2334</v>
      </c>
      <c r="AY100" s="2004">
        <v>16418</v>
      </c>
      <c r="AZ100" s="2004" t="s">
        <v>2334</v>
      </c>
      <c r="BA100" s="2004"/>
      <c r="BB100" s="2004" t="s">
        <v>12618</v>
      </c>
    </row>
    <row r="101" spans="1:54">
      <c r="A101" s="2004" t="s">
        <v>11214</v>
      </c>
      <c r="B101" s="2004" t="s">
        <v>9047</v>
      </c>
      <c r="C101" s="2004" t="s">
        <v>9073</v>
      </c>
      <c r="D101" s="2004" t="s">
        <v>9194</v>
      </c>
      <c r="E101" s="2004" t="s">
        <v>11216</v>
      </c>
      <c r="F101" s="2004" t="s">
        <v>11218</v>
      </c>
      <c r="G101" s="2004"/>
      <c r="H101" s="2004"/>
      <c r="I101" s="2004"/>
      <c r="J101" s="2004"/>
      <c r="K101" s="2004"/>
      <c r="L101" s="2004"/>
      <c r="M101" s="2004"/>
      <c r="N101" s="2004"/>
      <c r="O101" s="2004"/>
      <c r="P101" s="2004" t="s">
        <v>12430</v>
      </c>
      <c r="Q101" s="2004" t="s">
        <v>12619</v>
      </c>
      <c r="R101" s="2004" t="s">
        <v>12482</v>
      </c>
      <c r="S101" s="2004"/>
      <c r="T101" s="2004" t="s">
        <v>734</v>
      </c>
      <c r="U101" s="2004">
        <v>2</v>
      </c>
      <c r="V101" s="2004"/>
      <c r="W101" s="2004">
        <v>0.16</v>
      </c>
      <c r="X101" s="2004">
        <v>0.16</v>
      </c>
      <c r="Y101" s="2004">
        <v>0.16</v>
      </c>
      <c r="Z101" s="2004">
        <v>0.16</v>
      </c>
      <c r="AA101" s="2004">
        <v>0.16</v>
      </c>
      <c r="AB101" s="2004">
        <v>0.16</v>
      </c>
      <c r="AC101" s="2004"/>
      <c r="AD101" s="2004"/>
      <c r="AE101" s="2004">
        <v>0.23</v>
      </c>
      <c r="AF101" s="2004">
        <v>0.23</v>
      </c>
      <c r="AG101" s="2004">
        <v>0.23</v>
      </c>
      <c r="AH101" s="2004">
        <v>0.23</v>
      </c>
      <c r="AI101" s="2004">
        <v>0.23</v>
      </c>
      <c r="AJ101" s="2004" t="s">
        <v>4140</v>
      </c>
      <c r="AK101" s="2004" t="s">
        <v>4140</v>
      </c>
      <c r="AL101" s="2004" t="s">
        <v>4140</v>
      </c>
      <c r="AM101" s="2004" t="s">
        <v>4140</v>
      </c>
      <c r="AN101" s="2004" t="s">
        <v>4140</v>
      </c>
      <c r="AO101" s="2004" t="s">
        <v>4140</v>
      </c>
      <c r="AP101" s="2004" t="s">
        <v>4140</v>
      </c>
      <c r="AQ101" s="2004">
        <v>0.3</v>
      </c>
      <c r="AR101" s="2004">
        <v>0.05</v>
      </c>
      <c r="AS101" s="2004">
        <v>0.18</v>
      </c>
      <c r="AT101" s="2004" t="s">
        <v>2334</v>
      </c>
      <c r="AU101" s="2004">
        <v>0.09</v>
      </c>
      <c r="AV101" s="2004" t="s">
        <v>2337</v>
      </c>
      <c r="AW101" s="2004">
        <v>7.0000000000000007E-2</v>
      </c>
      <c r="AX101" s="2004" t="s">
        <v>2337</v>
      </c>
      <c r="AY101" s="2004">
        <v>0.16</v>
      </c>
      <c r="AZ101" s="2004" t="s">
        <v>2337</v>
      </c>
      <c r="BA101" s="2004"/>
      <c r="BB101" s="2004" t="s">
        <v>12620</v>
      </c>
    </row>
    <row r="102" spans="1:54">
      <c r="A102" s="2004" t="s">
        <v>11214</v>
      </c>
      <c r="B102" s="2004" t="s">
        <v>9047</v>
      </c>
      <c r="C102" s="2004" t="s">
        <v>9073</v>
      </c>
      <c r="D102" s="2004" t="s">
        <v>9194</v>
      </c>
      <c r="E102" s="2004" t="s">
        <v>11216</v>
      </c>
      <c r="F102" s="2004" t="s">
        <v>11218</v>
      </c>
      <c r="G102" s="2004"/>
      <c r="H102" s="2004"/>
      <c r="I102" s="2004"/>
      <c r="J102" s="2004"/>
      <c r="K102" s="2004"/>
      <c r="L102" s="2004"/>
      <c r="M102" s="2004"/>
      <c r="N102" s="2004"/>
      <c r="O102" s="2004"/>
      <c r="P102" s="2004" t="s">
        <v>12434</v>
      </c>
      <c r="Q102" s="2004" t="s">
        <v>12621</v>
      </c>
      <c r="R102" s="2004" t="s">
        <v>12468</v>
      </c>
      <c r="S102" s="2004"/>
      <c r="T102" s="2004" t="s">
        <v>766</v>
      </c>
      <c r="U102" s="516" t="s">
        <v>3016</v>
      </c>
      <c r="V102" s="2004"/>
      <c r="W102" s="2004">
        <v>34</v>
      </c>
      <c r="X102" s="2004">
        <v>34</v>
      </c>
      <c r="Y102" s="2004">
        <v>34</v>
      </c>
      <c r="Z102" s="2004">
        <v>34</v>
      </c>
      <c r="AA102" s="2004">
        <v>34</v>
      </c>
      <c r="AB102" s="2004">
        <v>34</v>
      </c>
      <c r="AC102" s="2004"/>
      <c r="AD102" s="2004"/>
      <c r="AE102" s="2004">
        <v>46</v>
      </c>
      <c r="AF102" s="2004">
        <v>46</v>
      </c>
      <c r="AG102" s="2004">
        <v>46</v>
      </c>
      <c r="AH102" s="2004">
        <v>46</v>
      </c>
      <c r="AI102" s="2004">
        <v>46</v>
      </c>
      <c r="AJ102" s="2004" t="s">
        <v>4140</v>
      </c>
      <c r="AK102" s="2004" t="s">
        <v>4140</v>
      </c>
      <c r="AL102" s="2004" t="s">
        <v>4140</v>
      </c>
      <c r="AM102" s="2004" t="s">
        <v>4140</v>
      </c>
      <c r="AN102" s="2004" t="s">
        <v>4140</v>
      </c>
      <c r="AO102" s="2004" t="s">
        <v>4140</v>
      </c>
      <c r="AP102" s="2004" t="s">
        <v>4140</v>
      </c>
      <c r="AQ102" s="2004">
        <v>52</v>
      </c>
      <c r="AR102" s="2004">
        <v>0</v>
      </c>
      <c r="AS102" s="2004">
        <v>0</v>
      </c>
      <c r="AT102" s="2004" t="s">
        <v>2337</v>
      </c>
      <c r="AU102" s="2004">
        <v>5</v>
      </c>
      <c r="AV102" s="2004" t="s">
        <v>2337</v>
      </c>
      <c r="AW102" s="2004">
        <v>206</v>
      </c>
      <c r="AX102" s="2004" t="s">
        <v>2334</v>
      </c>
      <c r="AY102" s="2004">
        <v>7</v>
      </c>
      <c r="AZ102" s="2004" t="s">
        <v>2337</v>
      </c>
      <c r="BA102" s="2004"/>
      <c r="BB102" s="2004" t="s">
        <v>12622</v>
      </c>
    </row>
    <row r="103" spans="1:54">
      <c r="A103" s="2004" t="s">
        <v>11214</v>
      </c>
      <c r="B103" s="2004" t="s">
        <v>9047</v>
      </c>
      <c r="C103" s="2004" t="s">
        <v>9073</v>
      </c>
      <c r="D103" s="2004" t="s">
        <v>9194</v>
      </c>
      <c r="E103" s="2004" t="s">
        <v>11216</v>
      </c>
      <c r="F103" s="2004" t="s">
        <v>11218</v>
      </c>
      <c r="G103" s="2004"/>
      <c r="H103" s="2004"/>
      <c r="I103" s="2004"/>
      <c r="J103" s="2004"/>
      <c r="K103" s="2004"/>
      <c r="L103" s="2004"/>
      <c r="M103" s="2004"/>
      <c r="N103" s="2004"/>
      <c r="O103" s="2004"/>
      <c r="P103" s="2004" t="s">
        <v>12486</v>
      </c>
      <c r="Q103" s="2004" t="s">
        <v>12623</v>
      </c>
      <c r="R103" s="2004" t="s">
        <v>12624</v>
      </c>
      <c r="S103" s="2004"/>
      <c r="T103" s="2004" t="s">
        <v>766</v>
      </c>
      <c r="U103" s="2004">
        <v>2</v>
      </c>
      <c r="V103" s="2004"/>
      <c r="W103" s="2004"/>
      <c r="X103" s="2004"/>
      <c r="Y103" s="2004"/>
      <c r="Z103" s="2004"/>
      <c r="AA103" s="2004"/>
      <c r="AB103" s="2004">
        <v>650</v>
      </c>
      <c r="AC103" s="2004"/>
      <c r="AD103" s="2004"/>
      <c r="AE103" s="2004"/>
      <c r="AF103" s="2004"/>
      <c r="AG103" s="2004"/>
      <c r="AH103" s="2004"/>
      <c r="AI103" s="2004">
        <v>650</v>
      </c>
      <c r="AJ103" s="2004" t="s">
        <v>4140</v>
      </c>
      <c r="AK103" s="2004" t="s">
        <v>4140</v>
      </c>
      <c r="AL103" s="2004" t="s">
        <v>4140</v>
      </c>
      <c r="AM103" s="2004" t="s">
        <v>4140</v>
      </c>
      <c r="AN103" s="2004" t="s">
        <v>4140</v>
      </c>
      <c r="AO103" s="2004" t="s">
        <v>4140</v>
      </c>
      <c r="AP103" s="2004" t="s">
        <v>4140</v>
      </c>
      <c r="AQ103" s="2004">
        <v>650</v>
      </c>
      <c r="AR103" s="2004">
        <v>15.47</v>
      </c>
      <c r="AS103" s="2004">
        <v>66.454999999999998</v>
      </c>
      <c r="AT103" s="2004"/>
      <c r="AU103" s="2004">
        <v>103.28</v>
      </c>
      <c r="AV103" s="2004" t="s">
        <v>2335</v>
      </c>
      <c r="AW103" s="2004">
        <v>142.75</v>
      </c>
      <c r="AX103" s="2004" t="s">
        <v>2335</v>
      </c>
      <c r="AY103" s="2004">
        <v>172.34</v>
      </c>
      <c r="AZ103" s="2004" t="s">
        <v>2335</v>
      </c>
      <c r="BA103" s="2004"/>
      <c r="BB103" s="2004" t="s">
        <v>12625</v>
      </c>
    </row>
    <row r="104" spans="1:54">
      <c r="A104" s="2004" t="s">
        <v>11214</v>
      </c>
      <c r="B104" s="2004" t="s">
        <v>9047</v>
      </c>
      <c r="C104" s="2004" t="s">
        <v>9073</v>
      </c>
      <c r="D104" s="2004" t="s">
        <v>9194</v>
      </c>
      <c r="E104" s="2004" t="s">
        <v>11216</v>
      </c>
      <c r="F104" s="2004" t="s">
        <v>11218</v>
      </c>
      <c r="G104" s="2004"/>
      <c r="H104" s="2004"/>
      <c r="I104" s="2004"/>
      <c r="J104" s="2004"/>
      <c r="K104" s="2004"/>
      <c r="L104" s="2004"/>
      <c r="M104" s="2004"/>
      <c r="N104" s="2004"/>
      <c r="O104" s="2004"/>
      <c r="P104" s="2004" t="s">
        <v>12489</v>
      </c>
      <c r="Q104" s="2004" t="s">
        <v>12626</v>
      </c>
      <c r="R104" s="2004" t="s">
        <v>12432</v>
      </c>
      <c r="S104" s="2004"/>
      <c r="T104" s="2004" t="s">
        <v>766</v>
      </c>
      <c r="U104" s="2004">
        <v>2</v>
      </c>
      <c r="V104" s="2004"/>
      <c r="W104" s="2004">
        <v>0.38</v>
      </c>
      <c r="X104" s="2004">
        <v>0.38</v>
      </c>
      <c r="Y104" s="2004">
        <v>0.38</v>
      </c>
      <c r="Z104" s="2004">
        <v>0.38</v>
      </c>
      <c r="AA104" s="2004">
        <v>0.38</v>
      </c>
      <c r="AB104" s="2004">
        <v>0.38</v>
      </c>
      <c r="AC104" s="2004"/>
      <c r="AD104" s="2004"/>
      <c r="AE104" s="2004">
        <v>0.49</v>
      </c>
      <c r="AF104" s="2004">
        <v>0.49</v>
      </c>
      <c r="AG104" s="2004">
        <v>0.49</v>
      </c>
      <c r="AH104" s="2004">
        <v>0.49</v>
      </c>
      <c r="AI104" s="2004">
        <v>0.49</v>
      </c>
      <c r="AJ104" s="2004" t="s">
        <v>4140</v>
      </c>
      <c r="AK104" s="2004" t="s">
        <v>4140</v>
      </c>
      <c r="AL104" s="2004" t="s">
        <v>4140</v>
      </c>
      <c r="AM104" s="2004" t="s">
        <v>4140</v>
      </c>
      <c r="AN104" s="2004" t="s">
        <v>4140</v>
      </c>
      <c r="AO104" s="2004" t="s">
        <v>4140</v>
      </c>
      <c r="AP104" s="2004" t="s">
        <v>4140</v>
      </c>
      <c r="AQ104" s="2004">
        <v>0.55000000000000004</v>
      </c>
      <c r="AR104" s="2004">
        <v>0.189</v>
      </c>
      <c r="AS104" s="2004">
        <v>0.20499999999999999</v>
      </c>
      <c r="AT104" s="2004" t="s">
        <v>2337</v>
      </c>
      <c r="AU104" s="2004">
        <v>0.17</v>
      </c>
      <c r="AV104" s="2004" t="s">
        <v>2337</v>
      </c>
      <c r="AW104" s="2004">
        <v>0.17</v>
      </c>
      <c r="AX104" s="2004" t="s">
        <v>2337</v>
      </c>
      <c r="AY104" s="2004">
        <v>0.16</v>
      </c>
      <c r="AZ104" s="2004" t="s">
        <v>2337</v>
      </c>
      <c r="BA104" s="2004"/>
      <c r="BB104" s="2004" t="s">
        <v>12627</v>
      </c>
    </row>
    <row r="105" spans="1:54">
      <c r="A105" s="2004" t="s">
        <v>11220</v>
      </c>
      <c r="B105" s="2004" t="s">
        <v>9047</v>
      </c>
      <c r="C105" s="2004" t="s">
        <v>9073</v>
      </c>
      <c r="D105" s="2004" t="s">
        <v>9194</v>
      </c>
      <c r="E105" s="2004" t="s">
        <v>11221</v>
      </c>
      <c r="F105" s="2004" t="s">
        <v>11223</v>
      </c>
      <c r="G105" s="2004" t="s">
        <v>9210</v>
      </c>
      <c r="H105" s="2004" t="s">
        <v>9260</v>
      </c>
      <c r="I105" s="2004" t="s">
        <v>9546</v>
      </c>
      <c r="J105" s="2004" t="s">
        <v>2338</v>
      </c>
      <c r="K105" s="2004" t="s">
        <v>2338</v>
      </c>
      <c r="L105" s="2004" t="s">
        <v>2338</v>
      </c>
      <c r="M105" s="2004" t="s">
        <v>2338</v>
      </c>
      <c r="N105" s="2004" t="s">
        <v>2338</v>
      </c>
      <c r="O105" s="2004" t="s">
        <v>2338</v>
      </c>
      <c r="P105" s="2004" t="s">
        <v>12417</v>
      </c>
      <c r="Q105" s="2004" t="s">
        <v>11223</v>
      </c>
      <c r="R105" s="2004"/>
      <c r="S105" s="2004"/>
      <c r="T105" s="2004" t="s">
        <v>9395</v>
      </c>
      <c r="U105" s="2004" t="s">
        <v>9203</v>
      </c>
      <c r="V105" s="2004"/>
      <c r="W105" s="2004"/>
      <c r="X105" s="2004"/>
      <c r="Y105" s="2004"/>
      <c r="Z105" s="2004"/>
      <c r="AA105" s="2004"/>
      <c r="AB105" s="2004"/>
      <c r="AC105" s="2004"/>
      <c r="AD105" s="2004"/>
      <c r="AE105" s="2004"/>
      <c r="AF105" s="2004"/>
      <c r="AG105" s="2004"/>
      <c r="AH105" s="2004"/>
      <c r="AI105" s="2004"/>
      <c r="AJ105" s="2004"/>
      <c r="AK105" s="2004"/>
      <c r="AL105" s="2004"/>
      <c r="AM105" s="2004"/>
      <c r="AN105" s="2004"/>
      <c r="AO105" s="2004"/>
      <c r="AP105" s="2004"/>
      <c r="AQ105" s="2004"/>
      <c r="AR105" s="2004" t="s">
        <v>2338</v>
      </c>
      <c r="AS105" s="2004" t="s">
        <v>2338</v>
      </c>
      <c r="AT105" s="2004" t="s">
        <v>2337</v>
      </c>
      <c r="AU105" s="2004" t="s">
        <v>2338</v>
      </c>
      <c r="AV105" s="2004" t="s">
        <v>2337</v>
      </c>
      <c r="AW105" s="2004" t="s">
        <v>2338</v>
      </c>
      <c r="AX105" s="2004" t="s">
        <v>2337</v>
      </c>
      <c r="AY105" s="2004" t="s">
        <v>2338</v>
      </c>
      <c r="AZ105" s="2004" t="s">
        <v>2337</v>
      </c>
      <c r="BA105" s="2004"/>
      <c r="BB105" s="2004" t="s">
        <v>12628</v>
      </c>
    </row>
    <row r="106" spans="1:54">
      <c r="A106" s="2004" t="s">
        <v>11220</v>
      </c>
      <c r="B106" s="2004" t="s">
        <v>9047</v>
      </c>
      <c r="C106" s="2004" t="s">
        <v>9073</v>
      </c>
      <c r="D106" s="2004" t="s">
        <v>9194</v>
      </c>
      <c r="E106" s="2004" t="s">
        <v>11221</v>
      </c>
      <c r="F106" s="2004" t="s">
        <v>11223</v>
      </c>
      <c r="G106" s="2004"/>
      <c r="H106" s="2004"/>
      <c r="I106" s="2004"/>
      <c r="J106" s="2004"/>
      <c r="K106" s="2004"/>
      <c r="L106" s="2004"/>
      <c r="M106" s="2004"/>
      <c r="N106" s="2004"/>
      <c r="O106" s="2004"/>
      <c r="P106" s="2004" t="s">
        <v>12419</v>
      </c>
      <c r="Q106" s="2004" t="s">
        <v>12629</v>
      </c>
      <c r="R106" s="2004" t="s">
        <v>12440</v>
      </c>
      <c r="S106" s="2004"/>
      <c r="T106" s="2004" t="s">
        <v>734</v>
      </c>
      <c r="U106" s="2004">
        <v>2</v>
      </c>
      <c r="V106" s="2004"/>
      <c r="W106" s="2004"/>
      <c r="X106" s="2004">
        <v>99.97</v>
      </c>
      <c r="Y106" s="2004">
        <v>99.97</v>
      </c>
      <c r="Z106" s="2004">
        <v>99.97</v>
      </c>
      <c r="AA106" s="2004">
        <v>99.97</v>
      </c>
      <c r="AB106" s="2004">
        <v>99.97</v>
      </c>
      <c r="AC106" s="2004"/>
      <c r="AD106" s="2004"/>
      <c r="AE106" s="2004">
        <v>99.96</v>
      </c>
      <c r="AF106" s="2004">
        <v>99.96</v>
      </c>
      <c r="AG106" s="2004">
        <v>99.96</v>
      </c>
      <c r="AH106" s="2004">
        <v>99.96</v>
      </c>
      <c r="AI106" s="2004">
        <v>99.96</v>
      </c>
      <c r="AJ106" s="2004" t="s">
        <v>4140</v>
      </c>
      <c r="AK106" s="2004" t="s">
        <v>4140</v>
      </c>
      <c r="AL106" s="2004" t="s">
        <v>4140</v>
      </c>
      <c r="AM106" s="2004" t="s">
        <v>4140</v>
      </c>
      <c r="AN106" s="2004" t="s">
        <v>4140</v>
      </c>
      <c r="AO106" s="2004" t="s">
        <v>4140</v>
      </c>
      <c r="AP106" s="2004" t="s">
        <v>4140</v>
      </c>
      <c r="AQ106" s="2004">
        <v>99.95</v>
      </c>
      <c r="AR106" s="2004">
        <v>99.984399999999994</v>
      </c>
      <c r="AS106" s="2004">
        <v>99.976799999999997</v>
      </c>
      <c r="AT106" s="2004" t="s">
        <v>2337</v>
      </c>
      <c r="AU106" s="2004">
        <v>99.99</v>
      </c>
      <c r="AV106" s="2004" t="s">
        <v>2337</v>
      </c>
      <c r="AW106" s="2004">
        <v>99.96</v>
      </c>
      <c r="AX106" s="2004" t="s">
        <v>2334</v>
      </c>
      <c r="AY106" s="2004">
        <v>99.99</v>
      </c>
      <c r="AZ106" s="2004" t="s">
        <v>2337</v>
      </c>
      <c r="BA106" s="2004"/>
      <c r="BB106" s="2004" t="s">
        <v>12630</v>
      </c>
    </row>
    <row r="107" spans="1:54">
      <c r="A107" s="2004" t="s">
        <v>11220</v>
      </c>
      <c r="B107" s="2004" t="s">
        <v>9047</v>
      </c>
      <c r="C107" s="2004" t="s">
        <v>9073</v>
      </c>
      <c r="D107" s="2004" t="s">
        <v>9194</v>
      </c>
      <c r="E107" s="2004" t="s">
        <v>11221</v>
      </c>
      <c r="F107" s="2004" t="s">
        <v>11223</v>
      </c>
      <c r="G107" s="2004"/>
      <c r="H107" s="2004"/>
      <c r="I107" s="2004"/>
      <c r="J107" s="2004"/>
      <c r="K107" s="2004"/>
      <c r="L107" s="2004"/>
      <c r="M107" s="2004"/>
      <c r="N107" s="2004"/>
      <c r="O107" s="2004"/>
      <c r="P107" s="2004" t="s">
        <v>12423</v>
      </c>
      <c r="Q107" s="2004" t="s">
        <v>12631</v>
      </c>
      <c r="R107" s="2004" t="s">
        <v>12443</v>
      </c>
      <c r="S107" s="2004"/>
      <c r="T107" s="2004" t="s">
        <v>734</v>
      </c>
      <c r="U107" s="2004">
        <v>2</v>
      </c>
      <c r="V107" s="2004"/>
      <c r="W107" s="2004"/>
      <c r="X107" s="2004">
        <v>0.27</v>
      </c>
      <c r="Y107" s="2004">
        <v>0.27</v>
      </c>
      <c r="Z107" s="2004">
        <v>0.27</v>
      </c>
      <c r="AA107" s="2004">
        <v>0.27</v>
      </c>
      <c r="AB107" s="2004">
        <v>0.27</v>
      </c>
      <c r="AC107" s="2004"/>
      <c r="AD107" s="2004"/>
      <c r="AE107" s="2004">
        <v>0.54</v>
      </c>
      <c r="AF107" s="2004">
        <v>0.54</v>
      </c>
      <c r="AG107" s="2004">
        <v>0.54</v>
      </c>
      <c r="AH107" s="2004">
        <v>0.54</v>
      </c>
      <c r="AI107" s="2004">
        <v>0.54</v>
      </c>
      <c r="AJ107" s="2004" t="s">
        <v>4140</v>
      </c>
      <c r="AK107" s="2004" t="s">
        <v>4140</v>
      </c>
      <c r="AL107" s="2004" t="s">
        <v>4140</v>
      </c>
      <c r="AM107" s="2004" t="s">
        <v>4140</v>
      </c>
      <c r="AN107" s="2004" t="s">
        <v>4140</v>
      </c>
      <c r="AO107" s="2004" t="s">
        <v>4140</v>
      </c>
      <c r="AP107" s="2004" t="s">
        <v>4140</v>
      </c>
      <c r="AQ107" s="2004">
        <v>0.81</v>
      </c>
      <c r="AR107" s="2004">
        <v>0.26</v>
      </c>
      <c r="AS107" s="2004">
        <v>0</v>
      </c>
      <c r="AT107" s="2004" t="s">
        <v>2337</v>
      </c>
      <c r="AU107" s="2004">
        <v>0</v>
      </c>
      <c r="AV107" s="2004" t="s">
        <v>2337</v>
      </c>
      <c r="AW107" s="2004">
        <v>0</v>
      </c>
      <c r="AX107" s="2004" t="s">
        <v>2337</v>
      </c>
      <c r="AY107" s="2004">
        <v>0</v>
      </c>
      <c r="AZ107" s="2004" t="s">
        <v>2337</v>
      </c>
      <c r="BA107" s="2004"/>
      <c r="BB107" s="2004" t="s">
        <v>12632</v>
      </c>
    </row>
    <row r="108" spans="1:54">
      <c r="A108" s="2004" t="s">
        <v>11220</v>
      </c>
      <c r="B108" s="2004" t="s">
        <v>9047</v>
      </c>
      <c r="C108" s="2004" t="s">
        <v>9073</v>
      </c>
      <c r="D108" s="2004" t="s">
        <v>9194</v>
      </c>
      <c r="E108" s="2004" t="s">
        <v>11221</v>
      </c>
      <c r="F108" s="2004" t="s">
        <v>11223</v>
      </c>
      <c r="G108" s="2004"/>
      <c r="H108" s="2004"/>
      <c r="I108" s="2004"/>
      <c r="J108" s="2004"/>
      <c r="K108" s="2004"/>
      <c r="L108" s="2004"/>
      <c r="M108" s="2004"/>
      <c r="N108" s="2004"/>
      <c r="O108" s="2004"/>
      <c r="P108" s="2004" t="s">
        <v>12430</v>
      </c>
      <c r="Q108" s="2004" t="s">
        <v>12633</v>
      </c>
      <c r="R108" s="2004" t="s">
        <v>12445</v>
      </c>
      <c r="S108" s="2004"/>
      <c r="T108" s="2004" t="s">
        <v>766</v>
      </c>
      <c r="U108" s="516" t="s">
        <v>3016</v>
      </c>
      <c r="V108" s="2004"/>
      <c r="W108" s="2004">
        <v>1</v>
      </c>
      <c r="X108" s="2004">
        <v>1</v>
      </c>
      <c r="Y108" s="2004">
        <v>1</v>
      </c>
      <c r="Z108" s="2004">
        <v>1</v>
      </c>
      <c r="AA108" s="2004">
        <v>1</v>
      </c>
      <c r="AB108" s="2004">
        <v>1</v>
      </c>
      <c r="AC108" s="2004"/>
      <c r="AD108" s="2004"/>
      <c r="AE108" s="2004">
        <v>2</v>
      </c>
      <c r="AF108" s="2004">
        <v>2</v>
      </c>
      <c r="AG108" s="2004">
        <v>2</v>
      </c>
      <c r="AH108" s="2004">
        <v>2</v>
      </c>
      <c r="AI108" s="2004">
        <v>2</v>
      </c>
      <c r="AJ108" s="2004" t="s">
        <v>4140</v>
      </c>
      <c r="AK108" s="2004" t="s">
        <v>4140</v>
      </c>
      <c r="AL108" s="2004" t="s">
        <v>4140</v>
      </c>
      <c r="AM108" s="2004" t="s">
        <v>4140</v>
      </c>
      <c r="AN108" s="2004" t="s">
        <v>4140</v>
      </c>
      <c r="AO108" s="2004" t="s">
        <v>4140</v>
      </c>
      <c r="AP108" s="2004" t="s">
        <v>4140</v>
      </c>
      <c r="AQ108" s="2004">
        <v>3</v>
      </c>
      <c r="AR108" s="2004">
        <v>0</v>
      </c>
      <c r="AS108" s="2004">
        <v>0</v>
      </c>
      <c r="AT108" s="2004" t="s">
        <v>2337</v>
      </c>
      <c r="AU108" s="2004">
        <v>0</v>
      </c>
      <c r="AV108" s="2004" t="s">
        <v>2337</v>
      </c>
      <c r="AW108" s="2004">
        <v>1</v>
      </c>
      <c r="AX108" s="2004" t="s">
        <v>2337</v>
      </c>
      <c r="AY108" s="2004">
        <v>0</v>
      </c>
      <c r="AZ108" s="2004" t="s">
        <v>2337</v>
      </c>
      <c r="BA108" s="2004"/>
      <c r="BB108" s="2004" t="s">
        <v>12634</v>
      </c>
    </row>
    <row r="109" spans="1:54">
      <c r="A109" s="2004" t="s">
        <v>11220</v>
      </c>
      <c r="B109" s="2004" t="s">
        <v>9047</v>
      </c>
      <c r="C109" s="2004" t="s">
        <v>9073</v>
      </c>
      <c r="D109" s="2004" t="s">
        <v>9194</v>
      </c>
      <c r="E109" s="2004" t="s">
        <v>11221</v>
      </c>
      <c r="F109" s="2004" t="s">
        <v>11223</v>
      </c>
      <c r="G109" s="2004"/>
      <c r="H109" s="2004"/>
      <c r="I109" s="2004"/>
      <c r="J109" s="2004"/>
      <c r="K109" s="2004"/>
      <c r="L109" s="2004"/>
      <c r="M109" s="2004"/>
      <c r="N109" s="2004"/>
      <c r="O109" s="2004"/>
      <c r="P109" s="2004" t="s">
        <v>12434</v>
      </c>
      <c r="Q109" s="2004" t="s">
        <v>12635</v>
      </c>
      <c r="R109" s="2004" t="s">
        <v>12636</v>
      </c>
      <c r="S109" s="2004"/>
      <c r="T109" s="2004" t="s">
        <v>734</v>
      </c>
      <c r="U109" s="2004">
        <v>2</v>
      </c>
      <c r="V109" s="2004"/>
      <c r="W109" s="2004"/>
      <c r="X109" s="2004">
        <v>99.99</v>
      </c>
      <c r="Y109" s="2004">
        <v>99.99</v>
      </c>
      <c r="Z109" s="2004">
        <v>99.99</v>
      </c>
      <c r="AA109" s="2004">
        <v>99.99</v>
      </c>
      <c r="AB109" s="2004">
        <v>99.99</v>
      </c>
      <c r="AC109" s="2004"/>
      <c r="AD109" s="2004"/>
      <c r="AE109" s="2004">
        <v>99.98</v>
      </c>
      <c r="AF109" s="2004">
        <v>99.98</v>
      </c>
      <c r="AG109" s="2004">
        <v>99.98</v>
      </c>
      <c r="AH109" s="2004">
        <v>99.98</v>
      </c>
      <c r="AI109" s="2004">
        <v>99.98</v>
      </c>
      <c r="AJ109" s="2004" t="s">
        <v>4140</v>
      </c>
      <c r="AK109" s="2004" t="s">
        <v>4140</v>
      </c>
      <c r="AL109" s="2004" t="s">
        <v>4140</v>
      </c>
      <c r="AM109" s="2004" t="s">
        <v>4140</v>
      </c>
      <c r="AN109" s="2004" t="s">
        <v>4140</v>
      </c>
      <c r="AO109" s="2004" t="s">
        <v>4140</v>
      </c>
      <c r="AP109" s="2004" t="s">
        <v>4140</v>
      </c>
      <c r="AQ109" s="2004">
        <v>99.97</v>
      </c>
      <c r="AR109" s="2004">
        <v>99.986199999999997</v>
      </c>
      <c r="AS109" s="2004">
        <v>99.995699999999999</v>
      </c>
      <c r="AT109" s="2004" t="s">
        <v>2337</v>
      </c>
      <c r="AU109" s="2004">
        <v>100</v>
      </c>
      <c r="AV109" s="2004" t="s">
        <v>2337</v>
      </c>
      <c r="AW109" s="2004">
        <v>100</v>
      </c>
      <c r="AX109" s="2004" t="s">
        <v>2337</v>
      </c>
      <c r="AY109" s="2004">
        <v>100</v>
      </c>
      <c r="AZ109" s="2004" t="s">
        <v>2337</v>
      </c>
      <c r="BA109" s="2004"/>
      <c r="BB109" s="2004" t="s">
        <v>12637</v>
      </c>
    </row>
    <row r="110" spans="1:54">
      <c r="A110" s="2004" t="s">
        <v>11220</v>
      </c>
      <c r="B110" s="2004" t="s">
        <v>9047</v>
      </c>
      <c r="C110" s="2004" t="s">
        <v>9073</v>
      </c>
      <c r="D110" s="2004" t="s">
        <v>9194</v>
      </c>
      <c r="E110" s="2004" t="s">
        <v>11221</v>
      </c>
      <c r="F110" s="2004" t="s">
        <v>11223</v>
      </c>
      <c r="G110" s="2004"/>
      <c r="H110" s="2004"/>
      <c r="I110" s="2004"/>
      <c r="J110" s="2004"/>
      <c r="K110" s="2004"/>
      <c r="L110" s="2004"/>
      <c r="M110" s="2004"/>
      <c r="N110" s="2004"/>
      <c r="O110" s="2004"/>
      <c r="P110" s="2004" t="s">
        <v>12486</v>
      </c>
      <c r="Q110" s="2004" t="s">
        <v>12638</v>
      </c>
      <c r="R110" s="2004" t="s">
        <v>12500</v>
      </c>
      <c r="S110" s="2004"/>
      <c r="T110" s="2004" t="s">
        <v>766</v>
      </c>
      <c r="U110" s="516" t="s">
        <v>3016</v>
      </c>
      <c r="V110" s="2004"/>
      <c r="W110" s="2004">
        <v>0</v>
      </c>
      <c r="X110" s="2004">
        <v>0</v>
      </c>
      <c r="Y110" s="2004">
        <v>0</v>
      </c>
      <c r="Z110" s="2004">
        <v>0</v>
      </c>
      <c r="AA110" s="2004">
        <v>0</v>
      </c>
      <c r="AB110" s="2004">
        <v>0</v>
      </c>
      <c r="AC110" s="2004"/>
      <c r="AD110" s="2004"/>
      <c r="AE110" s="2004">
        <v>1</v>
      </c>
      <c r="AF110" s="2004">
        <v>1</v>
      </c>
      <c r="AG110" s="2004">
        <v>1</v>
      </c>
      <c r="AH110" s="2004">
        <v>1</v>
      </c>
      <c r="AI110" s="2004">
        <v>1</v>
      </c>
      <c r="AJ110" s="2004" t="s">
        <v>4140</v>
      </c>
      <c r="AK110" s="2004" t="s">
        <v>4140</v>
      </c>
      <c r="AL110" s="2004" t="s">
        <v>4140</v>
      </c>
      <c r="AM110" s="2004" t="s">
        <v>4140</v>
      </c>
      <c r="AN110" s="2004" t="s">
        <v>4140</v>
      </c>
      <c r="AO110" s="2004" t="s">
        <v>4140</v>
      </c>
      <c r="AP110" s="2004" t="s">
        <v>4140</v>
      </c>
      <c r="AQ110" s="2004">
        <v>2</v>
      </c>
      <c r="AR110" s="2004">
        <v>0</v>
      </c>
      <c r="AS110" s="2004">
        <v>0</v>
      </c>
      <c r="AT110" s="2004" t="s">
        <v>2337</v>
      </c>
      <c r="AU110" s="2004">
        <v>0</v>
      </c>
      <c r="AV110" s="2004" t="s">
        <v>2337</v>
      </c>
      <c r="AW110" s="2004">
        <v>0</v>
      </c>
      <c r="AX110" s="2004" t="s">
        <v>2337</v>
      </c>
      <c r="AY110" s="2004">
        <v>0</v>
      </c>
      <c r="AZ110" s="2004" t="s">
        <v>2337</v>
      </c>
      <c r="BA110" s="2004"/>
      <c r="BB110" s="2004" t="s">
        <v>12639</v>
      </c>
    </row>
    <row r="111" spans="1:54">
      <c r="A111" s="2004" t="s">
        <v>11220</v>
      </c>
      <c r="B111" s="2004" t="s">
        <v>9047</v>
      </c>
      <c r="C111" s="2004" t="s">
        <v>9073</v>
      </c>
      <c r="D111" s="2004" t="s">
        <v>9194</v>
      </c>
      <c r="E111" s="2004" t="s">
        <v>11221</v>
      </c>
      <c r="F111" s="2004" t="s">
        <v>11223</v>
      </c>
      <c r="G111" s="2004"/>
      <c r="H111" s="2004"/>
      <c r="I111" s="2004"/>
      <c r="J111" s="2004"/>
      <c r="K111" s="2004"/>
      <c r="L111" s="2004"/>
      <c r="M111" s="2004"/>
      <c r="N111" s="2004"/>
      <c r="O111" s="2004"/>
      <c r="P111" s="2004" t="s">
        <v>12489</v>
      </c>
      <c r="Q111" s="2004" t="s">
        <v>12640</v>
      </c>
      <c r="R111" s="2004" t="s">
        <v>12641</v>
      </c>
      <c r="S111" s="2004"/>
      <c r="T111" s="2004" t="s">
        <v>766</v>
      </c>
      <c r="U111" s="2004">
        <v>2</v>
      </c>
      <c r="V111" s="2004"/>
      <c r="W111" s="2004"/>
      <c r="X111" s="2004">
        <v>7.0000000000000007E-2</v>
      </c>
      <c r="Y111" s="2004">
        <v>7.0000000000000007E-2</v>
      </c>
      <c r="Z111" s="2004">
        <v>7.0000000000000007E-2</v>
      </c>
      <c r="AA111" s="2004">
        <v>7.0000000000000007E-2</v>
      </c>
      <c r="AB111" s="2004">
        <v>7.0000000000000007E-2</v>
      </c>
      <c r="AC111" s="2004"/>
      <c r="AD111" s="2004"/>
      <c r="AE111" s="2004">
        <v>0.124</v>
      </c>
      <c r="AF111" s="2004">
        <v>0.124</v>
      </c>
      <c r="AG111" s="2004">
        <v>0.124</v>
      </c>
      <c r="AH111" s="2004">
        <v>0.124</v>
      </c>
      <c r="AI111" s="2004">
        <v>0.124</v>
      </c>
      <c r="AJ111" s="2004" t="s">
        <v>4140</v>
      </c>
      <c r="AK111" s="2004" t="s">
        <v>4140</v>
      </c>
      <c r="AL111" s="2004" t="s">
        <v>4140</v>
      </c>
      <c r="AM111" s="2004" t="s">
        <v>4140</v>
      </c>
      <c r="AN111" s="2004" t="s">
        <v>4140</v>
      </c>
      <c r="AO111" s="2004" t="s">
        <v>4140</v>
      </c>
      <c r="AP111" s="2004" t="s">
        <v>4140</v>
      </c>
      <c r="AQ111" s="2004">
        <v>0.151</v>
      </c>
      <c r="AR111" s="2004">
        <v>9.7000000000000003E-2</v>
      </c>
      <c r="AS111" s="2004">
        <v>8.2000000000000003E-2</v>
      </c>
      <c r="AT111" s="2004" t="s">
        <v>2334</v>
      </c>
      <c r="AU111" s="2004">
        <v>0.06</v>
      </c>
      <c r="AV111" s="2004" t="s">
        <v>2337</v>
      </c>
      <c r="AW111" s="2004">
        <v>0.05</v>
      </c>
      <c r="AX111" s="2004" t="s">
        <v>2337</v>
      </c>
      <c r="AY111" s="2004">
        <v>4.8000000000000001E-2</v>
      </c>
      <c r="AZ111" s="2004" t="s">
        <v>2337</v>
      </c>
      <c r="BA111" s="2004"/>
      <c r="BB111" s="2004" t="s">
        <v>12642</v>
      </c>
    </row>
    <row r="112" spans="1:54">
      <c r="A112" s="2004" t="s">
        <v>11220</v>
      </c>
      <c r="B112" s="2004" t="s">
        <v>9047</v>
      </c>
      <c r="C112" s="2004" t="s">
        <v>9073</v>
      </c>
      <c r="D112" s="2004" t="s">
        <v>9194</v>
      </c>
      <c r="E112" s="2004" t="s">
        <v>11221</v>
      </c>
      <c r="F112" s="2004" t="s">
        <v>11223</v>
      </c>
      <c r="G112" s="2004"/>
      <c r="H112" s="2004"/>
      <c r="I112" s="2004"/>
      <c r="J112" s="2004"/>
      <c r="K112" s="2004"/>
      <c r="L112" s="2004"/>
      <c r="M112" s="2004"/>
      <c r="N112" s="2004"/>
      <c r="O112" s="2004"/>
      <c r="P112" s="2004" t="s">
        <v>12492</v>
      </c>
      <c r="Q112" s="2004" t="s">
        <v>12643</v>
      </c>
      <c r="R112" s="2004" t="s">
        <v>12641</v>
      </c>
      <c r="S112" s="2004"/>
      <c r="T112" s="2004" t="s">
        <v>766</v>
      </c>
      <c r="U112" s="2004">
        <v>3</v>
      </c>
      <c r="V112" s="2004"/>
      <c r="W112" s="2004"/>
      <c r="X112" s="2004" t="s">
        <v>12644</v>
      </c>
      <c r="Y112" s="2004" t="s">
        <v>12644</v>
      </c>
      <c r="Z112" s="2004" t="s">
        <v>12644</v>
      </c>
      <c r="AA112" s="2004" t="s">
        <v>12644</v>
      </c>
      <c r="AB112" s="2004" t="s">
        <v>12644</v>
      </c>
      <c r="AC112" s="2004"/>
      <c r="AD112" s="2004"/>
      <c r="AE112" s="2004"/>
      <c r="AF112" s="2004"/>
      <c r="AG112" s="2004"/>
      <c r="AH112" s="2004"/>
      <c r="AI112" s="2004"/>
      <c r="AJ112" s="2004" t="s">
        <v>4140</v>
      </c>
      <c r="AK112" s="2004" t="s">
        <v>4140</v>
      </c>
      <c r="AL112" s="2004" t="s">
        <v>4140</v>
      </c>
      <c r="AM112" s="2004" t="s">
        <v>4140</v>
      </c>
      <c r="AN112" s="2004" t="s">
        <v>4140</v>
      </c>
      <c r="AO112" s="2004" t="s">
        <v>4140</v>
      </c>
      <c r="AP112" s="2004" t="s">
        <v>4140</v>
      </c>
      <c r="AQ112" s="2004"/>
      <c r="AR112" s="2004">
        <v>6.0000000000000001E-3</v>
      </c>
      <c r="AS112" s="2004">
        <v>4.0000000000000001E-3</v>
      </c>
      <c r="AT112" s="2004"/>
      <c r="AU112" s="2004">
        <v>0.01</v>
      </c>
      <c r="AV112" s="2004" t="s">
        <v>2335</v>
      </c>
      <c r="AW112" s="2004">
        <v>0.01</v>
      </c>
      <c r="AX112" s="2004" t="s">
        <v>2337</v>
      </c>
      <c r="AY112" s="2004">
        <v>6.0000000000000001E-3</v>
      </c>
      <c r="AZ112" s="2004" t="s">
        <v>2337</v>
      </c>
      <c r="BA112" s="2004"/>
      <c r="BB112" s="2004" t="s">
        <v>12645</v>
      </c>
    </row>
    <row r="113" spans="1:54">
      <c r="A113" s="2004" t="s">
        <v>11313</v>
      </c>
      <c r="B113" s="2004" t="s">
        <v>9047</v>
      </c>
      <c r="C113" s="2004" t="s">
        <v>9073</v>
      </c>
      <c r="D113" s="2004" t="s">
        <v>9410</v>
      </c>
      <c r="E113" s="2004" t="s">
        <v>11315</v>
      </c>
      <c r="F113" s="2004" t="s">
        <v>11317</v>
      </c>
      <c r="G113" s="2004" t="s">
        <v>9210</v>
      </c>
      <c r="H113" s="2004" t="s">
        <v>9477</v>
      </c>
      <c r="I113" s="2004" t="s">
        <v>9546</v>
      </c>
      <c r="J113" s="2004" t="s">
        <v>2338</v>
      </c>
      <c r="K113" s="2004" t="s">
        <v>2338</v>
      </c>
      <c r="L113" s="2004" t="s">
        <v>2338</v>
      </c>
      <c r="M113" s="2004" t="s">
        <v>2338</v>
      </c>
      <c r="N113" s="2004" t="s">
        <v>2338</v>
      </c>
      <c r="O113" s="2004" t="s">
        <v>2338</v>
      </c>
      <c r="P113" s="2004" t="s">
        <v>12417</v>
      </c>
      <c r="Q113" s="2004" t="s">
        <v>11317</v>
      </c>
      <c r="R113" s="2004"/>
      <c r="S113" s="2004"/>
      <c r="T113" s="2004" t="s">
        <v>9395</v>
      </c>
      <c r="U113" s="2004" t="s">
        <v>9203</v>
      </c>
      <c r="V113" s="2004"/>
      <c r="W113" s="2004"/>
      <c r="X113" s="2004"/>
      <c r="Y113" s="2004"/>
      <c r="Z113" s="2004"/>
      <c r="AA113" s="2004"/>
      <c r="AB113" s="2004"/>
      <c r="AC113" s="2004"/>
      <c r="AD113" s="2004"/>
      <c r="AE113" s="2004"/>
      <c r="AF113" s="2004"/>
      <c r="AG113" s="2004"/>
      <c r="AH113" s="2004"/>
      <c r="AI113" s="2004"/>
      <c r="AJ113" s="2004"/>
      <c r="AK113" s="2004"/>
      <c r="AL113" s="2004"/>
      <c r="AM113" s="2004"/>
      <c r="AN113" s="2004"/>
      <c r="AO113" s="2004"/>
      <c r="AP113" s="2004"/>
      <c r="AQ113" s="2004"/>
      <c r="AR113" s="2004" t="s">
        <v>2338</v>
      </c>
      <c r="AS113" s="2004" t="s">
        <v>2338</v>
      </c>
      <c r="AT113" s="2004" t="s">
        <v>2337</v>
      </c>
      <c r="AU113" s="2004" t="s">
        <v>2338</v>
      </c>
      <c r="AV113" s="2004" t="s">
        <v>2337</v>
      </c>
      <c r="AW113" s="2004" t="s">
        <v>2338</v>
      </c>
      <c r="AX113" s="2004" t="s">
        <v>2337</v>
      </c>
      <c r="AY113" s="2004" t="s">
        <v>2338</v>
      </c>
      <c r="AZ113" s="2004" t="s">
        <v>2337</v>
      </c>
      <c r="BA113" s="2004"/>
      <c r="BB113" s="2004" t="s">
        <v>12646</v>
      </c>
    </row>
    <row r="114" spans="1:54">
      <c r="A114" s="2004" t="s">
        <v>11313</v>
      </c>
      <c r="B114" s="2004" t="s">
        <v>9047</v>
      </c>
      <c r="C114" s="2004" t="s">
        <v>9073</v>
      </c>
      <c r="D114" s="2004" t="s">
        <v>9410</v>
      </c>
      <c r="E114" s="2004" t="s">
        <v>11315</v>
      </c>
      <c r="F114" s="2004" t="s">
        <v>11317</v>
      </c>
      <c r="G114" s="2004"/>
      <c r="H114" s="2004"/>
      <c r="I114" s="2004"/>
      <c r="J114" s="2004"/>
      <c r="K114" s="2004"/>
      <c r="L114" s="2004"/>
      <c r="M114" s="2004"/>
      <c r="N114" s="2004"/>
      <c r="O114" s="2004"/>
      <c r="P114" s="2004" t="s">
        <v>12419</v>
      </c>
      <c r="Q114" s="2004" t="s">
        <v>12647</v>
      </c>
      <c r="R114" s="2004" t="s">
        <v>12648</v>
      </c>
      <c r="S114" s="2004"/>
      <c r="T114" s="2004" t="s">
        <v>766</v>
      </c>
      <c r="U114" s="516" t="s">
        <v>3016</v>
      </c>
      <c r="V114" s="2004"/>
      <c r="W114" s="2004"/>
      <c r="X114" s="2004">
        <v>27</v>
      </c>
      <c r="Y114" s="2004">
        <v>27</v>
      </c>
      <c r="Z114" s="2004">
        <v>27</v>
      </c>
      <c r="AA114" s="2004">
        <v>27</v>
      </c>
      <c r="AB114" s="2004">
        <v>27</v>
      </c>
      <c r="AC114" s="2004"/>
      <c r="AD114" s="2004"/>
      <c r="AE114" s="2004">
        <v>69</v>
      </c>
      <c r="AF114" s="2004">
        <v>69</v>
      </c>
      <c r="AG114" s="2004">
        <v>69</v>
      </c>
      <c r="AH114" s="2004">
        <v>69</v>
      </c>
      <c r="AI114" s="2004">
        <v>69</v>
      </c>
      <c r="AJ114" s="2004" t="s">
        <v>4140</v>
      </c>
      <c r="AK114" s="2004" t="s">
        <v>4140</v>
      </c>
      <c r="AL114" s="2004" t="s">
        <v>4140</v>
      </c>
      <c r="AM114" s="2004" t="s">
        <v>4140</v>
      </c>
      <c r="AN114" s="2004" t="s">
        <v>4140</v>
      </c>
      <c r="AO114" s="2004" t="s">
        <v>4140</v>
      </c>
      <c r="AP114" s="2004" t="s">
        <v>4140</v>
      </c>
      <c r="AQ114" s="2004">
        <v>90</v>
      </c>
      <c r="AR114" s="2004" t="s">
        <v>4140</v>
      </c>
      <c r="AS114" s="2004">
        <v>25</v>
      </c>
      <c r="AT114" s="2004" t="s">
        <v>2337</v>
      </c>
      <c r="AU114" s="2004">
        <v>34</v>
      </c>
      <c r="AV114" s="2004" t="s">
        <v>2337</v>
      </c>
      <c r="AW114" s="2004">
        <v>22</v>
      </c>
      <c r="AX114" s="2004" t="s">
        <v>2337</v>
      </c>
      <c r="AY114" s="2004">
        <v>45</v>
      </c>
      <c r="AZ114" s="2004" t="s">
        <v>2334</v>
      </c>
      <c r="BA114" s="2004"/>
      <c r="BB114" s="2004" t="s">
        <v>12649</v>
      </c>
    </row>
    <row r="115" spans="1:54">
      <c r="A115" s="2004" t="s">
        <v>11313</v>
      </c>
      <c r="B115" s="2004" t="s">
        <v>9047</v>
      </c>
      <c r="C115" s="2004" t="s">
        <v>9073</v>
      </c>
      <c r="D115" s="2004" t="s">
        <v>9410</v>
      </c>
      <c r="E115" s="2004" t="s">
        <v>11315</v>
      </c>
      <c r="F115" s="2004" t="s">
        <v>11317</v>
      </c>
      <c r="G115" s="2004"/>
      <c r="H115" s="2004"/>
      <c r="I115" s="2004"/>
      <c r="J115" s="2004"/>
      <c r="K115" s="2004"/>
      <c r="L115" s="2004"/>
      <c r="M115" s="2004"/>
      <c r="N115" s="2004"/>
      <c r="O115" s="2004"/>
      <c r="P115" s="2004" t="s">
        <v>12423</v>
      </c>
      <c r="Q115" s="2004" t="s">
        <v>12650</v>
      </c>
      <c r="R115" s="2004" t="s">
        <v>12462</v>
      </c>
      <c r="S115" s="2004"/>
      <c r="T115" s="2004" t="s">
        <v>734</v>
      </c>
      <c r="U115" s="2004">
        <v>2</v>
      </c>
      <c r="V115" s="2004"/>
      <c r="W115" s="2004">
        <v>1.1200000000000001</v>
      </c>
      <c r="X115" s="2004">
        <v>0</v>
      </c>
      <c r="Y115" s="2004">
        <v>0</v>
      </c>
      <c r="Z115" s="2004">
        <v>0</v>
      </c>
      <c r="AA115" s="2004">
        <v>0</v>
      </c>
      <c r="AB115" s="2004">
        <v>0</v>
      </c>
      <c r="AC115" s="2004"/>
      <c r="AD115" s="2004"/>
      <c r="AE115" s="2004">
        <v>2.0099999999999998</v>
      </c>
      <c r="AF115" s="2004">
        <v>2.0099999999999998</v>
      </c>
      <c r="AG115" s="2004">
        <v>2.0099999999999998</v>
      </c>
      <c r="AH115" s="2004">
        <v>2.0099999999999998</v>
      </c>
      <c r="AI115" s="2004">
        <v>2.0099999999999998</v>
      </c>
      <c r="AJ115" s="2004" t="s">
        <v>4140</v>
      </c>
      <c r="AK115" s="2004" t="s">
        <v>4140</v>
      </c>
      <c r="AL115" s="2004" t="s">
        <v>4140</v>
      </c>
      <c r="AM115" s="2004" t="s">
        <v>4140</v>
      </c>
      <c r="AN115" s="2004" t="s">
        <v>4140</v>
      </c>
      <c r="AO115" s="2004" t="s">
        <v>4140</v>
      </c>
      <c r="AP115" s="2004" t="s">
        <v>4140</v>
      </c>
      <c r="AQ115" s="2004">
        <v>2.61</v>
      </c>
      <c r="AR115" s="2004">
        <v>1.1494252873563227</v>
      </c>
      <c r="AS115" s="2004">
        <v>0.86699999999999999</v>
      </c>
      <c r="AT115" s="2004" t="s">
        <v>2334</v>
      </c>
      <c r="AU115" s="2004">
        <v>1.72</v>
      </c>
      <c r="AV115" s="2004" t="s">
        <v>2334</v>
      </c>
      <c r="AW115" s="2004">
        <v>0.56999999999999995</v>
      </c>
      <c r="AX115" s="2004" t="s">
        <v>2334</v>
      </c>
      <c r="AY115" s="2004">
        <v>1.1499999999999999</v>
      </c>
      <c r="AZ115" s="2004" t="s">
        <v>2334</v>
      </c>
      <c r="BA115" s="2004"/>
      <c r="BB115" s="2004" t="s">
        <v>12651</v>
      </c>
    </row>
    <row r="116" spans="1:54">
      <c r="A116" s="2004" t="s">
        <v>11313</v>
      </c>
      <c r="B116" s="2004" t="s">
        <v>9047</v>
      </c>
      <c r="C116" s="2004" t="s">
        <v>9073</v>
      </c>
      <c r="D116" s="2004" t="s">
        <v>9410</v>
      </c>
      <c r="E116" s="2004" t="s">
        <v>11315</v>
      </c>
      <c r="F116" s="2004" t="s">
        <v>11317</v>
      </c>
      <c r="G116" s="2004"/>
      <c r="H116" s="2004"/>
      <c r="I116" s="2004"/>
      <c r="J116" s="2004"/>
      <c r="K116" s="2004"/>
      <c r="L116" s="2004"/>
      <c r="M116" s="2004"/>
      <c r="N116" s="2004"/>
      <c r="O116" s="2004"/>
      <c r="P116" s="2004" t="s">
        <v>12430</v>
      </c>
      <c r="Q116" s="2004" t="s">
        <v>12652</v>
      </c>
      <c r="R116" s="2004" t="s">
        <v>12459</v>
      </c>
      <c r="S116" s="2004"/>
      <c r="T116" s="2004" t="s">
        <v>734</v>
      </c>
      <c r="U116" s="2004">
        <v>2</v>
      </c>
      <c r="V116" s="2004"/>
      <c r="W116" s="2004">
        <v>0.17</v>
      </c>
      <c r="X116" s="2004">
        <v>0</v>
      </c>
      <c r="Y116" s="2004">
        <v>0</v>
      </c>
      <c r="Z116" s="2004">
        <v>0</v>
      </c>
      <c r="AA116" s="2004">
        <v>0</v>
      </c>
      <c r="AB116" s="2004">
        <v>0</v>
      </c>
      <c r="AC116" s="2004"/>
      <c r="AD116" s="2004"/>
      <c r="AE116" s="2004">
        <v>0.68</v>
      </c>
      <c r="AF116" s="2004">
        <v>0.68</v>
      </c>
      <c r="AG116" s="2004">
        <v>0.68</v>
      </c>
      <c r="AH116" s="2004">
        <v>0.68</v>
      </c>
      <c r="AI116" s="2004">
        <v>0.68</v>
      </c>
      <c r="AJ116" s="2004" t="s">
        <v>4140</v>
      </c>
      <c r="AK116" s="2004" t="s">
        <v>4140</v>
      </c>
      <c r="AL116" s="2004" t="s">
        <v>4140</v>
      </c>
      <c r="AM116" s="2004" t="s">
        <v>4140</v>
      </c>
      <c r="AN116" s="2004" t="s">
        <v>4140</v>
      </c>
      <c r="AO116" s="2004" t="s">
        <v>4140</v>
      </c>
      <c r="AP116" s="2004" t="s">
        <v>4140</v>
      </c>
      <c r="AQ116" s="2004">
        <v>0.94</v>
      </c>
      <c r="AR116" s="2004">
        <v>0</v>
      </c>
      <c r="AS116" s="2004">
        <v>0</v>
      </c>
      <c r="AT116" s="2004" t="s">
        <v>2337</v>
      </c>
      <c r="AU116" s="2004">
        <v>0</v>
      </c>
      <c r="AV116" s="2004" t="s">
        <v>2337</v>
      </c>
      <c r="AW116" s="2004">
        <v>0</v>
      </c>
      <c r="AX116" s="2004" t="s">
        <v>2337</v>
      </c>
      <c r="AY116" s="2004">
        <v>1E-4</v>
      </c>
      <c r="AZ116" s="2004" t="s">
        <v>2334</v>
      </c>
      <c r="BA116" s="2004"/>
      <c r="BB116" s="2004" t="s">
        <v>12653</v>
      </c>
    </row>
    <row r="117" spans="1:54">
      <c r="A117" s="2004" t="s">
        <v>11319</v>
      </c>
      <c r="B117" s="2004" t="s">
        <v>9047</v>
      </c>
      <c r="C117" s="2004" t="s">
        <v>9073</v>
      </c>
      <c r="D117" s="2004" t="s">
        <v>9410</v>
      </c>
      <c r="E117" s="2004" t="s">
        <v>11320</v>
      </c>
      <c r="F117" s="2004" t="s">
        <v>11322</v>
      </c>
      <c r="G117" s="2004" t="s">
        <v>9210</v>
      </c>
      <c r="H117" s="2004" t="s">
        <v>9477</v>
      </c>
      <c r="I117" s="2004" t="s">
        <v>9546</v>
      </c>
      <c r="J117" s="2004" t="s">
        <v>2338</v>
      </c>
      <c r="K117" s="2004" t="s">
        <v>2338</v>
      </c>
      <c r="L117" s="2004" t="s">
        <v>2338</v>
      </c>
      <c r="M117" s="2004" t="s">
        <v>2338</v>
      </c>
      <c r="N117" s="2004" t="s">
        <v>2338</v>
      </c>
      <c r="O117" s="2004" t="s">
        <v>2338</v>
      </c>
      <c r="P117" s="2004" t="s">
        <v>12417</v>
      </c>
      <c r="Q117" s="2004" t="s">
        <v>11322</v>
      </c>
      <c r="R117" s="2004"/>
      <c r="S117" s="2004"/>
      <c r="T117" s="2004" t="s">
        <v>9395</v>
      </c>
      <c r="U117" s="2004" t="s">
        <v>9203</v>
      </c>
      <c r="V117" s="2004"/>
      <c r="W117" s="2004"/>
      <c r="X117" s="2004"/>
      <c r="Y117" s="2004"/>
      <c r="Z117" s="2004"/>
      <c r="AA117" s="2004"/>
      <c r="AB117" s="2004"/>
      <c r="AC117" s="2004"/>
      <c r="AD117" s="2004"/>
      <c r="AE117" s="2004"/>
      <c r="AF117" s="2004"/>
      <c r="AG117" s="2004"/>
      <c r="AH117" s="2004"/>
      <c r="AI117" s="2004"/>
      <c r="AJ117" s="2004"/>
      <c r="AK117" s="2004"/>
      <c r="AL117" s="2004"/>
      <c r="AM117" s="2004"/>
      <c r="AN117" s="2004"/>
      <c r="AO117" s="2004"/>
      <c r="AP117" s="2004"/>
      <c r="AQ117" s="2004"/>
      <c r="AR117" s="2004" t="s">
        <v>9547</v>
      </c>
      <c r="AS117" s="2004" t="s">
        <v>2338</v>
      </c>
      <c r="AT117" s="2004" t="s">
        <v>2337</v>
      </c>
      <c r="AU117" s="2004" t="s">
        <v>2338</v>
      </c>
      <c r="AV117" s="2004" t="s">
        <v>2337</v>
      </c>
      <c r="AW117" s="2004" t="s">
        <v>2338</v>
      </c>
      <c r="AX117" s="2004" t="s">
        <v>2337</v>
      </c>
      <c r="AY117" s="2004" t="s">
        <v>2338</v>
      </c>
      <c r="AZ117" s="2004" t="s">
        <v>2337</v>
      </c>
      <c r="BA117" s="2004"/>
      <c r="BB117" s="2004" t="s">
        <v>12654</v>
      </c>
    </row>
    <row r="118" spans="1:54">
      <c r="A118" s="2004" t="s">
        <v>11319</v>
      </c>
      <c r="B118" s="2004" t="s">
        <v>9047</v>
      </c>
      <c r="C118" s="2004" t="s">
        <v>9073</v>
      </c>
      <c r="D118" s="2004" t="s">
        <v>9410</v>
      </c>
      <c r="E118" s="2004" t="s">
        <v>11320</v>
      </c>
      <c r="F118" s="2004" t="s">
        <v>11322</v>
      </c>
      <c r="G118" s="2004"/>
      <c r="H118" s="2004"/>
      <c r="I118" s="2004"/>
      <c r="J118" s="2004"/>
      <c r="K118" s="2004"/>
      <c r="L118" s="2004"/>
      <c r="M118" s="2004"/>
      <c r="N118" s="2004"/>
      <c r="O118" s="2004"/>
      <c r="P118" s="2004" t="s">
        <v>12419</v>
      </c>
      <c r="Q118" s="2004" t="s">
        <v>12655</v>
      </c>
      <c r="R118" s="2004" t="s">
        <v>12450</v>
      </c>
      <c r="S118" s="2004"/>
      <c r="T118" s="2004" t="s">
        <v>766</v>
      </c>
      <c r="U118" s="516" t="s">
        <v>3016</v>
      </c>
      <c r="V118" s="2004"/>
      <c r="W118" s="2004" t="s">
        <v>12656</v>
      </c>
      <c r="X118" s="2004">
        <v>736</v>
      </c>
      <c r="Y118" s="2004">
        <v>736</v>
      </c>
      <c r="Z118" s="2004">
        <v>736</v>
      </c>
      <c r="AA118" s="2004">
        <v>736</v>
      </c>
      <c r="AB118" s="2004">
        <v>736</v>
      </c>
      <c r="AC118" s="2004"/>
      <c r="AD118" s="2004"/>
      <c r="AE118" s="2004">
        <v>881</v>
      </c>
      <c r="AF118" s="2004">
        <v>881</v>
      </c>
      <c r="AG118" s="2004">
        <v>881</v>
      </c>
      <c r="AH118" s="2004">
        <v>881</v>
      </c>
      <c r="AI118" s="2004">
        <v>881</v>
      </c>
      <c r="AJ118" s="2004" t="s">
        <v>4140</v>
      </c>
      <c r="AK118" s="2004" t="s">
        <v>4140</v>
      </c>
      <c r="AL118" s="2004" t="s">
        <v>4140</v>
      </c>
      <c r="AM118" s="2004" t="s">
        <v>4140</v>
      </c>
      <c r="AN118" s="2004" t="s">
        <v>4140</v>
      </c>
      <c r="AO118" s="2004" t="s">
        <v>4140</v>
      </c>
      <c r="AP118" s="2004" t="s">
        <v>4140</v>
      </c>
      <c r="AQ118" s="2004">
        <v>1004</v>
      </c>
      <c r="AR118" s="2004">
        <v>530</v>
      </c>
      <c r="AS118" s="2004">
        <v>471</v>
      </c>
      <c r="AT118" s="2004" t="s">
        <v>2337</v>
      </c>
      <c r="AU118" s="2004">
        <v>632</v>
      </c>
      <c r="AV118" s="2004" t="s">
        <v>2337</v>
      </c>
      <c r="AW118" s="2004">
        <v>321</v>
      </c>
      <c r="AX118" s="2004" t="s">
        <v>2337</v>
      </c>
      <c r="AY118" s="2004">
        <v>365</v>
      </c>
      <c r="AZ118" s="2004" t="s">
        <v>2337</v>
      </c>
      <c r="BA118" s="2004"/>
      <c r="BB118" s="2004" t="s">
        <v>12657</v>
      </c>
    </row>
    <row r="119" spans="1:54">
      <c r="A119" s="2004" t="s">
        <v>11319</v>
      </c>
      <c r="B119" s="2004" t="s">
        <v>9047</v>
      </c>
      <c r="C119" s="2004" t="s">
        <v>9073</v>
      </c>
      <c r="D119" s="2004" t="s">
        <v>9410</v>
      </c>
      <c r="E119" s="2004" t="s">
        <v>11320</v>
      </c>
      <c r="F119" s="2004" t="s">
        <v>11322</v>
      </c>
      <c r="G119" s="2004"/>
      <c r="H119" s="2004"/>
      <c r="I119" s="2004"/>
      <c r="J119" s="2004"/>
      <c r="K119" s="2004"/>
      <c r="L119" s="2004"/>
      <c r="M119" s="2004"/>
      <c r="N119" s="2004"/>
      <c r="O119" s="2004"/>
      <c r="P119" s="2004" t="s">
        <v>12423</v>
      </c>
      <c r="Q119" s="2004" t="s">
        <v>12658</v>
      </c>
      <c r="R119" s="2004" t="s">
        <v>12455</v>
      </c>
      <c r="S119" s="2004"/>
      <c r="T119" s="2004" t="s">
        <v>766</v>
      </c>
      <c r="U119" s="516" t="s">
        <v>3016</v>
      </c>
      <c r="V119" s="2004"/>
      <c r="W119" s="2004" t="s">
        <v>12656</v>
      </c>
      <c r="X119" s="2004">
        <v>84438</v>
      </c>
      <c r="Y119" s="2004">
        <v>84438</v>
      </c>
      <c r="Z119" s="2004">
        <v>84438</v>
      </c>
      <c r="AA119" s="2004">
        <v>84438</v>
      </c>
      <c r="AB119" s="2004">
        <v>84438</v>
      </c>
      <c r="AC119" s="2004"/>
      <c r="AD119" s="2004"/>
      <c r="AE119" s="2004">
        <v>89698</v>
      </c>
      <c r="AF119" s="2004">
        <v>89698</v>
      </c>
      <c r="AG119" s="2004">
        <v>89698</v>
      </c>
      <c r="AH119" s="2004">
        <v>89698</v>
      </c>
      <c r="AI119" s="2004">
        <v>89698</v>
      </c>
      <c r="AJ119" s="2004" t="s">
        <v>4140</v>
      </c>
      <c r="AK119" s="2004" t="s">
        <v>4140</v>
      </c>
      <c r="AL119" s="2004" t="s">
        <v>4140</v>
      </c>
      <c r="AM119" s="2004" t="s">
        <v>4140</v>
      </c>
      <c r="AN119" s="2004" t="s">
        <v>4140</v>
      </c>
      <c r="AO119" s="2004" t="s">
        <v>4140</v>
      </c>
      <c r="AP119" s="2004" t="s">
        <v>4140</v>
      </c>
      <c r="AQ119" s="2004">
        <v>93251</v>
      </c>
      <c r="AR119" s="2004">
        <v>86582</v>
      </c>
      <c r="AS119" s="2004">
        <v>84677</v>
      </c>
      <c r="AT119" s="2004" t="s">
        <v>2334</v>
      </c>
      <c r="AU119" s="2004">
        <v>80747</v>
      </c>
      <c r="AV119" s="2004" t="s">
        <v>2337</v>
      </c>
      <c r="AW119" s="2004">
        <v>77402</v>
      </c>
      <c r="AX119" s="2004" t="s">
        <v>2337</v>
      </c>
      <c r="AY119" s="2004">
        <v>79702</v>
      </c>
      <c r="AZ119" s="2004" t="s">
        <v>2337</v>
      </c>
      <c r="BA119" s="2004"/>
      <c r="BB119" s="2004" t="s">
        <v>12659</v>
      </c>
    </row>
    <row r="120" spans="1:54">
      <c r="A120" s="2004" t="s">
        <v>11319</v>
      </c>
      <c r="B120" s="2004" t="s">
        <v>9047</v>
      </c>
      <c r="C120" s="2004" t="s">
        <v>9073</v>
      </c>
      <c r="D120" s="2004" t="s">
        <v>9410</v>
      </c>
      <c r="E120" s="2004" t="s">
        <v>11320</v>
      </c>
      <c r="F120" s="2004" t="s">
        <v>11322</v>
      </c>
      <c r="G120" s="2004"/>
      <c r="H120" s="2004"/>
      <c r="I120" s="2004"/>
      <c r="J120" s="2004"/>
      <c r="K120" s="2004"/>
      <c r="L120" s="2004"/>
      <c r="M120" s="2004"/>
      <c r="N120" s="2004"/>
      <c r="O120" s="2004"/>
      <c r="P120" s="2004" t="s">
        <v>12430</v>
      </c>
      <c r="Q120" s="2004" t="s">
        <v>12660</v>
      </c>
      <c r="R120" s="2004" t="s">
        <v>12448</v>
      </c>
      <c r="S120" s="2004"/>
      <c r="T120" s="2004" t="s">
        <v>766</v>
      </c>
      <c r="U120" s="516" t="s">
        <v>3016</v>
      </c>
      <c r="V120" s="2004"/>
      <c r="W120" s="2004" t="s">
        <v>12656</v>
      </c>
      <c r="X120" s="2004">
        <v>206</v>
      </c>
      <c r="Y120" s="2004">
        <v>206</v>
      </c>
      <c r="Z120" s="2004">
        <v>206</v>
      </c>
      <c r="AA120" s="2004">
        <v>206</v>
      </c>
      <c r="AB120" s="2004">
        <v>206</v>
      </c>
      <c r="AC120" s="2004"/>
      <c r="AD120" s="2004"/>
      <c r="AE120" s="2004">
        <v>332</v>
      </c>
      <c r="AF120" s="2004">
        <v>332</v>
      </c>
      <c r="AG120" s="2004">
        <v>332</v>
      </c>
      <c r="AH120" s="2004">
        <v>332</v>
      </c>
      <c r="AI120" s="2004">
        <v>332</v>
      </c>
      <c r="AJ120" s="2004" t="s">
        <v>4140</v>
      </c>
      <c r="AK120" s="2004" t="s">
        <v>4140</v>
      </c>
      <c r="AL120" s="2004" t="s">
        <v>4140</v>
      </c>
      <c r="AM120" s="2004" t="s">
        <v>4140</v>
      </c>
      <c r="AN120" s="2004" t="s">
        <v>4140</v>
      </c>
      <c r="AO120" s="2004" t="s">
        <v>4140</v>
      </c>
      <c r="AP120" s="2004" t="s">
        <v>4140</v>
      </c>
      <c r="AQ120" s="2004">
        <v>393</v>
      </c>
      <c r="AR120" s="2004"/>
      <c r="AS120" s="2004">
        <v>178</v>
      </c>
      <c r="AT120" s="2004" t="s">
        <v>2337</v>
      </c>
      <c r="AU120" s="2004">
        <v>243</v>
      </c>
      <c r="AV120" s="2004" t="s">
        <v>2334</v>
      </c>
      <c r="AW120" s="2004">
        <v>241</v>
      </c>
      <c r="AX120" s="2004" t="s">
        <v>2334</v>
      </c>
      <c r="AY120" s="2004">
        <v>204</v>
      </c>
      <c r="AZ120" s="2004" t="s">
        <v>2337</v>
      </c>
      <c r="BA120" s="2004"/>
      <c r="BB120" s="2004" t="s">
        <v>12661</v>
      </c>
    </row>
    <row r="121" spans="1:54">
      <c r="A121" s="2004" t="s">
        <v>11319</v>
      </c>
      <c r="B121" s="2004" t="s">
        <v>9047</v>
      </c>
      <c r="C121" s="2004" t="s">
        <v>9073</v>
      </c>
      <c r="D121" s="2004" t="s">
        <v>9410</v>
      </c>
      <c r="E121" s="2004" t="s">
        <v>11320</v>
      </c>
      <c r="F121" s="2004" t="s">
        <v>11322</v>
      </c>
      <c r="G121" s="2004"/>
      <c r="H121" s="2004"/>
      <c r="I121" s="2004"/>
      <c r="J121" s="2004"/>
      <c r="K121" s="2004"/>
      <c r="L121" s="2004"/>
      <c r="M121" s="2004"/>
      <c r="N121" s="2004"/>
      <c r="O121" s="2004"/>
      <c r="P121" s="2004" t="s">
        <v>12434</v>
      </c>
      <c r="Q121" s="2004" t="s">
        <v>12662</v>
      </c>
      <c r="R121" s="2004" t="s">
        <v>12453</v>
      </c>
      <c r="S121" s="2004"/>
      <c r="T121" s="2004" t="s">
        <v>766</v>
      </c>
      <c r="U121" s="516" t="s">
        <v>3016</v>
      </c>
      <c r="V121" s="2004"/>
      <c r="W121" s="2004" t="s">
        <v>12656</v>
      </c>
      <c r="X121" s="2004">
        <v>1077</v>
      </c>
      <c r="Y121" s="2004">
        <v>1077</v>
      </c>
      <c r="Z121" s="2004">
        <v>1077</v>
      </c>
      <c r="AA121" s="2004">
        <v>1077</v>
      </c>
      <c r="AB121" s="2004">
        <v>1077</v>
      </c>
      <c r="AC121" s="2004"/>
      <c r="AD121" s="2004"/>
      <c r="AE121" s="2004">
        <v>1274</v>
      </c>
      <c r="AF121" s="2004">
        <v>1274</v>
      </c>
      <c r="AG121" s="2004">
        <v>1274</v>
      </c>
      <c r="AH121" s="2004">
        <v>1274</v>
      </c>
      <c r="AI121" s="2004">
        <v>1274</v>
      </c>
      <c r="AJ121" s="2004" t="s">
        <v>4140</v>
      </c>
      <c r="AK121" s="2004" t="s">
        <v>4140</v>
      </c>
      <c r="AL121" s="2004" t="s">
        <v>4140</v>
      </c>
      <c r="AM121" s="2004" t="s">
        <v>4140</v>
      </c>
      <c r="AN121" s="2004" t="s">
        <v>4140</v>
      </c>
      <c r="AO121" s="2004" t="s">
        <v>4140</v>
      </c>
      <c r="AP121" s="2004" t="s">
        <v>4140</v>
      </c>
      <c r="AQ121" s="2004">
        <v>1358</v>
      </c>
      <c r="AR121" s="2004">
        <v>1017</v>
      </c>
      <c r="AS121" s="2004">
        <v>1227</v>
      </c>
      <c r="AT121" s="2004" t="s">
        <v>2334</v>
      </c>
      <c r="AU121" s="2004">
        <v>1106</v>
      </c>
      <c r="AV121" s="2004" t="s">
        <v>2334</v>
      </c>
      <c r="AW121" s="2004">
        <v>969</v>
      </c>
      <c r="AX121" s="2004" t="s">
        <v>2337</v>
      </c>
      <c r="AY121" s="2004">
        <v>968</v>
      </c>
      <c r="AZ121" s="2004" t="s">
        <v>2337</v>
      </c>
      <c r="BA121" s="2004"/>
      <c r="BB121" s="2004" t="s">
        <v>12663</v>
      </c>
    </row>
    <row r="122" spans="1:54">
      <c r="A122" s="2004" t="s">
        <v>11536</v>
      </c>
      <c r="B122" s="2004" t="s">
        <v>9047</v>
      </c>
      <c r="C122" s="2004" t="s">
        <v>11523</v>
      </c>
      <c r="D122" s="2004" t="s">
        <v>9194</v>
      </c>
      <c r="E122" s="2004" t="s">
        <v>8928</v>
      </c>
      <c r="F122" s="2004" t="s">
        <v>11538</v>
      </c>
      <c r="G122" s="2004" t="s">
        <v>9199</v>
      </c>
      <c r="H122" s="2004" t="s">
        <v>9238</v>
      </c>
      <c r="I122" s="2004" t="s">
        <v>11539</v>
      </c>
      <c r="J122" s="2004">
        <v>107.2</v>
      </c>
      <c r="K122" s="2004">
        <v>119.3</v>
      </c>
      <c r="L122" s="2004">
        <v>130.30000000000001</v>
      </c>
      <c r="M122" s="2004">
        <v>145.9</v>
      </c>
      <c r="N122" s="2004">
        <v>145.9</v>
      </c>
      <c r="O122" s="2004">
        <v>145.9</v>
      </c>
      <c r="P122" s="2004" t="s">
        <v>12417</v>
      </c>
      <c r="Q122" s="2004" t="s">
        <v>11538</v>
      </c>
      <c r="R122" s="2004"/>
      <c r="S122" s="2004">
        <v>-15628.223599999999</v>
      </c>
      <c r="T122" s="2004" t="s">
        <v>9282</v>
      </c>
      <c r="U122" s="2004">
        <v>3</v>
      </c>
      <c r="V122" s="2004"/>
      <c r="W122" s="2004"/>
      <c r="X122" s="2004"/>
      <c r="Y122" s="2004"/>
      <c r="Z122" s="2004"/>
      <c r="AA122" s="2004"/>
      <c r="AB122" s="2004"/>
      <c r="AC122" s="2004"/>
      <c r="AD122" s="2004"/>
      <c r="AE122" s="2004"/>
      <c r="AF122" s="2004"/>
      <c r="AG122" s="2004"/>
      <c r="AH122" s="2004"/>
      <c r="AI122" s="2004"/>
      <c r="AJ122" s="2004"/>
      <c r="AK122" s="2004"/>
      <c r="AL122" s="2004"/>
      <c r="AM122" s="2004"/>
      <c r="AN122" s="2004"/>
      <c r="AO122" s="2004"/>
      <c r="AP122" s="2004"/>
      <c r="AQ122" s="2004"/>
      <c r="AR122" s="2004">
        <v>108.364</v>
      </c>
      <c r="AS122" s="2004">
        <v>120.465</v>
      </c>
      <c r="AT122" s="2004" t="s">
        <v>2337</v>
      </c>
      <c r="AU122" s="2004">
        <v>116.923</v>
      </c>
      <c r="AV122" s="2004" t="s">
        <v>2334</v>
      </c>
      <c r="AW122" s="2004">
        <v>98.645494378014845</v>
      </c>
      <c r="AX122" s="2004" t="s">
        <v>2334</v>
      </c>
      <c r="AY122" s="2004">
        <v>101.182</v>
      </c>
      <c r="AZ122" s="2004" t="s">
        <v>2334</v>
      </c>
      <c r="BA122" s="2004"/>
      <c r="BB122" s="2004" t="s">
        <v>12664</v>
      </c>
    </row>
    <row r="123" spans="1:54">
      <c r="A123" s="2004" t="s">
        <v>11536</v>
      </c>
      <c r="B123" s="2004" t="s">
        <v>9047</v>
      </c>
      <c r="C123" s="2004" t="s">
        <v>11523</v>
      </c>
      <c r="D123" s="2004" t="s">
        <v>9194</v>
      </c>
      <c r="E123" s="2004" t="s">
        <v>8928</v>
      </c>
      <c r="F123" s="2004" t="s">
        <v>11538</v>
      </c>
      <c r="G123" s="2004"/>
      <c r="H123" s="2004"/>
      <c r="I123" s="2004"/>
      <c r="J123" s="2004"/>
      <c r="K123" s="2004"/>
      <c r="L123" s="2004"/>
      <c r="M123" s="2004"/>
      <c r="N123" s="2004"/>
      <c r="O123" s="2004"/>
      <c r="P123" s="2004" t="s">
        <v>12419</v>
      </c>
      <c r="Q123" s="2004" t="s">
        <v>12665</v>
      </c>
      <c r="R123" s="2004" t="s">
        <v>12440</v>
      </c>
      <c r="S123" s="2004">
        <v>-16.217128118668306</v>
      </c>
      <c r="T123" s="2004" t="s">
        <v>734</v>
      </c>
      <c r="U123" s="2004">
        <v>2</v>
      </c>
      <c r="V123" s="2004"/>
      <c r="W123" s="2004">
        <v>0.04</v>
      </c>
      <c r="X123" s="2004">
        <v>0.04</v>
      </c>
      <c r="Y123" s="2004">
        <v>0.04</v>
      </c>
      <c r="Z123" s="2004">
        <v>0.04</v>
      </c>
      <c r="AA123" s="2004">
        <v>0.04</v>
      </c>
      <c r="AB123" s="2004">
        <v>0.04</v>
      </c>
      <c r="AC123" s="2004"/>
      <c r="AD123" s="2004"/>
      <c r="AE123" s="2004"/>
      <c r="AF123" s="2004"/>
      <c r="AG123" s="2004"/>
      <c r="AH123" s="2004"/>
      <c r="AI123" s="2004"/>
      <c r="AJ123" s="2004"/>
      <c r="AK123" s="2004"/>
      <c r="AL123" s="2004"/>
      <c r="AM123" s="2004"/>
      <c r="AN123" s="2004"/>
      <c r="AO123" s="2004"/>
      <c r="AP123" s="2004"/>
      <c r="AQ123" s="2004"/>
      <c r="AR123" s="2004">
        <v>0.03</v>
      </c>
      <c r="AS123" s="2004">
        <v>0.06</v>
      </c>
      <c r="AT123" s="2004" t="s">
        <v>2334</v>
      </c>
      <c r="AU123" s="2004">
        <v>0.01</v>
      </c>
      <c r="AV123" s="2004" t="s">
        <v>2337</v>
      </c>
      <c r="AW123" s="2004">
        <v>0.01</v>
      </c>
      <c r="AX123" s="2004" t="s">
        <v>2337</v>
      </c>
      <c r="AY123" s="2004">
        <v>0.01</v>
      </c>
      <c r="AZ123" s="2004" t="s">
        <v>2337</v>
      </c>
      <c r="BA123" s="2004"/>
      <c r="BB123" s="2004" t="s">
        <v>12666</v>
      </c>
    </row>
    <row r="124" spans="1:54">
      <c r="A124" s="2004" t="s">
        <v>11536</v>
      </c>
      <c r="B124" s="2004" t="s">
        <v>9047</v>
      </c>
      <c r="C124" s="2004" t="s">
        <v>11523</v>
      </c>
      <c r="D124" s="2004" t="s">
        <v>9194</v>
      </c>
      <c r="E124" s="2004" t="s">
        <v>8928</v>
      </c>
      <c r="F124" s="2004" t="s">
        <v>11538</v>
      </c>
      <c r="G124" s="2004"/>
      <c r="H124" s="2004"/>
      <c r="I124" s="2004"/>
      <c r="J124" s="2004"/>
      <c r="K124" s="2004"/>
      <c r="L124" s="2004"/>
      <c r="M124" s="2004"/>
      <c r="N124" s="2004"/>
      <c r="O124" s="2004"/>
      <c r="P124" s="2004" t="s">
        <v>12423</v>
      </c>
      <c r="Q124" s="2004" t="s">
        <v>12667</v>
      </c>
      <c r="R124" s="2004" t="s">
        <v>12443</v>
      </c>
      <c r="S124" s="2004">
        <v>37.39055984289103</v>
      </c>
      <c r="T124" s="2004" t="s">
        <v>734</v>
      </c>
      <c r="U124" s="2004">
        <v>2</v>
      </c>
      <c r="V124" s="2004"/>
      <c r="W124" s="2004">
        <v>99.96</v>
      </c>
      <c r="X124" s="2004">
        <v>99.96</v>
      </c>
      <c r="Y124" s="2004">
        <v>99.96</v>
      </c>
      <c r="Z124" s="2004">
        <v>99.96</v>
      </c>
      <c r="AA124" s="2004">
        <v>99.96</v>
      </c>
      <c r="AB124" s="2004">
        <v>99.96</v>
      </c>
      <c r="AC124" s="2004"/>
      <c r="AD124" s="2004"/>
      <c r="AE124" s="2004"/>
      <c r="AF124" s="2004"/>
      <c r="AG124" s="2004"/>
      <c r="AH124" s="2004"/>
      <c r="AI124" s="2004"/>
      <c r="AJ124" s="2004"/>
      <c r="AK124" s="2004"/>
      <c r="AL124" s="2004"/>
      <c r="AM124" s="2004"/>
      <c r="AN124" s="2004"/>
      <c r="AO124" s="2004"/>
      <c r="AP124" s="2004"/>
      <c r="AQ124" s="2004"/>
      <c r="AR124" s="2004">
        <v>99.98</v>
      </c>
      <c r="AS124" s="2004">
        <v>99.98</v>
      </c>
      <c r="AT124" s="2004" t="s">
        <v>2337</v>
      </c>
      <c r="AU124" s="2004">
        <v>99.98</v>
      </c>
      <c r="AV124" s="2004" t="s">
        <v>2337</v>
      </c>
      <c r="AW124" s="2004">
        <v>99.97</v>
      </c>
      <c r="AX124" s="2004" t="s">
        <v>2337</v>
      </c>
      <c r="AY124" s="2004">
        <v>99.98</v>
      </c>
      <c r="AZ124" s="2004" t="s">
        <v>2337</v>
      </c>
      <c r="BA124" s="2004"/>
      <c r="BB124" s="2004" t="s">
        <v>12668</v>
      </c>
    </row>
    <row r="125" spans="1:54">
      <c r="A125" s="2004" t="s">
        <v>11536</v>
      </c>
      <c r="B125" s="2004" t="s">
        <v>9047</v>
      </c>
      <c r="C125" s="2004" t="s">
        <v>11523</v>
      </c>
      <c r="D125" s="2004" t="s">
        <v>9194</v>
      </c>
      <c r="E125" s="2004" t="s">
        <v>8928</v>
      </c>
      <c r="F125" s="2004" t="s">
        <v>11538</v>
      </c>
      <c r="G125" s="2004"/>
      <c r="H125" s="2004"/>
      <c r="I125" s="2004"/>
      <c r="J125" s="2004"/>
      <c r="K125" s="2004"/>
      <c r="L125" s="2004"/>
      <c r="M125" s="2004"/>
      <c r="N125" s="2004"/>
      <c r="O125" s="2004"/>
      <c r="P125" s="2004" t="s">
        <v>12430</v>
      </c>
      <c r="Q125" s="2004" t="s">
        <v>12669</v>
      </c>
      <c r="R125" s="2004" t="s">
        <v>12445</v>
      </c>
      <c r="S125" s="2004">
        <v>-7.6539796562042461E-2</v>
      </c>
      <c r="T125" s="2004" t="s">
        <v>766</v>
      </c>
      <c r="U125" s="516" t="s">
        <v>3016</v>
      </c>
      <c r="V125" s="2004"/>
      <c r="W125" s="2004">
        <v>3</v>
      </c>
      <c r="X125" s="2004">
        <v>3</v>
      </c>
      <c r="Y125" s="2004">
        <v>3</v>
      </c>
      <c r="Z125" s="2004">
        <v>3</v>
      </c>
      <c r="AA125" s="2004">
        <v>3</v>
      </c>
      <c r="AB125" s="2004">
        <v>3</v>
      </c>
      <c r="AC125" s="2004"/>
      <c r="AD125" s="2004"/>
      <c r="AE125" s="2004"/>
      <c r="AF125" s="2004"/>
      <c r="AG125" s="2004"/>
      <c r="AH125" s="2004"/>
      <c r="AI125" s="2004"/>
      <c r="AJ125" s="2004"/>
      <c r="AK125" s="2004"/>
      <c r="AL125" s="2004"/>
      <c r="AM125" s="2004"/>
      <c r="AN125" s="2004"/>
      <c r="AO125" s="2004"/>
      <c r="AP125" s="2004"/>
      <c r="AQ125" s="2004"/>
      <c r="AR125" s="2004">
        <v>2</v>
      </c>
      <c r="AS125" s="2004">
        <v>1</v>
      </c>
      <c r="AT125" s="2004" t="s">
        <v>2337</v>
      </c>
      <c r="AU125" s="2004">
        <v>2</v>
      </c>
      <c r="AV125" s="2004" t="s">
        <v>2337</v>
      </c>
      <c r="AW125" s="2004">
        <v>1</v>
      </c>
      <c r="AX125" s="2004" t="s">
        <v>2337</v>
      </c>
      <c r="AY125" s="2004">
        <v>0</v>
      </c>
      <c r="AZ125" s="2004" t="s">
        <v>2334</v>
      </c>
      <c r="BA125" s="2004"/>
      <c r="BB125" s="2004" t="s">
        <v>12670</v>
      </c>
    </row>
    <row r="126" spans="1:54">
      <c r="A126" s="2004" t="s">
        <v>11536</v>
      </c>
      <c r="B126" s="2004" t="s">
        <v>9047</v>
      </c>
      <c r="C126" s="2004" t="s">
        <v>11523</v>
      </c>
      <c r="D126" s="2004" t="s">
        <v>9194</v>
      </c>
      <c r="E126" s="2004" t="s">
        <v>8928</v>
      </c>
      <c r="F126" s="2004" t="s">
        <v>11538</v>
      </c>
      <c r="G126" s="2004"/>
      <c r="H126" s="2004"/>
      <c r="I126" s="2004"/>
      <c r="J126" s="2004"/>
      <c r="K126" s="2004"/>
      <c r="L126" s="2004"/>
      <c r="M126" s="2004"/>
      <c r="N126" s="2004"/>
      <c r="O126" s="2004"/>
      <c r="P126" s="2004" t="s">
        <v>12434</v>
      </c>
      <c r="Q126" s="2004" t="s">
        <v>12671</v>
      </c>
      <c r="R126" s="2004" t="s">
        <v>12671</v>
      </c>
      <c r="S126" s="2004">
        <v>116.54918801406053</v>
      </c>
      <c r="T126" s="2004" t="s">
        <v>734</v>
      </c>
      <c r="U126" s="2004">
        <v>2</v>
      </c>
      <c r="V126" s="2004"/>
      <c r="W126" s="2004">
        <v>99.95</v>
      </c>
      <c r="X126" s="2004">
        <v>99.96</v>
      </c>
      <c r="Y126" s="2004">
        <v>99.96</v>
      </c>
      <c r="Z126" s="2004">
        <v>100</v>
      </c>
      <c r="AA126" s="2004">
        <v>100</v>
      </c>
      <c r="AB126" s="2004">
        <v>100</v>
      </c>
      <c r="AC126" s="2004"/>
      <c r="AD126" s="2004"/>
      <c r="AE126" s="2004"/>
      <c r="AF126" s="2004"/>
      <c r="AG126" s="2004"/>
      <c r="AH126" s="2004"/>
      <c r="AI126" s="2004"/>
      <c r="AJ126" s="2004"/>
      <c r="AK126" s="2004"/>
      <c r="AL126" s="2004"/>
      <c r="AM126" s="2004"/>
      <c r="AN126" s="2004"/>
      <c r="AO126" s="2004"/>
      <c r="AP126" s="2004"/>
      <c r="AQ126" s="2004"/>
      <c r="AR126" s="2004">
        <v>99.96</v>
      </c>
      <c r="AS126" s="2004">
        <v>99.96</v>
      </c>
      <c r="AT126" s="2004" t="s">
        <v>2337</v>
      </c>
      <c r="AU126" s="2004">
        <v>99.96</v>
      </c>
      <c r="AV126" s="2004" t="s">
        <v>2337</v>
      </c>
      <c r="AW126" s="2004">
        <v>99.97</v>
      </c>
      <c r="AX126" s="2004" t="s">
        <v>2334</v>
      </c>
      <c r="AY126" s="2004">
        <v>99.93</v>
      </c>
      <c r="AZ126" s="2004" t="s">
        <v>2334</v>
      </c>
      <c r="BA126" s="2004"/>
      <c r="BB126" s="2004" t="s">
        <v>12672</v>
      </c>
    </row>
    <row r="127" spans="1:54">
      <c r="A127" s="2004" t="s">
        <v>11536</v>
      </c>
      <c r="B127" s="2004" t="s">
        <v>9047</v>
      </c>
      <c r="C127" s="2004" t="s">
        <v>11523</v>
      </c>
      <c r="D127" s="2004" t="s">
        <v>9194</v>
      </c>
      <c r="E127" s="2004" t="s">
        <v>8928</v>
      </c>
      <c r="F127" s="2004" t="s">
        <v>11538</v>
      </c>
      <c r="G127" s="2004"/>
      <c r="H127" s="2004"/>
      <c r="I127" s="2004"/>
      <c r="J127" s="2004"/>
      <c r="K127" s="2004"/>
      <c r="L127" s="2004"/>
      <c r="M127" s="2004"/>
      <c r="N127" s="2004"/>
      <c r="O127" s="2004"/>
      <c r="P127" s="2004" t="s">
        <v>12486</v>
      </c>
      <c r="Q127" s="2004" t="s">
        <v>12673</v>
      </c>
      <c r="R127" s="2004" t="s">
        <v>12436</v>
      </c>
      <c r="S127" s="2004">
        <v>4.482469859843901</v>
      </c>
      <c r="T127" s="2004" t="s">
        <v>734</v>
      </c>
      <c r="U127" s="2004">
        <v>2</v>
      </c>
      <c r="V127" s="2004"/>
      <c r="W127" s="2004">
        <v>99.88</v>
      </c>
      <c r="X127" s="2004">
        <v>99.88</v>
      </c>
      <c r="Y127" s="2004">
        <v>99.88</v>
      </c>
      <c r="Z127" s="2004">
        <v>99.88</v>
      </c>
      <c r="AA127" s="2004">
        <v>99.88</v>
      </c>
      <c r="AB127" s="2004">
        <v>99.88</v>
      </c>
      <c r="AC127" s="2004"/>
      <c r="AD127" s="2004"/>
      <c r="AE127" s="2004"/>
      <c r="AF127" s="2004"/>
      <c r="AG127" s="2004"/>
      <c r="AH127" s="2004"/>
      <c r="AI127" s="2004"/>
      <c r="AJ127" s="2004"/>
      <c r="AK127" s="2004"/>
      <c r="AL127" s="2004"/>
      <c r="AM127" s="2004"/>
      <c r="AN127" s="2004"/>
      <c r="AO127" s="2004"/>
      <c r="AP127" s="2004"/>
      <c r="AQ127" s="2004"/>
      <c r="AR127" s="2004">
        <v>99.93</v>
      </c>
      <c r="AS127" s="2004">
        <v>99.89</v>
      </c>
      <c r="AT127" s="2004" t="s">
        <v>2337</v>
      </c>
      <c r="AU127" s="2004">
        <v>99.85</v>
      </c>
      <c r="AV127" s="2004" t="s">
        <v>2334</v>
      </c>
      <c r="AW127" s="2004">
        <v>99.89</v>
      </c>
      <c r="AX127" s="2004" t="s">
        <v>2337</v>
      </c>
      <c r="AY127" s="2004">
        <v>99.86</v>
      </c>
      <c r="AZ127" s="2004" t="s">
        <v>2334</v>
      </c>
      <c r="BA127" s="2004"/>
      <c r="BB127" s="2004" t="s">
        <v>12674</v>
      </c>
    </row>
    <row r="128" spans="1:54">
      <c r="A128" s="2004" t="s">
        <v>11536</v>
      </c>
      <c r="B128" s="2004" t="s">
        <v>9047</v>
      </c>
      <c r="C128" s="2004" t="s">
        <v>11523</v>
      </c>
      <c r="D128" s="2004" t="s">
        <v>9194</v>
      </c>
      <c r="E128" s="2004" t="s">
        <v>8928</v>
      </c>
      <c r="F128" s="2004" t="s">
        <v>11538</v>
      </c>
      <c r="G128" s="2004"/>
      <c r="H128" s="2004"/>
      <c r="I128" s="2004"/>
      <c r="J128" s="2004"/>
      <c r="K128" s="2004"/>
      <c r="L128" s="2004"/>
      <c r="M128" s="2004"/>
      <c r="N128" s="2004"/>
      <c r="O128" s="2004"/>
      <c r="P128" s="2004" t="s">
        <v>12489</v>
      </c>
      <c r="Q128" s="2004" t="s">
        <v>12675</v>
      </c>
      <c r="R128" s="2004" t="s">
        <v>12676</v>
      </c>
      <c r="S128" s="2004">
        <v>-9.4406713099461359E-3</v>
      </c>
      <c r="T128" s="2004" t="s">
        <v>766</v>
      </c>
      <c r="U128" s="516" t="s">
        <v>3016</v>
      </c>
      <c r="V128" s="2004"/>
      <c r="W128" s="2004">
        <v>10387</v>
      </c>
      <c r="X128" s="2004">
        <v>9226</v>
      </c>
      <c r="Y128" s="2004">
        <v>8065</v>
      </c>
      <c r="Z128" s="2004">
        <v>6904</v>
      </c>
      <c r="AA128" s="2004">
        <v>6904</v>
      </c>
      <c r="AB128" s="2004">
        <v>6904</v>
      </c>
      <c r="AC128" s="2004"/>
      <c r="AD128" s="2004"/>
      <c r="AE128" s="2004"/>
      <c r="AF128" s="2004"/>
      <c r="AG128" s="2004"/>
      <c r="AH128" s="2004"/>
      <c r="AI128" s="2004"/>
      <c r="AJ128" s="2004"/>
      <c r="AK128" s="2004"/>
      <c r="AL128" s="2004"/>
      <c r="AM128" s="2004"/>
      <c r="AN128" s="2004"/>
      <c r="AO128" s="2004"/>
      <c r="AP128" s="2004"/>
      <c r="AQ128" s="2004"/>
      <c r="AR128" s="2004">
        <v>10436</v>
      </c>
      <c r="AS128" s="2004">
        <v>9171</v>
      </c>
      <c r="AT128" s="2004" t="s">
        <v>2337</v>
      </c>
      <c r="AU128" s="2004">
        <v>9605</v>
      </c>
      <c r="AV128" s="2004" t="s">
        <v>2334</v>
      </c>
      <c r="AW128" s="2004">
        <v>11652</v>
      </c>
      <c r="AX128" s="2004" t="s">
        <v>2334</v>
      </c>
      <c r="AY128" s="2004">
        <v>10923</v>
      </c>
      <c r="AZ128" s="2004" t="s">
        <v>2334</v>
      </c>
      <c r="BA128" s="2004"/>
      <c r="BB128" s="2004" t="s">
        <v>12677</v>
      </c>
    </row>
    <row r="129" spans="1:54">
      <c r="A129" s="2004" t="s">
        <v>11550</v>
      </c>
      <c r="B129" s="2004" t="s">
        <v>9047</v>
      </c>
      <c r="C129" s="2004" t="s">
        <v>11523</v>
      </c>
      <c r="D129" s="2004" t="s">
        <v>9194</v>
      </c>
      <c r="E129" s="2004" t="s">
        <v>7931</v>
      </c>
      <c r="F129" s="2004" t="s">
        <v>11552</v>
      </c>
      <c r="G129" s="2004" t="s">
        <v>9199</v>
      </c>
      <c r="H129" s="2004" t="s">
        <v>9260</v>
      </c>
      <c r="I129" s="2004" t="s">
        <v>11553</v>
      </c>
      <c r="J129" s="2004">
        <v>100</v>
      </c>
      <c r="K129" s="2004">
        <v>100</v>
      </c>
      <c r="L129" s="2004">
        <v>100</v>
      </c>
      <c r="M129" s="2004">
        <v>100</v>
      </c>
      <c r="N129" s="2004">
        <v>100</v>
      </c>
      <c r="O129" s="2004">
        <v>100</v>
      </c>
      <c r="P129" s="2004" t="s">
        <v>12417</v>
      </c>
      <c r="Q129" s="2004" t="s">
        <v>11552</v>
      </c>
      <c r="R129" s="2004"/>
      <c r="S129" s="2004">
        <v>134.14671860385499</v>
      </c>
      <c r="T129" s="2004" t="s">
        <v>9282</v>
      </c>
      <c r="U129" s="2004">
        <v>3</v>
      </c>
      <c r="V129" s="2004"/>
      <c r="W129" s="2004"/>
      <c r="X129" s="2004"/>
      <c r="Y129" s="2004"/>
      <c r="Z129" s="2004"/>
      <c r="AA129" s="2004"/>
      <c r="AB129" s="2004"/>
      <c r="AC129" s="2004"/>
      <c r="AD129" s="2004"/>
      <c r="AE129" s="2004"/>
      <c r="AF129" s="2004"/>
      <c r="AG129" s="2004"/>
      <c r="AH129" s="2004"/>
      <c r="AI129" s="2004"/>
      <c r="AJ129" s="2004"/>
      <c r="AK129" s="2004"/>
      <c r="AL129" s="2004"/>
      <c r="AM129" s="2004"/>
      <c r="AN129" s="2004"/>
      <c r="AO129" s="2004"/>
      <c r="AP129" s="2004"/>
      <c r="AQ129" s="2004"/>
      <c r="AR129" s="2004">
        <v>100.321</v>
      </c>
      <c r="AS129" s="2004">
        <v>16.446999999999999</v>
      </c>
      <c r="AT129" s="2004" t="s">
        <v>2334</v>
      </c>
      <c r="AU129" s="2004">
        <v>77.84</v>
      </c>
      <c r="AV129" s="2004" t="s">
        <v>2334</v>
      </c>
      <c r="AW129" s="2004">
        <v>70.826999999999998</v>
      </c>
      <c r="AX129" s="2004" t="s">
        <v>2334</v>
      </c>
      <c r="AY129" s="2004">
        <v>98.456999999999994</v>
      </c>
      <c r="AZ129" s="2004" t="s">
        <v>2334</v>
      </c>
      <c r="BA129" s="2004"/>
      <c r="BB129" s="2004" t="s">
        <v>12678</v>
      </c>
    </row>
    <row r="130" spans="1:54">
      <c r="A130" s="2004" t="s">
        <v>11550</v>
      </c>
      <c r="B130" s="2004" t="s">
        <v>9047</v>
      </c>
      <c r="C130" s="2004" t="s">
        <v>11523</v>
      </c>
      <c r="D130" s="2004" t="s">
        <v>9194</v>
      </c>
      <c r="E130" s="2004" t="s">
        <v>7931</v>
      </c>
      <c r="F130" s="2004" t="s">
        <v>11552</v>
      </c>
      <c r="G130" s="2004"/>
      <c r="H130" s="2004"/>
      <c r="I130" s="2004"/>
      <c r="J130" s="2004"/>
      <c r="K130" s="2004"/>
      <c r="L130" s="2004"/>
      <c r="M130" s="2004"/>
      <c r="N130" s="2004"/>
      <c r="O130" s="2004"/>
      <c r="P130" s="2004" t="s">
        <v>12419</v>
      </c>
      <c r="Q130" s="2004" t="s">
        <v>12679</v>
      </c>
      <c r="R130" s="2004" t="s">
        <v>12425</v>
      </c>
      <c r="S130" s="2004">
        <v>-2.0218155830946799E-3</v>
      </c>
      <c r="T130" s="2004" t="s">
        <v>766</v>
      </c>
      <c r="U130" s="516" t="s">
        <v>3016</v>
      </c>
      <c r="V130" s="2004"/>
      <c r="W130" s="2004">
        <v>5080</v>
      </c>
      <c r="X130" s="2004">
        <v>5080</v>
      </c>
      <c r="Y130" s="2004">
        <v>5080</v>
      </c>
      <c r="Z130" s="2004">
        <v>5080</v>
      </c>
      <c r="AA130" s="2004">
        <v>5080</v>
      </c>
      <c r="AB130" s="2004">
        <v>5080</v>
      </c>
      <c r="AC130" s="2004"/>
      <c r="AD130" s="2004"/>
      <c r="AE130" s="2004"/>
      <c r="AF130" s="2004"/>
      <c r="AG130" s="2004"/>
      <c r="AH130" s="2004"/>
      <c r="AI130" s="2004"/>
      <c r="AJ130" s="2004"/>
      <c r="AK130" s="2004"/>
      <c r="AL130" s="2004"/>
      <c r="AM130" s="2004"/>
      <c r="AN130" s="2004"/>
      <c r="AO130" s="2004"/>
      <c r="AP130" s="2004"/>
      <c r="AQ130" s="2004"/>
      <c r="AR130" s="2004">
        <v>5072</v>
      </c>
      <c r="AS130" s="2004">
        <v>4785</v>
      </c>
      <c r="AT130" s="2004" t="s">
        <v>2337</v>
      </c>
      <c r="AU130" s="2004">
        <v>4590</v>
      </c>
      <c r="AV130" s="2004" t="s">
        <v>2337</v>
      </c>
      <c r="AW130" s="2004">
        <v>4484</v>
      </c>
      <c r="AX130" s="2004" t="s">
        <v>2337</v>
      </c>
      <c r="AY130" s="2004">
        <v>5212</v>
      </c>
      <c r="AZ130" s="2004" t="s">
        <v>2334</v>
      </c>
      <c r="BA130" s="2004"/>
      <c r="BB130" s="2004" t="s">
        <v>12680</v>
      </c>
    </row>
    <row r="131" spans="1:54">
      <c r="A131" s="2004" t="s">
        <v>11550</v>
      </c>
      <c r="B131" s="2004" t="s">
        <v>9047</v>
      </c>
      <c r="C131" s="2004" t="s">
        <v>11523</v>
      </c>
      <c r="D131" s="2004" t="s">
        <v>9194</v>
      </c>
      <c r="E131" s="2004" t="s">
        <v>7931</v>
      </c>
      <c r="F131" s="2004" t="s">
        <v>11552</v>
      </c>
      <c r="G131" s="2004"/>
      <c r="H131" s="2004"/>
      <c r="I131" s="2004"/>
      <c r="J131" s="2004"/>
      <c r="K131" s="2004"/>
      <c r="L131" s="2004"/>
      <c r="M131" s="2004"/>
      <c r="N131" s="2004"/>
      <c r="O131" s="2004"/>
      <c r="P131" s="2004" t="s">
        <v>12423</v>
      </c>
      <c r="Q131" s="2004" t="s">
        <v>12681</v>
      </c>
      <c r="R131" s="2004" t="s">
        <v>12421</v>
      </c>
      <c r="S131" s="2004">
        <v>-7.9020174491108795E-3</v>
      </c>
      <c r="T131" s="2004" t="s">
        <v>766</v>
      </c>
      <c r="U131" s="516" t="s">
        <v>3016</v>
      </c>
      <c r="V131" s="2004"/>
      <c r="W131" s="2004">
        <v>730</v>
      </c>
      <c r="X131" s="2004">
        <v>730</v>
      </c>
      <c r="Y131" s="2004">
        <v>730</v>
      </c>
      <c r="Z131" s="2004">
        <v>730</v>
      </c>
      <c r="AA131" s="2004">
        <v>730</v>
      </c>
      <c r="AB131" s="2004">
        <v>730</v>
      </c>
      <c r="AC131" s="2004"/>
      <c r="AD131" s="2004"/>
      <c r="AE131" s="2004"/>
      <c r="AF131" s="2004"/>
      <c r="AG131" s="2004"/>
      <c r="AH131" s="2004"/>
      <c r="AI131" s="2004"/>
      <c r="AJ131" s="2004"/>
      <c r="AK131" s="2004"/>
      <c r="AL131" s="2004"/>
      <c r="AM131" s="2004"/>
      <c r="AN131" s="2004"/>
      <c r="AO131" s="2004"/>
      <c r="AP131" s="2004"/>
      <c r="AQ131" s="2004"/>
      <c r="AR131" s="2004">
        <v>723</v>
      </c>
      <c r="AS131" s="2004">
        <v>11431</v>
      </c>
      <c r="AT131" s="2004" t="s">
        <v>2334</v>
      </c>
      <c r="AU131" s="2004">
        <v>3759</v>
      </c>
      <c r="AV131" s="2004" t="s">
        <v>2334</v>
      </c>
      <c r="AW131" s="2004">
        <v>4631</v>
      </c>
      <c r="AX131" s="2004" t="s">
        <v>2334</v>
      </c>
      <c r="AY131" s="2004">
        <v>849</v>
      </c>
      <c r="AZ131" s="2004" t="s">
        <v>2334</v>
      </c>
      <c r="BA131" s="2004"/>
      <c r="BB131" s="2004" t="s">
        <v>12682</v>
      </c>
    </row>
    <row r="132" spans="1:54">
      <c r="A132" s="2004" t="s">
        <v>11550</v>
      </c>
      <c r="B132" s="2004" t="s">
        <v>9047</v>
      </c>
      <c r="C132" s="2004" t="s">
        <v>11523</v>
      </c>
      <c r="D132" s="2004" t="s">
        <v>9194</v>
      </c>
      <c r="E132" s="2004" t="s">
        <v>7931</v>
      </c>
      <c r="F132" s="2004" t="s">
        <v>11552</v>
      </c>
      <c r="G132" s="2004"/>
      <c r="H132" s="2004"/>
      <c r="I132" s="2004"/>
      <c r="J132" s="2004"/>
      <c r="K132" s="2004"/>
      <c r="L132" s="2004"/>
      <c r="M132" s="2004"/>
      <c r="N132" s="2004"/>
      <c r="O132" s="2004"/>
      <c r="P132" s="2004" t="s">
        <v>12430</v>
      </c>
      <c r="Q132" s="2004" t="s">
        <v>12683</v>
      </c>
      <c r="R132" s="2004" t="s">
        <v>12468</v>
      </c>
      <c r="S132" s="2004">
        <v>-8.4683375208154093E-3</v>
      </c>
      <c r="T132" s="2004" t="s">
        <v>766</v>
      </c>
      <c r="U132" s="516" t="s">
        <v>3016</v>
      </c>
      <c r="V132" s="2004"/>
      <c r="W132" s="2004">
        <v>272</v>
      </c>
      <c r="X132" s="2004">
        <v>272</v>
      </c>
      <c r="Y132" s="2004">
        <v>272</v>
      </c>
      <c r="Z132" s="2004">
        <v>272</v>
      </c>
      <c r="AA132" s="2004">
        <v>272</v>
      </c>
      <c r="AB132" s="2004">
        <v>272</v>
      </c>
      <c r="AC132" s="2004"/>
      <c r="AD132" s="2004"/>
      <c r="AE132" s="2004"/>
      <c r="AF132" s="2004"/>
      <c r="AG132" s="2004"/>
      <c r="AH132" s="2004"/>
      <c r="AI132" s="2004"/>
      <c r="AJ132" s="2004"/>
      <c r="AK132" s="2004"/>
      <c r="AL132" s="2004"/>
      <c r="AM132" s="2004"/>
      <c r="AN132" s="2004"/>
      <c r="AO132" s="2004"/>
      <c r="AP132" s="2004"/>
      <c r="AQ132" s="2004"/>
      <c r="AR132" s="2004">
        <v>225</v>
      </c>
      <c r="AS132" s="2004">
        <v>262</v>
      </c>
      <c r="AT132" s="2004" t="s">
        <v>2337</v>
      </c>
      <c r="AU132" s="2004">
        <v>345</v>
      </c>
      <c r="AV132" s="2004" t="s">
        <v>2334</v>
      </c>
      <c r="AW132" s="2004">
        <v>278</v>
      </c>
      <c r="AX132" s="2004" t="s">
        <v>2334</v>
      </c>
      <c r="AY132" s="2004">
        <v>262</v>
      </c>
      <c r="AZ132" s="2004" t="s">
        <v>2337</v>
      </c>
      <c r="BA132" s="2004"/>
      <c r="BB132" s="2004" t="s">
        <v>12684</v>
      </c>
    </row>
    <row r="133" spans="1:54">
      <c r="A133" s="2004" t="s">
        <v>11550</v>
      </c>
      <c r="B133" s="2004" t="s">
        <v>9047</v>
      </c>
      <c r="C133" s="2004" t="s">
        <v>11523</v>
      </c>
      <c r="D133" s="2004" t="s">
        <v>9194</v>
      </c>
      <c r="E133" s="2004" t="s">
        <v>7931</v>
      </c>
      <c r="F133" s="2004" t="s">
        <v>11552</v>
      </c>
      <c r="G133" s="2004"/>
      <c r="H133" s="2004"/>
      <c r="I133" s="2004"/>
      <c r="J133" s="2004"/>
      <c r="K133" s="2004"/>
      <c r="L133" s="2004"/>
      <c r="M133" s="2004"/>
      <c r="N133" s="2004"/>
      <c r="O133" s="2004"/>
      <c r="P133" s="2004" t="s">
        <v>12434</v>
      </c>
      <c r="Q133" s="2004" t="s">
        <v>12685</v>
      </c>
      <c r="R133" s="2004" t="s">
        <v>12676</v>
      </c>
      <c r="S133" s="2004">
        <v>-3.2925072704628701E-4</v>
      </c>
      <c r="T133" s="2004" t="s">
        <v>766</v>
      </c>
      <c r="U133" s="516" t="s">
        <v>3016</v>
      </c>
      <c r="V133" s="2004"/>
      <c r="W133" s="2004">
        <v>48000</v>
      </c>
      <c r="X133" s="2004">
        <v>48000</v>
      </c>
      <c r="Y133" s="2004">
        <v>48000</v>
      </c>
      <c r="Z133" s="2004">
        <v>48000</v>
      </c>
      <c r="AA133" s="2004">
        <v>48000</v>
      </c>
      <c r="AB133" s="2004">
        <v>48000</v>
      </c>
      <c r="AC133" s="2004"/>
      <c r="AD133" s="2004"/>
      <c r="AE133" s="2004"/>
      <c r="AF133" s="2004"/>
      <c r="AG133" s="2004"/>
      <c r="AH133" s="2004"/>
      <c r="AI133" s="2004"/>
      <c r="AJ133" s="2004"/>
      <c r="AK133" s="2004"/>
      <c r="AL133" s="2004"/>
      <c r="AM133" s="2004"/>
      <c r="AN133" s="2004"/>
      <c r="AO133" s="2004"/>
      <c r="AP133" s="2004"/>
      <c r="AQ133" s="2004"/>
      <c r="AR133" s="2004">
        <v>48452</v>
      </c>
      <c r="AS133" s="2004">
        <v>47011</v>
      </c>
      <c r="AT133" s="2004" t="s">
        <v>2337</v>
      </c>
      <c r="AU133" s="2004">
        <v>43740</v>
      </c>
      <c r="AV133" s="2004" t="s">
        <v>2337</v>
      </c>
      <c r="AW133" s="2004">
        <v>46487</v>
      </c>
      <c r="AX133" s="2004" t="s">
        <v>2337</v>
      </c>
      <c r="AY133" s="2004">
        <v>49278</v>
      </c>
      <c r="AZ133" s="2004" t="s">
        <v>2334</v>
      </c>
      <c r="BA133" s="2004"/>
      <c r="BB133" s="2004" t="s">
        <v>12686</v>
      </c>
    </row>
    <row r="134" spans="1:54">
      <c r="A134" s="2004" t="s">
        <v>11592</v>
      </c>
      <c r="B134" s="2004" t="s">
        <v>9047</v>
      </c>
      <c r="C134" s="2004" t="s">
        <v>11523</v>
      </c>
      <c r="D134" s="2004" t="s">
        <v>9410</v>
      </c>
      <c r="E134" s="2004" t="s">
        <v>9883</v>
      </c>
      <c r="F134" s="2004" t="s">
        <v>11595</v>
      </c>
      <c r="G134" s="2004" t="s">
        <v>9199</v>
      </c>
      <c r="H134" s="2004" t="s">
        <v>9414</v>
      </c>
      <c r="I134" s="2004" t="s">
        <v>11596</v>
      </c>
      <c r="J134" s="2004">
        <v>105.8</v>
      </c>
      <c r="K134" s="2004">
        <v>100</v>
      </c>
      <c r="L134" s="2004">
        <v>100</v>
      </c>
      <c r="M134" s="2004">
        <v>100</v>
      </c>
      <c r="N134" s="2004">
        <v>100</v>
      </c>
      <c r="O134" s="2004">
        <v>100</v>
      </c>
      <c r="P134" s="2004" t="s">
        <v>12417</v>
      </c>
      <c r="Q134" s="2004" t="s">
        <v>11595</v>
      </c>
      <c r="R134" s="2004"/>
      <c r="S134" s="2004" t="s">
        <v>12687</v>
      </c>
      <c r="T134" s="2004" t="s">
        <v>9282</v>
      </c>
      <c r="U134" s="2004">
        <v>2</v>
      </c>
      <c r="V134" s="2004"/>
      <c r="W134" s="2004"/>
      <c r="X134" s="2004"/>
      <c r="Y134" s="2004"/>
      <c r="Z134" s="2004"/>
      <c r="AA134" s="2004"/>
      <c r="AB134" s="2004"/>
      <c r="AC134" s="2004"/>
      <c r="AD134" s="2004"/>
      <c r="AE134" s="2004"/>
      <c r="AF134" s="2004"/>
      <c r="AG134" s="2004"/>
      <c r="AH134" s="2004"/>
      <c r="AI134" s="2004"/>
      <c r="AJ134" s="2004"/>
      <c r="AK134" s="2004"/>
      <c r="AL134" s="2004"/>
      <c r="AM134" s="2004"/>
      <c r="AN134" s="2004"/>
      <c r="AO134" s="2004"/>
      <c r="AP134" s="2004"/>
      <c r="AQ134" s="2004"/>
      <c r="AR134" s="2004">
        <v>95.2</v>
      </c>
      <c r="AS134" s="2004">
        <v>91.69</v>
      </c>
      <c r="AT134" s="2004" t="s">
        <v>2337</v>
      </c>
      <c r="AU134" s="2004">
        <v>91.9</v>
      </c>
      <c r="AV134" s="2004" t="s">
        <v>2337</v>
      </c>
      <c r="AW134" s="2004">
        <v>85</v>
      </c>
      <c r="AX134" s="2004" t="s">
        <v>2337</v>
      </c>
      <c r="AY134" s="2004">
        <v>89.27</v>
      </c>
      <c r="AZ134" s="2004" t="s">
        <v>2337</v>
      </c>
      <c r="BA134" s="2004"/>
      <c r="BB134" s="2004" t="s">
        <v>12688</v>
      </c>
    </row>
    <row r="135" spans="1:54">
      <c r="A135" s="2004" t="s">
        <v>11592</v>
      </c>
      <c r="B135" s="2004" t="s">
        <v>9047</v>
      </c>
      <c r="C135" s="2004" t="s">
        <v>11523</v>
      </c>
      <c r="D135" s="2004" t="s">
        <v>9410</v>
      </c>
      <c r="E135" s="2004" t="s">
        <v>9883</v>
      </c>
      <c r="F135" s="2004" t="s">
        <v>11595</v>
      </c>
      <c r="G135" s="2004"/>
      <c r="H135" s="2004"/>
      <c r="I135" s="2004"/>
      <c r="J135" s="2004"/>
      <c r="K135" s="2004"/>
      <c r="L135" s="2004"/>
      <c r="M135" s="2004"/>
      <c r="N135" s="2004"/>
      <c r="O135" s="2004"/>
      <c r="P135" s="2004" t="s">
        <v>12419</v>
      </c>
      <c r="Q135" s="2004" t="s">
        <v>12689</v>
      </c>
      <c r="R135" s="2004" t="s">
        <v>12455</v>
      </c>
      <c r="S135" s="2004">
        <v>59.3</v>
      </c>
      <c r="T135" s="2004" t="s">
        <v>766</v>
      </c>
      <c r="U135" s="516" t="s">
        <v>3016</v>
      </c>
      <c r="V135" s="2004"/>
      <c r="W135" s="2004">
        <v>15734</v>
      </c>
      <c r="X135" s="2004">
        <v>15734</v>
      </c>
      <c r="Y135" s="2004">
        <v>15734</v>
      </c>
      <c r="Z135" s="2004">
        <v>15734</v>
      </c>
      <c r="AA135" s="2004">
        <v>15734</v>
      </c>
      <c r="AB135" s="2004">
        <v>15734</v>
      </c>
      <c r="AC135" s="2004"/>
      <c r="AD135" s="2004"/>
      <c r="AE135" s="2004"/>
      <c r="AF135" s="2004"/>
      <c r="AG135" s="2004"/>
      <c r="AH135" s="2004"/>
      <c r="AI135" s="2004"/>
      <c r="AJ135" s="2004"/>
      <c r="AK135" s="2004"/>
      <c r="AL135" s="2004"/>
      <c r="AM135" s="2004"/>
      <c r="AN135" s="2004"/>
      <c r="AO135" s="2004"/>
      <c r="AP135" s="2004"/>
      <c r="AQ135" s="2004"/>
      <c r="AR135" s="2004">
        <v>14543</v>
      </c>
      <c r="AS135" s="2004">
        <v>13906</v>
      </c>
      <c r="AT135" s="2004" t="s">
        <v>2337</v>
      </c>
      <c r="AU135" s="2004">
        <v>14031</v>
      </c>
      <c r="AV135" s="2004" t="s">
        <v>2337</v>
      </c>
      <c r="AW135" s="2004">
        <v>13809</v>
      </c>
      <c r="AX135" s="2004" t="s">
        <v>2337</v>
      </c>
      <c r="AY135" s="2004">
        <v>14589</v>
      </c>
      <c r="AZ135" s="2004" t="s">
        <v>2337</v>
      </c>
      <c r="BA135" s="2004"/>
      <c r="BB135" s="2004" t="s">
        <v>12690</v>
      </c>
    </row>
    <row r="136" spans="1:54">
      <c r="A136" s="2004" t="s">
        <v>11592</v>
      </c>
      <c r="B136" s="2004" t="s">
        <v>9047</v>
      </c>
      <c r="C136" s="2004" t="s">
        <v>11523</v>
      </c>
      <c r="D136" s="2004" t="s">
        <v>9410</v>
      </c>
      <c r="E136" s="2004" t="s">
        <v>9883</v>
      </c>
      <c r="F136" s="2004" t="s">
        <v>11595</v>
      </c>
      <c r="G136" s="2004"/>
      <c r="H136" s="2004"/>
      <c r="I136" s="2004"/>
      <c r="J136" s="2004"/>
      <c r="K136" s="2004"/>
      <c r="L136" s="2004"/>
      <c r="M136" s="2004"/>
      <c r="N136" s="2004"/>
      <c r="O136" s="2004"/>
      <c r="P136" s="2004" t="s">
        <v>12423</v>
      </c>
      <c r="Q136" s="2004" t="s">
        <v>12691</v>
      </c>
      <c r="R136" s="2004" t="s">
        <v>12450</v>
      </c>
      <c r="S136" s="2004">
        <v>97.1</v>
      </c>
      <c r="T136" s="2004" t="s">
        <v>766</v>
      </c>
      <c r="U136" s="516" t="s">
        <v>3016</v>
      </c>
      <c r="V136" s="2004"/>
      <c r="W136" s="2004">
        <v>553</v>
      </c>
      <c r="X136" s="2004">
        <v>553</v>
      </c>
      <c r="Y136" s="2004">
        <v>553</v>
      </c>
      <c r="Z136" s="2004">
        <v>553</v>
      </c>
      <c r="AA136" s="2004">
        <v>553</v>
      </c>
      <c r="AB136" s="2004">
        <v>553</v>
      </c>
      <c r="AC136" s="2004"/>
      <c r="AD136" s="2004"/>
      <c r="AE136" s="2004"/>
      <c r="AF136" s="2004"/>
      <c r="AG136" s="2004"/>
      <c r="AH136" s="2004"/>
      <c r="AI136" s="2004"/>
      <c r="AJ136" s="2004"/>
      <c r="AK136" s="2004"/>
      <c r="AL136" s="2004"/>
      <c r="AM136" s="2004"/>
      <c r="AN136" s="2004"/>
      <c r="AO136" s="2004"/>
      <c r="AP136" s="2004"/>
      <c r="AQ136" s="2004"/>
      <c r="AR136" s="2004">
        <v>491</v>
      </c>
      <c r="AS136" s="2004">
        <v>361</v>
      </c>
      <c r="AT136" s="2004" t="s">
        <v>2337</v>
      </c>
      <c r="AU136" s="2004">
        <v>391</v>
      </c>
      <c r="AV136" s="2004" t="s">
        <v>2337</v>
      </c>
      <c r="AW136" s="2004">
        <v>302</v>
      </c>
      <c r="AX136" s="2004" t="s">
        <v>2337</v>
      </c>
      <c r="AY136" s="2004">
        <v>316</v>
      </c>
      <c r="AZ136" s="2004" t="s">
        <v>2337</v>
      </c>
      <c r="BA136" s="2004"/>
      <c r="BB136" s="2004" t="s">
        <v>12692</v>
      </c>
    </row>
    <row r="137" spans="1:54">
      <c r="A137" s="2004" t="s">
        <v>11592</v>
      </c>
      <c r="B137" s="2004" t="s">
        <v>9047</v>
      </c>
      <c r="C137" s="2004" t="s">
        <v>11523</v>
      </c>
      <c r="D137" s="2004" t="s">
        <v>9410</v>
      </c>
      <c r="E137" s="2004" t="s">
        <v>9883</v>
      </c>
      <c r="F137" s="2004" t="s">
        <v>11595</v>
      </c>
      <c r="G137" s="2004"/>
      <c r="H137" s="2004"/>
      <c r="I137" s="2004"/>
      <c r="J137" s="2004"/>
      <c r="K137" s="2004"/>
      <c r="L137" s="2004"/>
      <c r="M137" s="2004"/>
      <c r="N137" s="2004"/>
      <c r="O137" s="2004"/>
      <c r="P137" s="2004" t="s">
        <v>12430</v>
      </c>
      <c r="Q137" s="2004" t="s">
        <v>9450</v>
      </c>
      <c r="R137" s="2004" t="s">
        <v>12448</v>
      </c>
      <c r="S137" s="2004">
        <v>1516.3</v>
      </c>
      <c r="T137" s="2004" t="s">
        <v>766</v>
      </c>
      <c r="U137" s="516" t="s">
        <v>3016</v>
      </c>
      <c r="V137" s="2004"/>
      <c r="W137" s="2004">
        <v>4</v>
      </c>
      <c r="X137" s="2004">
        <v>4</v>
      </c>
      <c r="Y137" s="2004">
        <v>4</v>
      </c>
      <c r="Z137" s="2004">
        <v>4</v>
      </c>
      <c r="AA137" s="2004">
        <v>4</v>
      </c>
      <c r="AB137" s="2004">
        <v>4</v>
      </c>
      <c r="AC137" s="2004"/>
      <c r="AD137" s="2004"/>
      <c r="AE137" s="2004"/>
      <c r="AF137" s="2004"/>
      <c r="AG137" s="2004"/>
      <c r="AH137" s="2004"/>
      <c r="AI137" s="2004"/>
      <c r="AJ137" s="2004"/>
      <c r="AK137" s="2004"/>
      <c r="AL137" s="2004"/>
      <c r="AM137" s="2004"/>
      <c r="AN137" s="2004"/>
      <c r="AO137" s="2004"/>
      <c r="AP137" s="2004"/>
      <c r="AQ137" s="2004"/>
      <c r="AR137" s="2004">
        <v>3</v>
      </c>
      <c r="AS137" s="2004">
        <v>5</v>
      </c>
      <c r="AT137" s="2004" t="s">
        <v>2334</v>
      </c>
      <c r="AU137" s="2004">
        <v>1</v>
      </c>
      <c r="AV137" s="2004" t="s">
        <v>2337</v>
      </c>
      <c r="AW137" s="2004">
        <v>4</v>
      </c>
      <c r="AX137" s="2004" t="s">
        <v>2337</v>
      </c>
      <c r="AY137" s="2004">
        <v>2</v>
      </c>
      <c r="AZ137" s="2004" t="s">
        <v>2337</v>
      </c>
      <c r="BA137" s="2004"/>
      <c r="BB137" s="2004" t="s">
        <v>12693</v>
      </c>
    </row>
    <row r="138" spans="1:54">
      <c r="A138" s="2004" t="s">
        <v>11592</v>
      </c>
      <c r="B138" s="2004" t="s">
        <v>9047</v>
      </c>
      <c r="C138" s="2004" t="s">
        <v>11523</v>
      </c>
      <c r="D138" s="2004" t="s">
        <v>9410</v>
      </c>
      <c r="E138" s="2004" t="s">
        <v>9883</v>
      </c>
      <c r="F138" s="2004" t="s">
        <v>11595</v>
      </c>
      <c r="G138" s="2004"/>
      <c r="H138" s="2004"/>
      <c r="I138" s="2004"/>
      <c r="J138" s="2004"/>
      <c r="K138" s="2004"/>
      <c r="L138" s="2004"/>
      <c r="M138" s="2004"/>
      <c r="N138" s="2004"/>
      <c r="O138" s="2004"/>
      <c r="P138" s="2004" t="s">
        <v>12434</v>
      </c>
      <c r="Q138" s="2004" t="s">
        <v>12694</v>
      </c>
      <c r="R138" s="2004" t="s">
        <v>12453</v>
      </c>
      <c r="S138" s="2004">
        <v>297.5</v>
      </c>
      <c r="T138" s="2004" t="s">
        <v>766</v>
      </c>
      <c r="U138" s="516" t="s">
        <v>3016</v>
      </c>
      <c r="V138" s="2004"/>
      <c r="W138" s="2004">
        <v>473</v>
      </c>
      <c r="X138" s="2004">
        <v>473</v>
      </c>
      <c r="Y138" s="2004">
        <v>473</v>
      </c>
      <c r="Z138" s="2004">
        <v>473</v>
      </c>
      <c r="AA138" s="2004">
        <v>473</v>
      </c>
      <c r="AB138" s="2004">
        <v>473</v>
      </c>
      <c r="AC138" s="2004"/>
      <c r="AD138" s="2004"/>
      <c r="AE138" s="2004"/>
      <c r="AF138" s="2004"/>
      <c r="AG138" s="2004"/>
      <c r="AH138" s="2004"/>
      <c r="AI138" s="2004"/>
      <c r="AJ138" s="2004"/>
      <c r="AK138" s="2004"/>
      <c r="AL138" s="2004"/>
      <c r="AM138" s="2004"/>
      <c r="AN138" s="2004"/>
      <c r="AO138" s="2004"/>
      <c r="AP138" s="2004"/>
      <c r="AQ138" s="2004"/>
      <c r="AR138" s="2004">
        <v>387</v>
      </c>
      <c r="AS138" s="2004">
        <v>418</v>
      </c>
      <c r="AT138" s="2004" t="s">
        <v>2337</v>
      </c>
      <c r="AU138" s="2004">
        <v>415</v>
      </c>
      <c r="AV138" s="2004" t="s">
        <v>2334</v>
      </c>
      <c r="AW138" s="2004">
        <v>276</v>
      </c>
      <c r="AX138" s="2004" t="s">
        <v>2337</v>
      </c>
      <c r="AY138" s="2004">
        <v>308</v>
      </c>
      <c r="AZ138" s="2004" t="s">
        <v>2337</v>
      </c>
      <c r="BA138" s="2004"/>
      <c r="BB138" s="2004" t="s">
        <v>12695</v>
      </c>
    </row>
    <row r="139" spans="1:54">
      <c r="A139" s="2004" t="s">
        <v>11592</v>
      </c>
      <c r="B139" s="2004" t="s">
        <v>9047</v>
      </c>
      <c r="C139" s="2004" t="s">
        <v>11523</v>
      </c>
      <c r="D139" s="2004" t="s">
        <v>9410</v>
      </c>
      <c r="E139" s="2004" t="s">
        <v>9883</v>
      </c>
      <c r="F139" s="2004" t="s">
        <v>11595</v>
      </c>
      <c r="G139" s="2004"/>
      <c r="H139" s="2004"/>
      <c r="I139" s="2004"/>
      <c r="J139" s="2004"/>
      <c r="K139" s="2004"/>
      <c r="L139" s="2004"/>
      <c r="M139" s="2004"/>
      <c r="N139" s="2004"/>
      <c r="O139" s="2004"/>
      <c r="P139" s="2004" t="s">
        <v>12486</v>
      </c>
      <c r="Q139" s="2004" t="s">
        <v>12696</v>
      </c>
      <c r="R139" s="2004" t="s">
        <v>12531</v>
      </c>
      <c r="S139" s="2004">
        <v>46.6</v>
      </c>
      <c r="T139" s="2004" t="s">
        <v>766</v>
      </c>
      <c r="U139" s="516" t="s">
        <v>3016</v>
      </c>
      <c r="V139" s="2004"/>
      <c r="W139" s="2004">
        <v>5550</v>
      </c>
      <c r="X139" s="2004">
        <v>5550</v>
      </c>
      <c r="Y139" s="2004">
        <v>5550</v>
      </c>
      <c r="Z139" s="2004">
        <v>5550</v>
      </c>
      <c r="AA139" s="2004">
        <v>5550</v>
      </c>
      <c r="AB139" s="2004">
        <v>5550</v>
      </c>
      <c r="AC139" s="2004"/>
      <c r="AD139" s="2004"/>
      <c r="AE139" s="2004"/>
      <c r="AF139" s="2004"/>
      <c r="AG139" s="2004"/>
      <c r="AH139" s="2004"/>
      <c r="AI139" s="2004"/>
      <c r="AJ139" s="2004"/>
      <c r="AK139" s="2004"/>
      <c r="AL139" s="2004"/>
      <c r="AM139" s="2004"/>
      <c r="AN139" s="2004"/>
      <c r="AO139" s="2004"/>
      <c r="AP139" s="2004"/>
      <c r="AQ139" s="2004"/>
      <c r="AR139" s="2004">
        <v>4777</v>
      </c>
      <c r="AS139" s="2004">
        <v>4605</v>
      </c>
      <c r="AT139" s="2004" t="s">
        <v>2337</v>
      </c>
      <c r="AU139" s="2004">
        <v>4599</v>
      </c>
      <c r="AV139" s="2004" t="s">
        <v>2334</v>
      </c>
      <c r="AW139" s="2004">
        <v>3901</v>
      </c>
      <c r="AX139" s="2004" t="s">
        <v>2337</v>
      </c>
      <c r="AY139" s="2004">
        <v>3945</v>
      </c>
      <c r="AZ139" s="2004" t="s">
        <v>2337</v>
      </c>
      <c r="BA139" s="2004"/>
      <c r="BB139" s="2004" t="s">
        <v>12697</v>
      </c>
    </row>
    <row r="140" spans="1:54">
      <c r="A140" s="2004" t="s">
        <v>11598</v>
      </c>
      <c r="B140" s="2004" t="s">
        <v>9047</v>
      </c>
      <c r="C140" s="2004" t="s">
        <v>11523</v>
      </c>
      <c r="D140" s="2004" t="s">
        <v>9410</v>
      </c>
      <c r="E140" s="2004" t="s">
        <v>9411</v>
      </c>
      <c r="F140" s="2004" t="s">
        <v>11600</v>
      </c>
      <c r="G140" s="2004" t="s">
        <v>9210</v>
      </c>
      <c r="H140" s="2004" t="s">
        <v>9477</v>
      </c>
      <c r="I140" s="2004" t="s">
        <v>11601</v>
      </c>
      <c r="J140" s="2004">
        <v>108.4</v>
      </c>
      <c r="K140" s="2004">
        <v>106.2</v>
      </c>
      <c r="L140" s="2004">
        <v>103.2</v>
      </c>
      <c r="M140" s="2004">
        <v>99.4</v>
      </c>
      <c r="N140" s="2004">
        <v>95.6</v>
      </c>
      <c r="O140" s="2004">
        <v>93.4</v>
      </c>
      <c r="P140" s="2004" t="s">
        <v>12417</v>
      </c>
      <c r="Q140" s="2004" t="s">
        <v>11600</v>
      </c>
      <c r="R140" s="2004"/>
      <c r="S140" s="2004" t="s">
        <v>12698</v>
      </c>
      <c r="T140" s="2004" t="s">
        <v>9282</v>
      </c>
      <c r="U140" s="2004">
        <v>2</v>
      </c>
      <c r="V140" s="2004"/>
      <c r="W140" s="2004"/>
      <c r="X140" s="2004"/>
      <c r="Y140" s="2004"/>
      <c r="Z140" s="2004"/>
      <c r="AA140" s="2004"/>
      <c r="AB140" s="2004"/>
      <c r="AC140" s="2004"/>
      <c r="AD140" s="2004"/>
      <c r="AE140" s="2004"/>
      <c r="AF140" s="2004"/>
      <c r="AG140" s="2004"/>
      <c r="AH140" s="2004"/>
      <c r="AI140" s="2004"/>
      <c r="AJ140" s="2004"/>
      <c r="AK140" s="2004"/>
      <c r="AL140" s="2004"/>
      <c r="AM140" s="2004"/>
      <c r="AN140" s="2004"/>
      <c r="AO140" s="2004"/>
      <c r="AP140" s="2004"/>
      <c r="AQ140" s="2004"/>
      <c r="AR140" s="2004">
        <v>94.3</v>
      </c>
      <c r="AS140" s="2004">
        <v>90.95</v>
      </c>
      <c r="AT140" s="2004" t="s">
        <v>2337</v>
      </c>
      <c r="AU140" s="2004">
        <v>89.47</v>
      </c>
      <c r="AV140" s="2004" t="s">
        <v>2337</v>
      </c>
      <c r="AW140" s="2004">
        <v>86.17</v>
      </c>
      <c r="AX140" s="2004" t="s">
        <v>2337</v>
      </c>
      <c r="AY140" s="2004">
        <v>90.75</v>
      </c>
      <c r="AZ140" s="2004" t="s">
        <v>2337</v>
      </c>
      <c r="BA140" s="2004"/>
      <c r="BB140" s="2004" t="s">
        <v>12699</v>
      </c>
    </row>
    <row r="141" spans="1:54">
      <c r="A141" s="2004" t="s">
        <v>11598</v>
      </c>
      <c r="B141" s="2004" t="s">
        <v>9047</v>
      </c>
      <c r="C141" s="2004" t="s">
        <v>11523</v>
      </c>
      <c r="D141" s="2004" t="s">
        <v>9410</v>
      </c>
      <c r="E141" s="2004" t="s">
        <v>9411</v>
      </c>
      <c r="F141" s="2004" t="s">
        <v>11600</v>
      </c>
      <c r="G141" s="2004"/>
      <c r="H141" s="2004"/>
      <c r="I141" s="2004"/>
      <c r="J141" s="2004"/>
      <c r="K141" s="2004"/>
      <c r="L141" s="2004"/>
      <c r="M141" s="2004"/>
      <c r="N141" s="2004"/>
      <c r="O141" s="2004"/>
      <c r="P141" s="2004" t="s">
        <v>12419</v>
      </c>
      <c r="Q141" s="2004" t="s">
        <v>12689</v>
      </c>
      <c r="R141" s="2004" t="s">
        <v>12455</v>
      </c>
      <c r="S141" s="2004">
        <v>26.1</v>
      </c>
      <c r="T141" s="2004" t="s">
        <v>766</v>
      </c>
      <c r="U141" s="516" t="s">
        <v>3016</v>
      </c>
      <c r="V141" s="2004"/>
      <c r="W141" s="2004">
        <v>9000</v>
      </c>
      <c r="X141" s="2004">
        <v>8754</v>
      </c>
      <c r="Y141" s="2004">
        <v>8425</v>
      </c>
      <c r="Z141" s="2004">
        <v>8015</v>
      </c>
      <c r="AA141" s="2004">
        <v>7604</v>
      </c>
      <c r="AB141" s="2004">
        <v>7358</v>
      </c>
      <c r="AC141" s="2004"/>
      <c r="AD141" s="2004"/>
      <c r="AE141" s="2004"/>
      <c r="AF141" s="2004"/>
      <c r="AG141" s="2004"/>
      <c r="AH141" s="2004"/>
      <c r="AI141" s="2004"/>
      <c r="AJ141" s="2004"/>
      <c r="AK141" s="2004"/>
      <c r="AL141" s="2004"/>
      <c r="AM141" s="2004"/>
      <c r="AN141" s="2004"/>
      <c r="AO141" s="2004"/>
      <c r="AP141" s="2004"/>
      <c r="AQ141" s="2004"/>
      <c r="AR141" s="2004">
        <v>7877</v>
      </c>
      <c r="AS141" s="2004">
        <v>7473</v>
      </c>
      <c r="AT141" s="2004" t="s">
        <v>2337</v>
      </c>
      <c r="AU141" s="2004">
        <v>7469</v>
      </c>
      <c r="AV141" s="2004" t="s">
        <v>2337</v>
      </c>
      <c r="AW141" s="2004">
        <v>7047</v>
      </c>
      <c r="AX141" s="2004" t="s">
        <v>2337</v>
      </c>
      <c r="AY141" s="2004">
        <v>7276</v>
      </c>
      <c r="AZ141" s="2004" t="s">
        <v>2337</v>
      </c>
      <c r="BA141" s="2004"/>
      <c r="BB141" s="2004" t="s">
        <v>12690</v>
      </c>
    </row>
    <row r="142" spans="1:54">
      <c r="A142" s="2004" t="s">
        <v>11598</v>
      </c>
      <c r="B142" s="2004" t="s">
        <v>9047</v>
      </c>
      <c r="C142" s="2004" t="s">
        <v>11523</v>
      </c>
      <c r="D142" s="2004" t="s">
        <v>9410</v>
      </c>
      <c r="E142" s="2004" t="s">
        <v>9411</v>
      </c>
      <c r="F142" s="2004" t="s">
        <v>11600</v>
      </c>
      <c r="G142" s="2004"/>
      <c r="H142" s="2004"/>
      <c r="I142" s="2004"/>
      <c r="J142" s="2004"/>
      <c r="K142" s="2004"/>
      <c r="L142" s="2004"/>
      <c r="M142" s="2004"/>
      <c r="N142" s="2004"/>
      <c r="O142" s="2004"/>
      <c r="P142" s="2004" t="s">
        <v>12423</v>
      </c>
      <c r="Q142" s="2004" t="s">
        <v>12691</v>
      </c>
      <c r="R142" s="2004" t="s">
        <v>12450</v>
      </c>
      <c r="S142" s="2004">
        <v>97.1</v>
      </c>
      <c r="T142" s="2004" t="s">
        <v>766</v>
      </c>
      <c r="U142" s="516" t="s">
        <v>3016</v>
      </c>
      <c r="V142" s="2004"/>
      <c r="W142" s="2004">
        <v>444</v>
      </c>
      <c r="X142" s="2004">
        <v>444</v>
      </c>
      <c r="Y142" s="2004">
        <v>444</v>
      </c>
      <c r="Z142" s="2004">
        <v>444</v>
      </c>
      <c r="AA142" s="2004">
        <v>444</v>
      </c>
      <c r="AB142" s="2004">
        <v>444</v>
      </c>
      <c r="AC142" s="2004"/>
      <c r="AD142" s="2004"/>
      <c r="AE142" s="2004"/>
      <c r="AF142" s="2004"/>
      <c r="AG142" s="2004"/>
      <c r="AH142" s="2004"/>
      <c r="AI142" s="2004"/>
      <c r="AJ142" s="2004"/>
      <c r="AK142" s="2004"/>
      <c r="AL142" s="2004"/>
      <c r="AM142" s="2004"/>
      <c r="AN142" s="2004"/>
      <c r="AO142" s="2004"/>
      <c r="AP142" s="2004"/>
      <c r="AQ142" s="2004"/>
      <c r="AR142" s="2004">
        <v>314</v>
      </c>
      <c r="AS142" s="2004">
        <v>261</v>
      </c>
      <c r="AT142" s="2004" t="s">
        <v>2337</v>
      </c>
      <c r="AU142" s="2004">
        <v>268</v>
      </c>
      <c r="AV142" s="2004" t="s">
        <v>2337</v>
      </c>
      <c r="AW142" s="2004">
        <v>232</v>
      </c>
      <c r="AX142" s="2004" t="s">
        <v>2337</v>
      </c>
      <c r="AY142" s="2004">
        <v>239</v>
      </c>
      <c r="AZ142" s="2004" t="s">
        <v>2337</v>
      </c>
      <c r="BA142" s="2004"/>
      <c r="BB142" s="2004" t="s">
        <v>12692</v>
      </c>
    </row>
    <row r="143" spans="1:54">
      <c r="A143" s="2004" t="s">
        <v>11598</v>
      </c>
      <c r="B143" s="2004" t="s">
        <v>9047</v>
      </c>
      <c r="C143" s="2004" t="s">
        <v>11523</v>
      </c>
      <c r="D143" s="2004" t="s">
        <v>9410</v>
      </c>
      <c r="E143" s="2004" t="s">
        <v>9411</v>
      </c>
      <c r="F143" s="2004" t="s">
        <v>11600</v>
      </c>
      <c r="G143" s="2004"/>
      <c r="H143" s="2004"/>
      <c r="I143" s="2004"/>
      <c r="J143" s="2004"/>
      <c r="K143" s="2004"/>
      <c r="L143" s="2004"/>
      <c r="M143" s="2004"/>
      <c r="N143" s="2004"/>
      <c r="O143" s="2004"/>
      <c r="P143" s="2004" t="s">
        <v>12430</v>
      </c>
      <c r="Q143" s="2004" t="s">
        <v>12700</v>
      </c>
      <c r="R143" s="2004" t="s">
        <v>12450</v>
      </c>
      <c r="S143" s="2004">
        <v>485.2</v>
      </c>
      <c r="T143" s="2004" t="s">
        <v>766</v>
      </c>
      <c r="U143" s="516" t="s">
        <v>3016</v>
      </c>
      <c r="V143" s="2004"/>
      <c r="W143" s="2004">
        <v>40</v>
      </c>
      <c r="X143" s="2004">
        <v>40</v>
      </c>
      <c r="Y143" s="2004">
        <v>40</v>
      </c>
      <c r="Z143" s="2004">
        <v>40</v>
      </c>
      <c r="AA143" s="2004">
        <v>40</v>
      </c>
      <c r="AB143" s="2004">
        <v>40</v>
      </c>
      <c r="AC143" s="2004"/>
      <c r="AD143" s="2004"/>
      <c r="AE143" s="2004"/>
      <c r="AF143" s="2004"/>
      <c r="AG143" s="2004"/>
      <c r="AH143" s="2004"/>
      <c r="AI143" s="2004"/>
      <c r="AJ143" s="2004"/>
      <c r="AK143" s="2004"/>
      <c r="AL143" s="2004"/>
      <c r="AM143" s="2004"/>
      <c r="AN143" s="2004"/>
      <c r="AO143" s="2004"/>
      <c r="AP143" s="2004"/>
      <c r="AQ143" s="2004"/>
      <c r="AR143" s="2004">
        <v>48</v>
      </c>
      <c r="AS143" s="2004">
        <v>51</v>
      </c>
      <c r="AT143" s="2004" t="s">
        <v>2334</v>
      </c>
      <c r="AU143" s="2004">
        <v>46</v>
      </c>
      <c r="AV143" s="2004" t="s">
        <v>2337</v>
      </c>
      <c r="AW143" s="2004">
        <v>47</v>
      </c>
      <c r="AX143" s="2004" t="s">
        <v>2334</v>
      </c>
      <c r="AY143" s="2004">
        <v>53</v>
      </c>
      <c r="AZ143" s="2004" t="s">
        <v>2334</v>
      </c>
      <c r="BA143" s="2004"/>
      <c r="BB143" s="2004" t="s">
        <v>12701</v>
      </c>
    </row>
    <row r="144" spans="1:54">
      <c r="A144" s="2004" t="s">
        <v>11598</v>
      </c>
      <c r="B144" s="2004" t="s">
        <v>9047</v>
      </c>
      <c r="C144" s="2004" t="s">
        <v>11523</v>
      </c>
      <c r="D144" s="2004" t="s">
        <v>9410</v>
      </c>
      <c r="E144" s="2004" t="s">
        <v>9411</v>
      </c>
      <c r="F144" s="2004" t="s">
        <v>11600</v>
      </c>
      <c r="G144" s="2004"/>
      <c r="H144" s="2004"/>
      <c r="I144" s="2004"/>
      <c r="J144" s="2004"/>
      <c r="K144" s="2004"/>
      <c r="L144" s="2004"/>
      <c r="M144" s="2004"/>
      <c r="N144" s="2004"/>
      <c r="O144" s="2004"/>
      <c r="P144" s="2004" t="s">
        <v>12434</v>
      </c>
      <c r="Q144" s="2004" t="s">
        <v>12605</v>
      </c>
      <c r="R144" s="2004" t="s">
        <v>12606</v>
      </c>
      <c r="S144" s="2004">
        <v>6.3</v>
      </c>
      <c r="T144" s="2004" t="s">
        <v>766</v>
      </c>
      <c r="U144" s="516" t="s">
        <v>3016</v>
      </c>
      <c r="V144" s="2004"/>
      <c r="W144" s="2004">
        <v>2418</v>
      </c>
      <c r="X144" s="2004">
        <v>2403</v>
      </c>
      <c r="Y144" s="2004">
        <v>2383</v>
      </c>
      <c r="Z144" s="2004">
        <v>2358</v>
      </c>
      <c r="AA144" s="2004">
        <v>2333</v>
      </c>
      <c r="AB144" s="2004">
        <v>2318</v>
      </c>
      <c r="AC144" s="2004"/>
      <c r="AD144" s="2004"/>
      <c r="AE144" s="2004"/>
      <c r="AF144" s="2004"/>
      <c r="AG144" s="2004"/>
      <c r="AH144" s="2004"/>
      <c r="AI144" s="2004"/>
      <c r="AJ144" s="2004"/>
      <c r="AK144" s="2004"/>
      <c r="AL144" s="2004"/>
      <c r="AM144" s="2004"/>
      <c r="AN144" s="2004"/>
      <c r="AO144" s="2004"/>
      <c r="AP144" s="2004"/>
      <c r="AQ144" s="2004"/>
      <c r="AR144" s="2004">
        <v>2041</v>
      </c>
      <c r="AS144" s="2004">
        <v>2704</v>
      </c>
      <c r="AT144" s="2004" t="s">
        <v>2334</v>
      </c>
      <c r="AU144" s="2004">
        <v>2322</v>
      </c>
      <c r="AV144" s="2004" t="s">
        <v>2337</v>
      </c>
      <c r="AW144" s="2004">
        <v>3038</v>
      </c>
      <c r="AX144" s="2004" t="s">
        <v>2334</v>
      </c>
      <c r="AY144" s="2004">
        <v>3613</v>
      </c>
      <c r="AZ144" s="2004" t="s">
        <v>2334</v>
      </c>
      <c r="BA144" s="2004"/>
      <c r="BB144" s="2004" t="s">
        <v>12702</v>
      </c>
    </row>
    <row r="145" spans="1:54">
      <c r="A145" s="2004" t="s">
        <v>11609</v>
      </c>
      <c r="B145" s="2004" t="s">
        <v>9047</v>
      </c>
      <c r="C145" s="2004" t="s">
        <v>11523</v>
      </c>
      <c r="D145" s="2004" t="s">
        <v>9410</v>
      </c>
      <c r="E145" s="2004" t="s">
        <v>9898</v>
      </c>
      <c r="F145" s="2004" t="s">
        <v>11611</v>
      </c>
      <c r="G145" s="2004" t="s">
        <v>9199</v>
      </c>
      <c r="H145" s="2004" t="s">
        <v>9414</v>
      </c>
      <c r="I145" s="2004" t="s">
        <v>11612</v>
      </c>
      <c r="J145" s="2004">
        <v>101.6</v>
      </c>
      <c r="K145" s="2004">
        <v>93.1</v>
      </c>
      <c r="L145" s="2004">
        <v>83.9</v>
      </c>
      <c r="M145" s="2004">
        <v>73.900000000000006</v>
      </c>
      <c r="N145" s="2004">
        <v>70.3</v>
      </c>
      <c r="O145" s="2004">
        <v>68.099999999999994</v>
      </c>
      <c r="P145" s="2004" t="s">
        <v>12417</v>
      </c>
      <c r="Q145" s="2004" t="s">
        <v>11611</v>
      </c>
      <c r="R145" s="2004"/>
      <c r="S145" s="2004" t="s">
        <v>12703</v>
      </c>
      <c r="T145" s="2004" t="s">
        <v>9282</v>
      </c>
      <c r="U145" s="2004">
        <v>1</v>
      </c>
      <c r="V145" s="2004"/>
      <c r="W145" s="2004"/>
      <c r="X145" s="2004"/>
      <c r="Y145" s="2004"/>
      <c r="Z145" s="2004"/>
      <c r="AA145" s="2004"/>
      <c r="AB145" s="2004"/>
      <c r="AC145" s="2004"/>
      <c r="AD145" s="2004"/>
      <c r="AE145" s="2004"/>
      <c r="AF145" s="2004"/>
      <c r="AG145" s="2004"/>
      <c r="AH145" s="2004"/>
      <c r="AI145" s="2004"/>
      <c r="AJ145" s="2004"/>
      <c r="AK145" s="2004"/>
      <c r="AL145" s="2004"/>
      <c r="AM145" s="2004"/>
      <c r="AN145" s="2004"/>
      <c r="AO145" s="2004"/>
      <c r="AP145" s="2004"/>
      <c r="AQ145" s="2004"/>
      <c r="AR145" s="2004">
        <v>81.5</v>
      </c>
      <c r="AS145" s="2004">
        <v>100.8</v>
      </c>
      <c r="AT145" s="2004" t="s">
        <v>2334</v>
      </c>
      <c r="AU145" s="2004">
        <v>94.4</v>
      </c>
      <c r="AV145" s="2004" t="s">
        <v>2334</v>
      </c>
      <c r="AW145" s="2004">
        <v>70</v>
      </c>
      <c r="AX145" s="2004" t="s">
        <v>2337</v>
      </c>
      <c r="AY145" s="2004">
        <v>61.66</v>
      </c>
      <c r="AZ145" s="2004" t="s">
        <v>2337</v>
      </c>
      <c r="BA145" s="2004"/>
      <c r="BB145" s="2004" t="s">
        <v>12704</v>
      </c>
    </row>
    <row r="146" spans="1:54">
      <c r="A146" s="2004" t="s">
        <v>11609</v>
      </c>
      <c r="B146" s="2004" t="s">
        <v>9047</v>
      </c>
      <c r="C146" s="2004" t="s">
        <v>11523</v>
      </c>
      <c r="D146" s="2004" t="s">
        <v>9410</v>
      </c>
      <c r="E146" s="2004" t="s">
        <v>9898</v>
      </c>
      <c r="F146" s="2004" t="s">
        <v>11611</v>
      </c>
      <c r="G146" s="2004"/>
      <c r="H146" s="2004"/>
      <c r="I146" s="2004"/>
      <c r="J146" s="2004"/>
      <c r="K146" s="2004"/>
      <c r="L146" s="2004"/>
      <c r="M146" s="2004"/>
      <c r="N146" s="2004"/>
      <c r="O146" s="2004"/>
      <c r="P146" s="2004" t="s">
        <v>12419</v>
      </c>
      <c r="Q146" s="2004" t="s">
        <v>12600</v>
      </c>
      <c r="R146" s="2004" t="s">
        <v>12453</v>
      </c>
      <c r="S146" s="2004">
        <v>117.1</v>
      </c>
      <c r="T146" s="2004" t="s">
        <v>766</v>
      </c>
      <c r="U146" s="516" t="s">
        <v>3016</v>
      </c>
      <c r="V146" s="2004"/>
      <c r="W146" s="2004">
        <v>723</v>
      </c>
      <c r="X146" s="2004">
        <v>607</v>
      </c>
      <c r="Y146" s="2004">
        <v>491</v>
      </c>
      <c r="Z146" s="2004">
        <v>375</v>
      </c>
      <c r="AA146" s="2004">
        <v>375</v>
      </c>
      <c r="AB146" s="2004">
        <v>375</v>
      </c>
      <c r="AC146" s="2004"/>
      <c r="AD146" s="2004"/>
      <c r="AE146" s="2004"/>
      <c r="AF146" s="2004"/>
      <c r="AG146" s="2004"/>
      <c r="AH146" s="2004"/>
      <c r="AI146" s="2004"/>
      <c r="AJ146" s="2004"/>
      <c r="AK146" s="2004"/>
      <c r="AL146" s="2004"/>
      <c r="AM146" s="2004"/>
      <c r="AN146" s="2004"/>
      <c r="AO146" s="2004"/>
      <c r="AP146" s="2004"/>
      <c r="AQ146" s="2004"/>
      <c r="AR146" s="2004">
        <v>761</v>
      </c>
      <c r="AS146" s="2004">
        <v>839</v>
      </c>
      <c r="AT146" s="2004" t="s">
        <v>2334</v>
      </c>
      <c r="AU146" s="2004">
        <v>794</v>
      </c>
      <c r="AV146" s="2004" t="s">
        <v>2334</v>
      </c>
      <c r="AW146" s="2004">
        <v>559</v>
      </c>
      <c r="AX146" s="2004" t="s">
        <v>2334</v>
      </c>
      <c r="AY146" s="2004">
        <v>551</v>
      </c>
      <c r="AZ146" s="2004" t="s">
        <v>2334</v>
      </c>
      <c r="BA146" s="2004"/>
      <c r="BB146" s="2004" t="s">
        <v>12705</v>
      </c>
    </row>
    <row r="147" spans="1:54">
      <c r="A147" s="2004" t="s">
        <v>11609</v>
      </c>
      <c r="B147" s="2004" t="s">
        <v>9047</v>
      </c>
      <c r="C147" s="2004" t="s">
        <v>11523</v>
      </c>
      <c r="D147" s="2004" t="s">
        <v>9410</v>
      </c>
      <c r="E147" s="2004" t="s">
        <v>9898</v>
      </c>
      <c r="F147" s="2004" t="s">
        <v>11611</v>
      </c>
      <c r="G147" s="2004"/>
      <c r="H147" s="2004"/>
      <c r="I147" s="2004"/>
      <c r="J147" s="2004"/>
      <c r="K147" s="2004"/>
      <c r="L147" s="2004"/>
      <c r="M147" s="2004"/>
      <c r="N147" s="2004"/>
      <c r="O147" s="2004"/>
      <c r="P147" s="2004" t="s">
        <v>12423</v>
      </c>
      <c r="Q147" s="2004" t="s">
        <v>12706</v>
      </c>
      <c r="R147" s="2004" t="s">
        <v>12453</v>
      </c>
      <c r="S147" s="2004">
        <v>117.1</v>
      </c>
      <c r="T147" s="2004" t="s">
        <v>766</v>
      </c>
      <c r="U147" s="516" t="s">
        <v>3016</v>
      </c>
      <c r="V147" s="2004"/>
      <c r="W147" s="2004">
        <v>123</v>
      </c>
      <c r="X147" s="2004">
        <v>100</v>
      </c>
      <c r="Y147" s="2004">
        <v>78</v>
      </c>
      <c r="Z147" s="2004">
        <v>55</v>
      </c>
      <c r="AA147" s="2004">
        <v>55</v>
      </c>
      <c r="AB147" s="2004">
        <v>55</v>
      </c>
      <c r="AC147" s="2004"/>
      <c r="AD147" s="2004"/>
      <c r="AE147" s="2004"/>
      <c r="AF147" s="2004"/>
      <c r="AG147" s="2004"/>
      <c r="AH147" s="2004"/>
      <c r="AI147" s="2004"/>
      <c r="AJ147" s="2004"/>
      <c r="AK147" s="2004"/>
      <c r="AL147" s="2004"/>
      <c r="AM147" s="2004"/>
      <c r="AN147" s="2004"/>
      <c r="AO147" s="2004"/>
      <c r="AP147" s="2004"/>
      <c r="AQ147" s="2004"/>
      <c r="AR147" s="2004">
        <v>47</v>
      </c>
      <c r="AS147" s="2004">
        <v>147</v>
      </c>
      <c r="AT147" s="2004" t="s">
        <v>2334</v>
      </c>
      <c r="AU147" s="2004">
        <v>147</v>
      </c>
      <c r="AV147" s="2004" t="s">
        <v>2334</v>
      </c>
      <c r="AW147" s="2004">
        <v>91</v>
      </c>
      <c r="AX147" s="2004" t="s">
        <v>2334</v>
      </c>
      <c r="AY147" s="2004">
        <v>15</v>
      </c>
      <c r="AZ147" s="2004" t="s">
        <v>2337</v>
      </c>
      <c r="BA147" s="2004"/>
      <c r="BB147" s="2004" t="s">
        <v>12707</v>
      </c>
    </row>
    <row r="148" spans="1:54">
      <c r="A148" s="2004" t="s">
        <v>11609</v>
      </c>
      <c r="B148" s="2004" t="s">
        <v>9047</v>
      </c>
      <c r="C148" s="2004" t="s">
        <v>11523</v>
      </c>
      <c r="D148" s="2004" t="s">
        <v>9410</v>
      </c>
      <c r="E148" s="2004" t="s">
        <v>9898</v>
      </c>
      <c r="F148" s="2004" t="s">
        <v>11611</v>
      </c>
      <c r="G148" s="2004"/>
      <c r="H148" s="2004"/>
      <c r="I148" s="2004"/>
      <c r="J148" s="2004"/>
      <c r="K148" s="2004"/>
      <c r="L148" s="2004"/>
      <c r="M148" s="2004"/>
      <c r="N148" s="2004"/>
      <c r="O148" s="2004"/>
      <c r="P148" s="2004" t="s">
        <v>12430</v>
      </c>
      <c r="Q148" s="2004" t="s">
        <v>12708</v>
      </c>
      <c r="R148" s="2004" t="s">
        <v>12531</v>
      </c>
      <c r="S148" s="2004">
        <v>26.3</v>
      </c>
      <c r="T148" s="2004" t="s">
        <v>766</v>
      </c>
      <c r="U148" s="516" t="s">
        <v>3016</v>
      </c>
      <c r="V148" s="2004"/>
      <c r="W148" s="2004">
        <v>4000</v>
      </c>
      <c r="X148" s="2004">
        <v>3878</v>
      </c>
      <c r="Y148" s="2004">
        <v>3715</v>
      </c>
      <c r="Z148" s="2004">
        <v>3512</v>
      </c>
      <c r="AA148" s="2004">
        <v>3309</v>
      </c>
      <c r="AB148" s="2004">
        <v>3187</v>
      </c>
      <c r="AC148" s="2004"/>
      <c r="AD148" s="2004"/>
      <c r="AE148" s="2004"/>
      <c r="AF148" s="2004"/>
      <c r="AG148" s="2004"/>
      <c r="AH148" s="2004"/>
      <c r="AI148" s="2004"/>
      <c r="AJ148" s="2004"/>
      <c r="AK148" s="2004"/>
      <c r="AL148" s="2004"/>
      <c r="AM148" s="2004"/>
      <c r="AN148" s="2004"/>
      <c r="AO148" s="2004"/>
      <c r="AP148" s="2004"/>
      <c r="AQ148" s="2004"/>
      <c r="AR148" s="2004">
        <v>3571</v>
      </c>
      <c r="AS148" s="2004">
        <v>3391</v>
      </c>
      <c r="AT148" s="2004" t="s">
        <v>2337</v>
      </c>
      <c r="AU148" s="2004">
        <v>3274</v>
      </c>
      <c r="AV148" s="2004" t="s">
        <v>2337</v>
      </c>
      <c r="AW148" s="2004">
        <v>2863</v>
      </c>
      <c r="AX148" s="2004" t="s">
        <v>2337</v>
      </c>
      <c r="AY148" s="2004">
        <v>2849</v>
      </c>
      <c r="AZ148" s="2004" t="s">
        <v>2337</v>
      </c>
      <c r="BA148" s="2004"/>
      <c r="BB148" s="2004" t="s">
        <v>12709</v>
      </c>
    </row>
    <row r="149" spans="1:54">
      <c r="A149" s="2004" t="s">
        <v>11609</v>
      </c>
      <c r="B149" s="2004" t="s">
        <v>9047</v>
      </c>
      <c r="C149" s="2004" t="s">
        <v>11523</v>
      </c>
      <c r="D149" s="2004" t="s">
        <v>9410</v>
      </c>
      <c r="E149" s="2004" t="s">
        <v>9898</v>
      </c>
      <c r="F149" s="2004" t="s">
        <v>11611</v>
      </c>
      <c r="G149" s="2004"/>
      <c r="H149" s="2004"/>
      <c r="I149" s="2004"/>
      <c r="J149" s="2004"/>
      <c r="K149" s="2004"/>
      <c r="L149" s="2004"/>
      <c r="M149" s="2004"/>
      <c r="N149" s="2004"/>
      <c r="O149" s="2004"/>
      <c r="P149" s="2004" t="s">
        <v>12434</v>
      </c>
      <c r="Q149" s="2004" t="s">
        <v>12710</v>
      </c>
      <c r="R149" s="2004" t="s">
        <v>12531</v>
      </c>
      <c r="S149" s="2004">
        <v>26.3</v>
      </c>
      <c r="T149" s="2004" t="s">
        <v>766</v>
      </c>
      <c r="U149" s="516" t="s">
        <v>3016</v>
      </c>
      <c r="V149" s="2004"/>
      <c r="W149" s="2004">
        <v>499</v>
      </c>
      <c r="X149" s="2004">
        <v>499</v>
      </c>
      <c r="Y149" s="2004">
        <v>499</v>
      </c>
      <c r="Z149" s="2004">
        <v>499</v>
      </c>
      <c r="AA149" s="2004">
        <v>499</v>
      </c>
      <c r="AB149" s="2004">
        <v>499</v>
      </c>
      <c r="AC149" s="2004"/>
      <c r="AD149" s="2004"/>
      <c r="AE149" s="2004"/>
      <c r="AF149" s="2004"/>
      <c r="AG149" s="2004"/>
      <c r="AH149" s="2004"/>
      <c r="AI149" s="2004"/>
      <c r="AJ149" s="2004"/>
      <c r="AK149" s="2004"/>
      <c r="AL149" s="2004"/>
      <c r="AM149" s="2004"/>
      <c r="AN149" s="2004"/>
      <c r="AO149" s="2004"/>
      <c r="AP149" s="2004"/>
      <c r="AQ149" s="2004"/>
      <c r="AR149" s="2004">
        <v>179</v>
      </c>
      <c r="AS149" s="2004">
        <v>455</v>
      </c>
      <c r="AT149" s="2004" t="s">
        <v>2337</v>
      </c>
      <c r="AU149" s="2004">
        <v>215</v>
      </c>
      <c r="AV149" s="2004" t="s">
        <v>2337</v>
      </c>
      <c r="AW149" s="2004">
        <v>212</v>
      </c>
      <c r="AX149" s="2004" t="s">
        <v>2337</v>
      </c>
      <c r="AY149" s="2004">
        <v>145</v>
      </c>
      <c r="AZ149" s="2004" t="s">
        <v>2337</v>
      </c>
      <c r="BA149" s="2004"/>
      <c r="BB149" s="2004" t="s">
        <v>12711</v>
      </c>
    </row>
    <row r="150" spans="1:54">
      <c r="A150" s="2004" t="s">
        <v>11609</v>
      </c>
      <c r="B150" s="2004" t="s">
        <v>9047</v>
      </c>
      <c r="C150" s="2004" t="s">
        <v>11523</v>
      </c>
      <c r="D150" s="2004" t="s">
        <v>9410</v>
      </c>
      <c r="E150" s="2004" t="s">
        <v>9898</v>
      </c>
      <c r="F150" s="2004" t="s">
        <v>11611</v>
      </c>
      <c r="G150" s="2004"/>
      <c r="H150" s="2004"/>
      <c r="I150" s="2004"/>
      <c r="J150" s="2004"/>
      <c r="K150" s="2004"/>
      <c r="L150" s="2004"/>
      <c r="M150" s="2004"/>
      <c r="N150" s="2004"/>
      <c r="O150" s="2004"/>
      <c r="P150" s="2004" t="s">
        <v>12486</v>
      </c>
      <c r="Q150" s="2004" t="s">
        <v>12712</v>
      </c>
      <c r="R150" s="2004" t="s">
        <v>12713</v>
      </c>
      <c r="S150" s="2004">
        <v>117.1</v>
      </c>
      <c r="T150" s="2004" t="s">
        <v>766</v>
      </c>
      <c r="U150" s="516" t="s">
        <v>3016</v>
      </c>
      <c r="V150" s="2004"/>
      <c r="W150" s="2004">
        <v>388</v>
      </c>
      <c r="X150" s="2004">
        <v>367</v>
      </c>
      <c r="Y150" s="2004">
        <v>338</v>
      </c>
      <c r="Z150" s="2004">
        <v>303</v>
      </c>
      <c r="AA150" s="2004">
        <v>267</v>
      </c>
      <c r="AB150" s="2004">
        <v>246</v>
      </c>
      <c r="AC150" s="2004"/>
      <c r="AD150" s="2004"/>
      <c r="AE150" s="2004"/>
      <c r="AF150" s="2004"/>
      <c r="AG150" s="2004"/>
      <c r="AH150" s="2004"/>
      <c r="AI150" s="2004"/>
      <c r="AJ150" s="2004"/>
      <c r="AK150" s="2004"/>
      <c r="AL150" s="2004"/>
      <c r="AM150" s="2004"/>
      <c r="AN150" s="2004"/>
      <c r="AO150" s="2004"/>
      <c r="AP150" s="2004"/>
      <c r="AQ150" s="2004"/>
      <c r="AR150" s="2004">
        <v>247</v>
      </c>
      <c r="AS150" s="2004">
        <v>377</v>
      </c>
      <c r="AT150" s="2004" t="s">
        <v>2334</v>
      </c>
      <c r="AU150" s="2004">
        <v>362</v>
      </c>
      <c r="AV150" s="2004" t="s">
        <v>2334</v>
      </c>
      <c r="AW150" s="2004">
        <v>206</v>
      </c>
      <c r="AX150" s="2004" t="s">
        <v>2337</v>
      </c>
      <c r="AY150" s="2004">
        <v>124</v>
      </c>
      <c r="AZ150" s="2004" t="s">
        <v>2337</v>
      </c>
      <c r="BA150" s="2004"/>
      <c r="BB150" s="2004" t="s">
        <v>12714</v>
      </c>
    </row>
    <row r="151" spans="1:54">
      <c r="A151" s="2004" t="s">
        <v>11625</v>
      </c>
      <c r="B151" s="2004" t="s">
        <v>9047</v>
      </c>
      <c r="C151" s="2004" t="s">
        <v>11523</v>
      </c>
      <c r="D151" s="2004" t="s">
        <v>9410</v>
      </c>
      <c r="E151" s="2004" t="s">
        <v>9464</v>
      </c>
      <c r="F151" s="2004" t="s">
        <v>12715</v>
      </c>
      <c r="G151" s="2004" t="s">
        <v>9210</v>
      </c>
      <c r="H151" s="2004" t="s">
        <v>9364</v>
      </c>
      <c r="I151" s="2004" t="s">
        <v>11628</v>
      </c>
      <c r="J151" s="2004">
        <v>113.97</v>
      </c>
      <c r="K151" s="2004">
        <v>83</v>
      </c>
      <c r="L151" s="2004">
        <v>83</v>
      </c>
      <c r="M151" s="2004">
        <v>83</v>
      </c>
      <c r="N151" s="2004">
        <v>54.32</v>
      </c>
      <c r="O151" s="2004">
        <v>46.13</v>
      </c>
      <c r="P151" s="2004" t="s">
        <v>12417</v>
      </c>
      <c r="Q151" s="2004" t="s">
        <v>12715</v>
      </c>
      <c r="R151" s="2004"/>
      <c r="S151" s="2004"/>
      <c r="T151" s="2004" t="s">
        <v>9282</v>
      </c>
      <c r="U151" s="2004">
        <v>4</v>
      </c>
      <c r="V151" s="2004"/>
      <c r="W151" s="2004"/>
      <c r="X151" s="2004"/>
      <c r="Y151" s="2004"/>
      <c r="Z151" s="2004"/>
      <c r="AA151" s="2004"/>
      <c r="AB151" s="2004"/>
      <c r="AC151" s="2004"/>
      <c r="AD151" s="2004"/>
      <c r="AE151" s="2004"/>
      <c r="AF151" s="2004"/>
      <c r="AG151" s="2004"/>
      <c r="AH151" s="2004"/>
      <c r="AI151" s="2004"/>
      <c r="AJ151" s="2004"/>
      <c r="AK151" s="2004"/>
      <c r="AL151" s="2004"/>
      <c r="AM151" s="2004"/>
      <c r="AN151" s="2004"/>
      <c r="AO151" s="2004"/>
      <c r="AP151" s="2004"/>
      <c r="AQ151" s="2004"/>
      <c r="AR151" s="2004">
        <v>94.99</v>
      </c>
      <c r="AS151" s="2004">
        <v>91.484999999999999</v>
      </c>
      <c r="AT151" s="2004" t="s">
        <v>2334</v>
      </c>
      <c r="AU151" s="2004">
        <v>58.708199999999998</v>
      </c>
      <c r="AV151" s="2004" t="s">
        <v>2337</v>
      </c>
      <c r="AW151" s="2004">
        <v>30.468</v>
      </c>
      <c r="AX151" s="2004" t="s">
        <v>2337</v>
      </c>
      <c r="AY151" s="2004">
        <v>39.166499999999999</v>
      </c>
      <c r="AZ151" s="2004" t="s">
        <v>2337</v>
      </c>
      <c r="BA151" s="2004"/>
      <c r="BB151" s="2004" t="s">
        <v>12716</v>
      </c>
    </row>
    <row r="152" spans="1:54">
      <c r="A152" s="2004" t="s">
        <v>11625</v>
      </c>
      <c r="B152" s="2004" t="s">
        <v>9047</v>
      </c>
      <c r="C152" s="2004" t="s">
        <v>11523</v>
      </c>
      <c r="D152" s="2004" t="s">
        <v>9410</v>
      </c>
      <c r="E152" s="2004" t="s">
        <v>9464</v>
      </c>
      <c r="F152" s="2004" t="s">
        <v>12715</v>
      </c>
      <c r="G152" s="2004"/>
      <c r="H152" s="2004"/>
      <c r="I152" s="2004"/>
      <c r="J152" s="2004"/>
      <c r="K152" s="2004"/>
      <c r="L152" s="2004"/>
      <c r="M152" s="2004"/>
      <c r="N152" s="2004"/>
      <c r="O152" s="2004"/>
      <c r="P152" s="2004" t="s">
        <v>12419</v>
      </c>
      <c r="Q152" s="2004" t="s">
        <v>12717</v>
      </c>
      <c r="R152" s="2004" t="s">
        <v>12718</v>
      </c>
      <c r="S152" s="2004">
        <v>4.0967000000000002</v>
      </c>
      <c r="T152" s="2004" t="s">
        <v>9282</v>
      </c>
      <c r="U152" s="2004">
        <v>4</v>
      </c>
      <c r="V152" s="2004"/>
      <c r="W152" s="2004">
        <v>0</v>
      </c>
      <c r="X152" s="2004">
        <v>1</v>
      </c>
      <c r="Y152" s="2004">
        <v>1</v>
      </c>
      <c r="Z152" s="2004">
        <v>1</v>
      </c>
      <c r="AA152" s="2004">
        <v>0</v>
      </c>
      <c r="AB152" s="2004">
        <v>0</v>
      </c>
      <c r="AC152" s="2004"/>
      <c r="AD152" s="2004"/>
      <c r="AE152" s="2004"/>
      <c r="AF152" s="2004"/>
      <c r="AG152" s="2004"/>
      <c r="AH152" s="2004"/>
      <c r="AI152" s="2004"/>
      <c r="AJ152" s="2004"/>
      <c r="AK152" s="2004"/>
      <c r="AL152" s="2004"/>
      <c r="AM152" s="2004"/>
      <c r="AN152" s="2004"/>
      <c r="AO152" s="2004"/>
      <c r="AP152" s="2004"/>
      <c r="AQ152" s="2004"/>
      <c r="AR152" s="2004"/>
      <c r="AS152" s="2004">
        <v>0</v>
      </c>
      <c r="AT152" s="2004" t="s">
        <v>2337</v>
      </c>
      <c r="AU152" s="2004">
        <v>2</v>
      </c>
      <c r="AV152" s="2004" t="s">
        <v>2334</v>
      </c>
      <c r="AW152" s="2004">
        <v>12.290100000000001</v>
      </c>
      <c r="AX152" s="2004" t="s">
        <v>2337</v>
      </c>
      <c r="AY152" s="2004">
        <v>4.0967000000000002</v>
      </c>
      <c r="AZ152" s="2004" t="s">
        <v>2334</v>
      </c>
      <c r="BA152" s="2004"/>
      <c r="BB152" s="2004" t="s">
        <v>12719</v>
      </c>
    </row>
    <row r="153" spans="1:54">
      <c r="A153" s="2004" t="s">
        <v>11625</v>
      </c>
      <c r="B153" s="2004" t="s">
        <v>9047</v>
      </c>
      <c r="C153" s="2004" t="s">
        <v>11523</v>
      </c>
      <c r="D153" s="2004" t="s">
        <v>9410</v>
      </c>
      <c r="E153" s="2004" t="s">
        <v>9464</v>
      </c>
      <c r="F153" s="2004" t="s">
        <v>12715</v>
      </c>
      <c r="G153" s="2004"/>
      <c r="H153" s="2004"/>
      <c r="I153" s="2004"/>
      <c r="J153" s="2004"/>
      <c r="K153" s="2004"/>
      <c r="L153" s="2004"/>
      <c r="M153" s="2004"/>
      <c r="N153" s="2004"/>
      <c r="O153" s="2004"/>
      <c r="P153" s="2004" t="s">
        <v>12423</v>
      </c>
      <c r="Q153" s="2004" t="s">
        <v>12720</v>
      </c>
      <c r="R153" s="2004" t="s">
        <v>12718</v>
      </c>
      <c r="S153" s="2004">
        <v>8.1934000000000005</v>
      </c>
      <c r="T153" s="2004" t="s">
        <v>9282</v>
      </c>
      <c r="U153" s="2004">
        <v>4</v>
      </c>
      <c r="V153" s="2004"/>
      <c r="W153" s="2004">
        <v>0</v>
      </c>
      <c r="X153" s="2004">
        <v>1</v>
      </c>
      <c r="Y153" s="2004">
        <v>1</v>
      </c>
      <c r="Z153" s="2004">
        <v>1</v>
      </c>
      <c r="AA153" s="2004">
        <v>1</v>
      </c>
      <c r="AB153" s="2004">
        <v>0</v>
      </c>
      <c r="AC153" s="2004"/>
      <c r="AD153" s="2004"/>
      <c r="AE153" s="2004"/>
      <c r="AF153" s="2004"/>
      <c r="AG153" s="2004"/>
      <c r="AH153" s="2004"/>
      <c r="AI153" s="2004"/>
      <c r="AJ153" s="2004"/>
      <c r="AK153" s="2004"/>
      <c r="AL153" s="2004"/>
      <c r="AM153" s="2004"/>
      <c r="AN153" s="2004"/>
      <c r="AO153" s="2004"/>
      <c r="AP153" s="2004"/>
      <c r="AQ153" s="2004"/>
      <c r="AR153" s="2004"/>
      <c r="AS153" s="2004">
        <v>2</v>
      </c>
      <c r="AT153" s="2004" t="s">
        <v>2334</v>
      </c>
      <c r="AU153" s="2004">
        <v>0</v>
      </c>
      <c r="AV153" s="2004" t="s">
        <v>2337</v>
      </c>
      <c r="AW153" s="2004">
        <v>0</v>
      </c>
      <c r="AX153" s="2004" t="s">
        <v>2337</v>
      </c>
      <c r="AY153" s="2004">
        <v>0</v>
      </c>
      <c r="AZ153" s="2004" t="s">
        <v>2337</v>
      </c>
      <c r="BA153" s="2004"/>
      <c r="BB153" s="2004" t="s">
        <v>12721</v>
      </c>
    </row>
    <row r="154" spans="1:54">
      <c r="A154" s="2004" t="s">
        <v>11625</v>
      </c>
      <c r="B154" s="2004" t="s">
        <v>9047</v>
      </c>
      <c r="C154" s="2004" t="s">
        <v>11523</v>
      </c>
      <c r="D154" s="2004" t="s">
        <v>9410</v>
      </c>
      <c r="E154" s="2004" t="s">
        <v>9464</v>
      </c>
      <c r="F154" s="2004" t="s">
        <v>12715</v>
      </c>
      <c r="G154" s="2004"/>
      <c r="H154" s="2004"/>
      <c r="I154" s="2004"/>
      <c r="J154" s="2004"/>
      <c r="K154" s="2004"/>
      <c r="L154" s="2004"/>
      <c r="M154" s="2004"/>
      <c r="N154" s="2004"/>
      <c r="O154" s="2004"/>
      <c r="P154" s="2004" t="s">
        <v>12430</v>
      </c>
      <c r="Q154" s="2004" t="s">
        <v>12722</v>
      </c>
      <c r="R154" s="2004" t="s">
        <v>12718</v>
      </c>
      <c r="S154" s="2004">
        <v>16.386700000000001</v>
      </c>
      <c r="T154" s="2004" t="s">
        <v>9282</v>
      </c>
      <c r="U154" s="2004">
        <v>4</v>
      </c>
      <c r="V154" s="2004"/>
      <c r="W154" s="2004">
        <v>6</v>
      </c>
      <c r="X154" s="2004">
        <v>1</v>
      </c>
      <c r="Y154" s="2004">
        <v>1</v>
      </c>
      <c r="Z154" s="2004">
        <v>1</v>
      </c>
      <c r="AA154" s="2004">
        <v>2</v>
      </c>
      <c r="AB154" s="2004">
        <v>2</v>
      </c>
      <c r="AC154" s="2004"/>
      <c r="AD154" s="2004"/>
      <c r="AE154" s="2004"/>
      <c r="AF154" s="2004"/>
      <c r="AG154" s="2004"/>
      <c r="AH154" s="2004"/>
      <c r="AI154" s="2004"/>
      <c r="AJ154" s="2004"/>
      <c r="AK154" s="2004"/>
      <c r="AL154" s="2004"/>
      <c r="AM154" s="2004"/>
      <c r="AN154" s="2004"/>
      <c r="AO154" s="2004"/>
      <c r="AP154" s="2004"/>
      <c r="AQ154" s="2004"/>
      <c r="AR154" s="2004"/>
      <c r="AS154" s="2004">
        <v>2</v>
      </c>
      <c r="AT154" s="2004" t="s">
        <v>2334</v>
      </c>
      <c r="AU154" s="2004">
        <v>3</v>
      </c>
      <c r="AV154" s="2004" t="s">
        <v>2337</v>
      </c>
      <c r="AW154" s="2004">
        <v>16.386700000000001</v>
      </c>
      <c r="AX154" s="2004" t="s">
        <v>2337</v>
      </c>
      <c r="AY154" s="2004">
        <v>32.773400000000002</v>
      </c>
      <c r="AZ154" s="2004" t="s">
        <v>2337</v>
      </c>
      <c r="BA154" s="2004"/>
      <c r="BB154" s="2004" t="s">
        <v>12723</v>
      </c>
    </row>
    <row r="155" spans="1:54">
      <c r="A155" s="2004" t="s">
        <v>11625</v>
      </c>
      <c r="B155" s="2004" t="s">
        <v>9047</v>
      </c>
      <c r="C155" s="2004" t="s">
        <v>11523</v>
      </c>
      <c r="D155" s="2004" t="s">
        <v>9410</v>
      </c>
      <c r="E155" s="2004" t="s">
        <v>9464</v>
      </c>
      <c r="F155" s="2004" t="s">
        <v>12715</v>
      </c>
      <c r="G155" s="2004"/>
      <c r="H155" s="2004"/>
      <c r="I155" s="2004"/>
      <c r="J155" s="2004"/>
      <c r="K155" s="2004"/>
      <c r="L155" s="2004"/>
      <c r="M155" s="2004"/>
      <c r="N155" s="2004"/>
      <c r="O155" s="2004"/>
      <c r="P155" s="2004" t="s">
        <v>12434</v>
      </c>
      <c r="Q155" s="2004" t="s">
        <v>12724</v>
      </c>
      <c r="R155" s="2004" t="s">
        <v>12718</v>
      </c>
      <c r="S155" s="2004">
        <v>40.966799999999999</v>
      </c>
      <c r="T155" s="2004" t="s">
        <v>9282</v>
      </c>
      <c r="U155" s="2004">
        <v>4</v>
      </c>
      <c r="V155" s="2004"/>
      <c r="W155" s="2004">
        <v>0</v>
      </c>
      <c r="X155" s="2004">
        <v>1</v>
      </c>
      <c r="Y155" s="2004">
        <v>1</v>
      </c>
      <c r="Z155" s="2004">
        <v>1</v>
      </c>
      <c r="AA155" s="2004">
        <v>0</v>
      </c>
      <c r="AB155" s="2004">
        <v>0</v>
      </c>
      <c r="AC155" s="2004"/>
      <c r="AD155" s="2004"/>
      <c r="AE155" s="2004"/>
      <c r="AF155" s="2004"/>
      <c r="AG155" s="2004"/>
      <c r="AH155" s="2004"/>
      <c r="AI155" s="2004"/>
      <c r="AJ155" s="2004"/>
      <c r="AK155" s="2004"/>
      <c r="AL155" s="2004"/>
      <c r="AM155" s="2004"/>
      <c r="AN155" s="2004"/>
      <c r="AO155" s="2004"/>
      <c r="AP155" s="2004"/>
      <c r="AQ155" s="2004"/>
      <c r="AR155" s="2004"/>
      <c r="AS155" s="2004">
        <v>1</v>
      </c>
      <c r="AT155" s="2004" t="s">
        <v>2337</v>
      </c>
      <c r="AU155" s="2004">
        <v>0</v>
      </c>
      <c r="AV155" s="2004" t="s">
        <v>2337</v>
      </c>
      <c r="AW155" s="2004">
        <v>0</v>
      </c>
      <c r="AX155" s="2004" t="s">
        <v>2337</v>
      </c>
      <c r="AY155" s="2004">
        <v>0</v>
      </c>
      <c r="AZ155" s="2004" t="s">
        <v>2337</v>
      </c>
      <c r="BA155" s="2004"/>
      <c r="BB155" s="2004" t="s">
        <v>12725</v>
      </c>
    </row>
    <row r="156" spans="1:54">
      <c r="A156" s="2004" t="s">
        <v>11625</v>
      </c>
      <c r="B156" s="2004" t="s">
        <v>9047</v>
      </c>
      <c r="C156" s="2004" t="s">
        <v>11523</v>
      </c>
      <c r="D156" s="2004" t="s">
        <v>9410</v>
      </c>
      <c r="E156" s="2004" t="s">
        <v>9464</v>
      </c>
      <c r="F156" s="2004" t="s">
        <v>12715</v>
      </c>
      <c r="G156" s="2004"/>
      <c r="H156" s="2004"/>
      <c r="I156" s="2004"/>
      <c r="J156" s="2004"/>
      <c r="K156" s="2004"/>
      <c r="L156" s="2004"/>
      <c r="M156" s="2004"/>
      <c r="N156" s="2004"/>
      <c r="O156" s="2004"/>
      <c r="P156" s="2004" t="s">
        <v>12486</v>
      </c>
      <c r="Q156" s="2004" t="s">
        <v>12726</v>
      </c>
      <c r="R156" s="2004" t="s">
        <v>12718</v>
      </c>
      <c r="S156" s="2004">
        <v>8.1900000000000001E-2</v>
      </c>
      <c r="T156" s="2004" t="s">
        <v>9282</v>
      </c>
      <c r="U156" s="2004">
        <v>4</v>
      </c>
      <c r="V156" s="2004"/>
      <c r="W156" s="2004">
        <v>10</v>
      </c>
      <c r="X156" s="2004">
        <v>12</v>
      </c>
      <c r="Y156" s="2004">
        <v>12</v>
      </c>
      <c r="Z156" s="2004">
        <v>12</v>
      </c>
      <c r="AA156" s="2004">
        <v>12</v>
      </c>
      <c r="AB156" s="2004">
        <v>12</v>
      </c>
      <c r="AC156" s="2004"/>
      <c r="AD156" s="2004"/>
      <c r="AE156" s="2004"/>
      <c r="AF156" s="2004"/>
      <c r="AG156" s="2004"/>
      <c r="AH156" s="2004"/>
      <c r="AI156" s="2004"/>
      <c r="AJ156" s="2004"/>
      <c r="AK156" s="2004"/>
      <c r="AL156" s="2004"/>
      <c r="AM156" s="2004"/>
      <c r="AN156" s="2004"/>
      <c r="AO156" s="2004"/>
      <c r="AP156" s="2004"/>
      <c r="AQ156" s="2004"/>
      <c r="AR156" s="2004"/>
      <c r="AS156" s="2004">
        <v>0.66666666666666696</v>
      </c>
      <c r="AT156" s="2004" t="s">
        <v>2337</v>
      </c>
      <c r="AU156" s="2004">
        <v>0.1159</v>
      </c>
      <c r="AV156" s="2004" t="s">
        <v>2337</v>
      </c>
      <c r="AW156" s="2004">
        <v>0.1603</v>
      </c>
      <c r="AX156" s="2004" t="s">
        <v>2337</v>
      </c>
      <c r="AY156" s="2004">
        <v>0.29320000000000002</v>
      </c>
      <c r="AZ156" s="2004" t="s">
        <v>2337</v>
      </c>
      <c r="BA156" s="2004"/>
      <c r="BB156" s="2004" t="s">
        <v>12727</v>
      </c>
    </row>
    <row r="157" spans="1:54">
      <c r="A157" s="2004" t="s">
        <v>11625</v>
      </c>
      <c r="B157" s="2004" t="s">
        <v>9047</v>
      </c>
      <c r="C157" s="2004" t="s">
        <v>11523</v>
      </c>
      <c r="D157" s="2004" t="s">
        <v>9410</v>
      </c>
      <c r="E157" s="2004" t="s">
        <v>9464</v>
      </c>
      <c r="F157" s="2004" t="s">
        <v>12715</v>
      </c>
      <c r="G157" s="2004"/>
      <c r="H157" s="2004"/>
      <c r="I157" s="2004"/>
      <c r="J157" s="2004"/>
      <c r="K157" s="2004"/>
      <c r="L157" s="2004"/>
      <c r="M157" s="2004"/>
      <c r="N157" s="2004"/>
      <c r="O157" s="2004"/>
      <c r="P157" s="2004" t="s">
        <v>12489</v>
      </c>
      <c r="Q157" s="2004" t="s">
        <v>12728</v>
      </c>
      <c r="R157" s="2004" t="s">
        <v>12718</v>
      </c>
      <c r="S157" s="2004">
        <v>0.16389999999999999</v>
      </c>
      <c r="T157" s="2004" t="s">
        <v>9282</v>
      </c>
      <c r="U157" s="2004">
        <v>4</v>
      </c>
      <c r="V157" s="2004"/>
      <c r="W157" s="2004">
        <v>1</v>
      </c>
      <c r="X157" s="2004">
        <v>1</v>
      </c>
      <c r="Y157" s="2004">
        <v>1</v>
      </c>
      <c r="Z157" s="2004">
        <v>1</v>
      </c>
      <c r="AA157" s="2004">
        <v>1</v>
      </c>
      <c r="AB157" s="2004">
        <v>1</v>
      </c>
      <c r="AC157" s="2004"/>
      <c r="AD157" s="2004"/>
      <c r="AE157" s="2004"/>
      <c r="AF157" s="2004"/>
      <c r="AG157" s="2004"/>
      <c r="AH157" s="2004"/>
      <c r="AI157" s="2004"/>
      <c r="AJ157" s="2004"/>
      <c r="AK157" s="2004"/>
      <c r="AL157" s="2004"/>
      <c r="AM157" s="2004"/>
      <c r="AN157" s="2004"/>
      <c r="AO157" s="2004"/>
      <c r="AP157" s="2004"/>
      <c r="AQ157" s="2004"/>
      <c r="AR157" s="2004"/>
      <c r="AS157" s="2004">
        <v>0</v>
      </c>
      <c r="AT157" s="2004" t="s">
        <v>2337</v>
      </c>
      <c r="AU157" s="2004">
        <v>3.4099999999999998E-2</v>
      </c>
      <c r="AV157" s="2004" t="s">
        <v>2337</v>
      </c>
      <c r="AW157" s="2004">
        <v>9.5600000000000004E-2</v>
      </c>
      <c r="AX157" s="2004" t="s">
        <v>2337</v>
      </c>
      <c r="AY157" s="2004">
        <v>1.37E-2</v>
      </c>
      <c r="AZ157" s="2004" t="s">
        <v>2337</v>
      </c>
      <c r="BA157" s="2004"/>
      <c r="BB157" s="2004" t="s">
        <v>12729</v>
      </c>
    </row>
    <row r="158" spans="1:54">
      <c r="A158" s="2004" t="s">
        <v>11625</v>
      </c>
      <c r="B158" s="2004" t="s">
        <v>9047</v>
      </c>
      <c r="C158" s="2004" t="s">
        <v>11523</v>
      </c>
      <c r="D158" s="2004" t="s">
        <v>9410</v>
      </c>
      <c r="E158" s="2004" t="s">
        <v>9464</v>
      </c>
      <c r="F158" s="2004" t="s">
        <v>12715</v>
      </c>
      <c r="G158" s="2004"/>
      <c r="H158" s="2004"/>
      <c r="I158" s="2004"/>
      <c r="J158" s="2004"/>
      <c r="K158" s="2004"/>
      <c r="L158" s="2004"/>
      <c r="M158" s="2004"/>
      <c r="N158" s="2004"/>
      <c r="O158" s="2004"/>
      <c r="P158" s="2004" t="s">
        <v>12492</v>
      </c>
      <c r="Q158" s="2004" t="s">
        <v>12730</v>
      </c>
      <c r="R158" s="2004" t="s">
        <v>12718</v>
      </c>
      <c r="S158" s="2004">
        <v>0.81930000000000003</v>
      </c>
      <c r="T158" s="2004" t="s">
        <v>9282</v>
      </c>
      <c r="U158" s="2004">
        <v>4</v>
      </c>
      <c r="V158" s="2004"/>
      <c r="W158" s="2004">
        <v>3</v>
      </c>
      <c r="X158" s="2004">
        <v>4</v>
      </c>
      <c r="Y158" s="2004">
        <v>4</v>
      </c>
      <c r="Z158" s="2004">
        <v>4</v>
      </c>
      <c r="AA158" s="2004">
        <v>4</v>
      </c>
      <c r="AB158" s="2004">
        <v>4</v>
      </c>
      <c r="AC158" s="2004"/>
      <c r="AD158" s="2004"/>
      <c r="AE158" s="2004"/>
      <c r="AF158" s="2004"/>
      <c r="AG158" s="2004"/>
      <c r="AH158" s="2004"/>
      <c r="AI158" s="2004"/>
      <c r="AJ158" s="2004"/>
      <c r="AK158" s="2004"/>
      <c r="AL158" s="2004"/>
      <c r="AM158" s="2004"/>
      <c r="AN158" s="2004"/>
      <c r="AO158" s="2004"/>
      <c r="AP158" s="2004"/>
      <c r="AQ158" s="2004"/>
      <c r="AR158" s="2004"/>
      <c r="AS158" s="2004">
        <v>0</v>
      </c>
      <c r="AT158" s="2004" t="s">
        <v>2337</v>
      </c>
      <c r="AU158" s="2004">
        <v>0</v>
      </c>
      <c r="AV158" s="2004" t="s">
        <v>2337</v>
      </c>
      <c r="AW158" s="2004">
        <v>0.40960000000000002</v>
      </c>
      <c r="AX158" s="2004" t="s">
        <v>2337</v>
      </c>
      <c r="AY158" s="2004">
        <v>0.71679999999999999</v>
      </c>
      <c r="AZ158" s="2004" t="s">
        <v>2337</v>
      </c>
      <c r="BA158" s="2004"/>
      <c r="BB158" s="2004" t="s">
        <v>12731</v>
      </c>
    </row>
    <row r="159" spans="1:54">
      <c r="A159" s="2004" t="s">
        <v>11625</v>
      </c>
      <c r="B159" s="2004" t="s">
        <v>9047</v>
      </c>
      <c r="C159" s="2004" t="s">
        <v>11523</v>
      </c>
      <c r="D159" s="2004" t="s">
        <v>9410</v>
      </c>
      <c r="E159" s="2004" t="s">
        <v>9464</v>
      </c>
      <c r="F159" s="2004" t="s">
        <v>12715</v>
      </c>
      <c r="G159" s="2004"/>
      <c r="H159" s="2004"/>
      <c r="I159" s="2004"/>
      <c r="J159" s="2004"/>
      <c r="K159" s="2004"/>
      <c r="L159" s="2004"/>
      <c r="M159" s="2004"/>
      <c r="N159" s="2004"/>
      <c r="O159" s="2004"/>
      <c r="P159" s="2004" t="s">
        <v>12495</v>
      </c>
      <c r="Q159" s="2004" t="s">
        <v>12732</v>
      </c>
      <c r="R159" s="2004" t="s">
        <v>12718</v>
      </c>
      <c r="S159" s="2004">
        <v>4.1000000000000002E-2</v>
      </c>
      <c r="T159" s="2004" t="s">
        <v>9282</v>
      </c>
      <c r="U159" s="2004">
        <v>4</v>
      </c>
      <c r="V159" s="2004"/>
      <c r="W159" s="2004">
        <v>52</v>
      </c>
      <c r="X159" s="2004">
        <v>44</v>
      </c>
      <c r="Y159" s="2004">
        <v>44</v>
      </c>
      <c r="Z159" s="2004">
        <v>44</v>
      </c>
      <c r="AA159" s="2004">
        <v>44</v>
      </c>
      <c r="AB159" s="2004">
        <v>44</v>
      </c>
      <c r="AC159" s="2004"/>
      <c r="AD159" s="2004"/>
      <c r="AE159" s="2004"/>
      <c r="AF159" s="2004"/>
      <c r="AG159" s="2004"/>
      <c r="AH159" s="2004"/>
      <c r="AI159" s="2004"/>
      <c r="AJ159" s="2004"/>
      <c r="AK159" s="2004"/>
      <c r="AL159" s="2004"/>
      <c r="AM159" s="2004"/>
      <c r="AN159" s="2004"/>
      <c r="AO159" s="2004"/>
      <c r="AP159" s="2004"/>
      <c r="AQ159" s="2004"/>
      <c r="AR159" s="2004"/>
      <c r="AS159" s="2004">
        <v>8.5</v>
      </c>
      <c r="AT159" s="2004" t="s">
        <v>2334</v>
      </c>
      <c r="AU159" s="2004">
        <v>0.31040000000000001</v>
      </c>
      <c r="AV159" s="2004" t="s">
        <v>2337</v>
      </c>
      <c r="AW159" s="2004">
        <v>0.32040000000000002</v>
      </c>
      <c r="AX159" s="2004" t="s">
        <v>2337</v>
      </c>
      <c r="AY159" s="2004">
        <v>0.31019999999999998</v>
      </c>
      <c r="AZ159" s="2004" t="s">
        <v>2337</v>
      </c>
      <c r="BA159" s="2004"/>
      <c r="BB159" s="2004" t="s">
        <v>12733</v>
      </c>
    </row>
    <row r="160" spans="1:54">
      <c r="A160" s="2004" t="s">
        <v>11625</v>
      </c>
      <c r="B160" s="2004" t="s">
        <v>9047</v>
      </c>
      <c r="C160" s="2004" t="s">
        <v>11523</v>
      </c>
      <c r="D160" s="2004" t="s">
        <v>9410</v>
      </c>
      <c r="E160" s="2004" t="s">
        <v>9464</v>
      </c>
      <c r="F160" s="2004" t="s">
        <v>12715</v>
      </c>
      <c r="G160" s="2004"/>
      <c r="H160" s="2004"/>
      <c r="I160" s="2004"/>
      <c r="J160" s="2004"/>
      <c r="K160" s="2004"/>
      <c r="L160" s="2004"/>
      <c r="M160" s="2004"/>
      <c r="N160" s="2004"/>
      <c r="O160" s="2004"/>
      <c r="P160" s="2004" t="s">
        <v>12498</v>
      </c>
      <c r="Q160" s="2004" t="s">
        <v>12734</v>
      </c>
      <c r="R160" s="2004" t="s">
        <v>12718</v>
      </c>
      <c r="S160" s="2004">
        <v>8.1900000000000001E-2</v>
      </c>
      <c r="T160" s="2004" t="s">
        <v>9282</v>
      </c>
      <c r="U160" s="2004">
        <v>4</v>
      </c>
      <c r="V160" s="2004"/>
      <c r="W160" s="2004">
        <v>8</v>
      </c>
      <c r="X160" s="2004">
        <v>7</v>
      </c>
      <c r="Y160" s="2004">
        <v>7</v>
      </c>
      <c r="Z160" s="2004">
        <v>7</v>
      </c>
      <c r="AA160" s="2004">
        <v>7</v>
      </c>
      <c r="AB160" s="2004">
        <v>7</v>
      </c>
      <c r="AC160" s="2004"/>
      <c r="AD160" s="2004"/>
      <c r="AE160" s="2004"/>
      <c r="AF160" s="2004"/>
      <c r="AG160" s="2004"/>
      <c r="AH160" s="2004"/>
      <c r="AI160" s="2004"/>
      <c r="AJ160" s="2004"/>
      <c r="AK160" s="2004"/>
      <c r="AL160" s="2004"/>
      <c r="AM160" s="2004"/>
      <c r="AN160" s="2004"/>
      <c r="AO160" s="2004"/>
      <c r="AP160" s="2004"/>
      <c r="AQ160" s="2004"/>
      <c r="AR160" s="2004"/>
      <c r="AS160" s="2004">
        <v>0.33333333333333298</v>
      </c>
      <c r="AT160" s="2004" t="s">
        <v>2337</v>
      </c>
      <c r="AU160" s="2004">
        <v>4.1000000000000002E-2</v>
      </c>
      <c r="AV160" s="2004" t="s">
        <v>2337</v>
      </c>
      <c r="AW160" s="2004">
        <v>5.4600000000000003E-2</v>
      </c>
      <c r="AX160" s="2004" t="s">
        <v>2337</v>
      </c>
      <c r="AY160" s="2004">
        <v>7.51E-2</v>
      </c>
      <c r="AZ160" s="2004" t="s">
        <v>2337</v>
      </c>
      <c r="BA160" s="2004"/>
      <c r="BB160" s="2004" t="s">
        <v>12735</v>
      </c>
    </row>
    <row r="161" spans="1:54">
      <c r="A161" s="2004" t="s">
        <v>11625</v>
      </c>
      <c r="B161" s="2004" t="s">
        <v>9047</v>
      </c>
      <c r="C161" s="2004" t="s">
        <v>11523</v>
      </c>
      <c r="D161" s="2004" t="s">
        <v>9410</v>
      </c>
      <c r="E161" s="2004" t="s">
        <v>9464</v>
      </c>
      <c r="F161" s="2004" t="s">
        <v>12715</v>
      </c>
      <c r="G161" s="2004"/>
      <c r="H161" s="2004"/>
      <c r="I161" s="2004"/>
      <c r="J161" s="2004"/>
      <c r="K161" s="2004"/>
      <c r="L161" s="2004"/>
      <c r="M161" s="2004"/>
      <c r="N161" s="2004"/>
      <c r="O161" s="2004"/>
      <c r="P161" s="2004" t="s">
        <v>3072</v>
      </c>
      <c r="Q161" s="2004" t="s">
        <v>12736</v>
      </c>
      <c r="R161" s="2004" t="s">
        <v>12718</v>
      </c>
      <c r="S161" s="2004">
        <v>0.40970000000000001</v>
      </c>
      <c r="T161" s="2004" t="s">
        <v>9282</v>
      </c>
      <c r="U161" s="2004">
        <v>4</v>
      </c>
      <c r="V161" s="2004"/>
      <c r="W161" s="2004">
        <v>23</v>
      </c>
      <c r="X161" s="2004">
        <v>16</v>
      </c>
      <c r="Y161" s="2004">
        <v>16</v>
      </c>
      <c r="Z161" s="2004">
        <v>16</v>
      </c>
      <c r="AA161" s="2004">
        <v>16</v>
      </c>
      <c r="AB161" s="2004">
        <v>16</v>
      </c>
      <c r="AC161" s="2004"/>
      <c r="AD161" s="2004"/>
      <c r="AE161" s="2004"/>
      <c r="AF161" s="2004"/>
      <c r="AG161" s="2004"/>
      <c r="AH161" s="2004"/>
      <c r="AI161" s="2004"/>
      <c r="AJ161" s="2004"/>
      <c r="AK161" s="2004"/>
      <c r="AL161" s="2004"/>
      <c r="AM161" s="2004"/>
      <c r="AN161" s="2004"/>
      <c r="AO161" s="2004"/>
      <c r="AP161" s="2004"/>
      <c r="AQ161" s="2004"/>
      <c r="AR161" s="2004"/>
      <c r="AS161" s="2004">
        <v>2.25</v>
      </c>
      <c r="AT161" s="2004" t="s">
        <v>2337</v>
      </c>
      <c r="AU161" s="2004">
        <v>0.88739999999999997</v>
      </c>
      <c r="AV161" s="2004" t="s">
        <v>2337</v>
      </c>
      <c r="AW161" s="2004">
        <v>0.75070000000000003</v>
      </c>
      <c r="AX161" s="2004" t="s">
        <v>2337</v>
      </c>
      <c r="AY161" s="2004">
        <v>0.88739999999999997</v>
      </c>
      <c r="AZ161" s="2004" t="s">
        <v>2337</v>
      </c>
      <c r="BA161" s="2004"/>
      <c r="BB161" s="2004" t="s">
        <v>12737</v>
      </c>
    </row>
    <row r="162" spans="1:54">
      <c r="A162" s="2004" t="s">
        <v>11713</v>
      </c>
      <c r="B162" s="2004" t="s">
        <v>9047</v>
      </c>
      <c r="C162" s="2004" t="s">
        <v>9054</v>
      </c>
      <c r="D162" s="2004" t="s">
        <v>9194</v>
      </c>
      <c r="E162" s="2004" t="s">
        <v>8987</v>
      </c>
      <c r="F162" s="2004" t="s">
        <v>11716</v>
      </c>
      <c r="G162" s="2004" t="s">
        <v>9210</v>
      </c>
      <c r="H162" s="2004" t="s">
        <v>9260</v>
      </c>
      <c r="I162" s="2004" t="s">
        <v>9546</v>
      </c>
      <c r="J162" s="2004" t="s">
        <v>2338</v>
      </c>
      <c r="K162" s="2004" t="s">
        <v>2338</v>
      </c>
      <c r="L162" s="2004" t="s">
        <v>2338</v>
      </c>
      <c r="M162" s="2004" t="s">
        <v>2338</v>
      </c>
      <c r="N162" s="2004" t="s">
        <v>2338</v>
      </c>
      <c r="O162" s="2004" t="s">
        <v>2338</v>
      </c>
      <c r="P162" s="2004" t="s">
        <v>12417</v>
      </c>
      <c r="Q162" s="2004" t="s">
        <v>11716</v>
      </c>
      <c r="R162" s="2004"/>
      <c r="S162" s="2004"/>
      <c r="T162" s="2004" t="s">
        <v>9395</v>
      </c>
      <c r="U162" s="2004" t="s">
        <v>9203</v>
      </c>
      <c r="V162" s="2004"/>
      <c r="W162" s="2004"/>
      <c r="X162" s="2004"/>
      <c r="Y162" s="2004"/>
      <c r="Z162" s="2004"/>
      <c r="AA162" s="2004"/>
      <c r="AB162" s="2004"/>
      <c r="AC162" s="2004"/>
      <c r="AD162" s="2004"/>
      <c r="AE162" s="2004"/>
      <c r="AF162" s="2004"/>
      <c r="AG162" s="2004"/>
      <c r="AH162" s="2004"/>
      <c r="AI162" s="2004"/>
      <c r="AJ162" s="2004"/>
      <c r="AK162" s="2004"/>
      <c r="AL162" s="2004"/>
      <c r="AM162" s="2004"/>
      <c r="AN162" s="2004"/>
      <c r="AO162" s="2004"/>
      <c r="AP162" s="2004"/>
      <c r="AQ162" s="2004"/>
      <c r="AR162" s="2004" t="s">
        <v>2338</v>
      </c>
      <c r="AS162" s="2004" t="s">
        <v>2338</v>
      </c>
      <c r="AT162" s="2004" t="s">
        <v>2337</v>
      </c>
      <c r="AU162" s="2004" t="s">
        <v>2338</v>
      </c>
      <c r="AV162" s="2004" t="s">
        <v>2337</v>
      </c>
      <c r="AW162" s="2004" t="s">
        <v>2338</v>
      </c>
      <c r="AX162" s="2004" t="s">
        <v>2337</v>
      </c>
      <c r="AY162" s="2004" t="s">
        <v>2338</v>
      </c>
      <c r="AZ162" s="2004" t="s">
        <v>2337</v>
      </c>
      <c r="BA162" s="2004"/>
      <c r="BB162" s="2004" t="s">
        <v>12738</v>
      </c>
    </row>
    <row r="163" spans="1:54">
      <c r="A163" s="2004" t="s">
        <v>11713</v>
      </c>
      <c r="B163" s="2004" t="s">
        <v>9047</v>
      </c>
      <c r="C163" s="2004" t="s">
        <v>9054</v>
      </c>
      <c r="D163" s="2004" t="s">
        <v>9194</v>
      </c>
      <c r="E163" s="2004" t="s">
        <v>8987</v>
      </c>
      <c r="F163" s="2004" t="s">
        <v>11716</v>
      </c>
      <c r="G163" s="2004"/>
      <c r="H163" s="2004"/>
      <c r="I163" s="2004"/>
      <c r="J163" s="2004"/>
      <c r="K163" s="2004"/>
      <c r="L163" s="2004"/>
      <c r="M163" s="2004"/>
      <c r="N163" s="2004"/>
      <c r="O163" s="2004"/>
      <c r="P163" s="2004" t="s">
        <v>12419</v>
      </c>
      <c r="Q163" s="2004" t="s">
        <v>12739</v>
      </c>
      <c r="R163" s="2004" t="s">
        <v>12425</v>
      </c>
      <c r="S163" s="2004"/>
      <c r="T163" s="2004" t="s">
        <v>766</v>
      </c>
      <c r="U163" s="516" t="s">
        <v>3016</v>
      </c>
      <c r="V163" s="2004">
        <v>4350</v>
      </c>
      <c r="W163" s="2004"/>
      <c r="X163" s="2004">
        <v>4350</v>
      </c>
      <c r="Y163" s="2004">
        <v>4350</v>
      </c>
      <c r="Z163" s="2004">
        <v>4350</v>
      </c>
      <c r="AA163" s="2004">
        <v>4350</v>
      </c>
      <c r="AB163" s="2004">
        <v>4350</v>
      </c>
      <c r="AC163" s="2004">
        <v>4713</v>
      </c>
      <c r="AD163" s="2004"/>
      <c r="AE163" s="2004">
        <v>4713</v>
      </c>
      <c r="AF163" s="2004">
        <v>4713</v>
      </c>
      <c r="AG163" s="2004">
        <v>4713</v>
      </c>
      <c r="AH163" s="2004">
        <v>4713</v>
      </c>
      <c r="AI163" s="2004">
        <v>4713</v>
      </c>
      <c r="AJ163" s="2004">
        <v>3987</v>
      </c>
      <c r="AK163" s="2004"/>
      <c r="AL163" s="2004">
        <v>3987</v>
      </c>
      <c r="AM163" s="2004">
        <v>3987</v>
      </c>
      <c r="AN163" s="2004">
        <v>3987</v>
      </c>
      <c r="AO163" s="2004">
        <v>3987</v>
      </c>
      <c r="AP163" s="2004">
        <v>3987</v>
      </c>
      <c r="AQ163" s="2004"/>
      <c r="AR163" s="2004">
        <v>3530</v>
      </c>
      <c r="AS163" s="2004">
        <v>3012</v>
      </c>
      <c r="AT163" s="2004" t="s">
        <v>2337</v>
      </c>
      <c r="AU163" s="2004">
        <v>3679</v>
      </c>
      <c r="AV163" s="2004" t="s">
        <v>2337</v>
      </c>
      <c r="AW163" s="2004">
        <v>4181</v>
      </c>
      <c r="AX163" s="2004" t="s">
        <v>2337</v>
      </c>
      <c r="AY163" s="2004">
        <v>4270</v>
      </c>
      <c r="AZ163" s="2004" t="s">
        <v>2337</v>
      </c>
      <c r="BA163" s="2004"/>
      <c r="BB163" s="2004" t="s">
        <v>12740</v>
      </c>
    </row>
    <row r="164" spans="1:54">
      <c r="A164" s="2004" t="s">
        <v>11713</v>
      </c>
      <c r="B164" s="2004" t="s">
        <v>9047</v>
      </c>
      <c r="C164" s="2004" t="s">
        <v>9054</v>
      </c>
      <c r="D164" s="2004" t="s">
        <v>9194</v>
      </c>
      <c r="E164" s="2004" t="s">
        <v>8987</v>
      </c>
      <c r="F164" s="2004" t="s">
        <v>11716</v>
      </c>
      <c r="G164" s="2004"/>
      <c r="H164" s="2004"/>
      <c r="I164" s="2004"/>
      <c r="J164" s="2004"/>
      <c r="K164" s="2004"/>
      <c r="L164" s="2004"/>
      <c r="M164" s="2004"/>
      <c r="N164" s="2004"/>
      <c r="O164" s="2004"/>
      <c r="P164" s="2004" t="s">
        <v>12423</v>
      </c>
      <c r="Q164" s="2004" t="s">
        <v>12741</v>
      </c>
      <c r="R164" s="2004" t="s">
        <v>12421</v>
      </c>
      <c r="S164" s="2004"/>
      <c r="T164" s="2004" t="s">
        <v>766</v>
      </c>
      <c r="U164" s="516" t="s">
        <v>3016</v>
      </c>
      <c r="V164" s="2004">
        <v>93</v>
      </c>
      <c r="W164" s="2004"/>
      <c r="X164" s="2004">
        <v>93</v>
      </c>
      <c r="Y164" s="2004">
        <v>93</v>
      </c>
      <c r="Z164" s="2004">
        <v>93</v>
      </c>
      <c r="AA164" s="2004">
        <v>93</v>
      </c>
      <c r="AB164" s="2004">
        <v>93</v>
      </c>
      <c r="AC164" s="2004">
        <v>298</v>
      </c>
      <c r="AD164" s="2004"/>
      <c r="AE164" s="2004">
        <v>298</v>
      </c>
      <c r="AF164" s="2004">
        <v>298</v>
      </c>
      <c r="AG164" s="2004">
        <v>298</v>
      </c>
      <c r="AH164" s="2004">
        <v>298</v>
      </c>
      <c r="AI164" s="2004">
        <v>298</v>
      </c>
      <c r="AJ164" s="2004">
        <v>0</v>
      </c>
      <c r="AK164" s="2004"/>
      <c r="AL164" s="2004">
        <v>0</v>
      </c>
      <c r="AM164" s="2004">
        <v>0</v>
      </c>
      <c r="AN164" s="2004">
        <v>0</v>
      </c>
      <c r="AO164" s="2004">
        <v>0</v>
      </c>
      <c r="AP164" s="2004">
        <v>0</v>
      </c>
      <c r="AQ164" s="2004"/>
      <c r="AR164" s="2004">
        <v>2375</v>
      </c>
      <c r="AS164" s="2004">
        <v>5023</v>
      </c>
      <c r="AT164" s="2004" t="s">
        <v>2334</v>
      </c>
      <c r="AU164" s="2004">
        <v>986</v>
      </c>
      <c r="AV164" s="2004" t="s">
        <v>2334</v>
      </c>
      <c r="AW164" s="2004">
        <v>19699</v>
      </c>
      <c r="AX164" s="2004" t="s">
        <v>2334</v>
      </c>
      <c r="AY164" s="2004">
        <v>4446</v>
      </c>
      <c r="AZ164" s="2004" t="s">
        <v>2334</v>
      </c>
      <c r="BA164" s="2004"/>
      <c r="BB164" s="2004" t="s">
        <v>12742</v>
      </c>
    </row>
    <row r="165" spans="1:54">
      <c r="A165" s="2004" t="s">
        <v>11713</v>
      </c>
      <c r="B165" s="2004" t="s">
        <v>9047</v>
      </c>
      <c r="C165" s="2004" t="s">
        <v>9054</v>
      </c>
      <c r="D165" s="2004" t="s">
        <v>9194</v>
      </c>
      <c r="E165" s="2004" t="s">
        <v>8987</v>
      </c>
      <c r="F165" s="2004" t="s">
        <v>11716</v>
      </c>
      <c r="G165" s="2004"/>
      <c r="H165" s="2004"/>
      <c r="I165" s="2004"/>
      <c r="J165" s="2004"/>
      <c r="K165" s="2004"/>
      <c r="L165" s="2004"/>
      <c r="M165" s="2004"/>
      <c r="N165" s="2004"/>
      <c r="O165" s="2004"/>
      <c r="P165" s="2004" t="s">
        <v>12430</v>
      </c>
      <c r="Q165" s="2004" t="s">
        <v>12743</v>
      </c>
      <c r="R165" s="2004" t="s">
        <v>12482</v>
      </c>
      <c r="S165" s="2004"/>
      <c r="T165" s="2004" t="s">
        <v>734</v>
      </c>
      <c r="U165" s="2004">
        <v>2</v>
      </c>
      <c r="V165" s="2004">
        <v>0.3</v>
      </c>
      <c r="W165" s="2004">
        <v>0.2</v>
      </c>
      <c r="X165" s="2004">
        <v>0.3</v>
      </c>
      <c r="Y165" s="2004">
        <v>0.3</v>
      </c>
      <c r="Z165" s="2004">
        <v>0.3</v>
      </c>
      <c r="AA165" s="2004">
        <v>0.3</v>
      </c>
      <c r="AB165" s="2004">
        <v>0.3</v>
      </c>
      <c r="AC165" s="2004">
        <v>0.64</v>
      </c>
      <c r="AD165" s="2004"/>
      <c r="AE165" s="2004">
        <v>0.64</v>
      </c>
      <c r="AF165" s="2004">
        <v>0.64</v>
      </c>
      <c r="AG165" s="2004">
        <v>0.64</v>
      </c>
      <c r="AH165" s="2004">
        <v>0.64</v>
      </c>
      <c r="AI165" s="2004">
        <v>0.64</v>
      </c>
      <c r="AJ165" s="2004">
        <v>0</v>
      </c>
      <c r="AK165" s="2004"/>
      <c r="AL165" s="2004">
        <v>0</v>
      </c>
      <c r="AM165" s="2004">
        <v>0</v>
      </c>
      <c r="AN165" s="2004">
        <v>0</v>
      </c>
      <c r="AO165" s="2004">
        <v>0</v>
      </c>
      <c r="AP165" s="2004">
        <v>0</v>
      </c>
      <c r="AQ165" s="2004"/>
      <c r="AR165" s="2004">
        <v>0.59</v>
      </c>
      <c r="AS165" s="2004">
        <v>0.56999999999999995</v>
      </c>
      <c r="AT165" s="2004" t="s">
        <v>2334</v>
      </c>
      <c r="AU165" s="2004">
        <v>0.19</v>
      </c>
      <c r="AV165" s="2004" t="s">
        <v>2337</v>
      </c>
      <c r="AW165" s="2004">
        <v>0.34</v>
      </c>
      <c r="AX165" s="2004" t="s">
        <v>2337</v>
      </c>
      <c r="AY165" s="2004">
        <v>0.34</v>
      </c>
      <c r="AZ165" s="2004" t="s">
        <v>2337</v>
      </c>
      <c r="BA165" s="2004"/>
      <c r="BB165" s="2004" t="s">
        <v>12744</v>
      </c>
    </row>
    <row r="166" spans="1:54">
      <c r="A166" s="2004" t="s">
        <v>11713</v>
      </c>
      <c r="B166" s="2004" t="s">
        <v>9047</v>
      </c>
      <c r="C166" s="2004" t="s">
        <v>9054</v>
      </c>
      <c r="D166" s="2004" t="s">
        <v>9194</v>
      </c>
      <c r="E166" s="2004" t="s">
        <v>8987</v>
      </c>
      <c r="F166" s="2004" t="s">
        <v>11716</v>
      </c>
      <c r="G166" s="2004"/>
      <c r="H166" s="2004"/>
      <c r="I166" s="2004"/>
      <c r="J166" s="2004"/>
      <c r="K166" s="2004"/>
      <c r="L166" s="2004"/>
      <c r="M166" s="2004"/>
      <c r="N166" s="2004"/>
      <c r="O166" s="2004"/>
      <c r="P166" s="2004" t="s">
        <v>12434</v>
      </c>
      <c r="Q166" s="2004" t="s">
        <v>12745</v>
      </c>
      <c r="R166" s="2004" t="s">
        <v>12468</v>
      </c>
      <c r="S166" s="2004"/>
      <c r="T166" s="2004" t="s">
        <v>766</v>
      </c>
      <c r="U166" s="516" t="s">
        <v>3016</v>
      </c>
      <c r="V166" s="2004">
        <v>220</v>
      </c>
      <c r="W166" s="2004">
        <v>131</v>
      </c>
      <c r="X166" s="2004">
        <v>220</v>
      </c>
      <c r="Y166" s="2004">
        <v>220</v>
      </c>
      <c r="Z166" s="2004">
        <v>220</v>
      </c>
      <c r="AA166" s="2004">
        <v>220</v>
      </c>
      <c r="AB166" s="2004">
        <v>220</v>
      </c>
      <c r="AC166" s="2004">
        <v>296</v>
      </c>
      <c r="AD166" s="2004"/>
      <c r="AE166" s="2004">
        <v>296</v>
      </c>
      <c r="AF166" s="2004">
        <v>296</v>
      </c>
      <c r="AG166" s="2004">
        <v>296</v>
      </c>
      <c r="AH166" s="2004">
        <v>296</v>
      </c>
      <c r="AI166" s="2004">
        <v>296</v>
      </c>
      <c r="AJ166" s="2004">
        <v>144</v>
      </c>
      <c r="AK166" s="2004"/>
      <c r="AL166" s="2004">
        <v>144</v>
      </c>
      <c r="AM166" s="2004">
        <v>144</v>
      </c>
      <c r="AN166" s="2004">
        <v>144</v>
      </c>
      <c r="AO166" s="2004">
        <v>144</v>
      </c>
      <c r="AP166" s="2004">
        <v>144</v>
      </c>
      <c r="AQ166" s="2004"/>
      <c r="AR166" s="2004">
        <v>116</v>
      </c>
      <c r="AS166" s="2004">
        <v>98</v>
      </c>
      <c r="AT166" s="2004" t="s">
        <v>2337</v>
      </c>
      <c r="AU166" s="2004">
        <v>92</v>
      </c>
      <c r="AV166" s="2004" t="s">
        <v>2337</v>
      </c>
      <c r="AW166" s="2004">
        <v>99</v>
      </c>
      <c r="AX166" s="2004" t="s">
        <v>2337</v>
      </c>
      <c r="AY166" s="2004">
        <v>103</v>
      </c>
      <c r="AZ166" s="2004" t="s">
        <v>2337</v>
      </c>
      <c r="BA166" s="2004"/>
      <c r="BB166" s="2004" t="s">
        <v>12746</v>
      </c>
    </row>
    <row r="167" spans="1:54">
      <c r="A167" s="2004" t="s">
        <v>11713</v>
      </c>
      <c r="B167" s="2004" t="s">
        <v>9047</v>
      </c>
      <c r="C167" s="2004" t="s">
        <v>9054</v>
      </c>
      <c r="D167" s="2004" t="s">
        <v>9194</v>
      </c>
      <c r="E167" s="2004" t="s">
        <v>8987</v>
      </c>
      <c r="F167" s="2004" t="s">
        <v>11716</v>
      </c>
      <c r="G167" s="2004"/>
      <c r="H167" s="2004"/>
      <c r="I167" s="2004"/>
      <c r="J167" s="2004"/>
      <c r="K167" s="2004"/>
      <c r="L167" s="2004"/>
      <c r="M167" s="2004"/>
      <c r="N167" s="2004"/>
      <c r="O167" s="2004"/>
      <c r="P167" s="2004" t="s">
        <v>12486</v>
      </c>
      <c r="Q167" s="2004" t="s">
        <v>12747</v>
      </c>
      <c r="R167" s="2004" t="s">
        <v>12432</v>
      </c>
      <c r="S167" s="2004"/>
      <c r="T167" s="2004" t="s">
        <v>766</v>
      </c>
      <c r="U167" s="2004">
        <v>2</v>
      </c>
      <c r="V167" s="2004">
        <v>3.09</v>
      </c>
      <c r="W167" s="2004"/>
      <c r="X167" s="2004">
        <v>3.09</v>
      </c>
      <c r="Y167" s="2004">
        <v>3.09</v>
      </c>
      <c r="Z167" s="2004">
        <v>3.09</v>
      </c>
      <c r="AA167" s="2004">
        <v>3.09</v>
      </c>
      <c r="AB167" s="2004">
        <v>3.09</v>
      </c>
      <c r="AC167" s="2004">
        <v>3.75</v>
      </c>
      <c r="AD167" s="2004"/>
      <c r="AE167" s="2004">
        <v>3.75</v>
      </c>
      <c r="AF167" s="2004">
        <v>3.75</v>
      </c>
      <c r="AG167" s="2004">
        <v>3.75</v>
      </c>
      <c r="AH167" s="2004">
        <v>3.75</v>
      </c>
      <c r="AI167" s="2004">
        <v>3.75</v>
      </c>
      <c r="AJ167" s="2004">
        <v>2.4300000000000002</v>
      </c>
      <c r="AK167" s="2004"/>
      <c r="AL167" s="2004">
        <v>2.4300000000000002</v>
      </c>
      <c r="AM167" s="2004">
        <v>2.4300000000000002</v>
      </c>
      <c r="AN167" s="2004">
        <v>2.4300000000000002</v>
      </c>
      <c r="AO167" s="2004">
        <v>2.4300000000000002</v>
      </c>
      <c r="AP167" s="2004">
        <v>2.4300000000000002</v>
      </c>
      <c r="AQ167" s="2004"/>
      <c r="AR167" s="2004">
        <v>2.34</v>
      </c>
      <c r="AS167" s="2004">
        <v>2.19</v>
      </c>
      <c r="AT167" s="2004" t="s">
        <v>2337</v>
      </c>
      <c r="AU167" s="2004">
        <v>2.35</v>
      </c>
      <c r="AV167" s="2004" t="s">
        <v>2337</v>
      </c>
      <c r="AW167" s="2004">
        <v>2.21</v>
      </c>
      <c r="AX167" s="2004" t="s">
        <v>2337</v>
      </c>
      <c r="AY167" s="2004">
        <v>2.35</v>
      </c>
      <c r="AZ167" s="2004" t="s">
        <v>2337</v>
      </c>
      <c r="BA167" s="2004"/>
      <c r="BB167" s="2004" t="s">
        <v>12748</v>
      </c>
    </row>
    <row r="168" spans="1:54">
      <c r="A168" s="2004" t="s">
        <v>11713</v>
      </c>
      <c r="B168" s="2004" t="s">
        <v>9047</v>
      </c>
      <c r="C168" s="2004" t="s">
        <v>9054</v>
      </c>
      <c r="D168" s="2004" t="s">
        <v>9194</v>
      </c>
      <c r="E168" s="2004" t="s">
        <v>8987</v>
      </c>
      <c r="F168" s="2004" t="s">
        <v>11716</v>
      </c>
      <c r="G168" s="2004"/>
      <c r="H168" s="2004"/>
      <c r="I168" s="2004"/>
      <c r="J168" s="2004"/>
      <c r="K168" s="2004"/>
      <c r="L168" s="2004"/>
      <c r="M168" s="2004"/>
      <c r="N168" s="2004"/>
      <c r="O168" s="2004"/>
      <c r="P168" s="2004" t="s">
        <v>12489</v>
      </c>
      <c r="Q168" s="2004" t="s">
        <v>12749</v>
      </c>
      <c r="R168" s="2004" t="s">
        <v>12436</v>
      </c>
      <c r="S168" s="2004"/>
      <c r="T168" s="2004" t="s">
        <v>734</v>
      </c>
      <c r="U168" s="2004">
        <v>2</v>
      </c>
      <c r="V168" s="2004">
        <v>0.23</v>
      </c>
      <c r="W168" s="2004"/>
      <c r="X168" s="2004">
        <v>0.23</v>
      </c>
      <c r="Y168" s="2004">
        <v>0.23</v>
      </c>
      <c r="Z168" s="2004">
        <v>0.23</v>
      </c>
      <c r="AA168" s="2004">
        <v>0.23</v>
      </c>
      <c r="AB168" s="2004">
        <v>0.23</v>
      </c>
      <c r="AC168" s="2004">
        <v>0.33</v>
      </c>
      <c r="AD168" s="2004"/>
      <c r="AE168" s="2004">
        <v>0.33</v>
      </c>
      <c r="AF168" s="2004">
        <v>0.33</v>
      </c>
      <c r="AG168" s="2004">
        <v>0.33</v>
      </c>
      <c r="AH168" s="2004">
        <v>0.33</v>
      </c>
      <c r="AI168" s="2004">
        <v>0.33</v>
      </c>
      <c r="AJ168" s="2004">
        <v>0.13</v>
      </c>
      <c r="AK168" s="2004"/>
      <c r="AL168" s="2004">
        <v>0.13</v>
      </c>
      <c r="AM168" s="2004">
        <v>0.13</v>
      </c>
      <c r="AN168" s="2004">
        <v>0.13</v>
      </c>
      <c r="AO168" s="2004">
        <v>0.13</v>
      </c>
      <c r="AP168" s="2004">
        <v>0.13</v>
      </c>
      <c r="AQ168" s="2004"/>
      <c r="AR168" s="2004">
        <v>99.75</v>
      </c>
      <c r="AS168" s="2004">
        <v>99.81</v>
      </c>
      <c r="AT168" s="2004" t="s">
        <v>2337</v>
      </c>
      <c r="AU168" s="2004">
        <v>99.93</v>
      </c>
      <c r="AV168" s="2004" t="s">
        <v>2337</v>
      </c>
      <c r="AW168" s="2004">
        <v>99.84</v>
      </c>
      <c r="AX168" s="2004" t="s">
        <v>2337</v>
      </c>
      <c r="AY168" s="2004">
        <v>99.87</v>
      </c>
      <c r="AZ168" s="2004" t="s">
        <v>2337</v>
      </c>
      <c r="BA168" s="2004"/>
      <c r="BB168" s="2004" t="s">
        <v>12750</v>
      </c>
    </row>
    <row r="169" spans="1:54">
      <c r="A169" s="2004" t="s">
        <v>11713</v>
      </c>
      <c r="B169" s="2004" t="s">
        <v>9047</v>
      </c>
      <c r="C169" s="2004" t="s">
        <v>9054</v>
      </c>
      <c r="D169" s="2004" t="s">
        <v>9194</v>
      </c>
      <c r="E169" s="2004" t="s">
        <v>8987</v>
      </c>
      <c r="F169" s="2004" t="s">
        <v>11716</v>
      </c>
      <c r="G169" s="2004"/>
      <c r="H169" s="2004"/>
      <c r="I169" s="2004"/>
      <c r="J169" s="2004"/>
      <c r="K169" s="2004"/>
      <c r="L169" s="2004"/>
      <c r="M169" s="2004"/>
      <c r="N169" s="2004"/>
      <c r="O169" s="2004"/>
      <c r="P169" s="2004" t="s">
        <v>12492</v>
      </c>
      <c r="Q169" s="2004" t="s">
        <v>12751</v>
      </c>
      <c r="R169" s="2004" t="s">
        <v>12440</v>
      </c>
      <c r="S169" s="2004"/>
      <c r="T169" s="2004" t="s">
        <v>734</v>
      </c>
      <c r="U169" s="2004">
        <v>2</v>
      </c>
      <c r="V169" s="2004">
        <v>0.04</v>
      </c>
      <c r="W169" s="2004"/>
      <c r="X169" s="2004">
        <v>0.04</v>
      </c>
      <c r="Y169" s="2004">
        <v>0.04</v>
      </c>
      <c r="Z169" s="2004">
        <v>0.04</v>
      </c>
      <c r="AA169" s="2004">
        <v>0.04</v>
      </c>
      <c r="AB169" s="2004">
        <v>0.04</v>
      </c>
      <c r="AC169" s="2004">
        <v>7.0000000000000007E-2</v>
      </c>
      <c r="AD169" s="2004"/>
      <c r="AE169" s="2004">
        <v>7.0000000000000007E-2</v>
      </c>
      <c r="AF169" s="2004">
        <v>7.0000000000000007E-2</v>
      </c>
      <c r="AG169" s="2004">
        <v>7.0000000000000007E-2</v>
      </c>
      <c r="AH169" s="2004">
        <v>7.0000000000000007E-2</v>
      </c>
      <c r="AI169" s="2004">
        <v>7.0000000000000007E-2</v>
      </c>
      <c r="AJ169" s="2004">
        <v>0.01</v>
      </c>
      <c r="AK169" s="2004"/>
      <c r="AL169" s="2004">
        <v>0.01</v>
      </c>
      <c r="AM169" s="2004">
        <v>0.01</v>
      </c>
      <c r="AN169" s="2004">
        <v>0.01</v>
      </c>
      <c r="AO169" s="2004">
        <v>0.01</v>
      </c>
      <c r="AP169" s="2004">
        <v>0.01</v>
      </c>
      <c r="AQ169" s="2004"/>
      <c r="AR169" s="2004">
        <v>0</v>
      </c>
      <c r="AS169" s="2004">
        <v>0.02</v>
      </c>
      <c r="AT169" s="2004" t="s">
        <v>2337</v>
      </c>
      <c r="AU169" s="2004">
        <v>0.02</v>
      </c>
      <c r="AV169" s="2004" t="s">
        <v>2337</v>
      </c>
      <c r="AW169" s="2004">
        <v>0.02</v>
      </c>
      <c r="AX169" s="2004" t="s">
        <v>2337</v>
      </c>
      <c r="AY169" s="2004">
        <v>0.03</v>
      </c>
      <c r="AZ169" s="2004" t="s">
        <v>2337</v>
      </c>
      <c r="BA169" s="2004"/>
      <c r="BB169" s="2004" t="s">
        <v>12752</v>
      </c>
    </row>
    <row r="170" spans="1:54">
      <c r="A170" s="2004" t="s">
        <v>11713</v>
      </c>
      <c r="B170" s="2004" t="s">
        <v>9047</v>
      </c>
      <c r="C170" s="2004" t="s">
        <v>9054</v>
      </c>
      <c r="D170" s="2004" t="s">
        <v>9194</v>
      </c>
      <c r="E170" s="2004" t="s">
        <v>8987</v>
      </c>
      <c r="F170" s="2004" t="s">
        <v>11716</v>
      </c>
      <c r="G170" s="2004"/>
      <c r="H170" s="2004"/>
      <c r="I170" s="2004"/>
      <c r="J170" s="2004"/>
      <c r="K170" s="2004"/>
      <c r="L170" s="2004"/>
      <c r="M170" s="2004"/>
      <c r="N170" s="2004"/>
      <c r="O170" s="2004"/>
      <c r="P170" s="2004" t="s">
        <v>12495</v>
      </c>
      <c r="Q170" s="2004" t="s">
        <v>12753</v>
      </c>
      <c r="R170" s="2004" t="s">
        <v>12443</v>
      </c>
      <c r="S170" s="2004"/>
      <c r="T170" s="2004" t="s">
        <v>734</v>
      </c>
      <c r="U170" s="2004">
        <v>2</v>
      </c>
      <c r="V170" s="2004">
        <v>0</v>
      </c>
      <c r="W170" s="2004"/>
      <c r="X170" s="2004">
        <v>0</v>
      </c>
      <c r="Y170" s="2004">
        <v>0</v>
      </c>
      <c r="Z170" s="2004">
        <v>0</v>
      </c>
      <c r="AA170" s="2004">
        <v>0</v>
      </c>
      <c r="AB170" s="2004">
        <v>0</v>
      </c>
      <c r="AC170" s="2004">
        <v>0.34</v>
      </c>
      <c r="AD170" s="2004"/>
      <c r="AE170" s="2004">
        <v>0.34</v>
      </c>
      <c r="AF170" s="2004">
        <v>0.34</v>
      </c>
      <c r="AG170" s="2004">
        <v>0.34</v>
      </c>
      <c r="AH170" s="2004">
        <v>0.34</v>
      </c>
      <c r="AI170" s="2004">
        <v>0.34</v>
      </c>
      <c r="AJ170" s="2004">
        <v>0</v>
      </c>
      <c r="AK170" s="2004"/>
      <c r="AL170" s="2004">
        <v>0</v>
      </c>
      <c r="AM170" s="2004">
        <v>0</v>
      </c>
      <c r="AN170" s="2004">
        <v>0</v>
      </c>
      <c r="AO170" s="2004">
        <v>0</v>
      </c>
      <c r="AP170" s="2004">
        <v>0</v>
      </c>
      <c r="AQ170" s="2004"/>
      <c r="AR170" s="2004">
        <v>0</v>
      </c>
      <c r="AS170" s="2004">
        <v>0</v>
      </c>
      <c r="AT170" s="2004" t="s">
        <v>2337</v>
      </c>
      <c r="AU170" s="2004">
        <v>0</v>
      </c>
      <c r="AV170" s="2004" t="s">
        <v>2337</v>
      </c>
      <c r="AW170" s="2004">
        <v>0</v>
      </c>
      <c r="AX170" s="2004" t="s">
        <v>2337</v>
      </c>
      <c r="AY170" s="2004">
        <v>0.3</v>
      </c>
      <c r="AZ170" s="2004" t="s">
        <v>2337</v>
      </c>
      <c r="BA170" s="2004"/>
      <c r="BB170" s="2004" t="s">
        <v>12754</v>
      </c>
    </row>
    <row r="171" spans="1:54">
      <c r="A171" s="2004" t="s">
        <v>11713</v>
      </c>
      <c r="B171" s="2004" t="s">
        <v>9047</v>
      </c>
      <c r="C171" s="2004" t="s">
        <v>9054</v>
      </c>
      <c r="D171" s="2004" t="s">
        <v>9194</v>
      </c>
      <c r="E171" s="2004" t="s">
        <v>8987</v>
      </c>
      <c r="F171" s="2004" t="s">
        <v>11716</v>
      </c>
      <c r="G171" s="2004"/>
      <c r="H171" s="2004"/>
      <c r="I171" s="2004"/>
      <c r="J171" s="2004"/>
      <c r="K171" s="2004"/>
      <c r="L171" s="2004"/>
      <c r="M171" s="2004"/>
      <c r="N171" s="2004"/>
      <c r="O171" s="2004"/>
      <c r="P171" s="2004" t="s">
        <v>12498</v>
      </c>
      <c r="Q171" s="2004" t="s">
        <v>12755</v>
      </c>
      <c r="R171" s="2004" t="s">
        <v>12445</v>
      </c>
      <c r="S171" s="2004"/>
      <c r="T171" s="2004" t="s">
        <v>766</v>
      </c>
      <c r="U171" s="516" t="s">
        <v>3016</v>
      </c>
      <c r="V171" s="2004">
        <v>5</v>
      </c>
      <c r="W171" s="2004"/>
      <c r="X171" s="2004">
        <v>5</v>
      </c>
      <c r="Y171" s="2004">
        <v>5</v>
      </c>
      <c r="Z171" s="2004">
        <v>5</v>
      </c>
      <c r="AA171" s="2004">
        <v>5</v>
      </c>
      <c r="AB171" s="2004">
        <v>5</v>
      </c>
      <c r="AC171" s="2004">
        <v>11</v>
      </c>
      <c r="AD171" s="2004"/>
      <c r="AE171" s="2004">
        <v>11</v>
      </c>
      <c r="AF171" s="2004">
        <v>11</v>
      </c>
      <c r="AG171" s="2004">
        <v>11</v>
      </c>
      <c r="AH171" s="2004">
        <v>11</v>
      </c>
      <c r="AI171" s="2004">
        <v>11</v>
      </c>
      <c r="AJ171" s="2004">
        <v>0</v>
      </c>
      <c r="AK171" s="2004"/>
      <c r="AL171" s="2004">
        <v>0</v>
      </c>
      <c r="AM171" s="2004">
        <v>0</v>
      </c>
      <c r="AN171" s="2004">
        <v>0</v>
      </c>
      <c r="AO171" s="2004">
        <v>0</v>
      </c>
      <c r="AP171" s="2004">
        <v>0</v>
      </c>
      <c r="AQ171" s="2004"/>
      <c r="AR171" s="2004">
        <v>0</v>
      </c>
      <c r="AS171" s="2004">
        <v>0</v>
      </c>
      <c r="AT171" s="2004" t="s">
        <v>2337</v>
      </c>
      <c r="AU171" s="2004">
        <v>0</v>
      </c>
      <c r="AV171" s="2004" t="s">
        <v>2337</v>
      </c>
      <c r="AW171" s="2004">
        <v>0</v>
      </c>
      <c r="AX171" s="2004" t="s">
        <v>2337</v>
      </c>
      <c r="AY171" s="2004">
        <v>0</v>
      </c>
      <c r="AZ171" s="2004" t="s">
        <v>2337</v>
      </c>
      <c r="BA171" s="2004"/>
      <c r="BB171" s="2004" t="s">
        <v>12756</v>
      </c>
    </row>
    <row r="172" spans="1:54">
      <c r="A172" s="2004" t="s">
        <v>11713</v>
      </c>
      <c r="B172" s="2004" t="s">
        <v>9047</v>
      </c>
      <c r="C172" s="2004" t="s">
        <v>9054</v>
      </c>
      <c r="D172" s="2004" t="s">
        <v>9194</v>
      </c>
      <c r="E172" s="2004" t="s">
        <v>8987</v>
      </c>
      <c r="F172" s="2004" t="s">
        <v>11716</v>
      </c>
      <c r="G172" s="2004"/>
      <c r="H172" s="2004"/>
      <c r="I172" s="2004"/>
      <c r="J172" s="2004"/>
      <c r="K172" s="2004"/>
      <c r="L172" s="2004"/>
      <c r="M172" s="2004"/>
      <c r="N172" s="2004"/>
      <c r="O172" s="2004"/>
      <c r="P172" s="2004" t="s">
        <v>3072</v>
      </c>
      <c r="Q172" s="2004" t="s">
        <v>12757</v>
      </c>
      <c r="R172" s="2004" t="s">
        <v>12500</v>
      </c>
      <c r="S172" s="2004"/>
      <c r="T172" s="2004" t="s">
        <v>766</v>
      </c>
      <c r="U172" s="516" t="s">
        <v>3016</v>
      </c>
      <c r="V172" s="2004">
        <v>0</v>
      </c>
      <c r="W172" s="2004"/>
      <c r="X172" s="2004">
        <v>0</v>
      </c>
      <c r="Y172" s="2004">
        <v>0</v>
      </c>
      <c r="Z172" s="2004">
        <v>0</v>
      </c>
      <c r="AA172" s="2004">
        <v>0</v>
      </c>
      <c r="AB172" s="2004">
        <v>0</v>
      </c>
      <c r="AC172" s="2004">
        <v>1</v>
      </c>
      <c r="AD172" s="2004"/>
      <c r="AE172" s="2004">
        <v>1</v>
      </c>
      <c r="AF172" s="2004">
        <v>1</v>
      </c>
      <c r="AG172" s="2004">
        <v>1</v>
      </c>
      <c r="AH172" s="2004">
        <v>1</v>
      </c>
      <c r="AI172" s="2004">
        <v>1</v>
      </c>
      <c r="AJ172" s="2004">
        <v>0</v>
      </c>
      <c r="AK172" s="2004"/>
      <c r="AL172" s="2004">
        <v>0</v>
      </c>
      <c r="AM172" s="2004">
        <v>0</v>
      </c>
      <c r="AN172" s="2004">
        <v>0</v>
      </c>
      <c r="AO172" s="2004">
        <v>0</v>
      </c>
      <c r="AP172" s="2004">
        <v>0</v>
      </c>
      <c r="AQ172" s="2004"/>
      <c r="AR172" s="2004">
        <v>0</v>
      </c>
      <c r="AS172" s="2004">
        <v>0</v>
      </c>
      <c r="AT172" s="2004" t="s">
        <v>2337</v>
      </c>
      <c r="AU172" s="2004">
        <v>0</v>
      </c>
      <c r="AV172" s="2004" t="s">
        <v>2337</v>
      </c>
      <c r="AW172" s="2004">
        <v>0</v>
      </c>
      <c r="AX172" s="2004" t="s">
        <v>2337</v>
      </c>
      <c r="AY172" s="2004">
        <v>0</v>
      </c>
      <c r="AZ172" s="2004" t="s">
        <v>2337</v>
      </c>
      <c r="BA172" s="2004"/>
      <c r="BB172" s="2004" t="s">
        <v>12758</v>
      </c>
    </row>
    <row r="173" spans="1:54">
      <c r="A173" s="2004" t="s">
        <v>11713</v>
      </c>
      <c r="B173" s="2004" t="s">
        <v>9047</v>
      </c>
      <c r="C173" s="2004" t="s">
        <v>9054</v>
      </c>
      <c r="D173" s="2004" t="s">
        <v>9194</v>
      </c>
      <c r="E173" s="2004" t="s">
        <v>8987</v>
      </c>
      <c r="F173" s="2004" t="s">
        <v>11716</v>
      </c>
      <c r="G173" s="2004"/>
      <c r="H173" s="2004"/>
      <c r="I173" s="2004"/>
      <c r="J173" s="2004"/>
      <c r="K173" s="2004"/>
      <c r="L173" s="2004"/>
      <c r="M173" s="2004"/>
      <c r="N173" s="2004"/>
      <c r="O173" s="2004"/>
      <c r="P173" s="2004" t="s">
        <v>3073</v>
      </c>
      <c r="Q173" s="2004" t="s">
        <v>12759</v>
      </c>
      <c r="R173" s="2004" t="s">
        <v>12474</v>
      </c>
      <c r="S173" s="2004"/>
      <c r="T173" s="2004" t="s">
        <v>766</v>
      </c>
      <c r="U173" s="516" t="s">
        <v>3016</v>
      </c>
      <c r="V173" s="2004">
        <v>11150</v>
      </c>
      <c r="W173" s="2004"/>
      <c r="X173" s="2004">
        <v>11150</v>
      </c>
      <c r="Y173" s="2004">
        <v>11150</v>
      </c>
      <c r="Z173" s="2004">
        <v>11150</v>
      </c>
      <c r="AA173" s="2004">
        <v>11150</v>
      </c>
      <c r="AB173" s="2004">
        <v>11150</v>
      </c>
      <c r="AC173" s="2004">
        <v>12416</v>
      </c>
      <c r="AD173" s="2004"/>
      <c r="AE173" s="2004">
        <v>12416</v>
      </c>
      <c r="AF173" s="2004">
        <v>12416</v>
      </c>
      <c r="AG173" s="2004">
        <v>12416</v>
      </c>
      <c r="AH173" s="2004">
        <v>12416</v>
      </c>
      <c r="AI173" s="2004">
        <v>12416</v>
      </c>
      <c r="AJ173" s="2004">
        <v>9884</v>
      </c>
      <c r="AK173" s="2004"/>
      <c r="AL173" s="2004">
        <v>9884</v>
      </c>
      <c r="AM173" s="2004">
        <v>9884</v>
      </c>
      <c r="AN173" s="2004">
        <v>9884</v>
      </c>
      <c r="AO173" s="2004">
        <v>9884</v>
      </c>
      <c r="AP173" s="2004">
        <v>9884</v>
      </c>
      <c r="AQ173" s="2004"/>
      <c r="AR173" s="2004">
        <v>7805</v>
      </c>
      <c r="AS173" s="2004">
        <v>4569</v>
      </c>
      <c r="AT173" s="2004" t="s">
        <v>2337</v>
      </c>
      <c r="AU173" s="2004">
        <v>6378</v>
      </c>
      <c r="AV173" s="2004" t="s">
        <v>2337</v>
      </c>
      <c r="AW173" s="2004">
        <v>11129</v>
      </c>
      <c r="AX173" s="2004" t="s">
        <v>2337</v>
      </c>
      <c r="AY173" s="2004">
        <v>12293</v>
      </c>
      <c r="AZ173" s="2004" t="s">
        <v>2337</v>
      </c>
      <c r="BA173" s="2004"/>
      <c r="BB173" s="2004" t="s">
        <v>12760</v>
      </c>
    </row>
    <row r="174" spans="1:54">
      <c r="A174" s="2004" t="s">
        <v>11759</v>
      </c>
      <c r="B174" s="2004" t="s">
        <v>9047</v>
      </c>
      <c r="C174" s="2004" t="s">
        <v>9054</v>
      </c>
      <c r="D174" s="2004" t="s">
        <v>9410</v>
      </c>
      <c r="E174" s="2004" t="s">
        <v>8987</v>
      </c>
      <c r="F174" s="2004" t="s">
        <v>11716</v>
      </c>
      <c r="G174" s="2004" t="s">
        <v>9210</v>
      </c>
      <c r="H174" s="2004" t="s">
        <v>9477</v>
      </c>
      <c r="I174" s="2004" t="s">
        <v>9546</v>
      </c>
      <c r="J174" s="2004" t="s">
        <v>2338</v>
      </c>
      <c r="K174" s="2004" t="s">
        <v>2338</v>
      </c>
      <c r="L174" s="2004" t="s">
        <v>2338</v>
      </c>
      <c r="M174" s="2004" t="s">
        <v>2338</v>
      </c>
      <c r="N174" s="2004" t="s">
        <v>2338</v>
      </c>
      <c r="O174" s="2004" t="s">
        <v>2338</v>
      </c>
      <c r="P174" s="2004" t="s">
        <v>12417</v>
      </c>
      <c r="Q174" s="2004" t="s">
        <v>11716</v>
      </c>
      <c r="R174" s="2004"/>
      <c r="S174" s="2004"/>
      <c r="T174" s="2004" t="s">
        <v>9395</v>
      </c>
      <c r="U174" s="2004" t="s">
        <v>9203</v>
      </c>
      <c r="V174" s="2004"/>
      <c r="W174" s="2004"/>
      <c r="X174" s="2004"/>
      <c r="Y174" s="2004"/>
      <c r="Z174" s="2004"/>
      <c r="AA174" s="2004"/>
      <c r="AB174" s="2004"/>
      <c r="AC174" s="2004"/>
      <c r="AD174" s="2004"/>
      <c r="AE174" s="2004"/>
      <c r="AF174" s="2004"/>
      <c r="AG174" s="2004"/>
      <c r="AH174" s="2004"/>
      <c r="AI174" s="2004"/>
      <c r="AJ174" s="2004"/>
      <c r="AK174" s="2004"/>
      <c r="AL174" s="2004"/>
      <c r="AM174" s="2004"/>
      <c r="AN174" s="2004"/>
      <c r="AO174" s="2004"/>
      <c r="AP174" s="2004"/>
      <c r="AQ174" s="2004"/>
      <c r="AR174" s="2004" t="s">
        <v>2338</v>
      </c>
      <c r="AS174" s="2004" t="s">
        <v>2338</v>
      </c>
      <c r="AT174" s="2004" t="s">
        <v>2337</v>
      </c>
      <c r="AU174" s="2004" t="s">
        <v>2338</v>
      </c>
      <c r="AV174" s="2004" t="s">
        <v>2337</v>
      </c>
      <c r="AW174" s="2004" t="s">
        <v>2338</v>
      </c>
      <c r="AX174" s="2004" t="s">
        <v>2337</v>
      </c>
      <c r="AY174" s="2004" t="s">
        <v>2338</v>
      </c>
      <c r="AZ174" s="2004" t="s">
        <v>2337</v>
      </c>
      <c r="BA174" s="2004"/>
      <c r="BB174" s="2004" t="s">
        <v>12738</v>
      </c>
    </row>
    <row r="175" spans="1:54">
      <c r="A175" s="2004" t="s">
        <v>11759</v>
      </c>
      <c r="B175" s="2004" t="s">
        <v>9047</v>
      </c>
      <c r="C175" s="2004" t="s">
        <v>9054</v>
      </c>
      <c r="D175" s="2004" t="s">
        <v>9410</v>
      </c>
      <c r="E175" s="2004" t="s">
        <v>8987</v>
      </c>
      <c r="F175" s="2004" t="s">
        <v>11716</v>
      </c>
      <c r="G175" s="2004"/>
      <c r="H175" s="2004"/>
      <c r="I175" s="2004"/>
      <c r="J175" s="2004"/>
      <c r="K175" s="2004"/>
      <c r="L175" s="2004"/>
      <c r="M175" s="2004"/>
      <c r="N175" s="2004"/>
      <c r="O175" s="2004"/>
      <c r="P175" s="2004" t="s">
        <v>12419</v>
      </c>
      <c r="Q175" s="2004" t="s">
        <v>12761</v>
      </c>
      <c r="R175" s="2004" t="s">
        <v>12450</v>
      </c>
      <c r="S175" s="2004"/>
      <c r="T175" s="2004" t="s">
        <v>766</v>
      </c>
      <c r="U175" s="516" t="s">
        <v>3016</v>
      </c>
      <c r="V175" s="2004">
        <v>504</v>
      </c>
      <c r="W175" s="2004"/>
      <c r="X175" s="2004">
        <v>775</v>
      </c>
      <c r="Y175" s="2004">
        <v>775</v>
      </c>
      <c r="Z175" s="2004">
        <v>775</v>
      </c>
      <c r="AA175" s="2004">
        <v>775</v>
      </c>
      <c r="AB175" s="2004">
        <v>775</v>
      </c>
      <c r="AC175" s="2004">
        <v>603</v>
      </c>
      <c r="AD175" s="2004"/>
      <c r="AE175" s="2004">
        <v>905</v>
      </c>
      <c r="AF175" s="2004">
        <v>905</v>
      </c>
      <c r="AG175" s="2004">
        <v>905</v>
      </c>
      <c r="AH175" s="2004">
        <v>905</v>
      </c>
      <c r="AI175" s="2004">
        <v>905</v>
      </c>
      <c r="AJ175" s="2004">
        <v>405</v>
      </c>
      <c r="AK175" s="2004"/>
      <c r="AL175" s="2004">
        <v>644</v>
      </c>
      <c r="AM175" s="2004">
        <v>644</v>
      </c>
      <c r="AN175" s="2004">
        <v>644</v>
      </c>
      <c r="AO175" s="2004">
        <v>644</v>
      </c>
      <c r="AP175" s="2004">
        <v>644</v>
      </c>
      <c r="AQ175" s="2004"/>
      <c r="AR175" s="2004">
        <v>796</v>
      </c>
      <c r="AS175" s="2004">
        <v>862</v>
      </c>
      <c r="AT175" s="2004" t="s">
        <v>2334</v>
      </c>
      <c r="AU175" s="2004">
        <v>836</v>
      </c>
      <c r="AV175" s="2004" t="s">
        <v>2334</v>
      </c>
      <c r="AW175" s="2004">
        <v>712</v>
      </c>
      <c r="AX175" s="2004" t="s">
        <v>2337</v>
      </c>
      <c r="AY175" s="2004">
        <v>659</v>
      </c>
      <c r="AZ175" s="2004" t="s">
        <v>2337</v>
      </c>
      <c r="BA175" s="2004"/>
      <c r="BB175" s="2004" t="s">
        <v>12762</v>
      </c>
    </row>
    <row r="176" spans="1:54">
      <c r="A176" s="2004" t="s">
        <v>11759</v>
      </c>
      <c r="B176" s="2004" t="s">
        <v>9047</v>
      </c>
      <c r="C176" s="2004" t="s">
        <v>9054</v>
      </c>
      <c r="D176" s="2004" t="s">
        <v>9410</v>
      </c>
      <c r="E176" s="2004" t="s">
        <v>8987</v>
      </c>
      <c r="F176" s="2004" t="s">
        <v>11716</v>
      </c>
      <c r="G176" s="2004"/>
      <c r="H176" s="2004"/>
      <c r="I176" s="2004"/>
      <c r="J176" s="2004"/>
      <c r="K176" s="2004"/>
      <c r="L176" s="2004"/>
      <c r="M176" s="2004"/>
      <c r="N176" s="2004"/>
      <c r="O176" s="2004"/>
      <c r="P176" s="2004" t="s">
        <v>12423</v>
      </c>
      <c r="Q176" s="2004" t="s">
        <v>12763</v>
      </c>
      <c r="R176" s="2004" t="s">
        <v>12448</v>
      </c>
      <c r="S176" s="2004"/>
      <c r="T176" s="2004" t="s">
        <v>766</v>
      </c>
      <c r="U176" s="516" t="s">
        <v>3016</v>
      </c>
      <c r="V176" s="2004">
        <v>155</v>
      </c>
      <c r="W176" s="2004">
        <v>100</v>
      </c>
      <c r="X176" s="2004">
        <v>155</v>
      </c>
      <c r="Y176" s="2004">
        <v>155</v>
      </c>
      <c r="Z176" s="2004">
        <v>155</v>
      </c>
      <c r="AA176" s="2004">
        <v>155</v>
      </c>
      <c r="AB176" s="2004">
        <v>155</v>
      </c>
      <c r="AC176" s="2004">
        <v>229</v>
      </c>
      <c r="AD176" s="2004"/>
      <c r="AE176" s="2004">
        <v>229</v>
      </c>
      <c r="AF176" s="2004">
        <v>229</v>
      </c>
      <c r="AG176" s="2004">
        <v>229</v>
      </c>
      <c r="AH176" s="2004">
        <v>229</v>
      </c>
      <c r="AI176" s="2004">
        <v>229</v>
      </c>
      <c r="AJ176" s="2004">
        <v>81</v>
      </c>
      <c r="AK176" s="2004"/>
      <c r="AL176" s="2004">
        <v>81</v>
      </c>
      <c r="AM176" s="2004">
        <v>81</v>
      </c>
      <c r="AN176" s="2004">
        <v>81</v>
      </c>
      <c r="AO176" s="2004">
        <v>81</v>
      </c>
      <c r="AP176" s="2004">
        <v>81</v>
      </c>
      <c r="AQ176" s="2004"/>
      <c r="AR176" s="2004">
        <v>83</v>
      </c>
      <c r="AS176" s="2004">
        <v>88</v>
      </c>
      <c r="AT176" s="2004" t="s">
        <v>2337</v>
      </c>
      <c r="AU176" s="2004">
        <v>89</v>
      </c>
      <c r="AV176" s="2004" t="s">
        <v>2337</v>
      </c>
      <c r="AW176" s="2004">
        <v>82</v>
      </c>
      <c r="AX176" s="2004" t="s">
        <v>2337</v>
      </c>
      <c r="AY176" s="2004">
        <v>73</v>
      </c>
      <c r="AZ176" s="2004" t="s">
        <v>2337</v>
      </c>
      <c r="BA176" s="2004"/>
      <c r="BB176" s="2004" t="s">
        <v>12764</v>
      </c>
    </row>
    <row r="177" spans="1:54">
      <c r="A177" s="2004" t="s">
        <v>11759</v>
      </c>
      <c r="B177" s="2004" t="s">
        <v>9047</v>
      </c>
      <c r="C177" s="2004" t="s">
        <v>9054</v>
      </c>
      <c r="D177" s="2004" t="s">
        <v>9410</v>
      </c>
      <c r="E177" s="2004" t="s">
        <v>8987</v>
      </c>
      <c r="F177" s="2004" t="s">
        <v>11716</v>
      </c>
      <c r="G177" s="2004"/>
      <c r="H177" s="2004"/>
      <c r="I177" s="2004"/>
      <c r="J177" s="2004"/>
      <c r="K177" s="2004"/>
      <c r="L177" s="2004"/>
      <c r="M177" s="2004"/>
      <c r="N177" s="2004"/>
      <c r="O177" s="2004"/>
      <c r="P177" s="2004" t="s">
        <v>12430</v>
      </c>
      <c r="Q177" s="2004" t="s">
        <v>12765</v>
      </c>
      <c r="R177" s="2004" t="s">
        <v>12453</v>
      </c>
      <c r="S177" s="2004"/>
      <c r="T177" s="2004" t="s">
        <v>766</v>
      </c>
      <c r="U177" s="516" t="s">
        <v>3016</v>
      </c>
      <c r="V177" s="2004">
        <v>120</v>
      </c>
      <c r="W177" s="2004">
        <v>100</v>
      </c>
      <c r="X177" s="2004">
        <v>240</v>
      </c>
      <c r="Y177" s="2004">
        <v>240</v>
      </c>
      <c r="Z177" s="2004">
        <v>240</v>
      </c>
      <c r="AA177" s="2004">
        <v>240</v>
      </c>
      <c r="AB177" s="2004">
        <v>240</v>
      </c>
      <c r="AC177" s="2004">
        <v>170</v>
      </c>
      <c r="AD177" s="2004"/>
      <c r="AE177" s="2004">
        <v>283</v>
      </c>
      <c r="AF177" s="2004">
        <v>283</v>
      </c>
      <c r="AG177" s="2004">
        <v>283</v>
      </c>
      <c r="AH177" s="2004">
        <v>283</v>
      </c>
      <c r="AI177" s="2004">
        <v>283</v>
      </c>
      <c r="AJ177" s="2004">
        <v>70</v>
      </c>
      <c r="AK177" s="2004"/>
      <c r="AL177" s="2004">
        <v>196</v>
      </c>
      <c r="AM177" s="2004">
        <v>196</v>
      </c>
      <c r="AN177" s="2004">
        <v>196</v>
      </c>
      <c r="AO177" s="2004">
        <v>196</v>
      </c>
      <c r="AP177" s="2004">
        <v>196</v>
      </c>
      <c r="AQ177" s="2004"/>
      <c r="AR177" s="2004">
        <v>228</v>
      </c>
      <c r="AS177" s="2004">
        <v>207</v>
      </c>
      <c r="AT177" s="2004" t="s">
        <v>2337</v>
      </c>
      <c r="AU177" s="2004">
        <v>224</v>
      </c>
      <c r="AV177" s="2004" t="s">
        <v>2337</v>
      </c>
      <c r="AW177" s="2004">
        <v>198</v>
      </c>
      <c r="AX177" s="2004" t="s">
        <v>2337</v>
      </c>
      <c r="AY177" s="2004">
        <v>212</v>
      </c>
      <c r="AZ177" s="2004" t="s">
        <v>2337</v>
      </c>
      <c r="BA177" s="2004"/>
      <c r="BB177" s="2004" t="s">
        <v>12766</v>
      </c>
    </row>
    <row r="178" spans="1:54">
      <c r="A178" s="2004" t="s">
        <v>11759</v>
      </c>
      <c r="B178" s="2004" t="s">
        <v>9047</v>
      </c>
      <c r="C178" s="2004" t="s">
        <v>9054</v>
      </c>
      <c r="D178" s="2004" t="s">
        <v>9410</v>
      </c>
      <c r="E178" s="2004" t="s">
        <v>8987</v>
      </c>
      <c r="F178" s="2004" t="s">
        <v>11716</v>
      </c>
      <c r="G178" s="2004"/>
      <c r="H178" s="2004"/>
      <c r="I178" s="2004"/>
      <c r="J178" s="2004"/>
      <c r="K178" s="2004"/>
      <c r="L178" s="2004"/>
      <c r="M178" s="2004"/>
      <c r="N178" s="2004"/>
      <c r="O178" s="2004"/>
      <c r="P178" s="2004" t="s">
        <v>12434</v>
      </c>
      <c r="Q178" s="2004" t="s">
        <v>12767</v>
      </c>
      <c r="R178" s="2004" t="s">
        <v>12453</v>
      </c>
      <c r="S178" s="2004"/>
      <c r="T178" s="2004" t="s">
        <v>766</v>
      </c>
      <c r="U178" s="516" t="s">
        <v>3016</v>
      </c>
      <c r="V178" s="2004">
        <v>92</v>
      </c>
      <c r="W178" s="2004">
        <v>86</v>
      </c>
      <c r="X178" s="2004">
        <v>92</v>
      </c>
      <c r="Y178" s="2004">
        <v>92</v>
      </c>
      <c r="Z178" s="2004">
        <v>92</v>
      </c>
      <c r="AA178" s="2004">
        <v>92</v>
      </c>
      <c r="AB178" s="2004">
        <v>92</v>
      </c>
      <c r="AC178" s="2004">
        <v>132</v>
      </c>
      <c r="AD178" s="2004"/>
      <c r="AE178" s="2004">
        <v>132</v>
      </c>
      <c r="AF178" s="2004">
        <v>132</v>
      </c>
      <c r="AG178" s="2004">
        <v>132</v>
      </c>
      <c r="AH178" s="2004">
        <v>132</v>
      </c>
      <c r="AI178" s="2004">
        <v>132</v>
      </c>
      <c r="AJ178" s="2004">
        <v>52</v>
      </c>
      <c r="AK178" s="2004"/>
      <c r="AL178" s="2004">
        <v>52</v>
      </c>
      <c r="AM178" s="2004">
        <v>52</v>
      </c>
      <c r="AN178" s="2004">
        <v>52</v>
      </c>
      <c r="AO178" s="2004">
        <v>52</v>
      </c>
      <c r="AP178" s="2004">
        <v>52</v>
      </c>
      <c r="AQ178" s="2004"/>
      <c r="AR178" s="2004">
        <v>38</v>
      </c>
      <c r="AS178" s="2004">
        <v>16</v>
      </c>
      <c r="AT178" s="2004" t="s">
        <v>2337</v>
      </c>
      <c r="AU178" s="2004">
        <v>18</v>
      </c>
      <c r="AV178" s="2004" t="s">
        <v>2337</v>
      </c>
      <c r="AW178" s="2004">
        <v>23</v>
      </c>
      <c r="AX178" s="2004" t="s">
        <v>2337</v>
      </c>
      <c r="AY178" s="2004">
        <v>9</v>
      </c>
      <c r="AZ178" s="2004" t="s">
        <v>2337</v>
      </c>
      <c r="BA178" s="2004"/>
      <c r="BB178" s="2004" t="s">
        <v>12768</v>
      </c>
    </row>
    <row r="179" spans="1:54">
      <c r="A179" s="2004" t="s">
        <v>11759</v>
      </c>
      <c r="B179" s="2004" t="s">
        <v>9047</v>
      </c>
      <c r="C179" s="2004" t="s">
        <v>9054</v>
      </c>
      <c r="D179" s="2004" t="s">
        <v>9410</v>
      </c>
      <c r="E179" s="2004" t="s">
        <v>8987</v>
      </c>
      <c r="F179" s="2004" t="s">
        <v>11716</v>
      </c>
      <c r="G179" s="2004"/>
      <c r="H179" s="2004"/>
      <c r="I179" s="2004"/>
      <c r="J179" s="2004"/>
      <c r="K179" s="2004"/>
      <c r="L179" s="2004"/>
      <c r="M179" s="2004"/>
      <c r="N179" s="2004"/>
      <c r="O179" s="2004"/>
      <c r="P179" s="2004" t="s">
        <v>12486</v>
      </c>
      <c r="Q179" s="2004" t="s">
        <v>12769</v>
      </c>
      <c r="R179" s="2004" t="s">
        <v>12455</v>
      </c>
      <c r="S179" s="2004"/>
      <c r="T179" s="2004" t="s">
        <v>766</v>
      </c>
      <c r="U179" s="516" t="s">
        <v>3016</v>
      </c>
      <c r="V179" s="2004">
        <v>13589</v>
      </c>
      <c r="W179" s="2004">
        <v>12700</v>
      </c>
      <c r="X179" s="2004">
        <v>28740</v>
      </c>
      <c r="Y179" s="2004">
        <v>28740</v>
      </c>
      <c r="Z179" s="2004">
        <v>28740</v>
      </c>
      <c r="AA179" s="2004">
        <v>28740</v>
      </c>
      <c r="AB179" s="2004">
        <v>28740</v>
      </c>
      <c r="AC179" s="2004">
        <v>14501</v>
      </c>
      <c r="AD179" s="2004"/>
      <c r="AE179" s="2004">
        <v>31410</v>
      </c>
      <c r="AF179" s="2004">
        <v>31410</v>
      </c>
      <c r="AG179" s="2004">
        <v>31410</v>
      </c>
      <c r="AH179" s="2004">
        <v>31410</v>
      </c>
      <c r="AI179" s="2004">
        <v>31410</v>
      </c>
      <c r="AJ179" s="2004">
        <v>13127</v>
      </c>
      <c r="AK179" s="2004"/>
      <c r="AL179" s="2004">
        <v>26070</v>
      </c>
      <c r="AM179" s="2004">
        <v>26070</v>
      </c>
      <c r="AN179" s="2004">
        <v>26070</v>
      </c>
      <c r="AO179" s="2004">
        <v>26070</v>
      </c>
      <c r="AP179" s="2004">
        <v>26070</v>
      </c>
      <c r="AQ179" s="2004"/>
      <c r="AR179" s="2004">
        <v>27842</v>
      </c>
      <c r="AS179" s="2004">
        <v>26771</v>
      </c>
      <c r="AT179" s="2004" t="s">
        <v>2337</v>
      </c>
      <c r="AU179" s="2004">
        <v>24203</v>
      </c>
      <c r="AV179" s="2004" t="s">
        <v>2337</v>
      </c>
      <c r="AW179" s="2004">
        <v>22612</v>
      </c>
      <c r="AX179" s="2004" t="s">
        <v>2337</v>
      </c>
      <c r="AY179" s="2004">
        <v>21979</v>
      </c>
      <c r="AZ179" s="2004" t="s">
        <v>2337</v>
      </c>
      <c r="BA179" s="2004"/>
      <c r="BB179" s="2004" t="s">
        <v>12770</v>
      </c>
    </row>
    <row r="180" spans="1:54">
      <c r="A180" s="2004" t="s">
        <v>11759</v>
      </c>
      <c r="B180" s="2004" t="s">
        <v>9047</v>
      </c>
      <c r="C180" s="2004" t="s">
        <v>9054</v>
      </c>
      <c r="D180" s="2004" t="s">
        <v>9410</v>
      </c>
      <c r="E180" s="2004" t="s">
        <v>8987</v>
      </c>
      <c r="F180" s="2004" t="s">
        <v>11716</v>
      </c>
      <c r="G180" s="2004"/>
      <c r="H180" s="2004"/>
      <c r="I180" s="2004"/>
      <c r="J180" s="2004"/>
      <c r="K180" s="2004"/>
      <c r="L180" s="2004"/>
      <c r="M180" s="2004"/>
      <c r="N180" s="2004"/>
      <c r="O180" s="2004"/>
      <c r="P180" s="2004" t="s">
        <v>12489</v>
      </c>
      <c r="Q180" s="2004" t="s">
        <v>12771</v>
      </c>
      <c r="R180" s="2004" t="s">
        <v>12606</v>
      </c>
      <c r="S180" s="2004"/>
      <c r="T180" s="2004" t="s">
        <v>766</v>
      </c>
      <c r="U180" s="516" t="s">
        <v>3016</v>
      </c>
      <c r="V180" s="2004">
        <v>250</v>
      </c>
      <c r="W180" s="2004"/>
      <c r="X180" s="2004">
        <v>250</v>
      </c>
      <c r="Y180" s="2004">
        <v>250</v>
      </c>
      <c r="Z180" s="2004">
        <v>250</v>
      </c>
      <c r="AA180" s="2004">
        <v>250</v>
      </c>
      <c r="AB180" s="2004">
        <v>250</v>
      </c>
      <c r="AC180" s="2004">
        <v>311</v>
      </c>
      <c r="AD180" s="2004"/>
      <c r="AE180" s="2004">
        <v>311</v>
      </c>
      <c r="AF180" s="2004">
        <v>311</v>
      </c>
      <c r="AG180" s="2004">
        <v>311</v>
      </c>
      <c r="AH180" s="2004">
        <v>311</v>
      </c>
      <c r="AI180" s="2004">
        <v>311</v>
      </c>
      <c r="AJ180" s="2004">
        <v>190</v>
      </c>
      <c r="AK180" s="2004"/>
      <c r="AL180" s="2004">
        <v>190</v>
      </c>
      <c r="AM180" s="2004">
        <v>190</v>
      </c>
      <c r="AN180" s="2004">
        <v>190</v>
      </c>
      <c r="AO180" s="2004">
        <v>190</v>
      </c>
      <c r="AP180" s="2004">
        <v>190</v>
      </c>
      <c r="AQ180" s="2004"/>
      <c r="AR180" s="2004">
        <v>46</v>
      </c>
      <c r="AS180" s="2004">
        <v>33</v>
      </c>
      <c r="AT180" s="2004" t="s">
        <v>2337</v>
      </c>
      <c r="AU180" s="2004">
        <v>16</v>
      </c>
      <c r="AV180" s="2004" t="s">
        <v>2337</v>
      </c>
      <c r="AW180" s="2004">
        <v>37</v>
      </c>
      <c r="AX180" s="2004" t="s">
        <v>2337</v>
      </c>
      <c r="AY180" s="2004">
        <v>54</v>
      </c>
      <c r="AZ180" s="2004" t="s">
        <v>2337</v>
      </c>
      <c r="BA180" s="2004"/>
      <c r="BB180" s="2004" t="s">
        <v>12772</v>
      </c>
    </row>
    <row r="181" spans="1:54">
      <c r="A181" s="2004" t="s">
        <v>11759</v>
      </c>
      <c r="B181" s="2004" t="s">
        <v>9047</v>
      </c>
      <c r="C181" s="2004" t="s">
        <v>9054</v>
      </c>
      <c r="D181" s="2004" t="s">
        <v>9410</v>
      </c>
      <c r="E181" s="2004" t="s">
        <v>8987</v>
      </c>
      <c r="F181" s="2004" t="s">
        <v>11716</v>
      </c>
      <c r="G181" s="2004"/>
      <c r="H181" s="2004"/>
      <c r="I181" s="2004"/>
      <c r="J181" s="2004"/>
      <c r="K181" s="2004"/>
      <c r="L181" s="2004"/>
      <c r="M181" s="2004"/>
      <c r="N181" s="2004"/>
      <c r="O181" s="2004"/>
      <c r="P181" s="2004" t="s">
        <v>12492</v>
      </c>
      <c r="Q181" s="2004" t="s">
        <v>12773</v>
      </c>
      <c r="R181" s="2004" t="s">
        <v>12462</v>
      </c>
      <c r="S181" s="2004"/>
      <c r="T181" s="2004" t="s">
        <v>734</v>
      </c>
      <c r="U181" s="2004">
        <v>2</v>
      </c>
      <c r="V181" s="2004">
        <v>2.44</v>
      </c>
      <c r="W181" s="2004"/>
      <c r="X181" s="2004">
        <v>2.44</v>
      </c>
      <c r="Y181" s="2004">
        <v>2.44</v>
      </c>
      <c r="Z181" s="2004">
        <v>2.44</v>
      </c>
      <c r="AA181" s="2004">
        <v>2.44</v>
      </c>
      <c r="AB181" s="2004">
        <v>2.44</v>
      </c>
      <c r="AC181" s="2004">
        <v>3.42</v>
      </c>
      <c r="AD181" s="2004"/>
      <c r="AE181" s="2004">
        <v>3.42</v>
      </c>
      <c r="AF181" s="2004">
        <v>3.42</v>
      </c>
      <c r="AG181" s="2004">
        <v>3.42</v>
      </c>
      <c r="AH181" s="2004">
        <v>3.42</v>
      </c>
      <c r="AI181" s="2004">
        <v>3.42</v>
      </c>
      <c r="AJ181" s="2004">
        <v>1.46</v>
      </c>
      <c r="AK181" s="2004"/>
      <c r="AL181" s="2004">
        <v>1.46</v>
      </c>
      <c r="AM181" s="2004">
        <v>1.46</v>
      </c>
      <c r="AN181" s="2004">
        <v>1.46</v>
      </c>
      <c r="AO181" s="2004">
        <v>1.46</v>
      </c>
      <c r="AP181" s="2004">
        <v>1.46</v>
      </c>
      <c r="AQ181" s="2004"/>
      <c r="AR181" s="2004">
        <v>0.87</v>
      </c>
      <c r="AS181" s="2004">
        <v>1.41</v>
      </c>
      <c r="AT181" s="2004" t="s">
        <v>2337</v>
      </c>
      <c r="AU181" s="2004">
        <v>0.53</v>
      </c>
      <c r="AV181" s="2004" t="s">
        <v>2337</v>
      </c>
      <c r="AW181" s="2004">
        <v>1.79</v>
      </c>
      <c r="AX181" s="2004" t="s">
        <v>2337</v>
      </c>
      <c r="AY181" s="2004">
        <v>0.36</v>
      </c>
      <c r="AZ181" s="2004" t="s">
        <v>2337</v>
      </c>
      <c r="BA181" s="2004"/>
      <c r="BB181" s="2004" t="s">
        <v>12774</v>
      </c>
    </row>
    <row r="182" spans="1:54">
      <c r="A182" s="2004" t="s">
        <v>11759</v>
      </c>
      <c r="B182" s="2004" t="s">
        <v>9047</v>
      </c>
      <c r="C182" s="2004" t="s">
        <v>9054</v>
      </c>
      <c r="D182" s="2004" t="s">
        <v>9410</v>
      </c>
      <c r="E182" s="2004" t="s">
        <v>8987</v>
      </c>
      <c r="F182" s="2004" t="s">
        <v>11716</v>
      </c>
      <c r="G182" s="2004"/>
      <c r="H182" s="2004"/>
      <c r="I182" s="2004"/>
      <c r="J182" s="2004"/>
      <c r="K182" s="2004"/>
      <c r="L182" s="2004"/>
      <c r="M182" s="2004"/>
      <c r="N182" s="2004"/>
      <c r="O182" s="2004"/>
      <c r="P182" s="2004" t="s">
        <v>12495</v>
      </c>
      <c r="Q182" s="2004" t="s">
        <v>12775</v>
      </c>
      <c r="R182" s="2004" t="s">
        <v>12459</v>
      </c>
      <c r="S182" s="2004"/>
      <c r="T182" s="2004" t="s">
        <v>734</v>
      </c>
      <c r="U182" s="2004">
        <v>2</v>
      </c>
      <c r="V182" s="2004">
        <v>0.1</v>
      </c>
      <c r="W182" s="2004"/>
      <c r="X182" s="2004">
        <v>0.1</v>
      </c>
      <c r="Y182" s="2004">
        <v>0.1</v>
      </c>
      <c r="Z182" s="2004">
        <v>0.1</v>
      </c>
      <c r="AA182" s="2004">
        <v>0.1</v>
      </c>
      <c r="AB182" s="2004">
        <v>0.1</v>
      </c>
      <c r="AC182" s="2004">
        <v>0.19</v>
      </c>
      <c r="AD182" s="2004"/>
      <c r="AE182" s="2004">
        <v>0.19</v>
      </c>
      <c r="AF182" s="2004">
        <v>0.19</v>
      </c>
      <c r="AG182" s="2004">
        <v>0.19</v>
      </c>
      <c r="AH182" s="2004">
        <v>0.19</v>
      </c>
      <c r="AI182" s="2004">
        <v>0.19</v>
      </c>
      <c r="AJ182" s="2004">
        <v>0.01</v>
      </c>
      <c r="AK182" s="2004"/>
      <c r="AL182" s="2004">
        <v>0.01</v>
      </c>
      <c r="AM182" s="2004">
        <v>0.01</v>
      </c>
      <c r="AN182" s="2004">
        <v>0.01</v>
      </c>
      <c r="AO182" s="2004">
        <v>0.01</v>
      </c>
      <c r="AP182" s="2004">
        <v>0.01</v>
      </c>
      <c r="AQ182" s="2004"/>
      <c r="AR182" s="2004">
        <v>0.1</v>
      </c>
      <c r="AS182" s="2004">
        <v>0.03</v>
      </c>
      <c r="AT182" s="2004" t="s">
        <v>2337</v>
      </c>
      <c r="AU182" s="2004">
        <v>0.02</v>
      </c>
      <c r="AV182" s="2004" t="s">
        <v>2337</v>
      </c>
      <c r="AW182" s="2004">
        <v>4.45</v>
      </c>
      <c r="AX182" s="2004" t="s">
        <v>2334</v>
      </c>
      <c r="AY182" s="2004">
        <v>0</v>
      </c>
      <c r="AZ182" s="2004" t="s">
        <v>2337</v>
      </c>
      <c r="BA182" s="2004"/>
      <c r="BB182" s="2004" t="s">
        <v>12776</v>
      </c>
    </row>
    <row r="183" spans="1:54">
      <c r="A183" s="2004" t="s">
        <v>11759</v>
      </c>
      <c r="B183" s="2004" t="s">
        <v>9047</v>
      </c>
      <c r="C183" s="2004" t="s">
        <v>9054</v>
      </c>
      <c r="D183" s="2004" t="s">
        <v>9410</v>
      </c>
      <c r="E183" s="2004" t="s">
        <v>8987</v>
      </c>
      <c r="F183" s="2004" t="s">
        <v>11716</v>
      </c>
      <c r="G183" s="2004"/>
      <c r="H183" s="2004"/>
      <c r="I183" s="2004"/>
      <c r="J183" s="2004"/>
      <c r="K183" s="2004"/>
      <c r="L183" s="2004"/>
      <c r="M183" s="2004"/>
      <c r="N183" s="2004"/>
      <c r="O183" s="2004"/>
      <c r="P183" s="2004" t="s">
        <v>12498</v>
      </c>
      <c r="Q183" s="2004" t="s">
        <v>12759</v>
      </c>
      <c r="R183" s="2004" t="s">
        <v>12614</v>
      </c>
      <c r="S183" s="2004"/>
      <c r="T183" s="2004" t="s">
        <v>766</v>
      </c>
      <c r="U183" s="516" t="s">
        <v>3016</v>
      </c>
      <c r="V183" s="2004">
        <v>27493</v>
      </c>
      <c r="W183" s="2004"/>
      <c r="X183" s="2004">
        <v>27493</v>
      </c>
      <c r="Y183" s="2004">
        <v>27493</v>
      </c>
      <c r="Z183" s="2004">
        <v>27493</v>
      </c>
      <c r="AA183" s="2004">
        <v>27493</v>
      </c>
      <c r="AB183" s="2004">
        <v>27493</v>
      </c>
      <c r="AC183" s="2004">
        <v>29627</v>
      </c>
      <c r="AD183" s="2004"/>
      <c r="AE183" s="2004">
        <v>29627</v>
      </c>
      <c r="AF183" s="2004">
        <v>29627</v>
      </c>
      <c r="AG183" s="2004">
        <v>29627</v>
      </c>
      <c r="AH183" s="2004">
        <v>29627</v>
      </c>
      <c r="AI183" s="2004">
        <v>29627</v>
      </c>
      <c r="AJ183" s="2004">
        <v>25358</v>
      </c>
      <c r="AK183" s="2004"/>
      <c r="AL183" s="2004">
        <v>25358</v>
      </c>
      <c r="AM183" s="2004">
        <v>25358</v>
      </c>
      <c r="AN183" s="2004">
        <v>25358</v>
      </c>
      <c r="AO183" s="2004">
        <v>25358</v>
      </c>
      <c r="AP183" s="2004">
        <v>25358</v>
      </c>
      <c r="AQ183" s="2004"/>
      <c r="AR183" s="2004">
        <v>45547</v>
      </c>
      <c r="AS183" s="2004">
        <v>43132</v>
      </c>
      <c r="AT183" s="2004" t="s">
        <v>2334</v>
      </c>
      <c r="AU183" s="2004">
        <v>33664</v>
      </c>
      <c r="AV183" s="2004" t="s">
        <v>2334</v>
      </c>
      <c r="AW183" s="2004">
        <v>32887</v>
      </c>
      <c r="AX183" s="2004" t="s">
        <v>2334</v>
      </c>
      <c r="AY183" s="2004">
        <v>37280</v>
      </c>
      <c r="AZ183" s="2004" t="s">
        <v>2334</v>
      </c>
      <c r="BA183" s="2004"/>
      <c r="BB183" s="2004" t="s">
        <v>12760</v>
      </c>
    </row>
    <row r="184" spans="1:54">
      <c r="A184" s="2004" t="s">
        <v>11986</v>
      </c>
      <c r="B184" s="2004" t="s">
        <v>9047</v>
      </c>
      <c r="C184" s="2004" t="s">
        <v>9082</v>
      </c>
      <c r="D184" s="2004" t="s">
        <v>9194</v>
      </c>
      <c r="E184" s="2004" t="s">
        <v>11202</v>
      </c>
      <c r="F184" s="2004" t="s">
        <v>11988</v>
      </c>
      <c r="G184" s="2004" t="s">
        <v>9210</v>
      </c>
      <c r="H184" s="2004" t="s">
        <v>9260</v>
      </c>
      <c r="I184" s="2004" t="s">
        <v>9546</v>
      </c>
      <c r="J184" s="2004" t="s">
        <v>2338</v>
      </c>
      <c r="K184" s="2004"/>
      <c r="L184" s="2004"/>
      <c r="M184" s="2004"/>
      <c r="N184" s="2004"/>
      <c r="O184" s="2004" t="s">
        <v>2338</v>
      </c>
      <c r="P184" s="2004" t="s">
        <v>12417</v>
      </c>
      <c r="Q184" s="2004" t="s">
        <v>11988</v>
      </c>
      <c r="R184" s="2004"/>
      <c r="S184" s="2004"/>
      <c r="T184" s="2004" t="s">
        <v>9395</v>
      </c>
      <c r="U184" s="2004" t="s">
        <v>9203</v>
      </c>
      <c r="V184" s="2004"/>
      <c r="W184" s="2004"/>
      <c r="X184" s="2004"/>
      <c r="Y184" s="2004"/>
      <c r="Z184" s="2004"/>
      <c r="AA184" s="2004"/>
      <c r="AB184" s="2004"/>
      <c r="AC184" s="2004"/>
      <c r="AD184" s="2004"/>
      <c r="AE184" s="2004"/>
      <c r="AF184" s="2004"/>
      <c r="AG184" s="2004"/>
      <c r="AH184" s="2004"/>
      <c r="AI184" s="2004"/>
      <c r="AJ184" s="2004"/>
      <c r="AK184" s="2004"/>
      <c r="AL184" s="2004"/>
      <c r="AM184" s="2004"/>
      <c r="AN184" s="2004"/>
      <c r="AO184" s="2004"/>
      <c r="AP184" s="2004"/>
      <c r="AQ184" s="2004"/>
      <c r="AR184" s="2004" t="s">
        <v>2338</v>
      </c>
      <c r="AS184" s="2004" t="s">
        <v>2338</v>
      </c>
      <c r="AT184" s="2004"/>
      <c r="AU184" s="2004" t="s">
        <v>11990</v>
      </c>
      <c r="AV184" s="2004" t="s">
        <v>2335</v>
      </c>
      <c r="AW184" s="2004" t="s">
        <v>2338</v>
      </c>
      <c r="AX184" s="2004" t="s">
        <v>2335</v>
      </c>
      <c r="AY184" s="2004" t="s">
        <v>2338</v>
      </c>
      <c r="AZ184" s="2004" t="s">
        <v>2337</v>
      </c>
      <c r="BA184" s="2004"/>
      <c r="BB184" s="2004" t="s">
        <v>12777</v>
      </c>
    </row>
    <row r="185" spans="1:54">
      <c r="A185" s="2004" t="s">
        <v>11986</v>
      </c>
      <c r="B185" s="2004" t="s">
        <v>9047</v>
      </c>
      <c r="C185" s="2004" t="s">
        <v>9082</v>
      </c>
      <c r="D185" s="2004" t="s">
        <v>9194</v>
      </c>
      <c r="E185" s="2004" t="s">
        <v>11202</v>
      </c>
      <c r="F185" s="2004" t="s">
        <v>11988</v>
      </c>
      <c r="G185" s="2004"/>
      <c r="H185" s="2004"/>
      <c r="I185" s="2004"/>
      <c r="J185" s="2004"/>
      <c r="K185" s="2004"/>
      <c r="L185" s="2004"/>
      <c r="M185" s="2004"/>
      <c r="N185" s="2004"/>
      <c r="O185" s="2004"/>
      <c r="P185" s="2004" t="s">
        <v>12419</v>
      </c>
      <c r="Q185" s="2004" t="s">
        <v>12543</v>
      </c>
      <c r="R185" s="2004" t="s">
        <v>12440</v>
      </c>
      <c r="S185" s="2004"/>
      <c r="T185" s="2004" t="s">
        <v>734</v>
      </c>
      <c r="U185" s="2004">
        <v>3</v>
      </c>
      <c r="V185" s="2004"/>
      <c r="W185" s="2004"/>
      <c r="X185" s="2004">
        <v>0.04</v>
      </c>
      <c r="Y185" s="2004">
        <v>0.04</v>
      </c>
      <c r="Z185" s="2004">
        <v>0.04</v>
      </c>
      <c r="AA185" s="2004">
        <v>0.04</v>
      </c>
      <c r="AB185" s="2004">
        <v>0.04</v>
      </c>
      <c r="AC185" s="2004"/>
      <c r="AD185" s="2004"/>
      <c r="AE185" s="2004">
        <v>7.0000000000000007E-2</v>
      </c>
      <c r="AF185" s="2004">
        <v>7.0000000000000007E-2</v>
      </c>
      <c r="AG185" s="2004">
        <v>7.0000000000000007E-2</v>
      </c>
      <c r="AH185" s="2004">
        <v>7.0000000000000007E-2</v>
      </c>
      <c r="AI185" s="2004">
        <v>7.0000000000000007E-2</v>
      </c>
      <c r="AJ185" s="2004"/>
      <c r="AK185" s="2004"/>
      <c r="AL185" s="2004"/>
      <c r="AM185" s="2004"/>
      <c r="AN185" s="2004"/>
      <c r="AO185" s="2004"/>
      <c r="AP185" s="2004"/>
      <c r="AQ185" s="2004"/>
      <c r="AR185" s="2004">
        <v>5.7000000000000002E-2</v>
      </c>
      <c r="AS185" s="2004">
        <v>1.4E-2</v>
      </c>
      <c r="AT185" s="2004"/>
      <c r="AU185" s="2004">
        <v>7.0000000000000001E-3</v>
      </c>
      <c r="AV185" s="2004" t="s">
        <v>2337</v>
      </c>
      <c r="AW185" s="2004">
        <v>1.4E-2</v>
      </c>
      <c r="AX185" s="2004" t="s">
        <v>2337</v>
      </c>
      <c r="AY185" s="2004">
        <v>2.1000000000000001E-2</v>
      </c>
      <c r="AZ185" s="2004" t="s">
        <v>2337</v>
      </c>
      <c r="BA185" s="2004"/>
      <c r="BB185" s="2004" t="s">
        <v>12778</v>
      </c>
    </row>
    <row r="186" spans="1:54">
      <c r="A186" s="2004" t="s">
        <v>11986</v>
      </c>
      <c r="B186" s="2004" t="s">
        <v>9047</v>
      </c>
      <c r="C186" s="2004" t="s">
        <v>9082</v>
      </c>
      <c r="D186" s="2004" t="s">
        <v>9194</v>
      </c>
      <c r="E186" s="2004" t="s">
        <v>11202</v>
      </c>
      <c r="F186" s="2004" t="s">
        <v>11988</v>
      </c>
      <c r="G186" s="2004"/>
      <c r="H186" s="2004"/>
      <c r="I186" s="2004"/>
      <c r="J186" s="2004"/>
      <c r="K186" s="2004"/>
      <c r="L186" s="2004"/>
      <c r="M186" s="2004"/>
      <c r="N186" s="2004"/>
      <c r="O186" s="2004"/>
      <c r="P186" s="2004" t="s">
        <v>12423</v>
      </c>
      <c r="Q186" s="2004" t="s">
        <v>12779</v>
      </c>
      <c r="R186" s="2004" t="s">
        <v>12443</v>
      </c>
      <c r="S186" s="2004"/>
      <c r="T186" s="2004" t="s">
        <v>734</v>
      </c>
      <c r="U186" s="2004">
        <v>2</v>
      </c>
      <c r="V186" s="2004"/>
      <c r="W186" s="2004"/>
      <c r="X186" s="2004">
        <v>0</v>
      </c>
      <c r="Y186" s="2004">
        <v>0</v>
      </c>
      <c r="Z186" s="2004">
        <v>0</v>
      </c>
      <c r="AA186" s="2004">
        <v>0</v>
      </c>
      <c r="AB186" s="2004">
        <v>0</v>
      </c>
      <c r="AC186" s="2004"/>
      <c r="AD186" s="2004"/>
      <c r="AE186" s="2004">
        <v>0.24</v>
      </c>
      <c r="AF186" s="2004">
        <v>0.24</v>
      </c>
      <c r="AG186" s="2004">
        <v>0.24</v>
      </c>
      <c r="AH186" s="2004">
        <v>0.24</v>
      </c>
      <c r="AI186" s="2004">
        <v>0.24</v>
      </c>
      <c r="AJ186" s="2004"/>
      <c r="AK186" s="2004"/>
      <c r="AL186" s="2004"/>
      <c r="AM186" s="2004"/>
      <c r="AN186" s="2004"/>
      <c r="AO186" s="2004"/>
      <c r="AP186" s="2004"/>
      <c r="AQ186" s="2004"/>
      <c r="AR186" s="2004">
        <v>0</v>
      </c>
      <c r="AS186" s="2004">
        <v>0</v>
      </c>
      <c r="AT186" s="2004"/>
      <c r="AU186" s="2004">
        <v>0</v>
      </c>
      <c r="AV186" s="2004" t="s">
        <v>2337</v>
      </c>
      <c r="AW186" s="2004">
        <v>0</v>
      </c>
      <c r="AX186" s="2004" t="s">
        <v>2337</v>
      </c>
      <c r="AY186" s="2004">
        <v>0</v>
      </c>
      <c r="AZ186" s="2004" t="s">
        <v>2337</v>
      </c>
      <c r="BA186" s="2004"/>
      <c r="BB186" s="2004" t="s">
        <v>12780</v>
      </c>
    </row>
    <row r="187" spans="1:54">
      <c r="A187" s="2004" t="s">
        <v>11986</v>
      </c>
      <c r="B187" s="2004" t="s">
        <v>9047</v>
      </c>
      <c r="C187" s="2004" t="s">
        <v>9082</v>
      </c>
      <c r="D187" s="2004" t="s">
        <v>9194</v>
      </c>
      <c r="E187" s="2004" t="s">
        <v>11202</v>
      </c>
      <c r="F187" s="2004" t="s">
        <v>11988</v>
      </c>
      <c r="G187" s="2004"/>
      <c r="H187" s="2004"/>
      <c r="I187" s="2004"/>
      <c r="J187" s="2004"/>
      <c r="K187" s="2004"/>
      <c r="L187" s="2004"/>
      <c r="M187" s="2004"/>
      <c r="N187" s="2004"/>
      <c r="O187" s="2004"/>
      <c r="P187" s="2004" t="s">
        <v>12430</v>
      </c>
      <c r="Q187" s="2004" t="s">
        <v>12781</v>
      </c>
      <c r="R187" s="2004" t="s">
        <v>12445</v>
      </c>
      <c r="S187" s="2004"/>
      <c r="T187" s="2004" t="s">
        <v>766</v>
      </c>
      <c r="U187" s="516" t="s">
        <v>3016</v>
      </c>
      <c r="V187" s="2004"/>
      <c r="W187" s="2004"/>
      <c r="X187" s="2004">
        <v>0</v>
      </c>
      <c r="Y187" s="2004">
        <v>0</v>
      </c>
      <c r="Z187" s="2004">
        <v>0</v>
      </c>
      <c r="AA187" s="2004">
        <v>0</v>
      </c>
      <c r="AB187" s="2004">
        <v>0</v>
      </c>
      <c r="AC187" s="2004"/>
      <c r="AD187" s="2004"/>
      <c r="AE187" s="2004">
        <v>4</v>
      </c>
      <c r="AF187" s="2004">
        <v>4</v>
      </c>
      <c r="AG187" s="2004">
        <v>4</v>
      </c>
      <c r="AH187" s="2004">
        <v>4</v>
      </c>
      <c r="AI187" s="2004">
        <v>4</v>
      </c>
      <c r="AJ187" s="2004"/>
      <c r="AK187" s="2004"/>
      <c r="AL187" s="2004"/>
      <c r="AM187" s="2004"/>
      <c r="AN187" s="2004"/>
      <c r="AO187" s="2004"/>
      <c r="AP187" s="2004"/>
      <c r="AQ187" s="2004"/>
      <c r="AR187" s="2004">
        <v>0</v>
      </c>
      <c r="AS187" s="2004">
        <v>0</v>
      </c>
      <c r="AT187" s="2004"/>
      <c r="AU187" s="2004">
        <v>1</v>
      </c>
      <c r="AV187" s="2004" t="s">
        <v>2334</v>
      </c>
      <c r="AW187" s="2004">
        <v>0</v>
      </c>
      <c r="AX187" s="2004" t="s">
        <v>2337</v>
      </c>
      <c r="AY187" s="2004">
        <v>0</v>
      </c>
      <c r="AZ187" s="2004" t="s">
        <v>2337</v>
      </c>
      <c r="BA187" s="2004"/>
      <c r="BB187" s="2004" t="s">
        <v>12782</v>
      </c>
    </row>
    <row r="188" spans="1:54">
      <c r="A188" s="2004" t="s">
        <v>11986</v>
      </c>
      <c r="B188" s="2004" t="s">
        <v>9047</v>
      </c>
      <c r="C188" s="2004" t="s">
        <v>9082</v>
      </c>
      <c r="D188" s="2004" t="s">
        <v>9194</v>
      </c>
      <c r="E188" s="2004" t="s">
        <v>11202</v>
      </c>
      <c r="F188" s="2004" t="s">
        <v>11988</v>
      </c>
      <c r="G188" s="2004"/>
      <c r="H188" s="2004"/>
      <c r="I188" s="2004"/>
      <c r="J188" s="2004"/>
      <c r="K188" s="2004"/>
      <c r="L188" s="2004"/>
      <c r="M188" s="2004"/>
      <c r="N188" s="2004"/>
      <c r="O188" s="2004"/>
      <c r="P188" s="2004" t="s">
        <v>12434</v>
      </c>
      <c r="Q188" s="2004" t="s">
        <v>12783</v>
      </c>
      <c r="R188" s="2004" t="s">
        <v>12500</v>
      </c>
      <c r="S188" s="2004"/>
      <c r="T188" s="2004" t="s">
        <v>766</v>
      </c>
      <c r="U188" s="516" t="s">
        <v>3016</v>
      </c>
      <c r="V188" s="2004"/>
      <c r="W188" s="2004"/>
      <c r="X188" s="2004">
        <v>0</v>
      </c>
      <c r="Y188" s="2004">
        <v>0</v>
      </c>
      <c r="Z188" s="2004">
        <v>0</v>
      </c>
      <c r="AA188" s="2004">
        <v>0</v>
      </c>
      <c r="AB188" s="2004">
        <v>0</v>
      </c>
      <c r="AC188" s="2004"/>
      <c r="AD188" s="2004"/>
      <c r="AE188" s="2004">
        <v>1</v>
      </c>
      <c r="AF188" s="2004">
        <v>1</v>
      </c>
      <c r="AG188" s="2004">
        <v>1</v>
      </c>
      <c r="AH188" s="2004">
        <v>1</v>
      </c>
      <c r="AI188" s="2004">
        <v>1</v>
      </c>
      <c r="AJ188" s="2004"/>
      <c r="AK188" s="2004"/>
      <c r="AL188" s="2004"/>
      <c r="AM188" s="2004"/>
      <c r="AN188" s="2004"/>
      <c r="AO188" s="2004"/>
      <c r="AP188" s="2004"/>
      <c r="AQ188" s="2004"/>
      <c r="AR188" s="2004">
        <v>0</v>
      </c>
      <c r="AS188" s="2004">
        <v>0</v>
      </c>
      <c r="AT188" s="2004"/>
      <c r="AU188" s="2004">
        <v>0</v>
      </c>
      <c r="AV188" s="2004" t="s">
        <v>2337</v>
      </c>
      <c r="AW188" s="2004">
        <v>1</v>
      </c>
      <c r="AX188" s="2004" t="s">
        <v>2334</v>
      </c>
      <c r="AY188" s="2004">
        <v>0</v>
      </c>
      <c r="AZ188" s="2004" t="s">
        <v>2337</v>
      </c>
      <c r="BA188" s="2004"/>
      <c r="BB188" s="2004" t="s">
        <v>12784</v>
      </c>
    </row>
    <row r="189" spans="1:54">
      <c r="A189" s="2004" t="s">
        <v>11986</v>
      </c>
      <c r="B189" s="2004" t="s">
        <v>9047</v>
      </c>
      <c r="C189" s="2004" t="s">
        <v>9082</v>
      </c>
      <c r="D189" s="2004" t="s">
        <v>9194</v>
      </c>
      <c r="E189" s="2004" t="s">
        <v>11202</v>
      </c>
      <c r="F189" s="2004" t="s">
        <v>11988</v>
      </c>
      <c r="G189" s="2004"/>
      <c r="H189" s="2004"/>
      <c r="I189" s="2004"/>
      <c r="J189" s="2004"/>
      <c r="K189" s="2004"/>
      <c r="L189" s="2004"/>
      <c r="M189" s="2004"/>
      <c r="N189" s="2004"/>
      <c r="O189" s="2004"/>
      <c r="P189" s="2004" t="s">
        <v>12486</v>
      </c>
      <c r="Q189" s="2004" t="s">
        <v>12785</v>
      </c>
      <c r="R189" s="2004" t="s">
        <v>12786</v>
      </c>
      <c r="S189" s="2004"/>
      <c r="T189" s="2004" t="s">
        <v>766</v>
      </c>
      <c r="U189" s="516" t="s">
        <v>3016</v>
      </c>
      <c r="V189" s="2004"/>
      <c r="W189" s="2004"/>
      <c r="X189" s="2004">
        <v>6771</v>
      </c>
      <c r="Y189" s="2004">
        <v>6771</v>
      </c>
      <c r="Z189" s="2004">
        <v>6771</v>
      </c>
      <c r="AA189" s="2004">
        <v>6771</v>
      </c>
      <c r="AB189" s="2004">
        <v>6771</v>
      </c>
      <c r="AC189" s="2004"/>
      <c r="AD189" s="2004"/>
      <c r="AE189" s="2004">
        <v>8380</v>
      </c>
      <c r="AF189" s="2004">
        <v>8380</v>
      </c>
      <c r="AG189" s="2004">
        <v>8380</v>
      </c>
      <c r="AH189" s="2004">
        <v>8380</v>
      </c>
      <c r="AI189" s="2004">
        <v>8380</v>
      </c>
      <c r="AJ189" s="2004"/>
      <c r="AK189" s="2004"/>
      <c r="AL189" s="2004"/>
      <c r="AM189" s="2004"/>
      <c r="AN189" s="2004"/>
      <c r="AO189" s="2004"/>
      <c r="AP189" s="2004"/>
      <c r="AQ189" s="2004"/>
      <c r="AR189" s="2004">
        <v>4381</v>
      </c>
      <c r="AS189" s="2004">
        <v>3955</v>
      </c>
      <c r="AT189" s="2004"/>
      <c r="AU189" s="2004">
        <v>4386</v>
      </c>
      <c r="AV189" s="2004" t="s">
        <v>2337</v>
      </c>
      <c r="AW189" s="2004">
        <v>3744</v>
      </c>
      <c r="AX189" s="2004" t="s">
        <v>2337</v>
      </c>
      <c r="AY189" s="2004">
        <v>3768</v>
      </c>
      <c r="AZ189" s="2004" t="s">
        <v>2337</v>
      </c>
      <c r="BA189" s="2004"/>
      <c r="BB189" s="2004" t="s">
        <v>12787</v>
      </c>
    </row>
    <row r="190" spans="1:54">
      <c r="A190" s="2004" t="s">
        <v>12007</v>
      </c>
      <c r="B190" s="2004" t="s">
        <v>9047</v>
      </c>
      <c r="C190" s="2004" t="s">
        <v>9082</v>
      </c>
      <c r="D190" s="2004" t="s">
        <v>9194</v>
      </c>
      <c r="E190" s="2004" t="s">
        <v>11231</v>
      </c>
      <c r="F190" s="2004" t="s">
        <v>12009</v>
      </c>
      <c r="G190" s="2004" t="s">
        <v>9210</v>
      </c>
      <c r="H190" s="2004" t="s">
        <v>9260</v>
      </c>
      <c r="I190" s="2004" t="s">
        <v>9546</v>
      </c>
      <c r="J190" s="2004" t="s">
        <v>2338</v>
      </c>
      <c r="K190" s="2004"/>
      <c r="L190" s="2004"/>
      <c r="M190" s="2004"/>
      <c r="N190" s="2004"/>
      <c r="O190" s="2004" t="s">
        <v>2338</v>
      </c>
      <c r="P190" s="2004" t="s">
        <v>12417</v>
      </c>
      <c r="Q190" s="2004" t="s">
        <v>12009</v>
      </c>
      <c r="R190" s="2004"/>
      <c r="S190" s="2004"/>
      <c r="T190" s="2004" t="s">
        <v>9395</v>
      </c>
      <c r="U190" s="2004" t="s">
        <v>9203</v>
      </c>
      <c r="V190" s="2004"/>
      <c r="W190" s="2004"/>
      <c r="X190" s="2004"/>
      <c r="Y190" s="2004"/>
      <c r="Z190" s="2004"/>
      <c r="AA190" s="2004"/>
      <c r="AB190" s="2004"/>
      <c r="AC190" s="2004"/>
      <c r="AD190" s="2004"/>
      <c r="AE190" s="2004"/>
      <c r="AF190" s="2004"/>
      <c r="AG190" s="2004"/>
      <c r="AH190" s="2004"/>
      <c r="AI190" s="2004"/>
      <c r="AJ190" s="2004"/>
      <c r="AK190" s="2004"/>
      <c r="AL190" s="2004"/>
      <c r="AM190" s="2004"/>
      <c r="AN190" s="2004"/>
      <c r="AO190" s="2004"/>
      <c r="AP190" s="2004"/>
      <c r="AQ190" s="2004"/>
      <c r="AR190" s="2004" t="s">
        <v>2338</v>
      </c>
      <c r="AS190" s="2004" t="s">
        <v>2338</v>
      </c>
      <c r="AT190" s="2004"/>
      <c r="AU190" s="2004" t="s">
        <v>2338</v>
      </c>
      <c r="AV190" s="2004" t="s">
        <v>2335</v>
      </c>
      <c r="AW190" s="2004" t="s">
        <v>2338</v>
      </c>
      <c r="AX190" s="2004" t="s">
        <v>2335</v>
      </c>
      <c r="AY190" s="2004" t="s">
        <v>2338</v>
      </c>
      <c r="AZ190" s="2004" t="s">
        <v>2337</v>
      </c>
      <c r="BA190" s="2004"/>
      <c r="BB190" s="2004" t="s">
        <v>12788</v>
      </c>
    </row>
    <row r="191" spans="1:54">
      <c r="A191" s="2004" t="s">
        <v>12007</v>
      </c>
      <c r="B191" s="2004" t="s">
        <v>9047</v>
      </c>
      <c r="C191" s="2004" t="s">
        <v>9082</v>
      </c>
      <c r="D191" s="2004" t="s">
        <v>9194</v>
      </c>
      <c r="E191" s="2004" t="s">
        <v>11231</v>
      </c>
      <c r="F191" s="2004" t="s">
        <v>12009</v>
      </c>
      <c r="G191" s="2004"/>
      <c r="H191" s="2004"/>
      <c r="I191" s="2004"/>
      <c r="J191" s="2004"/>
      <c r="K191" s="2004"/>
      <c r="L191" s="2004"/>
      <c r="M191" s="2004"/>
      <c r="N191" s="2004"/>
      <c r="O191" s="2004"/>
      <c r="P191" s="2004" t="s">
        <v>12419</v>
      </c>
      <c r="Q191" s="2004" t="s">
        <v>12477</v>
      </c>
      <c r="R191" s="2004" t="s">
        <v>12425</v>
      </c>
      <c r="S191" s="2004"/>
      <c r="T191" s="2004" t="s">
        <v>766</v>
      </c>
      <c r="U191" s="516" t="s">
        <v>3016</v>
      </c>
      <c r="V191" s="2004"/>
      <c r="W191" s="2004"/>
      <c r="X191" s="2004">
        <v>6000</v>
      </c>
      <c r="Y191" s="2004">
        <v>6000</v>
      </c>
      <c r="Z191" s="2004">
        <v>6000</v>
      </c>
      <c r="AA191" s="2004">
        <v>6000</v>
      </c>
      <c r="AB191" s="2004">
        <v>6000</v>
      </c>
      <c r="AC191" s="2004"/>
      <c r="AD191" s="2004"/>
      <c r="AE191" s="2004">
        <v>7710</v>
      </c>
      <c r="AF191" s="2004">
        <v>7710</v>
      </c>
      <c r="AG191" s="2004">
        <v>7710</v>
      </c>
      <c r="AH191" s="2004">
        <v>7710</v>
      </c>
      <c r="AI191" s="2004">
        <v>7710</v>
      </c>
      <c r="AJ191" s="2004"/>
      <c r="AK191" s="2004"/>
      <c r="AL191" s="2004"/>
      <c r="AM191" s="2004"/>
      <c r="AN191" s="2004"/>
      <c r="AO191" s="2004"/>
      <c r="AP191" s="2004"/>
      <c r="AQ191" s="2004"/>
      <c r="AR191" s="2004">
        <v>5917</v>
      </c>
      <c r="AS191" s="2004">
        <v>5027</v>
      </c>
      <c r="AT191" s="2004"/>
      <c r="AU191" s="2004">
        <v>5724</v>
      </c>
      <c r="AV191" s="2004" t="s">
        <v>2337</v>
      </c>
      <c r="AW191" s="2004">
        <v>6858</v>
      </c>
      <c r="AX191" s="2004" t="s">
        <v>2334</v>
      </c>
      <c r="AY191" s="2004">
        <v>8254</v>
      </c>
      <c r="AZ191" s="2004" t="s">
        <v>2334</v>
      </c>
      <c r="BA191" s="2004"/>
      <c r="BB191" s="2004" t="s">
        <v>12789</v>
      </c>
    </row>
    <row r="192" spans="1:54">
      <c r="A192" s="2004" t="s">
        <v>12007</v>
      </c>
      <c r="B192" s="2004" t="s">
        <v>9047</v>
      </c>
      <c r="C192" s="2004" t="s">
        <v>9082</v>
      </c>
      <c r="D192" s="2004" t="s">
        <v>9194</v>
      </c>
      <c r="E192" s="2004" t="s">
        <v>11231</v>
      </c>
      <c r="F192" s="2004" t="s">
        <v>12009</v>
      </c>
      <c r="G192" s="2004"/>
      <c r="H192" s="2004"/>
      <c r="I192" s="2004"/>
      <c r="J192" s="2004"/>
      <c r="K192" s="2004"/>
      <c r="L192" s="2004"/>
      <c r="M192" s="2004"/>
      <c r="N192" s="2004"/>
      <c r="O192" s="2004"/>
      <c r="P192" s="2004" t="s">
        <v>12423</v>
      </c>
      <c r="Q192" s="2004" t="s">
        <v>12790</v>
      </c>
      <c r="R192" s="2004" t="s">
        <v>12421</v>
      </c>
      <c r="S192" s="2004"/>
      <c r="T192" s="2004" t="s">
        <v>766</v>
      </c>
      <c r="U192" s="516" t="s">
        <v>3016</v>
      </c>
      <c r="V192" s="2004"/>
      <c r="W192" s="2004"/>
      <c r="X192" s="2004">
        <v>220</v>
      </c>
      <c r="Y192" s="2004">
        <v>220</v>
      </c>
      <c r="Z192" s="2004">
        <v>220</v>
      </c>
      <c r="AA192" s="2004">
        <v>220</v>
      </c>
      <c r="AB192" s="2004">
        <v>220</v>
      </c>
      <c r="AC192" s="2004"/>
      <c r="AD192" s="2004"/>
      <c r="AE192" s="2004">
        <v>659</v>
      </c>
      <c r="AF192" s="2004">
        <v>659</v>
      </c>
      <c r="AG192" s="2004">
        <v>659</v>
      </c>
      <c r="AH192" s="2004">
        <v>659</v>
      </c>
      <c r="AI192" s="2004">
        <v>659</v>
      </c>
      <c r="AJ192" s="2004"/>
      <c r="AK192" s="2004"/>
      <c r="AL192" s="2004"/>
      <c r="AM192" s="2004"/>
      <c r="AN192" s="2004"/>
      <c r="AO192" s="2004"/>
      <c r="AP192" s="2004"/>
      <c r="AQ192" s="2004"/>
      <c r="AR192" s="2004">
        <v>271</v>
      </c>
      <c r="AS192" s="2004">
        <v>3414</v>
      </c>
      <c r="AT192" s="2004"/>
      <c r="AU192" s="2004">
        <v>114</v>
      </c>
      <c r="AV192" s="2004" t="s">
        <v>2337</v>
      </c>
      <c r="AW192" s="2004">
        <v>320</v>
      </c>
      <c r="AX192" s="2004" t="s">
        <v>2334</v>
      </c>
      <c r="AY192" s="2004">
        <v>414</v>
      </c>
      <c r="AZ192" s="2004" t="s">
        <v>2334</v>
      </c>
      <c r="BA192" s="2004"/>
      <c r="BB192" s="2004" t="s">
        <v>12791</v>
      </c>
    </row>
    <row r="193" spans="1:54">
      <c r="A193" s="2004" t="s">
        <v>12007</v>
      </c>
      <c r="B193" s="2004" t="s">
        <v>9047</v>
      </c>
      <c r="C193" s="2004" t="s">
        <v>9082</v>
      </c>
      <c r="D193" s="2004" t="s">
        <v>9194</v>
      </c>
      <c r="E193" s="2004" t="s">
        <v>11231</v>
      </c>
      <c r="F193" s="2004" t="s">
        <v>12009</v>
      </c>
      <c r="G193" s="2004"/>
      <c r="H193" s="2004"/>
      <c r="I193" s="2004"/>
      <c r="J193" s="2004"/>
      <c r="K193" s="2004"/>
      <c r="L193" s="2004"/>
      <c r="M193" s="2004"/>
      <c r="N193" s="2004"/>
      <c r="O193" s="2004"/>
      <c r="P193" s="2004" t="s">
        <v>12430</v>
      </c>
      <c r="Q193" s="2004" t="s">
        <v>12792</v>
      </c>
      <c r="R193" s="2004" t="s">
        <v>12468</v>
      </c>
      <c r="S193" s="2004"/>
      <c r="T193" s="2004" t="s">
        <v>766</v>
      </c>
      <c r="U193" s="516" t="s">
        <v>3016</v>
      </c>
      <c r="V193" s="2004"/>
      <c r="W193" s="2004"/>
      <c r="X193" s="2004">
        <v>15</v>
      </c>
      <c r="Y193" s="2004">
        <v>15</v>
      </c>
      <c r="Z193" s="2004">
        <v>15</v>
      </c>
      <c r="AA193" s="2004">
        <v>15</v>
      </c>
      <c r="AB193" s="2004">
        <v>15</v>
      </c>
      <c r="AC193" s="2004"/>
      <c r="AD193" s="2004"/>
      <c r="AE193" s="2004">
        <v>67</v>
      </c>
      <c r="AF193" s="2004">
        <v>67</v>
      </c>
      <c r="AG193" s="2004">
        <v>67</v>
      </c>
      <c r="AH193" s="2004">
        <v>67</v>
      </c>
      <c r="AI193" s="2004">
        <v>67</v>
      </c>
      <c r="AJ193" s="2004"/>
      <c r="AK193" s="2004"/>
      <c r="AL193" s="2004"/>
      <c r="AM193" s="2004"/>
      <c r="AN193" s="2004"/>
      <c r="AO193" s="2004"/>
      <c r="AP193" s="2004"/>
      <c r="AQ193" s="2004"/>
      <c r="AR193" s="2004">
        <v>9</v>
      </c>
      <c r="AS193" s="2004">
        <v>11</v>
      </c>
      <c r="AT193" s="2004"/>
      <c r="AU193" s="2004">
        <v>8</v>
      </c>
      <c r="AV193" s="2004" t="s">
        <v>2337</v>
      </c>
      <c r="AW193" s="2004">
        <v>11</v>
      </c>
      <c r="AX193" s="2004" t="s">
        <v>2337</v>
      </c>
      <c r="AY193" s="2004">
        <v>9</v>
      </c>
      <c r="AZ193" s="2004" t="s">
        <v>2337</v>
      </c>
      <c r="BA193" s="2004"/>
      <c r="BB193" s="2004" t="s">
        <v>12793</v>
      </c>
    </row>
    <row r="194" spans="1:54">
      <c r="A194" s="2004" t="s">
        <v>12007</v>
      </c>
      <c r="B194" s="2004" t="s">
        <v>9047</v>
      </c>
      <c r="C194" s="2004" t="s">
        <v>9082</v>
      </c>
      <c r="D194" s="2004" t="s">
        <v>9194</v>
      </c>
      <c r="E194" s="2004" t="s">
        <v>11231</v>
      </c>
      <c r="F194" s="2004" t="s">
        <v>12009</v>
      </c>
      <c r="G194" s="2004"/>
      <c r="H194" s="2004"/>
      <c r="I194" s="2004"/>
      <c r="J194" s="2004"/>
      <c r="K194" s="2004"/>
      <c r="L194" s="2004"/>
      <c r="M194" s="2004"/>
      <c r="N194" s="2004"/>
      <c r="O194" s="2004"/>
      <c r="P194" s="2004" t="s">
        <v>12434</v>
      </c>
      <c r="Q194" s="2004" t="s">
        <v>12794</v>
      </c>
      <c r="R194" s="2004" t="s">
        <v>12432</v>
      </c>
      <c r="S194" s="2004"/>
      <c r="T194" s="2004" t="s">
        <v>766</v>
      </c>
      <c r="U194" s="2004">
        <v>3</v>
      </c>
      <c r="V194" s="2004"/>
      <c r="W194" s="2004"/>
      <c r="X194" s="2004">
        <v>1.18</v>
      </c>
      <c r="Y194" s="2004">
        <v>1.18</v>
      </c>
      <c r="Z194" s="2004">
        <v>1.18</v>
      </c>
      <c r="AA194" s="2004">
        <v>1.18</v>
      </c>
      <c r="AB194" s="2004">
        <v>1.18</v>
      </c>
      <c r="AC194" s="2004"/>
      <c r="AD194" s="2004"/>
      <c r="AE194" s="2004">
        <v>1.57</v>
      </c>
      <c r="AF194" s="2004">
        <v>1.57</v>
      </c>
      <c r="AG194" s="2004">
        <v>1.57</v>
      </c>
      <c r="AH194" s="2004">
        <v>1.57</v>
      </c>
      <c r="AI194" s="2004">
        <v>1.57</v>
      </c>
      <c r="AJ194" s="2004"/>
      <c r="AK194" s="2004"/>
      <c r="AL194" s="2004"/>
      <c r="AM194" s="2004"/>
      <c r="AN194" s="2004"/>
      <c r="AO194" s="2004"/>
      <c r="AP194" s="2004"/>
      <c r="AQ194" s="2004"/>
      <c r="AR194" s="2004">
        <v>1.1990000000000001</v>
      </c>
      <c r="AS194" s="2004">
        <v>1.0329999999999999</v>
      </c>
      <c r="AT194" s="2004"/>
      <c r="AU194" s="2004">
        <v>0.96499999999999997</v>
      </c>
      <c r="AV194" s="2004" t="s">
        <v>2337</v>
      </c>
      <c r="AW194" s="2004">
        <v>0.67400000000000004</v>
      </c>
      <c r="AX194" s="2004" t="s">
        <v>2337</v>
      </c>
      <c r="AY194" s="2004">
        <v>0.69899999999999995</v>
      </c>
      <c r="AZ194" s="2004" t="s">
        <v>2337</v>
      </c>
      <c r="BA194" s="2004"/>
      <c r="BB194" s="2004" t="s">
        <v>12795</v>
      </c>
    </row>
    <row r="195" spans="1:54">
      <c r="A195" s="2004" t="s">
        <v>12007</v>
      </c>
      <c r="B195" s="2004" t="s">
        <v>9047</v>
      </c>
      <c r="C195" s="2004" t="s">
        <v>9082</v>
      </c>
      <c r="D195" s="2004" t="s">
        <v>9194</v>
      </c>
      <c r="E195" s="2004" t="s">
        <v>11231</v>
      </c>
      <c r="F195" s="2004" t="s">
        <v>12009</v>
      </c>
      <c r="G195" s="2004"/>
      <c r="H195" s="2004"/>
      <c r="I195" s="2004"/>
      <c r="J195" s="2004"/>
      <c r="K195" s="2004"/>
      <c r="L195" s="2004"/>
      <c r="M195" s="2004"/>
      <c r="N195" s="2004"/>
      <c r="O195" s="2004"/>
      <c r="P195" s="2004" t="s">
        <v>12486</v>
      </c>
      <c r="Q195" s="2004" t="s">
        <v>12796</v>
      </c>
      <c r="R195" s="2004" t="s">
        <v>12436</v>
      </c>
      <c r="S195" s="2004"/>
      <c r="T195" s="2004" t="s">
        <v>734</v>
      </c>
      <c r="U195" s="2004">
        <v>3</v>
      </c>
      <c r="V195" s="2004"/>
      <c r="W195" s="2004"/>
      <c r="X195" s="2004">
        <v>0.2</v>
      </c>
      <c r="Y195" s="2004">
        <v>0.2</v>
      </c>
      <c r="Z195" s="2004">
        <v>0.2</v>
      </c>
      <c r="AA195" s="2004">
        <v>0.2</v>
      </c>
      <c r="AB195" s="2004">
        <v>0.2</v>
      </c>
      <c r="AC195" s="2004"/>
      <c r="AD195" s="2004"/>
      <c r="AE195" s="2004">
        <v>0.34</v>
      </c>
      <c r="AF195" s="2004">
        <v>0.34</v>
      </c>
      <c r="AG195" s="2004">
        <v>0.34</v>
      </c>
      <c r="AH195" s="2004">
        <v>0.34</v>
      </c>
      <c r="AI195" s="2004">
        <v>0.34</v>
      </c>
      <c r="AJ195" s="2004"/>
      <c r="AK195" s="2004"/>
      <c r="AL195" s="2004"/>
      <c r="AM195" s="2004"/>
      <c r="AN195" s="2004"/>
      <c r="AO195" s="2004"/>
      <c r="AP195" s="2004"/>
      <c r="AQ195" s="2004"/>
      <c r="AR195" s="2004">
        <v>0.186</v>
      </c>
      <c r="AS195" s="2004">
        <v>0.14199999999999999</v>
      </c>
      <c r="AT195" s="2004"/>
      <c r="AU195" s="2004">
        <v>6.8000000000000005E-2</v>
      </c>
      <c r="AV195" s="2004" t="s">
        <v>2337</v>
      </c>
      <c r="AW195" s="2004">
        <v>0.08</v>
      </c>
      <c r="AX195" s="2004" t="s">
        <v>2337</v>
      </c>
      <c r="AY195" s="2004">
        <v>0.127</v>
      </c>
      <c r="AZ195" s="2004" t="s">
        <v>11991</v>
      </c>
      <c r="BA195" s="2004"/>
      <c r="BB195" s="2004" t="s">
        <v>12797</v>
      </c>
    </row>
    <row r="196" spans="1:54">
      <c r="A196" s="2004" t="s">
        <v>12007</v>
      </c>
      <c r="B196" s="2004" t="s">
        <v>9047</v>
      </c>
      <c r="C196" s="2004" t="s">
        <v>9082</v>
      </c>
      <c r="D196" s="2004" t="s">
        <v>9194</v>
      </c>
      <c r="E196" s="2004" t="s">
        <v>11231</v>
      </c>
      <c r="F196" s="2004" t="s">
        <v>12009</v>
      </c>
      <c r="G196" s="2004"/>
      <c r="H196" s="2004"/>
      <c r="I196" s="2004"/>
      <c r="J196" s="2004"/>
      <c r="K196" s="2004"/>
      <c r="L196" s="2004"/>
      <c r="M196" s="2004"/>
      <c r="N196" s="2004"/>
      <c r="O196" s="2004"/>
      <c r="P196" s="2004" t="s">
        <v>12489</v>
      </c>
      <c r="Q196" s="2004" t="s">
        <v>12785</v>
      </c>
      <c r="R196" s="2004" t="s">
        <v>12798</v>
      </c>
      <c r="S196" s="2004"/>
      <c r="T196" s="2004" t="s">
        <v>766</v>
      </c>
      <c r="U196" s="516" t="s">
        <v>3016</v>
      </c>
      <c r="V196" s="2004"/>
      <c r="W196" s="2004"/>
      <c r="X196" s="2004">
        <v>1825</v>
      </c>
      <c r="Y196" s="2004">
        <v>1825</v>
      </c>
      <c r="Z196" s="2004">
        <v>1825</v>
      </c>
      <c r="AA196" s="2004">
        <v>1825</v>
      </c>
      <c r="AB196" s="2004">
        <v>1825</v>
      </c>
      <c r="AC196" s="2004"/>
      <c r="AD196" s="2004"/>
      <c r="AE196" s="2004">
        <v>2261</v>
      </c>
      <c r="AF196" s="2004">
        <v>2261</v>
      </c>
      <c r="AG196" s="2004">
        <v>2261</v>
      </c>
      <c r="AH196" s="2004">
        <v>2261</v>
      </c>
      <c r="AI196" s="2004">
        <v>2261</v>
      </c>
      <c r="AJ196" s="2004"/>
      <c r="AK196" s="2004"/>
      <c r="AL196" s="2004"/>
      <c r="AM196" s="2004"/>
      <c r="AN196" s="2004"/>
      <c r="AO196" s="2004"/>
      <c r="AP196" s="2004"/>
      <c r="AQ196" s="2004"/>
      <c r="AR196" s="2004">
        <v>1378</v>
      </c>
      <c r="AS196" s="2004">
        <v>1339</v>
      </c>
      <c r="AT196" s="2004"/>
      <c r="AU196" s="2004">
        <v>1228</v>
      </c>
      <c r="AV196" s="2004" t="s">
        <v>2337</v>
      </c>
      <c r="AW196" s="2004">
        <v>942</v>
      </c>
      <c r="AX196" s="2004" t="s">
        <v>2337</v>
      </c>
      <c r="AY196" s="2004">
        <v>911</v>
      </c>
      <c r="AZ196" s="2004" t="s">
        <v>2337</v>
      </c>
      <c r="BA196" s="2004"/>
      <c r="BB196" s="2004" t="s">
        <v>12787</v>
      </c>
    </row>
    <row r="197" spans="1:54">
      <c r="A197" s="2004" t="s">
        <v>12066</v>
      </c>
      <c r="B197" s="2004" t="s">
        <v>9047</v>
      </c>
      <c r="C197" s="2004" t="s">
        <v>9082</v>
      </c>
      <c r="D197" s="2004" t="s">
        <v>9410</v>
      </c>
      <c r="E197" s="2004" t="s">
        <v>12067</v>
      </c>
      <c r="F197" s="2004" t="s">
        <v>12069</v>
      </c>
      <c r="G197" s="2004" t="s">
        <v>9210</v>
      </c>
      <c r="H197" s="2004" t="s">
        <v>9477</v>
      </c>
      <c r="I197" s="2004" t="s">
        <v>9546</v>
      </c>
      <c r="J197" s="2004" t="s">
        <v>2338</v>
      </c>
      <c r="K197" s="2004"/>
      <c r="L197" s="2004"/>
      <c r="M197" s="2004"/>
      <c r="N197" s="2004"/>
      <c r="O197" s="2004" t="s">
        <v>2338</v>
      </c>
      <c r="P197" s="2004" t="s">
        <v>12417</v>
      </c>
      <c r="Q197" s="2004" t="s">
        <v>12069</v>
      </c>
      <c r="R197" s="2004"/>
      <c r="S197" s="2004"/>
      <c r="T197" s="2004" t="s">
        <v>9395</v>
      </c>
      <c r="U197" s="2004" t="s">
        <v>9203</v>
      </c>
      <c r="V197" s="2004"/>
      <c r="W197" s="2004"/>
      <c r="X197" s="2004"/>
      <c r="Y197" s="2004"/>
      <c r="Z197" s="2004"/>
      <c r="AA197" s="2004"/>
      <c r="AB197" s="2004"/>
      <c r="AC197" s="2004"/>
      <c r="AD197" s="2004"/>
      <c r="AE197" s="2004"/>
      <c r="AF197" s="2004"/>
      <c r="AG197" s="2004"/>
      <c r="AH197" s="2004"/>
      <c r="AI197" s="2004"/>
      <c r="AJ197" s="2004"/>
      <c r="AK197" s="2004"/>
      <c r="AL197" s="2004"/>
      <c r="AM197" s="2004"/>
      <c r="AN197" s="2004"/>
      <c r="AO197" s="2004"/>
      <c r="AP197" s="2004"/>
      <c r="AQ197" s="2004"/>
      <c r="AR197" s="2004" t="s">
        <v>2338</v>
      </c>
      <c r="AS197" s="2004" t="s">
        <v>2338</v>
      </c>
      <c r="AT197" s="2004"/>
      <c r="AU197" s="2004" t="s">
        <v>11990</v>
      </c>
      <c r="AV197" s="2004" t="s">
        <v>2335</v>
      </c>
      <c r="AW197" s="2004" t="s">
        <v>2338</v>
      </c>
      <c r="AX197" s="2004" t="s">
        <v>2335</v>
      </c>
      <c r="AY197" s="2004" t="s">
        <v>2338</v>
      </c>
      <c r="AZ197" s="2004" t="s">
        <v>2337</v>
      </c>
      <c r="BA197" s="2004"/>
      <c r="BB197" s="2004" t="s">
        <v>12799</v>
      </c>
    </row>
    <row r="198" spans="1:54">
      <c r="A198" s="2004" t="s">
        <v>12066</v>
      </c>
      <c r="B198" s="2004" t="s">
        <v>9047</v>
      </c>
      <c r="C198" s="2004" t="s">
        <v>9082</v>
      </c>
      <c r="D198" s="2004" t="s">
        <v>9410</v>
      </c>
      <c r="E198" s="2004" t="s">
        <v>12067</v>
      </c>
      <c r="F198" s="2004" t="s">
        <v>12069</v>
      </c>
      <c r="G198" s="2004"/>
      <c r="H198" s="2004"/>
      <c r="I198" s="2004"/>
      <c r="J198" s="2004"/>
      <c r="K198" s="2004"/>
      <c r="L198" s="2004"/>
      <c r="M198" s="2004"/>
      <c r="N198" s="2004"/>
      <c r="O198" s="2004"/>
      <c r="P198" s="2004" t="s">
        <v>12419</v>
      </c>
      <c r="Q198" s="2004" t="s">
        <v>3042</v>
      </c>
      <c r="R198" s="2004" t="s">
        <v>12450</v>
      </c>
      <c r="S198" s="2004"/>
      <c r="T198" s="2004" t="s">
        <v>766</v>
      </c>
      <c r="U198" s="516" t="s">
        <v>3016</v>
      </c>
      <c r="V198" s="2004"/>
      <c r="W198" s="2004"/>
      <c r="X198" s="2004">
        <v>255</v>
      </c>
      <c r="Y198" s="2004">
        <v>255</v>
      </c>
      <c r="Z198" s="2004">
        <v>255</v>
      </c>
      <c r="AA198" s="2004">
        <v>255</v>
      </c>
      <c r="AB198" s="2004">
        <v>255</v>
      </c>
      <c r="AC198" s="2004"/>
      <c r="AD198" s="2004"/>
      <c r="AE198" s="2004">
        <v>369</v>
      </c>
      <c r="AF198" s="2004">
        <v>369</v>
      </c>
      <c r="AG198" s="2004">
        <v>369</v>
      </c>
      <c r="AH198" s="2004">
        <v>369</v>
      </c>
      <c r="AI198" s="2004">
        <v>369</v>
      </c>
      <c r="AJ198" s="2004"/>
      <c r="AK198" s="2004"/>
      <c r="AL198" s="2004"/>
      <c r="AM198" s="2004"/>
      <c r="AN198" s="2004"/>
      <c r="AO198" s="2004"/>
      <c r="AP198" s="2004"/>
      <c r="AQ198" s="2004"/>
      <c r="AR198" s="2004">
        <v>294</v>
      </c>
      <c r="AS198" s="2004">
        <v>261</v>
      </c>
      <c r="AT198" s="2004"/>
      <c r="AU198" s="2004">
        <v>243</v>
      </c>
      <c r="AV198" s="2004" t="s">
        <v>2337</v>
      </c>
      <c r="AW198" s="2004">
        <v>218</v>
      </c>
      <c r="AX198" s="2004" t="s">
        <v>2337</v>
      </c>
      <c r="AY198" s="2004">
        <v>255</v>
      </c>
      <c r="AZ198" s="2004" t="s">
        <v>2337</v>
      </c>
      <c r="BA198" s="2004"/>
      <c r="BB198" s="2004" t="s">
        <v>12800</v>
      </c>
    </row>
    <row r="199" spans="1:54">
      <c r="A199" s="2004" t="s">
        <v>12066</v>
      </c>
      <c r="B199" s="2004" t="s">
        <v>9047</v>
      </c>
      <c r="C199" s="2004" t="s">
        <v>9082</v>
      </c>
      <c r="D199" s="2004" t="s">
        <v>9410</v>
      </c>
      <c r="E199" s="2004" t="s">
        <v>12067</v>
      </c>
      <c r="F199" s="2004" t="s">
        <v>12069</v>
      </c>
      <c r="G199" s="2004"/>
      <c r="H199" s="2004"/>
      <c r="I199" s="2004"/>
      <c r="J199" s="2004"/>
      <c r="K199" s="2004"/>
      <c r="L199" s="2004"/>
      <c r="M199" s="2004"/>
      <c r="N199" s="2004"/>
      <c r="O199" s="2004"/>
      <c r="P199" s="2004" t="s">
        <v>12423</v>
      </c>
      <c r="Q199" s="2004" t="s">
        <v>12801</v>
      </c>
      <c r="R199" s="2004" t="s">
        <v>12448</v>
      </c>
      <c r="S199" s="2004"/>
      <c r="T199" s="2004" t="s">
        <v>766</v>
      </c>
      <c r="U199" s="516" t="s">
        <v>3016</v>
      </c>
      <c r="V199" s="2004"/>
      <c r="W199" s="2004"/>
      <c r="X199" s="2004">
        <v>203</v>
      </c>
      <c r="Y199" s="2004">
        <v>203</v>
      </c>
      <c r="Z199" s="2004">
        <v>203</v>
      </c>
      <c r="AA199" s="2004">
        <v>203</v>
      </c>
      <c r="AB199" s="2004">
        <v>203</v>
      </c>
      <c r="AC199" s="2004"/>
      <c r="AD199" s="2004"/>
      <c r="AE199" s="2004">
        <v>251</v>
      </c>
      <c r="AF199" s="2004">
        <v>251</v>
      </c>
      <c r="AG199" s="2004">
        <v>251</v>
      </c>
      <c r="AH199" s="2004">
        <v>251</v>
      </c>
      <c r="AI199" s="2004">
        <v>251</v>
      </c>
      <c r="AJ199" s="2004"/>
      <c r="AK199" s="2004"/>
      <c r="AL199" s="2004"/>
      <c r="AM199" s="2004"/>
      <c r="AN199" s="2004"/>
      <c r="AO199" s="2004"/>
      <c r="AP199" s="2004"/>
      <c r="AQ199" s="2004"/>
      <c r="AR199" s="2004">
        <v>133</v>
      </c>
      <c r="AS199" s="2004">
        <v>140</v>
      </c>
      <c r="AT199" s="2004"/>
      <c r="AU199" s="2004">
        <v>167</v>
      </c>
      <c r="AV199" s="2004" t="s">
        <v>2337</v>
      </c>
      <c r="AW199" s="2004">
        <v>172</v>
      </c>
      <c r="AX199" s="2004" t="s">
        <v>2337</v>
      </c>
      <c r="AY199" s="2004">
        <v>172</v>
      </c>
      <c r="AZ199" s="2004" t="s">
        <v>2337</v>
      </c>
      <c r="BA199" s="2004"/>
      <c r="BB199" s="2004" t="s">
        <v>12802</v>
      </c>
    </row>
    <row r="200" spans="1:54">
      <c r="A200" s="2004" t="s">
        <v>12066</v>
      </c>
      <c r="B200" s="2004" t="s">
        <v>9047</v>
      </c>
      <c r="C200" s="2004" t="s">
        <v>9082</v>
      </c>
      <c r="D200" s="2004" t="s">
        <v>9410</v>
      </c>
      <c r="E200" s="2004" t="s">
        <v>12067</v>
      </c>
      <c r="F200" s="2004" t="s">
        <v>12069</v>
      </c>
      <c r="G200" s="2004"/>
      <c r="H200" s="2004"/>
      <c r="I200" s="2004"/>
      <c r="J200" s="2004"/>
      <c r="K200" s="2004"/>
      <c r="L200" s="2004"/>
      <c r="M200" s="2004"/>
      <c r="N200" s="2004"/>
      <c r="O200" s="2004"/>
      <c r="P200" s="2004" t="s">
        <v>12430</v>
      </c>
      <c r="Q200" s="2004" t="s">
        <v>12600</v>
      </c>
      <c r="R200" s="2004" t="s">
        <v>12453</v>
      </c>
      <c r="S200" s="2004"/>
      <c r="T200" s="2004" t="s">
        <v>766</v>
      </c>
      <c r="U200" s="516" t="s">
        <v>3016</v>
      </c>
      <c r="V200" s="2004"/>
      <c r="W200" s="2004"/>
      <c r="X200" s="2004">
        <v>302</v>
      </c>
      <c r="Y200" s="2004">
        <v>302</v>
      </c>
      <c r="Z200" s="2004">
        <v>302</v>
      </c>
      <c r="AA200" s="2004">
        <v>302</v>
      </c>
      <c r="AB200" s="2004">
        <v>302</v>
      </c>
      <c r="AC200" s="2004"/>
      <c r="AD200" s="2004"/>
      <c r="AE200" s="2004">
        <v>379</v>
      </c>
      <c r="AF200" s="2004">
        <v>379</v>
      </c>
      <c r="AG200" s="2004">
        <v>379</v>
      </c>
      <c r="AH200" s="2004">
        <v>379</v>
      </c>
      <c r="AI200" s="2004">
        <v>379</v>
      </c>
      <c r="AJ200" s="2004"/>
      <c r="AK200" s="2004"/>
      <c r="AL200" s="2004"/>
      <c r="AM200" s="2004"/>
      <c r="AN200" s="2004"/>
      <c r="AO200" s="2004"/>
      <c r="AP200" s="2004"/>
      <c r="AQ200" s="2004"/>
      <c r="AR200" s="2004">
        <v>292</v>
      </c>
      <c r="AS200" s="2004">
        <v>346</v>
      </c>
      <c r="AT200" s="2004"/>
      <c r="AU200" s="2004">
        <v>372</v>
      </c>
      <c r="AV200" s="2004" t="s">
        <v>2334</v>
      </c>
      <c r="AW200" s="2004">
        <v>387</v>
      </c>
      <c r="AX200" s="2004" t="s">
        <v>2334</v>
      </c>
      <c r="AY200" s="2004">
        <v>393</v>
      </c>
      <c r="AZ200" s="2004" t="s">
        <v>2334</v>
      </c>
      <c r="BA200" s="2004"/>
      <c r="BB200" s="2004" t="s">
        <v>12803</v>
      </c>
    </row>
    <row r="201" spans="1:54">
      <c r="A201" s="2004" t="s">
        <v>12066</v>
      </c>
      <c r="B201" s="2004" t="s">
        <v>9047</v>
      </c>
      <c r="C201" s="2004" t="s">
        <v>9082</v>
      </c>
      <c r="D201" s="2004" t="s">
        <v>9410</v>
      </c>
      <c r="E201" s="2004" t="s">
        <v>12067</v>
      </c>
      <c r="F201" s="2004" t="s">
        <v>12069</v>
      </c>
      <c r="G201" s="2004"/>
      <c r="H201" s="2004"/>
      <c r="I201" s="2004"/>
      <c r="J201" s="2004"/>
      <c r="K201" s="2004"/>
      <c r="L201" s="2004"/>
      <c r="M201" s="2004"/>
      <c r="N201" s="2004"/>
      <c r="O201" s="2004"/>
      <c r="P201" s="2004" t="s">
        <v>12434</v>
      </c>
      <c r="Q201" s="2004" t="s">
        <v>12804</v>
      </c>
      <c r="R201" s="2004" t="s">
        <v>12453</v>
      </c>
      <c r="S201" s="2004"/>
      <c r="T201" s="2004" t="s">
        <v>766</v>
      </c>
      <c r="U201" s="516" t="s">
        <v>3016</v>
      </c>
      <c r="V201" s="2004"/>
      <c r="W201" s="2004"/>
      <c r="X201" s="2004">
        <v>72</v>
      </c>
      <c r="Y201" s="2004">
        <v>72</v>
      </c>
      <c r="Z201" s="2004">
        <v>72</v>
      </c>
      <c r="AA201" s="2004">
        <v>72</v>
      </c>
      <c r="AB201" s="2004">
        <v>72</v>
      </c>
      <c r="AC201" s="2004"/>
      <c r="AD201" s="2004"/>
      <c r="AE201" s="2004">
        <v>110</v>
      </c>
      <c r="AF201" s="2004">
        <v>110</v>
      </c>
      <c r="AG201" s="2004">
        <v>110</v>
      </c>
      <c r="AH201" s="2004">
        <v>110</v>
      </c>
      <c r="AI201" s="2004">
        <v>110</v>
      </c>
      <c r="AJ201" s="2004"/>
      <c r="AK201" s="2004"/>
      <c r="AL201" s="2004"/>
      <c r="AM201" s="2004"/>
      <c r="AN201" s="2004"/>
      <c r="AO201" s="2004"/>
      <c r="AP201" s="2004"/>
      <c r="AQ201" s="2004"/>
      <c r="AR201" s="2004">
        <v>113</v>
      </c>
      <c r="AS201" s="2004">
        <v>50</v>
      </c>
      <c r="AT201" s="2004"/>
      <c r="AU201" s="2004">
        <v>33</v>
      </c>
      <c r="AV201" s="2004" t="s">
        <v>2337</v>
      </c>
      <c r="AW201" s="2004">
        <v>12</v>
      </c>
      <c r="AX201" s="2004" t="s">
        <v>2337</v>
      </c>
      <c r="AY201" s="2004">
        <v>8</v>
      </c>
      <c r="AZ201" s="2004" t="s">
        <v>2337</v>
      </c>
      <c r="BA201" s="2004"/>
      <c r="BB201" s="2004" t="s">
        <v>12805</v>
      </c>
    </row>
    <row r="202" spans="1:54">
      <c r="A202" s="2004" t="s">
        <v>12066</v>
      </c>
      <c r="B202" s="2004" t="s">
        <v>9047</v>
      </c>
      <c r="C202" s="2004" t="s">
        <v>9082</v>
      </c>
      <c r="D202" s="2004" t="s">
        <v>9410</v>
      </c>
      <c r="E202" s="2004" t="s">
        <v>12067</v>
      </c>
      <c r="F202" s="2004" t="s">
        <v>12069</v>
      </c>
      <c r="G202" s="2004"/>
      <c r="H202" s="2004"/>
      <c r="I202" s="2004"/>
      <c r="J202" s="2004"/>
      <c r="K202" s="2004"/>
      <c r="L202" s="2004"/>
      <c r="M202" s="2004"/>
      <c r="N202" s="2004"/>
      <c r="O202" s="2004"/>
      <c r="P202" s="2004" t="s">
        <v>12486</v>
      </c>
      <c r="Q202" s="2004" t="s">
        <v>12455</v>
      </c>
      <c r="R202" s="2004" t="s">
        <v>12455</v>
      </c>
      <c r="S202" s="2004"/>
      <c r="T202" s="2004" t="s">
        <v>766</v>
      </c>
      <c r="U202" s="516" t="s">
        <v>3016</v>
      </c>
      <c r="V202" s="2004"/>
      <c r="W202" s="2004"/>
      <c r="X202" s="2004">
        <v>20695</v>
      </c>
      <c r="Y202" s="2004">
        <v>20695</v>
      </c>
      <c r="Z202" s="2004">
        <v>20695</v>
      </c>
      <c r="AA202" s="2004">
        <v>20695</v>
      </c>
      <c r="AB202" s="2004">
        <v>20695</v>
      </c>
      <c r="AC202" s="2004"/>
      <c r="AD202" s="2004"/>
      <c r="AE202" s="2004">
        <v>22936</v>
      </c>
      <c r="AF202" s="2004">
        <v>22936</v>
      </c>
      <c r="AG202" s="2004">
        <v>22936</v>
      </c>
      <c r="AH202" s="2004">
        <v>22936</v>
      </c>
      <c r="AI202" s="2004">
        <v>22936</v>
      </c>
      <c r="AJ202" s="2004"/>
      <c r="AK202" s="2004"/>
      <c r="AL202" s="2004"/>
      <c r="AM202" s="2004"/>
      <c r="AN202" s="2004"/>
      <c r="AO202" s="2004"/>
      <c r="AP202" s="2004"/>
      <c r="AQ202" s="2004"/>
      <c r="AR202" s="2004">
        <v>18337</v>
      </c>
      <c r="AS202" s="2004">
        <v>19423</v>
      </c>
      <c r="AT202" s="2004"/>
      <c r="AU202" s="2004">
        <v>17398</v>
      </c>
      <c r="AV202" s="2004" t="s">
        <v>2337</v>
      </c>
      <c r="AW202" s="2004">
        <v>14917</v>
      </c>
      <c r="AX202" s="2004" t="s">
        <v>2337</v>
      </c>
      <c r="AY202" s="2004">
        <v>16860</v>
      </c>
      <c r="AZ202" s="2004" t="s">
        <v>2337</v>
      </c>
      <c r="BA202" s="2004"/>
      <c r="BB202" s="2004" t="s">
        <v>12806</v>
      </c>
    </row>
    <row r="203" spans="1:54">
      <c r="A203" s="2004" t="s">
        <v>12066</v>
      </c>
      <c r="B203" s="2004" t="s">
        <v>9047</v>
      </c>
      <c r="C203" s="2004" t="s">
        <v>9082</v>
      </c>
      <c r="D203" s="2004" t="s">
        <v>9410</v>
      </c>
      <c r="E203" s="2004" t="s">
        <v>12067</v>
      </c>
      <c r="F203" s="2004" t="s">
        <v>12069</v>
      </c>
      <c r="G203" s="2004"/>
      <c r="H203" s="2004"/>
      <c r="I203" s="2004"/>
      <c r="J203" s="2004"/>
      <c r="K203" s="2004"/>
      <c r="L203" s="2004"/>
      <c r="M203" s="2004"/>
      <c r="N203" s="2004"/>
      <c r="O203" s="2004"/>
      <c r="P203" s="2004" t="s">
        <v>12489</v>
      </c>
      <c r="Q203" s="2004" t="s">
        <v>12785</v>
      </c>
      <c r="R203" s="2004" t="s">
        <v>12606</v>
      </c>
      <c r="S203" s="2004"/>
      <c r="T203" s="2004" t="s">
        <v>766</v>
      </c>
      <c r="U203" s="516" t="s">
        <v>3016</v>
      </c>
      <c r="V203" s="2004"/>
      <c r="W203" s="2004"/>
      <c r="X203" s="2004">
        <v>5869</v>
      </c>
      <c r="Y203" s="2004">
        <v>5869</v>
      </c>
      <c r="Z203" s="2004">
        <v>5869</v>
      </c>
      <c r="AA203" s="2004">
        <v>5869</v>
      </c>
      <c r="AB203" s="2004">
        <v>5869</v>
      </c>
      <c r="AC203" s="2004"/>
      <c r="AD203" s="2004"/>
      <c r="AE203" s="2004">
        <v>7282</v>
      </c>
      <c r="AF203" s="2004">
        <v>7282</v>
      </c>
      <c r="AG203" s="2004">
        <v>7282</v>
      </c>
      <c r="AH203" s="2004">
        <v>7282</v>
      </c>
      <c r="AI203" s="2004">
        <v>7282</v>
      </c>
      <c r="AJ203" s="2004"/>
      <c r="AK203" s="2004"/>
      <c r="AL203" s="2004"/>
      <c r="AM203" s="2004"/>
      <c r="AN203" s="2004"/>
      <c r="AO203" s="2004"/>
      <c r="AP203" s="2004"/>
      <c r="AQ203" s="2004"/>
      <c r="AR203" s="2004">
        <v>3591</v>
      </c>
      <c r="AS203" s="2004">
        <v>3364</v>
      </c>
      <c r="AT203" s="2004"/>
      <c r="AU203" s="2004">
        <v>3695</v>
      </c>
      <c r="AV203" s="2004" t="s">
        <v>2337</v>
      </c>
      <c r="AW203" s="2004">
        <v>3400</v>
      </c>
      <c r="AX203" s="2004" t="s">
        <v>2337</v>
      </c>
      <c r="AY203" s="2004">
        <v>3537</v>
      </c>
      <c r="AZ203" s="2004" t="s">
        <v>2337</v>
      </c>
      <c r="BA203" s="2004"/>
      <c r="BB203" s="2004" t="s">
        <v>12787</v>
      </c>
    </row>
    <row r="204" spans="1:54">
      <c r="A204" s="2004" t="s">
        <v>12076</v>
      </c>
      <c r="B204" s="2004" t="s">
        <v>9047</v>
      </c>
      <c r="C204" s="2004" t="s">
        <v>9082</v>
      </c>
      <c r="D204" s="2004" t="s">
        <v>9410</v>
      </c>
      <c r="E204" s="2004" t="s">
        <v>11320</v>
      </c>
      <c r="F204" s="2004" t="s">
        <v>12078</v>
      </c>
      <c r="G204" s="2004" t="s">
        <v>9210</v>
      </c>
      <c r="H204" s="2004" t="s">
        <v>9477</v>
      </c>
      <c r="I204" s="2004" t="s">
        <v>9546</v>
      </c>
      <c r="J204" s="2004" t="s">
        <v>2338</v>
      </c>
      <c r="K204" s="2004"/>
      <c r="L204" s="2004"/>
      <c r="M204" s="2004"/>
      <c r="N204" s="2004"/>
      <c r="O204" s="2004" t="s">
        <v>2338</v>
      </c>
      <c r="P204" s="2004" t="s">
        <v>12417</v>
      </c>
      <c r="Q204" s="2004" t="s">
        <v>12078</v>
      </c>
      <c r="R204" s="2004"/>
      <c r="S204" s="2004"/>
      <c r="T204" s="2004" t="s">
        <v>9395</v>
      </c>
      <c r="U204" s="2004" t="s">
        <v>9203</v>
      </c>
      <c r="V204" s="2004"/>
      <c r="W204" s="2004"/>
      <c r="X204" s="2004"/>
      <c r="Y204" s="2004"/>
      <c r="Z204" s="2004"/>
      <c r="AA204" s="2004"/>
      <c r="AB204" s="2004"/>
      <c r="AC204" s="2004"/>
      <c r="AD204" s="2004"/>
      <c r="AE204" s="2004"/>
      <c r="AF204" s="2004"/>
      <c r="AG204" s="2004"/>
      <c r="AH204" s="2004"/>
      <c r="AI204" s="2004"/>
      <c r="AJ204" s="2004"/>
      <c r="AK204" s="2004"/>
      <c r="AL204" s="2004"/>
      <c r="AM204" s="2004"/>
      <c r="AN204" s="2004"/>
      <c r="AO204" s="2004"/>
      <c r="AP204" s="2004"/>
      <c r="AQ204" s="2004"/>
      <c r="AR204" s="2004" t="s">
        <v>2338</v>
      </c>
      <c r="AS204" s="2004" t="s">
        <v>2338</v>
      </c>
      <c r="AT204" s="2004"/>
      <c r="AU204" s="2004" t="s">
        <v>11990</v>
      </c>
      <c r="AV204" s="2004" t="s">
        <v>2335</v>
      </c>
      <c r="AW204" s="2004" t="s">
        <v>2338</v>
      </c>
      <c r="AX204" s="2004" t="s">
        <v>2335</v>
      </c>
      <c r="AY204" s="2004" t="s">
        <v>2338</v>
      </c>
      <c r="AZ204" s="2004" t="s">
        <v>2337</v>
      </c>
      <c r="BA204" s="2004"/>
      <c r="BB204" s="2004" t="s">
        <v>12807</v>
      </c>
    </row>
    <row r="205" spans="1:54">
      <c r="A205" s="2004" t="s">
        <v>12076</v>
      </c>
      <c r="B205" s="2004" t="s">
        <v>9047</v>
      </c>
      <c r="C205" s="2004" t="s">
        <v>9082</v>
      </c>
      <c r="D205" s="2004" t="s">
        <v>9410</v>
      </c>
      <c r="E205" s="2004" t="s">
        <v>11320</v>
      </c>
      <c r="F205" s="2004" t="s">
        <v>12078</v>
      </c>
      <c r="G205" s="2004"/>
      <c r="H205" s="2004"/>
      <c r="I205" s="2004"/>
      <c r="J205" s="2004"/>
      <c r="K205" s="2004"/>
      <c r="L205" s="2004"/>
      <c r="M205" s="2004"/>
      <c r="N205" s="2004"/>
      <c r="O205" s="2004"/>
      <c r="P205" s="2004" t="s">
        <v>12419</v>
      </c>
      <c r="Q205" s="2004" t="s">
        <v>12808</v>
      </c>
      <c r="R205" s="2004" t="s">
        <v>12462</v>
      </c>
      <c r="S205" s="2004"/>
      <c r="T205" s="2004" t="s">
        <v>766</v>
      </c>
      <c r="U205" s="516" t="s">
        <v>3016</v>
      </c>
      <c r="V205" s="2004"/>
      <c r="W205" s="2004"/>
      <c r="X205" s="2004">
        <v>0</v>
      </c>
      <c r="Y205" s="2004">
        <v>0</v>
      </c>
      <c r="Z205" s="2004">
        <v>0</v>
      </c>
      <c r="AA205" s="2004">
        <v>0</v>
      </c>
      <c r="AB205" s="2004">
        <v>0</v>
      </c>
      <c r="AC205" s="2004"/>
      <c r="AD205" s="2004"/>
      <c r="AE205" s="2004">
        <v>8</v>
      </c>
      <c r="AF205" s="2004">
        <v>8</v>
      </c>
      <c r="AG205" s="2004">
        <v>8</v>
      </c>
      <c r="AH205" s="2004">
        <v>8</v>
      </c>
      <c r="AI205" s="2004">
        <v>8</v>
      </c>
      <c r="AJ205" s="2004"/>
      <c r="AK205" s="2004"/>
      <c r="AL205" s="2004"/>
      <c r="AM205" s="2004"/>
      <c r="AN205" s="2004"/>
      <c r="AO205" s="2004"/>
      <c r="AP205" s="2004"/>
      <c r="AQ205" s="2004"/>
      <c r="AR205" s="2004">
        <v>2</v>
      </c>
      <c r="AS205" s="2004">
        <v>2</v>
      </c>
      <c r="AT205" s="2004"/>
      <c r="AU205" s="2004">
        <v>7</v>
      </c>
      <c r="AV205" s="2004" t="s">
        <v>2334</v>
      </c>
      <c r="AW205" s="2004">
        <v>5</v>
      </c>
      <c r="AX205" s="2004" t="s">
        <v>2334</v>
      </c>
      <c r="AY205" s="2004">
        <v>6</v>
      </c>
      <c r="AZ205" s="2004" t="s">
        <v>2334</v>
      </c>
      <c r="BA205" s="2004"/>
      <c r="BB205" s="2004" t="s">
        <v>12809</v>
      </c>
    </row>
    <row r="206" spans="1:54">
      <c r="A206" s="2004" t="s">
        <v>12076</v>
      </c>
      <c r="B206" s="2004" t="s">
        <v>9047</v>
      </c>
      <c r="C206" s="2004" t="s">
        <v>9082</v>
      </c>
      <c r="D206" s="2004" t="s">
        <v>9410</v>
      </c>
      <c r="E206" s="2004" t="s">
        <v>11320</v>
      </c>
      <c r="F206" s="2004" t="s">
        <v>12078</v>
      </c>
      <c r="G206" s="2004"/>
      <c r="H206" s="2004"/>
      <c r="I206" s="2004"/>
      <c r="J206" s="2004"/>
      <c r="K206" s="2004"/>
      <c r="L206" s="2004"/>
      <c r="M206" s="2004"/>
      <c r="N206" s="2004"/>
      <c r="O206" s="2004"/>
      <c r="P206" s="2004" t="s">
        <v>12423</v>
      </c>
      <c r="Q206" s="2004" t="s">
        <v>12810</v>
      </c>
      <c r="R206" s="2004" t="s">
        <v>12459</v>
      </c>
      <c r="S206" s="2004"/>
      <c r="T206" s="2004" t="s">
        <v>734</v>
      </c>
      <c r="U206" s="2004">
        <v>1</v>
      </c>
      <c r="V206" s="2004"/>
      <c r="W206" s="2004"/>
      <c r="X206" s="2004">
        <v>0</v>
      </c>
      <c r="Y206" s="2004">
        <v>0</v>
      </c>
      <c r="Z206" s="2004">
        <v>0</v>
      </c>
      <c r="AA206" s="2004">
        <v>0</v>
      </c>
      <c r="AB206" s="2004">
        <v>0</v>
      </c>
      <c r="AC206" s="2004"/>
      <c r="AD206" s="2004"/>
      <c r="AE206" s="2004">
        <v>0.6</v>
      </c>
      <c r="AF206" s="2004">
        <v>0.6</v>
      </c>
      <c r="AG206" s="2004">
        <v>0.6</v>
      </c>
      <c r="AH206" s="2004">
        <v>0.6</v>
      </c>
      <c r="AI206" s="2004">
        <v>0.6</v>
      </c>
      <c r="AJ206" s="2004"/>
      <c r="AK206" s="2004"/>
      <c r="AL206" s="2004"/>
      <c r="AM206" s="2004"/>
      <c r="AN206" s="2004"/>
      <c r="AO206" s="2004"/>
      <c r="AP206" s="2004"/>
      <c r="AQ206" s="2004"/>
      <c r="AR206" s="2004">
        <v>0</v>
      </c>
      <c r="AS206" s="2004">
        <v>0</v>
      </c>
      <c r="AT206" s="2004"/>
      <c r="AU206" s="2004">
        <v>0.7</v>
      </c>
      <c r="AV206" s="2004" t="s">
        <v>2334</v>
      </c>
      <c r="AW206" s="2004">
        <v>0.01</v>
      </c>
      <c r="AX206" s="2004" t="s">
        <v>2337</v>
      </c>
      <c r="AY206" s="2004">
        <v>0</v>
      </c>
      <c r="AZ206" s="2004" t="s">
        <v>2337</v>
      </c>
      <c r="BA206" s="2004"/>
      <c r="BB206" s="2004" t="s">
        <v>12811</v>
      </c>
    </row>
    <row r="207" spans="1:54">
      <c r="A207" s="2004" t="s">
        <v>12076</v>
      </c>
      <c r="B207" s="2004" t="s">
        <v>9047</v>
      </c>
      <c r="C207" s="2004" t="s">
        <v>9082</v>
      </c>
      <c r="D207" s="2004" t="s">
        <v>9410</v>
      </c>
      <c r="E207" s="2004" t="s">
        <v>11320</v>
      </c>
      <c r="F207" s="2004" t="s">
        <v>12078</v>
      </c>
      <c r="G207" s="2004"/>
      <c r="H207" s="2004"/>
      <c r="I207" s="2004"/>
      <c r="J207" s="2004"/>
      <c r="K207" s="2004"/>
      <c r="L207" s="2004"/>
      <c r="M207" s="2004"/>
      <c r="N207" s="2004"/>
      <c r="O207" s="2004"/>
      <c r="P207" s="2004" t="s">
        <v>12430</v>
      </c>
      <c r="Q207" s="2004" t="s">
        <v>12785</v>
      </c>
      <c r="R207" s="2004" t="s">
        <v>12812</v>
      </c>
      <c r="S207" s="2004"/>
      <c r="T207" s="2004" t="s">
        <v>766</v>
      </c>
      <c r="U207" s="516" t="s">
        <v>3016</v>
      </c>
      <c r="V207" s="2004"/>
      <c r="W207" s="2004"/>
      <c r="X207" s="2004">
        <v>15651</v>
      </c>
      <c r="Y207" s="2004">
        <v>15651</v>
      </c>
      <c r="Z207" s="2004">
        <v>15651</v>
      </c>
      <c r="AA207" s="2004">
        <v>15651</v>
      </c>
      <c r="AB207" s="2004">
        <v>15651</v>
      </c>
      <c r="AC207" s="2004"/>
      <c r="AD207" s="2004"/>
      <c r="AE207" s="2004">
        <v>20848</v>
      </c>
      <c r="AF207" s="2004">
        <v>20848</v>
      </c>
      <c r="AG207" s="2004">
        <v>20848</v>
      </c>
      <c r="AH207" s="2004">
        <v>20848</v>
      </c>
      <c r="AI207" s="2004">
        <v>20848</v>
      </c>
      <c r="AJ207" s="2004"/>
      <c r="AK207" s="2004"/>
      <c r="AL207" s="2004"/>
      <c r="AM207" s="2004"/>
      <c r="AN207" s="2004"/>
      <c r="AO207" s="2004"/>
      <c r="AP207" s="2004"/>
      <c r="AQ207" s="2004"/>
      <c r="AR207" s="2004">
        <v>11183</v>
      </c>
      <c r="AS207" s="2004">
        <v>12115</v>
      </c>
      <c r="AT207" s="2004"/>
      <c r="AU207" s="2004">
        <v>11564</v>
      </c>
      <c r="AV207" s="2004" t="s">
        <v>2337</v>
      </c>
      <c r="AW207" s="2004">
        <v>10884</v>
      </c>
      <c r="AX207" s="2004" t="s">
        <v>2337</v>
      </c>
      <c r="AY207" s="2004">
        <v>10035</v>
      </c>
      <c r="AZ207" s="2004" t="s">
        <v>2337</v>
      </c>
      <c r="BA207" s="2004"/>
      <c r="BB207" s="2004" t="s">
        <v>12787</v>
      </c>
    </row>
    <row r="208" spans="1:54">
      <c r="A208" s="2004" t="s">
        <v>12230</v>
      </c>
      <c r="B208" s="2004" t="s">
        <v>9047</v>
      </c>
      <c r="C208" s="2004" t="s">
        <v>9112</v>
      </c>
      <c r="D208" s="2004" t="s">
        <v>9410</v>
      </c>
      <c r="E208" s="2004" t="s">
        <v>9447</v>
      </c>
      <c r="F208" s="2004" t="s">
        <v>10909</v>
      </c>
      <c r="G208" s="2004" t="s">
        <v>9210</v>
      </c>
      <c r="H208" s="2004" t="s">
        <v>9364</v>
      </c>
      <c r="I208" s="2004" t="s">
        <v>10558</v>
      </c>
      <c r="J208" s="2004" t="s">
        <v>2338</v>
      </c>
      <c r="K208" s="2004">
        <v>100</v>
      </c>
      <c r="L208" s="2004">
        <v>100</v>
      </c>
      <c r="M208" s="2004">
        <v>100</v>
      </c>
      <c r="N208" s="2004">
        <v>100</v>
      </c>
      <c r="O208" s="2004">
        <v>100</v>
      </c>
      <c r="P208" s="2004" t="s">
        <v>12417</v>
      </c>
      <c r="Q208" s="2004" t="s">
        <v>10909</v>
      </c>
      <c r="R208" s="2004"/>
      <c r="S208" s="2004"/>
      <c r="T208" s="2004" t="s">
        <v>734</v>
      </c>
      <c r="U208" s="2004">
        <v>2</v>
      </c>
      <c r="V208" s="2004"/>
      <c r="W208" s="2004"/>
      <c r="X208" s="2004"/>
      <c r="Y208" s="2004"/>
      <c r="Z208" s="2004"/>
      <c r="AA208" s="2004"/>
      <c r="AB208" s="2004"/>
      <c r="AC208" s="2004"/>
      <c r="AD208" s="2004"/>
      <c r="AE208" s="2004"/>
      <c r="AF208" s="2004"/>
      <c r="AG208" s="2004"/>
      <c r="AH208" s="2004"/>
      <c r="AI208" s="2004"/>
      <c r="AJ208" s="2004"/>
      <c r="AK208" s="2004"/>
      <c r="AL208" s="2004"/>
      <c r="AM208" s="2004"/>
      <c r="AN208" s="2004"/>
      <c r="AO208" s="2004"/>
      <c r="AP208" s="2004"/>
      <c r="AQ208" s="2004"/>
      <c r="AR208" s="2004"/>
      <c r="AS208" s="2004"/>
      <c r="AT208" s="2004"/>
      <c r="AU208" s="2004" t="s">
        <v>2335</v>
      </c>
      <c r="AV208" s="2004"/>
      <c r="AW208" s="2004" t="s">
        <v>2335</v>
      </c>
      <c r="AY208" s="2961">
        <v>97.694825362658506</v>
      </c>
      <c r="AZ208" s="2004" t="s">
        <v>2334</v>
      </c>
      <c r="BA208" s="2004"/>
      <c r="BB208" s="2004" t="s">
        <v>12231</v>
      </c>
    </row>
    <row r="209" spans="1:60">
      <c r="A209" s="2004" t="s">
        <v>12230</v>
      </c>
      <c r="B209" s="2004" t="s">
        <v>9047</v>
      </c>
      <c r="C209" s="2004" t="s">
        <v>9112</v>
      </c>
      <c r="D209" s="2004" t="s">
        <v>9410</v>
      </c>
      <c r="E209" s="2004" t="s">
        <v>9447</v>
      </c>
      <c r="F209" s="2004" t="s">
        <v>10909</v>
      </c>
      <c r="G209" s="2004"/>
      <c r="H209" s="2004"/>
      <c r="I209" s="2004"/>
      <c r="J209" s="2004"/>
      <c r="K209" s="2004"/>
      <c r="L209" s="2004"/>
      <c r="M209" s="2004"/>
      <c r="N209" s="2004"/>
      <c r="O209" s="2004"/>
      <c r="P209" s="2004" t="s">
        <v>12419</v>
      </c>
      <c r="Q209" s="2004" t="s">
        <v>12554</v>
      </c>
      <c r="R209" s="2004" t="s">
        <v>12462</v>
      </c>
      <c r="S209" s="2004">
        <v>0.25</v>
      </c>
      <c r="T209" s="2004" t="s">
        <v>734</v>
      </c>
      <c r="U209" s="2004">
        <v>2</v>
      </c>
      <c r="V209" s="2004"/>
      <c r="W209" s="2004"/>
      <c r="X209" s="2004"/>
      <c r="Y209" s="2004"/>
      <c r="Z209" s="2004"/>
      <c r="AA209" s="2004"/>
      <c r="AB209" s="2004"/>
      <c r="AC209" s="2004"/>
      <c r="AD209" s="2004"/>
      <c r="AE209" s="2004"/>
      <c r="AF209" s="2004"/>
      <c r="AG209" s="2004"/>
      <c r="AH209" s="2004"/>
      <c r="AI209" s="2004"/>
      <c r="AJ209" s="2004"/>
      <c r="AK209" s="2004"/>
      <c r="AL209" s="2004"/>
      <c r="AM209" s="2004"/>
      <c r="AN209" s="2004"/>
      <c r="AO209" s="2004"/>
      <c r="AP209" s="2004"/>
      <c r="AQ209" s="2004"/>
      <c r="AR209" s="2004"/>
      <c r="AS209" s="2004"/>
      <c r="AT209" s="2004"/>
      <c r="AU209" s="2004" t="s">
        <v>2335</v>
      </c>
      <c r="AV209" s="2004"/>
      <c r="AW209" s="2004" t="s">
        <v>2335</v>
      </c>
      <c r="AY209" s="2961">
        <v>98.565279770444761</v>
      </c>
      <c r="AZ209" s="2004" t="s">
        <v>2334</v>
      </c>
      <c r="BA209" s="2004"/>
      <c r="BB209" s="2004" t="s">
        <v>12813</v>
      </c>
      <c r="BC209" s="2004"/>
      <c r="BD209" s="2004"/>
      <c r="BE209" s="2004"/>
      <c r="BF209" s="2004"/>
      <c r="BG209" s="2004"/>
      <c r="BH209" s="2004"/>
    </row>
    <row r="210" spans="1:60">
      <c r="A210" s="2004" t="s">
        <v>12230</v>
      </c>
      <c r="B210" s="2004" t="s">
        <v>9047</v>
      </c>
      <c r="C210" s="2004" t="s">
        <v>9112</v>
      </c>
      <c r="D210" s="2004" t="s">
        <v>9410</v>
      </c>
      <c r="E210" s="2004" t="s">
        <v>9447</v>
      </c>
      <c r="F210" s="2004" t="s">
        <v>10909</v>
      </c>
      <c r="G210" s="2004"/>
      <c r="H210" s="2004"/>
      <c r="I210" s="2004"/>
      <c r="J210" s="2004"/>
      <c r="K210" s="2004"/>
      <c r="L210" s="2004"/>
      <c r="M210" s="2004"/>
      <c r="N210" s="2004"/>
      <c r="O210" s="2004"/>
      <c r="P210" s="2004" t="s">
        <v>12423</v>
      </c>
      <c r="Q210" s="2004" t="s">
        <v>12556</v>
      </c>
      <c r="R210" s="2004" t="s">
        <v>12557</v>
      </c>
      <c r="S210" s="2004">
        <v>0.25</v>
      </c>
      <c r="T210" s="2004" t="s">
        <v>734</v>
      </c>
      <c r="U210" s="2004">
        <v>2</v>
      </c>
      <c r="V210" s="2004"/>
      <c r="W210" s="2004"/>
      <c r="X210" s="2004"/>
      <c r="Y210" s="2004"/>
      <c r="Z210" s="2004"/>
      <c r="AA210" s="2004"/>
      <c r="AB210" s="2004"/>
      <c r="AC210" s="2004"/>
      <c r="AD210" s="2004"/>
      <c r="AE210" s="2004"/>
      <c r="AF210" s="2004"/>
      <c r="AG210" s="2004"/>
      <c r="AH210" s="2004"/>
      <c r="AI210" s="2004"/>
      <c r="AJ210" s="2004"/>
      <c r="AK210" s="2004"/>
      <c r="AL210" s="2004"/>
      <c r="AM210" s="2004"/>
      <c r="AN210" s="2004"/>
      <c r="AO210" s="2004"/>
      <c r="AP210" s="2004"/>
      <c r="AQ210" s="2004"/>
      <c r="AR210" s="2004"/>
      <c r="AS210" s="2004"/>
      <c r="AT210" s="2004"/>
      <c r="AU210" s="2004" t="s">
        <v>2335</v>
      </c>
      <c r="AV210" s="2004"/>
      <c r="AW210" s="2004" t="s">
        <v>2335</v>
      </c>
      <c r="AY210" s="2961">
        <v>96.843615494978479</v>
      </c>
      <c r="AZ210" s="2004" t="s">
        <v>2334</v>
      </c>
      <c r="BA210" s="2004"/>
      <c r="BB210" s="2004" t="s">
        <v>12814</v>
      </c>
      <c r="BC210" s="2004"/>
      <c r="BD210" s="2004"/>
      <c r="BE210" s="2004"/>
      <c r="BF210" s="2004"/>
      <c r="BG210" s="2004"/>
      <c r="BH210" s="2004"/>
    </row>
    <row r="211" spans="1:60">
      <c r="A211" s="2004" t="s">
        <v>12230</v>
      </c>
      <c r="B211" s="2004" t="s">
        <v>9047</v>
      </c>
      <c r="C211" s="2004" t="s">
        <v>9112</v>
      </c>
      <c r="D211" s="2004" t="s">
        <v>9410</v>
      </c>
      <c r="E211" s="2004" t="s">
        <v>9447</v>
      </c>
      <c r="F211" s="2004" t="s">
        <v>10909</v>
      </c>
      <c r="G211" s="2004"/>
      <c r="H211" s="2004"/>
      <c r="I211" s="2004"/>
      <c r="J211" s="2004"/>
      <c r="K211" s="2004"/>
      <c r="L211" s="2004"/>
      <c r="M211" s="2004"/>
      <c r="N211" s="2004"/>
      <c r="O211" s="2004"/>
      <c r="P211" s="2004" t="s">
        <v>12430</v>
      </c>
      <c r="Q211" s="2004" t="s">
        <v>12559</v>
      </c>
      <c r="R211" s="2004" t="s">
        <v>12560</v>
      </c>
      <c r="S211" s="2004">
        <v>0.25</v>
      </c>
      <c r="T211" s="2004" t="s">
        <v>734</v>
      </c>
      <c r="U211" s="2004">
        <v>2</v>
      </c>
      <c r="V211" s="2004"/>
      <c r="W211" s="2004"/>
      <c r="X211" s="2004"/>
      <c r="Y211" s="2004"/>
      <c r="Z211" s="2004"/>
      <c r="AA211" s="2004"/>
      <c r="AB211" s="2004"/>
      <c r="AC211" s="2004"/>
      <c r="AD211" s="2004"/>
      <c r="AE211" s="2004"/>
      <c r="AF211" s="2004"/>
      <c r="AG211" s="2004"/>
      <c r="AH211" s="2004"/>
      <c r="AI211" s="2004"/>
      <c r="AJ211" s="2004"/>
      <c r="AK211" s="2004"/>
      <c r="AL211" s="2004"/>
      <c r="AM211" s="2004"/>
      <c r="AN211" s="2004"/>
      <c r="AO211" s="2004"/>
      <c r="AP211" s="2004"/>
      <c r="AQ211" s="2004"/>
      <c r="AR211" s="2004"/>
      <c r="AS211" s="2004"/>
      <c r="AT211" s="2004"/>
      <c r="AU211" s="2004" t="s">
        <v>2335</v>
      </c>
      <c r="AV211" s="2004"/>
      <c r="AW211" s="2004" t="s">
        <v>2335</v>
      </c>
      <c r="AY211" s="2961">
        <v>95.414462081128747</v>
      </c>
      <c r="AZ211" s="2004" t="s">
        <v>2334</v>
      </c>
      <c r="BA211" s="2004"/>
      <c r="BB211" s="2004" t="s">
        <v>12815</v>
      </c>
      <c r="BC211" s="2004"/>
      <c r="BD211" s="2004"/>
      <c r="BE211" s="2004"/>
      <c r="BF211" s="2004"/>
      <c r="BG211" s="2004"/>
      <c r="BH211" s="2004"/>
    </row>
    <row r="212" spans="1:60">
      <c r="A212" s="2004" t="s">
        <v>12230</v>
      </c>
      <c r="B212" s="2004" t="s">
        <v>9047</v>
      </c>
      <c r="C212" s="2004" t="s">
        <v>9112</v>
      </c>
      <c r="D212" s="2004" t="s">
        <v>9410</v>
      </c>
      <c r="E212" s="2004" t="s">
        <v>9447</v>
      </c>
      <c r="F212" s="2004" t="s">
        <v>10909</v>
      </c>
      <c r="G212" s="2004"/>
      <c r="H212" s="2004"/>
      <c r="I212" s="2004"/>
      <c r="J212" s="2004"/>
      <c r="K212" s="2004"/>
      <c r="L212" s="2004"/>
      <c r="M212" s="2004"/>
      <c r="N212" s="2004"/>
      <c r="O212" s="2004"/>
      <c r="P212" s="2004" t="s">
        <v>12434</v>
      </c>
      <c r="Q212" s="2004" t="s">
        <v>12562</v>
      </c>
      <c r="R212" s="2004" t="s">
        <v>12563</v>
      </c>
      <c r="S212" s="2004">
        <v>0.25</v>
      </c>
      <c r="T212" s="2004" t="s">
        <v>734</v>
      </c>
      <c r="U212" s="2004">
        <v>2</v>
      </c>
      <c r="V212" s="2004"/>
      <c r="W212" s="2004"/>
      <c r="X212" s="2004"/>
      <c r="Y212" s="2004"/>
      <c r="Z212" s="2004"/>
      <c r="AA212" s="2004"/>
      <c r="AB212" s="2004"/>
      <c r="AC212" s="2004"/>
      <c r="AD212" s="2004"/>
      <c r="AE212" s="2004"/>
      <c r="AF212" s="2004"/>
      <c r="AG212" s="2004"/>
      <c r="AH212" s="2004"/>
      <c r="AI212" s="2004"/>
      <c r="AJ212" s="2004"/>
      <c r="AK212" s="2004"/>
      <c r="AL212" s="2004"/>
      <c r="AM212" s="2004"/>
      <c r="AN212" s="2004"/>
      <c r="AO212" s="2004"/>
      <c r="AP212" s="2004"/>
      <c r="AQ212" s="2004"/>
      <c r="AR212" s="2004"/>
      <c r="AS212" s="2004"/>
      <c r="AT212" s="2004"/>
      <c r="AU212" s="2004" t="s">
        <v>2335</v>
      </c>
      <c r="AV212" s="2004"/>
      <c r="AW212" s="2004" t="s">
        <v>2335</v>
      </c>
      <c r="AY212" s="2961">
        <v>99.95594410408205</v>
      </c>
      <c r="AZ212" s="2004" t="s">
        <v>2334</v>
      </c>
      <c r="BA212" s="2004"/>
      <c r="BB212" s="2004" t="s">
        <v>12816</v>
      </c>
      <c r="BC212" s="2004"/>
      <c r="BD212" s="2004"/>
      <c r="BE212" s="2004"/>
      <c r="BF212" s="2004"/>
      <c r="BG212" s="2004"/>
      <c r="BH212" s="2004"/>
    </row>
    <row r="213" spans="1:60">
      <c r="A213" s="2004" t="s">
        <v>12319</v>
      </c>
      <c r="B213" s="2004" t="s">
        <v>9047</v>
      </c>
      <c r="C213" s="2004" t="s">
        <v>9115</v>
      </c>
      <c r="D213" s="2004" t="s">
        <v>9410</v>
      </c>
      <c r="E213" s="2004" t="s">
        <v>9447</v>
      </c>
      <c r="F213" s="2004" t="s">
        <v>10909</v>
      </c>
      <c r="G213" s="2004" t="s">
        <v>9210</v>
      </c>
      <c r="H213" s="2004" t="s">
        <v>9364</v>
      </c>
      <c r="I213" s="2004" t="s">
        <v>10558</v>
      </c>
      <c r="J213" s="2004" t="s">
        <v>2338</v>
      </c>
      <c r="K213" s="2004">
        <v>100</v>
      </c>
      <c r="L213" s="2004">
        <v>100</v>
      </c>
      <c r="M213" s="2004">
        <v>100</v>
      </c>
      <c r="N213" s="2004">
        <v>100</v>
      </c>
      <c r="O213" s="2004">
        <v>100</v>
      </c>
      <c r="P213" s="2004" t="s">
        <v>12417</v>
      </c>
      <c r="Q213" s="2004" t="s">
        <v>10909</v>
      </c>
      <c r="R213" s="2004"/>
      <c r="S213" s="2004"/>
      <c r="T213" s="2004" t="s">
        <v>734</v>
      </c>
      <c r="U213" s="2004">
        <v>2</v>
      </c>
      <c r="V213" s="2004"/>
      <c r="W213" s="2004"/>
      <c r="X213" s="2004"/>
      <c r="Y213" s="2004"/>
      <c r="Z213" s="2004"/>
      <c r="AA213" s="2004"/>
      <c r="AB213" s="2004"/>
      <c r="AC213" s="2004"/>
      <c r="AD213" s="2004"/>
      <c r="AE213" s="2004"/>
      <c r="AF213" s="2004"/>
      <c r="AG213" s="2004"/>
      <c r="AH213" s="2004"/>
      <c r="AI213" s="2004"/>
      <c r="AJ213" s="2004"/>
      <c r="AK213" s="2004"/>
      <c r="AL213" s="2004"/>
      <c r="AM213" s="2004"/>
      <c r="AN213" s="2004"/>
      <c r="AO213" s="2004"/>
      <c r="AP213" s="2004"/>
      <c r="AQ213" s="2004"/>
      <c r="AR213" s="2004"/>
      <c r="AS213" s="2004"/>
      <c r="AT213" s="2004"/>
      <c r="AU213" s="2004" t="s">
        <v>2335</v>
      </c>
      <c r="AV213" s="2004"/>
      <c r="AW213" s="2004" t="s">
        <v>2335</v>
      </c>
      <c r="AY213" s="2961">
        <v>97.69</v>
      </c>
      <c r="AZ213" s="2004" t="s">
        <v>2334</v>
      </c>
      <c r="BA213" s="2004"/>
      <c r="BB213" s="2004" t="s">
        <v>12320</v>
      </c>
      <c r="BC213" s="2004"/>
      <c r="BD213" s="2004"/>
      <c r="BE213" s="2004"/>
      <c r="BF213" s="2004"/>
      <c r="BG213" s="2004"/>
      <c r="BH213" s="2004"/>
    </row>
    <row r="214" spans="1:60">
      <c r="A214" s="2004" t="s">
        <v>12319</v>
      </c>
      <c r="B214" s="2004" t="s">
        <v>9047</v>
      </c>
      <c r="C214" s="2004" t="s">
        <v>9115</v>
      </c>
      <c r="D214" s="2004" t="s">
        <v>9410</v>
      </c>
      <c r="E214" s="2004" t="s">
        <v>9447</v>
      </c>
      <c r="F214" s="2004" t="s">
        <v>10909</v>
      </c>
      <c r="G214" s="2004"/>
      <c r="H214" s="2004"/>
      <c r="I214" s="2004"/>
      <c r="J214" s="2004"/>
      <c r="K214" s="2004"/>
      <c r="L214" s="2004"/>
      <c r="M214" s="2004"/>
      <c r="N214" s="2004"/>
      <c r="O214" s="2004"/>
      <c r="P214" s="2004" t="s">
        <v>12419</v>
      </c>
      <c r="Q214" s="2004" t="s">
        <v>12554</v>
      </c>
      <c r="R214" s="2004" t="s">
        <v>12462</v>
      </c>
      <c r="S214" s="2004">
        <v>0.25</v>
      </c>
      <c r="T214" s="2004" t="s">
        <v>734</v>
      </c>
      <c r="U214" s="2004">
        <v>2</v>
      </c>
      <c r="V214" s="2004"/>
      <c r="W214" s="2004"/>
      <c r="X214" s="2004"/>
      <c r="Y214" s="2004"/>
      <c r="Z214" s="2004"/>
      <c r="AA214" s="2004"/>
      <c r="AB214" s="2004"/>
      <c r="AC214" s="2004"/>
      <c r="AD214" s="2004"/>
      <c r="AE214" s="2004"/>
      <c r="AF214" s="2004"/>
      <c r="AG214" s="2004"/>
      <c r="AH214" s="2004"/>
      <c r="AI214" s="2004"/>
      <c r="AJ214" s="2004"/>
      <c r="AK214" s="2004"/>
      <c r="AL214" s="2004"/>
      <c r="AM214" s="2004"/>
      <c r="AN214" s="2004"/>
      <c r="AO214" s="2004"/>
      <c r="AP214" s="2004"/>
      <c r="AQ214" s="2004"/>
      <c r="AR214" s="2004"/>
      <c r="AS214" s="2004"/>
      <c r="AT214" s="2004"/>
      <c r="AU214" s="2004" t="s">
        <v>2335</v>
      </c>
      <c r="AV214" s="2004"/>
      <c r="AW214" s="2004" t="s">
        <v>2335</v>
      </c>
      <c r="AY214" s="2961">
        <v>98.565279770444761</v>
      </c>
      <c r="AZ214" s="2004" t="s">
        <v>2334</v>
      </c>
      <c r="BA214" s="2004"/>
      <c r="BB214" s="2004" t="s">
        <v>12817</v>
      </c>
      <c r="BC214" s="2004"/>
      <c r="BD214" s="2004"/>
      <c r="BE214" s="2004"/>
      <c r="BF214" s="2004"/>
      <c r="BG214" s="2004"/>
      <c r="BH214" s="2004"/>
    </row>
    <row r="215" spans="1:60">
      <c r="A215" s="2004" t="s">
        <v>12319</v>
      </c>
      <c r="B215" s="2004" t="s">
        <v>9047</v>
      </c>
      <c r="C215" s="2004" t="s">
        <v>9115</v>
      </c>
      <c r="D215" s="2004" t="s">
        <v>9410</v>
      </c>
      <c r="E215" s="2004" t="s">
        <v>9447</v>
      </c>
      <c r="F215" s="2004" t="s">
        <v>10909</v>
      </c>
      <c r="G215" s="2004"/>
      <c r="H215" s="2004"/>
      <c r="I215" s="2004"/>
      <c r="J215" s="2004"/>
      <c r="K215" s="2004"/>
      <c r="L215" s="2004"/>
      <c r="M215" s="2004"/>
      <c r="N215" s="2004"/>
      <c r="O215" s="2004"/>
      <c r="P215" s="2004" t="s">
        <v>12423</v>
      </c>
      <c r="Q215" s="2004" t="s">
        <v>12556</v>
      </c>
      <c r="R215" s="2004" t="s">
        <v>12557</v>
      </c>
      <c r="S215" s="2004">
        <v>0.25</v>
      </c>
      <c r="T215" s="2004" t="s">
        <v>734</v>
      </c>
      <c r="U215" s="2004">
        <v>2</v>
      </c>
      <c r="V215" s="2004"/>
      <c r="W215" s="2004"/>
      <c r="X215" s="2004"/>
      <c r="Y215" s="2004"/>
      <c r="Z215" s="2004"/>
      <c r="AA215" s="2004"/>
      <c r="AB215" s="2004"/>
      <c r="AC215" s="2004"/>
      <c r="AD215" s="2004"/>
      <c r="AE215" s="2004"/>
      <c r="AF215" s="2004"/>
      <c r="AG215" s="2004"/>
      <c r="AH215" s="2004"/>
      <c r="AI215" s="2004"/>
      <c r="AJ215" s="2004"/>
      <c r="AK215" s="2004"/>
      <c r="AL215" s="2004"/>
      <c r="AM215" s="2004"/>
      <c r="AN215" s="2004"/>
      <c r="AO215" s="2004"/>
      <c r="AP215" s="2004"/>
      <c r="AQ215" s="2004"/>
      <c r="AR215" s="2004"/>
      <c r="AS215" s="2004"/>
      <c r="AT215" s="2004"/>
      <c r="AU215" s="2004" t="s">
        <v>2335</v>
      </c>
      <c r="AV215" s="2004"/>
      <c r="AW215" s="2004" t="s">
        <v>2335</v>
      </c>
      <c r="AY215" s="2961">
        <v>96.843615494978479</v>
      </c>
      <c r="AZ215" s="2004" t="s">
        <v>2334</v>
      </c>
      <c r="BA215" s="2004"/>
      <c r="BB215" s="2004" t="s">
        <v>12818</v>
      </c>
      <c r="BC215" s="2004"/>
      <c r="BD215" s="2004"/>
      <c r="BE215" s="2004"/>
      <c r="BF215" s="2004"/>
      <c r="BG215" s="2004"/>
      <c r="BH215" s="2004"/>
    </row>
    <row r="216" spans="1:60">
      <c r="A216" s="2004" t="s">
        <v>12319</v>
      </c>
      <c r="B216" s="2004" t="s">
        <v>9047</v>
      </c>
      <c r="C216" s="2004" t="s">
        <v>9115</v>
      </c>
      <c r="D216" s="2004" t="s">
        <v>9410</v>
      </c>
      <c r="E216" s="2004" t="s">
        <v>9447</v>
      </c>
      <c r="F216" s="2004" t="s">
        <v>10909</v>
      </c>
      <c r="G216" s="2004"/>
      <c r="H216" s="2004"/>
      <c r="I216" s="2004"/>
      <c r="J216" s="2004"/>
      <c r="K216" s="2004"/>
      <c r="L216" s="2004"/>
      <c r="M216" s="2004"/>
      <c r="N216" s="2004"/>
      <c r="O216" s="2004"/>
      <c r="P216" s="2004" t="s">
        <v>12430</v>
      </c>
      <c r="Q216" s="2004" t="s">
        <v>12559</v>
      </c>
      <c r="R216" s="2004" t="s">
        <v>12560</v>
      </c>
      <c r="S216" s="2004">
        <v>0.25</v>
      </c>
      <c r="T216" s="2004" t="s">
        <v>734</v>
      </c>
      <c r="U216" s="2004">
        <v>2</v>
      </c>
      <c r="V216" s="2004"/>
      <c r="W216" s="2004"/>
      <c r="X216" s="2004"/>
      <c r="Y216" s="2004"/>
      <c r="Z216" s="2004"/>
      <c r="AA216" s="2004"/>
      <c r="AB216" s="2004"/>
      <c r="AC216" s="2004"/>
      <c r="AD216" s="2004"/>
      <c r="AE216" s="2004"/>
      <c r="AF216" s="2004"/>
      <c r="AG216" s="2004"/>
      <c r="AH216" s="2004"/>
      <c r="AI216" s="2004"/>
      <c r="AJ216" s="2004"/>
      <c r="AK216" s="2004"/>
      <c r="AL216" s="2004"/>
      <c r="AM216" s="2004"/>
      <c r="AN216" s="2004"/>
      <c r="AO216" s="2004"/>
      <c r="AP216" s="2004"/>
      <c r="AQ216" s="2004"/>
      <c r="AR216" s="2004"/>
      <c r="AS216" s="2004"/>
      <c r="AT216" s="2004"/>
      <c r="AU216" s="2004" t="s">
        <v>2335</v>
      </c>
      <c r="AV216" s="2004"/>
      <c r="AW216" s="2004" t="s">
        <v>2335</v>
      </c>
      <c r="AY216" s="2961">
        <v>95.414462081128747</v>
      </c>
      <c r="AZ216" s="2004" t="s">
        <v>2334</v>
      </c>
      <c r="BA216" s="2004"/>
      <c r="BB216" s="2004" t="s">
        <v>12819</v>
      </c>
      <c r="BC216" s="2004"/>
      <c r="BD216" s="2004"/>
      <c r="BE216" s="2004"/>
      <c r="BF216" s="2004"/>
      <c r="BG216" s="2004"/>
      <c r="BH216" s="2004"/>
    </row>
    <row r="217" spans="1:60">
      <c r="A217" s="2004" t="s">
        <v>12319</v>
      </c>
      <c r="B217" s="2004" t="s">
        <v>9047</v>
      </c>
      <c r="C217" s="2004" t="s">
        <v>9115</v>
      </c>
      <c r="D217" s="2004" t="s">
        <v>9410</v>
      </c>
      <c r="E217" s="2004" t="s">
        <v>9447</v>
      </c>
      <c r="F217" s="2004" t="s">
        <v>10909</v>
      </c>
      <c r="G217" s="2004"/>
      <c r="H217" s="2004"/>
      <c r="I217" s="2004"/>
      <c r="J217" s="2004"/>
      <c r="K217" s="2004"/>
      <c r="L217" s="2004"/>
      <c r="M217" s="2004"/>
      <c r="N217" s="2004"/>
      <c r="O217" s="2004"/>
      <c r="P217" s="2004" t="s">
        <v>12434</v>
      </c>
      <c r="Q217" s="2004" t="s">
        <v>12562</v>
      </c>
      <c r="R217" s="2004" t="s">
        <v>12563</v>
      </c>
      <c r="S217" s="2004">
        <v>0.25</v>
      </c>
      <c r="T217" s="2004" t="s">
        <v>734</v>
      </c>
      <c r="U217" s="2004">
        <v>2</v>
      </c>
      <c r="V217" s="2004"/>
      <c r="W217" s="2004"/>
      <c r="X217" s="2004"/>
      <c r="Y217" s="2004"/>
      <c r="Z217" s="2004"/>
      <c r="AA217" s="2004"/>
      <c r="AB217" s="2004"/>
      <c r="AC217" s="2004"/>
      <c r="AD217" s="2004"/>
      <c r="AE217" s="2004"/>
      <c r="AF217" s="2004"/>
      <c r="AG217" s="2004"/>
      <c r="AH217" s="2004"/>
      <c r="AI217" s="2004"/>
      <c r="AJ217" s="2004"/>
      <c r="AK217" s="2004"/>
      <c r="AL217" s="2004"/>
      <c r="AM217" s="2004"/>
      <c r="AN217" s="2004"/>
      <c r="AO217" s="2004"/>
      <c r="AP217" s="2004"/>
      <c r="AQ217" s="2004"/>
      <c r="AR217" s="2004"/>
      <c r="AS217" s="2004"/>
      <c r="AT217" s="2004"/>
      <c r="AU217" s="2004" t="s">
        <v>2335</v>
      </c>
      <c r="AV217" s="2004"/>
      <c r="AW217" s="2004" t="s">
        <v>2335</v>
      </c>
      <c r="AY217" s="2961">
        <v>99.95594410408205</v>
      </c>
      <c r="AZ217" s="2004" t="s">
        <v>2334</v>
      </c>
      <c r="BA217" s="2004"/>
      <c r="BB217" s="2004" t="s">
        <v>12820</v>
      </c>
      <c r="BC217" s="2004"/>
      <c r="BD217" s="2004"/>
      <c r="BE217" s="2004"/>
      <c r="BF217" s="2004"/>
      <c r="BG217" s="2004"/>
      <c r="BH217" s="2004"/>
    </row>
    <row r="218" spans="1:60">
      <c r="A218" s="2004" t="s">
        <v>12327</v>
      </c>
      <c r="B218" s="2004" t="s">
        <v>9047</v>
      </c>
      <c r="C218" s="2004" t="s">
        <v>9115</v>
      </c>
      <c r="D218" s="2004" t="s">
        <v>9410</v>
      </c>
      <c r="E218" s="2004" t="s">
        <v>10928</v>
      </c>
      <c r="F218" s="2004" t="s">
        <v>10930</v>
      </c>
      <c r="G218" s="2004" t="s">
        <v>9199</v>
      </c>
      <c r="H218" s="2004" t="s">
        <v>9364</v>
      </c>
      <c r="I218" s="2004" t="s">
        <v>10931</v>
      </c>
      <c r="J218" s="2004"/>
      <c r="K218" s="2004"/>
      <c r="L218" s="2004"/>
      <c r="M218" s="2004"/>
      <c r="N218" s="2004"/>
      <c r="O218" s="2004">
        <v>3</v>
      </c>
      <c r="P218" s="2004" t="s">
        <v>12417</v>
      </c>
      <c r="Q218" s="2004" t="s">
        <v>10930</v>
      </c>
      <c r="R218" s="2004"/>
      <c r="S218" s="2004"/>
      <c r="T218" s="2004" t="s">
        <v>766</v>
      </c>
      <c r="U218" s="2004" t="s">
        <v>3016</v>
      </c>
      <c r="V218" s="2004"/>
      <c r="W218" s="2004"/>
      <c r="X218" s="2004"/>
      <c r="Y218" s="2004"/>
      <c r="Z218" s="2004"/>
      <c r="AA218" s="2004"/>
      <c r="AB218" s="2004"/>
      <c r="AC218" s="2004"/>
      <c r="AD218" s="2004"/>
      <c r="AE218" s="2004"/>
      <c r="AF218" s="2004"/>
      <c r="AG218" s="2004"/>
      <c r="AH218" s="2004"/>
      <c r="AI218" s="2004"/>
      <c r="AJ218" s="2004"/>
      <c r="AK218" s="2004"/>
      <c r="AL218" s="2004"/>
      <c r="AM218" s="2004"/>
      <c r="AN218" s="2004"/>
      <c r="AO218" s="2004"/>
      <c r="AP218" s="2004"/>
      <c r="AQ218" s="2004"/>
      <c r="AR218" s="2004"/>
      <c r="AS218" s="2004"/>
      <c r="AT218" s="2004"/>
      <c r="AU218" s="2004" t="s">
        <v>2335</v>
      </c>
      <c r="AV218" s="2004"/>
      <c r="AW218" s="2004" t="s">
        <v>2335</v>
      </c>
      <c r="AY218" s="2004">
        <v>4</v>
      </c>
      <c r="AZ218" s="2004" t="s">
        <v>2337</v>
      </c>
      <c r="BA218" s="2004"/>
      <c r="BB218" s="2004" t="s">
        <v>12328</v>
      </c>
      <c r="BC218" s="2004"/>
      <c r="BD218" s="2004"/>
      <c r="BE218" s="2004"/>
      <c r="BF218" s="2004"/>
      <c r="BG218" s="2004"/>
      <c r="BH218" s="2004"/>
    </row>
    <row r="219" spans="1:60">
      <c r="A219" s="2004" t="s">
        <v>12327</v>
      </c>
      <c r="B219" s="2004" t="s">
        <v>9047</v>
      </c>
      <c r="C219" s="2004" t="s">
        <v>9115</v>
      </c>
      <c r="D219" s="2004" t="s">
        <v>9410</v>
      </c>
      <c r="E219" s="2004" t="s">
        <v>10928</v>
      </c>
      <c r="F219" s="2004" t="s">
        <v>10930</v>
      </c>
      <c r="G219" s="2004"/>
      <c r="H219" s="2004"/>
      <c r="I219" s="2004"/>
      <c r="J219" s="2004"/>
      <c r="K219" s="2004"/>
      <c r="L219" s="2004"/>
      <c r="M219" s="2004"/>
      <c r="N219" s="2004"/>
      <c r="O219" s="2004"/>
      <c r="P219" s="2004" t="s">
        <v>12419</v>
      </c>
      <c r="Q219" s="2004" t="s">
        <v>12567</v>
      </c>
      <c r="R219" s="2004" t="s">
        <v>12568</v>
      </c>
      <c r="S219" s="2004"/>
      <c r="T219" s="2004" t="s">
        <v>766</v>
      </c>
      <c r="U219" s="2004" t="s">
        <v>3016</v>
      </c>
      <c r="V219" s="2004"/>
      <c r="W219" s="2004"/>
      <c r="X219" s="2004"/>
      <c r="Y219" s="2004"/>
      <c r="Z219" s="2004"/>
      <c r="AA219" s="2004"/>
      <c r="AB219" s="2004"/>
      <c r="AC219" s="2004"/>
      <c r="AD219" s="2004"/>
      <c r="AE219" s="2004"/>
      <c r="AF219" s="2004"/>
      <c r="AG219" s="2004"/>
      <c r="AH219" s="2004"/>
      <c r="AI219" s="2004"/>
      <c r="AJ219" s="2004"/>
      <c r="AK219" s="2004"/>
      <c r="AL219" s="2004"/>
      <c r="AM219" s="2004"/>
      <c r="AN219" s="2004"/>
      <c r="AO219" s="2004"/>
      <c r="AP219" s="2004"/>
      <c r="AQ219" s="2004"/>
      <c r="AR219" s="2004"/>
      <c r="AS219" s="2004"/>
      <c r="AT219" s="2004"/>
      <c r="AU219" s="2004" t="s">
        <v>2335</v>
      </c>
      <c r="AV219" s="2004"/>
      <c r="AW219" s="2004" t="s">
        <v>2335</v>
      </c>
      <c r="AY219" s="2004" t="s">
        <v>12821</v>
      </c>
      <c r="AZ219" s="2004" t="s">
        <v>2337</v>
      </c>
      <c r="BA219" s="2004"/>
      <c r="BB219" s="2004" t="s">
        <v>12822</v>
      </c>
      <c r="BC219" s="2004"/>
      <c r="BD219" s="2004"/>
      <c r="BE219" s="2004"/>
      <c r="BF219" s="2004"/>
      <c r="BG219" s="2004"/>
      <c r="BH219" s="2004"/>
    </row>
    <row r="220" spans="1:60">
      <c r="A220" s="2004" t="s">
        <v>12327</v>
      </c>
      <c r="B220" s="2004" t="s">
        <v>9047</v>
      </c>
      <c r="C220" s="2004" t="s">
        <v>9115</v>
      </c>
      <c r="D220" s="2004" t="s">
        <v>9410</v>
      </c>
      <c r="E220" s="2004" t="s">
        <v>10928</v>
      </c>
      <c r="F220" s="2004" t="s">
        <v>10930</v>
      </c>
      <c r="G220" s="2004"/>
      <c r="H220" s="2004"/>
      <c r="I220" s="2004"/>
      <c r="J220" s="2004"/>
      <c r="K220" s="2004"/>
      <c r="L220" s="2004"/>
      <c r="M220" s="2004"/>
      <c r="N220" s="2004"/>
      <c r="O220" s="2004"/>
      <c r="P220" s="2004" t="s">
        <v>12423</v>
      </c>
      <c r="Q220" s="2004" t="s">
        <v>12570</v>
      </c>
      <c r="R220" s="2004" t="s">
        <v>12571</v>
      </c>
      <c r="S220" s="2004"/>
      <c r="T220" s="2004" t="s">
        <v>766</v>
      </c>
      <c r="U220" s="2004" t="s">
        <v>3016</v>
      </c>
      <c r="V220" s="2004"/>
      <c r="W220" s="2004"/>
      <c r="X220" s="2004"/>
      <c r="Y220" s="2004"/>
      <c r="Z220" s="2004"/>
      <c r="AA220" s="2004"/>
      <c r="AB220" s="2004"/>
      <c r="AC220" s="2004"/>
      <c r="AD220" s="2004"/>
      <c r="AE220" s="2004"/>
      <c r="AF220" s="2004"/>
      <c r="AG220" s="2004"/>
      <c r="AH220" s="2004"/>
      <c r="AI220" s="2004"/>
      <c r="AJ220" s="2004"/>
      <c r="AK220" s="2004"/>
      <c r="AL220" s="2004"/>
      <c r="AM220" s="2004"/>
      <c r="AN220" s="2004"/>
      <c r="AO220" s="2004"/>
      <c r="AP220" s="2004"/>
      <c r="AQ220" s="2004"/>
      <c r="AR220" s="2004"/>
      <c r="AS220" s="2004"/>
      <c r="AT220" s="2004"/>
      <c r="AU220" s="2004" t="s">
        <v>2335</v>
      </c>
      <c r="AV220" s="2004"/>
      <c r="AW220" s="2004" t="s">
        <v>2335</v>
      </c>
      <c r="AY220" s="2004" t="s">
        <v>12821</v>
      </c>
      <c r="AZ220" s="2004" t="s">
        <v>2337</v>
      </c>
      <c r="BA220" s="2004"/>
      <c r="BB220" s="2004" t="s">
        <v>12823</v>
      </c>
      <c r="BC220" s="2004"/>
      <c r="BD220" s="2004"/>
      <c r="BE220" s="2004"/>
      <c r="BF220" s="2004"/>
      <c r="BG220" s="2004"/>
      <c r="BH220" s="2004"/>
    </row>
    <row r="221" spans="1:60">
      <c r="A221" s="2004" t="s">
        <v>12327</v>
      </c>
      <c r="B221" s="2004" t="s">
        <v>9047</v>
      </c>
      <c r="C221" s="2004" t="s">
        <v>9115</v>
      </c>
      <c r="D221" s="2004" t="s">
        <v>9410</v>
      </c>
      <c r="E221" s="2004" t="s">
        <v>10928</v>
      </c>
      <c r="F221" s="2004" t="s">
        <v>10930</v>
      </c>
      <c r="G221" s="2004"/>
      <c r="H221" s="2004"/>
      <c r="I221" s="2004"/>
      <c r="J221" s="2004"/>
      <c r="K221" s="2004"/>
      <c r="L221" s="2004"/>
      <c r="M221" s="2004"/>
      <c r="N221" s="2004"/>
      <c r="O221" s="2004"/>
      <c r="P221" s="2004" t="s">
        <v>12430</v>
      </c>
      <c r="Q221" s="2004" t="s">
        <v>12573</v>
      </c>
      <c r="R221" s="2004" t="s">
        <v>12448</v>
      </c>
      <c r="S221" s="2004"/>
      <c r="T221" s="2004" t="s">
        <v>766</v>
      </c>
      <c r="U221" s="2004" t="s">
        <v>3016</v>
      </c>
      <c r="V221" s="2004"/>
      <c r="W221" s="2004"/>
      <c r="X221" s="2004"/>
      <c r="Y221" s="2004"/>
      <c r="Z221" s="2004"/>
      <c r="AA221" s="2004"/>
      <c r="AB221" s="2004"/>
      <c r="AC221" s="2004"/>
      <c r="AD221" s="2004"/>
      <c r="AE221" s="2004"/>
      <c r="AF221" s="2004"/>
      <c r="AG221" s="2004"/>
      <c r="AH221" s="2004"/>
      <c r="AI221" s="2004"/>
      <c r="AJ221" s="2004"/>
      <c r="AK221" s="2004"/>
      <c r="AL221" s="2004"/>
      <c r="AM221" s="2004"/>
      <c r="AN221" s="2004"/>
      <c r="AO221" s="2004"/>
      <c r="AP221" s="2004"/>
      <c r="AQ221" s="2004"/>
      <c r="AR221" s="2004"/>
      <c r="AS221" s="2004"/>
      <c r="AT221" s="2004"/>
      <c r="AU221" s="2004" t="s">
        <v>2335</v>
      </c>
      <c r="AV221" s="2004"/>
      <c r="AW221" s="2004" t="s">
        <v>2335</v>
      </c>
      <c r="AY221" s="2004" t="s">
        <v>12821</v>
      </c>
      <c r="AZ221" s="2004" t="s">
        <v>2337</v>
      </c>
      <c r="BA221" s="2004"/>
      <c r="BB221" s="2004" t="s">
        <v>12824</v>
      </c>
      <c r="BC221" s="2004"/>
      <c r="BD221" s="2004"/>
      <c r="BE221" s="2004"/>
      <c r="BF221" s="2004"/>
      <c r="BG221" s="2004"/>
      <c r="BH221" s="2004"/>
    </row>
    <row r="222" spans="1:60">
      <c r="A222" s="2004" t="s">
        <v>12327</v>
      </c>
      <c r="B222" s="2004" t="s">
        <v>9047</v>
      </c>
      <c r="C222" s="2004" t="s">
        <v>9115</v>
      </c>
      <c r="D222" s="2004" t="s">
        <v>9410</v>
      </c>
      <c r="E222" s="2004" t="s">
        <v>10928</v>
      </c>
      <c r="F222" s="2004" t="s">
        <v>10930</v>
      </c>
      <c r="G222" s="2004"/>
      <c r="H222" s="2004"/>
      <c r="I222" s="2004"/>
      <c r="J222" s="2004"/>
      <c r="K222" s="2004"/>
      <c r="L222" s="2004"/>
      <c r="M222" s="2004"/>
      <c r="N222" s="2004"/>
      <c r="O222" s="2004"/>
      <c r="P222" s="2004" t="s">
        <v>12434</v>
      </c>
      <c r="Q222" s="2004" t="s">
        <v>12575</v>
      </c>
      <c r="R222" s="2004" t="s">
        <v>12576</v>
      </c>
      <c r="S222" s="2004"/>
      <c r="T222" s="2004" t="s">
        <v>766</v>
      </c>
      <c r="U222" s="2004" t="s">
        <v>3016</v>
      </c>
      <c r="V222" s="2004"/>
      <c r="W222" s="2004"/>
      <c r="X222" s="2004"/>
      <c r="Y222" s="2004"/>
      <c r="Z222" s="2004"/>
      <c r="AA222" s="2004"/>
      <c r="AB222" s="2004"/>
      <c r="AC222" s="2004"/>
      <c r="AD222" s="2004"/>
      <c r="AE222" s="2004"/>
      <c r="AF222" s="2004"/>
      <c r="AG222" s="2004"/>
      <c r="AH222" s="2004"/>
      <c r="AI222" s="2004"/>
      <c r="AJ222" s="2004"/>
      <c r="AK222" s="2004"/>
      <c r="AL222" s="2004"/>
      <c r="AM222" s="2004"/>
      <c r="AN222" s="2004"/>
      <c r="AO222" s="2004"/>
      <c r="AP222" s="2004"/>
      <c r="AQ222" s="2004"/>
      <c r="AR222" s="2004"/>
      <c r="AS222" s="2004"/>
      <c r="AT222" s="2004"/>
      <c r="AU222" s="2004" t="s">
        <v>2335</v>
      </c>
      <c r="AV222" s="2004"/>
      <c r="AW222" s="2004" t="s">
        <v>2335</v>
      </c>
      <c r="AY222" s="2004" t="s">
        <v>12821</v>
      </c>
      <c r="AZ222" s="2004" t="s">
        <v>2337</v>
      </c>
      <c r="BA222" s="2004"/>
      <c r="BB222" s="2004" t="s">
        <v>12825</v>
      </c>
      <c r="BC222" s="2004"/>
      <c r="BD222" s="2004"/>
      <c r="BE222" s="2004"/>
      <c r="BF222" s="2004"/>
      <c r="BG222" s="2004"/>
      <c r="BH222" s="2004"/>
    </row>
    <row r="223" spans="1:60" ht="6" customHeight="1">
      <c r="A223" s="565"/>
      <c r="B223" s="565"/>
      <c r="C223" s="565"/>
      <c r="D223" s="565"/>
      <c r="E223" s="565"/>
      <c r="F223" s="565"/>
      <c r="G223" s="565"/>
      <c r="H223" s="565"/>
      <c r="I223" s="565"/>
      <c r="J223" s="565"/>
      <c r="K223" s="565"/>
      <c r="L223" s="565"/>
      <c r="M223" s="565"/>
      <c r="N223" s="565"/>
      <c r="O223" s="565"/>
      <c r="P223" s="565"/>
      <c r="Q223" s="565"/>
      <c r="R223" s="565"/>
      <c r="S223" s="565"/>
      <c r="T223" s="565"/>
      <c r="U223" s="565"/>
      <c r="V223" s="565"/>
      <c r="W223" s="565"/>
      <c r="X223" s="565"/>
      <c r="Y223" s="565"/>
      <c r="Z223" s="565"/>
      <c r="AA223" s="565"/>
      <c r="AB223" s="565"/>
      <c r="AC223" s="565"/>
      <c r="AD223" s="565"/>
      <c r="AE223" s="565"/>
      <c r="AF223" s="565"/>
      <c r="AG223" s="565"/>
      <c r="AH223" s="565"/>
      <c r="AI223" s="565"/>
      <c r="AJ223" s="565"/>
      <c r="AK223" s="565"/>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row>
  </sheetData>
  <sheetProtection algorithmName="SHA-512" hashValue="hNcqAFb8WnIJ6BCWUOyYYyJzqG3LvjgA7kEZ2B1UY+OQGe6A9YtOZl1eLuLaSQfoW4yeACeKelynKiBD16KUnA==" saltValue="iY4UK5FOnpnIE8sic0/bEQ==" spinCount="100000" sheet="1" objects="1" scenarios="1"/>
  <autoFilter ref="A2:AT207" xr:uid="{00000000-0009-0000-0000-00003A000000}"/>
  <pageMargins left="0.7" right="0.7" top="0.75" bottom="0.75" header="0.3" footer="0.3"/>
  <pageSetup paperSize="9" orientation="portrait" r:id="rId1"/>
  <customProperties>
    <customPr name="_pios_id" r:id="rId2"/>
    <customPr name="EpmWorksheetKeyString_GUID" r:id="rId3"/>
  </customProperties>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K98"/>
  <sheetViews>
    <sheetView topLeftCell="A28" workbookViewId="0">
      <selection activeCell="G39" sqref="G39"/>
    </sheetView>
  </sheetViews>
  <sheetFormatPr defaultColWidth="0" defaultRowHeight="14.25" zeroHeight="1"/>
  <cols>
    <col min="1" max="1" width="0.5" style="70" customWidth="1"/>
    <col min="2" max="2" width="7.5" style="70" customWidth="1"/>
    <col min="3" max="3" width="38.125" style="70" customWidth="1"/>
    <col min="4" max="4" width="2.5" style="70" hidden="1" customWidth="1"/>
    <col min="5" max="6" width="5.125" style="70" customWidth="1"/>
    <col min="7" max="11" width="12.5" style="70" customWidth="1"/>
    <col min="12" max="12" width="2.5" style="70" customWidth="1"/>
    <col min="13" max="13" width="27" style="70" customWidth="1"/>
    <col min="14" max="14" width="1.5" style="70" customWidth="1"/>
    <col min="15" max="15" width="1.5" style="71" hidden="1" customWidth="1"/>
    <col min="16" max="18" width="5.5" style="70" hidden="1" customWidth="1"/>
    <col min="19" max="19" width="1.5" style="71" hidden="1" customWidth="1"/>
    <col min="20" max="20" width="8.125" style="70" hidden="1" customWidth="1"/>
    <col min="21" max="23" width="8.5" style="70" hidden="1" customWidth="1"/>
    <col min="24" max="25" width="0" style="70" hidden="1" customWidth="1"/>
    <col min="26" max="26" width="8.125" style="70" customWidth="1"/>
    <col min="27" max="27" width="7.5" style="70" customWidth="1"/>
    <col min="28" max="28" width="38.125" style="70" customWidth="1"/>
    <col min="29" max="29" width="2.5" style="70" hidden="1" customWidth="1"/>
    <col min="30" max="31" width="5.125" style="70" customWidth="1"/>
    <col min="32" max="36" width="12.5" style="70" customWidth="1"/>
    <col min="37" max="37" width="2.125" style="70" customWidth="1"/>
    <col min="38" max="16384" width="8.125" style="70" hidden="1"/>
  </cols>
  <sheetData>
    <row r="1" spans="2:36" ht="20.25">
      <c r="B1" s="66" t="s">
        <v>249</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5" thickBot="1">
      <c r="B2" s="73" t="str">
        <f>'1B'!B2</f>
        <v>For the 12 months ended 31 March 2020</v>
      </c>
      <c r="AA2" s="73" t="str">
        <f>B2</f>
        <v>For the 12 months ended 31 March 2020</v>
      </c>
    </row>
    <row r="3" spans="2:36" ht="15" customHeight="1">
      <c r="B3" s="3057" t="s">
        <v>36</v>
      </c>
      <c r="C3" s="3058"/>
      <c r="D3" s="2985" t="s">
        <v>37</v>
      </c>
      <c r="E3" s="3061" t="s">
        <v>38</v>
      </c>
      <c r="F3" s="3063" t="s">
        <v>39</v>
      </c>
      <c r="G3" s="3065" t="s">
        <v>40</v>
      </c>
      <c r="H3" s="3067" t="s">
        <v>41</v>
      </c>
      <c r="I3" s="3068"/>
      <c r="J3" s="3069"/>
      <c r="K3" s="3070" t="s">
        <v>42</v>
      </c>
      <c r="M3" s="3070" t="s">
        <v>43</v>
      </c>
      <c r="AA3" s="3057" t="s">
        <v>36</v>
      </c>
      <c r="AB3" s="3058"/>
      <c r="AC3" s="2985" t="s">
        <v>37</v>
      </c>
      <c r="AD3" s="3061" t="s">
        <v>38</v>
      </c>
      <c r="AE3" s="3063" t="s">
        <v>39</v>
      </c>
      <c r="AF3" s="3065" t="s">
        <v>40</v>
      </c>
      <c r="AG3" s="3067" t="s">
        <v>41</v>
      </c>
      <c r="AH3" s="3068"/>
      <c r="AI3" s="3069"/>
      <c r="AJ3" s="3070" t="s">
        <v>42</v>
      </c>
    </row>
    <row r="4" spans="2:36" ht="54.75" customHeight="1" thickBot="1">
      <c r="B4" s="3059"/>
      <c r="C4" s="3060"/>
      <c r="D4" s="2986"/>
      <c r="E4" s="3062"/>
      <c r="F4" s="3064"/>
      <c r="G4" s="3066"/>
      <c r="H4" s="2997" t="s">
        <v>44</v>
      </c>
      <c r="I4" s="78" t="s">
        <v>45</v>
      </c>
      <c r="J4" s="2998" t="s">
        <v>46</v>
      </c>
      <c r="K4" s="3071"/>
      <c r="M4" s="3071"/>
      <c r="N4" s="79"/>
      <c r="P4" s="3072" t="s">
        <v>47</v>
      </c>
      <c r="Q4" s="3072"/>
      <c r="R4" s="3072"/>
      <c r="AA4" s="3059"/>
      <c r="AB4" s="3060"/>
      <c r="AC4" s="2986"/>
      <c r="AD4" s="3062"/>
      <c r="AE4" s="3064"/>
      <c r="AF4" s="3066"/>
      <c r="AG4" s="2997" t="s">
        <v>44</v>
      </c>
      <c r="AH4" s="78" t="s">
        <v>45</v>
      </c>
      <c r="AI4" s="2998" t="s">
        <v>46</v>
      </c>
      <c r="AJ4" s="3071"/>
    </row>
    <row r="5" spans="2:36" ht="15" thickBot="1"/>
    <row r="6" spans="2:36" ht="15" thickBot="1">
      <c r="B6" s="3036" t="s">
        <v>155</v>
      </c>
      <c r="C6" s="83" t="s">
        <v>250</v>
      </c>
      <c r="D6" s="1505"/>
      <c r="P6" s="85" t="s">
        <v>48</v>
      </c>
      <c r="AA6" s="3036" t="s">
        <v>155</v>
      </c>
      <c r="AB6" s="83" t="s">
        <v>250</v>
      </c>
      <c r="AC6" s="1505"/>
    </row>
    <row r="7" spans="2:36">
      <c r="B7" s="86" t="s">
        <v>251</v>
      </c>
      <c r="C7" s="117" t="s">
        <v>252</v>
      </c>
      <c r="D7" s="117"/>
      <c r="E7" s="88" t="s">
        <v>51</v>
      </c>
      <c r="F7" s="89">
        <v>3</v>
      </c>
      <c r="G7" s="465">
        <v>7845.4639999999999</v>
      </c>
      <c r="H7" s="413">
        <v>-135.26499999999999</v>
      </c>
      <c r="I7" s="424">
        <v>3.0419999999999998</v>
      </c>
      <c r="J7" s="190">
        <f t="shared" ref="J7:J13" si="0" xml:space="preserve"> H7 - I7</f>
        <v>-138.30699999999999</v>
      </c>
      <c r="K7" s="196">
        <f t="shared" ref="K7:K13" si="1" xml:space="preserve"> G7 + J7</f>
        <v>7707.1570000000002</v>
      </c>
      <c r="M7" s="1370">
        <f xml:space="preserve"> IF( SUM( O7:S7 ) = 0, 0, $P$6 )</f>
        <v>0</v>
      </c>
      <c r="P7" s="93">
        <f t="shared" ref="P7:R19" si="2" xml:space="preserve"> IF( ISNUMBER( G7 ), 0, 1 )</f>
        <v>0</v>
      </c>
      <c r="Q7" s="93">
        <f t="shared" si="2"/>
        <v>0</v>
      </c>
      <c r="R7" s="93">
        <f t="shared" si="2"/>
        <v>0</v>
      </c>
      <c r="AA7" s="86" t="s">
        <v>251</v>
      </c>
      <c r="AB7" s="117" t="s">
        <v>252</v>
      </c>
      <c r="AC7" s="117"/>
      <c r="AD7" s="88" t="s">
        <v>51</v>
      </c>
      <c r="AE7" s="89">
        <v>3</v>
      </c>
      <c r="AF7" s="2521" t="s">
        <v>253</v>
      </c>
      <c r="AG7" s="2516" t="s">
        <v>254</v>
      </c>
      <c r="AH7" s="2517" t="s">
        <v>255</v>
      </c>
      <c r="AI7" s="190" t="s">
        <v>256</v>
      </c>
      <c r="AJ7" s="196" t="s">
        <v>257</v>
      </c>
    </row>
    <row r="8" spans="2:36">
      <c r="B8" s="94" t="s">
        <v>258</v>
      </c>
      <c r="C8" s="87" t="s">
        <v>259</v>
      </c>
      <c r="D8" s="87"/>
      <c r="E8" s="95" t="s">
        <v>51</v>
      </c>
      <c r="F8" s="96">
        <v>3</v>
      </c>
      <c r="G8" s="461">
        <v>157.738</v>
      </c>
      <c r="H8" s="411">
        <v>0</v>
      </c>
      <c r="I8" s="412">
        <v>0</v>
      </c>
      <c r="J8" s="191">
        <f xml:space="preserve"> H8 - I8</f>
        <v>0</v>
      </c>
      <c r="K8" s="197">
        <f xml:space="preserve"> G8 + J8</f>
        <v>157.738</v>
      </c>
      <c r="M8" s="1370">
        <f t="shared" ref="M8:M12" si="3" xml:space="preserve"> IF( SUM( O8:S8 ) = 0, 0, $P$6 )</f>
        <v>0</v>
      </c>
      <c r="P8" s="93">
        <f t="shared" si="2"/>
        <v>0</v>
      </c>
      <c r="Q8" s="93">
        <f t="shared" si="2"/>
        <v>0</v>
      </c>
      <c r="R8" s="93">
        <f t="shared" si="2"/>
        <v>0</v>
      </c>
      <c r="AA8" s="94" t="s">
        <v>258</v>
      </c>
      <c r="AB8" s="87" t="s">
        <v>259</v>
      </c>
      <c r="AC8" s="87"/>
      <c r="AD8" s="95" t="s">
        <v>51</v>
      </c>
      <c r="AE8" s="96">
        <v>3</v>
      </c>
      <c r="AF8" s="2522" t="s">
        <v>260</v>
      </c>
      <c r="AG8" s="2519" t="s">
        <v>261</v>
      </c>
      <c r="AH8" s="2520" t="s">
        <v>262</v>
      </c>
      <c r="AI8" s="191" t="s">
        <v>263</v>
      </c>
      <c r="AJ8" s="197" t="s">
        <v>264</v>
      </c>
    </row>
    <row r="9" spans="2:36">
      <c r="B9" s="94" t="s">
        <v>265</v>
      </c>
      <c r="C9" s="87" t="s">
        <v>266</v>
      </c>
      <c r="D9" s="87"/>
      <c r="E9" s="95" t="s">
        <v>51</v>
      </c>
      <c r="F9" s="96">
        <v>3</v>
      </c>
      <c r="G9" s="461">
        <v>949.32899999999995</v>
      </c>
      <c r="H9" s="411">
        <v>0</v>
      </c>
      <c r="I9" s="412">
        <v>0</v>
      </c>
      <c r="J9" s="191">
        <f t="shared" si="0"/>
        <v>0</v>
      </c>
      <c r="K9" s="197">
        <f t="shared" si="1"/>
        <v>949.32899999999995</v>
      </c>
      <c r="M9" s="1370">
        <f t="shared" si="3"/>
        <v>0</v>
      </c>
      <c r="P9" s="93">
        <f t="shared" si="2"/>
        <v>0</v>
      </c>
      <c r="Q9" s="93">
        <f t="shared" si="2"/>
        <v>0</v>
      </c>
      <c r="R9" s="93">
        <f t="shared" si="2"/>
        <v>0</v>
      </c>
      <c r="AA9" s="94" t="s">
        <v>265</v>
      </c>
      <c r="AB9" s="87" t="s">
        <v>266</v>
      </c>
      <c r="AC9" s="87"/>
      <c r="AD9" s="95" t="s">
        <v>51</v>
      </c>
      <c r="AE9" s="96">
        <v>3</v>
      </c>
      <c r="AF9" s="2522" t="s">
        <v>267</v>
      </c>
      <c r="AG9" s="2519" t="s">
        <v>268</v>
      </c>
      <c r="AH9" s="2520" t="s">
        <v>269</v>
      </c>
      <c r="AI9" s="191" t="s">
        <v>270</v>
      </c>
      <c r="AJ9" s="197" t="s">
        <v>271</v>
      </c>
    </row>
    <row r="10" spans="2:36">
      <c r="B10" s="94" t="s">
        <v>272</v>
      </c>
      <c r="C10" s="87" t="s">
        <v>273</v>
      </c>
      <c r="D10" s="87"/>
      <c r="E10" s="95" t="s">
        <v>51</v>
      </c>
      <c r="F10" s="96">
        <v>3</v>
      </c>
      <c r="G10" s="462">
        <v>2.2450000000000001</v>
      </c>
      <c r="H10" s="463">
        <v>0</v>
      </c>
      <c r="I10" s="464">
        <v>0</v>
      </c>
      <c r="J10" s="191">
        <f t="shared" si="0"/>
        <v>0</v>
      </c>
      <c r="K10" s="197">
        <f t="shared" si="1"/>
        <v>2.2450000000000001</v>
      </c>
      <c r="M10" s="1370">
        <f t="shared" si="3"/>
        <v>0</v>
      </c>
      <c r="P10" s="93">
        <f t="shared" si="2"/>
        <v>0</v>
      </c>
      <c r="Q10" s="93">
        <f t="shared" si="2"/>
        <v>0</v>
      </c>
      <c r="R10" s="93">
        <f t="shared" si="2"/>
        <v>0</v>
      </c>
      <c r="AA10" s="94" t="s">
        <v>272</v>
      </c>
      <c r="AB10" s="87" t="s">
        <v>273</v>
      </c>
      <c r="AC10" s="87"/>
      <c r="AD10" s="95" t="s">
        <v>51</v>
      </c>
      <c r="AE10" s="96">
        <v>3</v>
      </c>
      <c r="AF10" s="2533" t="s">
        <v>274</v>
      </c>
      <c r="AG10" s="2534" t="s">
        <v>275</v>
      </c>
      <c r="AH10" s="2535" t="s">
        <v>276</v>
      </c>
      <c r="AI10" s="191" t="s">
        <v>277</v>
      </c>
      <c r="AJ10" s="197" t="s">
        <v>278</v>
      </c>
    </row>
    <row r="11" spans="2:36">
      <c r="B11" s="94" t="s">
        <v>279</v>
      </c>
      <c r="C11" s="87" t="s">
        <v>280</v>
      </c>
      <c r="D11" s="87"/>
      <c r="E11" s="95" t="s">
        <v>51</v>
      </c>
      <c r="F11" s="96">
        <v>3</v>
      </c>
      <c r="G11" s="462">
        <v>166.59</v>
      </c>
      <c r="H11" s="463">
        <v>0</v>
      </c>
      <c r="I11" s="464">
        <v>0</v>
      </c>
      <c r="J11" s="191">
        <f t="shared" si="0"/>
        <v>0</v>
      </c>
      <c r="K11" s="197">
        <f xml:space="preserve"> G11 + J11</f>
        <v>166.59</v>
      </c>
      <c r="M11" s="1370">
        <f t="shared" si="3"/>
        <v>0</v>
      </c>
      <c r="P11" s="93">
        <f t="shared" si="2"/>
        <v>0</v>
      </c>
      <c r="Q11" s="93">
        <f t="shared" si="2"/>
        <v>0</v>
      </c>
      <c r="R11" s="93">
        <f t="shared" si="2"/>
        <v>0</v>
      </c>
      <c r="AA11" s="94" t="s">
        <v>279</v>
      </c>
      <c r="AB11" s="87" t="s">
        <v>280</v>
      </c>
      <c r="AC11" s="87"/>
      <c r="AD11" s="95" t="s">
        <v>51</v>
      </c>
      <c r="AE11" s="96">
        <v>3</v>
      </c>
      <c r="AF11" s="2533" t="s">
        <v>281</v>
      </c>
      <c r="AG11" s="2534" t="s">
        <v>282</v>
      </c>
      <c r="AH11" s="2535" t="s">
        <v>283</v>
      </c>
      <c r="AI11" s="191" t="s">
        <v>284</v>
      </c>
      <c r="AJ11" s="197" t="s">
        <v>285</v>
      </c>
    </row>
    <row r="12" spans="2:36">
      <c r="B12" s="94" t="s">
        <v>286</v>
      </c>
      <c r="C12" s="87" t="s">
        <v>287</v>
      </c>
      <c r="D12" s="87"/>
      <c r="E12" s="95" t="s">
        <v>51</v>
      </c>
      <c r="F12" s="96">
        <v>3</v>
      </c>
      <c r="G12" s="462">
        <v>0</v>
      </c>
      <c r="H12" s="463">
        <v>0</v>
      </c>
      <c r="I12" s="464">
        <v>0</v>
      </c>
      <c r="J12" s="191">
        <f t="shared" si="0"/>
        <v>0</v>
      </c>
      <c r="K12" s="197">
        <f t="shared" si="1"/>
        <v>0</v>
      </c>
      <c r="M12" s="1370">
        <f t="shared" si="3"/>
        <v>0</v>
      </c>
      <c r="P12" s="93">
        <f t="shared" si="2"/>
        <v>0</v>
      </c>
      <c r="Q12" s="93">
        <f t="shared" si="2"/>
        <v>0</v>
      </c>
      <c r="R12" s="93">
        <f t="shared" si="2"/>
        <v>0</v>
      </c>
      <c r="AA12" s="94" t="s">
        <v>286</v>
      </c>
      <c r="AB12" s="87" t="s">
        <v>287</v>
      </c>
      <c r="AC12" s="87"/>
      <c r="AD12" s="95" t="s">
        <v>51</v>
      </c>
      <c r="AE12" s="96">
        <v>3</v>
      </c>
      <c r="AF12" s="2533" t="s">
        <v>288</v>
      </c>
      <c r="AG12" s="2534" t="s">
        <v>289</v>
      </c>
      <c r="AH12" s="2535" t="s">
        <v>290</v>
      </c>
      <c r="AI12" s="191" t="s">
        <v>291</v>
      </c>
      <c r="AJ12" s="197" t="s">
        <v>292</v>
      </c>
    </row>
    <row r="13" spans="2:36" ht="15" thickBot="1">
      <c r="B13" s="101" t="s">
        <v>293</v>
      </c>
      <c r="C13" s="102" t="s">
        <v>294</v>
      </c>
      <c r="D13" s="102"/>
      <c r="E13" s="103" t="s">
        <v>51</v>
      </c>
      <c r="F13" s="100">
        <v>3</v>
      </c>
      <c r="G13" s="393">
        <f>SUM( G7:G12 )</f>
        <v>9121.3660000000018</v>
      </c>
      <c r="H13" s="193">
        <f>SUM( H7:H12 )</f>
        <v>-135.26499999999999</v>
      </c>
      <c r="I13" s="194">
        <f>SUM( I7:I12 )</f>
        <v>3.0419999999999998</v>
      </c>
      <c r="J13" s="195">
        <f t="shared" si="0"/>
        <v>-138.30699999999999</v>
      </c>
      <c r="K13" s="198">
        <f t="shared" si="1"/>
        <v>8983.0590000000011</v>
      </c>
      <c r="M13" s="126"/>
      <c r="AA13" s="101" t="s">
        <v>293</v>
      </c>
      <c r="AB13" s="102" t="s">
        <v>294</v>
      </c>
      <c r="AC13" s="102"/>
      <c r="AD13" s="103" t="s">
        <v>51</v>
      </c>
      <c r="AE13" s="100">
        <v>3</v>
      </c>
      <c r="AF13" s="393" t="s">
        <v>295</v>
      </c>
      <c r="AG13" s="193" t="s">
        <v>296</v>
      </c>
      <c r="AH13" s="194" t="s">
        <v>297</v>
      </c>
      <c r="AI13" s="195" t="s">
        <v>298</v>
      </c>
      <c r="AJ13" s="198" t="s">
        <v>299</v>
      </c>
    </row>
    <row r="14" spans="2:36" ht="15" thickBot="1">
      <c r="M14" s="126"/>
    </row>
    <row r="15" spans="2:36" ht="15" thickBot="1">
      <c r="B15" s="3036" t="s">
        <v>177</v>
      </c>
      <c r="C15" s="83" t="s">
        <v>300</v>
      </c>
      <c r="D15" s="1505"/>
      <c r="M15" s="126"/>
      <c r="AA15" s="3036" t="s">
        <v>177</v>
      </c>
      <c r="AB15" s="83" t="s">
        <v>300</v>
      </c>
      <c r="AC15" s="1505"/>
    </row>
    <row r="16" spans="2:36">
      <c r="B16" s="86" t="s">
        <v>301</v>
      </c>
      <c r="C16" s="117" t="s">
        <v>302</v>
      </c>
      <c r="D16" s="117"/>
      <c r="E16" s="88" t="s">
        <v>51</v>
      </c>
      <c r="F16" s="89">
        <v>3</v>
      </c>
      <c r="G16" s="465">
        <v>3.4380000000000002</v>
      </c>
      <c r="H16" s="413">
        <v>0</v>
      </c>
      <c r="I16" s="424">
        <v>0</v>
      </c>
      <c r="J16" s="190">
        <f xml:space="preserve"> H16 - I16</f>
        <v>0</v>
      </c>
      <c r="K16" s="196">
        <f xml:space="preserve"> G16 + J16</f>
        <v>3.4380000000000002</v>
      </c>
      <c r="M16" s="1370">
        <f t="shared" ref="M16:M19" si="4" xml:space="preserve"> IF( SUM( O16:S16 ) = 0, 0, $P$6 )</f>
        <v>0</v>
      </c>
      <c r="P16" s="93">
        <f t="shared" si="2"/>
        <v>0</v>
      </c>
      <c r="Q16" s="93">
        <f t="shared" si="2"/>
        <v>0</v>
      </c>
      <c r="R16" s="93">
        <f t="shared" si="2"/>
        <v>0</v>
      </c>
      <c r="AA16" s="86" t="s">
        <v>301</v>
      </c>
      <c r="AB16" s="117" t="s">
        <v>302</v>
      </c>
      <c r="AC16" s="117"/>
      <c r="AD16" s="88" t="s">
        <v>51</v>
      </c>
      <c r="AE16" s="89">
        <v>3</v>
      </c>
      <c r="AF16" s="2521" t="s">
        <v>303</v>
      </c>
      <c r="AG16" s="2516" t="s">
        <v>304</v>
      </c>
      <c r="AH16" s="2517" t="s">
        <v>305</v>
      </c>
      <c r="AI16" s="190" t="s">
        <v>306</v>
      </c>
      <c r="AJ16" s="196" t="s">
        <v>307</v>
      </c>
    </row>
    <row r="17" spans="2:36">
      <c r="B17" s="94" t="s">
        <v>308</v>
      </c>
      <c r="C17" s="87" t="s">
        <v>309</v>
      </c>
      <c r="D17" s="87"/>
      <c r="E17" s="95" t="s">
        <v>51</v>
      </c>
      <c r="F17" s="96">
        <v>3</v>
      </c>
      <c r="G17" s="461">
        <v>281.39699999999999</v>
      </c>
      <c r="H17" s="411">
        <v>0</v>
      </c>
      <c r="I17" s="412">
        <v>2.9249999999999998</v>
      </c>
      <c r="J17" s="191">
        <f xml:space="preserve"> H17 - I17</f>
        <v>-2.9249999999999998</v>
      </c>
      <c r="K17" s="197">
        <f xml:space="preserve"> G17 + J17</f>
        <v>278.47199999999998</v>
      </c>
      <c r="M17" s="1370">
        <f t="shared" si="4"/>
        <v>0</v>
      </c>
      <c r="P17" s="93">
        <f t="shared" si="2"/>
        <v>0</v>
      </c>
      <c r="Q17" s="93">
        <f t="shared" si="2"/>
        <v>0</v>
      </c>
      <c r="R17" s="93">
        <f t="shared" si="2"/>
        <v>0</v>
      </c>
      <c r="AA17" s="94" t="s">
        <v>308</v>
      </c>
      <c r="AB17" s="87" t="s">
        <v>309</v>
      </c>
      <c r="AC17" s="87"/>
      <c r="AD17" s="95" t="s">
        <v>51</v>
      </c>
      <c r="AE17" s="96">
        <v>3</v>
      </c>
      <c r="AF17" s="2522" t="s">
        <v>310</v>
      </c>
      <c r="AG17" s="2519" t="s">
        <v>311</v>
      </c>
      <c r="AH17" s="2520" t="s">
        <v>312</v>
      </c>
      <c r="AI17" s="191" t="s">
        <v>313</v>
      </c>
      <c r="AJ17" s="197" t="s">
        <v>314</v>
      </c>
    </row>
    <row r="18" spans="2:36">
      <c r="B18" s="94" t="s">
        <v>315</v>
      </c>
      <c r="C18" s="87" t="s">
        <v>280</v>
      </c>
      <c r="D18" s="87"/>
      <c r="E18" s="95" t="s">
        <v>51</v>
      </c>
      <c r="F18" s="96">
        <v>3</v>
      </c>
      <c r="G18" s="461">
        <v>0</v>
      </c>
      <c r="H18" s="411">
        <v>0</v>
      </c>
      <c r="I18" s="412">
        <v>0</v>
      </c>
      <c r="J18" s="191">
        <f xml:space="preserve"> H18 - I18</f>
        <v>0</v>
      </c>
      <c r="K18" s="197">
        <f xml:space="preserve"> G18 + J18</f>
        <v>0</v>
      </c>
      <c r="M18" s="1370">
        <f t="shared" si="4"/>
        <v>0</v>
      </c>
      <c r="P18" s="93">
        <f t="shared" si="2"/>
        <v>0</v>
      </c>
      <c r="Q18" s="93">
        <f t="shared" si="2"/>
        <v>0</v>
      </c>
      <c r="R18" s="93">
        <f t="shared" si="2"/>
        <v>0</v>
      </c>
      <c r="AA18" s="94" t="s">
        <v>315</v>
      </c>
      <c r="AB18" s="87" t="s">
        <v>280</v>
      </c>
      <c r="AC18" s="87"/>
      <c r="AD18" s="95" t="s">
        <v>51</v>
      </c>
      <c r="AE18" s="96">
        <v>3</v>
      </c>
      <c r="AF18" s="2522" t="s">
        <v>316</v>
      </c>
      <c r="AG18" s="2519" t="s">
        <v>317</v>
      </c>
      <c r="AH18" s="2520" t="s">
        <v>318</v>
      </c>
      <c r="AI18" s="191" t="s">
        <v>319</v>
      </c>
      <c r="AJ18" s="197" t="s">
        <v>320</v>
      </c>
    </row>
    <row r="19" spans="2:36">
      <c r="B19" s="94" t="s">
        <v>321</v>
      </c>
      <c r="C19" s="87" t="s">
        <v>322</v>
      </c>
      <c r="D19" s="87"/>
      <c r="E19" s="95" t="s">
        <v>51</v>
      </c>
      <c r="F19" s="96">
        <v>3</v>
      </c>
      <c r="G19" s="461">
        <v>262.36799999999999</v>
      </c>
      <c r="H19" s="411">
        <v>0</v>
      </c>
      <c r="I19" s="412">
        <v>0</v>
      </c>
      <c r="J19" s="191">
        <f xml:space="preserve"> H19 - I19</f>
        <v>0</v>
      </c>
      <c r="K19" s="197">
        <f xml:space="preserve"> G19 + J19</f>
        <v>262.36799999999999</v>
      </c>
      <c r="M19" s="1370">
        <f t="shared" si="4"/>
        <v>0</v>
      </c>
      <c r="P19" s="93">
        <f t="shared" si="2"/>
        <v>0</v>
      </c>
      <c r="Q19" s="93">
        <f t="shared" si="2"/>
        <v>0</v>
      </c>
      <c r="R19" s="93">
        <f t="shared" si="2"/>
        <v>0</v>
      </c>
      <c r="AA19" s="94" t="s">
        <v>321</v>
      </c>
      <c r="AB19" s="87" t="s">
        <v>322</v>
      </c>
      <c r="AC19" s="87"/>
      <c r="AD19" s="95" t="s">
        <v>51</v>
      </c>
      <c r="AE19" s="96">
        <v>3</v>
      </c>
      <c r="AF19" s="2522" t="s">
        <v>323</v>
      </c>
      <c r="AG19" s="2519" t="s">
        <v>324</v>
      </c>
      <c r="AH19" s="2520" t="s">
        <v>325</v>
      </c>
      <c r="AI19" s="191" t="s">
        <v>326</v>
      </c>
      <c r="AJ19" s="197" t="s">
        <v>327</v>
      </c>
    </row>
    <row r="20" spans="2:36" ht="15" thickBot="1">
      <c r="B20" s="101" t="s">
        <v>328</v>
      </c>
      <c r="C20" s="102" t="s">
        <v>329</v>
      </c>
      <c r="D20" s="102"/>
      <c r="E20" s="103" t="s">
        <v>51</v>
      </c>
      <c r="F20" s="100">
        <v>3</v>
      </c>
      <c r="G20" s="195">
        <f>SUM( G16:G19 )</f>
        <v>547.20299999999997</v>
      </c>
      <c r="H20" s="200">
        <f>SUM( H16:H19 )</f>
        <v>0</v>
      </c>
      <c r="I20" s="195">
        <f>SUM( I16:I19 )</f>
        <v>2.9249999999999998</v>
      </c>
      <c r="J20" s="195">
        <f xml:space="preserve"> H20 - I20</f>
        <v>-2.9249999999999998</v>
      </c>
      <c r="K20" s="198">
        <f xml:space="preserve"> G20 + J20</f>
        <v>544.27800000000002</v>
      </c>
      <c r="M20" s="126"/>
      <c r="AA20" s="101" t="s">
        <v>328</v>
      </c>
      <c r="AB20" s="102" t="s">
        <v>329</v>
      </c>
      <c r="AC20" s="102"/>
      <c r="AD20" s="103" t="s">
        <v>51</v>
      </c>
      <c r="AE20" s="100">
        <v>3</v>
      </c>
      <c r="AF20" s="195" t="s">
        <v>330</v>
      </c>
      <c r="AG20" s="200" t="s">
        <v>331</v>
      </c>
      <c r="AH20" s="195" t="s">
        <v>332</v>
      </c>
      <c r="AI20" s="195" t="s">
        <v>333</v>
      </c>
      <c r="AJ20" s="198" t="s">
        <v>334</v>
      </c>
    </row>
    <row r="21" spans="2:36" ht="15" thickBot="1">
      <c r="M21" s="126"/>
    </row>
    <row r="22" spans="2:36" ht="15" thickBot="1">
      <c r="B22" s="3036" t="s">
        <v>335</v>
      </c>
      <c r="C22" s="83" t="s">
        <v>336</v>
      </c>
      <c r="D22" s="1505"/>
      <c r="M22" s="126"/>
      <c r="AA22" s="3036" t="s">
        <v>335</v>
      </c>
      <c r="AB22" s="83" t="s">
        <v>336</v>
      </c>
      <c r="AC22" s="1505"/>
    </row>
    <row r="23" spans="2:36">
      <c r="B23" s="86" t="s">
        <v>337</v>
      </c>
      <c r="C23" s="117" t="s">
        <v>338</v>
      </c>
      <c r="D23" s="117"/>
      <c r="E23" s="88" t="s">
        <v>51</v>
      </c>
      <c r="F23" s="89">
        <v>3</v>
      </c>
      <c r="G23" s="465">
        <v>-275.05200000000002</v>
      </c>
      <c r="H23" s="413">
        <v>0</v>
      </c>
      <c r="I23" s="424">
        <v>-0.40799999999999997</v>
      </c>
      <c r="J23" s="190">
        <f t="shared" ref="J23:J31" si="5" xml:space="preserve"> H23 - I23</f>
        <v>0.40799999999999997</v>
      </c>
      <c r="K23" s="196">
        <f t="shared" ref="K23:K31" si="6" xml:space="preserve"> G23 + J23</f>
        <v>-274.64400000000001</v>
      </c>
      <c r="M23" s="1370">
        <f t="shared" ref="M23:M28" si="7" xml:space="preserve"> IF( SUM( O23:S23 ) = 0, 0, $P$6 )</f>
        <v>0</v>
      </c>
      <c r="O23" s="124"/>
      <c r="P23" s="93">
        <f t="shared" ref="P23:R49" si="8" xml:space="preserve"> IF( ISNUMBER( G23 ), 0, 1 )</f>
        <v>0</v>
      </c>
      <c r="Q23" s="93">
        <f t="shared" si="8"/>
        <v>0</v>
      </c>
      <c r="R23" s="93">
        <f t="shared" si="8"/>
        <v>0</v>
      </c>
      <c r="S23" s="124"/>
      <c r="AA23" s="86" t="s">
        <v>337</v>
      </c>
      <c r="AB23" s="117" t="s">
        <v>338</v>
      </c>
      <c r="AC23" s="117"/>
      <c r="AD23" s="88" t="s">
        <v>51</v>
      </c>
      <c r="AE23" s="89">
        <v>3</v>
      </c>
      <c r="AF23" s="2521" t="s">
        <v>339</v>
      </c>
      <c r="AG23" s="2516" t="s">
        <v>340</v>
      </c>
      <c r="AH23" s="2517" t="s">
        <v>341</v>
      </c>
      <c r="AI23" s="190" t="s">
        <v>342</v>
      </c>
      <c r="AJ23" s="196" t="s">
        <v>343</v>
      </c>
    </row>
    <row r="24" spans="2:36">
      <c r="B24" s="94" t="s">
        <v>344</v>
      </c>
      <c r="C24" s="87" t="s">
        <v>345</v>
      </c>
      <c r="D24" s="87"/>
      <c r="E24" s="95" t="s">
        <v>51</v>
      </c>
      <c r="F24" s="96">
        <v>3</v>
      </c>
      <c r="G24" s="461">
        <v>-109.126</v>
      </c>
      <c r="H24" s="411">
        <v>0</v>
      </c>
      <c r="I24" s="412">
        <v>0</v>
      </c>
      <c r="J24" s="191">
        <f t="shared" si="5"/>
        <v>0</v>
      </c>
      <c r="K24" s="197">
        <f t="shared" si="6"/>
        <v>-109.126</v>
      </c>
      <c r="M24" s="1370">
        <f t="shared" si="7"/>
        <v>0</v>
      </c>
      <c r="O24" s="119"/>
      <c r="P24" s="93">
        <f t="shared" si="8"/>
        <v>0</v>
      </c>
      <c r="Q24" s="93">
        <f t="shared" si="8"/>
        <v>0</v>
      </c>
      <c r="R24" s="93">
        <f t="shared" si="8"/>
        <v>0</v>
      </c>
      <c r="S24" s="119"/>
      <c r="AA24" s="94" t="s">
        <v>344</v>
      </c>
      <c r="AB24" s="87" t="s">
        <v>345</v>
      </c>
      <c r="AC24" s="87"/>
      <c r="AD24" s="95" t="s">
        <v>51</v>
      </c>
      <c r="AE24" s="96">
        <v>3</v>
      </c>
      <c r="AF24" s="2522" t="s">
        <v>346</v>
      </c>
      <c r="AG24" s="2519" t="s">
        <v>347</v>
      </c>
      <c r="AH24" s="2520" t="s">
        <v>348</v>
      </c>
      <c r="AI24" s="191" t="s">
        <v>349</v>
      </c>
      <c r="AJ24" s="197" t="s">
        <v>350</v>
      </c>
    </row>
    <row r="25" spans="2:36">
      <c r="B25" s="94" t="s">
        <v>351</v>
      </c>
      <c r="C25" s="87" t="s">
        <v>352</v>
      </c>
      <c r="D25" s="87"/>
      <c r="E25" s="95" t="s">
        <v>51</v>
      </c>
      <c r="F25" s="96">
        <v>3</v>
      </c>
      <c r="G25" s="461">
        <v>-374.88900000000001</v>
      </c>
      <c r="H25" s="411">
        <v>0</v>
      </c>
      <c r="I25" s="412">
        <v>0</v>
      </c>
      <c r="J25" s="191">
        <f t="shared" si="5"/>
        <v>0</v>
      </c>
      <c r="K25" s="197">
        <f t="shared" si="6"/>
        <v>-374.88900000000001</v>
      </c>
      <c r="M25" s="1370">
        <f t="shared" si="7"/>
        <v>0</v>
      </c>
      <c r="O25" s="119"/>
      <c r="P25" s="93">
        <f t="shared" si="8"/>
        <v>0</v>
      </c>
      <c r="Q25" s="93">
        <f t="shared" si="8"/>
        <v>0</v>
      </c>
      <c r="R25" s="93">
        <f t="shared" si="8"/>
        <v>0</v>
      </c>
      <c r="S25" s="119"/>
      <c r="AA25" s="94" t="s">
        <v>351</v>
      </c>
      <c r="AB25" s="87" t="s">
        <v>352</v>
      </c>
      <c r="AC25" s="87"/>
      <c r="AD25" s="95" t="s">
        <v>51</v>
      </c>
      <c r="AE25" s="96">
        <v>3</v>
      </c>
      <c r="AF25" s="2522" t="s">
        <v>353</v>
      </c>
      <c r="AG25" s="2519" t="s">
        <v>354</v>
      </c>
      <c r="AH25" s="2520" t="s">
        <v>355</v>
      </c>
      <c r="AI25" s="191" t="s">
        <v>356</v>
      </c>
      <c r="AJ25" s="197" t="s">
        <v>357</v>
      </c>
    </row>
    <row r="26" spans="2:36">
      <c r="B26" s="94" t="s">
        <v>358</v>
      </c>
      <c r="C26" s="87" t="s">
        <v>280</v>
      </c>
      <c r="D26" s="87"/>
      <c r="E26" s="95" t="s">
        <v>51</v>
      </c>
      <c r="F26" s="96">
        <v>3</v>
      </c>
      <c r="G26" s="461">
        <v>0</v>
      </c>
      <c r="H26" s="411">
        <v>0</v>
      </c>
      <c r="I26" s="412">
        <v>0</v>
      </c>
      <c r="J26" s="191">
        <f t="shared" si="5"/>
        <v>0</v>
      </c>
      <c r="K26" s="197">
        <f t="shared" si="6"/>
        <v>0</v>
      </c>
      <c r="M26" s="1370">
        <f t="shared" si="7"/>
        <v>0</v>
      </c>
      <c r="O26" s="119"/>
      <c r="P26" s="93">
        <f t="shared" si="8"/>
        <v>0</v>
      </c>
      <c r="Q26" s="93">
        <f t="shared" si="8"/>
        <v>0</v>
      </c>
      <c r="R26" s="93">
        <f t="shared" si="8"/>
        <v>0</v>
      </c>
      <c r="S26" s="119"/>
      <c r="AA26" s="94" t="s">
        <v>358</v>
      </c>
      <c r="AB26" s="87" t="s">
        <v>280</v>
      </c>
      <c r="AC26" s="87"/>
      <c r="AD26" s="95" t="s">
        <v>51</v>
      </c>
      <c r="AE26" s="96">
        <v>3</v>
      </c>
      <c r="AF26" s="2522" t="s">
        <v>359</v>
      </c>
      <c r="AG26" s="2519" t="s">
        <v>360</v>
      </c>
      <c r="AH26" s="2520" t="s">
        <v>361</v>
      </c>
      <c r="AI26" s="191" t="s">
        <v>362</v>
      </c>
      <c r="AJ26" s="197" t="s">
        <v>363</v>
      </c>
    </row>
    <row r="27" spans="2:36">
      <c r="B27" s="94" t="s">
        <v>364</v>
      </c>
      <c r="C27" s="87" t="s">
        <v>365</v>
      </c>
      <c r="D27" s="87"/>
      <c r="E27" s="95" t="s">
        <v>51</v>
      </c>
      <c r="F27" s="96">
        <v>3</v>
      </c>
      <c r="G27" s="461">
        <v>0</v>
      </c>
      <c r="H27" s="411">
        <v>0</v>
      </c>
      <c r="I27" s="412">
        <v>0</v>
      </c>
      <c r="J27" s="191">
        <f t="shared" si="5"/>
        <v>0</v>
      </c>
      <c r="K27" s="197">
        <f t="shared" si="6"/>
        <v>0</v>
      </c>
      <c r="M27" s="1370">
        <f t="shared" si="7"/>
        <v>0</v>
      </c>
      <c r="O27" s="119"/>
      <c r="P27" s="93">
        <f t="shared" si="8"/>
        <v>0</v>
      </c>
      <c r="Q27" s="93">
        <f t="shared" si="8"/>
        <v>0</v>
      </c>
      <c r="R27" s="93">
        <f t="shared" si="8"/>
        <v>0</v>
      </c>
      <c r="S27" s="119"/>
      <c r="AA27" s="94" t="s">
        <v>364</v>
      </c>
      <c r="AB27" s="87" t="s">
        <v>365</v>
      </c>
      <c r="AC27" s="87"/>
      <c r="AD27" s="95" t="s">
        <v>51</v>
      </c>
      <c r="AE27" s="96">
        <v>3</v>
      </c>
      <c r="AF27" s="2522" t="s">
        <v>366</v>
      </c>
      <c r="AG27" s="2519" t="s">
        <v>367</v>
      </c>
      <c r="AH27" s="2520" t="s">
        <v>368</v>
      </c>
      <c r="AI27" s="191" t="s">
        <v>369</v>
      </c>
      <c r="AJ27" s="197" t="s">
        <v>370</v>
      </c>
    </row>
    <row r="28" spans="2:36">
      <c r="B28" s="94" t="s">
        <v>371</v>
      </c>
      <c r="C28" s="87" t="s">
        <v>372</v>
      </c>
      <c r="D28" s="87"/>
      <c r="E28" s="95" t="s">
        <v>51</v>
      </c>
      <c r="F28" s="96">
        <v>3</v>
      </c>
      <c r="G28" s="461">
        <v>-11.244999999999999</v>
      </c>
      <c r="H28" s="411">
        <v>0</v>
      </c>
      <c r="I28" s="412">
        <v>0</v>
      </c>
      <c r="J28" s="191">
        <f t="shared" si="5"/>
        <v>0</v>
      </c>
      <c r="K28" s="197">
        <f t="shared" si="6"/>
        <v>-11.244999999999999</v>
      </c>
      <c r="M28" s="1370">
        <f t="shared" si="7"/>
        <v>0</v>
      </c>
      <c r="O28" s="119"/>
      <c r="P28" s="93">
        <f t="shared" si="8"/>
        <v>0</v>
      </c>
      <c r="Q28" s="93">
        <f t="shared" si="8"/>
        <v>0</v>
      </c>
      <c r="R28" s="93">
        <f t="shared" si="8"/>
        <v>0</v>
      </c>
      <c r="S28" s="119"/>
      <c r="AA28" s="94" t="s">
        <v>371</v>
      </c>
      <c r="AB28" s="87" t="s">
        <v>372</v>
      </c>
      <c r="AC28" s="87"/>
      <c r="AD28" s="95" t="s">
        <v>51</v>
      </c>
      <c r="AE28" s="96">
        <v>3</v>
      </c>
      <c r="AF28" s="2522" t="s">
        <v>373</v>
      </c>
      <c r="AG28" s="2519" t="s">
        <v>374</v>
      </c>
      <c r="AH28" s="2520" t="s">
        <v>375</v>
      </c>
      <c r="AI28" s="191" t="s">
        <v>376</v>
      </c>
      <c r="AJ28" s="197" t="s">
        <v>377</v>
      </c>
    </row>
    <row r="29" spans="2:36" ht="15" thickBot="1">
      <c r="B29" s="101" t="s">
        <v>378</v>
      </c>
      <c r="C29" s="102" t="s">
        <v>379</v>
      </c>
      <c r="D29" s="102"/>
      <c r="E29" s="103" t="s">
        <v>51</v>
      </c>
      <c r="F29" s="100">
        <v>3</v>
      </c>
      <c r="G29" s="200">
        <f xml:space="preserve"> SUM( G23:G28 )</f>
        <v>-770.31200000000001</v>
      </c>
      <c r="H29" s="193">
        <f xml:space="preserve"> SUM( H23:H28 )</f>
        <v>0</v>
      </c>
      <c r="I29" s="194">
        <f xml:space="preserve"> SUM( I23:I28 )</f>
        <v>-0.40799999999999997</v>
      </c>
      <c r="J29" s="195">
        <f t="shared" si="5"/>
        <v>0.40799999999999997</v>
      </c>
      <c r="K29" s="198">
        <f t="shared" si="6"/>
        <v>-769.904</v>
      </c>
      <c r="M29" s="126"/>
      <c r="N29" s="120"/>
      <c r="O29" s="119"/>
      <c r="P29" s="120"/>
      <c r="Q29" s="120"/>
      <c r="R29" s="120"/>
      <c r="S29" s="119"/>
      <c r="AA29" s="101" t="s">
        <v>378</v>
      </c>
      <c r="AB29" s="102" t="s">
        <v>379</v>
      </c>
      <c r="AC29" s="102"/>
      <c r="AD29" s="103" t="s">
        <v>51</v>
      </c>
      <c r="AE29" s="100">
        <v>3</v>
      </c>
      <c r="AF29" s="200" t="s">
        <v>380</v>
      </c>
      <c r="AG29" s="193" t="s">
        <v>381</v>
      </c>
      <c r="AH29" s="194" t="s">
        <v>382</v>
      </c>
      <c r="AI29" s="195" t="s">
        <v>383</v>
      </c>
      <c r="AJ29" s="198" t="s">
        <v>384</v>
      </c>
    </row>
    <row r="30" spans="2:36" ht="15" thickBot="1">
      <c r="M30" s="126"/>
    </row>
    <row r="31" spans="2:36" ht="15" thickBot="1">
      <c r="B31" s="131" t="s">
        <v>385</v>
      </c>
      <c r="C31" s="132" t="s">
        <v>386</v>
      </c>
      <c r="D31" s="132"/>
      <c r="E31" s="133" t="s">
        <v>51</v>
      </c>
      <c r="F31" s="134">
        <v>3</v>
      </c>
      <c r="G31" s="738">
        <f xml:space="preserve"> G20 + G29</f>
        <v>-223.10900000000004</v>
      </c>
      <c r="H31" s="739">
        <f xml:space="preserve"> H20 + H29</f>
        <v>0</v>
      </c>
      <c r="I31" s="740">
        <f xml:space="preserve"> I20 + I29</f>
        <v>2.5169999999999999</v>
      </c>
      <c r="J31" s="247">
        <f t="shared" si="5"/>
        <v>-2.5169999999999999</v>
      </c>
      <c r="K31" s="486">
        <f t="shared" si="6"/>
        <v>-225.62600000000003</v>
      </c>
      <c r="M31" s="126"/>
      <c r="N31" s="120"/>
      <c r="O31" s="119"/>
      <c r="P31" s="120"/>
      <c r="Q31" s="120"/>
      <c r="R31" s="120"/>
      <c r="S31" s="119"/>
      <c r="AA31" s="131" t="s">
        <v>385</v>
      </c>
      <c r="AB31" s="132" t="s">
        <v>386</v>
      </c>
      <c r="AC31" s="132"/>
      <c r="AD31" s="133" t="s">
        <v>51</v>
      </c>
      <c r="AE31" s="134">
        <v>3</v>
      </c>
      <c r="AF31" s="738" t="s">
        <v>387</v>
      </c>
      <c r="AG31" s="739" t="s">
        <v>388</v>
      </c>
      <c r="AH31" s="740" t="s">
        <v>389</v>
      </c>
      <c r="AI31" s="247" t="s">
        <v>390</v>
      </c>
      <c r="AJ31" s="486" t="s">
        <v>391</v>
      </c>
    </row>
    <row r="32" spans="2:36" ht="15" thickBot="1">
      <c r="M32" s="126"/>
      <c r="O32" s="119"/>
      <c r="S32" s="119"/>
    </row>
    <row r="33" spans="2:36" ht="15" thickBot="1">
      <c r="B33" s="3036" t="s">
        <v>392</v>
      </c>
      <c r="C33" s="83" t="s">
        <v>393</v>
      </c>
      <c r="D33" s="1505"/>
      <c r="M33" s="126"/>
      <c r="O33" s="119"/>
      <c r="S33" s="119"/>
      <c r="AA33" s="3036" t="s">
        <v>392</v>
      </c>
      <c r="AB33" s="83" t="s">
        <v>393</v>
      </c>
      <c r="AC33" s="1505"/>
    </row>
    <row r="34" spans="2:36">
      <c r="B34" s="86" t="s">
        <v>394</v>
      </c>
      <c r="C34" s="117" t="s">
        <v>338</v>
      </c>
      <c r="D34" s="117"/>
      <c r="E34" s="88" t="s">
        <v>51</v>
      </c>
      <c r="F34" s="215">
        <v>3</v>
      </c>
      <c r="G34" s="427">
        <v>-2.97</v>
      </c>
      <c r="H34" s="413">
        <v>0</v>
      </c>
      <c r="I34" s="424">
        <v>0</v>
      </c>
      <c r="J34" s="190">
        <f t="shared" ref="J34:J45" si="9" xml:space="preserve"> H34 - I34</f>
        <v>0</v>
      </c>
      <c r="K34" s="199">
        <f t="shared" ref="K34:K45" si="10" xml:space="preserve"> G34 + J34</f>
        <v>-2.97</v>
      </c>
      <c r="M34" s="1370">
        <f t="shared" ref="M34:M42" si="11" xml:space="preserve"> IF( SUM( O34:S34 ) = 0, 0, $P$6 )</f>
        <v>0</v>
      </c>
      <c r="O34" s="124"/>
      <c r="P34" s="401">
        <f t="shared" si="8"/>
        <v>0</v>
      </c>
      <c r="Q34" s="401">
        <f t="shared" si="8"/>
        <v>0</v>
      </c>
      <c r="R34" s="401">
        <f t="shared" si="8"/>
        <v>0</v>
      </c>
      <c r="S34" s="124"/>
      <c r="AA34" s="86" t="s">
        <v>394</v>
      </c>
      <c r="AB34" s="117" t="s">
        <v>338</v>
      </c>
      <c r="AC34" s="117"/>
      <c r="AD34" s="88" t="s">
        <v>51</v>
      </c>
      <c r="AE34" s="215">
        <v>3</v>
      </c>
      <c r="AF34" s="2536" t="s">
        <v>395</v>
      </c>
      <c r="AG34" s="2516" t="s">
        <v>396</v>
      </c>
      <c r="AH34" s="2517" t="s">
        <v>397</v>
      </c>
      <c r="AI34" s="190" t="s">
        <v>398</v>
      </c>
      <c r="AJ34" s="199" t="s">
        <v>399</v>
      </c>
    </row>
    <row r="35" spans="2:36">
      <c r="B35" s="170" t="s">
        <v>400</v>
      </c>
      <c r="C35" s="171" t="s">
        <v>352</v>
      </c>
      <c r="D35" s="171"/>
      <c r="E35" s="167" t="s">
        <v>51</v>
      </c>
      <c r="F35" s="396">
        <v>3</v>
      </c>
      <c r="G35" s="466">
        <v>-5223.2219999999998</v>
      </c>
      <c r="H35" s="467">
        <v>0</v>
      </c>
      <c r="I35" s="468">
        <v>0</v>
      </c>
      <c r="J35" s="397">
        <f t="shared" si="9"/>
        <v>0</v>
      </c>
      <c r="K35" s="398">
        <f t="shared" si="10"/>
        <v>-5223.2219999999998</v>
      </c>
      <c r="M35" s="1370">
        <f t="shared" si="11"/>
        <v>0</v>
      </c>
      <c r="O35" s="124"/>
      <c r="P35" s="93">
        <f t="shared" si="8"/>
        <v>0</v>
      </c>
      <c r="Q35" s="93">
        <f t="shared" si="8"/>
        <v>0</v>
      </c>
      <c r="R35" s="93">
        <f t="shared" si="8"/>
        <v>0</v>
      </c>
      <c r="S35" s="124"/>
      <c r="AA35" s="170" t="s">
        <v>400</v>
      </c>
      <c r="AB35" s="171" t="s">
        <v>352</v>
      </c>
      <c r="AC35" s="171"/>
      <c r="AD35" s="167" t="s">
        <v>51</v>
      </c>
      <c r="AE35" s="396">
        <v>3</v>
      </c>
      <c r="AF35" s="2537" t="s">
        <v>401</v>
      </c>
      <c r="AG35" s="2538" t="s">
        <v>402</v>
      </c>
      <c r="AH35" s="2539" t="s">
        <v>403</v>
      </c>
      <c r="AI35" s="397" t="s">
        <v>404</v>
      </c>
      <c r="AJ35" s="398" t="s">
        <v>405</v>
      </c>
    </row>
    <row r="36" spans="2:36">
      <c r="B36" s="170" t="s">
        <v>406</v>
      </c>
      <c r="C36" s="171" t="s">
        <v>280</v>
      </c>
      <c r="D36" s="171"/>
      <c r="E36" s="167" t="s">
        <v>51</v>
      </c>
      <c r="F36" s="396">
        <v>3</v>
      </c>
      <c r="G36" s="466">
        <v>-2134.1420000000003</v>
      </c>
      <c r="H36" s="467">
        <v>0</v>
      </c>
      <c r="I36" s="468">
        <v>0</v>
      </c>
      <c r="J36" s="397">
        <f t="shared" si="9"/>
        <v>0</v>
      </c>
      <c r="K36" s="398">
        <f t="shared" si="10"/>
        <v>-2134.1420000000003</v>
      </c>
      <c r="M36" s="1370">
        <f t="shared" si="11"/>
        <v>0</v>
      </c>
      <c r="O36" s="124"/>
      <c r="P36" s="93">
        <f t="shared" si="8"/>
        <v>0</v>
      </c>
      <c r="Q36" s="93">
        <f t="shared" si="8"/>
        <v>0</v>
      </c>
      <c r="R36" s="93">
        <f t="shared" si="8"/>
        <v>0</v>
      </c>
      <c r="S36" s="124"/>
      <c r="AA36" s="170" t="s">
        <v>406</v>
      </c>
      <c r="AB36" s="171" t="s">
        <v>280</v>
      </c>
      <c r="AC36" s="171"/>
      <c r="AD36" s="167" t="s">
        <v>51</v>
      </c>
      <c r="AE36" s="396">
        <v>3</v>
      </c>
      <c r="AF36" s="2537" t="s">
        <v>407</v>
      </c>
      <c r="AG36" s="2538" t="s">
        <v>408</v>
      </c>
      <c r="AH36" s="2539" t="s">
        <v>409</v>
      </c>
      <c r="AI36" s="397" t="s">
        <v>410</v>
      </c>
      <c r="AJ36" s="398" t="s">
        <v>411</v>
      </c>
    </row>
    <row r="37" spans="2:36">
      <c r="B37" s="170" t="s">
        <v>412</v>
      </c>
      <c r="C37" s="171" t="s">
        <v>413</v>
      </c>
      <c r="D37" s="171"/>
      <c r="E37" s="167" t="s">
        <v>51</v>
      </c>
      <c r="F37" s="396">
        <v>3</v>
      </c>
      <c r="G37" s="466">
        <v>0</v>
      </c>
      <c r="H37" s="467">
        <v>0</v>
      </c>
      <c r="I37" s="468">
        <v>0</v>
      </c>
      <c r="J37" s="397">
        <f t="shared" si="9"/>
        <v>0</v>
      </c>
      <c r="K37" s="398">
        <f t="shared" si="10"/>
        <v>0</v>
      </c>
      <c r="M37" s="1370">
        <f t="shared" si="11"/>
        <v>0</v>
      </c>
      <c r="O37" s="124"/>
      <c r="P37" s="93">
        <f t="shared" si="8"/>
        <v>0</v>
      </c>
      <c r="Q37" s="93">
        <f t="shared" si="8"/>
        <v>0</v>
      </c>
      <c r="R37" s="93">
        <f t="shared" si="8"/>
        <v>0</v>
      </c>
      <c r="S37" s="124"/>
      <c r="AA37" s="170" t="s">
        <v>412</v>
      </c>
      <c r="AB37" s="171" t="s">
        <v>413</v>
      </c>
      <c r="AC37" s="171"/>
      <c r="AD37" s="167" t="s">
        <v>51</v>
      </c>
      <c r="AE37" s="396">
        <v>3</v>
      </c>
      <c r="AF37" s="2537" t="s">
        <v>414</v>
      </c>
      <c r="AG37" s="2538" t="s">
        <v>415</v>
      </c>
      <c r="AH37" s="2539" t="s">
        <v>416</v>
      </c>
      <c r="AI37" s="397" t="s">
        <v>417</v>
      </c>
      <c r="AJ37" s="398" t="s">
        <v>418</v>
      </c>
    </row>
    <row r="38" spans="2:36">
      <c r="B38" s="170" t="s">
        <v>419</v>
      </c>
      <c r="C38" s="171" t="s">
        <v>372</v>
      </c>
      <c r="D38" s="171"/>
      <c r="E38" s="167" t="s">
        <v>51</v>
      </c>
      <c r="F38" s="396">
        <v>3</v>
      </c>
      <c r="G38" s="466">
        <v>0</v>
      </c>
      <c r="H38" s="467">
        <v>0</v>
      </c>
      <c r="I38" s="468">
        <v>0</v>
      </c>
      <c r="J38" s="397">
        <f t="shared" si="9"/>
        <v>0</v>
      </c>
      <c r="K38" s="398">
        <f t="shared" si="10"/>
        <v>0</v>
      </c>
      <c r="M38" s="1370">
        <f t="shared" si="11"/>
        <v>0</v>
      </c>
      <c r="O38" s="124"/>
      <c r="P38" s="93">
        <f t="shared" si="8"/>
        <v>0</v>
      </c>
      <c r="Q38" s="93">
        <f t="shared" si="8"/>
        <v>0</v>
      </c>
      <c r="R38" s="93">
        <f t="shared" si="8"/>
        <v>0</v>
      </c>
      <c r="S38" s="124"/>
      <c r="AA38" s="170" t="s">
        <v>419</v>
      </c>
      <c r="AB38" s="171" t="s">
        <v>372</v>
      </c>
      <c r="AC38" s="171"/>
      <c r="AD38" s="167" t="s">
        <v>51</v>
      </c>
      <c r="AE38" s="396">
        <v>3</v>
      </c>
      <c r="AF38" s="2537" t="s">
        <v>420</v>
      </c>
      <c r="AG38" s="2538" t="s">
        <v>421</v>
      </c>
      <c r="AH38" s="2539" t="s">
        <v>422</v>
      </c>
      <c r="AI38" s="397" t="s">
        <v>423</v>
      </c>
      <c r="AJ38" s="398" t="s">
        <v>424</v>
      </c>
    </row>
    <row r="39" spans="2:36">
      <c r="B39" s="170" t="s">
        <v>425</v>
      </c>
      <c r="C39" s="171" t="s">
        <v>426</v>
      </c>
      <c r="D39" s="171"/>
      <c r="E39" s="167" t="s">
        <v>51</v>
      </c>
      <c r="F39" s="396">
        <v>3</v>
      </c>
      <c r="G39" s="466">
        <v>-303.601</v>
      </c>
      <c r="H39" s="467">
        <v>-1.663</v>
      </c>
      <c r="I39" s="468">
        <v>-1.89</v>
      </c>
      <c r="J39" s="397">
        <f t="shared" si="9"/>
        <v>0.22699999999999987</v>
      </c>
      <c r="K39" s="398">
        <f t="shared" si="10"/>
        <v>-303.37400000000002</v>
      </c>
      <c r="M39" s="1370">
        <f t="shared" si="11"/>
        <v>0</v>
      </c>
      <c r="O39" s="124"/>
      <c r="P39" s="93">
        <f t="shared" si="8"/>
        <v>0</v>
      </c>
      <c r="Q39" s="93">
        <f t="shared" si="8"/>
        <v>0</v>
      </c>
      <c r="R39" s="93">
        <f t="shared" si="8"/>
        <v>0</v>
      </c>
      <c r="S39" s="124"/>
      <c r="AA39" s="170" t="s">
        <v>425</v>
      </c>
      <c r="AB39" s="171" t="s">
        <v>426</v>
      </c>
      <c r="AC39" s="171"/>
      <c r="AD39" s="167" t="s">
        <v>51</v>
      </c>
      <c r="AE39" s="396">
        <v>3</v>
      </c>
      <c r="AF39" s="2369" t="s">
        <v>427</v>
      </c>
      <c r="AG39" s="2368" t="s">
        <v>428</v>
      </c>
      <c r="AH39" s="2540" t="s">
        <v>429</v>
      </c>
      <c r="AI39" s="2014" t="s">
        <v>430</v>
      </c>
      <c r="AJ39" s="2015" t="s">
        <v>431</v>
      </c>
    </row>
    <row r="40" spans="2:36">
      <c r="B40" s="170" t="s">
        <v>432</v>
      </c>
      <c r="C40" s="171" t="s">
        <v>433</v>
      </c>
      <c r="D40" s="171"/>
      <c r="E40" s="167" t="s">
        <v>51</v>
      </c>
      <c r="F40" s="396">
        <v>3</v>
      </c>
      <c r="G40" s="466">
        <v>-183.08199999999999</v>
      </c>
      <c r="H40" s="467">
        <v>19.184999999999999</v>
      </c>
      <c r="I40" s="468">
        <v>0</v>
      </c>
      <c r="J40" s="397">
        <f t="shared" ref="J40" si="12" xml:space="preserve"> H40 - I40</f>
        <v>19.184999999999999</v>
      </c>
      <c r="K40" s="398">
        <f t="shared" ref="K40" si="13" xml:space="preserve"> G40 + J40</f>
        <v>-163.89699999999999</v>
      </c>
      <c r="M40" s="1370">
        <f t="shared" si="11"/>
        <v>0</v>
      </c>
      <c r="O40" s="124"/>
      <c r="P40" s="93">
        <f t="shared" ref="P40" si="14" xml:space="preserve"> IF( ISNUMBER( G40 ), 0, 1 )</f>
        <v>0</v>
      </c>
      <c r="Q40" s="93">
        <f t="shared" ref="Q40" si="15" xml:space="preserve"> IF( ISNUMBER( H40 ), 0, 1 )</f>
        <v>0</v>
      </c>
      <c r="R40" s="93">
        <f t="shared" ref="R40" si="16" xml:space="preserve"> IF( ISNUMBER( I40 ), 0, 1 )</f>
        <v>0</v>
      </c>
      <c r="S40" s="124"/>
      <c r="AA40" s="170" t="s">
        <v>432</v>
      </c>
      <c r="AB40" s="171" t="s">
        <v>433</v>
      </c>
      <c r="AC40" s="171"/>
      <c r="AD40" s="167" t="s">
        <v>51</v>
      </c>
      <c r="AE40" s="396">
        <v>3</v>
      </c>
      <c r="AF40" s="2369" t="s">
        <v>434</v>
      </c>
      <c r="AG40" s="2368" t="s">
        <v>435</v>
      </c>
      <c r="AH40" s="2540" t="s">
        <v>436</v>
      </c>
      <c r="AI40" s="2014" t="s">
        <v>437</v>
      </c>
      <c r="AJ40" s="2015" t="s">
        <v>438</v>
      </c>
    </row>
    <row r="41" spans="2:36">
      <c r="B41" s="170" t="s">
        <v>439</v>
      </c>
      <c r="C41" s="171" t="s">
        <v>440</v>
      </c>
      <c r="D41" s="171"/>
      <c r="E41" s="167" t="s">
        <v>51</v>
      </c>
      <c r="F41" s="396">
        <v>3</v>
      </c>
      <c r="G41" s="466">
        <v>0</v>
      </c>
      <c r="H41" s="467">
        <v>0</v>
      </c>
      <c r="I41" s="468">
        <v>0</v>
      </c>
      <c r="J41" s="397">
        <f t="shared" si="9"/>
        <v>0</v>
      </c>
      <c r="K41" s="398">
        <f t="shared" si="10"/>
        <v>0</v>
      </c>
      <c r="M41" s="1370">
        <f t="shared" si="11"/>
        <v>0</v>
      </c>
      <c r="O41" s="124"/>
      <c r="P41" s="93">
        <f t="shared" si="8"/>
        <v>0</v>
      </c>
      <c r="Q41" s="93">
        <f t="shared" si="8"/>
        <v>0</v>
      </c>
      <c r="R41" s="93">
        <f t="shared" si="8"/>
        <v>0</v>
      </c>
      <c r="S41" s="124"/>
      <c r="AA41" s="170" t="s">
        <v>439</v>
      </c>
      <c r="AB41" s="171" t="s">
        <v>440</v>
      </c>
      <c r="AC41" s="171"/>
      <c r="AD41" s="167" t="s">
        <v>51</v>
      </c>
      <c r="AE41" s="396">
        <v>3</v>
      </c>
      <c r="AF41" s="2537" t="s">
        <v>441</v>
      </c>
      <c r="AG41" s="2538" t="s">
        <v>442</v>
      </c>
      <c r="AH41" s="2539" t="s">
        <v>443</v>
      </c>
      <c r="AI41" s="397" t="s">
        <v>444</v>
      </c>
      <c r="AJ41" s="398" t="s">
        <v>445</v>
      </c>
    </row>
    <row r="42" spans="2:36">
      <c r="B42" s="170" t="s">
        <v>446</v>
      </c>
      <c r="C42" s="171" t="s">
        <v>135</v>
      </c>
      <c r="D42" s="171"/>
      <c r="E42" s="167" t="s">
        <v>51</v>
      </c>
      <c r="F42" s="396">
        <v>3</v>
      </c>
      <c r="G42" s="466">
        <v>-359.02</v>
      </c>
      <c r="H42" s="467">
        <v>25.7</v>
      </c>
      <c r="I42" s="468">
        <v>0</v>
      </c>
      <c r="J42" s="397">
        <f t="shared" si="9"/>
        <v>25.7</v>
      </c>
      <c r="K42" s="398">
        <f t="shared" si="10"/>
        <v>-333.32</v>
      </c>
      <c r="M42" s="1370">
        <f t="shared" si="11"/>
        <v>0</v>
      </c>
      <c r="O42" s="124"/>
      <c r="P42" s="93">
        <f t="shared" si="8"/>
        <v>0</v>
      </c>
      <c r="Q42" s="93">
        <f t="shared" si="8"/>
        <v>0</v>
      </c>
      <c r="R42" s="93">
        <f t="shared" si="8"/>
        <v>0</v>
      </c>
      <c r="S42" s="124"/>
      <c r="AA42" s="170" t="s">
        <v>446</v>
      </c>
      <c r="AB42" s="171" t="s">
        <v>135</v>
      </c>
      <c r="AC42" s="171"/>
      <c r="AD42" s="167" t="s">
        <v>51</v>
      </c>
      <c r="AE42" s="396">
        <v>3</v>
      </c>
      <c r="AF42" s="2537" t="s">
        <v>447</v>
      </c>
      <c r="AG42" s="2538" t="s">
        <v>448</v>
      </c>
      <c r="AH42" s="2539" t="s">
        <v>449</v>
      </c>
      <c r="AI42" s="397" t="s">
        <v>450</v>
      </c>
      <c r="AJ42" s="398" t="s">
        <v>451</v>
      </c>
    </row>
    <row r="43" spans="2:36" ht="15" thickBot="1">
      <c r="B43" s="101" t="s">
        <v>452</v>
      </c>
      <c r="C43" s="102" t="s">
        <v>453</v>
      </c>
      <c r="D43" s="102"/>
      <c r="E43" s="103" t="s">
        <v>51</v>
      </c>
      <c r="F43" s="100">
        <v>3</v>
      </c>
      <c r="G43" s="200">
        <f xml:space="preserve"> SUM( G34:G42 )</f>
        <v>-8206.0370000000003</v>
      </c>
      <c r="H43" s="193">
        <f xml:space="preserve"> SUM( H34:H42 )</f>
        <v>43.221999999999994</v>
      </c>
      <c r="I43" s="194">
        <f xml:space="preserve"> SUM( I34:I42 )</f>
        <v>-1.89</v>
      </c>
      <c r="J43" s="195">
        <f t="shared" si="9"/>
        <v>45.111999999999995</v>
      </c>
      <c r="K43" s="198">
        <f t="shared" si="10"/>
        <v>-8160.9250000000002</v>
      </c>
      <c r="M43" s="126"/>
      <c r="N43" s="120"/>
      <c r="O43" s="124"/>
      <c r="P43" s="120"/>
      <c r="Q43" s="120"/>
      <c r="R43" s="120"/>
      <c r="S43" s="124"/>
      <c r="AA43" s="101" t="s">
        <v>452</v>
      </c>
      <c r="AB43" s="102" t="s">
        <v>453</v>
      </c>
      <c r="AC43" s="102"/>
      <c r="AD43" s="103" t="s">
        <v>51</v>
      </c>
      <c r="AE43" s="100">
        <v>3</v>
      </c>
      <c r="AF43" s="200" t="s">
        <v>454</v>
      </c>
      <c r="AG43" s="193" t="s">
        <v>455</v>
      </c>
      <c r="AH43" s="194" t="s">
        <v>456</v>
      </c>
      <c r="AI43" s="195" t="s">
        <v>457</v>
      </c>
      <c r="AJ43" s="198" t="s">
        <v>458</v>
      </c>
    </row>
    <row r="44" spans="2:36" ht="15" thickBot="1">
      <c r="M44" s="126"/>
    </row>
    <row r="45" spans="2:36" ht="15" thickBot="1">
      <c r="B45" s="131" t="s">
        <v>459</v>
      </c>
      <c r="C45" s="132" t="s">
        <v>460</v>
      </c>
      <c r="D45" s="132"/>
      <c r="E45" s="133" t="s">
        <v>51</v>
      </c>
      <c r="F45" s="134">
        <v>3</v>
      </c>
      <c r="G45" s="738">
        <f xml:space="preserve"> G13 + G31 + G43</f>
        <v>692.22000000000116</v>
      </c>
      <c r="H45" s="739">
        <f xml:space="preserve"> H13 + H31 + H43</f>
        <v>-92.042999999999992</v>
      </c>
      <c r="I45" s="740">
        <f xml:space="preserve"> I13 + I31 + I43</f>
        <v>3.6689999999999996</v>
      </c>
      <c r="J45" s="247">
        <f t="shared" si="9"/>
        <v>-95.711999999999989</v>
      </c>
      <c r="K45" s="486">
        <f t="shared" si="10"/>
        <v>596.50800000000118</v>
      </c>
      <c r="M45" s="126"/>
      <c r="N45" s="120"/>
      <c r="P45" s="120"/>
      <c r="Q45" s="120"/>
      <c r="R45" s="120"/>
      <c r="AA45" s="131" t="s">
        <v>459</v>
      </c>
      <c r="AB45" s="132" t="s">
        <v>460</v>
      </c>
      <c r="AC45" s="132"/>
      <c r="AD45" s="133" t="s">
        <v>51</v>
      </c>
      <c r="AE45" s="134">
        <v>3</v>
      </c>
      <c r="AF45" s="738" t="s">
        <v>461</v>
      </c>
      <c r="AG45" s="739" t="s">
        <v>462</v>
      </c>
      <c r="AH45" s="740" t="s">
        <v>463</v>
      </c>
      <c r="AI45" s="247" t="s">
        <v>464</v>
      </c>
      <c r="AJ45" s="486" t="s">
        <v>465</v>
      </c>
    </row>
    <row r="46" spans="2:36" ht="15" thickBot="1">
      <c r="M46" s="126"/>
    </row>
    <row r="47" spans="2:36" ht="15" thickBot="1">
      <c r="B47" s="3036" t="s">
        <v>466</v>
      </c>
      <c r="C47" s="83" t="s">
        <v>467</v>
      </c>
      <c r="D47" s="1505"/>
      <c r="M47" s="126"/>
      <c r="AA47" s="3036" t="s">
        <v>466</v>
      </c>
      <c r="AB47" s="83" t="s">
        <v>467</v>
      </c>
      <c r="AC47" s="1505"/>
    </row>
    <row r="48" spans="2:36">
      <c r="B48" s="86" t="s">
        <v>468</v>
      </c>
      <c r="C48" s="117" t="s">
        <v>469</v>
      </c>
      <c r="D48" s="117"/>
      <c r="E48" s="88" t="s">
        <v>51</v>
      </c>
      <c r="F48" s="215">
        <v>3</v>
      </c>
      <c r="G48" s="427">
        <v>11</v>
      </c>
      <c r="H48" s="413">
        <v>0</v>
      </c>
      <c r="I48" s="424">
        <v>0</v>
      </c>
      <c r="J48" s="190">
        <f xml:space="preserve"> H48 - I48</f>
        <v>0</v>
      </c>
      <c r="K48" s="199">
        <f xml:space="preserve"> G48 + J48</f>
        <v>11</v>
      </c>
      <c r="M48" s="1370">
        <f xml:space="preserve"> IF( SUM( O48:S48 ) = 0, 0, $P$6 )</f>
        <v>0</v>
      </c>
      <c r="P48" s="93">
        <f t="shared" si="8"/>
        <v>0</v>
      </c>
      <c r="Q48" s="93">
        <f t="shared" si="8"/>
        <v>0</v>
      </c>
      <c r="R48" s="93">
        <f t="shared" si="8"/>
        <v>0</v>
      </c>
      <c r="AA48" s="86" t="s">
        <v>468</v>
      </c>
      <c r="AB48" s="117" t="s">
        <v>469</v>
      </c>
      <c r="AC48" s="117"/>
      <c r="AD48" s="88" t="s">
        <v>51</v>
      </c>
      <c r="AE48" s="215">
        <v>3</v>
      </c>
      <c r="AF48" s="2536" t="s">
        <v>470</v>
      </c>
      <c r="AG48" s="2516" t="s">
        <v>471</v>
      </c>
      <c r="AH48" s="2517" t="s">
        <v>472</v>
      </c>
      <c r="AI48" s="190" t="s">
        <v>473</v>
      </c>
      <c r="AJ48" s="199" t="s">
        <v>474</v>
      </c>
    </row>
    <row r="49" spans="1:36">
      <c r="B49" s="170" t="s">
        <v>475</v>
      </c>
      <c r="C49" s="171" t="s">
        <v>476</v>
      </c>
      <c r="D49" s="171"/>
      <c r="E49" s="167" t="s">
        <v>51</v>
      </c>
      <c r="F49" s="396">
        <v>3</v>
      </c>
      <c r="G49" s="466">
        <v>681.22</v>
      </c>
      <c r="H49" s="467">
        <v>-92.043000000000006</v>
      </c>
      <c r="I49" s="468">
        <v>3.669</v>
      </c>
      <c r="J49" s="397">
        <f xml:space="preserve"> H49 - I49</f>
        <v>-95.712000000000003</v>
      </c>
      <c r="K49" s="398">
        <f xml:space="preserve"> G49 + J49</f>
        <v>585.50800000000004</v>
      </c>
      <c r="M49" s="1370">
        <f xml:space="preserve"> IF( SUM( O49:S49 ) = 0, 0, $P$6 )</f>
        <v>0</v>
      </c>
      <c r="P49" s="93">
        <f t="shared" si="8"/>
        <v>0</v>
      </c>
      <c r="Q49" s="93">
        <f t="shared" si="8"/>
        <v>0</v>
      </c>
      <c r="R49" s="93">
        <f t="shared" si="8"/>
        <v>0</v>
      </c>
      <c r="AA49" s="170" t="s">
        <v>475</v>
      </c>
      <c r="AB49" s="171" t="s">
        <v>476</v>
      </c>
      <c r="AC49" s="171"/>
      <c r="AD49" s="167" t="s">
        <v>51</v>
      </c>
      <c r="AE49" s="396">
        <v>3</v>
      </c>
      <c r="AF49" s="2537" t="s">
        <v>477</v>
      </c>
      <c r="AG49" s="2538" t="s">
        <v>478</v>
      </c>
      <c r="AH49" s="2539" t="s">
        <v>479</v>
      </c>
      <c r="AI49" s="397" t="s">
        <v>480</v>
      </c>
      <c r="AJ49" s="398" t="s">
        <v>481</v>
      </c>
    </row>
    <row r="50" spans="1:36" ht="15" thickBot="1">
      <c r="B50" s="174" t="s">
        <v>482</v>
      </c>
      <c r="C50" s="391" t="s">
        <v>483</v>
      </c>
      <c r="D50" s="391"/>
      <c r="E50" s="175" t="s">
        <v>51</v>
      </c>
      <c r="F50" s="392">
        <v>3</v>
      </c>
      <c r="G50" s="399">
        <f xml:space="preserve"> G48 + G49</f>
        <v>692.22</v>
      </c>
      <c r="H50" s="394">
        <f xml:space="preserve"> H48 + H49</f>
        <v>-92.043000000000006</v>
      </c>
      <c r="I50" s="395">
        <f xml:space="preserve"> I48 + I49</f>
        <v>3.669</v>
      </c>
      <c r="J50" s="250">
        <f xml:space="preserve"> H50 - I50</f>
        <v>-95.712000000000003</v>
      </c>
      <c r="K50" s="399">
        <f xml:space="preserve"> G50 + J50</f>
        <v>596.50800000000004</v>
      </c>
      <c r="M50" s="126"/>
      <c r="AA50" s="174" t="s">
        <v>482</v>
      </c>
      <c r="AB50" s="391" t="s">
        <v>483</v>
      </c>
      <c r="AC50" s="391"/>
      <c r="AD50" s="175" t="s">
        <v>51</v>
      </c>
      <c r="AE50" s="392">
        <v>3</v>
      </c>
      <c r="AF50" s="399" t="s">
        <v>484</v>
      </c>
      <c r="AG50" s="394" t="s">
        <v>485</v>
      </c>
      <c r="AH50" s="395" t="s">
        <v>486</v>
      </c>
      <c r="AI50" s="250" t="s">
        <v>487</v>
      </c>
      <c r="AJ50" s="399" t="s">
        <v>488</v>
      </c>
    </row>
    <row r="51" spans="1:36" s="110" customFormat="1">
      <c r="C51" s="152"/>
      <c r="D51" s="152"/>
      <c r="H51" s="163"/>
      <c r="J51" s="118"/>
      <c r="K51" s="118"/>
      <c r="L51" s="118"/>
      <c r="M51" s="126"/>
      <c r="N51" s="118"/>
      <c r="O51" s="71"/>
      <c r="P51" s="120"/>
      <c r="Q51" s="118"/>
      <c r="R51" s="280"/>
      <c r="S51" s="71"/>
      <c r="AB51" s="152"/>
      <c r="AC51" s="152"/>
      <c r="AG51" s="163"/>
      <c r="AI51" s="118"/>
      <c r="AJ51" s="118"/>
    </row>
    <row r="52" spans="1:36" s="163" customFormat="1">
      <c r="B52" s="3077" t="s">
        <v>243</v>
      </c>
      <c r="C52" s="3077"/>
      <c r="D52" s="2988"/>
      <c r="J52" s="126"/>
      <c r="K52" s="126"/>
      <c r="L52" s="126"/>
      <c r="M52" s="126"/>
      <c r="N52" s="126"/>
      <c r="O52" s="71"/>
      <c r="P52" s="126"/>
      <c r="Q52" s="126"/>
      <c r="R52" s="203"/>
      <c r="S52" s="71"/>
    </row>
    <row r="53" spans="1:36" s="163" customFormat="1">
      <c r="B53" s="141"/>
      <c r="C53" s="142"/>
      <c r="D53" s="142"/>
      <c r="J53" s="126"/>
      <c r="K53" s="126"/>
      <c r="L53" s="126"/>
      <c r="M53" s="126"/>
      <c r="N53" s="126"/>
      <c r="O53" s="71"/>
      <c r="P53" s="126"/>
      <c r="Q53" s="126"/>
      <c r="R53" s="203"/>
      <c r="S53" s="71"/>
    </row>
    <row r="54" spans="1:36" s="163" customFormat="1">
      <c r="B54" s="25"/>
      <c r="C54" s="143" t="s">
        <v>190</v>
      </c>
      <c r="D54" s="143"/>
      <c r="J54" s="126"/>
      <c r="K54" s="126"/>
      <c r="L54" s="126"/>
      <c r="M54" s="126"/>
      <c r="N54" s="126"/>
      <c r="O54" s="71"/>
      <c r="P54" s="126"/>
      <c r="Q54" s="126"/>
      <c r="R54" s="203"/>
      <c r="S54" s="71"/>
    </row>
    <row r="55" spans="1:36" s="163" customFormat="1">
      <c r="B55" s="141"/>
      <c r="C55" s="142"/>
      <c r="D55" s="142"/>
      <c r="J55" s="126"/>
      <c r="K55" s="126"/>
      <c r="L55" s="126"/>
      <c r="M55" s="126"/>
      <c r="N55" s="126"/>
      <c r="O55" s="71"/>
      <c r="P55" s="126"/>
      <c r="Q55" s="126"/>
      <c r="R55" s="203"/>
      <c r="S55" s="71"/>
    </row>
    <row r="56" spans="1:36" s="163" customFormat="1">
      <c r="B56" s="144"/>
      <c r="C56" s="143" t="s">
        <v>191</v>
      </c>
      <c r="D56" s="143"/>
      <c r="J56" s="126"/>
      <c r="K56" s="126"/>
      <c r="L56" s="126"/>
      <c r="M56" s="126"/>
      <c r="N56" s="126"/>
      <c r="O56" s="71"/>
      <c r="P56" s="126"/>
      <c r="Q56" s="126"/>
      <c r="R56" s="203"/>
      <c r="S56" s="71"/>
    </row>
    <row r="57" spans="1:36" s="163" customFormat="1">
      <c r="B57" s="145"/>
      <c r="C57" s="143"/>
      <c r="D57" s="143"/>
      <c r="J57" s="126"/>
      <c r="K57" s="126"/>
      <c r="L57" s="126"/>
      <c r="M57" s="126"/>
      <c r="N57" s="126"/>
      <c r="O57" s="71"/>
      <c r="P57" s="126"/>
      <c r="Q57" s="126"/>
      <c r="R57" s="203"/>
      <c r="S57" s="71"/>
    </row>
    <row r="58" spans="1:36" s="178" customFormat="1" ht="15" thickBot="1">
      <c r="C58" s="179"/>
      <c r="D58" s="179"/>
      <c r="J58" s="130"/>
      <c r="K58" s="130"/>
      <c r="L58" s="130"/>
      <c r="M58" s="126"/>
      <c r="N58" s="126"/>
      <c r="O58" s="71"/>
      <c r="P58" s="126"/>
      <c r="Q58" s="126"/>
      <c r="R58" s="302"/>
      <c r="S58" s="71"/>
    </row>
    <row r="59" spans="1:36" s="178" customFormat="1" ht="21" thickBot="1">
      <c r="B59" s="3053" t="str">
        <f>'1B'!B19</f>
        <v>Please refer to RAG 4.08 - Guideline for the table definitions in the annual performance report for the reporting year 2019-20</v>
      </c>
      <c r="C59" s="147"/>
      <c r="D59" s="147"/>
      <c r="E59" s="148"/>
      <c r="F59" s="148"/>
      <c r="G59" s="148"/>
      <c r="H59" s="148"/>
      <c r="I59" s="148"/>
      <c r="J59" s="148"/>
      <c r="K59" s="154"/>
      <c r="L59" s="130"/>
      <c r="M59" s="126"/>
      <c r="N59" s="126"/>
      <c r="O59" s="71"/>
      <c r="P59" s="126"/>
      <c r="Q59" s="126"/>
      <c r="R59" s="302"/>
      <c r="S59" s="71"/>
    </row>
    <row r="60" spans="1:36" s="178" customFormat="1">
      <c r="C60" s="179"/>
      <c r="D60" s="179"/>
      <c r="J60" s="130"/>
      <c r="K60" s="130"/>
      <c r="L60" s="130"/>
      <c r="M60" s="126"/>
      <c r="N60" s="126"/>
      <c r="O60" s="71"/>
      <c r="P60" s="126"/>
      <c r="Q60" s="126"/>
      <c r="R60" s="302"/>
      <c r="S60" s="71"/>
    </row>
    <row r="61" spans="1:36" s="110" customFormat="1" ht="27" hidden="1" customHeight="1" thickBot="1">
      <c r="A61" s="1560"/>
      <c r="B61" s="146" t="str">
        <f ca="1" xml:space="preserve"> RIGHT(CELL("filename", $A$1), LEN(CELL("filename", $A$1)) - SEARCH("]", CELL("filename", $A$1)))&amp;" - Line definitions"</f>
        <v>1C - Line definitions</v>
      </c>
      <c r="C61" s="147"/>
      <c r="D61" s="147"/>
      <c r="E61" s="148"/>
      <c r="F61" s="148"/>
      <c r="G61" s="148"/>
      <c r="H61" s="148"/>
      <c r="I61" s="148"/>
      <c r="J61" s="148"/>
      <c r="K61" s="154"/>
      <c r="L61" s="118"/>
      <c r="M61" s="120"/>
      <c r="N61" s="118"/>
      <c r="O61" s="71"/>
      <c r="P61" s="120"/>
      <c r="Q61" s="118"/>
      <c r="R61" s="280"/>
      <c r="S61" s="71"/>
    </row>
    <row r="62" spans="1:36" s="110" customFormat="1" ht="15" hidden="1" thickBot="1">
      <c r="A62" s="1560"/>
      <c r="B62" s="74"/>
      <c r="C62" s="155"/>
      <c r="D62" s="155"/>
      <c r="E62" s="74"/>
      <c r="F62" s="74"/>
      <c r="G62" s="74"/>
      <c r="J62" s="118"/>
      <c r="K62" s="118"/>
      <c r="L62" s="118"/>
      <c r="M62" s="120"/>
      <c r="N62" s="118"/>
      <c r="O62" s="71"/>
      <c r="P62" s="120"/>
      <c r="Q62" s="118"/>
      <c r="R62" s="280"/>
      <c r="S62" s="71"/>
    </row>
    <row r="63" spans="1:36" s="178" customFormat="1" ht="15" hidden="1" thickBot="1">
      <c r="A63" s="1561"/>
      <c r="B63" s="287" t="s">
        <v>193</v>
      </c>
      <c r="C63" s="3013" t="s">
        <v>194</v>
      </c>
      <c r="D63" s="3014"/>
      <c r="E63" s="3014"/>
      <c r="F63" s="3014"/>
      <c r="G63" s="3014"/>
      <c r="H63" s="3014"/>
      <c r="I63" s="3014"/>
      <c r="J63" s="3014"/>
      <c r="K63" s="157"/>
      <c r="L63" s="346"/>
      <c r="M63" s="130"/>
      <c r="N63" s="118"/>
      <c r="O63" s="71"/>
      <c r="P63" s="85" t="s">
        <v>195</v>
      </c>
      <c r="Q63" s="118"/>
      <c r="S63" s="71"/>
    </row>
    <row r="64" spans="1:36" s="110" customFormat="1" ht="13.7" hidden="1" customHeight="1">
      <c r="A64" s="1560"/>
      <c r="B64" s="181" t="str">
        <f t="shared" ref="B64:B70" si="17">B7</f>
        <v>1C.1</v>
      </c>
      <c r="C64" s="3073" t="s">
        <v>489</v>
      </c>
      <c r="D64" s="3073"/>
      <c r="E64" s="3073"/>
      <c r="F64" s="3073"/>
      <c r="G64" s="3073"/>
      <c r="H64" s="3073"/>
      <c r="I64" s="3073"/>
      <c r="J64" s="3073"/>
      <c r="K64" s="3074"/>
      <c r="L64" s="348"/>
      <c r="M64" s="120"/>
      <c r="N64" s="118"/>
      <c r="O64" s="71"/>
      <c r="P64" s="161">
        <v>1</v>
      </c>
      <c r="Q64" s="118"/>
      <c r="R64" s="280"/>
      <c r="S64" s="71"/>
    </row>
    <row r="65" spans="1:19" s="110" customFormat="1" ht="13.7" hidden="1" customHeight="1">
      <c r="A65" s="1560"/>
      <c r="B65" s="159" t="str">
        <f t="shared" si="17"/>
        <v>1C.2</v>
      </c>
      <c r="C65" s="3055" t="s">
        <v>490</v>
      </c>
      <c r="D65" s="3055"/>
      <c r="E65" s="3055"/>
      <c r="F65" s="3055"/>
      <c r="G65" s="3055"/>
      <c r="H65" s="3055"/>
      <c r="I65" s="3055"/>
      <c r="J65" s="3055"/>
      <c r="K65" s="3056"/>
      <c r="L65" s="348"/>
      <c r="O65" s="71"/>
      <c r="P65" s="253">
        <v>1</v>
      </c>
      <c r="S65" s="71"/>
    </row>
    <row r="66" spans="1:19" s="110" customFormat="1" ht="13.7" hidden="1" customHeight="1">
      <c r="A66" s="1560"/>
      <c r="B66" s="159" t="str">
        <f t="shared" si="17"/>
        <v>1C.3</v>
      </c>
      <c r="C66" s="3055" t="s">
        <v>491</v>
      </c>
      <c r="D66" s="3055"/>
      <c r="E66" s="3055"/>
      <c r="F66" s="3055"/>
      <c r="G66" s="3055"/>
      <c r="H66" s="3055"/>
      <c r="I66" s="3055"/>
      <c r="J66" s="3055"/>
      <c r="K66" s="3056"/>
      <c r="L66" s="348"/>
      <c r="O66" s="71"/>
      <c r="P66" s="253">
        <v>1</v>
      </c>
      <c r="S66" s="71"/>
    </row>
    <row r="67" spans="1:19" s="120" customFormat="1" ht="13.7" hidden="1" customHeight="1">
      <c r="A67" s="1562"/>
      <c r="B67" s="159" t="str">
        <f t="shared" si="17"/>
        <v>1C.4</v>
      </c>
      <c r="C67" s="3055" t="s">
        <v>492</v>
      </c>
      <c r="D67" s="3055"/>
      <c r="E67" s="3055"/>
      <c r="F67" s="3055"/>
      <c r="G67" s="3055"/>
      <c r="H67" s="3055"/>
      <c r="I67" s="3055"/>
      <c r="J67" s="3055"/>
      <c r="K67" s="3056"/>
      <c r="L67" s="348"/>
      <c r="O67" s="71"/>
      <c r="P67" s="253">
        <v>1</v>
      </c>
      <c r="S67" s="71"/>
    </row>
    <row r="68" spans="1:19" s="120" customFormat="1" ht="23.25" hidden="1" customHeight="1">
      <c r="A68" s="1562"/>
      <c r="B68" s="159" t="str">
        <f t="shared" si="17"/>
        <v>1C.5</v>
      </c>
      <c r="C68" s="3055" t="s">
        <v>493</v>
      </c>
      <c r="D68" s="3055"/>
      <c r="E68" s="3055"/>
      <c r="F68" s="3055"/>
      <c r="G68" s="3055"/>
      <c r="H68" s="3055"/>
      <c r="I68" s="3055"/>
      <c r="J68" s="3055"/>
      <c r="K68" s="3056"/>
      <c r="L68" s="348"/>
      <c r="O68" s="71"/>
      <c r="P68" s="374" t="s">
        <v>197</v>
      </c>
      <c r="S68" s="71"/>
    </row>
    <row r="69" spans="1:19" s="120" customFormat="1" ht="23.25" hidden="1" customHeight="1">
      <c r="A69" s="1562"/>
      <c r="B69" s="159" t="str">
        <f t="shared" si="17"/>
        <v>1C.6</v>
      </c>
      <c r="C69" s="3055" t="s">
        <v>494</v>
      </c>
      <c r="D69" s="3055"/>
      <c r="E69" s="3055"/>
      <c r="F69" s="3055"/>
      <c r="G69" s="3055"/>
      <c r="H69" s="3055"/>
      <c r="I69" s="3055"/>
      <c r="J69" s="3055"/>
      <c r="K69" s="3056"/>
      <c r="L69" s="348"/>
      <c r="O69" s="71"/>
      <c r="P69" s="374" t="s">
        <v>197</v>
      </c>
      <c r="S69" s="71"/>
    </row>
    <row r="70" spans="1:19" ht="13.7" hidden="1" customHeight="1">
      <c r="A70" s="1563"/>
      <c r="B70" s="159" t="str">
        <f t="shared" si="17"/>
        <v>1C.7</v>
      </c>
      <c r="C70" s="3055" t="s">
        <v>495</v>
      </c>
      <c r="D70" s="3055"/>
      <c r="E70" s="3055"/>
      <c r="F70" s="3055"/>
      <c r="G70" s="3055"/>
      <c r="H70" s="3055"/>
      <c r="I70" s="3055"/>
      <c r="J70" s="3055"/>
      <c r="K70" s="3056"/>
      <c r="L70" s="348"/>
      <c r="P70" s="158">
        <v>1</v>
      </c>
    </row>
    <row r="71" spans="1:19" ht="13.7" hidden="1" customHeight="1">
      <c r="A71" s="1563"/>
      <c r="B71" s="159" t="str">
        <f>B16</f>
        <v>1C.8</v>
      </c>
      <c r="C71" s="3055" t="s">
        <v>496</v>
      </c>
      <c r="D71" s="3055"/>
      <c r="E71" s="3055"/>
      <c r="F71" s="3055"/>
      <c r="G71" s="3055"/>
      <c r="H71" s="3055"/>
      <c r="I71" s="3055"/>
      <c r="J71" s="3055"/>
      <c r="K71" s="3056"/>
      <c r="L71" s="348"/>
      <c r="P71" s="158">
        <v>1</v>
      </c>
    </row>
    <row r="72" spans="1:19" ht="23.25" hidden="1" customHeight="1">
      <c r="A72" s="1563"/>
      <c r="B72" s="159" t="str">
        <f>B17</f>
        <v>1C.9</v>
      </c>
      <c r="C72" s="3055" t="s">
        <v>497</v>
      </c>
      <c r="D72" s="3055"/>
      <c r="E72" s="3055"/>
      <c r="F72" s="3055"/>
      <c r="G72" s="3055"/>
      <c r="H72" s="3055"/>
      <c r="I72" s="3055"/>
      <c r="J72" s="3055"/>
      <c r="K72" s="3056"/>
      <c r="L72" s="348"/>
      <c r="P72" s="374" t="s">
        <v>197</v>
      </c>
    </row>
    <row r="73" spans="1:19" ht="23.25" hidden="1" customHeight="1">
      <c r="A73" s="1563"/>
      <c r="B73" s="159" t="str">
        <f>B18</f>
        <v>1C.10</v>
      </c>
      <c r="C73" s="3055" t="s">
        <v>498</v>
      </c>
      <c r="D73" s="3055"/>
      <c r="E73" s="3055"/>
      <c r="F73" s="3055"/>
      <c r="G73" s="3055"/>
      <c r="H73" s="3055"/>
      <c r="I73" s="3055"/>
      <c r="J73" s="3055"/>
      <c r="K73" s="3056"/>
      <c r="L73" s="348"/>
      <c r="P73" s="374" t="s">
        <v>197</v>
      </c>
    </row>
    <row r="74" spans="1:19" ht="23.25" hidden="1" customHeight="1">
      <c r="A74" s="1563"/>
      <c r="B74" s="159" t="str">
        <f>B19</f>
        <v>1C.11</v>
      </c>
      <c r="C74" s="3055" t="s">
        <v>499</v>
      </c>
      <c r="D74" s="3055"/>
      <c r="E74" s="3055"/>
      <c r="F74" s="3055"/>
      <c r="G74" s="3055"/>
      <c r="H74" s="3055"/>
      <c r="I74" s="3055"/>
      <c r="J74" s="3055"/>
      <c r="K74" s="3056"/>
      <c r="L74" s="348"/>
      <c r="P74" s="374" t="s">
        <v>197</v>
      </c>
    </row>
    <row r="75" spans="1:19" ht="13.7" hidden="1" customHeight="1">
      <c r="A75" s="1563"/>
      <c r="B75" s="159" t="str">
        <f>B20</f>
        <v>1C.12</v>
      </c>
      <c r="C75" s="3055" t="s">
        <v>500</v>
      </c>
      <c r="D75" s="3055"/>
      <c r="E75" s="3055"/>
      <c r="F75" s="3055"/>
      <c r="G75" s="3055"/>
      <c r="H75" s="3055"/>
      <c r="I75" s="3055"/>
      <c r="J75" s="3055"/>
      <c r="K75" s="3056"/>
      <c r="L75" s="348"/>
      <c r="P75" s="158">
        <v>1</v>
      </c>
    </row>
    <row r="76" spans="1:19" ht="23.25" hidden="1" customHeight="1">
      <c r="A76" s="1563"/>
      <c r="B76" s="159" t="str">
        <f t="shared" ref="B76:B82" si="18">B23</f>
        <v>1C.13</v>
      </c>
      <c r="C76" s="3055" t="s">
        <v>501</v>
      </c>
      <c r="D76" s="3055"/>
      <c r="E76" s="3055"/>
      <c r="F76" s="3055"/>
      <c r="G76" s="3055"/>
      <c r="H76" s="3055"/>
      <c r="I76" s="3055"/>
      <c r="J76" s="3055"/>
      <c r="K76" s="3056"/>
      <c r="L76" s="348"/>
      <c r="P76" s="374" t="s">
        <v>197</v>
      </c>
    </row>
    <row r="77" spans="1:19" ht="13.7" hidden="1" customHeight="1">
      <c r="A77" s="1563"/>
      <c r="B77" s="159" t="str">
        <f t="shared" si="18"/>
        <v>1C.14</v>
      </c>
      <c r="C77" s="3055" t="s">
        <v>502</v>
      </c>
      <c r="D77" s="3055"/>
      <c r="E77" s="3055"/>
      <c r="F77" s="3055"/>
      <c r="G77" s="3055"/>
      <c r="H77" s="3055"/>
      <c r="I77" s="3055"/>
      <c r="J77" s="3055"/>
      <c r="K77" s="3056"/>
      <c r="L77" s="348"/>
      <c r="P77" s="158">
        <v>1</v>
      </c>
    </row>
    <row r="78" spans="1:19" ht="116.45" hidden="1" customHeight="1">
      <c r="A78" s="1563"/>
      <c r="B78" s="159" t="str">
        <f t="shared" si="18"/>
        <v>1C.15</v>
      </c>
      <c r="C78" s="3055" t="s">
        <v>503</v>
      </c>
      <c r="D78" s="3055"/>
      <c r="E78" s="3055"/>
      <c r="F78" s="3055"/>
      <c r="G78" s="3055"/>
      <c r="H78" s="3055"/>
      <c r="I78" s="3055"/>
      <c r="J78" s="3055"/>
      <c r="K78" s="3056"/>
      <c r="L78" s="348"/>
      <c r="P78" s="161" t="s">
        <v>202</v>
      </c>
    </row>
    <row r="79" spans="1:19" ht="23.25" hidden="1" customHeight="1">
      <c r="A79" s="1563"/>
      <c r="B79" s="159" t="str">
        <f t="shared" si="18"/>
        <v>1C.16</v>
      </c>
      <c r="C79" s="3055" t="s">
        <v>504</v>
      </c>
      <c r="D79" s="3055"/>
      <c r="E79" s="3055"/>
      <c r="F79" s="3055"/>
      <c r="G79" s="3055"/>
      <c r="H79" s="3055"/>
      <c r="I79" s="3055"/>
      <c r="J79" s="3055"/>
      <c r="K79" s="3056"/>
      <c r="L79" s="348"/>
      <c r="P79" s="161" t="s">
        <v>197</v>
      </c>
    </row>
    <row r="80" spans="1:19" ht="13.7" hidden="1" customHeight="1">
      <c r="A80" s="1563"/>
      <c r="B80" s="159" t="str">
        <f t="shared" si="18"/>
        <v>1C.17</v>
      </c>
      <c r="C80" s="3055" t="s">
        <v>505</v>
      </c>
      <c r="D80" s="3055"/>
      <c r="E80" s="3055"/>
      <c r="F80" s="3055"/>
      <c r="G80" s="3055"/>
      <c r="H80" s="3055"/>
      <c r="I80" s="3055"/>
      <c r="J80" s="3055"/>
      <c r="K80" s="3056"/>
      <c r="L80" s="348"/>
      <c r="P80" s="158">
        <v>1</v>
      </c>
    </row>
    <row r="81" spans="1:16" ht="23.25" hidden="1" customHeight="1">
      <c r="A81" s="1563"/>
      <c r="B81" s="159" t="str">
        <f t="shared" si="18"/>
        <v>1C.18</v>
      </c>
      <c r="C81" s="3055" t="s">
        <v>506</v>
      </c>
      <c r="D81" s="3055"/>
      <c r="E81" s="3055"/>
      <c r="F81" s="3055"/>
      <c r="G81" s="3055"/>
      <c r="H81" s="3055"/>
      <c r="I81" s="3055"/>
      <c r="J81" s="3055"/>
      <c r="K81" s="3056"/>
      <c r="L81" s="348"/>
      <c r="P81" s="161" t="s">
        <v>197</v>
      </c>
    </row>
    <row r="82" spans="1:16" ht="13.7" hidden="1" customHeight="1">
      <c r="A82" s="1563"/>
      <c r="B82" s="159" t="str">
        <f t="shared" si="18"/>
        <v>1C.19</v>
      </c>
      <c r="C82" s="3055" t="s">
        <v>507</v>
      </c>
      <c r="D82" s="3055"/>
      <c r="E82" s="3055"/>
      <c r="F82" s="3055"/>
      <c r="G82" s="3055"/>
      <c r="H82" s="3055"/>
      <c r="I82" s="3055"/>
      <c r="J82" s="3055"/>
      <c r="K82" s="3056"/>
      <c r="L82" s="348"/>
      <c r="P82" s="158">
        <v>1</v>
      </c>
    </row>
    <row r="83" spans="1:16" ht="13.7" hidden="1" customHeight="1">
      <c r="A83" s="1563"/>
      <c r="B83" s="159" t="str">
        <f t="shared" ref="B83" si="19">B31</f>
        <v>1C.20</v>
      </c>
      <c r="C83" s="3055" t="s">
        <v>508</v>
      </c>
      <c r="D83" s="3055"/>
      <c r="E83" s="3055"/>
      <c r="F83" s="3055"/>
      <c r="G83" s="3055"/>
      <c r="H83" s="3055"/>
      <c r="I83" s="3055"/>
      <c r="J83" s="3055"/>
      <c r="K83" s="3056"/>
      <c r="L83" s="348"/>
      <c r="P83" s="158">
        <v>1</v>
      </c>
    </row>
    <row r="84" spans="1:16" ht="23.25" hidden="1" customHeight="1">
      <c r="A84" s="1563"/>
      <c r="B84" s="159" t="str">
        <f t="shared" ref="B84:B93" si="20">B34</f>
        <v>1C.21</v>
      </c>
      <c r="C84" s="3055" t="s">
        <v>509</v>
      </c>
      <c r="D84" s="3055"/>
      <c r="E84" s="3055"/>
      <c r="F84" s="3055"/>
      <c r="G84" s="3055"/>
      <c r="H84" s="3055"/>
      <c r="I84" s="3055"/>
      <c r="J84" s="3055"/>
      <c r="K84" s="3056"/>
      <c r="L84" s="348"/>
      <c r="P84" s="161" t="s">
        <v>197</v>
      </c>
    </row>
    <row r="85" spans="1:16" ht="116.45" hidden="1" customHeight="1">
      <c r="A85" s="1563"/>
      <c r="B85" s="159" t="str">
        <f t="shared" si="20"/>
        <v>1C.22</v>
      </c>
      <c r="C85" s="3055" t="s">
        <v>510</v>
      </c>
      <c r="D85" s="3055"/>
      <c r="E85" s="3055"/>
      <c r="F85" s="3055"/>
      <c r="G85" s="3055"/>
      <c r="H85" s="3055"/>
      <c r="I85" s="3055"/>
      <c r="J85" s="3055"/>
      <c r="K85" s="3056"/>
      <c r="L85" s="348"/>
      <c r="P85" s="161" t="s">
        <v>202</v>
      </c>
    </row>
    <row r="86" spans="1:16" ht="23.25" hidden="1" customHeight="1">
      <c r="A86" s="1563"/>
      <c r="B86" s="159" t="str">
        <f t="shared" si="20"/>
        <v>1C.23</v>
      </c>
      <c r="C86" s="3055" t="s">
        <v>511</v>
      </c>
      <c r="D86" s="3055"/>
      <c r="E86" s="3055"/>
      <c r="F86" s="3055"/>
      <c r="G86" s="3055"/>
      <c r="H86" s="3055"/>
      <c r="I86" s="3055"/>
      <c r="J86" s="3055"/>
      <c r="K86" s="3056"/>
      <c r="L86" s="348"/>
      <c r="P86" s="161" t="s">
        <v>197</v>
      </c>
    </row>
    <row r="87" spans="1:16" ht="34.5" hidden="1" customHeight="1">
      <c r="A87" s="1563"/>
      <c r="B87" s="159" t="str">
        <f t="shared" si="20"/>
        <v>1C.24</v>
      </c>
      <c r="C87" s="3055" t="s">
        <v>512</v>
      </c>
      <c r="D87" s="3055"/>
      <c r="E87" s="3055"/>
      <c r="F87" s="3055"/>
      <c r="G87" s="3055"/>
      <c r="H87" s="3055"/>
      <c r="I87" s="3055"/>
      <c r="J87" s="3055"/>
      <c r="K87" s="3056"/>
      <c r="L87" s="348"/>
      <c r="P87" s="161" t="s">
        <v>197</v>
      </c>
    </row>
    <row r="88" spans="1:16" ht="13.7" hidden="1" customHeight="1">
      <c r="A88" s="1563"/>
      <c r="B88" s="159" t="str">
        <f t="shared" si="20"/>
        <v>1C.25</v>
      </c>
      <c r="C88" s="3055" t="s">
        <v>513</v>
      </c>
      <c r="D88" s="3055"/>
      <c r="E88" s="3055"/>
      <c r="F88" s="3055"/>
      <c r="G88" s="3055"/>
      <c r="H88" s="3055"/>
      <c r="I88" s="3055"/>
      <c r="J88" s="3055"/>
      <c r="K88" s="3056"/>
      <c r="L88" s="348"/>
      <c r="P88" s="158">
        <v>1</v>
      </c>
    </row>
    <row r="89" spans="1:16" ht="13.7" hidden="1" customHeight="1">
      <c r="A89" s="1563"/>
      <c r="B89" s="159" t="str">
        <f t="shared" si="20"/>
        <v>1C.26</v>
      </c>
      <c r="C89" s="3055" t="s">
        <v>514</v>
      </c>
      <c r="D89" s="3055"/>
      <c r="E89" s="3055"/>
      <c r="F89" s="3055"/>
      <c r="G89" s="3055"/>
      <c r="H89" s="3055"/>
      <c r="I89" s="3055"/>
      <c r="J89" s="3055"/>
      <c r="K89" s="3056"/>
      <c r="L89" s="348"/>
      <c r="P89" s="161">
        <v>1</v>
      </c>
    </row>
    <row r="90" spans="1:16" ht="13.7" hidden="1" customHeight="1">
      <c r="A90" s="1563"/>
      <c r="B90" s="159" t="str">
        <f t="shared" si="20"/>
        <v>1C.27</v>
      </c>
      <c r="C90" s="3055" t="s">
        <v>515</v>
      </c>
      <c r="D90" s="3055"/>
      <c r="E90" s="3055"/>
      <c r="F90" s="3055"/>
      <c r="G90" s="3055"/>
      <c r="H90" s="3055"/>
      <c r="I90" s="3055"/>
      <c r="J90" s="3055"/>
      <c r="K90" s="3056"/>
      <c r="L90" s="348"/>
      <c r="P90" s="161"/>
    </row>
    <row r="91" spans="1:16" ht="13.7" hidden="1" customHeight="1">
      <c r="A91" s="1563"/>
      <c r="B91" s="159" t="str">
        <f t="shared" si="20"/>
        <v>1C.28</v>
      </c>
      <c r="C91" s="3055" t="s">
        <v>516</v>
      </c>
      <c r="D91" s="3055"/>
      <c r="E91" s="3055"/>
      <c r="F91" s="3055"/>
      <c r="G91" s="3055"/>
      <c r="H91" s="3055"/>
      <c r="I91" s="3055"/>
      <c r="J91" s="3055"/>
      <c r="K91" s="3056"/>
      <c r="L91" s="348"/>
      <c r="P91" s="158">
        <v>1</v>
      </c>
    </row>
    <row r="92" spans="1:16" ht="23.25" hidden="1" customHeight="1">
      <c r="A92" s="1563"/>
      <c r="B92" s="159" t="str">
        <f t="shared" si="20"/>
        <v>1C.29</v>
      </c>
      <c r="C92" s="3055" t="s">
        <v>517</v>
      </c>
      <c r="D92" s="3055"/>
      <c r="E92" s="3055"/>
      <c r="F92" s="3055"/>
      <c r="G92" s="3055"/>
      <c r="H92" s="3055"/>
      <c r="I92" s="3055"/>
      <c r="J92" s="3055"/>
      <c r="K92" s="3056"/>
      <c r="L92" s="348"/>
      <c r="P92" s="161" t="s">
        <v>197</v>
      </c>
    </row>
    <row r="93" spans="1:16" ht="13.7" hidden="1" customHeight="1">
      <c r="A93" s="1563"/>
      <c r="B93" s="159" t="str">
        <f t="shared" si="20"/>
        <v>1C.30</v>
      </c>
      <c r="C93" s="3055" t="s">
        <v>518</v>
      </c>
      <c r="D93" s="3055"/>
      <c r="E93" s="3055"/>
      <c r="F93" s="3055"/>
      <c r="G93" s="3055"/>
      <c r="H93" s="3055"/>
      <c r="I93" s="3055"/>
      <c r="J93" s="3055"/>
      <c r="K93" s="3056"/>
      <c r="L93" s="348"/>
      <c r="P93" s="158">
        <v>1</v>
      </c>
    </row>
    <row r="94" spans="1:16" ht="13.7" hidden="1" customHeight="1">
      <c r="A94" s="1563"/>
      <c r="B94" s="159" t="str">
        <f t="shared" ref="B94" si="21">B45</f>
        <v>1C.31</v>
      </c>
      <c r="C94" s="3055" t="s">
        <v>519</v>
      </c>
      <c r="D94" s="3055"/>
      <c r="E94" s="3055"/>
      <c r="F94" s="3055"/>
      <c r="G94" s="3055"/>
      <c r="H94" s="3055"/>
      <c r="I94" s="3055"/>
      <c r="J94" s="3055"/>
      <c r="K94" s="3056"/>
      <c r="L94" s="348"/>
      <c r="P94" s="158">
        <v>1</v>
      </c>
    </row>
    <row r="95" spans="1:16" ht="13.7" hidden="1" customHeight="1">
      <c r="A95" s="1563"/>
      <c r="B95" s="159" t="str">
        <f>B48</f>
        <v>1C.32</v>
      </c>
      <c r="C95" s="3055" t="s">
        <v>520</v>
      </c>
      <c r="D95" s="3055"/>
      <c r="E95" s="3055"/>
      <c r="F95" s="3055"/>
      <c r="G95" s="3055"/>
      <c r="H95" s="3055"/>
      <c r="I95" s="3055"/>
      <c r="J95" s="3055"/>
      <c r="K95" s="3056"/>
      <c r="L95" s="348"/>
      <c r="P95" s="158">
        <v>1</v>
      </c>
    </row>
    <row r="96" spans="1:16" ht="13.7" hidden="1" customHeight="1">
      <c r="A96" s="1563"/>
      <c r="B96" s="159" t="str">
        <f>B49</f>
        <v>1C.33</v>
      </c>
      <c r="C96" s="3055" t="s">
        <v>521</v>
      </c>
      <c r="D96" s="3055"/>
      <c r="E96" s="3055"/>
      <c r="F96" s="3055"/>
      <c r="G96" s="3055"/>
      <c r="H96" s="3055"/>
      <c r="I96" s="3055"/>
      <c r="J96" s="3055"/>
      <c r="K96" s="3056"/>
      <c r="P96" s="158">
        <v>1</v>
      </c>
    </row>
    <row r="97" spans="1:16" ht="14.25" hidden="1" customHeight="1" thickBot="1">
      <c r="A97" s="1563"/>
      <c r="B97" s="183" t="str">
        <f>B50</f>
        <v>1C.34</v>
      </c>
      <c r="C97" s="3075" t="s">
        <v>522</v>
      </c>
      <c r="D97" s="3075"/>
      <c r="E97" s="3075"/>
      <c r="F97" s="3075"/>
      <c r="G97" s="3075"/>
      <c r="H97" s="3075"/>
      <c r="I97" s="3075"/>
      <c r="J97" s="3075"/>
      <c r="K97" s="3076"/>
      <c r="P97" s="161">
        <v>1</v>
      </c>
    </row>
    <row r="98" spans="1:16" hidden="1">
      <c r="A98" s="1563"/>
      <c r="B98" s="402"/>
      <c r="C98" s="343"/>
      <c r="D98" s="343"/>
      <c r="E98" s="343"/>
      <c r="F98" s="343"/>
      <c r="G98" s="343"/>
      <c r="H98" s="343"/>
      <c r="I98" s="343"/>
      <c r="J98" s="343"/>
      <c r="K98" s="343"/>
      <c r="P98" s="254"/>
    </row>
  </sheetData>
  <sheetProtection algorithmName="SHA-512" hashValue="yRWe1HSkSa0wTFavCW20F45duyvH7ti5OXxOfDOYaLmrZDe4GQMYcYskRFe6bGg45EUtJ9lbXVT65wiecTva2Q==" saltValue="FuGk9mmkV7Zqy/4GS9ydrQ==" spinCount="100000" sheet="1" objects="1" scenarios="1"/>
  <mergeCells count="49">
    <mergeCell ref="AJ3:AJ4"/>
    <mergeCell ref="AA3:AB4"/>
    <mergeCell ref="AD3:AD4"/>
    <mergeCell ref="AE3:AE4"/>
    <mergeCell ref="AF3:AF4"/>
    <mergeCell ref="AG3:AI3"/>
    <mergeCell ref="C97:K97"/>
    <mergeCell ref="C85:K85"/>
    <mergeCell ref="C86:K86"/>
    <mergeCell ref="C87:K87"/>
    <mergeCell ref="C88:K88"/>
    <mergeCell ref="C89:K89"/>
    <mergeCell ref="C91:K91"/>
    <mergeCell ref="C92:K92"/>
    <mergeCell ref="C93:K93"/>
    <mergeCell ref="C94:K94"/>
    <mergeCell ref="C95:K95"/>
    <mergeCell ref="C96:K96"/>
    <mergeCell ref="C90:K90"/>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M3:M4"/>
    <mergeCell ref="P4:R4"/>
    <mergeCell ref="B52:C52"/>
    <mergeCell ref="C64:K64"/>
    <mergeCell ref="C65:K65"/>
    <mergeCell ref="C67:K67"/>
    <mergeCell ref="C68:K68"/>
    <mergeCell ref="C69:K69"/>
    <mergeCell ref="C66:K66"/>
    <mergeCell ref="B3:C4"/>
    <mergeCell ref="E3:E4"/>
    <mergeCell ref="F3:F4"/>
    <mergeCell ref="G3:G4"/>
    <mergeCell ref="H3:J3"/>
    <mergeCell ref="K3:K4"/>
  </mergeCells>
  <conditionalFormatting sqref="M7:M12 M48:M49 M23:M28 M16:M19 M34:M42">
    <cfRule type="cellIs" dxfId="1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0" max="19" man="1"/>
  </rowBreaks>
  <customProperties>
    <customPr name="_pios_id" r:id="rId2"/>
    <customPr name="EpmWorksheetKeyString_GUID" r:id="rId3"/>
  </customProperties>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P42"/>
  <sheetViews>
    <sheetView workbookViewId="0"/>
  </sheetViews>
  <sheetFormatPr defaultColWidth="8.875" defaultRowHeight="14.25"/>
  <cols>
    <col min="1" max="1" width="8.5" bestFit="1" customWidth="1"/>
    <col min="2" max="2" width="6.125" bestFit="1" customWidth="1"/>
    <col min="3" max="3" width="21.5" bestFit="1" customWidth="1"/>
    <col min="4" max="4" width="7.5" bestFit="1" customWidth="1"/>
    <col min="5" max="5" width="6.5" bestFit="1" customWidth="1"/>
    <col min="6" max="6" width="6.5" customWidth="1"/>
    <col min="7" max="7" width="21.125" bestFit="1" customWidth="1"/>
    <col min="8" max="8" width="5.5" bestFit="1" customWidth="1"/>
    <col min="9" max="9" width="47.125" bestFit="1" customWidth="1"/>
    <col min="10" max="10" width="7.5" bestFit="1" customWidth="1"/>
    <col min="11" max="11" width="6.5" bestFit="1" customWidth="1"/>
    <col min="12" max="12" width="6.5" customWidth="1"/>
    <col min="13" max="13" width="17.5" bestFit="1" customWidth="1"/>
    <col min="14" max="14" width="5.5" bestFit="1" customWidth="1"/>
    <col min="15" max="15" width="43.125" bestFit="1" customWidth="1"/>
    <col min="16" max="16" width="7.5" bestFit="1" customWidth="1"/>
    <col min="17" max="17" width="6.125" bestFit="1" customWidth="1"/>
    <col min="18" max="18" width="6.125" customWidth="1"/>
    <col min="19" max="19" width="4.5" bestFit="1" customWidth="1"/>
    <col min="20" max="20" width="6.125" bestFit="1" customWidth="1"/>
    <col min="21" max="21" width="7" bestFit="1" customWidth="1"/>
    <col min="22" max="22" width="7.5" bestFit="1" customWidth="1"/>
    <col min="23" max="23" width="7" bestFit="1" customWidth="1"/>
    <col min="24" max="24" width="7" customWidth="1"/>
    <col min="25" max="25" width="4.125" bestFit="1" customWidth="1"/>
    <col min="26" max="26" width="5.5" bestFit="1" customWidth="1"/>
    <col min="27" max="27" width="6.125" bestFit="1" customWidth="1"/>
    <col min="28" max="28" width="7.125" bestFit="1" customWidth="1"/>
    <col min="29" max="29" width="6.125" bestFit="1" customWidth="1"/>
    <col min="30" max="30" width="6.125" customWidth="1"/>
    <col min="31" max="31" width="4.125" bestFit="1" customWidth="1"/>
    <col min="32" max="32" width="5.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5" bestFit="1" customWidth="1"/>
    <col min="41" max="41" width="7" bestFit="1" customWidth="1"/>
    <col min="42" max="42" width="7" customWidth="1"/>
    <col min="43" max="43" width="4.125" bestFit="1" customWidth="1"/>
    <col min="44" max="44" width="5.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5" bestFit="1" customWidth="1"/>
    <col min="52" max="52" width="7.5" bestFit="1" customWidth="1"/>
    <col min="53" max="53" width="6.5" bestFit="1" customWidth="1"/>
    <col min="54" max="54" width="6.5" customWidth="1"/>
    <col min="55" max="55" width="18.5" bestFit="1" customWidth="1"/>
    <col min="56" max="56" width="5.5" bestFit="1" customWidth="1"/>
    <col min="57" max="57" width="35.125" bestFit="1" customWidth="1"/>
    <col min="58" max="58" width="7.5" bestFit="1" customWidth="1"/>
    <col min="59" max="59" width="6.5" bestFit="1" customWidth="1"/>
    <col min="60" max="60" width="6.5" customWidth="1"/>
    <col min="61" max="61" width="18.125" bestFit="1" customWidth="1"/>
    <col min="62" max="62" width="5.5" bestFit="1" customWidth="1"/>
    <col min="63" max="63" width="48.5" bestFit="1" customWidth="1"/>
    <col min="64" max="64" width="7.5" bestFit="1" customWidth="1"/>
    <col min="65" max="65" width="6.5" bestFit="1" customWidth="1"/>
    <col min="66" max="66" width="6.5" customWidth="1"/>
    <col min="67" max="67" width="21.5" bestFit="1" customWidth="1"/>
    <col min="68" max="68" width="5.5" bestFit="1" customWidth="1"/>
    <col min="69" max="69" width="62.625" customWidth="1"/>
    <col min="70" max="70" width="7.125" bestFit="1" customWidth="1"/>
    <col min="71" max="71" width="6.125" bestFit="1" customWidth="1"/>
    <col min="72" max="72" width="6.125" customWidth="1"/>
    <col min="73" max="73" width="22" bestFit="1" customWidth="1"/>
    <col min="74" max="74" width="6.125" bestFit="1" customWidth="1"/>
    <col min="75" max="75" width="59.5" bestFit="1" customWidth="1"/>
    <col min="76" max="76" width="7.5" bestFit="1" customWidth="1"/>
    <col min="77" max="77" width="6.5" bestFit="1" customWidth="1"/>
    <col min="78" max="78" width="6.5" customWidth="1"/>
    <col min="79" max="79" width="20.5" bestFit="1" customWidth="1"/>
    <col min="80" max="80" width="6" bestFit="1" customWidth="1"/>
    <col min="81" max="81" width="58.5" customWidth="1"/>
    <col min="82" max="82" width="7.5" bestFit="1" customWidth="1"/>
    <col min="83" max="83" width="6.5" bestFit="1" customWidth="1"/>
    <col min="84" max="84" width="6.5" customWidth="1"/>
    <col min="85" max="85" width="20.125" bestFit="1" customWidth="1"/>
    <col min="86" max="86" width="6.125" bestFit="1" customWidth="1"/>
    <col min="87" max="87" width="59" bestFit="1" customWidth="1"/>
    <col min="88" max="88" width="7.5" bestFit="1" customWidth="1"/>
    <col min="89" max="89" width="6.5" bestFit="1" customWidth="1"/>
    <col min="90" max="90" width="6.5" customWidth="1"/>
    <col min="91" max="91" width="20.125" bestFit="1" customWidth="1"/>
    <col min="92" max="92" width="6.125" bestFit="1" customWidth="1"/>
    <col min="93" max="93" width="63.125" bestFit="1" customWidth="1"/>
    <col min="94" max="94" width="7.5" bestFit="1" customWidth="1"/>
    <col min="95" max="95" width="7" bestFit="1" customWidth="1"/>
    <col min="96" max="96" width="7" customWidth="1"/>
    <col min="97" max="97" width="4.5" bestFit="1" customWidth="1"/>
    <col min="98" max="98" width="6.125" bestFit="1" customWidth="1"/>
    <col min="99" max="99" width="7" bestFit="1" customWidth="1"/>
    <col min="100" max="100" width="7.5" bestFit="1" customWidth="1"/>
    <col min="101" max="101" width="7" bestFit="1" customWidth="1"/>
    <col min="102" max="102" width="7" customWidth="1"/>
    <col min="103" max="103" width="20.5" bestFit="1" customWidth="1"/>
    <col min="104" max="104" width="5.5" bestFit="1" customWidth="1"/>
    <col min="105" max="105" width="60.125" bestFit="1" customWidth="1"/>
    <col min="106" max="106" width="7.5" bestFit="1" customWidth="1"/>
    <col min="107" max="107" width="6.125" bestFit="1" customWidth="1"/>
    <col min="109" max="109" width="20.5" style="2004" bestFit="1" customWidth="1"/>
    <col min="110" max="110" width="5.5" style="2004" bestFit="1" customWidth="1"/>
    <col min="111" max="111" width="60.125" style="2004" bestFit="1" customWidth="1"/>
    <col min="112" max="112" width="7.5" style="2004" bestFit="1" customWidth="1"/>
    <col min="113" max="113" width="6.125" style="2004" bestFit="1" customWidth="1"/>
    <col min="114" max="114" width="9" style="2004"/>
    <col min="115" max="115" width="20.5" style="2004" bestFit="1" customWidth="1"/>
    <col min="116" max="116" width="5.5" style="2004" bestFit="1" customWidth="1"/>
    <col min="117" max="117" width="60.125" style="2004" bestFit="1" customWidth="1"/>
    <col min="118" max="118" width="7.5" style="2004" bestFit="1" customWidth="1"/>
    <col min="119" max="119" width="6.125" style="2004" bestFit="1" customWidth="1"/>
    <col min="120" max="120" width="9" style="2004"/>
  </cols>
  <sheetData>
    <row r="1" spans="1:120" ht="25.5">
      <c r="A1" s="52" t="s">
        <v>2308</v>
      </c>
      <c r="B1" s="52"/>
      <c r="C1" s="53" t="s">
        <v>2309</v>
      </c>
      <c r="D1" s="2004"/>
      <c r="E1" s="2004"/>
      <c r="F1" s="2004"/>
      <c r="G1" s="2004"/>
      <c r="H1" s="2004"/>
      <c r="I1" s="2004"/>
      <c r="J1" s="2004"/>
      <c r="K1" s="2004"/>
      <c r="L1" s="2004"/>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c r="AN1" s="2004"/>
      <c r="AO1" s="2004"/>
      <c r="AP1" s="2004"/>
      <c r="AQ1" s="2004"/>
      <c r="AR1" s="2004"/>
      <c r="AS1" s="2004"/>
      <c r="AT1" s="2004"/>
      <c r="AU1" s="2004"/>
      <c r="AV1" s="2004"/>
      <c r="AW1" s="2004"/>
      <c r="AX1" s="2004"/>
      <c r="AY1" s="2004"/>
      <c r="AZ1" s="2004"/>
      <c r="BA1" s="2004"/>
      <c r="BB1" s="2004"/>
      <c r="BC1" s="2004"/>
      <c r="BD1" s="2004"/>
      <c r="BE1" s="2004"/>
      <c r="BF1" s="2004"/>
      <c r="BG1" s="2004"/>
      <c r="BH1" s="2004"/>
      <c r="BI1" s="2004"/>
      <c r="BJ1" s="2004"/>
      <c r="BK1" s="2004"/>
      <c r="BL1" s="2004"/>
      <c r="BM1" s="2004"/>
      <c r="BN1" s="2004"/>
      <c r="BO1" s="2004"/>
      <c r="BP1" s="2004"/>
      <c r="BQ1" s="2004"/>
      <c r="BR1" s="2004"/>
      <c r="BS1" s="2004"/>
      <c r="BT1" s="2004"/>
      <c r="BU1" s="2004"/>
      <c r="BV1" s="2004"/>
      <c r="BW1" s="2004"/>
      <c r="BX1" s="2004"/>
      <c r="BY1" s="2004"/>
      <c r="BZ1" s="2004"/>
      <c r="CA1" s="2004"/>
      <c r="CB1" s="2004"/>
      <c r="CC1" s="2004"/>
      <c r="CD1" s="2004"/>
      <c r="CE1" s="2004"/>
      <c r="CF1" s="2004"/>
      <c r="CG1" s="2004"/>
      <c r="CH1" s="2004"/>
      <c r="CI1" s="2004"/>
      <c r="CJ1" s="2004"/>
      <c r="CK1" s="2004"/>
      <c r="CL1" s="2004"/>
      <c r="CM1" s="2004"/>
      <c r="CN1" s="2004"/>
      <c r="CO1" s="2004"/>
      <c r="CP1" s="2004"/>
      <c r="CQ1" s="2004"/>
      <c r="CR1" s="2004"/>
      <c r="CS1" s="2004"/>
      <c r="CT1" s="2004"/>
      <c r="CU1" s="2004"/>
      <c r="CV1" s="2004"/>
      <c r="CW1" s="2004"/>
      <c r="CX1" s="2004"/>
      <c r="CY1" s="2004"/>
      <c r="CZ1" s="2004"/>
      <c r="DA1" s="2004"/>
      <c r="DB1" s="2004"/>
      <c r="DC1" s="2004"/>
      <c r="DD1" s="2004"/>
    </row>
    <row r="2" spans="1:120" s="55" customFormat="1" ht="12.75">
      <c r="A2" s="2222" t="s">
        <v>9192</v>
      </c>
      <c r="B2" s="2222" t="s">
        <v>12826</v>
      </c>
      <c r="C2" s="2222" t="str">
        <f xml:space="preserve"> A2 &amp; "PC"</f>
        <v>AFWPC</v>
      </c>
      <c r="D2" s="2222" t="str">
        <f xml:space="preserve"> A2 &amp; "Unit"</f>
        <v>AFWUnit</v>
      </c>
      <c r="E2" s="2222" t="s">
        <v>12365</v>
      </c>
      <c r="F2" s="2222" t="str">
        <f xml:space="preserve"> A2 &amp; "201819ActPerf"</f>
        <v>AFW201819ActPerf</v>
      </c>
      <c r="G2" s="2223" t="s">
        <v>9050</v>
      </c>
      <c r="H2" s="2223" t="s">
        <v>12827</v>
      </c>
      <c r="I2" s="2223" t="str">
        <f>G2&amp;"PC"</f>
        <v>ANHPC</v>
      </c>
      <c r="J2" s="2223" t="str">
        <f xml:space="preserve"> G2 &amp; "Unit"</f>
        <v>ANHUnit</v>
      </c>
      <c r="K2" s="2223" t="s">
        <v>12366</v>
      </c>
      <c r="L2" s="2223" t="str">
        <f xml:space="preserve"> G2 &amp; "201819ActPerf"</f>
        <v>ANH201819ActPerf</v>
      </c>
      <c r="M2" s="2224" t="s">
        <v>9536</v>
      </c>
      <c r="N2" s="2224" t="s">
        <v>12828</v>
      </c>
      <c r="O2" s="2224" t="str">
        <f>M2&amp;"PC"</f>
        <v>BRLPC</v>
      </c>
      <c r="P2" s="2224" t="str">
        <f xml:space="preserve"> M2 &amp; "Unit"</f>
        <v>BRLUnit</v>
      </c>
      <c r="Q2" s="2224" t="s">
        <v>12367</v>
      </c>
      <c r="R2" s="2224" t="str">
        <f xml:space="preserve"> M2 &amp; "201819ActPerf"</f>
        <v>BRL201819ActPerf</v>
      </c>
      <c r="S2" s="2222" t="s">
        <v>9668</v>
      </c>
      <c r="T2" s="2222" t="s">
        <v>12829</v>
      </c>
      <c r="U2" s="2222" t="str">
        <f>S2&amp;"PC"</f>
        <v>DVWPC</v>
      </c>
      <c r="V2" s="2222" t="str">
        <f xml:space="preserve"> S2 &amp; "Unit"</f>
        <v>DVWUnit</v>
      </c>
      <c r="W2" s="2222" t="s">
        <v>12368</v>
      </c>
      <c r="X2" s="2222" t="str">
        <f xml:space="preserve"> S2 &amp; "201819ActPerf"</f>
        <v>DVW201819ActPerf</v>
      </c>
      <c r="Y2" s="2223" t="s">
        <v>9057</v>
      </c>
      <c r="Z2" s="2223" t="s">
        <v>12830</v>
      </c>
      <c r="AA2" s="2223" t="str">
        <f>Y2&amp;"PC"</f>
        <v>NESPC</v>
      </c>
      <c r="AB2" s="2223" t="str">
        <f xml:space="preserve"> Y2 &amp; "Unit"</f>
        <v>NESUnit</v>
      </c>
      <c r="AC2" s="2223" t="s">
        <v>12369</v>
      </c>
      <c r="AD2" s="2223" t="str">
        <f xml:space="preserve"> Y2 &amp; "201819ActPerf"</f>
        <v>NES201819ActPerf</v>
      </c>
      <c r="AE2" s="2224" t="s">
        <v>10063</v>
      </c>
      <c r="AF2" s="2224" t="s">
        <v>12831</v>
      </c>
      <c r="AG2" s="2224" t="str">
        <f>AE2&amp;"PC"</f>
        <v>PRTPC</v>
      </c>
      <c r="AH2" s="2224" t="str">
        <f xml:space="preserve"> AE2 &amp; "Unit"</f>
        <v>PRTUnit</v>
      </c>
      <c r="AI2" s="2224" t="s">
        <v>12370</v>
      </c>
      <c r="AJ2" s="2224" t="str">
        <f xml:space="preserve"> AE2 &amp; "201819ActPerf"</f>
        <v>PRT201819ActPerf</v>
      </c>
      <c r="AK2" s="2222" t="s">
        <v>10143</v>
      </c>
      <c r="AL2" s="2222" t="s">
        <v>12832</v>
      </c>
      <c r="AM2" s="2222" t="str">
        <f>AK2&amp;"PC"</f>
        <v>SBWPC</v>
      </c>
      <c r="AN2" s="2222" t="str">
        <f xml:space="preserve"> AK2 &amp; "Unit"</f>
        <v>SBWUnit</v>
      </c>
      <c r="AO2" s="2222" t="s">
        <v>12371</v>
      </c>
      <c r="AP2" s="2222" t="str">
        <f xml:space="preserve"> AK2 &amp; "201819ActPerf"</f>
        <v>SBW201819ActPerf</v>
      </c>
      <c r="AQ2" s="2223" t="s">
        <v>10226</v>
      </c>
      <c r="AR2" s="2223" t="s">
        <v>12833</v>
      </c>
      <c r="AS2" s="2223" t="str">
        <f>AQ2&amp;"PC"</f>
        <v>SESPC</v>
      </c>
      <c r="AT2" s="2223" t="str">
        <f xml:space="preserve"> AQ2 &amp; "Unit"</f>
        <v>SESUnit</v>
      </c>
      <c r="AU2" s="2223" t="s">
        <v>12372</v>
      </c>
      <c r="AV2" s="2223" t="str">
        <f xml:space="preserve"> AQ2 &amp; "201819ActPerf"</f>
        <v>SES201819ActPerf</v>
      </c>
      <c r="AW2" s="2224" t="s">
        <v>10333</v>
      </c>
      <c r="AX2" s="2224" t="s">
        <v>12834</v>
      </c>
      <c r="AY2" s="2224" t="str">
        <f>AW2&amp;"PC"</f>
        <v>SEWPC</v>
      </c>
      <c r="AZ2" s="2224" t="str">
        <f xml:space="preserve"> AW2 &amp; "Unit"</f>
        <v>SEWUnit</v>
      </c>
      <c r="BA2" s="2224" t="s">
        <v>12373</v>
      </c>
      <c r="BB2" s="2224" t="str">
        <f xml:space="preserve"> AW2 &amp; "201819ActPerf"</f>
        <v>SEW201819ActPerf</v>
      </c>
      <c r="BC2" s="2222" t="s">
        <v>9070</v>
      </c>
      <c r="BD2" s="2222" t="s">
        <v>12835</v>
      </c>
      <c r="BE2" s="2222" t="str">
        <f>BC2&amp;"PC"</f>
        <v>SRNPC</v>
      </c>
      <c r="BF2" s="2222" t="str">
        <f xml:space="preserve"> BC2 &amp; "Unit"</f>
        <v>SRNUnit</v>
      </c>
      <c r="BG2" s="2222" t="s">
        <v>12374</v>
      </c>
      <c r="BH2" s="2222" t="str">
        <f xml:space="preserve"> BC2 &amp; "201819ActPerf"</f>
        <v>SRN201819ActPerf</v>
      </c>
      <c r="BI2" s="2223" t="s">
        <v>10648</v>
      </c>
      <c r="BJ2" s="2223" t="s">
        <v>12836</v>
      </c>
      <c r="BK2" s="2223" t="str">
        <f>BI2&amp;"PC"</f>
        <v>SSCPC</v>
      </c>
      <c r="BL2" s="2223" t="str">
        <f xml:space="preserve"> BI2 &amp; "Unit"</f>
        <v>SSCUnit</v>
      </c>
      <c r="BM2" s="2223" t="s">
        <v>12837</v>
      </c>
      <c r="BN2" s="2223" t="str">
        <f xml:space="preserve"> BI2 &amp; "201819ActPerf"</f>
        <v>SSC201819ActPerf</v>
      </c>
      <c r="BO2" s="2224" t="s">
        <v>9060</v>
      </c>
      <c r="BP2" s="2224" t="s">
        <v>12838</v>
      </c>
      <c r="BQ2" s="2224" t="str">
        <f>BO2&amp;"PC"</f>
        <v>SVTPC</v>
      </c>
      <c r="BR2" s="2224" t="str">
        <f xml:space="preserve"> BO2 &amp; "Unit"</f>
        <v>SVTUnit</v>
      </c>
      <c r="BS2" s="2224" t="s">
        <v>12375</v>
      </c>
      <c r="BT2" s="2224" t="str">
        <f xml:space="preserve"> BO2 &amp; "201819ActPerf"</f>
        <v>SVT201819ActPerf</v>
      </c>
      <c r="BU2" s="2222" t="s">
        <v>9066</v>
      </c>
      <c r="BV2" s="2222" t="s">
        <v>12839</v>
      </c>
      <c r="BW2" s="2222" t="str">
        <f>BU2&amp;"PC"</f>
        <v>SWTPC</v>
      </c>
      <c r="BX2" s="2222" t="str">
        <f xml:space="preserve"> BU2 &amp; "Unit"</f>
        <v>SWTUnit</v>
      </c>
      <c r="BY2" s="2222" t="s">
        <v>12376</v>
      </c>
      <c r="BZ2" s="2222" t="str">
        <f xml:space="preserve"> BU2 &amp; "201819ActPerf"</f>
        <v>SWT201819ActPerf</v>
      </c>
      <c r="CA2" s="2223" t="s">
        <v>9073</v>
      </c>
      <c r="CB2" s="2223" t="s">
        <v>12840</v>
      </c>
      <c r="CC2" s="2223" t="str">
        <f>CA2&amp;"PC"</f>
        <v>TMSPC</v>
      </c>
      <c r="CD2" s="2223" t="str">
        <f xml:space="preserve"> CA2 &amp; "Unit"</f>
        <v>TMSUnit</v>
      </c>
      <c r="CE2" s="2223" t="s">
        <v>12377</v>
      </c>
      <c r="CF2" s="2223" t="str">
        <f xml:space="preserve"> CA2 &amp; "201819ActPerf"</f>
        <v>TMS201819ActPerf</v>
      </c>
      <c r="CG2" s="2224" t="s">
        <v>9077</v>
      </c>
      <c r="CH2" s="2224" t="s">
        <v>12841</v>
      </c>
      <c r="CI2" s="2224" t="str">
        <f>CG2&amp;"PC"</f>
        <v>NWTPC</v>
      </c>
      <c r="CJ2" s="2224" t="str">
        <f xml:space="preserve"> CG2 &amp; "Unit"</f>
        <v>NWTUnit</v>
      </c>
      <c r="CK2" s="2224" t="s">
        <v>12378</v>
      </c>
      <c r="CL2" s="2224" t="str">
        <f xml:space="preserve"> CG2 &amp; "201819ActPerf"</f>
        <v>NWT201819ActPerf</v>
      </c>
      <c r="CM2" s="2222" t="s">
        <v>9054</v>
      </c>
      <c r="CN2" s="2222" t="s">
        <v>12842</v>
      </c>
      <c r="CO2" s="2222" t="str">
        <f>CM2&amp;"PC"</f>
        <v>WSHPC</v>
      </c>
      <c r="CP2" s="2222" t="str">
        <f xml:space="preserve"> CM2 &amp; "Unit"</f>
        <v>WSHUnit</v>
      </c>
      <c r="CQ2" s="2222" t="s">
        <v>12379</v>
      </c>
      <c r="CR2" s="2222" t="str">
        <f xml:space="preserve"> CM2 &amp; "201819ActPerf"</f>
        <v>WSH201819ActPerf</v>
      </c>
      <c r="CS2" s="2223" t="s">
        <v>9080</v>
      </c>
      <c r="CT2" s="2223" t="s">
        <v>12843</v>
      </c>
      <c r="CU2" s="2223" t="s">
        <v>12380</v>
      </c>
      <c r="CV2" s="2223" t="str">
        <f xml:space="preserve"> CS2 &amp; "Unit"</f>
        <v>WSXUnit</v>
      </c>
      <c r="CW2" s="2223" t="s">
        <v>12381</v>
      </c>
      <c r="CX2" s="2223" t="str">
        <f xml:space="preserve"> CS2 &amp; "201516ActPerf"</f>
        <v>WSX201516ActPerf</v>
      </c>
      <c r="CY2" s="2223" t="s">
        <v>9082</v>
      </c>
      <c r="CZ2" s="2223" t="s">
        <v>12844</v>
      </c>
      <c r="DA2" s="2223" t="str">
        <f>CY2&amp;"PC"</f>
        <v>YKYPC</v>
      </c>
      <c r="DB2" s="2223" t="str">
        <f xml:space="preserve"> CY2 &amp; "Unit"</f>
        <v>YKYUnit</v>
      </c>
      <c r="DC2" s="2223" t="s">
        <v>12382</v>
      </c>
      <c r="DD2" s="2223" t="str">
        <f xml:space="preserve"> CY2 &amp; "201819ActPerf"</f>
        <v>YKY201819ActPerf</v>
      </c>
      <c r="DE2" s="2224" t="s">
        <v>9112</v>
      </c>
      <c r="DF2" s="2224" t="s">
        <v>12845</v>
      </c>
      <c r="DG2" s="2224" t="str">
        <f>DE2&amp;"PC"</f>
        <v>HDDPC</v>
      </c>
      <c r="DH2" s="2224" t="str">
        <f xml:space="preserve"> DE2 &amp; "Unit"</f>
        <v>HDDUnit</v>
      </c>
      <c r="DI2" s="2224" t="s">
        <v>12383</v>
      </c>
      <c r="DJ2" s="2224" t="str">
        <f xml:space="preserve"> DE2 &amp; "201819ActPerf"</f>
        <v>HDD201819ActPerf</v>
      </c>
      <c r="DK2" s="2222" t="s">
        <v>9115</v>
      </c>
      <c r="DL2" s="2222" t="s">
        <v>12846</v>
      </c>
      <c r="DM2" s="2222" t="str">
        <f>DK2&amp;"PC"</f>
        <v>SVEPC</v>
      </c>
      <c r="DN2" s="2222" t="str">
        <f xml:space="preserve"> DK2 &amp; "Unit"</f>
        <v>SVEUnit</v>
      </c>
      <c r="DO2" s="2222" t="s">
        <v>12384</v>
      </c>
      <c r="DP2" s="2222" t="str">
        <f xml:space="preserve"> DK2 &amp; "201819ActPerf"</f>
        <v>SVE201819ActPerf</v>
      </c>
    </row>
    <row r="3" spans="1:120">
      <c r="A3" s="2004"/>
      <c r="B3" s="2004"/>
      <c r="C3" s="2004"/>
      <c r="D3" s="2004"/>
      <c r="E3" s="2004"/>
      <c r="F3" s="2004"/>
      <c r="G3" s="2004" t="str">
        <f>'SUB LIST'!A3</f>
        <v>PR14ANHWSW_W-H1</v>
      </c>
      <c r="H3" s="2004" t="str">
        <f>'SUB LIST'!P3</f>
        <v>00</v>
      </c>
      <c r="I3" s="2004" t="str">
        <f>'SUB LIST'!Q3</f>
        <v>W-H1: Water infrastructure</v>
      </c>
      <c r="J3" s="2004" t="str">
        <f>'SUB LIST'!T3</f>
        <v>category</v>
      </c>
      <c r="K3" s="2004" t="str">
        <f>'SUB LIST'!U3</f>
        <v>na</v>
      </c>
      <c r="L3" s="2004" t="str">
        <f>'SUB LIST'!AY3</f>
        <v>Green</v>
      </c>
      <c r="M3" s="2004" t="str">
        <f>'SUB LIST'!A20</f>
        <v>PR14BRLWSW_A2</v>
      </c>
      <c r="N3" s="2004" t="str">
        <f>'SUB LIST'!P20</f>
        <v>00</v>
      </c>
      <c r="O3" s="2004" t="str">
        <f>'SUB LIST'!Q20</f>
        <v>A2: Asset reliability - infrastructure</v>
      </c>
      <c r="P3" s="2004" t="str">
        <f>'SUB LIST'!T20</f>
        <v>category</v>
      </c>
      <c r="Q3" s="2004" t="str">
        <f>'SUB LIST'!U20</f>
        <v>na</v>
      </c>
      <c r="R3" s="2004" t="str">
        <f>'SUB LIST'!AY20</f>
        <v>Marginal</v>
      </c>
      <c r="S3" s="2004"/>
      <c r="T3" s="2004"/>
      <c r="U3" s="2004"/>
      <c r="V3" s="2004"/>
      <c r="W3" s="2004"/>
      <c r="X3" s="2004"/>
      <c r="Y3" s="2004"/>
      <c r="Z3" s="2004"/>
      <c r="AA3" s="2004"/>
      <c r="AB3" s="2004"/>
      <c r="AC3" s="2004"/>
      <c r="AD3" s="2004"/>
      <c r="AE3" s="2004"/>
      <c r="AF3" s="2004"/>
      <c r="AG3" s="2004"/>
      <c r="AH3" s="2004"/>
      <c r="AI3" s="2004"/>
      <c r="AJ3" s="2004"/>
      <c r="AK3" s="2004" t="str">
        <f>'SUB LIST'!A26</f>
        <v>PR14SBWWSW_B4</v>
      </c>
      <c r="AL3" s="2004" t="str">
        <f>'SUB LIST'!P26</f>
        <v>00</v>
      </c>
      <c r="AM3" s="2004" t="str">
        <f>'SUB LIST'!Q26</f>
        <v>B4: Maintain serviceable assets</v>
      </c>
      <c r="AN3" s="2004" t="str">
        <f>'SUB LIST'!T26</f>
        <v>category</v>
      </c>
      <c r="AO3" s="2004" t="str">
        <f>'SUB LIST'!U26</f>
        <v>na</v>
      </c>
      <c r="AP3" s="2004" t="str">
        <f>'SUB LIST'!AY26</f>
        <v>Stable</v>
      </c>
      <c r="AQ3" s="2004"/>
      <c r="AR3" s="2004"/>
      <c r="AS3" s="2004"/>
      <c r="AT3" s="2004"/>
      <c r="AU3" s="2004"/>
      <c r="AV3" s="2004"/>
      <c r="AW3" s="2004" t="str">
        <f>'SUB LIST'!A37</f>
        <v>PR14SEWWSW_N2</v>
      </c>
      <c r="AX3" s="2004" t="str">
        <f>'SUB LIST'!P37</f>
        <v>00</v>
      </c>
      <c r="AY3" s="2004" t="str">
        <f>'SUB LIST'!Q37</f>
        <v>N2: Above ground asset performance assessment</v>
      </c>
      <c r="AZ3" s="2004" t="str">
        <f>'SUB LIST'!T37</f>
        <v>category</v>
      </c>
      <c r="BA3" s="2004" t="str">
        <f>'SUB LIST'!U37</f>
        <v>na</v>
      </c>
      <c r="BB3" s="2004" t="str">
        <f>'SUB LIST'!AY37</f>
        <v>Stable</v>
      </c>
      <c r="BC3" s="2004" t="str">
        <f>'SUB LIST'!A42</f>
        <v>PR14SRNWSW_1</v>
      </c>
      <c r="BD3" s="2004" t="str">
        <f>'SUB LIST'!P42</f>
        <v>00</v>
      </c>
      <c r="BE3" s="2004" t="str">
        <f>'SUB LIST'!Q42</f>
        <v>1: Water asset health</v>
      </c>
      <c r="BF3" s="2004" t="str">
        <f>'SUB LIST'!T42</f>
        <v>category</v>
      </c>
      <c r="BG3" s="2004" t="str">
        <f>'SUB LIST'!U42</f>
        <v>na</v>
      </c>
      <c r="BH3" s="2004" t="str">
        <f>'SUB LIST'!AY42</f>
        <v>Stable</v>
      </c>
      <c r="BI3" s="2004" t="str">
        <f>'SUB LIST'!A52</f>
        <v>PR14SSCWSW_2.2</v>
      </c>
      <c r="BJ3" s="2004" t="str">
        <f>'SUB LIST'!P52</f>
        <v>00</v>
      </c>
      <c r="BK3" s="2004" t="str">
        <f>'SUB LIST'!Q52</f>
        <v>2.2: Serviceability infrastructure (combined company)</v>
      </c>
      <c r="BL3" s="2004" t="str">
        <f>'SUB LIST'!T52</f>
        <v>category</v>
      </c>
      <c r="BM3" s="2004" t="str">
        <f>'SUB LIST'!U52</f>
        <v>na</v>
      </c>
      <c r="BN3" s="2004" t="str">
        <f>'SUB LIST'!AY52</f>
        <v>Stable</v>
      </c>
      <c r="BO3" s="2004" t="str">
        <f>'SUB LIST'!A64</f>
        <v>PR14SVTWSWW_S-C3</v>
      </c>
      <c r="BP3" s="2004" t="str">
        <f>'SUB LIST'!P64</f>
        <v>00</v>
      </c>
      <c r="BQ3" s="2004" t="str">
        <f>'SUB LIST'!Q64</f>
        <v>S-C3: Asset stewardship - environmental compliance (basket of measures)</v>
      </c>
      <c r="BR3" s="2004" t="str">
        <f>'SUB LIST'!T64</f>
        <v>%</v>
      </c>
      <c r="BS3" s="2004">
        <f>'SUB LIST'!U64</f>
        <v>2</v>
      </c>
      <c r="BT3" s="2004" t="str">
        <f>'SUB LIST'!AY64</f>
        <v/>
      </c>
      <c r="BU3" s="2004" t="str">
        <f>'SUB LIST'!A74</f>
        <v>PR14SWTWSW_W-A3</v>
      </c>
      <c r="BV3" s="2004" t="str">
        <f>'SUB LIST'!P74</f>
        <v>00</v>
      </c>
      <c r="BW3" s="2004" t="str">
        <f>'SUB LIST'!Q74</f>
        <v>W-A3 Asset reliability (pipes)</v>
      </c>
      <c r="BX3" s="2004" t="str">
        <f>'SUB LIST'!T74</f>
        <v>category</v>
      </c>
      <c r="BY3" s="2004" t="str">
        <f>'SUB LIST'!U74</f>
        <v>na</v>
      </c>
      <c r="BZ3" s="2004" t="str">
        <f>'SUB LIST'!AY74</f>
        <v>Stable</v>
      </c>
      <c r="CA3" s="2004" t="str">
        <f>'SUB LIST'!A98</f>
        <v>PR14TMSWSW_WB1</v>
      </c>
      <c r="CB3" s="2004" t="str">
        <f>'SUB LIST'!P98</f>
        <v>00</v>
      </c>
      <c r="CC3" s="2004" t="str">
        <f>'SUB LIST'!Q98</f>
        <v>WB1: Asset health water infrastructure</v>
      </c>
      <c r="CD3" s="2004" t="str">
        <f>'SUB LIST'!T98</f>
        <v>category</v>
      </c>
      <c r="CE3" s="2004" t="str">
        <f>'SUB LIST'!U98</f>
        <v>na</v>
      </c>
      <c r="CF3" s="2004" t="str">
        <f>'SUB LIST'!AY98</f>
        <v>Marginal</v>
      </c>
      <c r="CG3" s="2004" t="str">
        <f>'SUB LIST'!A122</f>
        <v>PR14UUWSW_A3</v>
      </c>
      <c r="CH3" s="2004" t="str">
        <f>'SUB LIST'!P122</f>
        <v>00</v>
      </c>
      <c r="CI3" s="2004" t="str">
        <f>'SUB LIST'!Q122</f>
        <v>A3: Water Quality Service Index</v>
      </c>
      <c r="CJ3" s="2004" t="str">
        <f>'SUB LIST'!T122</f>
        <v>score</v>
      </c>
      <c r="CK3" s="2004">
        <f>'SUB LIST'!U122</f>
        <v>3</v>
      </c>
      <c r="CL3" s="2004">
        <f>'SUB LIST'!AY122</f>
        <v>101.182</v>
      </c>
      <c r="CM3" s="2004" t="str">
        <f>'SUB LIST'!A162</f>
        <v>PR14WSHWSW_F1</v>
      </c>
      <c r="CN3" s="2004" t="str">
        <f>'SUB LIST'!P162</f>
        <v>00</v>
      </c>
      <c r="CO3" s="2004" t="str">
        <f>'SUB LIST'!Q162</f>
        <v>F1: Asset serviceability</v>
      </c>
      <c r="CP3" s="2004" t="str">
        <f>'SUB LIST'!T162</f>
        <v>category</v>
      </c>
      <c r="CQ3" s="2004" t="str">
        <f>'SUB LIST'!U162</f>
        <v>na</v>
      </c>
      <c r="CR3" s="2004" t="str">
        <f>'SUB LIST'!AY162</f>
        <v>Stable</v>
      </c>
      <c r="CS3" s="2004"/>
      <c r="CT3" s="2004"/>
      <c r="CU3" s="2004"/>
      <c r="CV3" s="2004"/>
      <c r="CW3" s="2004"/>
      <c r="CX3" s="2004"/>
      <c r="CY3" s="2004" t="str">
        <f>'SUB LIST'!A184</f>
        <v>PR14YKYWSW_WA4</v>
      </c>
      <c r="CZ3" s="2004" t="str">
        <f>'SUB LIST'!P184</f>
        <v>00</v>
      </c>
      <c r="DA3" s="2004" t="str">
        <f>'SUB LIST'!Q184</f>
        <v>WA4: Water quality stability and reliability factor</v>
      </c>
      <c r="DB3" s="2004" t="str">
        <f>'SUB LIST'!T184</f>
        <v>category</v>
      </c>
      <c r="DC3" s="2004" t="str">
        <f>'SUB LIST'!U184</f>
        <v>na</v>
      </c>
      <c r="DD3" s="2004" t="str">
        <f>'SUB LIST'!AY184</f>
        <v>Stable</v>
      </c>
      <c r="DE3" s="2004" t="str">
        <f>'SUB LIST'!A208</f>
        <v>PR14HDDWSWW_S-C3</v>
      </c>
      <c r="DF3" s="2004" t="str">
        <f>'SUB LIST'!P208</f>
        <v>00</v>
      </c>
      <c r="DG3" s="2004" t="str">
        <f>'SUB LIST'!Q208</f>
        <v>S-C3: Asset stewardship - environmental compliance (basket of measures)</v>
      </c>
      <c r="DH3" s="2236" t="str">
        <f>'SUB LIST'!T208</f>
        <v>%</v>
      </c>
      <c r="DI3" s="2236">
        <f>'SUB LIST'!U208</f>
        <v>2</v>
      </c>
      <c r="DJ3" s="2962">
        <f>'SUB LIST'!AY208</f>
        <v>97.694825362658506</v>
      </c>
      <c r="DK3" s="2004" t="str">
        <f>'SUB LIST'!A213</f>
        <v>PR14SVEWSWW_S-C3</v>
      </c>
      <c r="DL3" s="2004" t="str">
        <f>'SUB LIST'!P213</f>
        <v>00</v>
      </c>
      <c r="DM3" s="2004" t="str">
        <f>'SUB LIST'!Q213</f>
        <v>S-C3: Asset stewardship - environmental compliance (basket of measures)</v>
      </c>
      <c r="DN3" s="2236" t="str">
        <f>'SUB LIST'!T213</f>
        <v>%</v>
      </c>
      <c r="DO3" s="2236">
        <f>'SUB LIST'!U213</f>
        <v>2</v>
      </c>
      <c r="DP3" s="2962">
        <f>'SUB LIST'!AY213</f>
        <v>97.69</v>
      </c>
    </row>
    <row r="4" spans="1:120">
      <c r="A4" s="2004"/>
      <c r="B4" s="2004"/>
      <c r="C4" s="2004"/>
      <c r="D4" s="2004"/>
      <c r="E4" s="2004"/>
      <c r="F4" s="2004"/>
      <c r="G4" s="2004" t="str">
        <f>'SUB LIST'!A4</f>
        <v>PR14ANHWSW_W-H1</v>
      </c>
      <c r="H4" s="2004" t="str">
        <f>'SUB LIST'!P4</f>
        <v>01</v>
      </c>
      <c r="I4" s="2004" t="str">
        <f>'SUB LIST'!Q4</f>
        <v>Unplanned interruptions &gt;12 hours</v>
      </c>
      <c r="J4" s="2004" t="str">
        <f>'SUB LIST'!T4</f>
        <v>nr</v>
      </c>
      <c r="K4" s="2004" t="str">
        <f>'SUB LIST'!U4</f>
        <v>0</v>
      </c>
      <c r="L4" s="2004">
        <f>'SUB LIST'!AY4</f>
        <v>2267</v>
      </c>
      <c r="M4" s="2004" t="str">
        <f>'SUB LIST'!A21</f>
        <v>PR14BRLWSW_A2</v>
      </c>
      <c r="N4" s="2004" t="str">
        <f>'SUB LIST'!P21</f>
        <v>01</v>
      </c>
      <c r="O4" s="2004" t="str">
        <f>'SUB LIST'!Q21</f>
        <v>Total bursts (number)</v>
      </c>
      <c r="P4" s="2004" t="str">
        <f>'SUB LIST'!T21</f>
        <v>nr</v>
      </c>
      <c r="Q4" s="2004" t="str">
        <f>'SUB LIST'!U21</f>
        <v>0</v>
      </c>
      <c r="R4" s="2004">
        <f>'SUB LIST'!AY21</f>
        <v>1074</v>
      </c>
      <c r="S4" s="2004"/>
      <c r="T4" s="2004"/>
      <c r="U4" s="2004"/>
      <c r="V4" s="2004"/>
      <c r="W4" s="2004"/>
      <c r="X4" s="2004"/>
      <c r="Y4" s="2004"/>
      <c r="Z4" s="2004"/>
      <c r="AA4" s="2004"/>
      <c r="AB4" s="2004"/>
      <c r="AC4" s="2004"/>
      <c r="AD4" s="2004"/>
      <c r="AE4" s="2004"/>
      <c r="AF4" s="2004"/>
      <c r="AG4" s="2004"/>
      <c r="AH4" s="2004"/>
      <c r="AI4" s="2004"/>
      <c r="AJ4" s="2004"/>
      <c r="AK4" s="2004" t="str">
        <f>'SUB LIST'!A27</f>
        <v>PR14SBWWSW_B4</v>
      </c>
      <c r="AL4" s="2004" t="str">
        <f>'SUB LIST'!P27</f>
        <v>01</v>
      </c>
      <c r="AM4" s="2004" t="str">
        <f>'SUB LIST'!Q27</f>
        <v>Total bursts</v>
      </c>
      <c r="AN4" s="2004" t="str">
        <f>'SUB LIST'!T27</f>
        <v>nr</v>
      </c>
      <c r="AO4" s="2004" t="str">
        <f>'SUB LIST'!U27</f>
        <v>0</v>
      </c>
      <c r="AP4" s="2004">
        <f>'SUB LIST'!AY27</f>
        <v>228</v>
      </c>
      <c r="AQ4" s="2004"/>
      <c r="AR4" s="2004"/>
      <c r="AS4" s="2004"/>
      <c r="AT4" s="2004"/>
      <c r="AU4" s="2004"/>
      <c r="AV4" s="2004"/>
      <c r="AW4" s="2004" t="str">
        <f>'SUB LIST'!A38</f>
        <v>PR14SEWWSW_N2</v>
      </c>
      <c r="AX4" s="2004" t="str">
        <f>'SUB LIST'!P38</f>
        <v>01</v>
      </c>
      <c r="AY4" s="2004" t="str">
        <f>'SUB LIST'!Q38</f>
        <v>WTW coliforms non-compliance</v>
      </c>
      <c r="AZ4" s="2004" t="str">
        <f>'SUB LIST'!T38</f>
        <v>%</v>
      </c>
      <c r="BA4" s="2004">
        <f>'SUB LIST'!U38</f>
        <v>2</v>
      </c>
      <c r="BB4" s="2004">
        <f>'SUB LIST'!AY38</f>
        <v>0.04</v>
      </c>
      <c r="BC4" s="2004" t="str">
        <f>'SUB LIST'!A43</f>
        <v>PR14SRNWSW_1</v>
      </c>
      <c r="BD4" s="2004" t="str">
        <f>'SUB LIST'!P43</f>
        <v>01</v>
      </c>
      <c r="BE4" s="2004" t="str">
        <f>'SUB LIST'!Q43</f>
        <v>Number of mains bursts per year</v>
      </c>
      <c r="BF4" s="2004" t="str">
        <f>'SUB LIST'!T43</f>
        <v>nr</v>
      </c>
      <c r="BG4" s="2004" t="str">
        <f>'SUB LIST'!U43</f>
        <v>0</v>
      </c>
      <c r="BH4" s="2004">
        <f>'SUB LIST'!AY43</f>
        <v>1917</v>
      </c>
      <c r="BI4" s="2004" t="str">
        <f>'SUB LIST'!A53</f>
        <v>PR14SSCWSW_2.2</v>
      </c>
      <c r="BJ4" s="2004" t="str">
        <f>'SUB LIST'!P53</f>
        <v>01</v>
      </c>
      <c r="BK4" s="2004" t="str">
        <f>'SUB LIST'!Q53</f>
        <v>Mains bursts</v>
      </c>
      <c r="BL4" s="2004" t="str">
        <f>'SUB LIST'!T53</f>
        <v>nr</v>
      </c>
      <c r="BM4" s="2004" t="str">
        <f>'SUB LIST'!U53</f>
        <v>0</v>
      </c>
      <c r="BN4" s="2004">
        <f>'SUB LIST'!AY53</f>
        <v>1244</v>
      </c>
      <c r="BO4" s="2004" t="str">
        <f>'SUB LIST'!A65</f>
        <v>PR14SVTWSWW_S-C3</v>
      </c>
      <c r="BP4" s="2004" t="str">
        <f>'SUB LIST'!P65</f>
        <v>01</v>
      </c>
      <c r="BQ4" s="2004" t="str">
        <f>'SUB LIST'!Q65</f>
        <v>% of sewage treatment works passing their numeric consents</v>
      </c>
      <c r="BR4" s="2004" t="str">
        <f>'SUB LIST'!T65</f>
        <v>%</v>
      </c>
      <c r="BS4" s="2004">
        <f>'SUB LIST'!U65</f>
        <v>2</v>
      </c>
      <c r="BT4" s="2004" t="str">
        <f>'SUB LIST'!AY65</f>
        <v/>
      </c>
      <c r="BU4" s="2004" t="str">
        <f>'SUB LIST'!A75</f>
        <v>PR14SWTWSW_W-A3</v>
      </c>
      <c r="BV4" s="2004" t="str">
        <f>'SUB LIST'!P75</f>
        <v>01</v>
      </c>
      <c r="BW4" s="2004" t="str">
        <f>'SUB LIST'!Q75</f>
        <v>Total bursts</v>
      </c>
      <c r="BX4" s="2004" t="str">
        <f>'SUB LIST'!T75</f>
        <v>nr</v>
      </c>
      <c r="BY4" s="2004" t="str">
        <f>'SUB LIST'!U75</f>
        <v>0</v>
      </c>
      <c r="BZ4" s="2004">
        <f>'SUB LIST'!AY75</f>
        <v>2517</v>
      </c>
      <c r="CA4" s="2004" t="str">
        <f>'SUB LIST'!A99</f>
        <v>PR14TMSWSW_WB1</v>
      </c>
      <c r="CB4" s="2004" t="str">
        <f>'SUB LIST'!P99</f>
        <v>01</v>
      </c>
      <c r="CC4" s="2004" t="str">
        <f>'SUB LIST'!Q99</f>
        <v>Total bursts</v>
      </c>
      <c r="CD4" s="2004" t="str">
        <f>'SUB LIST'!T99</f>
        <v>nr</v>
      </c>
      <c r="CE4" s="2004" t="str">
        <f>'SUB LIST'!U99</f>
        <v>0</v>
      </c>
      <c r="CF4" s="2004">
        <f>'SUB LIST'!AY99</f>
        <v>10388</v>
      </c>
      <c r="CG4" s="2004" t="str">
        <f>'SUB LIST'!A123</f>
        <v>PR14UUWSW_A3</v>
      </c>
      <c r="CH4" s="2004" t="str">
        <f>'SUB LIST'!P123</f>
        <v>01</v>
      </c>
      <c r="CI4" s="2004" t="str">
        <f>'SUB LIST'!Q123</f>
        <v>WTW coliform non-compliance (%)</v>
      </c>
      <c r="CJ4" s="2004" t="str">
        <f>'SUB LIST'!T123</f>
        <v>%</v>
      </c>
      <c r="CK4" s="2004">
        <f>'SUB LIST'!U123</f>
        <v>2</v>
      </c>
      <c r="CL4" s="2004">
        <f>'SUB LIST'!AY123</f>
        <v>0.01</v>
      </c>
      <c r="CM4" s="2004" t="str">
        <f>'SUB LIST'!A163</f>
        <v>PR14WSHWSW_F1</v>
      </c>
      <c r="CN4" s="2004" t="str">
        <f>'SUB LIST'!P163</f>
        <v>01</v>
      </c>
      <c r="CO4" s="2004" t="str">
        <f>'SUB LIST'!Q163</f>
        <v>Total bursts (nr)</v>
      </c>
      <c r="CP4" s="2004" t="str">
        <f>'SUB LIST'!T163</f>
        <v>nr</v>
      </c>
      <c r="CQ4" s="2004" t="str">
        <f>'SUB LIST'!U163</f>
        <v>0</v>
      </c>
      <c r="CR4" s="2004">
        <f>'SUB LIST'!AY163</f>
        <v>4270</v>
      </c>
      <c r="CS4" s="2004"/>
      <c r="CT4" s="2004"/>
      <c r="CU4" s="2004"/>
      <c r="CV4" s="2004"/>
      <c r="CW4" s="2004"/>
      <c r="CX4" s="2004"/>
      <c r="CY4" s="2004" t="str">
        <f>'SUB LIST'!A185</f>
        <v>PR14YKYWSW_WA4</v>
      </c>
      <c r="CZ4" s="2004" t="str">
        <f>'SUB LIST'!P185</f>
        <v>01</v>
      </c>
      <c r="DA4" s="2004" t="str">
        <f>'SUB LIST'!Q185</f>
        <v>WTW coliform non-compliance</v>
      </c>
      <c r="DB4" s="2004" t="str">
        <f>'SUB LIST'!T185</f>
        <v>%</v>
      </c>
      <c r="DC4" s="2004">
        <f>'SUB LIST'!U185</f>
        <v>3</v>
      </c>
      <c r="DD4" s="2004">
        <f>'SUB LIST'!AY185</f>
        <v>2.1000000000000001E-2</v>
      </c>
      <c r="DE4" s="2004" t="str">
        <f>'SUB LIST'!A209</f>
        <v>PR14HDDWSWW_S-C3</v>
      </c>
      <c r="DF4" s="2004" t="str">
        <f>'SUB LIST'!P209</f>
        <v>01</v>
      </c>
      <c r="DG4" s="2004" t="str">
        <f>'SUB LIST'!Q209</f>
        <v>% of sewage treatment works passing their numeric consents</v>
      </c>
      <c r="DH4" s="2236" t="str">
        <f>'SUB LIST'!T209</f>
        <v>%</v>
      </c>
      <c r="DI4" s="2236">
        <f>'SUB LIST'!U209</f>
        <v>2</v>
      </c>
      <c r="DJ4" s="2962">
        <f>'SUB LIST'!AY209</f>
        <v>98.565279770444761</v>
      </c>
      <c r="DK4" s="2004" t="str">
        <f>'SUB LIST'!A214</f>
        <v>PR14SVEWSWW_S-C3</v>
      </c>
      <c r="DL4" s="2004" t="str">
        <f>'SUB LIST'!P214</f>
        <v>01</v>
      </c>
      <c r="DM4" s="2004" t="str">
        <f>'SUB LIST'!Q214</f>
        <v>% of sewage treatment works passing their numeric consents</v>
      </c>
      <c r="DN4" s="2236" t="str">
        <f>'SUB LIST'!T214</f>
        <v>%</v>
      </c>
      <c r="DO4" s="2236">
        <f>'SUB LIST'!U214</f>
        <v>2</v>
      </c>
      <c r="DP4" s="2962">
        <f>'SUB LIST'!AY214</f>
        <v>98.565279770444761</v>
      </c>
    </row>
    <row r="5" spans="1:120">
      <c r="A5" s="2004"/>
      <c r="B5" s="2004"/>
      <c r="C5" s="2004"/>
      <c r="D5" s="2004"/>
      <c r="E5" s="2004"/>
      <c r="F5" s="2004"/>
      <c r="G5" s="2004" t="str">
        <f>'SUB LIST'!A5</f>
        <v>PR14ANHWSW_W-H1</v>
      </c>
      <c r="H5" s="2004" t="str">
        <f>'SUB LIST'!P5</f>
        <v>02</v>
      </c>
      <c r="I5" s="2004" t="str">
        <f>'SUB LIST'!Q5</f>
        <v>Reactive mains bursts</v>
      </c>
      <c r="J5" s="2004">
        <f>'SUB LIST'!T5</f>
        <v>0</v>
      </c>
      <c r="K5" s="2004">
        <f>'SUB LIST'!U5</f>
        <v>1</v>
      </c>
      <c r="L5" s="2004">
        <f>'SUB LIST'!AY5</f>
        <v>0</v>
      </c>
      <c r="M5" s="2004" t="str">
        <f>'SUB LIST'!A22</f>
        <v>PR14BRLWSW_A2</v>
      </c>
      <c r="N5" s="2004" t="str">
        <f>'SUB LIST'!P22</f>
        <v>02</v>
      </c>
      <c r="O5" s="2004" t="str">
        <f>'SUB LIST'!Q22</f>
        <v>DG2: low pressure (number of properties)</v>
      </c>
      <c r="P5" s="2004" t="str">
        <f>'SUB LIST'!T22</f>
        <v>nr</v>
      </c>
      <c r="Q5" s="2004" t="str">
        <f>'SUB LIST'!U22</f>
        <v>0</v>
      </c>
      <c r="R5" s="2004">
        <f>'SUB LIST'!AY22</f>
        <v>61</v>
      </c>
      <c r="S5" s="2004"/>
      <c r="T5" s="2004"/>
      <c r="U5" s="2004"/>
      <c r="V5" s="2004"/>
      <c r="W5" s="2004"/>
      <c r="X5" s="2004"/>
      <c r="Y5" s="2004"/>
      <c r="Z5" s="2004"/>
      <c r="AA5" s="2004"/>
      <c r="AB5" s="2004"/>
      <c r="AC5" s="2004"/>
      <c r="AD5" s="2004"/>
      <c r="AE5" s="2004"/>
      <c r="AF5" s="2004"/>
      <c r="AG5" s="2004"/>
      <c r="AH5" s="2004"/>
      <c r="AI5" s="2004"/>
      <c r="AJ5" s="2004"/>
      <c r="AK5" s="2004" t="str">
        <f>'SUB LIST'!A28</f>
        <v>PR14SBWWSW_B4</v>
      </c>
      <c r="AL5" s="2004" t="str">
        <f>'SUB LIST'!P28</f>
        <v>02</v>
      </c>
      <c r="AM5" s="2004" t="str">
        <f>'SUB LIST'!Q28</f>
        <v>Interruptions &gt; 12 hours</v>
      </c>
      <c r="AN5" s="2004" t="str">
        <f>'SUB LIST'!T28</f>
        <v>nr</v>
      </c>
      <c r="AO5" s="2004" t="str">
        <f>'SUB LIST'!U28</f>
        <v>0</v>
      </c>
      <c r="AP5" s="2004">
        <f>'SUB LIST'!AY28</f>
        <v>0</v>
      </c>
      <c r="AQ5" s="2004"/>
      <c r="AR5" s="2004"/>
      <c r="AS5" s="2004"/>
      <c r="AT5" s="2004"/>
      <c r="AU5" s="2004"/>
      <c r="AV5" s="2004"/>
      <c r="AW5" s="2004" t="str">
        <f>'SUB LIST'!A39</f>
        <v>PR14SEWWSW_N2</v>
      </c>
      <c r="AX5" s="2004" t="str">
        <f>'SUB LIST'!P39</f>
        <v>02</v>
      </c>
      <c r="AY5" s="2004" t="str">
        <f>'SUB LIST'!Q39</f>
        <v>Service reservoir coliforms non-compliance</v>
      </c>
      <c r="AZ5" s="2004" t="str">
        <f>'SUB LIST'!T39</f>
        <v>%</v>
      </c>
      <c r="BA5" s="2004">
        <f>'SUB LIST'!U39</f>
        <v>2</v>
      </c>
      <c r="BB5" s="2004">
        <f>'SUB LIST'!AY39</f>
        <v>0</v>
      </c>
      <c r="BC5" s="2004" t="str">
        <f>'SUB LIST'!A44</f>
        <v>PR14SRNWSW_1</v>
      </c>
      <c r="BD5" s="2004" t="str">
        <f>'SUB LIST'!P44</f>
        <v>02</v>
      </c>
      <c r="BE5" s="2004" t="str">
        <f>'SUB LIST'!Q44</f>
        <v>TIM distribution index</v>
      </c>
      <c r="BF5" s="2004" t="str">
        <f>'SUB LIST'!T44</f>
        <v>%</v>
      </c>
      <c r="BG5" s="2004">
        <f>'SUB LIST'!U44</f>
        <v>2</v>
      </c>
      <c r="BH5" s="2004">
        <f>'SUB LIST'!AY44</f>
        <v>99.97</v>
      </c>
      <c r="BI5" s="2004" t="str">
        <f>'SUB LIST'!A54</f>
        <v>PR14SSCWSW_2.2</v>
      </c>
      <c r="BJ5" s="2004" t="str">
        <f>'SUB LIST'!P54</f>
        <v>02</v>
      </c>
      <c r="BK5" s="2004" t="str">
        <f>'SUB LIST'!Q54</f>
        <v>Supply interruptions &gt; 12 hours</v>
      </c>
      <c r="BL5" s="2004" t="str">
        <f>'SUB LIST'!T54</f>
        <v>nr</v>
      </c>
      <c r="BM5" s="2004" t="str">
        <f>'SUB LIST'!U54</f>
        <v>0</v>
      </c>
      <c r="BN5" s="2004">
        <f>'SUB LIST'!AY54</f>
        <v>2389</v>
      </c>
      <c r="BO5" s="2004" t="str">
        <f>'SUB LIST'!A66</f>
        <v>PR14SVTWSWW_S-C3</v>
      </c>
      <c r="BP5" s="2004" t="str">
        <f>'SUB LIST'!P66</f>
        <v>02</v>
      </c>
      <c r="BQ5" s="2004" t="str">
        <f>'SUB LIST'!Q66</f>
        <v>% of actions raised from EA regulatory site audits (actions raised as a % of total site visits)</v>
      </c>
      <c r="BR5" s="2004" t="str">
        <f>'SUB LIST'!T66</f>
        <v>%</v>
      </c>
      <c r="BS5" s="2004">
        <f>'SUB LIST'!U66</f>
        <v>2</v>
      </c>
      <c r="BT5" s="2004" t="str">
        <f>'SUB LIST'!AY66</f>
        <v/>
      </c>
      <c r="BU5" s="2004" t="str">
        <f>'SUB LIST'!A76</f>
        <v>PR14SWTWSW_W-A3</v>
      </c>
      <c r="BV5" s="2004" t="str">
        <f>'SUB LIST'!P76</f>
        <v>02</v>
      </c>
      <c r="BW5" s="2004" t="str">
        <f>'SUB LIST'!Q76</f>
        <v>Interruptions &gt; 12 hours</v>
      </c>
      <c r="BX5" s="2004" t="str">
        <f>'SUB LIST'!T76</f>
        <v>nr</v>
      </c>
      <c r="BY5" s="2004" t="str">
        <f>'SUB LIST'!U76</f>
        <v>0</v>
      </c>
      <c r="BZ5" s="2004">
        <f>'SUB LIST'!AY76</f>
        <v>471</v>
      </c>
      <c r="CA5" s="2004" t="str">
        <f>'SUB LIST'!A100</f>
        <v>PR14TMSWSW_WB1</v>
      </c>
      <c r="CB5" s="2004" t="str">
        <f>'SUB LIST'!P100</f>
        <v>02</v>
      </c>
      <c r="CC5" s="2004" t="str">
        <f>'SUB LIST'!Q100</f>
        <v>Unplanned interruptions to customer &gt;12 hours (DG3)</v>
      </c>
      <c r="CD5" s="2004" t="str">
        <f>'SUB LIST'!T100</f>
        <v>nr</v>
      </c>
      <c r="CE5" s="2004" t="str">
        <f>'SUB LIST'!U100</f>
        <v>0</v>
      </c>
      <c r="CF5" s="2004">
        <f>'SUB LIST'!AY100</f>
        <v>16418</v>
      </c>
      <c r="CG5" s="2004" t="str">
        <f>'SUB LIST'!A124</f>
        <v>PR14UUWSW_A3</v>
      </c>
      <c r="CH5" s="2004" t="str">
        <f>'SUB LIST'!P124</f>
        <v>02</v>
      </c>
      <c r="CI5" s="2004" t="str">
        <f>'SUB LIST'!Q124</f>
        <v>SR integrity index</v>
      </c>
      <c r="CJ5" s="2004" t="str">
        <f>'SUB LIST'!T124</f>
        <v>%</v>
      </c>
      <c r="CK5" s="2004">
        <f>'SUB LIST'!U124</f>
        <v>2</v>
      </c>
      <c r="CL5" s="2004">
        <f>'SUB LIST'!AY124</f>
        <v>99.98</v>
      </c>
      <c r="CM5" s="2004" t="str">
        <f>'SUB LIST'!A164</f>
        <v>PR14WSHWSW_F1</v>
      </c>
      <c r="CN5" s="2004" t="str">
        <f>'SUB LIST'!P164</f>
        <v>02</v>
      </c>
      <c r="CO5" s="2004" t="str">
        <f>'SUB LIST'!Q164</f>
        <v>Interruptions &gt;12h (nr)</v>
      </c>
      <c r="CP5" s="2004" t="str">
        <f>'SUB LIST'!T164</f>
        <v>nr</v>
      </c>
      <c r="CQ5" s="2004" t="str">
        <f>'SUB LIST'!U164</f>
        <v>0</v>
      </c>
      <c r="CR5" s="2004">
        <f>'SUB LIST'!AY164</f>
        <v>4446</v>
      </c>
      <c r="CS5" s="2004"/>
      <c r="CT5" s="2004"/>
      <c r="CU5" s="2004"/>
      <c r="CV5" s="2004"/>
      <c r="CW5" s="2004"/>
      <c r="CX5" s="2004"/>
      <c r="CY5" s="2004" t="str">
        <f>'SUB LIST'!A186</f>
        <v>PR14YKYWSW_WA4</v>
      </c>
      <c r="CZ5" s="2004" t="str">
        <f>'SUB LIST'!P186</f>
        <v>02</v>
      </c>
      <c r="DA5" s="2004" t="str">
        <f>'SUB LIST'!Q186</f>
        <v>SR coliform non-compliance</v>
      </c>
      <c r="DB5" s="2004" t="str">
        <f>'SUB LIST'!T186</f>
        <v>%</v>
      </c>
      <c r="DC5" s="2004">
        <f>'SUB LIST'!U186</f>
        <v>2</v>
      </c>
      <c r="DD5" s="2004">
        <f>'SUB LIST'!AY186</f>
        <v>0</v>
      </c>
      <c r="DE5" s="2004" t="str">
        <f>'SUB LIST'!A210</f>
        <v>PR14HDDWSWW_S-C3</v>
      </c>
      <c r="DF5" s="2004" t="str">
        <f>'SUB LIST'!P210</f>
        <v>02</v>
      </c>
      <c r="DG5" s="2004" t="str">
        <f>'SUB LIST'!Q210</f>
        <v>% of actions raised from EA regulatory site audits (actions raised as a % of total site visits)</v>
      </c>
      <c r="DH5" s="2236" t="str">
        <f>'SUB LIST'!T210</f>
        <v>%</v>
      </c>
      <c r="DI5" s="2236">
        <f>'SUB LIST'!U210</f>
        <v>2</v>
      </c>
      <c r="DJ5" s="2962">
        <f>'SUB LIST'!AY210</f>
        <v>96.843615494978479</v>
      </c>
      <c r="DK5" s="2004" t="str">
        <f>'SUB LIST'!A215</f>
        <v>PR14SVEWSWW_S-C3</v>
      </c>
      <c r="DL5" s="2004" t="str">
        <f>'SUB LIST'!P215</f>
        <v>02</v>
      </c>
      <c r="DM5" s="2004" t="str">
        <f>'SUB LIST'!Q215</f>
        <v>% of actions raised from EA regulatory site audits (actions raised as a % of total site visits)</v>
      </c>
      <c r="DN5" s="2236" t="str">
        <f>'SUB LIST'!T215</f>
        <v>%</v>
      </c>
      <c r="DO5" s="2236">
        <f>'SUB LIST'!U215</f>
        <v>2</v>
      </c>
      <c r="DP5" s="2962">
        <f>'SUB LIST'!AY215</f>
        <v>96.843615494978479</v>
      </c>
    </row>
    <row r="6" spans="1:120">
      <c r="A6" s="2004"/>
      <c r="B6" s="2004"/>
      <c r="C6" s="2004"/>
      <c r="D6" s="2004"/>
      <c r="E6" s="2004"/>
      <c r="F6" s="2004"/>
      <c r="G6" s="2004" t="str">
        <f>'SUB LIST'!A6</f>
        <v>PR14ANHWSW_W-H1</v>
      </c>
      <c r="H6" s="2004" t="str">
        <f>'SUB LIST'!P6</f>
        <v>03</v>
      </c>
      <c r="I6" s="2004" t="str">
        <f>'SUB LIST'!Q6</f>
        <v>Customer contacts - discolouration</v>
      </c>
      <c r="J6" s="2004">
        <f>'SUB LIST'!T6</f>
        <v>0</v>
      </c>
      <c r="K6" s="2004">
        <f>'SUB LIST'!U6</f>
        <v>2</v>
      </c>
      <c r="L6" s="2004">
        <f>'SUB LIST'!AY6</f>
        <v>0.37</v>
      </c>
      <c r="M6" s="2004" t="str">
        <f>'SUB LIST'!A23</f>
        <v>PR14BRLWSW_A3</v>
      </c>
      <c r="N6" s="2004" t="str">
        <f>'SUB LIST'!P23</f>
        <v>00</v>
      </c>
      <c r="O6" s="2004" t="str">
        <f>'SUB LIST'!Q23</f>
        <v>A3: Asset reliability - non-infrastructure</v>
      </c>
      <c r="P6" s="2004" t="str">
        <f>'SUB LIST'!T23</f>
        <v>category</v>
      </c>
      <c r="Q6" s="2004" t="str">
        <f>'SUB LIST'!U23</f>
        <v>na</v>
      </c>
      <c r="R6" s="2004" t="str">
        <f>'SUB LIST'!AY23</f>
        <v>Stable</v>
      </c>
      <c r="S6" s="2004"/>
      <c r="T6" s="2004"/>
      <c r="U6" s="2004"/>
      <c r="V6" s="2004"/>
      <c r="W6" s="2004"/>
      <c r="X6" s="2004"/>
      <c r="Y6" s="2004"/>
      <c r="Z6" s="2004"/>
      <c r="AA6" s="2004"/>
      <c r="AB6" s="2004"/>
      <c r="AC6" s="2004"/>
      <c r="AD6" s="2004"/>
      <c r="AE6" s="2004"/>
      <c r="AF6" s="2004"/>
      <c r="AG6" s="2004"/>
      <c r="AH6" s="2004"/>
      <c r="AI6" s="2004"/>
      <c r="AJ6" s="2004"/>
      <c r="AK6" s="2004" t="str">
        <f>'SUB LIST'!A29</f>
        <v>PR14SBWWSW_B4</v>
      </c>
      <c r="AL6" s="2004" t="str">
        <f>'SUB LIST'!P29</f>
        <v>03</v>
      </c>
      <c r="AM6" s="2004" t="str">
        <f>'SUB LIST'!Q29</f>
        <v>Iron non-compliance (as 100-Mean Zonal Compliance)</v>
      </c>
      <c r="AN6" s="2004" t="str">
        <f>'SUB LIST'!T29</f>
        <v>%</v>
      </c>
      <c r="AO6" s="2004">
        <f>'SUB LIST'!U29</f>
        <v>2</v>
      </c>
      <c r="AP6" s="2004">
        <f>'SUB LIST'!AY29</f>
        <v>0</v>
      </c>
      <c r="AQ6" s="2004"/>
      <c r="AR6" s="2004"/>
      <c r="AS6" s="2004"/>
      <c r="AT6" s="2004"/>
      <c r="AU6" s="2004"/>
      <c r="AV6" s="2004"/>
      <c r="AW6" s="2004" t="str">
        <f>'SUB LIST'!A40</f>
        <v>PR14SEWWSW_N2</v>
      </c>
      <c r="AX6" s="2004" t="str">
        <f>'SUB LIST'!P40</f>
        <v>03</v>
      </c>
      <c r="AY6" s="2004" t="str">
        <f>'SUB LIST'!Q40</f>
        <v>Turbidity non-compliance</v>
      </c>
      <c r="AZ6" s="2004" t="str">
        <f>'SUB LIST'!T40</f>
        <v>nr</v>
      </c>
      <c r="BA6" s="2004" t="str">
        <f>'SUB LIST'!U40</f>
        <v>0</v>
      </c>
      <c r="BB6" s="2004">
        <f>'SUB LIST'!AY40</f>
        <v>0</v>
      </c>
      <c r="BC6" s="2004" t="str">
        <f>'SUB LIST'!A45</f>
        <v>PR14SRNWSW_1</v>
      </c>
      <c r="BD6" s="2004" t="str">
        <f>'SUB LIST'!P45</f>
        <v>03</v>
      </c>
      <c r="BE6" s="2004" t="str">
        <f>'SUB LIST'!Q45</f>
        <v>Coliform compliance at WSW</v>
      </c>
      <c r="BF6" s="2004" t="str">
        <f>'SUB LIST'!T45</f>
        <v>%</v>
      </c>
      <c r="BG6" s="2004">
        <f>'SUB LIST'!U45</f>
        <v>2</v>
      </c>
      <c r="BH6" s="2004">
        <f>'SUB LIST'!AY45</f>
        <v>99.93</v>
      </c>
      <c r="BI6" s="2004" t="str">
        <f>'SUB LIST'!A55</f>
        <v>PR14SSCWSW_2.2</v>
      </c>
      <c r="BJ6" s="2004" t="str">
        <f>'SUB LIST'!P55</f>
        <v>03</v>
      </c>
      <c r="BK6" s="2004" t="str">
        <f>'SUB LIST'!Q55</f>
        <v>Properties with persistent low pressure</v>
      </c>
      <c r="BL6" s="2004" t="str">
        <f>'SUB LIST'!T55</f>
        <v>nr</v>
      </c>
      <c r="BM6" s="2004" t="str">
        <f>'SUB LIST'!U55</f>
        <v>0</v>
      </c>
      <c r="BN6" s="2004">
        <f>'SUB LIST'!AY55</f>
        <v>1</v>
      </c>
      <c r="BO6" s="2004" t="str">
        <f>'SUB LIST'!A67</f>
        <v>PR14SVTWSWW_S-C3</v>
      </c>
      <c r="BP6" s="2004" t="str">
        <f>'SUB LIST'!P67</f>
        <v>03</v>
      </c>
      <c r="BQ6" s="2004" t="str">
        <f>'SUB LIST'!Q67</f>
        <v>% of sites that do not exceed their 90%ile flow on sewage treatment works or maximum daily flow on water treatment works</v>
      </c>
      <c r="BR6" s="2004" t="str">
        <f>'SUB LIST'!T67</f>
        <v>%</v>
      </c>
      <c r="BS6" s="2004">
        <f>'SUB LIST'!U67</f>
        <v>2</v>
      </c>
      <c r="BT6" s="2004" t="str">
        <f>'SUB LIST'!AY67</f>
        <v/>
      </c>
      <c r="BU6" s="2004" t="str">
        <f>'SUB LIST'!A77</f>
        <v>PR14SWTWSW_W-A3</v>
      </c>
      <c r="BV6" s="2004" t="str">
        <f>'SUB LIST'!P77</f>
        <v>03</v>
      </c>
      <c r="BW6" s="2004" t="str">
        <f>'SUB LIST'!Q77</f>
        <v>Iron non-compliance (as 100-Mean Zonal Compliance)</v>
      </c>
      <c r="BX6" s="2004" t="str">
        <f>'SUB LIST'!T77</f>
        <v>%</v>
      </c>
      <c r="BY6" s="2004">
        <f>'SUB LIST'!U77</f>
        <v>2</v>
      </c>
      <c r="BZ6" s="2004">
        <f>'SUB LIST'!AY77</f>
        <v>0.2</v>
      </c>
      <c r="CA6" s="2004" t="str">
        <f>'SUB LIST'!A101</f>
        <v>PR14TMSWSW_WB1</v>
      </c>
      <c r="CB6" s="2004" t="str">
        <f>'SUB LIST'!P101</f>
        <v>03</v>
      </c>
      <c r="CC6" s="2004" t="str">
        <f>'SUB LIST'!Q101</f>
        <v>Iron mean zonal non-compliance</v>
      </c>
      <c r="CD6" s="2004" t="str">
        <f>'SUB LIST'!T101</f>
        <v>%</v>
      </c>
      <c r="CE6" s="2004">
        <f>'SUB LIST'!U101</f>
        <v>2</v>
      </c>
      <c r="CF6" s="2004">
        <f>'SUB LIST'!AY101</f>
        <v>0.16</v>
      </c>
      <c r="CG6" s="2004" t="str">
        <f>'SUB LIST'!A125</f>
        <v>PR14UUWSW_A3</v>
      </c>
      <c r="CH6" s="2004" t="str">
        <f>'SUB LIST'!P125</f>
        <v>03</v>
      </c>
      <c r="CI6" s="2004" t="str">
        <f>'SUB LIST'!Q125</f>
        <v>No. of WTW turbidity fails</v>
      </c>
      <c r="CJ6" s="2004" t="str">
        <f>'SUB LIST'!T125</f>
        <v>nr</v>
      </c>
      <c r="CK6" s="2004" t="str">
        <f>'SUB LIST'!U125</f>
        <v>0</v>
      </c>
      <c r="CL6" s="2004">
        <f>'SUB LIST'!AY125</f>
        <v>0</v>
      </c>
      <c r="CM6" s="2004" t="str">
        <f>'SUB LIST'!A165</f>
        <v>PR14WSHWSW_F1</v>
      </c>
      <c r="CN6" s="2004" t="str">
        <f>'SUB LIST'!P165</f>
        <v>03</v>
      </c>
      <c r="CO6" s="2004" t="str">
        <f>'SUB LIST'!Q165</f>
        <v>Iron non-compliance (as 100-Mean Zonal Compliance) (%)</v>
      </c>
      <c r="CP6" s="2004" t="str">
        <f>'SUB LIST'!T165</f>
        <v>%</v>
      </c>
      <c r="CQ6" s="2004">
        <f>'SUB LIST'!U165</f>
        <v>2</v>
      </c>
      <c r="CR6" s="2004">
        <f>'SUB LIST'!AY165</f>
        <v>0.34</v>
      </c>
      <c r="CS6" s="2004"/>
      <c r="CT6" s="2004"/>
      <c r="CU6" s="2004"/>
      <c r="CV6" s="2004"/>
      <c r="CW6" s="2004"/>
      <c r="CX6" s="2004"/>
      <c r="CY6" s="2004" t="str">
        <f>'SUB LIST'!A187</f>
        <v>PR14YKYWSW_WA4</v>
      </c>
      <c r="CZ6" s="2004" t="str">
        <f>'SUB LIST'!P187</f>
        <v>03</v>
      </c>
      <c r="DA6" s="2004" t="str">
        <f>'SUB LIST'!Q187</f>
        <v>Turbidity</v>
      </c>
      <c r="DB6" s="2004" t="str">
        <f>'SUB LIST'!T187</f>
        <v>nr</v>
      </c>
      <c r="DC6" s="2004" t="str">
        <f>'SUB LIST'!U187</f>
        <v>0</v>
      </c>
      <c r="DD6" s="2004">
        <f>'SUB LIST'!AY187</f>
        <v>0</v>
      </c>
      <c r="DE6" s="2004" t="str">
        <f>'SUB LIST'!A211</f>
        <v>PR14HDDWSWW_S-C3</v>
      </c>
      <c r="DF6" s="2004" t="str">
        <f>'SUB LIST'!P211</f>
        <v>03</v>
      </c>
      <c r="DG6" s="2004" t="str">
        <f>'SUB LIST'!Q211</f>
        <v>% of sites that do not exceed their 90%ile flow on sewage treatment works or maximum daily flow on water treatment works</v>
      </c>
      <c r="DH6" s="2236" t="str">
        <f>'SUB LIST'!T211</f>
        <v>%</v>
      </c>
      <c r="DI6" s="2236">
        <f>'SUB LIST'!U211</f>
        <v>2</v>
      </c>
      <c r="DJ6" s="2962">
        <f>'SUB LIST'!AY211</f>
        <v>95.414462081128747</v>
      </c>
      <c r="DK6" s="2004" t="str">
        <f>'SUB LIST'!A216</f>
        <v>PR14SVEWSWW_S-C3</v>
      </c>
      <c r="DL6" s="2004" t="str">
        <f>'SUB LIST'!P216</f>
        <v>03</v>
      </c>
      <c r="DM6" s="2004" t="str">
        <f>'SUB LIST'!Q216</f>
        <v>% of sites that do not exceed their 90%ile flow on sewage treatment works or maximum daily flow on water treatment works</v>
      </c>
      <c r="DN6" s="2236" t="str">
        <f>'SUB LIST'!T216</f>
        <v>%</v>
      </c>
      <c r="DO6" s="2236">
        <f>'SUB LIST'!U216</f>
        <v>2</v>
      </c>
      <c r="DP6" s="2962">
        <f>'SUB LIST'!AY216</f>
        <v>95.414462081128747</v>
      </c>
    </row>
    <row r="7" spans="1:120">
      <c r="A7" s="2004"/>
      <c r="B7" s="2004"/>
      <c r="C7" s="2004"/>
      <c r="D7" s="2004"/>
      <c r="E7" s="2004"/>
      <c r="F7" s="2004"/>
      <c r="G7" s="2004" t="str">
        <f>'SUB LIST'!A7</f>
        <v>PR14ANHWSW_W-H1</v>
      </c>
      <c r="H7" s="2004" t="str">
        <f>'SUB LIST'!P7</f>
        <v>04</v>
      </c>
      <c r="I7" s="2004" t="str">
        <f>'SUB LIST'!Q7</f>
        <v>Distribution maintenance index</v>
      </c>
      <c r="J7" s="2004">
        <f>'SUB LIST'!T7</f>
        <v>0</v>
      </c>
      <c r="K7" s="2004">
        <f>'SUB LIST'!U7</f>
        <v>2</v>
      </c>
      <c r="L7" s="2004">
        <f>'SUB LIST'!AY7</f>
        <v>7.0000000000000007E-2</v>
      </c>
      <c r="M7" s="2004" t="str">
        <f>'SUB LIST'!A24</f>
        <v>PR14BRLWSW_A3</v>
      </c>
      <c r="N7" s="2004" t="str">
        <f>'SUB LIST'!P24</f>
        <v>01</v>
      </c>
      <c r="O7" s="2004" t="str">
        <f>'SUB LIST'!Q24</f>
        <v>Turbidity performance at treatment works (number)</v>
      </c>
      <c r="P7" s="2004" t="str">
        <f>'SUB LIST'!T24</f>
        <v>nr</v>
      </c>
      <c r="Q7" s="2004" t="str">
        <f>'SUB LIST'!U24</f>
        <v>0</v>
      </c>
      <c r="R7" s="2004">
        <f>'SUB LIST'!AY24</f>
        <v>0</v>
      </c>
      <c r="S7" s="2004"/>
      <c r="T7" s="2004"/>
      <c r="U7" s="2004"/>
      <c r="V7" s="2004"/>
      <c r="W7" s="2004"/>
      <c r="X7" s="2004"/>
      <c r="Y7" s="2004"/>
      <c r="Z7" s="2004"/>
      <c r="AA7" s="2004"/>
      <c r="AB7" s="2004"/>
      <c r="AC7" s="2004"/>
      <c r="AD7" s="2004"/>
      <c r="AE7" s="2004"/>
      <c r="AF7" s="2004"/>
      <c r="AG7" s="2004"/>
      <c r="AH7" s="2004"/>
      <c r="AI7" s="2004"/>
      <c r="AJ7" s="2004"/>
      <c r="AK7" s="2004" t="str">
        <f>'SUB LIST'!A30</f>
        <v>PR14SBWWSW_B4</v>
      </c>
      <c r="AL7" s="2004" t="str">
        <f>'SUB LIST'!P30</f>
        <v>04</v>
      </c>
      <c r="AM7" s="2004" t="str">
        <f>'SUB LIST'!Q30</f>
        <v>DG2 pressure</v>
      </c>
      <c r="AN7" s="2004" t="str">
        <f>'SUB LIST'!T30</f>
        <v>nr</v>
      </c>
      <c r="AO7" s="2004" t="str">
        <f>'SUB LIST'!U30</f>
        <v>0</v>
      </c>
      <c r="AP7" s="2004">
        <f>'SUB LIST'!AY30</f>
        <v>0</v>
      </c>
      <c r="AQ7" s="2004"/>
      <c r="AR7" s="2004"/>
      <c r="AS7" s="2004"/>
      <c r="AT7" s="2004"/>
      <c r="AU7" s="2004"/>
      <c r="AV7" s="2004"/>
      <c r="AW7" s="2004" t="str">
        <f>'SUB LIST'!A41</f>
        <v>PR14SEWWSW_N2</v>
      </c>
      <c r="AX7" s="2004" t="str">
        <f>'SUB LIST'!P41</f>
        <v>04</v>
      </c>
      <c r="AY7" s="2004" t="str">
        <f>'SUB LIST'!Q41</f>
        <v>Enforcement incidents</v>
      </c>
      <c r="AZ7" s="2004" t="str">
        <f>'SUB LIST'!T41</f>
        <v>nr</v>
      </c>
      <c r="BA7" s="2004" t="str">
        <f>'SUB LIST'!U41</f>
        <v>0</v>
      </c>
      <c r="BB7" s="2004">
        <f>'SUB LIST'!AY41</f>
        <v>0</v>
      </c>
      <c r="BC7" s="2004" t="str">
        <f>'SUB LIST'!A46</f>
        <v>PR14SRNWSW_1</v>
      </c>
      <c r="BD7" s="2004" t="str">
        <f>'SUB LIST'!P46</f>
        <v>04</v>
      </c>
      <c r="BE7" s="2004" t="str">
        <f>'SUB LIST'!Q46</f>
        <v>Coliform compliance at WSR</v>
      </c>
      <c r="BF7" s="2004" t="str">
        <f>'SUB LIST'!T46</f>
        <v>%</v>
      </c>
      <c r="BG7" s="2004" t="str">
        <f>'SUB LIST'!U46</f>
        <v>0</v>
      </c>
      <c r="BH7" s="2004">
        <f>'SUB LIST'!AY46</f>
        <v>100</v>
      </c>
      <c r="BI7" s="2004" t="str">
        <f>'SUB LIST'!A56</f>
        <v>PR14SSCWSW_2.2</v>
      </c>
      <c r="BJ7" s="2004" t="str">
        <f>'SUB LIST'!P56</f>
        <v>04</v>
      </c>
      <c r="BK7" s="2004" t="str">
        <f>'SUB LIST'!Q56</f>
        <v>Discolouration contacts per 1,000 customers</v>
      </c>
      <c r="BL7" s="2004" t="str">
        <f>'SUB LIST'!T56</f>
        <v>nr</v>
      </c>
      <c r="BM7" s="2004">
        <f>'SUB LIST'!U56</f>
        <v>2</v>
      </c>
      <c r="BN7" s="2004">
        <f>'SUB LIST'!AY56</f>
        <v>0.82</v>
      </c>
      <c r="BO7" s="2004" t="str">
        <f>'SUB LIST'!A68</f>
        <v>PR14SVTWSWW_S-C3</v>
      </c>
      <c r="BP7" s="2004" t="str">
        <f>'SUB LIST'!P68</f>
        <v>04</v>
      </c>
      <c r="BQ7" s="2004" t="str">
        <f>'SUB LIST'!Q68</f>
        <v>% of sites compliant with their abstraction permits</v>
      </c>
      <c r="BR7" s="2004" t="str">
        <f>'SUB LIST'!T68</f>
        <v>%</v>
      </c>
      <c r="BS7" s="2004">
        <f>'SUB LIST'!U68</f>
        <v>2</v>
      </c>
      <c r="BT7" s="2004" t="str">
        <f>'SUB LIST'!AY68</f>
        <v/>
      </c>
      <c r="BU7" s="2004" t="str">
        <f>'SUB LIST'!A78</f>
        <v>PR14SWTWSW_W-A3</v>
      </c>
      <c r="BV7" s="2004" t="str">
        <f>'SUB LIST'!P78</f>
        <v>04</v>
      </c>
      <c r="BW7" s="2004" t="str">
        <f>'SUB LIST'!Q78</f>
        <v>DG2 pressure</v>
      </c>
      <c r="BX7" s="2004" t="str">
        <f>'SUB LIST'!T78</f>
        <v>nr</v>
      </c>
      <c r="BY7" s="2004" t="str">
        <f>'SUB LIST'!U78</f>
        <v>0</v>
      </c>
      <c r="BZ7" s="2004">
        <f>'SUB LIST'!AY78</f>
        <v>158</v>
      </c>
      <c r="CA7" s="2004" t="str">
        <f>'SUB LIST'!A102</f>
        <v>PR14TMSWSW_WB1</v>
      </c>
      <c r="CB7" s="2004" t="str">
        <f>'SUB LIST'!P102</f>
        <v>04</v>
      </c>
      <c r="CC7" s="2004" t="str">
        <f>'SUB LIST'!Q102</f>
        <v>Inadequate pressure (DG2)</v>
      </c>
      <c r="CD7" s="2004" t="str">
        <f>'SUB LIST'!T102</f>
        <v>nr</v>
      </c>
      <c r="CE7" s="2004" t="str">
        <f>'SUB LIST'!U102</f>
        <v>0</v>
      </c>
      <c r="CF7" s="2004">
        <f>'SUB LIST'!AY102</f>
        <v>7</v>
      </c>
      <c r="CG7" s="2004" t="str">
        <f>'SUB LIST'!A126</f>
        <v>PR14UUWSW_A3</v>
      </c>
      <c r="CH7" s="2004" t="str">
        <f>'SUB LIST'!P126</f>
        <v>04</v>
      </c>
      <c r="CI7" s="2004" t="str">
        <f>'SUB LIST'!Q126</f>
        <v>Mean Zonal Compliance (MZC)</v>
      </c>
      <c r="CJ7" s="2004" t="str">
        <f>'SUB LIST'!T126</f>
        <v>%</v>
      </c>
      <c r="CK7" s="2004">
        <f>'SUB LIST'!U126</f>
        <v>2</v>
      </c>
      <c r="CL7" s="2004">
        <f>'SUB LIST'!AY126</f>
        <v>99.93</v>
      </c>
      <c r="CM7" s="2004" t="str">
        <f>'SUB LIST'!A166</f>
        <v>PR14WSHWSW_F1</v>
      </c>
      <c r="CN7" s="2004" t="str">
        <f>'SUB LIST'!P166</f>
        <v>04</v>
      </c>
      <c r="CO7" s="2004" t="str">
        <f>'SUB LIST'!Q166</f>
        <v>DG2 pressure (nr)</v>
      </c>
      <c r="CP7" s="2004" t="str">
        <f>'SUB LIST'!T166</f>
        <v>nr</v>
      </c>
      <c r="CQ7" s="2004" t="str">
        <f>'SUB LIST'!U166</f>
        <v>0</v>
      </c>
      <c r="CR7" s="2004">
        <f>'SUB LIST'!AY166</f>
        <v>103</v>
      </c>
      <c r="CS7" s="2004"/>
      <c r="CT7" s="2004"/>
      <c r="CU7" s="2004"/>
      <c r="CV7" s="2004"/>
      <c r="CW7" s="2004"/>
      <c r="CX7" s="2004"/>
      <c r="CY7" s="2004" t="str">
        <f>'SUB LIST'!A188</f>
        <v>PR14YKYWSW_WA4</v>
      </c>
      <c r="CZ7" s="2004" t="str">
        <f>'SUB LIST'!P188</f>
        <v>04</v>
      </c>
      <c r="DA7" s="2004" t="str">
        <f>'SUB LIST'!Q188</f>
        <v>Enforcements</v>
      </c>
      <c r="DB7" s="2004" t="str">
        <f>'SUB LIST'!T188</f>
        <v>nr</v>
      </c>
      <c r="DC7" s="2004" t="str">
        <f>'SUB LIST'!U188</f>
        <v>0</v>
      </c>
      <c r="DD7" s="2004">
        <f>'SUB LIST'!AY188</f>
        <v>0</v>
      </c>
      <c r="DE7" s="2004" t="str">
        <f>'SUB LIST'!A212</f>
        <v>PR14HDDWSWW_S-C3</v>
      </c>
      <c r="DF7" s="2004" t="str">
        <f>'SUB LIST'!P212</f>
        <v>04</v>
      </c>
      <c r="DG7" s="2004" t="str">
        <f>'SUB LIST'!Q212</f>
        <v>% of sites compliant with their abstraction permits</v>
      </c>
      <c r="DH7" s="2236" t="str">
        <f>'SUB LIST'!T212</f>
        <v>%</v>
      </c>
      <c r="DI7" s="2236">
        <f>'SUB LIST'!U212</f>
        <v>2</v>
      </c>
      <c r="DJ7" s="2962">
        <f>'SUB LIST'!AY212</f>
        <v>99.95594410408205</v>
      </c>
      <c r="DK7" s="2004" t="str">
        <f>'SUB LIST'!A217</f>
        <v>PR14SVEWSWW_S-C3</v>
      </c>
      <c r="DL7" s="2004" t="str">
        <f>'SUB LIST'!P217</f>
        <v>04</v>
      </c>
      <c r="DM7" s="2004" t="str">
        <f>'SUB LIST'!Q217</f>
        <v>% of sites compliant with their abstraction permits</v>
      </c>
      <c r="DN7" s="2236" t="str">
        <f>'SUB LIST'!T217</f>
        <v>%</v>
      </c>
      <c r="DO7" s="2236">
        <f>'SUB LIST'!U217</f>
        <v>2</v>
      </c>
      <c r="DP7" s="2962">
        <f>'SUB LIST'!AY217</f>
        <v>99.95594410408205</v>
      </c>
    </row>
    <row r="8" spans="1:120">
      <c r="A8" s="2004"/>
      <c r="B8" s="2004"/>
      <c r="C8" s="2004"/>
      <c r="D8" s="2004"/>
      <c r="E8" s="2004"/>
      <c r="F8" s="2004"/>
      <c r="G8" s="2004" t="str">
        <f>'SUB LIST'!A8</f>
        <v>PR14ANHWSW_W-H2</v>
      </c>
      <c r="H8" s="2004" t="str">
        <f>'SUB LIST'!P8</f>
        <v>00</v>
      </c>
      <c r="I8" s="2004" t="str">
        <f>'SUB LIST'!Q8</f>
        <v>W-H2: Water non-infrastructure</v>
      </c>
      <c r="J8" s="2004" t="str">
        <f>'SUB LIST'!T8</f>
        <v>category</v>
      </c>
      <c r="K8" s="2004" t="str">
        <f>'SUB LIST'!U8</f>
        <v>na</v>
      </c>
      <c r="L8" s="2004" t="str">
        <f>'SUB LIST'!AY8</f>
        <v>Green</v>
      </c>
      <c r="M8" s="2004" t="str">
        <f>'SUB LIST'!A25</f>
        <v>PR14BRLWSW_A3</v>
      </c>
      <c r="N8" s="2004" t="str">
        <f>'SUB LIST'!P25</f>
        <v>02</v>
      </c>
      <c r="O8" s="2004" t="str">
        <f>'SUB LIST'!Q25</f>
        <v>Unplanned maintenance events (number)</v>
      </c>
      <c r="P8" s="2004" t="str">
        <f>'SUB LIST'!T25</f>
        <v>nr</v>
      </c>
      <c r="Q8" s="2004" t="str">
        <f>'SUB LIST'!U25</f>
        <v>0</v>
      </c>
      <c r="R8" s="2004">
        <f>'SUB LIST'!AY25</f>
        <v>2913</v>
      </c>
      <c r="S8" s="2004"/>
      <c r="T8" s="2004"/>
      <c r="U8" s="2004"/>
      <c r="V8" s="2004"/>
      <c r="W8" s="2004"/>
      <c r="X8" s="2004"/>
      <c r="Y8" s="2004"/>
      <c r="Z8" s="2004"/>
      <c r="AA8" s="2004"/>
      <c r="AB8" s="2004"/>
      <c r="AC8" s="2004"/>
      <c r="AD8" s="2004"/>
      <c r="AE8" s="2004"/>
      <c r="AF8" s="2004"/>
      <c r="AG8" s="2004"/>
      <c r="AH8" s="2004"/>
      <c r="AI8" s="2004"/>
      <c r="AJ8" s="2004"/>
      <c r="AK8" s="2004" t="str">
        <f>'SUB LIST'!A31</f>
        <v>PR14SBWWSW_B4</v>
      </c>
      <c r="AL8" s="2004" t="str">
        <f>'SUB LIST'!P31</f>
        <v>05</v>
      </c>
      <c r="AM8" s="2004" t="str">
        <f>'SUB LIST'!Q31</f>
        <v>Customer contacts - discolouration (number / 1,000 population)</v>
      </c>
      <c r="AN8" s="2004" t="str">
        <f>'SUB LIST'!T31</f>
        <v>nr</v>
      </c>
      <c r="AO8" s="2004">
        <f>'SUB LIST'!U31</f>
        <v>2</v>
      </c>
      <c r="AP8" s="2004">
        <f>'SUB LIST'!AY31</f>
        <v>0.22</v>
      </c>
      <c r="AQ8" s="2004"/>
      <c r="AR8" s="2004"/>
      <c r="AS8" s="2004"/>
      <c r="AT8" s="2004"/>
      <c r="AU8" s="2004"/>
      <c r="AV8" s="2004"/>
      <c r="AW8" s="2004"/>
      <c r="AX8" s="2004"/>
      <c r="AY8" s="2004"/>
      <c r="AZ8" s="2004"/>
      <c r="BA8" s="2004"/>
      <c r="BB8" s="2004"/>
      <c r="BC8" s="2004" t="str">
        <f>'SUB LIST'!A47</f>
        <v>PR14SRNWSW_1</v>
      </c>
      <c r="BD8" s="2004" t="str">
        <f>'SUB LIST'!P47</f>
        <v>05</v>
      </c>
      <c r="BE8" s="2004" t="str">
        <f>'SUB LIST'!Q47</f>
        <v>Turbidity compliance</v>
      </c>
      <c r="BF8" s="2004" t="str">
        <f>'SUB LIST'!T47</f>
        <v>nr</v>
      </c>
      <c r="BG8" s="2004" t="str">
        <f>'SUB LIST'!U47</f>
        <v>0</v>
      </c>
      <c r="BH8" s="2004">
        <f>'SUB LIST'!AY47</f>
        <v>0</v>
      </c>
      <c r="BI8" s="2004" t="str">
        <f>'SUB LIST'!A57</f>
        <v>PR14SSCWSW_2.2</v>
      </c>
      <c r="BJ8" s="2004" t="str">
        <f>'SUB LIST'!P57</f>
        <v>05</v>
      </c>
      <c r="BK8" s="2004" t="str">
        <f>'SUB LIST'!Q57</f>
        <v>TIM index non-compliance</v>
      </c>
      <c r="BL8" s="2004" t="str">
        <f>'SUB LIST'!T57</f>
        <v>score</v>
      </c>
      <c r="BM8" s="2004">
        <f>'SUB LIST'!U57</f>
        <v>2</v>
      </c>
      <c r="BN8" s="2004">
        <f>'SUB LIST'!AY57</f>
        <v>6.2E-2</v>
      </c>
      <c r="BO8" s="2004" t="str">
        <f>'SUB LIST'!A69</f>
        <v>PR14SVTWSWW_S-C7</v>
      </c>
      <c r="BP8" s="2004" t="str">
        <f>'SUB LIST'!P69</f>
        <v>00</v>
      </c>
      <c r="BQ8" s="2004" t="str">
        <f>'SUB LIST'!Q69</f>
        <v>S-C7: Overall environmental performance (basket of environmental measures)</v>
      </c>
      <c r="BR8" s="2004" t="str">
        <f>'SUB LIST'!T69</f>
        <v>nr</v>
      </c>
      <c r="BS8" s="2004" t="str">
        <f>'SUB LIST'!U69</f>
        <v>0</v>
      </c>
      <c r="BT8" s="2004" t="str">
        <f>'SUB LIST'!AY69</f>
        <v/>
      </c>
      <c r="BU8" s="2004" t="str">
        <f>'SUB LIST'!A79</f>
        <v>PR14SWTWSW_W-A3</v>
      </c>
      <c r="BV8" s="2004" t="str">
        <f>'SUB LIST'!P79</f>
        <v>05</v>
      </c>
      <c r="BW8" s="2004" t="str">
        <f>'SUB LIST'!Q79</f>
        <v>Customer contacts - discolouration</v>
      </c>
      <c r="BX8" s="2004" t="str">
        <f>'SUB LIST'!T79</f>
        <v>nr</v>
      </c>
      <c r="BY8" s="2004">
        <f>'SUB LIST'!U79</f>
        <v>2</v>
      </c>
      <c r="BZ8" s="2004">
        <f>'SUB LIST'!AY79</f>
        <v>1.61</v>
      </c>
      <c r="CA8" s="2004" t="str">
        <f>'SUB LIST'!A103</f>
        <v>PR14TMSWSW_WB1</v>
      </c>
      <c r="CB8" s="2004" t="str">
        <f>'SUB LIST'!P103</f>
        <v>05</v>
      </c>
      <c r="CC8" s="2004" t="str">
        <f>'SUB LIST'!Q103</f>
        <v>Planned network rehabilitation (kilometres)</v>
      </c>
      <c r="CD8" s="2004" t="str">
        <f>'SUB LIST'!T103</f>
        <v>nr</v>
      </c>
      <c r="CE8" s="2004">
        <f>'SUB LIST'!U103</f>
        <v>2</v>
      </c>
      <c r="CF8" s="2004">
        <f>'SUB LIST'!AY103</f>
        <v>172.34</v>
      </c>
      <c r="CG8" s="2004" t="str">
        <f>'SUB LIST'!A127</f>
        <v>PR14UUWSW_A3</v>
      </c>
      <c r="CH8" s="2004" t="str">
        <f>'SUB LIST'!P127</f>
        <v>05</v>
      </c>
      <c r="CI8" s="2004" t="str">
        <f>'SUB LIST'!Q127</f>
        <v>Distribution Maintenance Index (%)</v>
      </c>
      <c r="CJ8" s="2004" t="str">
        <f>'SUB LIST'!T127</f>
        <v>%</v>
      </c>
      <c r="CK8" s="2004">
        <f>'SUB LIST'!U127</f>
        <v>2</v>
      </c>
      <c r="CL8" s="2004">
        <f>'SUB LIST'!AY127</f>
        <v>99.86</v>
      </c>
      <c r="CM8" s="2004" t="str">
        <f>'SUB LIST'!A167</f>
        <v>PR14WSHWSW_F1</v>
      </c>
      <c r="CN8" s="2004" t="str">
        <f>'SUB LIST'!P167</f>
        <v>05</v>
      </c>
      <c r="CO8" s="2004" t="str">
        <f>'SUB LIST'!Q167</f>
        <v>Customer contacts - discolouration  (nr / 1000 population)</v>
      </c>
      <c r="CP8" s="2004" t="str">
        <f>'SUB LIST'!T167</f>
        <v>nr</v>
      </c>
      <c r="CQ8" s="2004">
        <f>'SUB LIST'!U167</f>
        <v>2</v>
      </c>
      <c r="CR8" s="2004">
        <f>'SUB LIST'!AY167</f>
        <v>2.35</v>
      </c>
      <c r="CS8" s="2004"/>
      <c r="CT8" s="2004"/>
      <c r="CU8" s="2004"/>
      <c r="CV8" s="2004"/>
      <c r="CW8" s="2004"/>
      <c r="CX8" s="2004"/>
      <c r="CY8" s="2004" t="str">
        <f>'SUB LIST'!A189</f>
        <v>PR14YKYWSW_WA4</v>
      </c>
      <c r="CZ8" s="2004" t="str">
        <f>'SUB LIST'!P189</f>
        <v>05</v>
      </c>
      <c r="DA8" s="2004" t="str">
        <f>'SUB LIST'!Q189</f>
        <v>Reactive equipment failures</v>
      </c>
      <c r="DB8" s="2004" t="str">
        <f>'SUB LIST'!T189</f>
        <v>nr</v>
      </c>
      <c r="DC8" s="2004" t="str">
        <f>'SUB LIST'!U189</f>
        <v>0</v>
      </c>
      <c r="DD8" s="2004">
        <f>'SUB LIST'!AY189</f>
        <v>3768</v>
      </c>
      <c r="DK8" s="2004" t="str">
        <f>'SUB LIST'!A218</f>
        <v>PR14SVEWSWW_S-C7</v>
      </c>
      <c r="DL8" s="2004" t="str">
        <f>'SUB LIST'!P218</f>
        <v>00</v>
      </c>
      <c r="DM8" s="2004" t="str">
        <f>'SUB LIST'!Q218</f>
        <v>S-C7: Overall environmental performance (basket of environmental measures)</v>
      </c>
      <c r="DN8" s="2236" t="str">
        <f>'SUB LIST'!T218</f>
        <v>nr</v>
      </c>
      <c r="DO8" s="2236" t="str">
        <f>'SUB LIST'!U218</f>
        <v>0</v>
      </c>
      <c r="DP8" s="2236">
        <f>'SUB LIST'!AY218</f>
        <v>4</v>
      </c>
    </row>
    <row r="9" spans="1:120">
      <c r="A9" s="2004"/>
      <c r="B9" s="2004"/>
      <c r="C9" s="2004"/>
      <c r="D9" s="2004"/>
      <c r="E9" s="2004"/>
      <c r="F9" s="2004"/>
      <c r="G9" s="2004" t="str">
        <f>'SUB LIST'!A9</f>
        <v>PR14ANHWSW_W-H2</v>
      </c>
      <c r="H9" s="2004" t="str">
        <f>'SUB LIST'!P9</f>
        <v>01</v>
      </c>
      <c r="I9" s="2004" t="str">
        <f>'SUB LIST'!Q9</f>
        <v>WTW with coliforms detected</v>
      </c>
      <c r="J9" s="2004">
        <f>'SUB LIST'!T9</f>
        <v>0</v>
      </c>
      <c r="K9" s="2004" t="str">
        <f>'SUB LIST'!U9</f>
        <v>0</v>
      </c>
      <c r="L9" s="2004">
        <f>'SUB LIST'!AY9</f>
        <v>5</v>
      </c>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t="str">
        <f>'SUB LIST'!A32</f>
        <v>PR14SBWWSW_B4</v>
      </c>
      <c r="AL9" s="2004" t="str">
        <f>'SUB LIST'!P32</f>
        <v>06</v>
      </c>
      <c r="AM9" s="2004" t="str">
        <f>'SUB LIST'!Q32</f>
        <v>Water treatment works coliforms non-compliance (%)</v>
      </c>
      <c r="AN9" s="2004" t="str">
        <f>'SUB LIST'!T32</f>
        <v>%</v>
      </c>
      <c r="AO9" s="2004">
        <f>'SUB LIST'!U32</f>
        <v>2</v>
      </c>
      <c r="AP9" s="2004">
        <f>'SUB LIST'!AY32</f>
        <v>0</v>
      </c>
      <c r="AQ9" s="2004"/>
      <c r="AR9" s="2004"/>
      <c r="AS9" s="2004"/>
      <c r="AT9" s="2004"/>
      <c r="AU9" s="2004"/>
      <c r="AV9" s="2004"/>
      <c r="AW9" s="2004"/>
      <c r="AX9" s="2004"/>
      <c r="AY9" s="2004"/>
      <c r="AZ9" s="2004"/>
      <c r="BA9" s="2004"/>
      <c r="BB9" s="2004"/>
      <c r="BC9" s="2004" t="str">
        <f>'SUB LIST'!A48</f>
        <v>PR14SRNWSWW_1</v>
      </c>
      <c r="BD9" s="2004" t="str">
        <f>'SUB LIST'!P48</f>
        <v>00</v>
      </c>
      <c r="BE9" s="2004" t="str">
        <f>'SUB LIST'!Q48</f>
        <v>1: Wastewater asset health</v>
      </c>
      <c r="BF9" s="2004" t="str">
        <f>'SUB LIST'!T48</f>
        <v>category</v>
      </c>
      <c r="BG9" s="2004" t="str">
        <f>'SUB LIST'!U48</f>
        <v>na</v>
      </c>
      <c r="BH9" s="2004" t="str">
        <f>'SUB LIST'!AY48</f>
        <v>Stable</v>
      </c>
      <c r="BI9" s="2004" t="str">
        <f>'SUB LIST'!A58</f>
        <v>PR14SSCWSW_2.3</v>
      </c>
      <c r="BJ9" s="2004" t="str">
        <f>'SUB LIST'!P58</f>
        <v>00</v>
      </c>
      <c r="BK9" s="2004" t="str">
        <f>'SUB LIST'!Q58</f>
        <v>2.3: Serviceability non-infrastructure (combined company)</v>
      </c>
      <c r="BL9" s="2004" t="str">
        <f>'SUB LIST'!T58</f>
        <v>category</v>
      </c>
      <c r="BM9" s="2004" t="str">
        <f>'SUB LIST'!U58</f>
        <v>na</v>
      </c>
      <c r="BN9" s="2004" t="str">
        <f>'SUB LIST'!AY58</f>
        <v>Stable</v>
      </c>
      <c r="BO9" s="2004" t="str">
        <f>'SUB LIST'!A70</f>
        <v>PR14SVTWSWW_S-C7</v>
      </c>
      <c r="BP9" s="2004" t="str">
        <f>'SUB LIST'!P70</f>
        <v>01</v>
      </c>
      <c r="BQ9" s="2004" t="str">
        <f>'SUB LIST'!Q70</f>
        <v>Improvements in river water quality against WFD criteria</v>
      </c>
      <c r="BR9" s="2004" t="str">
        <f>'SUB LIST'!T70</f>
        <v>nr</v>
      </c>
      <c r="BS9" s="2004" t="str">
        <f>'SUB LIST'!U70</f>
        <v>0</v>
      </c>
      <c r="BT9" s="2004" t="str">
        <f>'SUB LIST'!AY70</f>
        <v/>
      </c>
      <c r="BU9" s="2004" t="str">
        <f>'SUB LIST'!A80</f>
        <v>PR14SWTWSW_W-A3</v>
      </c>
      <c r="BV9" s="2004" t="str">
        <f>'SUB LIST'!P80</f>
        <v>06</v>
      </c>
      <c r="BW9" s="2004" t="str">
        <f>'SUB LIST'!Q80</f>
        <v>Distribution Index TIM (as 100-Mean Zonal Compliance)</v>
      </c>
      <c r="BX9" s="2004" t="str">
        <f>'SUB LIST'!T80</f>
        <v>%</v>
      </c>
      <c r="BY9" s="2004">
        <f>'SUB LIST'!U80</f>
        <v>2</v>
      </c>
      <c r="BZ9" s="2004">
        <f>'SUB LIST'!AY80</f>
        <v>7.0000000000000007E-2</v>
      </c>
      <c r="CA9" s="2004" t="str">
        <f>'SUB LIST'!A104</f>
        <v>PR14TMSWSW_WB1</v>
      </c>
      <c r="CB9" s="2004" t="str">
        <f>'SUB LIST'!P104</f>
        <v>06</v>
      </c>
      <c r="CC9" s="2004" t="str">
        <f>'SUB LIST'!Q104</f>
        <v>Customer complaints discolouration white water (nr per 1,000 population)</v>
      </c>
      <c r="CD9" s="2004" t="str">
        <f>'SUB LIST'!T104</f>
        <v>nr</v>
      </c>
      <c r="CE9" s="2004">
        <f>'SUB LIST'!U104</f>
        <v>2</v>
      </c>
      <c r="CF9" s="2004">
        <f>'SUB LIST'!AY104</f>
        <v>0.16</v>
      </c>
      <c r="CG9" s="2004" t="str">
        <f>'SUB LIST'!A128</f>
        <v>PR14UUWSW_A3</v>
      </c>
      <c r="CH9" s="2004" t="str">
        <f>'SUB LIST'!P128</f>
        <v>06</v>
      </c>
      <c r="CI9" s="2004" t="str">
        <f>'SUB LIST'!Q128</f>
        <v>Unwanted customer contacts for water quality (nr per year)</v>
      </c>
      <c r="CJ9" s="2004" t="str">
        <f>'SUB LIST'!T128</f>
        <v>nr</v>
      </c>
      <c r="CK9" s="2004" t="str">
        <f>'SUB LIST'!U128</f>
        <v>0</v>
      </c>
      <c r="CL9" s="2004">
        <f>'SUB LIST'!AY128</f>
        <v>10923</v>
      </c>
      <c r="CM9" s="2004" t="str">
        <f>'SUB LIST'!A168</f>
        <v>PR14WSHWSW_F1</v>
      </c>
      <c r="CN9" s="2004" t="str">
        <f>'SUB LIST'!P168</f>
        <v>06</v>
      </c>
      <c r="CO9" s="2004" t="str">
        <f>'SUB LIST'!Q168</f>
        <v>Distribution Index TIM (as 100-Mean Zonal Compliance) (%)</v>
      </c>
      <c r="CP9" s="2004" t="str">
        <f>'SUB LIST'!T168</f>
        <v>%</v>
      </c>
      <c r="CQ9" s="2004">
        <f>'SUB LIST'!U168</f>
        <v>2</v>
      </c>
      <c r="CR9" s="2004">
        <f>'SUB LIST'!AY168</f>
        <v>99.87</v>
      </c>
      <c r="CS9" s="2004"/>
      <c r="CT9" s="2004"/>
      <c r="CU9" s="2004"/>
      <c r="CV9" s="2004"/>
      <c r="CW9" s="2004"/>
      <c r="CX9" s="2004"/>
      <c r="CY9" s="2004" t="str">
        <f>'SUB LIST'!A190</f>
        <v>PR14YKYWSW_WB4</v>
      </c>
      <c r="CZ9" s="2004" t="str">
        <f>'SUB LIST'!P190</f>
        <v>00</v>
      </c>
      <c r="DA9" s="2004" t="str">
        <f>'SUB LIST'!Q190</f>
        <v>WB4: Water network stability and reliability factor</v>
      </c>
      <c r="DB9" s="2004" t="str">
        <f>'SUB LIST'!T190</f>
        <v>category</v>
      </c>
      <c r="DC9" s="2004" t="str">
        <f>'SUB LIST'!U190</f>
        <v>na</v>
      </c>
      <c r="DD9" s="2004" t="str">
        <f>'SUB LIST'!AY190</f>
        <v>Stable</v>
      </c>
      <c r="DK9" s="2004" t="str">
        <f>'SUB LIST'!A219</f>
        <v>PR14SVEWSWW_S-C7</v>
      </c>
      <c r="DL9" s="2004" t="str">
        <f>'SUB LIST'!P219</f>
        <v>01</v>
      </c>
      <c r="DM9" s="2004" t="str">
        <f>'SUB LIST'!Q219</f>
        <v>Improvements in river water quality against WFD criteria</v>
      </c>
      <c r="DN9" s="2236" t="str">
        <f>'SUB LIST'!T219</f>
        <v>nr</v>
      </c>
      <c r="DO9" s="2236" t="str">
        <f>'SUB LIST'!U219</f>
        <v>0</v>
      </c>
      <c r="DP9" s="2236" t="str">
        <f>'SUB LIST'!AY219</f>
        <v>Passed</v>
      </c>
    </row>
    <row r="10" spans="1:120">
      <c r="A10" s="2004"/>
      <c r="B10" s="2004"/>
      <c r="C10" s="2004"/>
      <c r="D10" s="2004"/>
      <c r="E10" s="2004"/>
      <c r="F10" s="2004"/>
      <c r="G10" s="2004" t="str">
        <f>'SUB LIST'!A10</f>
        <v>PR14ANHWSW_W-H2</v>
      </c>
      <c r="H10" s="2004" t="str">
        <f>'SUB LIST'!P10</f>
        <v>02</v>
      </c>
      <c r="I10" s="2004" t="str">
        <f>'SUB LIST'!Q10</f>
        <v>Percentage (%) service reservoirs with &gt;5% coliforms</v>
      </c>
      <c r="J10" s="2004" t="str">
        <f>'SUB LIST'!T10</f>
        <v>%</v>
      </c>
      <c r="K10" s="2004">
        <f>'SUB LIST'!U10</f>
        <v>2</v>
      </c>
      <c r="L10" s="2004">
        <f>'SUB LIST'!AY10</f>
        <v>0</v>
      </c>
      <c r="M10" s="2004"/>
      <c r="N10" s="2004"/>
      <c r="O10" s="2004"/>
      <c r="P10" s="2004"/>
      <c r="Q10" s="2004"/>
      <c r="R10" s="2004"/>
      <c r="S10" s="2004"/>
      <c r="T10" s="2004"/>
      <c r="U10" s="2004"/>
      <c r="V10" s="2004"/>
      <c r="W10" s="2004"/>
      <c r="X10" s="2004"/>
      <c r="Y10" s="2004"/>
      <c r="Z10" s="2004"/>
      <c r="AA10" s="2004"/>
      <c r="AB10" s="2004"/>
      <c r="AC10" s="2004"/>
      <c r="AD10" s="2004"/>
      <c r="AE10" s="2004"/>
      <c r="AF10" s="2004"/>
      <c r="AG10" s="2004"/>
      <c r="AH10" s="2004"/>
      <c r="AI10" s="2004"/>
      <c r="AJ10" s="2004"/>
      <c r="AK10" s="2004" t="str">
        <f>'SUB LIST'!A33</f>
        <v>PR14SBWWSW_B4</v>
      </c>
      <c r="AL10" s="2004" t="str">
        <f>'SUB LIST'!P33</f>
        <v>07</v>
      </c>
      <c r="AM10" s="2004" t="str">
        <f>'SUB LIST'!Q33</f>
        <v>Service reservoir coliforms non-compliance (%)</v>
      </c>
      <c r="AN10" s="2004" t="str">
        <f>'SUB LIST'!T33</f>
        <v>%</v>
      </c>
      <c r="AO10" s="2004">
        <f>'SUB LIST'!U33</f>
        <v>2</v>
      </c>
      <c r="AP10" s="2004">
        <f>'SUB LIST'!AY33</f>
        <v>0</v>
      </c>
      <c r="AQ10" s="2004"/>
      <c r="AR10" s="2004"/>
      <c r="AS10" s="2004"/>
      <c r="AT10" s="2004"/>
      <c r="AU10" s="2004"/>
      <c r="AV10" s="2004"/>
      <c r="AW10" s="2004"/>
      <c r="AX10" s="2004"/>
      <c r="AY10" s="2004"/>
      <c r="AZ10" s="2004"/>
      <c r="BA10" s="2004"/>
      <c r="BB10" s="2004"/>
      <c r="BC10" s="2004" t="str">
        <f>'SUB LIST'!A49</f>
        <v>PR14SRNWSWW_1</v>
      </c>
      <c r="BD10" s="2004" t="str">
        <f>'SUB LIST'!P49</f>
        <v>01</v>
      </c>
      <c r="BE10" s="2004" t="str">
        <f>'SUB LIST'!Q49</f>
        <v>Sewer collapses</v>
      </c>
      <c r="BF10" s="2004" t="str">
        <f>'SUB LIST'!T49</f>
        <v>nr</v>
      </c>
      <c r="BG10" s="2004" t="str">
        <f>'SUB LIST'!U49</f>
        <v>0</v>
      </c>
      <c r="BH10" s="2004">
        <f>'SUB LIST'!AY49</f>
        <v>245</v>
      </c>
      <c r="BI10" s="2004" t="str">
        <f>'SUB LIST'!A59</f>
        <v>PR14SSCWSW_2.3</v>
      </c>
      <c r="BJ10" s="2004" t="str">
        <f>'SUB LIST'!P59</f>
        <v>01</v>
      </c>
      <c r="BK10" s="2004" t="str">
        <f>'SUB LIST'!Q59</f>
        <v>WTW coliform non-compliance</v>
      </c>
      <c r="BL10" s="2004" t="str">
        <f>'SUB LIST'!T59</f>
        <v>%</v>
      </c>
      <c r="BM10" s="2004">
        <f>'SUB LIST'!U59</f>
        <v>2</v>
      </c>
      <c r="BN10" s="2004">
        <f>'SUB LIST'!AY59</f>
        <v>1.4999999999999999E-2</v>
      </c>
      <c r="BO10" s="2004" t="str">
        <f>'SUB LIST'!A71</f>
        <v>PR14SVTWSWW_S-C7</v>
      </c>
      <c r="BP10" s="2004" t="str">
        <f>'SUB LIST'!P71</f>
        <v>02</v>
      </c>
      <c r="BQ10" s="2004" t="str">
        <f>'SUB LIST'!Q71</f>
        <v>Asset stewardship - environmental compliance</v>
      </c>
      <c r="BR10" s="2004" t="str">
        <f>'SUB LIST'!T71</f>
        <v>nr</v>
      </c>
      <c r="BS10" s="2004" t="str">
        <f>'SUB LIST'!U71</f>
        <v>0</v>
      </c>
      <c r="BT10" s="2004" t="str">
        <f>'SUB LIST'!AY71</f>
        <v/>
      </c>
      <c r="BU10" s="2004" t="str">
        <f>'SUB LIST'!A81</f>
        <v>PR14SWTWSW_W-A4</v>
      </c>
      <c r="BV10" s="2004" t="str">
        <f>'SUB LIST'!P81</f>
        <v>00</v>
      </c>
      <c r="BW10" s="2004" t="str">
        <f>'SUB LIST'!Q81</f>
        <v>W-A4 Asset reliability (process)</v>
      </c>
      <c r="BX10" s="2004" t="str">
        <f>'SUB LIST'!T81</f>
        <v>category</v>
      </c>
      <c r="BY10" s="2004" t="str">
        <f>'SUB LIST'!U81</f>
        <v>na</v>
      </c>
      <c r="BZ10" s="2004" t="str">
        <f>'SUB LIST'!AY81</f>
        <v>Stable</v>
      </c>
      <c r="CA10" s="2004" t="str">
        <f>'SUB LIST'!A105</f>
        <v>PR14TMSWSW_WB2</v>
      </c>
      <c r="CB10" s="2004" t="str">
        <f>'SUB LIST'!P105</f>
        <v>00</v>
      </c>
      <c r="CC10" s="2004" t="str">
        <f>'SUB LIST'!Q105</f>
        <v>WB2: Asset health water non-infrastructure</v>
      </c>
      <c r="CD10" s="2004" t="str">
        <f>'SUB LIST'!T105</f>
        <v>category</v>
      </c>
      <c r="CE10" s="2004" t="str">
        <f>'SUB LIST'!U105</f>
        <v>na</v>
      </c>
      <c r="CF10" s="2004" t="str">
        <f>'SUB LIST'!AY105</f>
        <v>Stable</v>
      </c>
      <c r="CG10" s="2004" t="str">
        <f>'SUB LIST'!A129</f>
        <v>PR14UUWSW_B2</v>
      </c>
      <c r="CH10" s="2004" t="str">
        <f>'SUB LIST'!P129</f>
        <v>00</v>
      </c>
      <c r="CI10" s="2004" t="str">
        <f>'SUB LIST'!Q129</f>
        <v>B2: Reliable water service index</v>
      </c>
      <c r="CJ10" s="2004" t="str">
        <f>'SUB LIST'!T129</f>
        <v>score</v>
      </c>
      <c r="CK10" s="2004">
        <f>'SUB LIST'!U129</f>
        <v>3</v>
      </c>
      <c r="CL10" s="2004">
        <f>'SUB LIST'!AY129</f>
        <v>98.456999999999994</v>
      </c>
      <c r="CM10" s="2004" t="str">
        <f>'SUB LIST'!A169</f>
        <v>PR14WSHWSW_F1</v>
      </c>
      <c r="CN10" s="2004" t="str">
        <f>'SUB LIST'!P169</f>
        <v>07</v>
      </c>
      <c r="CO10" s="2004" t="str">
        <f>'SUB LIST'!Q169</f>
        <v>Water Treatment Works Coliforms non-compliance (%)</v>
      </c>
      <c r="CP10" s="2004" t="str">
        <f>'SUB LIST'!T169</f>
        <v>%</v>
      </c>
      <c r="CQ10" s="2004">
        <f>'SUB LIST'!U169</f>
        <v>2</v>
      </c>
      <c r="CR10" s="2004">
        <f>'SUB LIST'!AY169</f>
        <v>0.03</v>
      </c>
      <c r="CS10" s="2004"/>
      <c r="CT10" s="2004"/>
      <c r="CU10" s="2004"/>
      <c r="CV10" s="2004"/>
      <c r="CW10" s="2004"/>
      <c r="CX10" s="2004"/>
      <c r="CY10" s="2004" t="str">
        <f>'SUB LIST'!A191</f>
        <v>PR14YKYWSW_WB4</v>
      </c>
      <c r="CZ10" s="2004" t="str">
        <f>'SUB LIST'!P191</f>
        <v>01</v>
      </c>
      <c r="DA10" s="2004" t="str">
        <f>'SUB LIST'!Q191</f>
        <v>Total bursts</v>
      </c>
      <c r="DB10" s="2004" t="str">
        <f>'SUB LIST'!T191</f>
        <v>nr</v>
      </c>
      <c r="DC10" s="2004" t="str">
        <f>'SUB LIST'!U191</f>
        <v>0</v>
      </c>
      <c r="DD10" s="2004">
        <f>'SUB LIST'!AY191</f>
        <v>8254</v>
      </c>
      <c r="DK10" s="2004" t="str">
        <f>'SUB LIST'!A220</f>
        <v>PR14SVEWSWW_S-C7</v>
      </c>
      <c r="DL10" s="2004" t="str">
        <f>'SUB LIST'!P220</f>
        <v>02</v>
      </c>
      <c r="DM10" s="2004" t="str">
        <f>'SUB LIST'!Q220</f>
        <v>Asset stewardship - environmental compliance</v>
      </c>
      <c r="DN10" s="2236" t="str">
        <f>'SUB LIST'!T220</f>
        <v>nr</v>
      </c>
      <c r="DO10" s="2236" t="str">
        <f>'SUB LIST'!U220</f>
        <v>0</v>
      </c>
      <c r="DP10" s="2236" t="str">
        <f>'SUB LIST'!AY220</f>
        <v>Passed</v>
      </c>
    </row>
    <row r="11" spans="1:120">
      <c r="A11" s="2004"/>
      <c r="B11" s="2004"/>
      <c r="C11" s="2004"/>
      <c r="D11" s="2004"/>
      <c r="E11" s="2004"/>
      <c r="F11" s="2004"/>
      <c r="G11" s="2004" t="str">
        <f>'SUB LIST'!A11</f>
        <v>PR14ANHWSW_W-H2</v>
      </c>
      <c r="H11" s="2004" t="str">
        <f>'SUB LIST'!P11</f>
        <v>03</v>
      </c>
      <c r="I11" s="2004" t="str">
        <f>'SUB LIST'!Q11</f>
        <v>WTW turbidity</v>
      </c>
      <c r="J11" s="2004">
        <f>'SUB LIST'!T11</f>
        <v>0</v>
      </c>
      <c r="K11" s="2004" t="str">
        <f>'SUB LIST'!U11</f>
        <v>0</v>
      </c>
      <c r="L11" s="2004">
        <f>'SUB LIST'!AY11</f>
        <v>0</v>
      </c>
      <c r="M11" s="2004"/>
      <c r="N11" s="2004"/>
      <c r="O11" s="2004"/>
      <c r="P11" s="2004"/>
      <c r="Q11" s="2004"/>
      <c r="R11" s="2004"/>
      <c r="S11" s="2004"/>
      <c r="T11" s="2004"/>
      <c r="U11" s="2004"/>
      <c r="V11" s="2004"/>
      <c r="W11" s="2004"/>
      <c r="X11" s="2004"/>
      <c r="Y11" s="2004"/>
      <c r="Z11" s="2004"/>
      <c r="AA11" s="2004"/>
      <c r="AB11" s="2004"/>
      <c r="AC11" s="2004"/>
      <c r="AD11" s="2004"/>
      <c r="AE11" s="2004"/>
      <c r="AF11" s="2004"/>
      <c r="AG11" s="2004"/>
      <c r="AH11" s="2004"/>
      <c r="AI11" s="2004"/>
      <c r="AJ11" s="2004"/>
      <c r="AK11" s="2004" t="str">
        <f>'SUB LIST'!A34</f>
        <v>PR14SBWWSW_B4</v>
      </c>
      <c r="AL11" s="2004" t="str">
        <f>'SUB LIST'!P34</f>
        <v>08</v>
      </c>
      <c r="AM11" s="2004" t="str">
        <f>'SUB LIST'!Q34</f>
        <v>Turbidity (number)</v>
      </c>
      <c r="AN11" s="2004" t="str">
        <f>'SUB LIST'!T34</f>
        <v>nr</v>
      </c>
      <c r="AO11" s="2004" t="str">
        <f>'SUB LIST'!U34</f>
        <v>0</v>
      </c>
      <c r="AP11" s="2004">
        <f>'SUB LIST'!AY34</f>
        <v>0</v>
      </c>
      <c r="AQ11" s="2004"/>
      <c r="AR11" s="2004"/>
      <c r="AS11" s="2004"/>
      <c r="AT11" s="2004"/>
      <c r="AU11" s="2004"/>
      <c r="AV11" s="2004"/>
      <c r="AW11" s="2004"/>
      <c r="AX11" s="2004"/>
      <c r="AY11" s="2004"/>
      <c r="AZ11" s="2004"/>
      <c r="BA11" s="2004"/>
      <c r="BB11" s="2004"/>
      <c r="BC11" s="2004" t="str">
        <f>'SUB LIST'!A50</f>
        <v>PR14SRNWSWW_1</v>
      </c>
      <c r="BD11" s="2004" t="str">
        <f>'SUB LIST'!P50</f>
        <v>02</v>
      </c>
      <c r="BE11" s="2004" t="str">
        <f>'SUB LIST'!Q50</f>
        <v>WwTW population equivalent compliance</v>
      </c>
      <c r="BF11" s="2004" t="str">
        <f>'SUB LIST'!T50</f>
        <v>%</v>
      </c>
      <c r="BG11" s="2004">
        <f>'SUB LIST'!U50</f>
        <v>1</v>
      </c>
      <c r="BH11" s="2004">
        <f>'SUB LIST'!AY50</f>
        <v>100</v>
      </c>
      <c r="BI11" s="2004" t="str">
        <f>'SUB LIST'!A60</f>
        <v>PR14SSCWSW_2.3</v>
      </c>
      <c r="BJ11" s="2004" t="str">
        <f>'SUB LIST'!P60</f>
        <v>02</v>
      </c>
      <c r="BK11" s="2004" t="str">
        <f>'SUB LIST'!Q60</f>
        <v>Service reservoir coliform non-compliance</v>
      </c>
      <c r="BL11" s="2004" t="str">
        <f>'SUB LIST'!T60</f>
        <v>%</v>
      </c>
      <c r="BM11" s="2004">
        <f>'SUB LIST'!U60</f>
        <v>2</v>
      </c>
      <c r="BN11" s="2004">
        <f>'SUB LIST'!AY60</f>
        <v>0</v>
      </c>
      <c r="BO11" s="2004" t="str">
        <f>'SUB LIST'!A72</f>
        <v>PR14SVTWSWW_S-C7</v>
      </c>
      <c r="BP11" s="2004" t="str">
        <f>'SUB LIST'!P72</f>
        <v>03</v>
      </c>
      <c r="BQ11" s="2004" t="str">
        <f>'SUB LIST'!Q72</f>
        <v>Total number of category 1, 2, and 3 pollution incidents</v>
      </c>
      <c r="BR11" s="2004" t="str">
        <f>'SUB LIST'!T72</f>
        <v>nr</v>
      </c>
      <c r="BS11" s="2004" t="str">
        <f>'SUB LIST'!U72</f>
        <v>0</v>
      </c>
      <c r="BT11" s="2004" t="str">
        <f>'SUB LIST'!AY72</f>
        <v/>
      </c>
      <c r="BU11" s="2004" t="str">
        <f>'SUB LIST'!A82</f>
        <v>PR14SWTWSW_W-A4</v>
      </c>
      <c r="BV11" s="2004" t="str">
        <f>'SUB LIST'!P82</f>
        <v>01</v>
      </c>
      <c r="BW11" s="2004" t="str">
        <f>'SUB LIST'!Q82</f>
        <v>WTW coliforms non-compliance</v>
      </c>
      <c r="BX11" s="2004" t="str">
        <f>'SUB LIST'!T82</f>
        <v>%</v>
      </c>
      <c r="BY11" s="2004">
        <f>'SUB LIST'!U82</f>
        <v>2</v>
      </c>
      <c r="BZ11" s="2004">
        <f>'SUB LIST'!AY82</f>
        <v>0.03</v>
      </c>
      <c r="CA11" s="2004" t="str">
        <f>'SUB LIST'!A106</f>
        <v>PR14TMSWSW_WB2</v>
      </c>
      <c r="CB11" s="2004" t="str">
        <f>'SUB LIST'!P106</f>
        <v>01</v>
      </c>
      <c r="CC11" s="2004" t="str">
        <f>'SUB LIST'!Q106</f>
        <v>Disinfection index (DWI)</v>
      </c>
      <c r="CD11" s="2004" t="str">
        <f>'SUB LIST'!T106</f>
        <v>%</v>
      </c>
      <c r="CE11" s="2004">
        <f>'SUB LIST'!U106</f>
        <v>2</v>
      </c>
      <c r="CF11" s="2004">
        <f>'SUB LIST'!AY106</f>
        <v>99.99</v>
      </c>
      <c r="CG11" s="2004" t="str">
        <f>'SUB LIST'!A130</f>
        <v>PR14UUWSW_B2</v>
      </c>
      <c r="CH11" s="2004" t="str">
        <f>'SUB LIST'!P130</f>
        <v>01</v>
      </c>
      <c r="CI11" s="2004" t="str">
        <f>'SUB LIST'!Q130</f>
        <v>Total bursts (nr/annum)</v>
      </c>
      <c r="CJ11" s="2004" t="str">
        <f>'SUB LIST'!T130</f>
        <v>nr</v>
      </c>
      <c r="CK11" s="2004" t="str">
        <f>'SUB LIST'!U130</f>
        <v>0</v>
      </c>
      <c r="CL11" s="2004">
        <f>'SUB LIST'!AY130</f>
        <v>5212</v>
      </c>
      <c r="CM11" s="2004" t="str">
        <f>'SUB LIST'!A170</f>
        <v>PR14WSHWSW_F1</v>
      </c>
      <c r="CN11" s="2004" t="str">
        <f>'SUB LIST'!P170</f>
        <v>08</v>
      </c>
      <c r="CO11" s="2004" t="str">
        <f>'SUB LIST'!Q170</f>
        <v>Service Reservoir Coliforms non-compliance (%)</v>
      </c>
      <c r="CP11" s="2004" t="str">
        <f>'SUB LIST'!T170</f>
        <v>%</v>
      </c>
      <c r="CQ11" s="2004">
        <f>'SUB LIST'!U170</f>
        <v>2</v>
      </c>
      <c r="CR11" s="2004">
        <f>'SUB LIST'!AY170</f>
        <v>0.3</v>
      </c>
      <c r="CS11" s="2004"/>
      <c r="CT11" s="2004"/>
      <c r="CU11" s="2004"/>
      <c r="CV11" s="2004"/>
      <c r="CW11" s="2004"/>
      <c r="CX11" s="2004"/>
      <c r="CY11" s="2004" t="str">
        <f>'SUB LIST'!A192</f>
        <v>PR14YKYWSW_WB4</v>
      </c>
      <c r="CZ11" s="2004" t="str">
        <f>'SUB LIST'!P192</f>
        <v>02</v>
      </c>
      <c r="DA11" s="2004" t="str">
        <f>'SUB LIST'!Q192</f>
        <v>Interruptions &gt;12 hours</v>
      </c>
      <c r="DB11" s="2004" t="str">
        <f>'SUB LIST'!T192</f>
        <v>nr</v>
      </c>
      <c r="DC11" s="2004" t="str">
        <f>'SUB LIST'!U192</f>
        <v>0</v>
      </c>
      <c r="DD11" s="2004">
        <f>'SUB LIST'!AY192</f>
        <v>414</v>
      </c>
      <c r="DK11" s="2004" t="str">
        <f>'SUB LIST'!A221</f>
        <v>PR14SVEWSWW_S-C7</v>
      </c>
      <c r="DL11" s="2004" t="str">
        <f>'SUB LIST'!P221</f>
        <v>03</v>
      </c>
      <c r="DM11" s="2004" t="str">
        <f>'SUB LIST'!Q221</f>
        <v>Total number of category 1, 2, and 3 pollution incidents</v>
      </c>
      <c r="DN11" s="2236" t="str">
        <f>'SUB LIST'!T221</f>
        <v>nr</v>
      </c>
      <c r="DO11" s="2236" t="str">
        <f>'SUB LIST'!U221</f>
        <v>0</v>
      </c>
      <c r="DP11" s="2236" t="str">
        <f>'SUB LIST'!AY221</f>
        <v>Passed</v>
      </c>
    </row>
    <row r="12" spans="1:120">
      <c r="A12" s="2004"/>
      <c r="B12" s="2004"/>
      <c r="C12" s="2004"/>
      <c r="D12" s="2004"/>
      <c r="E12" s="2004"/>
      <c r="F12" s="2004"/>
      <c r="G12" s="2004" t="str">
        <f>'SUB LIST'!A12</f>
        <v>PR14ANHWSWW_S-F1</v>
      </c>
      <c r="H12" s="2004" t="str">
        <f>'SUB LIST'!P12</f>
        <v>00</v>
      </c>
      <c r="I12" s="2004" t="str">
        <f>'SUB LIST'!Q12</f>
        <v>S-F1: Sewerage infrastructure</v>
      </c>
      <c r="J12" s="2004" t="str">
        <f>'SUB LIST'!T12</f>
        <v>category</v>
      </c>
      <c r="K12" s="2004" t="str">
        <f>'SUB LIST'!U12</f>
        <v>na</v>
      </c>
      <c r="L12" s="2004" t="str">
        <f>'SUB LIST'!AY12</f>
        <v>Green</v>
      </c>
      <c r="M12" s="2004"/>
      <c r="N12" s="2004"/>
      <c r="O12" s="2004"/>
      <c r="P12" s="2004"/>
      <c r="Q12" s="2004"/>
      <c r="R12" s="2004"/>
      <c r="S12" s="2004"/>
      <c r="T12" s="2004"/>
      <c r="U12" s="2004"/>
      <c r="V12" s="2004"/>
      <c r="W12" s="2004"/>
      <c r="X12" s="2004"/>
      <c r="Y12" s="2004"/>
      <c r="Z12" s="2004"/>
      <c r="AA12" s="2004"/>
      <c r="AB12" s="2004"/>
      <c r="AC12" s="2004"/>
      <c r="AD12" s="2004"/>
      <c r="AE12" s="2004"/>
      <c r="AF12" s="2004"/>
      <c r="AG12" s="2004"/>
      <c r="AH12" s="2004"/>
      <c r="AI12" s="2004"/>
      <c r="AJ12" s="2004"/>
      <c r="AK12" s="2004" t="str">
        <f>'SUB LIST'!A35</f>
        <v>PR14SBWWSW_B4</v>
      </c>
      <c r="AL12" s="2004" t="str">
        <f>'SUB LIST'!P35</f>
        <v>09</v>
      </c>
      <c r="AM12" s="2004" t="str">
        <f>'SUB LIST'!Q35</f>
        <v>Enforcement (incident number)</v>
      </c>
      <c r="AN12" s="2004" t="str">
        <f>'SUB LIST'!T35</f>
        <v>nr</v>
      </c>
      <c r="AO12" s="2004" t="str">
        <f>'SUB LIST'!U35</f>
        <v>0</v>
      </c>
      <c r="AP12" s="2004">
        <f>'SUB LIST'!AY35</f>
        <v>0</v>
      </c>
      <c r="AQ12" s="2004"/>
      <c r="AR12" s="2004"/>
      <c r="AS12" s="2004"/>
      <c r="AT12" s="2004"/>
      <c r="AU12" s="2004"/>
      <c r="AV12" s="2004"/>
      <c r="AW12" s="2004"/>
      <c r="AX12" s="2004"/>
      <c r="AY12" s="2004"/>
      <c r="AZ12" s="2004"/>
      <c r="BA12" s="2004"/>
      <c r="BB12" s="2004"/>
      <c r="BC12" s="2004" t="str">
        <f>'SUB LIST'!A51</f>
        <v>PR14SRNWSWW_1</v>
      </c>
      <c r="BD12" s="2004" t="str">
        <f>'SUB LIST'!P51</f>
        <v>03</v>
      </c>
      <c r="BE12" s="2004" t="str">
        <f>'SUB LIST'!Q51</f>
        <v>External flooding - other causes</v>
      </c>
      <c r="BF12" s="2004" t="str">
        <f>'SUB LIST'!T51</f>
        <v>nr</v>
      </c>
      <c r="BG12" s="2004" t="str">
        <f>'SUB LIST'!U51</f>
        <v>0</v>
      </c>
      <c r="BH12" s="2004">
        <f>'SUB LIST'!AY51</f>
        <v>7791</v>
      </c>
      <c r="BI12" s="2004" t="str">
        <f>'SUB LIST'!A61</f>
        <v>PR14SSCWSW_2.3</v>
      </c>
      <c r="BJ12" s="2004" t="str">
        <f>'SUB LIST'!P61</f>
        <v>03</v>
      </c>
      <c r="BK12" s="2004" t="str">
        <f>'SUB LIST'!Q61</f>
        <v>WTW turbidity non-compliance</v>
      </c>
      <c r="BL12" s="2004" t="str">
        <f>'SUB LIST'!T61</f>
        <v>nr</v>
      </c>
      <c r="BM12" s="2004" t="str">
        <f>'SUB LIST'!U61</f>
        <v>0</v>
      </c>
      <c r="BN12" s="2004">
        <f>'SUB LIST'!AY61</f>
        <v>0</v>
      </c>
      <c r="BO12" s="2004" t="str">
        <f>'SUB LIST'!A73</f>
        <v>PR14SVTWSWW_S-C7</v>
      </c>
      <c r="BP12" s="2004" t="str">
        <f>'SUB LIST'!P73</f>
        <v>04</v>
      </c>
      <c r="BQ12" s="2004" t="str">
        <f>'SUB LIST'!Q73</f>
        <v>Biodiversity improvements</v>
      </c>
      <c r="BR12" s="2004" t="str">
        <f>'SUB LIST'!T73</f>
        <v>nr</v>
      </c>
      <c r="BS12" s="2004" t="str">
        <f>'SUB LIST'!U73</f>
        <v>0</v>
      </c>
      <c r="BT12" s="2004" t="str">
        <f>'SUB LIST'!AY73</f>
        <v/>
      </c>
      <c r="BU12" s="2004" t="str">
        <f>'SUB LIST'!A83</f>
        <v>PR14SWTWSW_W-A4</v>
      </c>
      <c r="BV12" s="2004" t="str">
        <f>'SUB LIST'!P83</f>
        <v>02</v>
      </c>
      <c r="BW12" s="2004" t="str">
        <f>'SUB LIST'!Q83</f>
        <v>Service reservoir coliforms non-compliance</v>
      </c>
      <c r="BX12" s="2004" t="str">
        <f>'SUB LIST'!T83</f>
        <v>%</v>
      </c>
      <c r="BY12" s="2004">
        <f>'SUB LIST'!U83</f>
        <v>2</v>
      </c>
      <c r="BZ12" s="2004">
        <f>'SUB LIST'!AY83</f>
        <v>0</v>
      </c>
      <c r="CA12" s="2004" t="str">
        <f>'SUB LIST'!A107</f>
        <v>PR14TMSWSW_WB2</v>
      </c>
      <c r="CB12" s="2004" t="str">
        <f>'SUB LIST'!P107</f>
        <v>02</v>
      </c>
      <c r="CC12" s="2004" t="str">
        <f>'SUB LIST'!Q107</f>
        <v>Reservoir integrity index</v>
      </c>
      <c r="CD12" s="2004" t="str">
        <f>'SUB LIST'!T107</f>
        <v>%</v>
      </c>
      <c r="CE12" s="2004">
        <f>'SUB LIST'!U107</f>
        <v>2</v>
      </c>
      <c r="CF12" s="2004">
        <f>'SUB LIST'!AY107</f>
        <v>0</v>
      </c>
      <c r="CG12" s="2004" t="str">
        <f>'SUB LIST'!A131</f>
        <v>PR14UUWSW_B2</v>
      </c>
      <c r="CH12" s="2004" t="str">
        <f>'SUB LIST'!P131</f>
        <v>02</v>
      </c>
      <c r="CI12" s="2004" t="str">
        <f>'SUB LIST'!Q131</f>
        <v>Interruptions &gt;12hours (nr of properties/total nr of properties)</v>
      </c>
      <c r="CJ12" s="2004" t="str">
        <f>'SUB LIST'!T131</f>
        <v>nr</v>
      </c>
      <c r="CK12" s="2004" t="str">
        <f>'SUB LIST'!U131</f>
        <v>0</v>
      </c>
      <c r="CL12" s="2004">
        <f>'SUB LIST'!AY131</f>
        <v>849</v>
      </c>
      <c r="CM12" s="2004" t="str">
        <f>'SUB LIST'!A171</f>
        <v>PR14WSHWSW_F1</v>
      </c>
      <c r="CN12" s="2004" t="str">
        <f>'SUB LIST'!P171</f>
        <v>09</v>
      </c>
      <c r="CO12" s="2004" t="str">
        <f>'SUB LIST'!Q171</f>
        <v>Turbidity (nr)</v>
      </c>
      <c r="CP12" s="2004" t="str">
        <f>'SUB LIST'!T171</f>
        <v>nr</v>
      </c>
      <c r="CQ12" s="2004" t="str">
        <f>'SUB LIST'!U171</f>
        <v>0</v>
      </c>
      <c r="CR12" s="2004">
        <f>'SUB LIST'!AY171</f>
        <v>0</v>
      </c>
      <c r="CS12" s="2004"/>
      <c r="CT12" s="2004"/>
      <c r="CU12" s="2004"/>
      <c r="CV12" s="2004"/>
      <c r="CW12" s="2004"/>
      <c r="CX12" s="2004"/>
      <c r="CY12" s="2004" t="str">
        <f>'SUB LIST'!A193</f>
        <v>PR14YKYWSW_WB4</v>
      </c>
      <c r="CZ12" s="2004" t="str">
        <f>'SUB LIST'!P193</f>
        <v>03</v>
      </c>
      <c r="DA12" s="2004" t="str">
        <f>'SUB LIST'!Q193</f>
        <v>DG2 low pressure</v>
      </c>
      <c r="DB12" s="2004" t="str">
        <f>'SUB LIST'!T193</f>
        <v>nr</v>
      </c>
      <c r="DC12" s="2004" t="str">
        <f>'SUB LIST'!U193</f>
        <v>0</v>
      </c>
      <c r="DD12" s="2004">
        <f>'SUB LIST'!AY193</f>
        <v>9</v>
      </c>
      <c r="DK12" s="2004" t="str">
        <f>'SUB LIST'!A222</f>
        <v>PR14SVEWSWW_S-C7</v>
      </c>
      <c r="DL12" s="2004" t="str">
        <f>'SUB LIST'!P222</f>
        <v>04</v>
      </c>
      <c r="DM12" s="2004" t="str">
        <f>'SUB LIST'!Q222</f>
        <v>Biodiversity improvements</v>
      </c>
      <c r="DN12" s="2236" t="str">
        <f>'SUB LIST'!T222</f>
        <v>nr</v>
      </c>
      <c r="DO12" s="2236" t="str">
        <f>'SUB LIST'!U222</f>
        <v>0</v>
      </c>
      <c r="DP12" s="2236" t="str">
        <f>'SUB LIST'!AY222</f>
        <v>Passed</v>
      </c>
    </row>
    <row r="13" spans="1:120">
      <c r="A13" s="2004"/>
      <c r="B13" s="2004"/>
      <c r="C13" s="2004"/>
      <c r="D13" s="2004"/>
      <c r="E13" s="2004"/>
      <c r="F13" s="2004"/>
      <c r="G13" s="2004" t="str">
        <f>'SUB LIST'!A13</f>
        <v>PR14ANHWSWW_S-F1</v>
      </c>
      <c r="H13" s="2004" t="str">
        <f>'SUB LIST'!P13</f>
        <v>01</v>
      </c>
      <c r="I13" s="2004" t="str">
        <f>'SUB LIST'!Q13</f>
        <v>Pollution incidents</v>
      </c>
      <c r="J13" s="2004" t="str">
        <f>'SUB LIST'!T13</f>
        <v>nr</v>
      </c>
      <c r="K13" s="2004" t="str">
        <f>'SUB LIST'!U13</f>
        <v>0</v>
      </c>
      <c r="L13" s="2004">
        <f>'SUB LIST'!AY13</f>
        <v>82</v>
      </c>
      <c r="M13" s="2004"/>
      <c r="N13" s="2004"/>
      <c r="O13" s="2004"/>
      <c r="P13" s="2004"/>
      <c r="Q13" s="2004"/>
      <c r="R13" s="2004"/>
      <c r="S13" s="2004"/>
      <c r="T13" s="2004"/>
      <c r="U13" s="2004"/>
      <c r="V13" s="2004"/>
      <c r="W13" s="2004"/>
      <c r="X13" s="2004"/>
      <c r="Y13" s="2004"/>
      <c r="Z13" s="2004"/>
      <c r="AA13" s="2004"/>
      <c r="AB13" s="2004"/>
      <c r="AC13" s="2004"/>
      <c r="AD13" s="2004"/>
      <c r="AE13" s="2004"/>
      <c r="AF13" s="2004"/>
      <c r="AG13" s="2004"/>
      <c r="AH13" s="2004"/>
      <c r="AI13" s="2004"/>
      <c r="AJ13" s="2004"/>
      <c r="AK13" s="2004" t="str">
        <f>'SUB LIST'!A36</f>
        <v>PR14SBWWSW_B4</v>
      </c>
      <c r="AL13" s="2004" t="str">
        <f>'SUB LIST'!P36</f>
        <v>10</v>
      </c>
      <c r="AM13" s="2004" t="str">
        <f>'SUB LIST'!Q36</f>
        <v>Unplanned maintenance (number)</v>
      </c>
      <c r="AN13" s="2004" t="str">
        <f>'SUB LIST'!T36</f>
        <v>nr</v>
      </c>
      <c r="AO13" s="2004" t="str">
        <f>'SUB LIST'!U36</f>
        <v>0</v>
      </c>
      <c r="AP13" s="2004">
        <f>'SUB LIST'!AY36</f>
        <v>124</v>
      </c>
      <c r="AQ13" s="2004"/>
      <c r="AR13" s="2004"/>
      <c r="AS13" s="2004"/>
      <c r="AT13" s="2004"/>
      <c r="AU13" s="2004"/>
      <c r="AV13" s="2004"/>
      <c r="AW13" s="2004"/>
      <c r="AX13" s="2004"/>
      <c r="AY13" s="2004"/>
      <c r="AZ13" s="2004"/>
      <c r="BA13" s="2004"/>
      <c r="BB13" s="2004"/>
      <c r="BC13" s="2004"/>
      <c r="BD13" s="2004"/>
      <c r="BE13" s="2004"/>
      <c r="BF13" s="2004"/>
      <c r="BG13" s="2004"/>
      <c r="BH13" s="2004"/>
      <c r="BI13" s="2004" t="str">
        <f>'SUB LIST'!A62</f>
        <v>PR14SSCWSW_2.3</v>
      </c>
      <c r="BJ13" s="2004" t="str">
        <f>'SUB LIST'!P62</f>
        <v>04</v>
      </c>
      <c r="BK13" s="2004" t="str">
        <f>'SUB LIST'!Q62</f>
        <v>DWI enforcement actions</v>
      </c>
      <c r="BL13" s="2004" t="str">
        <f>'SUB LIST'!T62</f>
        <v>nr</v>
      </c>
      <c r="BM13" s="2004" t="str">
        <f>'SUB LIST'!U62</f>
        <v>0</v>
      </c>
      <c r="BN13" s="2004">
        <f>'SUB LIST'!AY62</f>
        <v>0</v>
      </c>
      <c r="BO13" s="2004"/>
      <c r="BP13" s="2004"/>
      <c r="BQ13" s="2004"/>
      <c r="BR13" s="2004"/>
      <c r="BS13" s="2004"/>
      <c r="BT13" s="2004"/>
      <c r="BU13" s="2004" t="str">
        <f>'SUB LIST'!A84</f>
        <v>PR14SWTWSW_W-A4</v>
      </c>
      <c r="BV13" s="2004" t="str">
        <f>'SUB LIST'!P84</f>
        <v>03</v>
      </c>
      <c r="BW13" s="2004" t="str">
        <f>'SUB LIST'!Q84</f>
        <v>Turbidity non-compliance</v>
      </c>
      <c r="BX13" s="2004" t="str">
        <f>'SUB LIST'!T84</f>
        <v>nr</v>
      </c>
      <c r="BY13" s="2004" t="str">
        <f>'SUB LIST'!U84</f>
        <v>0</v>
      </c>
      <c r="BZ13" s="2004">
        <f>'SUB LIST'!AY84</f>
        <v>0</v>
      </c>
      <c r="CA13" s="2004" t="str">
        <f>'SUB LIST'!A108</f>
        <v>PR14TMSWSW_WB2</v>
      </c>
      <c r="CB13" s="2004" t="str">
        <f>'SUB LIST'!P108</f>
        <v>03</v>
      </c>
      <c r="CC13" s="2004" t="str">
        <f>'SUB LIST'!Q108</f>
        <v>DWQ compliance measures - turbidity (number of sites)</v>
      </c>
      <c r="CD13" s="2004" t="str">
        <f>'SUB LIST'!T108</f>
        <v>nr</v>
      </c>
      <c r="CE13" s="2004" t="str">
        <f>'SUB LIST'!U108</f>
        <v>0</v>
      </c>
      <c r="CF13" s="2004">
        <f>'SUB LIST'!AY108</f>
        <v>0</v>
      </c>
      <c r="CG13" s="2004" t="str">
        <f>'SUB LIST'!A132</f>
        <v>PR14UUWSW_B2</v>
      </c>
      <c r="CH13" s="2004" t="str">
        <f>'SUB LIST'!P132</f>
        <v>03</v>
      </c>
      <c r="CI13" s="2004" t="str">
        <f>'SUB LIST'!Q132</f>
        <v>Pressure (nr of properties on DG2 register/ total number of properties)</v>
      </c>
      <c r="CJ13" s="2004" t="str">
        <f>'SUB LIST'!T132</f>
        <v>nr</v>
      </c>
      <c r="CK13" s="2004" t="str">
        <f>'SUB LIST'!U132</f>
        <v>0</v>
      </c>
      <c r="CL13" s="2004">
        <f>'SUB LIST'!AY132</f>
        <v>262</v>
      </c>
      <c r="CM13" s="2004" t="str">
        <f>'SUB LIST'!A172</f>
        <v>PR14WSHWSW_F1</v>
      </c>
      <c r="CN13" s="2004" t="str">
        <f>'SUB LIST'!P172</f>
        <v>10</v>
      </c>
      <c r="CO13" s="2004" t="str">
        <f>'SUB LIST'!Q172</f>
        <v>Enforcement (incidents number)</v>
      </c>
      <c r="CP13" s="2004" t="str">
        <f>'SUB LIST'!T172</f>
        <v>nr</v>
      </c>
      <c r="CQ13" s="2004" t="str">
        <f>'SUB LIST'!U172</f>
        <v>0</v>
      </c>
      <c r="CR13" s="2004">
        <f>'SUB LIST'!AY172</f>
        <v>0</v>
      </c>
      <c r="CS13" s="2004"/>
      <c r="CT13" s="2004"/>
      <c r="CU13" s="2004"/>
      <c r="CV13" s="2004"/>
      <c r="CW13" s="2004"/>
      <c r="CX13" s="2004"/>
      <c r="CY13" s="2004" t="str">
        <f>'SUB LIST'!A194</f>
        <v>PR14YKYWSW_WB4</v>
      </c>
      <c r="CZ13" s="2004" t="str">
        <f>'SUB LIST'!P194</f>
        <v>04</v>
      </c>
      <c r="DA13" s="2004" t="str">
        <f>'SUB LIST'!Q194</f>
        <v>Customer contacts for discolouration (nr per 1,000 population)</v>
      </c>
      <c r="DB13" s="2004" t="str">
        <f>'SUB LIST'!T194</f>
        <v>nr</v>
      </c>
      <c r="DC13" s="2004">
        <f>'SUB LIST'!U194</f>
        <v>3</v>
      </c>
      <c r="DD13" s="2004">
        <f>'SUB LIST'!AY194</f>
        <v>0.69899999999999995</v>
      </c>
      <c r="DE13" s="644"/>
      <c r="DF13" s="644"/>
      <c r="DG13" s="644"/>
      <c r="DH13" s="644"/>
      <c r="DI13" s="644"/>
      <c r="DJ13" s="644"/>
      <c r="DK13" s="644"/>
      <c r="DL13" s="644"/>
      <c r="DM13" s="644"/>
      <c r="DN13" s="644"/>
      <c r="DO13" s="644"/>
      <c r="DP13" s="644"/>
    </row>
    <row r="14" spans="1:120">
      <c r="A14" s="2004"/>
      <c r="B14" s="2004"/>
      <c r="C14" s="2004"/>
      <c r="D14" s="2004"/>
      <c r="E14" s="2004"/>
      <c r="F14" s="2004"/>
      <c r="G14" s="2004" t="str">
        <f>'SUB LIST'!A14</f>
        <v>PR14ANHWSWW_S-F1</v>
      </c>
      <c r="H14" s="2004" t="str">
        <f>'SUB LIST'!P14</f>
        <v>02</v>
      </c>
      <c r="I14" s="2004" t="str">
        <f>'SUB LIST'!Q14</f>
        <v>Sewer collapses</v>
      </c>
      <c r="J14" s="2004" t="str">
        <f>'SUB LIST'!T14</f>
        <v>nr</v>
      </c>
      <c r="K14" s="2004" t="str">
        <f>'SUB LIST'!U14</f>
        <v>0</v>
      </c>
      <c r="L14" s="2004">
        <f>'SUB LIST'!AY14</f>
        <v>214</v>
      </c>
      <c r="M14" s="2004"/>
      <c r="N14" s="2004"/>
      <c r="O14" s="2004"/>
      <c r="P14" s="2004"/>
      <c r="Q14" s="2004"/>
      <c r="R14" s="2004"/>
      <c r="S14" s="2004"/>
      <c r="T14" s="2004"/>
      <c r="U14" s="2004"/>
      <c r="V14" s="2004"/>
      <c r="W14" s="2004"/>
      <c r="X14" s="2004"/>
      <c r="Y14" s="2004"/>
      <c r="Z14" s="2004"/>
      <c r="AA14" s="2004"/>
      <c r="AB14" s="2004"/>
      <c r="AC14" s="2004"/>
      <c r="AD14" s="2004"/>
      <c r="AE14" s="2004"/>
      <c r="AF14" s="2004"/>
      <c r="AG14" s="2004"/>
      <c r="AH14" s="2004"/>
      <c r="AI14" s="2004"/>
      <c r="AJ14" s="2004"/>
      <c r="AK14" s="2004"/>
      <c r="AL14" s="2004"/>
      <c r="AM14" s="2004"/>
      <c r="AN14" s="2004"/>
      <c r="AO14" s="2004"/>
      <c r="AP14" s="2004"/>
      <c r="AQ14" s="2004"/>
      <c r="AR14" s="2004"/>
      <c r="AS14" s="2004"/>
      <c r="AT14" s="2004"/>
      <c r="AU14" s="2004"/>
      <c r="AV14" s="2004"/>
      <c r="AW14" s="2004"/>
      <c r="AX14" s="2004"/>
      <c r="AY14" s="2004"/>
      <c r="AZ14" s="2004"/>
      <c r="BA14" s="2004"/>
      <c r="BB14" s="2004"/>
      <c r="BC14" s="2004"/>
      <c r="BD14" s="2004"/>
      <c r="BE14" s="2004"/>
      <c r="BF14" s="2004"/>
      <c r="BG14" s="2004"/>
      <c r="BH14" s="2004"/>
      <c r="BI14" s="2004" t="str">
        <f>'SUB LIST'!A63</f>
        <v>PR14SSCWSW_2.3</v>
      </c>
      <c r="BJ14" s="2004" t="str">
        <f>'SUB LIST'!P63</f>
        <v>05</v>
      </c>
      <c r="BK14" s="2004" t="str">
        <f>'SUB LIST'!Q63</f>
        <v>Unplanned maintenance work orders</v>
      </c>
      <c r="BL14" s="2004" t="str">
        <f>'SUB LIST'!T63</f>
        <v>nr</v>
      </c>
      <c r="BM14" s="2004" t="str">
        <f>'SUB LIST'!U63</f>
        <v>0</v>
      </c>
      <c r="BN14" s="2004">
        <f>'SUB LIST'!AY63</f>
        <v>2802</v>
      </c>
      <c r="BO14" s="2004"/>
      <c r="BP14" s="2004"/>
      <c r="BQ14" s="2004"/>
      <c r="BR14" s="2004"/>
      <c r="BS14" s="2004"/>
      <c r="BT14" s="2004"/>
      <c r="BU14" s="2004" t="str">
        <f>'SUB LIST'!A85</f>
        <v>PR14SWTWSW_W-A4</v>
      </c>
      <c r="BV14" s="2004" t="str">
        <f>'SUB LIST'!P85</f>
        <v>04</v>
      </c>
      <c r="BW14" s="2004" t="str">
        <f>'SUB LIST'!Q85</f>
        <v>Enforcement incidents</v>
      </c>
      <c r="BX14" s="2004" t="str">
        <f>'SUB LIST'!T85</f>
        <v>nr</v>
      </c>
      <c r="BY14" s="2004" t="str">
        <f>'SUB LIST'!U85</f>
        <v>0</v>
      </c>
      <c r="BZ14" s="2004">
        <f>'SUB LIST'!AY85</f>
        <v>1</v>
      </c>
      <c r="CA14" s="2004" t="str">
        <f>'SUB LIST'!A109</f>
        <v>PR14TMSWSW_WB2</v>
      </c>
      <c r="CB14" s="2004" t="str">
        <f>'SUB LIST'!P109</f>
        <v>04</v>
      </c>
      <c r="CC14" s="2004" t="str">
        <f>'SUB LIST'!Q109</f>
        <v>Process control index</v>
      </c>
      <c r="CD14" s="2004" t="str">
        <f>'SUB LIST'!T109</f>
        <v>%</v>
      </c>
      <c r="CE14" s="2004">
        <f>'SUB LIST'!U109</f>
        <v>2</v>
      </c>
      <c r="CF14" s="2004">
        <f>'SUB LIST'!AY109</f>
        <v>100</v>
      </c>
      <c r="CG14" s="2004" t="str">
        <f>'SUB LIST'!A133</f>
        <v>PR14UUWSW_B2</v>
      </c>
      <c r="CH14" s="2004" t="str">
        <f>'SUB LIST'!P133</f>
        <v>04</v>
      </c>
      <c r="CI14" s="2004" t="str">
        <f>'SUB LIST'!Q133</f>
        <v>Customer contacts for water availability (contacts/annum)</v>
      </c>
      <c r="CJ14" s="2004" t="str">
        <f>'SUB LIST'!T133</f>
        <v>nr</v>
      </c>
      <c r="CK14" s="2004" t="str">
        <f>'SUB LIST'!U133</f>
        <v>0</v>
      </c>
      <c r="CL14" s="2004">
        <f>'SUB LIST'!AY133</f>
        <v>49278</v>
      </c>
      <c r="CM14" s="2004" t="str">
        <f>'SUB LIST'!A173</f>
        <v>PR14WSHWSW_F1</v>
      </c>
      <c r="CN14" s="2004" t="str">
        <f>'SUB LIST'!P173</f>
        <v>11</v>
      </c>
      <c r="CO14" s="2004" t="str">
        <f>'SUB LIST'!Q173</f>
        <v>Unplanned maintenance (nr)</v>
      </c>
      <c r="CP14" s="2004" t="str">
        <f>'SUB LIST'!T173</f>
        <v>nr</v>
      </c>
      <c r="CQ14" s="2004" t="str">
        <f>'SUB LIST'!U173</f>
        <v>0</v>
      </c>
      <c r="CR14" s="2004">
        <f>'SUB LIST'!AY173</f>
        <v>12293</v>
      </c>
      <c r="CS14" s="2004"/>
      <c r="CT14" s="2004"/>
      <c r="CU14" s="2004"/>
      <c r="CV14" s="2004"/>
      <c r="CW14" s="2004"/>
      <c r="CX14" s="2004"/>
      <c r="CY14" s="2004" t="str">
        <f>'SUB LIST'!A195</f>
        <v>PR14YKYWSW_WB4</v>
      </c>
      <c r="CZ14" s="2004" t="str">
        <f>'SUB LIST'!P195</f>
        <v>05</v>
      </c>
      <c r="DA14" s="2004" t="str">
        <f>'SUB LIST'!Q195</f>
        <v>Distribution index TIM (100 - mean zonal compliance)</v>
      </c>
      <c r="DB14" s="2004" t="str">
        <f>'SUB LIST'!T195</f>
        <v>%</v>
      </c>
      <c r="DC14" s="2004">
        <f>'SUB LIST'!U195</f>
        <v>3</v>
      </c>
      <c r="DD14" s="2004">
        <f>'SUB LIST'!AY195</f>
        <v>0.127</v>
      </c>
    </row>
    <row r="15" spans="1:120">
      <c r="A15" s="2004"/>
      <c r="B15" s="2004"/>
      <c r="C15" s="2004"/>
      <c r="D15" s="2004"/>
      <c r="E15" s="2004"/>
      <c r="F15" s="2004"/>
      <c r="G15" s="2004" t="str">
        <f>'SUB LIST'!A15</f>
        <v>PR14ANHWSWW_S-F1</v>
      </c>
      <c r="H15" s="2004" t="str">
        <f>'SUB LIST'!P15</f>
        <v>03</v>
      </c>
      <c r="I15" s="2004" t="str">
        <f>'SUB LIST'!Q15</f>
        <v>Internal flooding (overloaded + other causes)</v>
      </c>
      <c r="J15" s="2004" t="str">
        <f>'SUB LIST'!T15</f>
        <v>nr</v>
      </c>
      <c r="K15" s="2004" t="str">
        <f>'SUB LIST'!U15</f>
        <v>0</v>
      </c>
      <c r="L15" s="2004">
        <f>'SUB LIST'!AY15</f>
        <v>112</v>
      </c>
      <c r="M15" s="2004"/>
      <c r="N15" s="2004"/>
      <c r="O15" s="2004"/>
      <c r="P15" s="2004"/>
      <c r="Q15" s="2004"/>
      <c r="R15" s="2004"/>
      <c r="S15" s="2004"/>
      <c r="T15" s="2004"/>
      <c r="U15" s="2004"/>
      <c r="V15" s="2004"/>
      <c r="W15" s="2004"/>
      <c r="X15" s="2004"/>
      <c r="Y15" s="2004"/>
      <c r="Z15" s="2004"/>
      <c r="AA15" s="2004"/>
      <c r="AB15" s="2004"/>
      <c r="AC15" s="2004"/>
      <c r="AD15" s="2004"/>
      <c r="AE15" s="2004"/>
      <c r="AF15" s="2004"/>
      <c r="AG15" s="2004"/>
      <c r="AH15" s="2004"/>
      <c r="AI15" s="2004"/>
      <c r="AJ15" s="2004"/>
      <c r="AK15" s="2004"/>
      <c r="AL15" s="2004"/>
      <c r="AM15" s="2004"/>
      <c r="AN15" s="2004"/>
      <c r="AO15" s="2004"/>
      <c r="AP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t="str">
        <f>'SUB LIST'!A86</f>
        <v>PR14SWTWSW_W-A4</v>
      </c>
      <c r="BV15" s="2004" t="str">
        <f>'SUB LIST'!P86</f>
        <v>05</v>
      </c>
      <c r="BW15" s="2004" t="str">
        <f>'SUB LIST'!Q86</f>
        <v>Unplanned maintenance</v>
      </c>
      <c r="BX15" s="2004" t="str">
        <f>'SUB LIST'!T86</f>
        <v>nr</v>
      </c>
      <c r="BY15" s="2004" t="str">
        <f>'SUB LIST'!U86</f>
        <v>0</v>
      </c>
      <c r="BZ15" s="2004">
        <f>'SUB LIST'!AY86</f>
        <v>2607</v>
      </c>
      <c r="CA15" s="2004" t="str">
        <f>'SUB LIST'!A110</f>
        <v>PR14TMSWSW_WB2</v>
      </c>
      <c r="CB15" s="2004" t="str">
        <f>'SUB LIST'!P110</f>
        <v>05</v>
      </c>
      <c r="CC15" s="2004" t="str">
        <f>'SUB LIST'!Q110</f>
        <v>DWQ compliance measures - enforcement actions</v>
      </c>
      <c r="CD15" s="2004" t="str">
        <f>'SUB LIST'!T110</f>
        <v>nr</v>
      </c>
      <c r="CE15" s="2004" t="str">
        <f>'SUB LIST'!U110</f>
        <v>0</v>
      </c>
      <c r="CF15" s="2004">
        <f>'SUB LIST'!AY110</f>
        <v>0</v>
      </c>
      <c r="CG15" s="2004" t="str">
        <f>'SUB LIST'!A134</f>
        <v>PR14UUWSWW_S-A1</v>
      </c>
      <c r="CH15" s="2004" t="str">
        <f>'SUB LIST'!P134</f>
        <v>00</v>
      </c>
      <c r="CI15" s="2004" t="str">
        <f>'SUB LIST'!Q134</f>
        <v>S-A1: Private sewers service index</v>
      </c>
      <c r="CJ15" s="2004" t="str">
        <f>'SUB LIST'!T134</f>
        <v>score</v>
      </c>
      <c r="CK15" s="2004">
        <f>'SUB LIST'!U134</f>
        <v>2</v>
      </c>
      <c r="CL15" s="2004">
        <f>'SUB LIST'!AY134</f>
        <v>89.27</v>
      </c>
      <c r="CM15" s="2004" t="str">
        <f>'SUB LIST'!A174</f>
        <v>PR14WSHWSWW_F1</v>
      </c>
      <c r="CN15" s="2004" t="str">
        <f>'SUB LIST'!P174</f>
        <v>00</v>
      </c>
      <c r="CO15" s="2004" t="str">
        <f>'SUB LIST'!Q174</f>
        <v>F1: Asset serviceability</v>
      </c>
      <c r="CP15" s="2004" t="str">
        <f>'SUB LIST'!T174</f>
        <v>category</v>
      </c>
      <c r="CQ15" s="2004" t="str">
        <f>'SUB LIST'!U174</f>
        <v>na</v>
      </c>
      <c r="CR15" s="2004" t="str">
        <f>'SUB LIST'!AY174</f>
        <v>Stable</v>
      </c>
      <c r="CS15" s="2004"/>
      <c r="CT15" s="2004"/>
      <c r="CU15" s="2004"/>
      <c r="CV15" s="2004"/>
      <c r="CW15" s="2004"/>
      <c r="CX15" s="2004"/>
      <c r="CY15" s="2004" t="str">
        <f>'SUB LIST'!A196</f>
        <v>PR14YKYWSW_WB4</v>
      </c>
      <c r="CZ15" s="2004" t="str">
        <f>'SUB LIST'!P196</f>
        <v>06</v>
      </c>
      <c r="DA15" s="2004" t="str">
        <f>'SUB LIST'!Q196</f>
        <v>Reactive equipment failures</v>
      </c>
      <c r="DB15" s="2004" t="str">
        <f>'SUB LIST'!T196</f>
        <v>nr</v>
      </c>
      <c r="DC15" s="2004" t="str">
        <f>'SUB LIST'!U196</f>
        <v>0</v>
      </c>
      <c r="DD15" s="2004">
        <f>'SUB LIST'!AY196</f>
        <v>911</v>
      </c>
    </row>
    <row r="16" spans="1:120">
      <c r="A16" s="2004"/>
      <c r="B16" s="2004"/>
      <c r="C16" s="2004"/>
      <c r="D16" s="2004"/>
      <c r="E16" s="2004"/>
      <c r="F16" s="2004"/>
      <c r="G16" s="2004" t="str">
        <f>'SUB LIST'!A16</f>
        <v>PR14ANHWSWW_S-F1</v>
      </c>
      <c r="H16" s="2004" t="str">
        <f>'SUB LIST'!P16</f>
        <v>04</v>
      </c>
      <c r="I16" s="2004" t="str">
        <f>'SUB LIST'!Q16</f>
        <v>Sewer blockages</v>
      </c>
      <c r="J16" s="2004" t="str">
        <f>'SUB LIST'!T16</f>
        <v>nr</v>
      </c>
      <c r="K16" s="2004" t="str">
        <f>'SUB LIST'!U16</f>
        <v>0</v>
      </c>
      <c r="L16" s="2004">
        <f>'SUB LIST'!AY16</f>
        <v>11908</v>
      </c>
      <c r="M16" s="2004"/>
      <c r="N16" s="2004"/>
      <c r="O16" s="2004"/>
      <c r="P16" s="2004"/>
      <c r="Q16" s="2004"/>
      <c r="R16" s="2004"/>
      <c r="S16" s="2004"/>
      <c r="T16" s="2004"/>
      <c r="U16" s="2004"/>
      <c r="V16" s="2004"/>
      <c r="W16" s="2004"/>
      <c r="X16" s="2004"/>
      <c r="Y16" s="2004"/>
      <c r="Z16" s="2004"/>
      <c r="AA16" s="2004"/>
      <c r="AB16" s="2004"/>
      <c r="AC16" s="2004"/>
      <c r="AD16" s="2004"/>
      <c r="AE16" s="2004"/>
      <c r="AF16" s="2004"/>
      <c r="AG16" s="2004"/>
      <c r="AH16" s="2004"/>
      <c r="AI16" s="2004"/>
      <c r="AJ16" s="2004"/>
      <c r="AK16" s="2004"/>
      <c r="AL16" s="2004"/>
      <c r="AM16" s="2004"/>
      <c r="AN16" s="2004"/>
      <c r="AO16" s="2004"/>
      <c r="AP16" s="2004"/>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t="str">
        <f>'SUB LIST'!A87</f>
        <v>PR14SWTWSWW_S-A4</v>
      </c>
      <c r="BV16" s="2004" t="str">
        <f>'SUB LIST'!P87</f>
        <v>00</v>
      </c>
      <c r="BW16" s="2004" t="str">
        <f>'SUB LIST'!Q87</f>
        <v>S-A4 Asset reliability (pipes)</v>
      </c>
      <c r="BX16" s="2004" t="str">
        <f>'SUB LIST'!T87</f>
        <v>category</v>
      </c>
      <c r="BY16" s="2004" t="str">
        <f>'SUB LIST'!U87</f>
        <v>na</v>
      </c>
      <c r="BZ16" s="2004" t="str">
        <f>'SUB LIST'!AY87</f>
        <v>Stable</v>
      </c>
      <c r="CA16" s="2004" t="str">
        <f>'SUB LIST'!A111</f>
        <v>PR14TMSWSW_WB2</v>
      </c>
      <c r="CB16" s="2004" t="str">
        <f>'SUB LIST'!P111</f>
        <v>06</v>
      </c>
      <c r="CC16" s="2004" t="str">
        <f>'SUB LIST'!Q111</f>
        <v>Water quality complaints for chlorine (nr per 1,000 population)</v>
      </c>
      <c r="CD16" s="2004" t="str">
        <f>'SUB LIST'!T111</f>
        <v>nr</v>
      </c>
      <c r="CE16" s="2004">
        <f>'SUB LIST'!U111</f>
        <v>2</v>
      </c>
      <c r="CF16" s="2004">
        <f>'SUB LIST'!AY111</f>
        <v>4.8000000000000001E-2</v>
      </c>
      <c r="CG16" s="2004" t="str">
        <f>'SUB LIST'!A135</f>
        <v>PR14UUWSWW_S-A1</v>
      </c>
      <c r="CH16" s="2004" t="str">
        <f>'SUB LIST'!P135</f>
        <v>01</v>
      </c>
      <c r="CI16" s="2004" t="str">
        <f>'SUB LIST'!Q135</f>
        <v>Blockages</v>
      </c>
      <c r="CJ16" s="2004" t="str">
        <f>'SUB LIST'!T135</f>
        <v>nr</v>
      </c>
      <c r="CK16" s="2004" t="str">
        <f>'SUB LIST'!U135</f>
        <v>0</v>
      </c>
      <c r="CL16" s="2004">
        <f>'SUB LIST'!AY135</f>
        <v>14589</v>
      </c>
      <c r="CM16" s="2004" t="str">
        <f>'SUB LIST'!A175</f>
        <v>PR14WSHWSWW_F1</v>
      </c>
      <c r="CN16" s="2004" t="str">
        <f>'SUB LIST'!P175</f>
        <v>01</v>
      </c>
      <c r="CO16" s="2004" t="str">
        <f>'SUB LIST'!Q175</f>
        <v>Sewer collapses (nr)</v>
      </c>
      <c r="CP16" s="2004" t="str">
        <f>'SUB LIST'!T175</f>
        <v>nr</v>
      </c>
      <c r="CQ16" s="2004" t="str">
        <f>'SUB LIST'!U175</f>
        <v>0</v>
      </c>
      <c r="CR16" s="2004">
        <f>'SUB LIST'!AY175</f>
        <v>659</v>
      </c>
      <c r="CS16" s="2004"/>
      <c r="CT16" s="2004"/>
      <c r="CU16" s="2004"/>
      <c r="CV16" s="2004"/>
      <c r="CW16" s="2004"/>
      <c r="CX16" s="2004"/>
      <c r="CY16" s="2004" t="str">
        <f>'SUB LIST'!A197</f>
        <v>PR14YKYWSWW_SA4</v>
      </c>
      <c r="CZ16" s="2004" t="str">
        <f>'SUB LIST'!P197</f>
        <v>00</v>
      </c>
      <c r="DA16" s="2004" t="str">
        <f>'SUB LIST'!Q197</f>
        <v>SA4: Sewer network stability and reliability factor</v>
      </c>
      <c r="DB16" s="2004" t="str">
        <f>'SUB LIST'!T197</f>
        <v>category</v>
      </c>
      <c r="DC16" s="2004" t="str">
        <f>'SUB LIST'!U197</f>
        <v>na</v>
      </c>
      <c r="DD16" s="2004" t="str">
        <f>'SUB LIST'!AY197</f>
        <v>Stable</v>
      </c>
    </row>
    <row r="17" spans="7:108">
      <c r="G17" s="2004" t="str">
        <f>'SUB LIST'!A17</f>
        <v>PR14ANHWSWW_S-F2</v>
      </c>
      <c r="H17" s="2004" t="str">
        <f>'SUB LIST'!P17</f>
        <v>00</v>
      </c>
      <c r="I17" s="2004" t="str">
        <f>'SUB LIST'!Q17</f>
        <v>S-F2: Sewerage non-infrastructure</v>
      </c>
      <c r="J17" s="2004" t="str">
        <f>'SUB LIST'!T17</f>
        <v>category</v>
      </c>
      <c r="K17" s="2004" t="str">
        <f>'SUB LIST'!U17</f>
        <v>na</v>
      </c>
      <c r="L17" s="2004" t="str">
        <f>'SUB LIST'!AY17</f>
        <v>Green</v>
      </c>
      <c r="M17" s="2004"/>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2004"/>
      <c r="AS17" s="2004"/>
      <c r="AT17" s="2004"/>
      <c r="AU17" s="2004"/>
      <c r="AV17" s="2004"/>
      <c r="AW17" s="2004"/>
      <c r="AX17" s="2004"/>
      <c r="AY17" s="2004"/>
      <c r="AZ17" s="2004"/>
      <c r="BA17" s="2004"/>
      <c r="BB17" s="2004"/>
      <c r="BC17" s="2004"/>
      <c r="BD17" s="2004"/>
      <c r="BE17" s="2004"/>
      <c r="BF17" s="2004"/>
      <c r="BG17" s="2004"/>
      <c r="BH17" s="2004"/>
      <c r="BI17" s="2004"/>
      <c r="BJ17" s="2004"/>
      <c r="BK17" s="2004"/>
      <c r="BL17" s="2004"/>
      <c r="BM17" s="2004"/>
      <c r="BN17" s="2004"/>
      <c r="BO17" s="2004"/>
      <c r="BP17" s="2004"/>
      <c r="BQ17" s="2004"/>
      <c r="BR17" s="2004"/>
      <c r="BS17" s="2004"/>
      <c r="BT17" s="2004"/>
      <c r="BU17" s="2004" t="str">
        <f>'SUB LIST'!A88</f>
        <v>PR14SWTWSWW_S-A4</v>
      </c>
      <c r="BV17" s="2004" t="str">
        <f>'SUB LIST'!P88</f>
        <v>01</v>
      </c>
      <c r="BW17" s="2004" t="str">
        <f>'SUB LIST'!Q88</f>
        <v>Sewer collapses</v>
      </c>
      <c r="BX17" s="2004" t="str">
        <f>'SUB LIST'!T88</f>
        <v>nr</v>
      </c>
      <c r="BY17" s="2004" t="str">
        <f>'SUB LIST'!U88</f>
        <v>0</v>
      </c>
      <c r="BZ17" s="2004">
        <f>'SUB LIST'!AY88</f>
        <v>170</v>
      </c>
      <c r="CA17" s="2004" t="str">
        <f>'SUB LIST'!A112</f>
        <v>PR14TMSWSW_WB2</v>
      </c>
      <c r="CB17" s="2004" t="str">
        <f>'SUB LIST'!P112</f>
        <v>07</v>
      </c>
      <c r="CC17" s="2004" t="str">
        <f>'SUB LIST'!Q112</f>
        <v>Water quality complaints for hardness (nr per 1,000 population)</v>
      </c>
      <c r="CD17" s="2004" t="str">
        <f>'SUB LIST'!T112</f>
        <v>nr</v>
      </c>
      <c r="CE17" s="2004">
        <f>'SUB LIST'!U112</f>
        <v>3</v>
      </c>
      <c r="CF17" s="2004">
        <f>'SUB LIST'!AY112</f>
        <v>6.0000000000000001E-3</v>
      </c>
      <c r="CG17" s="2004" t="str">
        <f>'SUB LIST'!A136</f>
        <v>PR14UUWSWW_S-A1</v>
      </c>
      <c r="CH17" s="2004" t="str">
        <f>'SUB LIST'!P136</f>
        <v>02</v>
      </c>
      <c r="CI17" s="2004" t="str">
        <f>'SUB LIST'!Q136</f>
        <v>Collapses</v>
      </c>
      <c r="CJ17" s="2004" t="str">
        <f>'SUB LIST'!T136</f>
        <v>nr</v>
      </c>
      <c r="CK17" s="2004" t="str">
        <f>'SUB LIST'!U136</f>
        <v>0</v>
      </c>
      <c r="CL17" s="2004">
        <f>'SUB LIST'!AY136</f>
        <v>316</v>
      </c>
      <c r="CM17" s="2004" t="str">
        <f>'SUB LIST'!A176</f>
        <v>PR14WSHWSWW_F1</v>
      </c>
      <c r="CN17" s="2004" t="str">
        <f>'SUB LIST'!P176</f>
        <v>02</v>
      </c>
      <c r="CO17" s="2004" t="str">
        <f>'SUB LIST'!Q176</f>
        <v>Pollution incidents category 1, 2 &amp; 3 (CSO+RM+FS) (nr)</v>
      </c>
      <c r="CP17" s="2004" t="str">
        <f>'SUB LIST'!T176</f>
        <v>nr</v>
      </c>
      <c r="CQ17" s="2004" t="str">
        <f>'SUB LIST'!U176</f>
        <v>0</v>
      </c>
      <c r="CR17" s="2004">
        <f>'SUB LIST'!AY176</f>
        <v>73</v>
      </c>
      <c r="CS17" s="2004"/>
      <c r="CT17" s="2004"/>
      <c r="CU17" s="2004"/>
      <c r="CV17" s="2004"/>
      <c r="CW17" s="2004"/>
      <c r="CX17" s="2004"/>
      <c r="CY17" s="2004" t="str">
        <f>'SUB LIST'!A198</f>
        <v>PR14YKYWSWW_SA4</v>
      </c>
      <c r="CZ17" s="2004" t="str">
        <f>'SUB LIST'!P198</f>
        <v>01</v>
      </c>
      <c r="DA17" s="2004" t="str">
        <f>'SUB LIST'!Q198</f>
        <v>Sewer collapses</v>
      </c>
      <c r="DB17" s="2004" t="str">
        <f>'SUB LIST'!T198</f>
        <v>nr</v>
      </c>
      <c r="DC17" s="2004" t="str">
        <f>'SUB LIST'!U198</f>
        <v>0</v>
      </c>
      <c r="DD17" s="2004">
        <f>'SUB LIST'!AY198</f>
        <v>255</v>
      </c>
    </row>
    <row r="18" spans="7:108">
      <c r="G18" s="2004" t="str">
        <f>'SUB LIST'!A18</f>
        <v>PR14ANHWSWW_S-F2</v>
      </c>
      <c r="H18" s="2004" t="str">
        <f>'SUB LIST'!P18</f>
        <v>01</v>
      </c>
      <c r="I18" s="2004" t="str">
        <f>'SUB LIST'!Q18</f>
        <v>Population equivalent (PE) WwTW in breach of consent</v>
      </c>
      <c r="J18" s="2004" t="str">
        <f>'SUB LIST'!T18</f>
        <v>%</v>
      </c>
      <c r="K18" s="2004">
        <f>'SUB LIST'!U18</f>
        <v>2</v>
      </c>
      <c r="L18" s="2004">
        <f>'SUB LIST'!AY18</f>
        <v>5</v>
      </c>
      <c r="M18" s="2004"/>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c r="AL18" s="2004"/>
      <c r="AM18" s="2004"/>
      <c r="AN18" s="2004"/>
      <c r="AO18" s="2004"/>
      <c r="AP18" s="2004"/>
      <c r="AQ18" s="2004"/>
      <c r="AR18" s="2004"/>
      <c r="AS18" s="2004"/>
      <c r="AT18" s="2004"/>
      <c r="AU18" s="2004"/>
      <c r="AV18" s="2004"/>
      <c r="AW18" s="2004"/>
      <c r="AX18" s="2004"/>
      <c r="AY18" s="2004"/>
      <c r="AZ18" s="2004"/>
      <c r="BA18" s="2004"/>
      <c r="BB18" s="2004"/>
      <c r="BC18" s="2004"/>
      <c r="BD18" s="2004"/>
      <c r="BE18" s="2004"/>
      <c r="BF18" s="2004"/>
      <c r="BG18" s="2004"/>
      <c r="BH18" s="2004"/>
      <c r="BI18" s="2004"/>
      <c r="BJ18" s="2004"/>
      <c r="BK18" s="2004"/>
      <c r="BL18" s="2004"/>
      <c r="BM18" s="2004"/>
      <c r="BN18" s="2004"/>
      <c r="BO18" s="2004"/>
      <c r="BP18" s="2004"/>
      <c r="BQ18" s="2004"/>
      <c r="BR18" s="2004"/>
      <c r="BS18" s="2004"/>
      <c r="BT18" s="2004"/>
      <c r="BU18" s="2004" t="str">
        <f>'SUB LIST'!A89</f>
        <v>PR14SWTWSWW_S-A4</v>
      </c>
      <c r="BV18" s="2004" t="str">
        <f>'SUB LIST'!P89</f>
        <v>02</v>
      </c>
      <c r="BW18" s="2004" t="str">
        <f>'SUB LIST'!Q89</f>
        <v>Pollution incidents (CSO + RM + FS)</v>
      </c>
      <c r="BX18" s="2004" t="str">
        <f>'SUB LIST'!T89</f>
        <v>nr</v>
      </c>
      <c r="BY18" s="2004" t="str">
        <f>'SUB LIST'!U89</f>
        <v>0</v>
      </c>
      <c r="BZ18" s="2004">
        <f>'SUB LIST'!AY89</f>
        <v>107</v>
      </c>
      <c r="CA18" s="2004" t="str">
        <f>'SUB LIST'!A113</f>
        <v>PR14TMSWSWW_SB1</v>
      </c>
      <c r="CB18" s="2004" t="str">
        <f>'SUB LIST'!P113</f>
        <v>00</v>
      </c>
      <c r="CC18" s="2004" t="str">
        <f>'SUB LIST'!Q113</f>
        <v>SB1: Asset health wastewater non-infrastructure</v>
      </c>
      <c r="CD18" s="2004" t="str">
        <f>'SUB LIST'!T113</f>
        <v>category</v>
      </c>
      <c r="CE18" s="2004" t="str">
        <f>'SUB LIST'!U113</f>
        <v>na</v>
      </c>
      <c r="CF18" s="2004" t="str">
        <f>'SUB LIST'!AY113</f>
        <v>Stable</v>
      </c>
      <c r="CG18" s="2004" t="str">
        <f>'SUB LIST'!A137</f>
        <v>PR14UUWSWW_S-A1</v>
      </c>
      <c r="CH18" s="2004" t="str">
        <f>'SUB LIST'!P137</f>
        <v>03</v>
      </c>
      <c r="CI18" s="2004" t="str">
        <f>'SUB LIST'!Q137</f>
        <v>Pollution incidents</v>
      </c>
      <c r="CJ18" s="2004" t="str">
        <f>'SUB LIST'!T137</f>
        <v>nr</v>
      </c>
      <c r="CK18" s="2004" t="str">
        <f>'SUB LIST'!U137</f>
        <v>0</v>
      </c>
      <c r="CL18" s="2004">
        <f>'SUB LIST'!AY137</f>
        <v>2</v>
      </c>
      <c r="CM18" s="2004" t="str">
        <f>'SUB LIST'!A177</f>
        <v>PR14WSHWSWW_F1</v>
      </c>
      <c r="CN18" s="2004" t="str">
        <f>'SUB LIST'!P177</f>
        <v>03</v>
      </c>
      <c r="CO18" s="2004" t="str">
        <f>'SUB LIST'!Q177</f>
        <v>Properties flooded due to other causes (nr)</v>
      </c>
      <c r="CP18" s="2004" t="str">
        <f>'SUB LIST'!T177</f>
        <v>nr</v>
      </c>
      <c r="CQ18" s="2004" t="str">
        <f>'SUB LIST'!U177</f>
        <v>0</v>
      </c>
      <c r="CR18" s="2004">
        <f>'SUB LIST'!AY177</f>
        <v>212</v>
      </c>
      <c r="CS18" s="2004"/>
      <c r="CT18" s="2004"/>
      <c r="CU18" s="2004"/>
      <c r="CV18" s="2004"/>
      <c r="CW18" s="2004"/>
      <c r="CX18" s="2004"/>
      <c r="CY18" s="2004" t="str">
        <f>'SUB LIST'!A199</f>
        <v>PR14YKYWSWW_SA4</v>
      </c>
      <c r="CZ18" s="2004" t="str">
        <f>'SUB LIST'!P199</f>
        <v>02</v>
      </c>
      <c r="DA18" s="2004" t="str">
        <f>'SUB LIST'!Q199</f>
        <v>Pollution incidents (CSO, RM, FS and SPS)</v>
      </c>
      <c r="DB18" s="2004" t="str">
        <f>'SUB LIST'!T199</f>
        <v>nr</v>
      </c>
      <c r="DC18" s="2004" t="str">
        <f>'SUB LIST'!U199</f>
        <v>0</v>
      </c>
      <c r="DD18" s="2004">
        <f>'SUB LIST'!AY199</f>
        <v>172</v>
      </c>
    </row>
    <row r="19" spans="7:108">
      <c r="G19" s="2004" t="str">
        <f>'SUB LIST'!A19</f>
        <v>PR14ANHWSWW_S-F2</v>
      </c>
      <c r="H19" s="2004" t="str">
        <f>'SUB LIST'!P19</f>
        <v>02</v>
      </c>
      <c r="I19" s="2004" t="str">
        <f>'SUB LIST'!Q19</f>
        <v>WwTW failing numeric consent</v>
      </c>
      <c r="J19" s="2004">
        <f>'SUB LIST'!T19</f>
        <v>0</v>
      </c>
      <c r="K19" s="2004">
        <f>'SUB LIST'!U19</f>
        <v>2</v>
      </c>
      <c r="L19" s="2004">
        <f>'SUB LIST'!AY19</f>
        <v>1.3</v>
      </c>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c r="AH19" s="2004"/>
      <c r="AI19" s="2004"/>
      <c r="AJ19" s="2004"/>
      <c r="AK19" s="2004"/>
      <c r="AL19" s="2004"/>
      <c r="AM19" s="2004"/>
      <c r="AN19" s="2004"/>
      <c r="AO19" s="2004"/>
      <c r="AP19" s="2004"/>
      <c r="AQ19" s="2004"/>
      <c r="AR19" s="2004"/>
      <c r="AS19" s="2004"/>
      <c r="AT19" s="2004"/>
      <c r="AU19" s="2004"/>
      <c r="AV19" s="2004"/>
      <c r="AW19" s="2004"/>
      <c r="AX19" s="2004"/>
      <c r="AY19" s="2004"/>
      <c r="AZ19" s="2004"/>
      <c r="BA19" s="2004"/>
      <c r="BB19" s="2004"/>
      <c r="BC19" s="2004"/>
      <c r="BD19" s="2004"/>
      <c r="BE19" s="2004"/>
      <c r="BF19" s="2004"/>
      <c r="BG19" s="2004"/>
      <c r="BH19" s="2004"/>
      <c r="BI19" s="2004"/>
      <c r="BJ19" s="2004"/>
      <c r="BK19" s="2004"/>
      <c r="BL19" s="2004"/>
      <c r="BM19" s="2004"/>
      <c r="BN19" s="2004"/>
      <c r="BO19" s="2004"/>
      <c r="BP19" s="2004"/>
      <c r="BQ19" s="2004"/>
      <c r="BR19" s="2004"/>
      <c r="BS19" s="2004"/>
      <c r="BT19" s="2004"/>
      <c r="BU19" s="2004" t="str">
        <f>'SUB LIST'!A90</f>
        <v>PR14SWTWSWW_S-A4</v>
      </c>
      <c r="BV19" s="2004" t="str">
        <f>'SUB LIST'!P90</f>
        <v>03</v>
      </c>
      <c r="BW19" s="2004" t="str">
        <f>'SUB LIST'!Q90</f>
        <v>Properties flooded due to other causes</v>
      </c>
      <c r="BX19" s="2004" t="str">
        <f>'SUB LIST'!T90</f>
        <v>nr</v>
      </c>
      <c r="BY19" s="2004" t="str">
        <f>'SUB LIST'!U90</f>
        <v>0</v>
      </c>
      <c r="BZ19" s="2004">
        <f>'SUB LIST'!AY90</f>
        <v>55</v>
      </c>
      <c r="CA19" s="2004" t="str">
        <f>'SUB LIST'!A114</f>
        <v>PR14TMSWSWW_SB1</v>
      </c>
      <c r="CB19" s="2004" t="str">
        <f>'SUB LIST'!P114</f>
        <v>01</v>
      </c>
      <c r="CC19" s="2004" t="str">
        <f>'SUB LIST'!Q114</f>
        <v>Unconsented pollution incidents (cat 1, 2 and 3) STWs, storm tanks, pumping stations and other</v>
      </c>
      <c r="CD19" s="2004" t="str">
        <f>'SUB LIST'!T114</f>
        <v>nr</v>
      </c>
      <c r="CE19" s="2004" t="str">
        <f>'SUB LIST'!U114</f>
        <v>0</v>
      </c>
      <c r="CF19" s="2004">
        <f>'SUB LIST'!AY114</f>
        <v>45</v>
      </c>
      <c r="CG19" s="2004" t="str">
        <f>'SUB LIST'!A138</f>
        <v>PR14UUWSWW_S-A1</v>
      </c>
      <c r="CH19" s="2004" t="str">
        <f>'SUB LIST'!P138</f>
        <v>04</v>
      </c>
      <c r="CI19" s="2004" t="str">
        <f>'SUB LIST'!Q138</f>
        <v>Properties flooded internally</v>
      </c>
      <c r="CJ19" s="2004" t="str">
        <f>'SUB LIST'!T138</f>
        <v>nr</v>
      </c>
      <c r="CK19" s="2004" t="str">
        <f>'SUB LIST'!U138</f>
        <v>0</v>
      </c>
      <c r="CL19" s="2004">
        <f>'SUB LIST'!AY138</f>
        <v>308</v>
      </c>
      <c r="CM19" s="2004" t="str">
        <f>'SUB LIST'!A178</f>
        <v>PR14WSHWSWW_F1</v>
      </c>
      <c r="CN19" s="2004" t="str">
        <f>'SUB LIST'!P178</f>
        <v>04</v>
      </c>
      <c r="CO19" s="2004" t="str">
        <f>'SUB LIST'!Q178</f>
        <v>Properties flooded due to overloaded sewers excluding severe weather (nr)</v>
      </c>
      <c r="CP19" s="2004" t="str">
        <f>'SUB LIST'!T178</f>
        <v>nr</v>
      </c>
      <c r="CQ19" s="2004" t="str">
        <f>'SUB LIST'!U178</f>
        <v>0</v>
      </c>
      <c r="CR19" s="2004">
        <f>'SUB LIST'!AY178</f>
        <v>9</v>
      </c>
      <c r="CS19" s="2004"/>
      <c r="CT19" s="2004"/>
      <c r="CU19" s="2004"/>
      <c r="CV19" s="2004"/>
      <c r="CW19" s="2004"/>
      <c r="CX19" s="2004"/>
      <c r="CY19" s="2004" t="str">
        <f>'SUB LIST'!A200</f>
        <v>PR14YKYWSWW_SA4</v>
      </c>
      <c r="CZ19" s="2004" t="str">
        <f>'SUB LIST'!P200</f>
        <v>03</v>
      </c>
      <c r="DA19" s="2004" t="str">
        <f>'SUB LIST'!Q200</f>
        <v>Properties flooded due to other causes</v>
      </c>
      <c r="DB19" s="2004" t="str">
        <f>'SUB LIST'!T200</f>
        <v>nr</v>
      </c>
      <c r="DC19" s="2004" t="str">
        <f>'SUB LIST'!U200</f>
        <v>0</v>
      </c>
      <c r="DD19" s="2004">
        <f>'SUB LIST'!AY200</f>
        <v>393</v>
      </c>
    </row>
    <row r="20" spans="7:108">
      <c r="G20" s="2004"/>
      <c r="H20" s="2004"/>
      <c r="I20" s="2004"/>
      <c r="J20" s="2004"/>
      <c r="K20" s="2004"/>
      <c r="L20" s="2004"/>
      <c r="M20" s="2004"/>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c r="AL20" s="2004"/>
      <c r="AM20" s="2004"/>
      <c r="AN20" s="2004"/>
      <c r="AO20" s="2004"/>
      <c r="AP20" s="2004"/>
      <c r="AQ20" s="2004"/>
      <c r="AR20" s="2004"/>
      <c r="AS20" s="2004"/>
      <c r="AT20" s="2004"/>
      <c r="AU20" s="2004"/>
      <c r="AV20" s="2004"/>
      <c r="AW20" s="2004"/>
      <c r="AX20" s="2004"/>
      <c r="AY20" s="2004"/>
      <c r="AZ20" s="2004"/>
      <c r="BA20" s="2004"/>
      <c r="BB20" s="2004"/>
      <c r="BC20" s="2004"/>
      <c r="BD20" s="2004"/>
      <c r="BE20" s="2004"/>
      <c r="BF20" s="2004"/>
      <c r="BG20" s="2004"/>
      <c r="BH20" s="2004"/>
      <c r="BI20" s="2004"/>
      <c r="BJ20" s="2004"/>
      <c r="BK20" s="2004"/>
      <c r="BL20" s="2004"/>
      <c r="BM20" s="2004"/>
      <c r="BN20" s="2004"/>
      <c r="BO20" s="2004"/>
      <c r="BP20" s="2004"/>
      <c r="BQ20" s="2004"/>
      <c r="BR20" s="2004"/>
      <c r="BS20" s="2004"/>
      <c r="BT20" s="2004"/>
      <c r="BU20" s="2004" t="str">
        <f>'SUB LIST'!A91</f>
        <v>PR14SWTWSWW_S-A4</v>
      </c>
      <c r="BV20" s="2004" t="str">
        <f>'SUB LIST'!P91</f>
        <v>04</v>
      </c>
      <c r="BW20" s="2004" t="str">
        <f>'SUB LIST'!Q91</f>
        <v>Properties flooded due to overloaded sewers excluding severe weather</v>
      </c>
      <c r="BX20" s="2004" t="str">
        <f>'SUB LIST'!T91</f>
        <v>nr</v>
      </c>
      <c r="BY20" s="2004" t="str">
        <f>'SUB LIST'!U91</f>
        <v>0</v>
      </c>
      <c r="BZ20" s="2004">
        <f>'SUB LIST'!AY91</f>
        <v>1</v>
      </c>
      <c r="CA20" s="2004" t="str">
        <f>'SUB LIST'!A115</f>
        <v>PR14TMSWSWW_SB1</v>
      </c>
      <c r="CB20" s="2004" t="str">
        <f>'SUB LIST'!P115</f>
        <v>02</v>
      </c>
      <c r="CC20" s="2004" t="str">
        <f>'SUB LIST'!Q115</f>
        <v>Sewage treatment works discharges failing numeric consents %</v>
      </c>
      <c r="CD20" s="2004" t="str">
        <f>'SUB LIST'!T115</f>
        <v>%</v>
      </c>
      <c r="CE20" s="2004">
        <f>'SUB LIST'!U115</f>
        <v>2</v>
      </c>
      <c r="CF20" s="2004">
        <f>'SUB LIST'!AY115</f>
        <v>1.1499999999999999</v>
      </c>
      <c r="CG20" s="2004" t="str">
        <f>'SUB LIST'!A139</f>
        <v>PR14UUWSWW_S-A1</v>
      </c>
      <c r="CH20" s="2004" t="str">
        <f>'SUB LIST'!P139</f>
        <v>05</v>
      </c>
      <c r="CI20" s="2004" t="str">
        <f>'SUB LIST'!Q139</f>
        <v>Areas flooded externally</v>
      </c>
      <c r="CJ20" s="2004" t="str">
        <f>'SUB LIST'!T139</f>
        <v>nr</v>
      </c>
      <c r="CK20" s="2004" t="str">
        <f>'SUB LIST'!U139</f>
        <v>0</v>
      </c>
      <c r="CL20" s="2004">
        <f>'SUB LIST'!AY139</f>
        <v>3945</v>
      </c>
      <c r="CM20" s="2004" t="str">
        <f>'SUB LIST'!A179</f>
        <v>PR14WSHWSWW_F1</v>
      </c>
      <c r="CN20" s="2004" t="str">
        <f>'SUB LIST'!P179</f>
        <v>05</v>
      </c>
      <c r="CO20" s="2004" t="str">
        <f>'SUB LIST'!Q179</f>
        <v>Sewer blockages (nr)</v>
      </c>
      <c r="CP20" s="2004" t="str">
        <f>'SUB LIST'!T179</f>
        <v>nr</v>
      </c>
      <c r="CQ20" s="2004" t="str">
        <f>'SUB LIST'!U179</f>
        <v>0</v>
      </c>
      <c r="CR20" s="2004">
        <f>'SUB LIST'!AY179</f>
        <v>21979</v>
      </c>
      <c r="CS20" s="2004"/>
      <c r="CT20" s="2004"/>
      <c r="CU20" s="2004"/>
      <c r="CV20" s="2004"/>
      <c r="CW20" s="2004"/>
      <c r="CX20" s="2004"/>
      <c r="CY20" s="2004" t="str">
        <f>'SUB LIST'!A201</f>
        <v>PR14YKYWSWW_SA4</v>
      </c>
      <c r="CZ20" s="2004" t="str">
        <f>'SUB LIST'!P201</f>
        <v>04</v>
      </c>
      <c r="DA20" s="2004" t="str">
        <f>'SUB LIST'!Q201</f>
        <v>Properties flooded due to overloaded sewers, excluding severe weather</v>
      </c>
      <c r="DB20" s="2004" t="str">
        <f>'SUB LIST'!T201</f>
        <v>nr</v>
      </c>
      <c r="DC20" s="2004" t="str">
        <f>'SUB LIST'!U201</f>
        <v>0</v>
      </c>
      <c r="DD20" s="2004">
        <f>'SUB LIST'!AY201</f>
        <v>8</v>
      </c>
    </row>
    <row r="21" spans="7:108">
      <c r="G21" s="2004"/>
      <c r="H21" s="2004"/>
      <c r="I21" s="2004"/>
      <c r="J21" s="2004"/>
      <c r="K21" s="2004"/>
      <c r="L21" s="2004"/>
      <c r="M21" s="2004"/>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c r="AL21" s="2004"/>
      <c r="AM21" s="2004"/>
      <c r="AN21" s="2004"/>
      <c r="AO21" s="2004"/>
      <c r="AP21" s="2004"/>
      <c r="AQ21" s="2004"/>
      <c r="AR21" s="2004"/>
      <c r="AS21" s="2004"/>
      <c r="AT21" s="2004"/>
      <c r="AU21" s="2004"/>
      <c r="AV21" s="2004"/>
      <c r="AW21" s="2004"/>
      <c r="AX21" s="2004"/>
      <c r="AY21" s="2004"/>
      <c r="AZ21" s="2004"/>
      <c r="BA21" s="2004"/>
      <c r="BB21" s="2004"/>
      <c r="BC21" s="2004"/>
      <c r="BD21" s="2004"/>
      <c r="BE21" s="2004"/>
      <c r="BF21" s="2004"/>
      <c r="BG21" s="2004"/>
      <c r="BH21" s="2004"/>
      <c r="BI21" s="2004"/>
      <c r="BJ21" s="2004"/>
      <c r="BK21" s="2004"/>
      <c r="BL21" s="2004"/>
      <c r="BM21" s="2004"/>
      <c r="BN21" s="2004"/>
      <c r="BO21" s="2004"/>
      <c r="BP21" s="2004"/>
      <c r="BQ21" s="2004"/>
      <c r="BR21" s="2004"/>
      <c r="BS21" s="2004"/>
      <c r="BT21" s="2004"/>
      <c r="BU21" s="2004" t="str">
        <f>'SUB LIST'!A92</f>
        <v>PR14SWTWSWW_S-A4</v>
      </c>
      <c r="BV21" s="2004" t="str">
        <f>'SUB LIST'!P92</f>
        <v>05</v>
      </c>
      <c r="BW21" s="2004" t="str">
        <f>'SUB LIST'!Q92</f>
        <v>Sewer blockages</v>
      </c>
      <c r="BX21" s="2004" t="str">
        <f>'SUB LIST'!T92</f>
        <v>nr</v>
      </c>
      <c r="BY21" s="2004" t="str">
        <f>'SUB LIST'!U92</f>
        <v>0</v>
      </c>
      <c r="BZ21" s="2004">
        <f>'SUB LIST'!AY92</f>
        <v>3136</v>
      </c>
      <c r="CA21" s="2004" t="str">
        <f>'SUB LIST'!A116</f>
        <v>PR14TMSWSWW_SB1</v>
      </c>
      <c r="CB21" s="2004" t="str">
        <f>'SUB LIST'!P116</f>
        <v>03</v>
      </c>
      <c r="CC21" s="2004" t="str">
        <f>'SUB LIST'!Q116</f>
        <v>Total population equivalent served by sewage treatment works failing look-up table consents</v>
      </c>
      <c r="CD21" s="2004" t="str">
        <f>'SUB LIST'!T116</f>
        <v>%</v>
      </c>
      <c r="CE21" s="2004">
        <f>'SUB LIST'!U116</f>
        <v>2</v>
      </c>
      <c r="CF21" s="2004">
        <f>'SUB LIST'!AY116</f>
        <v>1E-4</v>
      </c>
      <c r="CG21" s="2004" t="str">
        <f>'SUB LIST'!A140</f>
        <v>PR14UUWSWW_S-A2</v>
      </c>
      <c r="CH21" s="2004" t="str">
        <f>'SUB LIST'!P140</f>
        <v>00</v>
      </c>
      <c r="CI21" s="2004" t="str">
        <f>'SUB LIST'!Q140</f>
        <v>S-A2: Wastewater network performance index</v>
      </c>
      <c r="CJ21" s="2004" t="str">
        <f>'SUB LIST'!T140</f>
        <v>score</v>
      </c>
      <c r="CK21" s="2004">
        <f>'SUB LIST'!U140</f>
        <v>2</v>
      </c>
      <c r="CL21" s="2004">
        <f>'SUB LIST'!AY140</f>
        <v>90.75</v>
      </c>
      <c r="CM21" s="2004" t="str">
        <f>'SUB LIST'!A180</f>
        <v>PR14WSHWSWW_F1</v>
      </c>
      <c r="CN21" s="2004" t="str">
        <f>'SUB LIST'!P180</f>
        <v>06</v>
      </c>
      <c r="CO21" s="2004" t="str">
        <f>'SUB LIST'!Q180</f>
        <v>Equipment failures (nr)</v>
      </c>
      <c r="CP21" s="2004" t="str">
        <f>'SUB LIST'!T180</f>
        <v>nr</v>
      </c>
      <c r="CQ21" s="2004" t="str">
        <f>'SUB LIST'!U180</f>
        <v>0</v>
      </c>
      <c r="CR21" s="2004">
        <f>'SUB LIST'!AY180</f>
        <v>54</v>
      </c>
      <c r="CS21" s="2004"/>
      <c r="CT21" s="2004"/>
      <c r="CU21" s="2004"/>
      <c r="CV21" s="2004"/>
      <c r="CW21" s="2004"/>
      <c r="CX21" s="2004"/>
      <c r="CY21" s="2004" t="str">
        <f>'SUB LIST'!A202</f>
        <v>PR14YKYWSWW_SA4</v>
      </c>
      <c r="CZ21" s="2004" t="str">
        <f>'SUB LIST'!P202</f>
        <v>05</v>
      </c>
      <c r="DA21" s="2004" t="str">
        <f>'SUB LIST'!Q202</f>
        <v>Sewer blockages</v>
      </c>
      <c r="DB21" s="2004" t="str">
        <f>'SUB LIST'!T202</f>
        <v>nr</v>
      </c>
      <c r="DC21" s="2004" t="str">
        <f>'SUB LIST'!U202</f>
        <v>0</v>
      </c>
      <c r="DD21" s="2004">
        <f>'SUB LIST'!AY202</f>
        <v>16860</v>
      </c>
    </row>
    <row r="22" spans="7:108">
      <c r="G22" s="2004"/>
      <c r="H22" s="2004"/>
      <c r="I22" s="2004"/>
      <c r="J22" s="2004"/>
      <c r="K22" s="2004"/>
      <c r="L22" s="2004"/>
      <c r="M22" s="2004"/>
      <c r="N22" s="2004"/>
      <c r="O22" s="2004"/>
      <c r="P22" s="2004"/>
      <c r="Q22" s="2004"/>
      <c r="R22" s="2004"/>
      <c r="S22" s="2004"/>
      <c r="T22" s="2004"/>
      <c r="U22" s="2004"/>
      <c r="V22" s="2004"/>
      <c r="W22" s="2004"/>
      <c r="X22" s="2004"/>
      <c r="Y22" s="2004"/>
      <c r="Z22" s="2004"/>
      <c r="AA22" s="2004"/>
      <c r="AB22" s="2004"/>
      <c r="AC22" s="2004"/>
      <c r="AD22" s="2004"/>
      <c r="AE22" s="2004"/>
      <c r="AF22" s="2004"/>
      <c r="AG22" s="2004"/>
      <c r="AH22" s="2004"/>
      <c r="AI22" s="2004"/>
      <c r="AJ22" s="2004"/>
      <c r="AK22" s="2004"/>
      <c r="AL22" s="2004"/>
      <c r="AM22" s="2004"/>
      <c r="AN22" s="2004"/>
      <c r="AO22" s="2004"/>
      <c r="AP22" s="2004"/>
      <c r="AQ22" s="2004"/>
      <c r="AR22" s="2004"/>
      <c r="AS22" s="2004"/>
      <c r="AT22" s="2004"/>
      <c r="AU22" s="2004"/>
      <c r="AV22" s="2004"/>
      <c r="AW22" s="2004"/>
      <c r="AX22" s="2004"/>
      <c r="AY22" s="2004"/>
      <c r="AZ22" s="2004"/>
      <c r="BA22" s="2004"/>
      <c r="BB22" s="2004"/>
      <c r="BC22" s="2004"/>
      <c r="BD22" s="2004"/>
      <c r="BE22" s="2004"/>
      <c r="BF22" s="2004"/>
      <c r="BG22" s="2004"/>
      <c r="BH22" s="2004"/>
      <c r="BI22" s="2004"/>
      <c r="BJ22" s="2004"/>
      <c r="BK22" s="2004"/>
      <c r="BL22" s="2004"/>
      <c r="BM22" s="2004"/>
      <c r="BN22" s="2004"/>
      <c r="BO22" s="2004"/>
      <c r="BP22" s="2004"/>
      <c r="BQ22" s="2004"/>
      <c r="BR22" s="2004"/>
      <c r="BS22" s="2004"/>
      <c r="BT22" s="2004"/>
      <c r="BU22" s="2004" t="str">
        <f>'SUB LIST'!A93</f>
        <v>PR14SWTWSWW_S-A4</v>
      </c>
      <c r="BV22" s="2004" t="str">
        <f>'SUB LIST'!P93</f>
        <v>06</v>
      </c>
      <c r="BW22" s="2004" t="str">
        <f>'SUB LIST'!Q93</f>
        <v>Equipment failures</v>
      </c>
      <c r="BX22" s="2004" t="str">
        <f>'SUB LIST'!T93</f>
        <v>nr</v>
      </c>
      <c r="BY22" s="2004" t="str">
        <f>'SUB LIST'!U93</f>
        <v>0</v>
      </c>
      <c r="BZ22" s="2004">
        <f>'SUB LIST'!AY93</f>
        <v>126</v>
      </c>
      <c r="CA22" s="2004" t="str">
        <f>'SUB LIST'!A117</f>
        <v>PR14TMSWSWW_SB2</v>
      </c>
      <c r="CB22" s="2004" t="str">
        <f>'SUB LIST'!P117</f>
        <v>00</v>
      </c>
      <c r="CC22" s="2004" t="str">
        <f>'SUB LIST'!Q117</f>
        <v>SB2: Asset health wastewater infrastructure</v>
      </c>
      <c r="CD22" s="2004" t="str">
        <f>'SUB LIST'!T117</f>
        <v>category</v>
      </c>
      <c r="CE22" s="2004" t="str">
        <f>'SUB LIST'!U117</f>
        <v>na</v>
      </c>
      <c r="CF22" s="2004" t="str">
        <f>'SUB LIST'!AY117</f>
        <v>Stable</v>
      </c>
      <c r="CG22" s="2004" t="str">
        <f>'SUB LIST'!A141</f>
        <v>PR14UUWSWW_S-A2</v>
      </c>
      <c r="CH22" s="2004" t="str">
        <f>'SUB LIST'!P141</f>
        <v>01</v>
      </c>
      <c r="CI22" s="2004" t="str">
        <f>'SUB LIST'!Q141</f>
        <v>Blockages</v>
      </c>
      <c r="CJ22" s="2004" t="str">
        <f>'SUB LIST'!T141</f>
        <v>nr</v>
      </c>
      <c r="CK22" s="2004" t="str">
        <f>'SUB LIST'!U141</f>
        <v>0</v>
      </c>
      <c r="CL22" s="2004">
        <f>'SUB LIST'!AY141</f>
        <v>7276</v>
      </c>
      <c r="CM22" s="2004" t="str">
        <f>'SUB LIST'!A181</f>
        <v>PR14WSHWSWW_F1</v>
      </c>
      <c r="CN22" s="2004" t="str">
        <f>'SUB LIST'!P181</f>
        <v>07</v>
      </c>
      <c r="CO22" s="2004" t="str">
        <f>'SUB LIST'!Q181</f>
        <v>Sewage Treatment Works (STW) % non-compliance</v>
      </c>
      <c r="CP22" s="2004" t="str">
        <f>'SUB LIST'!T181</f>
        <v>%</v>
      </c>
      <c r="CQ22" s="2004">
        <f>'SUB LIST'!U181</f>
        <v>2</v>
      </c>
      <c r="CR22" s="2004">
        <f>'SUB LIST'!AY181</f>
        <v>0.36</v>
      </c>
      <c r="CS22" s="2004"/>
      <c r="CT22" s="2004"/>
      <c r="CU22" s="2004"/>
      <c r="CV22" s="2004"/>
      <c r="CW22" s="2004"/>
      <c r="CX22" s="2004"/>
      <c r="CY22" s="2004" t="str">
        <f>'SUB LIST'!A203</f>
        <v>PR14YKYWSWW_SA4</v>
      </c>
      <c r="CZ22" s="2004" t="str">
        <f>'SUB LIST'!P203</f>
        <v>06</v>
      </c>
      <c r="DA22" s="2004" t="str">
        <f>'SUB LIST'!Q203</f>
        <v>Reactive equipment failures</v>
      </c>
      <c r="DB22" s="2004" t="str">
        <f>'SUB LIST'!T203</f>
        <v>nr</v>
      </c>
      <c r="DC22" s="2004" t="str">
        <f>'SUB LIST'!U203</f>
        <v>0</v>
      </c>
      <c r="DD22" s="2004">
        <f>'SUB LIST'!AY203</f>
        <v>3537</v>
      </c>
    </row>
    <row r="23" spans="7:108">
      <c r="G23" s="2004"/>
      <c r="H23" s="2004"/>
      <c r="I23" s="2004"/>
      <c r="J23" s="2004"/>
      <c r="K23" s="2004"/>
      <c r="L23" s="2004"/>
      <c r="M23" s="2004"/>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c r="AL23" s="2004"/>
      <c r="AM23" s="2004"/>
      <c r="AN23" s="2004"/>
      <c r="AO23" s="2004"/>
      <c r="AP23" s="2004"/>
      <c r="AQ23" s="2004"/>
      <c r="AR23" s="2004"/>
      <c r="AS23" s="2004"/>
      <c r="AT23" s="2004"/>
      <c r="AU23" s="2004"/>
      <c r="AV23" s="2004"/>
      <c r="AW23" s="2004"/>
      <c r="AX23" s="2004"/>
      <c r="AY23" s="2004"/>
      <c r="AZ23" s="2004"/>
      <c r="BA23" s="2004"/>
      <c r="BB23" s="2004"/>
      <c r="BC23" s="2004"/>
      <c r="BD23" s="2004"/>
      <c r="BE23" s="2004"/>
      <c r="BF23" s="2004"/>
      <c r="BG23" s="2004"/>
      <c r="BH23" s="2004"/>
      <c r="BI23" s="2004"/>
      <c r="BJ23" s="2004"/>
      <c r="BK23" s="2004"/>
      <c r="BL23" s="2004"/>
      <c r="BM23" s="2004"/>
      <c r="BN23" s="2004"/>
      <c r="BO23" s="2004"/>
      <c r="BP23" s="2004"/>
      <c r="BQ23" s="2004"/>
      <c r="BR23" s="2004"/>
      <c r="BS23" s="2004"/>
      <c r="BT23" s="2004"/>
      <c r="BU23" s="2004" t="str">
        <f>'SUB LIST'!A94</f>
        <v>PR14SWTWSWW_S-A5</v>
      </c>
      <c r="BV23" s="2004" t="str">
        <f>'SUB LIST'!P94</f>
        <v>00</v>
      </c>
      <c r="BW23" s="2004" t="str">
        <f>'SUB LIST'!Q94</f>
        <v>S-A5 Asset reliability (process)</v>
      </c>
      <c r="BX23" s="2004" t="str">
        <f>'SUB LIST'!T94</f>
        <v>category</v>
      </c>
      <c r="BY23" s="2004" t="str">
        <f>'SUB LIST'!U94</f>
        <v>na</v>
      </c>
      <c r="BZ23" s="2004" t="str">
        <f>'SUB LIST'!AY94</f>
        <v>Stable</v>
      </c>
      <c r="CA23" s="2004" t="str">
        <f>'SUB LIST'!A118</f>
        <v>PR14TMSWSWW_SB2</v>
      </c>
      <c r="CB23" s="2004" t="str">
        <f>'SUB LIST'!P118</f>
        <v>01</v>
      </c>
      <c r="CC23" s="2004" t="str">
        <f>'SUB LIST'!Q118</f>
        <v>Number of sewer collapses</v>
      </c>
      <c r="CD23" s="2004" t="str">
        <f>'SUB LIST'!T118</f>
        <v>nr</v>
      </c>
      <c r="CE23" s="2004" t="str">
        <f>'SUB LIST'!U118</f>
        <v>0</v>
      </c>
      <c r="CF23" s="2004">
        <f>'SUB LIST'!AY118</f>
        <v>365</v>
      </c>
      <c r="CG23" s="2004" t="str">
        <f>'SUB LIST'!A142</f>
        <v>PR14UUWSWW_S-A2</v>
      </c>
      <c r="CH23" s="2004" t="str">
        <f>'SUB LIST'!P142</f>
        <v>02</v>
      </c>
      <c r="CI23" s="2004" t="str">
        <f>'SUB LIST'!Q142</f>
        <v>Collapses</v>
      </c>
      <c r="CJ23" s="2004" t="str">
        <f>'SUB LIST'!T142</f>
        <v>nr</v>
      </c>
      <c r="CK23" s="2004" t="str">
        <f>'SUB LIST'!U142</f>
        <v>0</v>
      </c>
      <c r="CL23" s="2004">
        <f>'SUB LIST'!AY142</f>
        <v>239</v>
      </c>
      <c r="CM23" s="2004" t="str">
        <f>'SUB LIST'!A182</f>
        <v>PR14WSHWSWW_F1</v>
      </c>
      <c r="CN23" s="2004" t="str">
        <f>'SUB LIST'!P182</f>
        <v>08</v>
      </c>
      <c r="CO23" s="2004" t="str">
        <f>'SUB LIST'!Q182</f>
        <v>Population equivalent (PE) % non-compliance</v>
      </c>
      <c r="CP23" s="2004" t="str">
        <f>'SUB LIST'!T182</f>
        <v>%</v>
      </c>
      <c r="CQ23" s="2004">
        <f>'SUB LIST'!U182</f>
        <v>2</v>
      </c>
      <c r="CR23" s="2004">
        <f>'SUB LIST'!AY182</f>
        <v>0</v>
      </c>
      <c r="CS23" s="2004"/>
      <c r="CT23" s="2004"/>
      <c r="CU23" s="2004"/>
      <c r="CV23" s="2004"/>
      <c r="CW23" s="2004"/>
      <c r="CX23" s="2004"/>
      <c r="CY23" s="2004" t="str">
        <f>'SUB LIST'!A204</f>
        <v>PR14YKYWSWW_SB2</v>
      </c>
      <c r="CZ23" s="2004" t="str">
        <f>'SUB LIST'!P204</f>
        <v>00</v>
      </c>
      <c r="DA23" s="2004" t="str">
        <f>'SUB LIST'!Q204</f>
        <v>SB2: Wastewater quality stability and reliability factor</v>
      </c>
      <c r="DB23" s="2004" t="str">
        <f>'SUB LIST'!T204</f>
        <v>category</v>
      </c>
      <c r="DC23" s="2004" t="str">
        <f>'SUB LIST'!U204</f>
        <v>na</v>
      </c>
      <c r="DD23" s="2004" t="str">
        <f>'SUB LIST'!AY204</f>
        <v>Stable</v>
      </c>
    </row>
    <row r="24" spans="7:108">
      <c r="G24" s="2004"/>
      <c r="H24" s="2004"/>
      <c r="I24" s="2004"/>
      <c r="J24" s="2004"/>
      <c r="K24" s="2004"/>
      <c r="L24" s="2004"/>
      <c r="M24" s="2004"/>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c r="AL24" s="2004"/>
      <c r="AM24" s="2004"/>
      <c r="AN24" s="2004"/>
      <c r="AO24" s="2004"/>
      <c r="AP24" s="2004"/>
      <c r="AQ24" s="2004"/>
      <c r="AR24" s="2004"/>
      <c r="AS24" s="2004"/>
      <c r="AT24" s="2004"/>
      <c r="AU24" s="2004"/>
      <c r="AV24" s="2004"/>
      <c r="AW24" s="2004"/>
      <c r="AX24" s="2004"/>
      <c r="AY24" s="2004"/>
      <c r="AZ24" s="2004"/>
      <c r="BA24" s="2004"/>
      <c r="BB24" s="2004"/>
      <c r="BC24" s="2004"/>
      <c r="BD24" s="2004"/>
      <c r="BE24" s="2004"/>
      <c r="BF24" s="2004"/>
      <c r="BG24" s="2004"/>
      <c r="BH24" s="2004"/>
      <c r="BI24" s="2004"/>
      <c r="BJ24" s="2004"/>
      <c r="BK24" s="2004"/>
      <c r="BL24" s="2004"/>
      <c r="BM24" s="2004"/>
      <c r="BN24" s="2004"/>
      <c r="BO24" s="2004"/>
      <c r="BP24" s="2004"/>
      <c r="BQ24" s="2004"/>
      <c r="BR24" s="2004"/>
      <c r="BS24" s="2004"/>
      <c r="BT24" s="2004"/>
      <c r="BU24" s="2004" t="str">
        <f>'SUB LIST'!A95</f>
        <v>PR14SWTWSWW_S-A5</v>
      </c>
      <c r="BV24" s="2004" t="str">
        <f>'SUB LIST'!P95</f>
        <v>01</v>
      </c>
      <c r="BW24" s="2004" t="str">
        <f>'SUB LIST'!Q95</f>
        <v>Sewage treatment works (STW) non-compliance</v>
      </c>
      <c r="BX24" s="2004" t="str">
        <f>'SUB LIST'!T95</f>
        <v>%</v>
      </c>
      <c r="BY24" s="2004">
        <f>'SUB LIST'!U95</f>
        <v>2</v>
      </c>
      <c r="BZ24" s="2004">
        <f>'SUB LIST'!AY95</f>
        <v>1.3029315960912058</v>
      </c>
      <c r="CA24" s="2004" t="str">
        <f>'SUB LIST'!A119</f>
        <v>PR14TMSWSWW_SB2</v>
      </c>
      <c r="CB24" s="2004" t="str">
        <f>'SUB LIST'!P119</f>
        <v>02</v>
      </c>
      <c r="CC24" s="2004" t="str">
        <f>'SUB LIST'!Q119</f>
        <v>Number of sewer blockages</v>
      </c>
      <c r="CD24" s="2004" t="str">
        <f>'SUB LIST'!T119</f>
        <v>nr</v>
      </c>
      <c r="CE24" s="2004" t="str">
        <f>'SUB LIST'!U119</f>
        <v>0</v>
      </c>
      <c r="CF24" s="2004">
        <f>'SUB LIST'!AY119</f>
        <v>79702</v>
      </c>
      <c r="CG24" s="2004" t="str">
        <f>'SUB LIST'!A143</f>
        <v>PR14UUWSWW_S-A2</v>
      </c>
      <c r="CH24" s="2004" t="str">
        <f>'SUB LIST'!P143</f>
        <v>03</v>
      </c>
      <c r="CI24" s="2004" t="str">
        <f>'SUB LIST'!Q143</f>
        <v>Rising main bursts</v>
      </c>
      <c r="CJ24" s="2004" t="str">
        <f>'SUB LIST'!T143</f>
        <v>nr</v>
      </c>
      <c r="CK24" s="2004" t="str">
        <f>'SUB LIST'!U143</f>
        <v>0</v>
      </c>
      <c r="CL24" s="2004">
        <f>'SUB LIST'!AY143</f>
        <v>53</v>
      </c>
      <c r="CM24" s="2004" t="str">
        <f>'SUB LIST'!A183</f>
        <v>PR14WSHWSWW_F1</v>
      </c>
      <c r="CN24" s="2004" t="str">
        <f>'SUB LIST'!P183</f>
        <v>09</v>
      </c>
      <c r="CO24" s="2004" t="str">
        <f>'SUB LIST'!Q183</f>
        <v>Unplanned maintenance (nr)</v>
      </c>
      <c r="CP24" s="2004" t="str">
        <f>'SUB LIST'!T183</f>
        <v>nr</v>
      </c>
      <c r="CQ24" s="2004" t="str">
        <f>'SUB LIST'!U183</f>
        <v>0</v>
      </c>
      <c r="CR24" s="2004">
        <f>'SUB LIST'!AY183</f>
        <v>37280</v>
      </c>
      <c r="CS24" s="2004"/>
      <c r="CT24" s="2004"/>
      <c r="CU24" s="2004"/>
      <c r="CV24" s="2004"/>
      <c r="CW24" s="2004"/>
      <c r="CX24" s="2004"/>
      <c r="CY24" s="2004" t="str">
        <f>'SUB LIST'!A205</f>
        <v>PR14YKYWSWW_SB2</v>
      </c>
      <c r="CZ24" s="2004" t="str">
        <f>'SUB LIST'!P205</f>
        <v>01</v>
      </c>
      <c r="DA24" s="2004" t="str">
        <f>'SUB LIST'!Q205</f>
        <v>Sewage treatment works non-compliance</v>
      </c>
      <c r="DB24" s="2004" t="str">
        <f>'SUB LIST'!T205</f>
        <v>nr</v>
      </c>
      <c r="DC24" s="2004" t="str">
        <f>'SUB LIST'!U205</f>
        <v>0</v>
      </c>
      <c r="DD24" s="2004">
        <f>'SUB LIST'!AY205</f>
        <v>6</v>
      </c>
    </row>
    <row r="25" spans="7:108">
      <c r="G25" s="2004"/>
      <c r="H25" s="2004"/>
      <c r="I25" s="2004"/>
      <c r="J25" s="2004"/>
      <c r="K25" s="2004"/>
      <c r="L25" s="2004"/>
      <c r="M25" s="2004"/>
      <c r="N25" s="2004"/>
      <c r="O25" s="2004"/>
      <c r="P25" s="2004"/>
      <c r="Q25" s="2004"/>
      <c r="R25" s="2004"/>
      <c r="S25" s="2004"/>
      <c r="T25" s="2004"/>
      <c r="U25" s="2004"/>
      <c r="V25" s="2004"/>
      <c r="W25" s="2004"/>
      <c r="X25" s="2004"/>
      <c r="Y25" s="2004"/>
      <c r="Z25" s="2004"/>
      <c r="AA25" s="2004"/>
      <c r="AB25" s="2004"/>
      <c r="AC25" s="2004"/>
      <c r="AD25" s="2004"/>
      <c r="AE25" s="2004"/>
      <c r="AF25" s="2004"/>
      <c r="AG25" s="2004"/>
      <c r="AH25" s="2004"/>
      <c r="AI25" s="2004"/>
      <c r="AJ25" s="2004"/>
      <c r="AK25" s="2004"/>
      <c r="AL25" s="2004"/>
      <c r="AM25" s="2004"/>
      <c r="AN25" s="2004"/>
      <c r="AO25" s="2004"/>
      <c r="AP25" s="2004"/>
      <c r="AQ25" s="2004"/>
      <c r="AR25" s="2004"/>
      <c r="AS25" s="2004"/>
      <c r="AT25" s="2004"/>
      <c r="AU25" s="2004"/>
      <c r="AV25" s="2004"/>
      <c r="AW25" s="2004"/>
      <c r="AX25" s="2004"/>
      <c r="AY25" s="2004"/>
      <c r="AZ25" s="2004"/>
      <c r="BA25" s="2004"/>
      <c r="BB25" s="2004"/>
      <c r="BC25" s="2004"/>
      <c r="BD25" s="2004"/>
      <c r="BE25" s="2004"/>
      <c r="BF25" s="2004"/>
      <c r="BG25" s="2004"/>
      <c r="BH25" s="2004"/>
      <c r="BI25" s="2004"/>
      <c r="BJ25" s="2004"/>
      <c r="BK25" s="2004"/>
      <c r="BL25" s="2004"/>
      <c r="BM25" s="2004"/>
      <c r="BN25" s="2004"/>
      <c r="BO25" s="2004"/>
      <c r="BP25" s="2004"/>
      <c r="BQ25" s="2004"/>
      <c r="BR25" s="2004"/>
      <c r="BS25" s="2004"/>
      <c r="BT25" s="2004"/>
      <c r="BU25" s="2004" t="str">
        <f>'SUB LIST'!A96</f>
        <v>PR14SWTWSWW_S-A5</v>
      </c>
      <c r="BV25" s="2004" t="str">
        <f>'SUB LIST'!P96</f>
        <v>02</v>
      </c>
      <c r="BW25" s="2004" t="str">
        <f>'SUB LIST'!Q96</f>
        <v>Population equivalent (PE) non-compliance</v>
      </c>
      <c r="BX25" s="2004" t="str">
        <f>'SUB LIST'!T96</f>
        <v>%</v>
      </c>
      <c r="BY25" s="2004">
        <f>'SUB LIST'!U96</f>
        <v>2</v>
      </c>
      <c r="BZ25" s="2004">
        <f>'SUB LIST'!AY96</f>
        <v>0.10933791973831708</v>
      </c>
      <c r="CA25" s="2004" t="str">
        <f>'SUB LIST'!A120</f>
        <v>PR14TMSWSWW_SB2</v>
      </c>
      <c r="CB25" s="2004" t="str">
        <f>'SUB LIST'!P120</f>
        <v>03</v>
      </c>
      <c r="CC25" s="2004" t="str">
        <f>'SUB LIST'!Q120</f>
        <v>Pollution incidents (cat 1-3)</v>
      </c>
      <c r="CD25" s="2004" t="str">
        <f>'SUB LIST'!T120</f>
        <v>nr</v>
      </c>
      <c r="CE25" s="2004" t="str">
        <f>'SUB LIST'!U120</f>
        <v>0</v>
      </c>
      <c r="CF25" s="2004">
        <f>'SUB LIST'!AY120</f>
        <v>204</v>
      </c>
      <c r="CG25" s="2004" t="str">
        <f>'SUB LIST'!A144</f>
        <v>PR14UUWSWW_S-A2</v>
      </c>
      <c r="CH25" s="2004" t="str">
        <f>'SUB LIST'!P144</f>
        <v>04</v>
      </c>
      <c r="CI25" s="2004" t="str">
        <f>'SUB LIST'!Q144</f>
        <v>Equipment failures</v>
      </c>
      <c r="CJ25" s="2004" t="str">
        <f>'SUB LIST'!T144</f>
        <v>nr</v>
      </c>
      <c r="CK25" s="2004" t="str">
        <f>'SUB LIST'!U144</f>
        <v>0</v>
      </c>
      <c r="CL25" s="2004">
        <f>'SUB LIST'!AY144</f>
        <v>3613</v>
      </c>
      <c r="CM25" s="2004"/>
      <c r="CN25" s="2004"/>
      <c r="CO25" s="2004"/>
      <c r="CP25" s="2004"/>
      <c r="CQ25" s="2004"/>
      <c r="CR25" s="2004"/>
      <c r="CS25" s="2004"/>
      <c r="CT25" s="2004"/>
      <c r="CU25" s="2004"/>
      <c r="CV25" s="2004"/>
      <c r="CW25" s="2004"/>
      <c r="CX25" s="2004"/>
      <c r="CY25" s="2004" t="str">
        <f>'SUB LIST'!A206</f>
        <v>PR14YKYWSWW_SB2</v>
      </c>
      <c r="CZ25" s="2004" t="str">
        <f>'SUB LIST'!P206</f>
        <v>02</v>
      </c>
      <c r="DA25" s="2004" t="str">
        <f>'SUB LIST'!Q206</f>
        <v>Population equivalent non-compliance</v>
      </c>
      <c r="DB25" s="2004" t="str">
        <f>'SUB LIST'!T206</f>
        <v>%</v>
      </c>
      <c r="DC25" s="2004">
        <f>'SUB LIST'!U206</f>
        <v>1</v>
      </c>
      <c r="DD25" s="2004">
        <f>'SUB LIST'!AY206</f>
        <v>0</v>
      </c>
    </row>
    <row r="26" spans="7:108">
      <c r="G26" s="2004"/>
      <c r="H26" s="2004"/>
      <c r="I26" s="2004"/>
      <c r="J26" s="2004"/>
      <c r="K26" s="2004"/>
      <c r="L26" s="2004"/>
      <c r="M26" s="2004"/>
      <c r="N26" s="2004"/>
      <c r="O26" s="2004"/>
      <c r="P26" s="2004"/>
      <c r="Q26" s="2004"/>
      <c r="R26" s="2004"/>
      <c r="S26" s="2004"/>
      <c r="T26" s="2004"/>
      <c r="U26" s="2004"/>
      <c r="V26" s="2004"/>
      <c r="W26" s="2004"/>
      <c r="X26" s="2004"/>
      <c r="Y26" s="2004"/>
      <c r="Z26" s="2004"/>
      <c r="AA26" s="2004"/>
      <c r="AB26" s="2004"/>
      <c r="AC26" s="2004"/>
      <c r="AD26" s="2004"/>
      <c r="AE26" s="2004"/>
      <c r="AF26" s="2004"/>
      <c r="AG26" s="2004"/>
      <c r="AH26" s="2004"/>
      <c r="AI26" s="2004"/>
      <c r="AJ26" s="2004"/>
      <c r="AK26" s="2004"/>
      <c r="AL26" s="2004"/>
      <c r="AM26" s="2004"/>
      <c r="AN26" s="2004"/>
      <c r="AO26" s="2004"/>
      <c r="AP26" s="2004"/>
      <c r="AQ26" s="2004"/>
      <c r="AR26" s="2004"/>
      <c r="AS26" s="2004"/>
      <c r="AT26" s="2004"/>
      <c r="AU26" s="2004"/>
      <c r="AV26" s="2004"/>
      <c r="AW26" s="2004"/>
      <c r="AX26" s="2004"/>
      <c r="AY26" s="2004"/>
      <c r="AZ26" s="2004"/>
      <c r="BA26" s="2004"/>
      <c r="BB26" s="2004"/>
      <c r="BC26" s="2004"/>
      <c r="BD26" s="2004"/>
      <c r="BE26" s="2004"/>
      <c r="BF26" s="2004"/>
      <c r="BG26" s="2004"/>
      <c r="BH26" s="2004"/>
      <c r="BI26" s="2004"/>
      <c r="BJ26" s="2004"/>
      <c r="BK26" s="2004"/>
      <c r="BL26" s="2004"/>
      <c r="BM26" s="2004"/>
      <c r="BN26" s="2004"/>
      <c r="BO26" s="2004"/>
      <c r="BP26" s="2004"/>
      <c r="BQ26" s="2004"/>
      <c r="BR26" s="2004"/>
      <c r="BS26" s="2004"/>
      <c r="BT26" s="2004"/>
      <c r="BU26" s="2004" t="str">
        <f>'SUB LIST'!A97</f>
        <v>PR14SWTWSWW_S-A5</v>
      </c>
      <c r="BV26" s="2004" t="str">
        <f>'SUB LIST'!P97</f>
        <v>03</v>
      </c>
      <c r="BW26" s="2004" t="str">
        <f>'SUB LIST'!Q97</f>
        <v>Unplanned maintenance</v>
      </c>
      <c r="BX26" s="2004" t="str">
        <f>'SUB LIST'!T97</f>
        <v>nr</v>
      </c>
      <c r="BY26" s="2004" t="str">
        <f>'SUB LIST'!U97</f>
        <v>0</v>
      </c>
      <c r="BZ26" s="2004">
        <f>'SUB LIST'!AY97</f>
        <v>7073</v>
      </c>
      <c r="CA26" s="2004" t="str">
        <f>'SUB LIST'!A121</f>
        <v>PR14TMSWSWW_SB2</v>
      </c>
      <c r="CB26" s="2004" t="str">
        <f>'SUB LIST'!P121</f>
        <v>04</v>
      </c>
      <c r="CC26" s="2004" t="str">
        <f>'SUB LIST'!Q121</f>
        <v>Properties internally flooded</v>
      </c>
      <c r="CD26" s="2004" t="str">
        <f>'SUB LIST'!T121</f>
        <v>nr</v>
      </c>
      <c r="CE26" s="2004" t="str">
        <f>'SUB LIST'!U121</f>
        <v>0</v>
      </c>
      <c r="CF26" s="2004">
        <f>'SUB LIST'!AY121</f>
        <v>968</v>
      </c>
      <c r="CG26" s="2004" t="str">
        <f>'SUB LIST'!A145</f>
        <v>PR14UUWSWW_S-B2</v>
      </c>
      <c r="CH26" s="2004" t="str">
        <f>'SUB LIST'!P145</f>
        <v>00</v>
      </c>
      <c r="CI26" s="2004" t="str">
        <f>'SUB LIST'!Q145</f>
        <v>S-B2: Sewer flooding index</v>
      </c>
      <c r="CJ26" s="2004" t="str">
        <f>'SUB LIST'!T145</f>
        <v>score</v>
      </c>
      <c r="CK26" s="2004">
        <f>'SUB LIST'!U145</f>
        <v>1</v>
      </c>
      <c r="CL26" s="2004">
        <f>'SUB LIST'!AY145</f>
        <v>61.66</v>
      </c>
      <c r="CM26" s="2004"/>
      <c r="CN26" s="2004"/>
      <c r="CO26" s="2004"/>
      <c r="CP26" s="2004"/>
      <c r="CQ26" s="2004"/>
      <c r="CR26" s="2004"/>
      <c r="CS26" s="2004"/>
      <c r="CT26" s="2004"/>
      <c r="CU26" s="2004"/>
      <c r="CV26" s="2004"/>
      <c r="CW26" s="2004"/>
      <c r="CX26" s="2004"/>
      <c r="CY26" s="2004" t="str">
        <f>'SUB LIST'!A207</f>
        <v>PR14YKYWSWW_SB2</v>
      </c>
      <c r="CZ26" s="2004" t="str">
        <f>'SUB LIST'!P207</f>
        <v>03</v>
      </c>
      <c r="DA26" s="2004" t="str">
        <f>'SUB LIST'!Q207</f>
        <v>Reactive equipment failures</v>
      </c>
      <c r="DB26" s="2004" t="str">
        <f>'SUB LIST'!T207</f>
        <v>nr</v>
      </c>
      <c r="DC26" s="2004" t="str">
        <f>'SUB LIST'!U207</f>
        <v>0</v>
      </c>
      <c r="DD26" s="2004">
        <f>'SUB LIST'!AY207</f>
        <v>10035</v>
      </c>
    </row>
    <row r="27" spans="7:108">
      <c r="G27" s="2004"/>
      <c r="H27" s="2004"/>
      <c r="I27" s="2004"/>
      <c r="J27" s="2004"/>
      <c r="K27" s="2004"/>
      <c r="L27" s="2004"/>
      <c r="M27" s="2004"/>
      <c r="N27" s="2004"/>
      <c r="O27" s="2004"/>
      <c r="P27" s="2004"/>
      <c r="Q27" s="2004"/>
      <c r="R27" s="2004"/>
      <c r="S27" s="2004"/>
      <c r="T27" s="2004"/>
      <c r="U27" s="2004"/>
      <c r="V27" s="2004"/>
      <c r="W27" s="2004"/>
      <c r="X27" s="2004"/>
      <c r="Y27" s="2004"/>
      <c r="Z27" s="2004"/>
      <c r="AA27" s="2004"/>
      <c r="AB27" s="2004"/>
      <c r="AC27" s="2004"/>
      <c r="AD27" s="2004"/>
      <c r="AE27" s="2004"/>
      <c r="AF27" s="2004"/>
      <c r="AG27" s="2004"/>
      <c r="AH27" s="2004"/>
      <c r="AI27" s="2004"/>
      <c r="AJ27" s="2004"/>
      <c r="AK27" s="2004"/>
      <c r="AL27" s="2004"/>
      <c r="AM27" s="2004"/>
      <c r="AN27" s="2004"/>
      <c r="AO27" s="2004"/>
      <c r="AP27" s="2004"/>
      <c r="AQ27" s="2004"/>
      <c r="AR27" s="2004"/>
      <c r="AS27" s="2004"/>
      <c r="AT27" s="2004"/>
      <c r="AU27" s="2004"/>
      <c r="AV27" s="2004"/>
      <c r="AW27" s="2004"/>
      <c r="AX27" s="2004"/>
      <c r="AY27" s="2004"/>
      <c r="AZ27" s="2004"/>
      <c r="BA27" s="2004"/>
      <c r="BB27" s="2004"/>
      <c r="BC27" s="2004"/>
      <c r="BD27" s="2004"/>
      <c r="BE27" s="2004"/>
      <c r="BF27" s="2004"/>
      <c r="BG27" s="2004"/>
      <c r="BH27" s="2004"/>
      <c r="BI27" s="2004"/>
      <c r="BJ27" s="2004"/>
      <c r="BK27" s="2004"/>
      <c r="BL27" s="2004"/>
      <c r="BM27" s="2004"/>
      <c r="BN27" s="2004"/>
      <c r="BO27" s="2004"/>
      <c r="BP27" s="2004"/>
      <c r="BQ27" s="2004"/>
      <c r="BR27" s="2004"/>
      <c r="BS27" s="2004"/>
      <c r="BT27" s="2004"/>
      <c r="BU27" s="2004"/>
      <c r="BV27" s="2004"/>
      <c r="BW27" s="2004"/>
      <c r="BX27" s="2004"/>
      <c r="BY27" s="2004"/>
      <c r="BZ27" s="2004"/>
      <c r="CA27" s="2004"/>
      <c r="CB27" s="2004"/>
      <c r="CC27" s="2004"/>
      <c r="CD27" s="2004"/>
      <c r="CE27" s="2004"/>
      <c r="CF27" s="2004"/>
      <c r="CG27" s="2004" t="str">
        <f>'SUB LIST'!A146</f>
        <v>PR14UUWSWW_S-B2</v>
      </c>
      <c r="CH27" s="2004" t="str">
        <f>'SUB LIST'!P146</f>
        <v>01</v>
      </c>
      <c r="CI27" s="2004" t="str">
        <f>'SUB LIST'!Q146</f>
        <v>Properties flooded due to other causes</v>
      </c>
      <c r="CJ27" s="2004" t="str">
        <f>'SUB LIST'!T146</f>
        <v>nr</v>
      </c>
      <c r="CK27" s="2004" t="str">
        <f>'SUB LIST'!U146</f>
        <v>0</v>
      </c>
      <c r="CL27" s="2004">
        <f>'SUB LIST'!AY146</f>
        <v>551</v>
      </c>
      <c r="CM27" s="2004"/>
      <c r="CN27" s="2004"/>
      <c r="CO27" s="2004"/>
      <c r="CP27" s="2004"/>
      <c r="CQ27" s="2004"/>
      <c r="CR27" s="2004"/>
      <c r="CS27" s="2004"/>
      <c r="CT27" s="2004"/>
      <c r="CU27" s="2004"/>
      <c r="CV27" s="2004"/>
      <c r="CW27" s="2004"/>
      <c r="CX27" s="2004"/>
      <c r="CY27" s="2004"/>
      <c r="CZ27" s="2004"/>
      <c r="DA27" s="2004"/>
      <c r="DB27" s="2004"/>
      <c r="DC27" s="2004"/>
      <c r="DD27" s="2004"/>
    </row>
    <row r="28" spans="7:108">
      <c r="G28" s="2004"/>
      <c r="H28" s="2004"/>
      <c r="I28" s="2004"/>
      <c r="J28" s="2004"/>
      <c r="K28" s="2004"/>
      <c r="L28" s="2004"/>
      <c r="M28" s="2004"/>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c r="AL28" s="2004"/>
      <c r="AM28" s="2004"/>
      <c r="AN28" s="2004"/>
      <c r="AO28" s="2004"/>
      <c r="AP28" s="2004"/>
      <c r="AQ28" s="2004"/>
      <c r="AR28" s="2004"/>
      <c r="AS28" s="2004"/>
      <c r="AT28" s="2004"/>
      <c r="AU28" s="2004"/>
      <c r="AV28" s="2004"/>
      <c r="AW28" s="2004"/>
      <c r="AX28" s="2004"/>
      <c r="AY28" s="2004"/>
      <c r="AZ28" s="2004"/>
      <c r="BA28" s="2004"/>
      <c r="BB28" s="2004"/>
      <c r="BC28" s="2004"/>
      <c r="BD28" s="2004"/>
      <c r="BE28" s="2004"/>
      <c r="BF28" s="2004"/>
      <c r="BG28" s="2004"/>
      <c r="BH28" s="2004"/>
      <c r="BI28" s="2004"/>
      <c r="BJ28" s="2004"/>
      <c r="BK28" s="2004"/>
      <c r="BL28" s="2004"/>
      <c r="BM28" s="2004"/>
      <c r="BN28" s="2004"/>
      <c r="BO28" s="2004"/>
      <c r="BP28" s="2004"/>
      <c r="BQ28" s="2004"/>
      <c r="BR28" s="2004"/>
      <c r="BS28" s="2004"/>
      <c r="BT28" s="2004"/>
      <c r="BU28" s="2004"/>
      <c r="BV28" s="2004"/>
      <c r="BW28" s="2004"/>
      <c r="BX28" s="2004"/>
      <c r="BY28" s="2004"/>
      <c r="BZ28" s="2004"/>
      <c r="CA28" s="2004"/>
      <c r="CB28" s="2004"/>
      <c r="CC28" s="2004"/>
      <c r="CD28" s="2004"/>
      <c r="CE28" s="2004"/>
      <c r="CF28" s="2004"/>
      <c r="CG28" s="2004" t="str">
        <f>'SUB LIST'!A147</f>
        <v>PR14UUWSWW_S-B2</v>
      </c>
      <c r="CH28" s="2004" t="str">
        <f>'SUB LIST'!P147</f>
        <v>02</v>
      </c>
      <c r="CI28" s="2004" t="str">
        <f>'SUB LIST'!Q147</f>
        <v>Properties flooded due to hydraulic overload</v>
      </c>
      <c r="CJ28" s="2004" t="str">
        <f>'SUB LIST'!T147</f>
        <v>nr</v>
      </c>
      <c r="CK28" s="2004" t="str">
        <f>'SUB LIST'!U147</f>
        <v>0</v>
      </c>
      <c r="CL28" s="2004">
        <f>'SUB LIST'!AY147</f>
        <v>15</v>
      </c>
      <c r="CM28" s="2004"/>
      <c r="CN28" s="2004"/>
      <c r="CO28" s="2004"/>
      <c r="CP28" s="2004"/>
      <c r="CQ28" s="2004"/>
      <c r="CR28" s="2004"/>
      <c r="CS28" s="2004"/>
      <c r="CT28" s="2004"/>
      <c r="CU28" s="2004"/>
      <c r="CV28" s="2004"/>
      <c r="CW28" s="2004"/>
      <c r="CX28" s="2004"/>
      <c r="CY28" s="2004"/>
      <c r="CZ28" s="2004"/>
      <c r="DA28" s="2004"/>
      <c r="DB28" s="2004"/>
      <c r="DC28" s="2004"/>
      <c r="DD28" s="2004"/>
    </row>
    <row r="29" spans="7:108">
      <c r="G29" s="2004"/>
      <c r="H29" s="2004"/>
      <c r="I29" s="2004"/>
      <c r="J29" s="2004"/>
      <c r="K29" s="2004"/>
      <c r="L29" s="2004"/>
      <c r="M29" s="2004"/>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c r="AL29" s="2004"/>
      <c r="AM29" s="2004"/>
      <c r="AN29" s="2004"/>
      <c r="AO29" s="2004"/>
      <c r="AP29" s="2004"/>
      <c r="AQ29" s="2004"/>
      <c r="AR29" s="2004"/>
      <c r="AS29" s="2004"/>
      <c r="AT29" s="2004"/>
      <c r="AU29" s="2004"/>
      <c r="AV29" s="2004"/>
      <c r="AW29" s="2004"/>
      <c r="AX29" s="2004"/>
      <c r="AY29" s="2004"/>
      <c r="AZ29" s="2004"/>
      <c r="BA29" s="2004"/>
      <c r="BB29" s="2004"/>
      <c r="BC29" s="2004"/>
      <c r="BD29" s="2004"/>
      <c r="BE29" s="2004"/>
      <c r="BF29" s="2004"/>
      <c r="BG29" s="2004"/>
      <c r="BH29" s="2004"/>
      <c r="BI29" s="2004"/>
      <c r="BJ29" s="2004"/>
      <c r="BK29" s="2004"/>
      <c r="BL29" s="2004"/>
      <c r="BM29" s="2004"/>
      <c r="BN29" s="2004"/>
      <c r="BO29" s="2004"/>
      <c r="BP29" s="2004"/>
      <c r="BQ29" s="2004"/>
      <c r="BR29" s="2004"/>
      <c r="BS29" s="2004"/>
      <c r="BT29" s="2004"/>
      <c r="BU29" s="2004"/>
      <c r="BV29" s="2004"/>
      <c r="BW29" s="2004"/>
      <c r="BX29" s="2004"/>
      <c r="BY29" s="2004"/>
      <c r="BZ29" s="2004"/>
      <c r="CA29" s="2004"/>
      <c r="CB29" s="2004"/>
      <c r="CC29" s="2004"/>
      <c r="CD29" s="2004"/>
      <c r="CE29" s="2004"/>
      <c r="CF29" s="2004"/>
      <c r="CG29" s="2004" t="str">
        <f>'SUB LIST'!A148</f>
        <v>PR14UUWSWW_S-B2</v>
      </c>
      <c r="CH29" s="2004" t="str">
        <f>'SUB LIST'!P148</f>
        <v>03</v>
      </c>
      <c r="CI29" s="2004" t="str">
        <f>'SUB LIST'!Q148</f>
        <v>Areas flooded due to other causes</v>
      </c>
      <c r="CJ29" s="2004" t="str">
        <f>'SUB LIST'!T148</f>
        <v>nr</v>
      </c>
      <c r="CK29" s="2004" t="str">
        <f>'SUB LIST'!U148</f>
        <v>0</v>
      </c>
      <c r="CL29" s="2004">
        <f>'SUB LIST'!AY148</f>
        <v>2849</v>
      </c>
      <c r="CM29" s="2004"/>
      <c r="CN29" s="2004"/>
      <c r="CO29" s="2004"/>
      <c r="CP29" s="2004"/>
      <c r="CQ29" s="2004"/>
      <c r="CR29" s="2004"/>
      <c r="CS29" s="2004"/>
      <c r="CT29" s="2004"/>
      <c r="CU29" s="2004"/>
      <c r="CV29" s="2004"/>
      <c r="CW29" s="2004"/>
      <c r="CX29" s="2004"/>
      <c r="CY29" s="2004"/>
      <c r="CZ29" s="2004"/>
      <c r="DA29" s="2004"/>
      <c r="DB29" s="2004"/>
      <c r="DC29" s="2004"/>
      <c r="DD29" s="2004"/>
    </row>
    <row r="30" spans="7:108">
      <c r="G30" s="2004"/>
      <c r="H30" s="2004"/>
      <c r="I30" s="2004"/>
      <c r="J30" s="2004"/>
      <c r="K30" s="2004"/>
      <c r="L30" s="2004"/>
      <c r="M30" s="2004"/>
      <c r="N30" s="2004"/>
      <c r="O30" s="2004"/>
      <c r="P30" s="2004"/>
      <c r="Q30" s="2004"/>
      <c r="R30" s="2004"/>
      <c r="S30" s="2004"/>
      <c r="T30" s="2004"/>
      <c r="U30" s="2004"/>
      <c r="V30" s="2004"/>
      <c r="W30" s="2004"/>
      <c r="X30" s="2004"/>
      <c r="Y30" s="2004"/>
      <c r="Z30" s="2004"/>
      <c r="AA30" s="2004"/>
      <c r="AB30" s="2004"/>
      <c r="AC30" s="2004"/>
      <c r="AD30" s="2004"/>
      <c r="AE30" s="2004"/>
      <c r="AF30" s="2004"/>
      <c r="AG30" s="2004"/>
      <c r="AH30" s="2004"/>
      <c r="AI30" s="2004"/>
      <c r="AJ30" s="2004"/>
      <c r="AK30" s="2004"/>
      <c r="AL30" s="2004"/>
      <c r="AM30" s="2004"/>
      <c r="AN30" s="2004"/>
      <c r="AO30" s="2004"/>
      <c r="AP30" s="2004"/>
      <c r="AQ30" s="2004"/>
      <c r="AR30" s="2004"/>
      <c r="AS30" s="2004"/>
      <c r="AT30" s="2004"/>
      <c r="AU30" s="2004"/>
      <c r="AV30" s="2004"/>
      <c r="AW30" s="2004"/>
      <c r="AX30" s="2004"/>
      <c r="AY30" s="2004"/>
      <c r="AZ30" s="2004"/>
      <c r="BA30" s="2004"/>
      <c r="BB30" s="2004"/>
      <c r="BC30" s="2004"/>
      <c r="BD30" s="2004"/>
      <c r="BE30" s="2004"/>
      <c r="BF30" s="2004"/>
      <c r="BG30" s="2004"/>
      <c r="BH30" s="2004"/>
      <c r="BI30" s="2004"/>
      <c r="BJ30" s="2004"/>
      <c r="BK30" s="2004"/>
      <c r="BL30" s="2004"/>
      <c r="BM30" s="2004"/>
      <c r="BN30" s="2004"/>
      <c r="BO30" s="2004"/>
      <c r="BP30" s="2004"/>
      <c r="BQ30" s="2004"/>
      <c r="BR30" s="2004"/>
      <c r="BS30" s="2004"/>
      <c r="BT30" s="2004"/>
      <c r="BU30" s="2004"/>
      <c r="BV30" s="2004"/>
      <c r="BW30" s="2004"/>
      <c r="BX30" s="2004"/>
      <c r="BY30" s="2004"/>
      <c r="BZ30" s="2004"/>
      <c r="CA30" s="2004"/>
      <c r="CB30" s="2004"/>
      <c r="CC30" s="2004"/>
      <c r="CD30" s="2004"/>
      <c r="CE30" s="2004"/>
      <c r="CF30" s="2004"/>
      <c r="CG30" s="2004" t="str">
        <f>'SUB LIST'!A149</f>
        <v>PR14UUWSWW_S-B2</v>
      </c>
      <c r="CH30" s="2004" t="str">
        <f>'SUB LIST'!P149</f>
        <v>04</v>
      </c>
      <c r="CI30" s="2004" t="str">
        <f>'SUB LIST'!Q149</f>
        <v>Areas flooded due to hydraulic overload</v>
      </c>
      <c r="CJ30" s="2004" t="str">
        <f>'SUB LIST'!T149</f>
        <v>nr</v>
      </c>
      <c r="CK30" s="2004" t="str">
        <f>'SUB LIST'!U149</f>
        <v>0</v>
      </c>
      <c r="CL30" s="2004">
        <f>'SUB LIST'!AY149</f>
        <v>145</v>
      </c>
      <c r="CM30" s="2004"/>
      <c r="CN30" s="2004"/>
      <c r="CO30" s="2004"/>
      <c r="CP30" s="2004"/>
      <c r="CQ30" s="2004"/>
      <c r="CR30" s="2004"/>
      <c r="CS30" s="2004"/>
      <c r="CT30" s="2004"/>
      <c r="CU30" s="2004"/>
      <c r="CV30" s="2004"/>
      <c r="CW30" s="2004"/>
      <c r="CX30" s="2004"/>
      <c r="CY30" s="2004"/>
      <c r="CZ30" s="2004"/>
      <c r="DA30" s="2004"/>
      <c r="DB30" s="2004"/>
      <c r="DC30" s="2004"/>
      <c r="DD30" s="2004"/>
    </row>
    <row r="31" spans="7:108">
      <c r="G31" s="2004"/>
      <c r="H31" s="2004"/>
      <c r="I31" s="2004"/>
      <c r="J31" s="2004"/>
      <c r="K31" s="2004"/>
      <c r="L31" s="2004"/>
      <c r="M31" s="2004"/>
      <c r="N31" s="2004"/>
      <c r="O31" s="2004"/>
      <c r="P31" s="2004"/>
      <c r="Q31" s="2004"/>
      <c r="R31" s="2004"/>
      <c r="S31" s="2004"/>
      <c r="T31" s="2004"/>
      <c r="U31" s="2004"/>
      <c r="V31" s="2004"/>
      <c r="W31" s="2004"/>
      <c r="X31" s="2004"/>
      <c r="Y31" s="2004"/>
      <c r="Z31" s="2004"/>
      <c r="AA31" s="2004"/>
      <c r="AB31" s="2004"/>
      <c r="AC31" s="2004"/>
      <c r="AD31" s="2004"/>
      <c r="AE31" s="2004"/>
      <c r="AF31" s="2004"/>
      <c r="AG31" s="2004"/>
      <c r="AH31" s="2004"/>
      <c r="AI31" s="2004"/>
      <c r="AJ31" s="2004"/>
      <c r="AK31" s="2004"/>
      <c r="AL31" s="2004"/>
      <c r="AM31" s="2004"/>
      <c r="AN31" s="2004"/>
      <c r="AO31" s="2004"/>
      <c r="AP31" s="2004"/>
      <c r="AQ31" s="2004"/>
      <c r="AR31" s="2004"/>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004"/>
      <c r="BO31" s="2004"/>
      <c r="BP31" s="2004"/>
      <c r="BQ31" s="2004"/>
      <c r="BR31" s="2004"/>
      <c r="BS31" s="2004"/>
      <c r="BT31" s="2004"/>
      <c r="BU31" s="2004"/>
      <c r="BV31" s="2004"/>
      <c r="BW31" s="2004"/>
      <c r="BX31" s="2004"/>
      <c r="BY31" s="2004"/>
      <c r="BZ31" s="2004"/>
      <c r="CA31" s="2004"/>
      <c r="CB31" s="2004"/>
      <c r="CC31" s="2004"/>
      <c r="CD31" s="2004"/>
      <c r="CE31" s="2004"/>
      <c r="CF31" s="2004"/>
      <c r="CG31" s="2004" t="str">
        <f>'SUB LIST'!A150</f>
        <v>PR14UUWSWW_S-B2</v>
      </c>
      <c r="CH31" s="2004" t="str">
        <f>'SUB LIST'!P150</f>
        <v>05</v>
      </c>
      <c r="CI31" s="2004" t="str">
        <f>'SUB LIST'!Q150</f>
        <v>Incidents of repeat flooding</v>
      </c>
      <c r="CJ31" s="2004" t="str">
        <f>'SUB LIST'!T150</f>
        <v>nr</v>
      </c>
      <c r="CK31" s="2004" t="str">
        <f>'SUB LIST'!U150</f>
        <v>0</v>
      </c>
      <c r="CL31" s="2004">
        <f>'SUB LIST'!AY150</f>
        <v>124</v>
      </c>
      <c r="CM31" s="2004"/>
      <c r="CN31" s="2004"/>
      <c r="CO31" s="2004"/>
      <c r="CP31" s="2004"/>
      <c r="CQ31" s="2004"/>
      <c r="CR31" s="2004"/>
      <c r="CS31" s="2004"/>
      <c r="CT31" s="2004"/>
      <c r="CU31" s="2004"/>
      <c r="CV31" s="2004"/>
      <c r="CW31" s="2004"/>
      <c r="CX31" s="2004"/>
      <c r="CY31" s="2004"/>
      <c r="CZ31" s="2004"/>
      <c r="DA31" s="2004"/>
      <c r="DB31" s="2004"/>
      <c r="DC31" s="2004"/>
      <c r="DD31" s="2004"/>
    </row>
    <row r="32" spans="7:108">
      <c r="G32" s="2004"/>
      <c r="H32" s="2004"/>
      <c r="I32" s="2004"/>
      <c r="J32" s="2004"/>
      <c r="K32" s="2004"/>
      <c r="L32" s="2004"/>
      <c r="M32" s="2004"/>
      <c r="N32" s="2004"/>
      <c r="O32" s="2004"/>
      <c r="P32" s="2004"/>
      <c r="Q32" s="2004"/>
      <c r="R32" s="2004"/>
      <c r="S32" s="2004"/>
      <c r="T32" s="2004"/>
      <c r="U32" s="2004"/>
      <c r="V32" s="2004"/>
      <c r="W32" s="2004"/>
      <c r="X32" s="2004"/>
      <c r="Y32" s="2004"/>
      <c r="Z32" s="2004"/>
      <c r="AA32" s="2004"/>
      <c r="AB32" s="2004"/>
      <c r="AC32" s="2004"/>
      <c r="AD32" s="2004"/>
      <c r="AE32" s="2004"/>
      <c r="AF32" s="2004"/>
      <c r="AG32" s="2004"/>
      <c r="AH32" s="2004"/>
      <c r="AI32" s="2004"/>
      <c r="AJ32" s="2004"/>
      <c r="AK32" s="2004"/>
      <c r="AL32" s="2004"/>
      <c r="AM32" s="2004"/>
      <c r="AN32" s="2004"/>
      <c r="AO32" s="2004"/>
      <c r="AP32" s="2004"/>
      <c r="AQ32" s="2004"/>
      <c r="AR32" s="2004"/>
      <c r="AS32" s="2004"/>
      <c r="AT32" s="2004"/>
      <c r="AU32" s="2004"/>
      <c r="AV32" s="2004"/>
      <c r="AW32" s="2004"/>
      <c r="AX32" s="2004"/>
      <c r="AY32" s="2004"/>
      <c r="AZ32" s="2004"/>
      <c r="BA32" s="2004"/>
      <c r="BB32" s="2004"/>
      <c r="BC32" s="2004"/>
      <c r="BD32" s="2004"/>
      <c r="BE32" s="2004"/>
      <c r="BF32" s="2004"/>
      <c r="BG32" s="2004"/>
      <c r="BH32" s="2004"/>
      <c r="BI32" s="2004"/>
      <c r="BJ32" s="2004"/>
      <c r="BK32" s="2004"/>
      <c r="BL32" s="2004"/>
      <c r="BM32" s="2004"/>
      <c r="BN32" s="2004"/>
      <c r="BO32" s="2004"/>
      <c r="BP32" s="2004"/>
      <c r="BQ32" s="2004"/>
      <c r="BR32" s="2004"/>
      <c r="BS32" s="2004"/>
      <c r="BT32" s="2004"/>
      <c r="BU32" s="2004"/>
      <c r="BV32" s="2004"/>
      <c r="BW32" s="2004"/>
      <c r="BX32" s="2004"/>
      <c r="BY32" s="2004"/>
      <c r="BZ32" s="2004"/>
      <c r="CA32" s="2004"/>
      <c r="CB32" s="2004"/>
      <c r="CC32" s="2004"/>
      <c r="CD32" s="2004"/>
      <c r="CE32" s="2004"/>
      <c r="CF32" s="2004"/>
      <c r="CG32" s="2004" t="str">
        <f>'SUB LIST'!A151</f>
        <v>PR14UUWSWW_S-D2</v>
      </c>
      <c r="CH32" s="2004" t="str">
        <f>'SUB LIST'!P151</f>
        <v>00</v>
      </c>
      <c r="CI32" s="2004" t="str">
        <f>'SUB LIST'!Q151</f>
        <v>S-D2: Maintaining our wastewater treatment works</v>
      </c>
      <c r="CJ32" s="2004" t="str">
        <f>'SUB LIST'!T151</f>
        <v>score</v>
      </c>
      <c r="CK32" s="2004">
        <f>'SUB LIST'!U151</f>
        <v>4</v>
      </c>
      <c r="CL32" s="2004">
        <f>'SUB LIST'!AY151</f>
        <v>39.166499999999999</v>
      </c>
      <c r="CM32" s="2004"/>
      <c r="CN32" s="2004"/>
      <c r="CO32" s="2004"/>
      <c r="CP32" s="2004"/>
      <c r="CQ32" s="2004"/>
      <c r="CR32" s="2004"/>
      <c r="CS32" s="2004"/>
      <c r="CT32" s="2004"/>
      <c r="CU32" s="2004"/>
      <c r="CV32" s="2004"/>
      <c r="CW32" s="2004"/>
      <c r="CX32" s="2004"/>
      <c r="CY32" s="2004"/>
      <c r="CZ32" s="2004"/>
      <c r="DA32" s="2004"/>
      <c r="DB32" s="2004"/>
      <c r="DC32" s="2004"/>
      <c r="DD32" s="2004"/>
    </row>
    <row r="33" spans="85:90">
      <c r="CG33" s="2004" t="str">
        <f>'SUB LIST'!A152</f>
        <v>PR14UUWSWW_S-D2</v>
      </c>
      <c r="CH33" s="2004" t="str">
        <f>'SUB LIST'!P152</f>
        <v>01</v>
      </c>
      <c r="CI33" s="2004" t="str">
        <f>'SUB LIST'!Q152</f>
        <v>WwTWs failing EA permit - small (size band 1-4)</v>
      </c>
      <c r="CJ33" s="2004" t="str">
        <f>'SUB LIST'!T152</f>
        <v>score</v>
      </c>
      <c r="CK33" s="2004">
        <f>'SUB LIST'!U152</f>
        <v>4</v>
      </c>
      <c r="CL33" s="2004">
        <f>'SUB LIST'!AY152</f>
        <v>4.0967000000000002</v>
      </c>
    </row>
    <row r="34" spans="85:90">
      <c r="CG34" s="2004" t="str">
        <f>'SUB LIST'!A153</f>
        <v>PR14UUWSWW_S-D2</v>
      </c>
      <c r="CH34" s="2004" t="str">
        <f>'SUB LIST'!P153</f>
        <v>02</v>
      </c>
      <c r="CI34" s="2004" t="str">
        <f>'SUB LIST'!Q153</f>
        <v>WwTWs failing EA permit - medium (size band 5)</v>
      </c>
      <c r="CJ34" s="2004" t="str">
        <f>'SUB LIST'!T153</f>
        <v>score</v>
      </c>
      <c r="CK34" s="2004">
        <f>'SUB LIST'!U153</f>
        <v>4</v>
      </c>
      <c r="CL34" s="2004">
        <f>'SUB LIST'!AY153</f>
        <v>0</v>
      </c>
    </row>
    <row r="35" spans="85:90">
      <c r="CG35" s="2004" t="str">
        <f>'SUB LIST'!A154</f>
        <v>PR14UUWSWW_S-D2</v>
      </c>
      <c r="CH35" s="2004" t="str">
        <f>'SUB LIST'!P154</f>
        <v>03</v>
      </c>
      <c r="CI35" s="2004" t="str">
        <f>'SUB LIST'!Q154</f>
        <v>WwTWs failing EA permit - large (size band 6a)</v>
      </c>
      <c r="CJ35" s="2004" t="str">
        <f>'SUB LIST'!T154</f>
        <v>score</v>
      </c>
      <c r="CK35" s="2004">
        <f>'SUB LIST'!U154</f>
        <v>4</v>
      </c>
      <c r="CL35" s="2004">
        <f>'SUB LIST'!AY154</f>
        <v>32.773400000000002</v>
      </c>
    </row>
    <row r="36" spans="85:90">
      <c r="CG36" s="2004" t="str">
        <f>'SUB LIST'!A155</f>
        <v>PR14UUWSWW_S-D2</v>
      </c>
      <c r="CH36" s="2004" t="str">
        <f>'SUB LIST'!P155</f>
        <v>04</v>
      </c>
      <c r="CI36" s="2004" t="str">
        <f>'SUB LIST'!Q155</f>
        <v>WwTWs failing EA permit - large (size band 6b)</v>
      </c>
      <c r="CJ36" s="2004" t="str">
        <f>'SUB LIST'!T155</f>
        <v>score</v>
      </c>
      <c r="CK36" s="2004">
        <f>'SUB LIST'!U155</f>
        <v>4</v>
      </c>
      <c r="CL36" s="2004">
        <f>'SUB LIST'!AY155</f>
        <v>0</v>
      </c>
    </row>
    <row r="37" spans="85:90">
      <c r="CG37" s="2004" t="str">
        <f>'SUB LIST'!A156</f>
        <v>PR14UUWSWW_S-D2</v>
      </c>
      <c r="CH37" s="2004" t="str">
        <f>'SUB LIST'!P156</f>
        <v>05</v>
      </c>
      <c r="CI37" s="2004" t="str">
        <f>'SUB LIST'!Q156</f>
        <v>WwTWs at high risk of failing EA permit - small (size band 1-4)</v>
      </c>
      <c r="CJ37" s="2004" t="str">
        <f>'SUB LIST'!T156</f>
        <v>score</v>
      </c>
      <c r="CK37" s="2004">
        <f>'SUB LIST'!U156</f>
        <v>4</v>
      </c>
      <c r="CL37" s="2004">
        <f>'SUB LIST'!AY156</f>
        <v>0.29320000000000002</v>
      </c>
    </row>
    <row r="38" spans="85:90">
      <c r="CG38" s="2004" t="str">
        <f>'SUB LIST'!A157</f>
        <v>PR14UUWSWW_S-D2</v>
      </c>
      <c r="CH38" s="2004" t="str">
        <f>'SUB LIST'!P157</f>
        <v>06</v>
      </c>
      <c r="CI38" s="2004" t="str">
        <f>'SUB LIST'!Q157</f>
        <v>WwTWs at high risk of failing EA permit - medium (size band 5)</v>
      </c>
      <c r="CJ38" s="2004" t="str">
        <f>'SUB LIST'!T157</f>
        <v>score</v>
      </c>
      <c r="CK38" s="2004">
        <f>'SUB LIST'!U157</f>
        <v>4</v>
      </c>
      <c r="CL38" s="2004">
        <f>'SUB LIST'!AY157</f>
        <v>1.37E-2</v>
      </c>
    </row>
    <row r="39" spans="85:90">
      <c r="CG39" s="2004" t="str">
        <f>'SUB LIST'!A158</f>
        <v>PR14UUWSWW_S-D2</v>
      </c>
      <c r="CH39" s="2004" t="str">
        <f>'SUB LIST'!P158</f>
        <v>07</v>
      </c>
      <c r="CI39" s="2004" t="str">
        <f>'SUB LIST'!Q158</f>
        <v>WwTWs at high risk of failing EA permit - large (size band 6)</v>
      </c>
      <c r="CJ39" s="2004" t="str">
        <f>'SUB LIST'!T158</f>
        <v>score</v>
      </c>
      <c r="CK39" s="2004">
        <f>'SUB LIST'!U158</f>
        <v>4</v>
      </c>
      <c r="CL39" s="2004">
        <f>'SUB LIST'!AY158</f>
        <v>0.71679999999999999</v>
      </c>
    </row>
    <row r="40" spans="85:90">
      <c r="CG40" s="2004" t="str">
        <f>'SUB LIST'!A159</f>
        <v>PR14UUWSWW_S-D2</v>
      </c>
      <c r="CH40" s="2004" t="str">
        <f>'SUB LIST'!P159</f>
        <v>08</v>
      </c>
      <c r="CI40" s="2004" t="str">
        <f>'SUB LIST'!Q159</f>
        <v>WwTWs at medium risk of failing EA permit - small (size band 1-4)</v>
      </c>
      <c r="CJ40" s="2004" t="str">
        <f>'SUB LIST'!T159</f>
        <v>score</v>
      </c>
      <c r="CK40" s="2004">
        <f>'SUB LIST'!U159</f>
        <v>4</v>
      </c>
      <c r="CL40" s="2004">
        <f>'SUB LIST'!AY159</f>
        <v>0.31019999999999998</v>
      </c>
    </row>
    <row r="41" spans="85:90">
      <c r="CG41" s="2004" t="str">
        <f>'SUB LIST'!A160</f>
        <v>PR14UUWSWW_S-D2</v>
      </c>
      <c r="CH41" s="2004" t="str">
        <f>'SUB LIST'!P160</f>
        <v>09</v>
      </c>
      <c r="CI41" s="2004" t="str">
        <f>'SUB LIST'!Q160</f>
        <v>WwTWs at medium risk of failing EA permit - medium (size band 5)</v>
      </c>
      <c r="CJ41" s="2004" t="str">
        <f>'SUB LIST'!T160</f>
        <v>score</v>
      </c>
      <c r="CK41" s="2004">
        <f>'SUB LIST'!U160</f>
        <v>4</v>
      </c>
      <c r="CL41" s="2004">
        <f>'SUB LIST'!AY160</f>
        <v>7.51E-2</v>
      </c>
    </row>
    <row r="42" spans="85:90">
      <c r="CG42" s="2004" t="str">
        <f>'SUB LIST'!A161</f>
        <v>PR14UUWSWW_S-D2</v>
      </c>
      <c r="CH42" s="2004" t="str">
        <f>'SUB LIST'!P161</f>
        <v>10</v>
      </c>
      <c r="CI42" s="2004" t="str">
        <f>'SUB LIST'!Q161</f>
        <v>WwTWs at medium risk of failing EA permit - large (size band 6)</v>
      </c>
      <c r="CJ42" s="2004" t="str">
        <f>'SUB LIST'!T161</f>
        <v>score</v>
      </c>
      <c r="CK42" s="2004">
        <f>'SUB LIST'!U161</f>
        <v>4</v>
      </c>
      <c r="CL42" s="2004">
        <f>'SUB LIST'!AY161</f>
        <v>0.88739999999999997</v>
      </c>
    </row>
  </sheetData>
  <sheetProtection algorithmName="SHA-512" hashValue="fA5dR6RbWdqHuhwrmX/ZCle6ie6+LJjZLvrWlaSknRBaJYPq65Dea4mIS9yf2YDjBz1/SFHE9T9sPpV2rMH95g==" saltValue="TvEjXb93Jv32+PrY1KMgTg==" spinCount="100000" sheet="1" objects="1" scenarios="1"/>
  <pageMargins left="0.7" right="0.7" top="0.75" bottom="0.75" header="0.3" footer="0.3"/>
  <pageSetup paperSize="9" orientation="portrait" r:id="rId1"/>
  <customProperties>
    <customPr name="_pios_id" r:id="rId2"/>
    <customPr name="EpmWorksheetKeyString_GUID" r:id="rId3"/>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R25"/>
  <sheetViews>
    <sheetView workbookViewId="0"/>
  </sheetViews>
  <sheetFormatPr defaultColWidth="8.875" defaultRowHeight="14.25"/>
  <cols>
    <col min="1" max="1" width="26.5" customWidth="1"/>
    <col min="2" max="2" width="22.125" customWidth="1"/>
    <col min="3" max="17" width="18.5" customWidth="1"/>
    <col min="18" max="18" width="25.125" customWidth="1"/>
  </cols>
  <sheetData>
    <row r="1" spans="1:18" ht="15.75" thickBot="1">
      <c r="A1" s="60" t="s">
        <v>9050</v>
      </c>
      <c r="B1" s="60" t="s">
        <v>9060</v>
      </c>
      <c r="C1" s="60" t="s">
        <v>9070</v>
      </c>
      <c r="D1" s="60" t="s">
        <v>9077</v>
      </c>
      <c r="E1" s="60" t="s">
        <v>9080</v>
      </c>
      <c r="F1" s="60" t="s">
        <v>9082</v>
      </c>
      <c r="G1" s="60" t="s">
        <v>9073</v>
      </c>
      <c r="H1" s="60" t="s">
        <v>9536</v>
      </c>
      <c r="I1" s="60" t="s">
        <v>9668</v>
      </c>
      <c r="J1" s="60" t="s">
        <v>10063</v>
      </c>
      <c r="K1" s="60" t="s">
        <v>10143</v>
      </c>
      <c r="L1" s="60" t="s">
        <v>10333</v>
      </c>
      <c r="M1" s="60" t="s">
        <v>10648</v>
      </c>
      <c r="N1" s="60" t="s">
        <v>10226</v>
      </c>
      <c r="O1" s="60" t="s">
        <v>9066</v>
      </c>
      <c r="P1" s="60" t="s">
        <v>9054</v>
      </c>
      <c r="Q1" s="60" t="s">
        <v>9192</v>
      </c>
      <c r="R1" s="60" t="s">
        <v>9057</v>
      </c>
    </row>
    <row r="2" spans="1:18" ht="13.7" customHeight="1" thickBot="1">
      <c r="A2" s="61" t="s">
        <v>12847</v>
      </c>
      <c r="B2" s="61" t="s">
        <v>12847</v>
      </c>
      <c r="C2" s="61" t="s">
        <v>12847</v>
      </c>
      <c r="D2" s="61" t="s">
        <v>12847</v>
      </c>
      <c r="E2" s="61" t="s">
        <v>12847</v>
      </c>
      <c r="F2" s="61" t="s">
        <v>12847</v>
      </c>
      <c r="G2" s="61" t="s">
        <v>12847</v>
      </c>
      <c r="H2" s="61" t="s">
        <v>12847</v>
      </c>
      <c r="I2" s="61" t="s">
        <v>12847</v>
      </c>
      <c r="J2" s="61" t="s">
        <v>12847</v>
      </c>
      <c r="K2" s="61" t="s">
        <v>12847</v>
      </c>
      <c r="L2" s="61" t="s">
        <v>12847</v>
      </c>
      <c r="M2" s="61" t="s">
        <v>12847</v>
      </c>
      <c r="N2" s="61" t="s">
        <v>12847</v>
      </c>
      <c r="O2" s="61" t="s">
        <v>12847</v>
      </c>
      <c r="P2" s="61" t="s">
        <v>12847</v>
      </c>
      <c r="Q2" s="61" t="s">
        <v>12847</v>
      </c>
      <c r="R2" s="61" t="s">
        <v>12847</v>
      </c>
    </row>
    <row r="3" spans="1:18" ht="57.75" thickBot="1">
      <c r="A3" s="62" t="s">
        <v>12848</v>
      </c>
      <c r="B3" s="62" t="s">
        <v>12849</v>
      </c>
      <c r="C3" s="62" t="s">
        <v>12850</v>
      </c>
      <c r="D3" s="62" t="s">
        <v>12851</v>
      </c>
      <c r="E3" s="62" t="s">
        <v>12852</v>
      </c>
      <c r="F3" s="62" t="s">
        <v>12853</v>
      </c>
      <c r="G3" s="62" t="s">
        <v>12854</v>
      </c>
      <c r="H3" s="62" t="s">
        <v>12855</v>
      </c>
      <c r="I3" s="62" t="s">
        <v>12856</v>
      </c>
      <c r="J3" s="62" t="s">
        <v>12857</v>
      </c>
      <c r="K3" s="62" t="s">
        <v>12858</v>
      </c>
      <c r="L3" s="62" t="s">
        <v>12859</v>
      </c>
      <c r="M3" s="62" t="s">
        <v>12860</v>
      </c>
      <c r="N3" s="62" t="s">
        <v>12861</v>
      </c>
      <c r="O3" s="62" t="s">
        <v>12862</v>
      </c>
      <c r="P3" s="62" t="s">
        <v>12863</v>
      </c>
      <c r="Q3" s="62" t="s">
        <v>12864</v>
      </c>
      <c r="R3" s="62" t="s">
        <v>12865</v>
      </c>
    </row>
    <row r="4" spans="1:18" ht="43.5" thickBot="1">
      <c r="A4" s="62" t="s">
        <v>12866</v>
      </c>
      <c r="B4" s="62" t="s">
        <v>12867</v>
      </c>
      <c r="C4" s="62" t="s">
        <v>12868</v>
      </c>
      <c r="D4" s="62" t="s">
        <v>12869</v>
      </c>
      <c r="E4" s="62" t="s">
        <v>12870</v>
      </c>
      <c r="F4" s="62" t="s">
        <v>12871</v>
      </c>
      <c r="G4" s="62" t="s">
        <v>12872</v>
      </c>
      <c r="H4" s="62" t="s">
        <v>12873</v>
      </c>
      <c r="I4" s="62" t="s">
        <v>12874</v>
      </c>
      <c r="J4" s="62" t="s">
        <v>12875</v>
      </c>
      <c r="K4" s="62" t="s">
        <v>12876</v>
      </c>
      <c r="L4" s="62" t="s">
        <v>12877</v>
      </c>
      <c r="M4" s="62" t="s">
        <v>12878</v>
      </c>
      <c r="N4" s="62" t="s">
        <v>12879</v>
      </c>
      <c r="O4" s="62" t="s">
        <v>12880</v>
      </c>
      <c r="P4" s="62" t="s">
        <v>12881</v>
      </c>
      <c r="Q4" s="62" t="s">
        <v>12882</v>
      </c>
      <c r="R4" s="62" t="s">
        <v>12883</v>
      </c>
    </row>
    <row r="5" spans="1:18" ht="57.75" thickBot="1">
      <c r="A5" s="62" t="s">
        <v>12884</v>
      </c>
      <c r="B5" s="62" t="s">
        <v>12885</v>
      </c>
      <c r="C5" s="62" t="s">
        <v>12886</v>
      </c>
      <c r="D5" s="62" t="s">
        <v>12887</v>
      </c>
      <c r="E5" s="62" t="s">
        <v>12888</v>
      </c>
      <c r="F5" s="62" t="s">
        <v>12889</v>
      </c>
      <c r="G5" s="62" t="s">
        <v>12890</v>
      </c>
      <c r="H5" s="62" t="s">
        <v>12891</v>
      </c>
      <c r="I5" s="62" t="s">
        <v>12892</v>
      </c>
      <c r="J5" s="62" t="s">
        <v>12893</v>
      </c>
      <c r="K5" s="62" t="s">
        <v>12894</v>
      </c>
      <c r="L5" s="62" t="s">
        <v>12895</v>
      </c>
      <c r="M5" s="62" t="s">
        <v>12896</v>
      </c>
      <c r="N5" s="62" t="s">
        <v>12897</v>
      </c>
      <c r="O5" s="62" t="s">
        <v>12898</v>
      </c>
      <c r="P5" s="62" t="s">
        <v>12899</v>
      </c>
      <c r="Q5" s="62" t="s">
        <v>12900</v>
      </c>
      <c r="R5" s="62" t="s">
        <v>12901</v>
      </c>
    </row>
    <row r="6" spans="1:18" ht="57.75" thickBot="1">
      <c r="A6" s="62" t="s">
        <v>12902</v>
      </c>
      <c r="B6" s="62" t="s">
        <v>12903</v>
      </c>
      <c r="C6" s="62" t="s">
        <v>12904</v>
      </c>
      <c r="D6" s="62" t="s">
        <v>12905</v>
      </c>
      <c r="E6" s="62" t="s">
        <v>12906</v>
      </c>
      <c r="F6" s="62" t="s">
        <v>12907</v>
      </c>
      <c r="G6" s="62" t="s">
        <v>12908</v>
      </c>
      <c r="H6" s="62" t="s">
        <v>12909</v>
      </c>
      <c r="I6" s="62" t="s">
        <v>12910</v>
      </c>
      <c r="J6" s="62" t="s">
        <v>12911</v>
      </c>
      <c r="K6" s="62" t="s">
        <v>12912</v>
      </c>
      <c r="L6" s="62" t="s">
        <v>12913</v>
      </c>
      <c r="M6" s="62" t="s">
        <v>12914</v>
      </c>
      <c r="N6" s="62" t="s">
        <v>12915</v>
      </c>
      <c r="O6" s="62" t="s">
        <v>12916</v>
      </c>
      <c r="P6" s="62" t="s">
        <v>12899</v>
      </c>
      <c r="Q6" s="62" t="s">
        <v>12917</v>
      </c>
      <c r="R6" s="62" t="s">
        <v>12918</v>
      </c>
    </row>
    <row r="7" spans="1:18" ht="57.75" thickBot="1">
      <c r="A7" s="62" t="s">
        <v>12919</v>
      </c>
      <c r="B7" s="62" t="s">
        <v>12920</v>
      </c>
      <c r="C7" s="62" t="s">
        <v>12921</v>
      </c>
      <c r="D7" s="62" t="s">
        <v>12922</v>
      </c>
      <c r="E7" s="62" t="s">
        <v>12923</v>
      </c>
      <c r="F7" s="2004"/>
      <c r="G7" s="62" t="s">
        <v>12924</v>
      </c>
      <c r="H7" s="62" t="s">
        <v>12925</v>
      </c>
      <c r="I7" s="62" t="s">
        <v>12926</v>
      </c>
      <c r="J7" s="2004"/>
      <c r="K7" s="62" t="s">
        <v>12927</v>
      </c>
      <c r="L7" s="62" t="s">
        <v>12928</v>
      </c>
      <c r="M7" s="62" t="s">
        <v>12929</v>
      </c>
      <c r="N7" s="62" t="s">
        <v>12930</v>
      </c>
      <c r="O7" s="62" t="s">
        <v>12931</v>
      </c>
      <c r="P7" s="62" t="s">
        <v>12932</v>
      </c>
      <c r="Q7" s="62" t="s">
        <v>12933</v>
      </c>
      <c r="R7" s="62" t="s">
        <v>12934</v>
      </c>
    </row>
    <row r="8" spans="1:18" ht="57.75" thickBot="1">
      <c r="A8" s="62" t="s">
        <v>12935</v>
      </c>
      <c r="B8" s="2004"/>
      <c r="C8" s="62" t="s">
        <v>12936</v>
      </c>
      <c r="D8" s="62" t="s">
        <v>12937</v>
      </c>
      <c r="E8" s="62" t="s">
        <v>12938</v>
      </c>
      <c r="F8" s="2004"/>
      <c r="G8" s="62" t="s">
        <v>12939</v>
      </c>
      <c r="H8" s="62" t="s">
        <v>12940</v>
      </c>
      <c r="I8" s="62" t="s">
        <v>12941</v>
      </c>
      <c r="J8" s="2004"/>
      <c r="K8" s="62" t="s">
        <v>12942</v>
      </c>
      <c r="L8" s="62" t="s">
        <v>12943</v>
      </c>
      <c r="M8" s="62" t="s">
        <v>12944</v>
      </c>
      <c r="N8" s="62" t="s">
        <v>12945</v>
      </c>
      <c r="O8" s="62" t="s">
        <v>12946</v>
      </c>
      <c r="P8" s="62" t="s">
        <v>12947</v>
      </c>
      <c r="Q8" s="2004"/>
      <c r="R8" s="62" t="s">
        <v>12948</v>
      </c>
    </row>
    <row r="9" spans="1:18" ht="43.5" thickBot="1">
      <c r="A9" s="62" t="s">
        <v>12949</v>
      </c>
      <c r="B9" s="2004"/>
      <c r="C9" s="2004"/>
      <c r="D9" s="2004"/>
      <c r="E9" s="62" t="s">
        <v>12950</v>
      </c>
      <c r="F9" s="2004"/>
      <c r="G9" s="62" t="s">
        <v>12951</v>
      </c>
      <c r="H9" s="62" t="s">
        <v>12952</v>
      </c>
      <c r="I9" s="2004"/>
      <c r="J9" s="2004"/>
      <c r="K9" s="62" t="s">
        <v>12953</v>
      </c>
      <c r="L9" s="2004"/>
      <c r="M9" s="62" t="s">
        <v>12954</v>
      </c>
      <c r="N9" s="62" t="s">
        <v>12955</v>
      </c>
      <c r="O9" s="2004"/>
      <c r="P9" s="62" t="s">
        <v>12956</v>
      </c>
      <c r="Q9" s="2004"/>
      <c r="R9" s="62" t="s">
        <v>12957</v>
      </c>
    </row>
    <row r="10" spans="1:18" ht="57.75" thickBot="1">
      <c r="A10" s="62" t="s">
        <v>12958</v>
      </c>
      <c r="B10" s="2004"/>
      <c r="C10" s="2004"/>
      <c r="D10" s="2004"/>
      <c r="E10" s="62" t="s">
        <v>12959</v>
      </c>
      <c r="F10" s="2004"/>
      <c r="G10" s="62" t="s">
        <v>12960</v>
      </c>
      <c r="H10" s="62" t="s">
        <v>12961</v>
      </c>
      <c r="I10" s="2004"/>
      <c r="J10" s="2004"/>
      <c r="K10" s="62" t="s">
        <v>12962</v>
      </c>
      <c r="L10" s="2004"/>
      <c r="M10" s="62" t="s">
        <v>12963</v>
      </c>
      <c r="N10" s="62" t="s">
        <v>12964</v>
      </c>
      <c r="O10" s="2004"/>
      <c r="P10" s="62" t="s">
        <v>12965</v>
      </c>
      <c r="Q10" s="2004"/>
      <c r="R10" s="62" t="s">
        <v>12966</v>
      </c>
    </row>
    <row r="11" spans="1:18" ht="57.75" thickBot="1">
      <c r="A11" s="62" t="s">
        <v>12967</v>
      </c>
      <c r="B11" s="2004"/>
      <c r="C11" s="2004"/>
      <c r="D11" s="2004"/>
      <c r="E11" s="62" t="s">
        <v>12968</v>
      </c>
      <c r="F11" s="2004"/>
      <c r="G11" s="62" t="s">
        <v>12969</v>
      </c>
      <c r="H11" s="2004"/>
      <c r="I11" s="63"/>
      <c r="J11" s="2004"/>
      <c r="K11" s="2004"/>
      <c r="L11" s="2004"/>
      <c r="M11" s="62" t="s">
        <v>12970</v>
      </c>
      <c r="N11" s="62" t="s">
        <v>12971</v>
      </c>
      <c r="O11" s="2004"/>
      <c r="P11" s="62" t="s">
        <v>12972</v>
      </c>
      <c r="Q11" s="2004"/>
      <c r="R11" s="62" t="s">
        <v>12973</v>
      </c>
    </row>
    <row r="12" spans="1:18" ht="57.75" thickBot="1">
      <c r="A12" s="62" t="s">
        <v>12974</v>
      </c>
      <c r="B12" s="2004"/>
      <c r="C12" s="2004"/>
      <c r="D12" s="2004"/>
      <c r="E12" s="62" t="s">
        <v>12975</v>
      </c>
      <c r="F12" s="2004"/>
      <c r="G12" s="62" t="s">
        <v>12976</v>
      </c>
      <c r="H12" s="2004"/>
      <c r="I12" s="63"/>
      <c r="J12" s="2004"/>
      <c r="K12" s="2004"/>
      <c r="L12" s="2004"/>
      <c r="M12" s="62" t="s">
        <v>12977</v>
      </c>
      <c r="N12" s="62" t="s">
        <v>12978</v>
      </c>
      <c r="O12" s="2004"/>
      <c r="P12" s="62" t="s">
        <v>12979</v>
      </c>
      <c r="Q12" s="2004"/>
      <c r="R12" s="62" t="s">
        <v>12980</v>
      </c>
    </row>
    <row r="13" spans="1:18" ht="57.75" thickBot="1">
      <c r="A13" s="62" t="s">
        <v>12981</v>
      </c>
      <c r="B13" s="2004"/>
      <c r="C13" s="2004"/>
      <c r="D13" s="2004"/>
      <c r="E13" s="62" t="s">
        <v>12982</v>
      </c>
      <c r="F13" s="2004"/>
      <c r="G13" s="62" t="s">
        <v>12983</v>
      </c>
      <c r="H13" s="2004"/>
      <c r="I13" s="63"/>
      <c r="J13" s="2004"/>
      <c r="K13" s="2004"/>
      <c r="L13" s="2004"/>
      <c r="M13" s="2004"/>
      <c r="N13" s="2004"/>
      <c r="O13" s="2004"/>
      <c r="P13" s="62" t="s">
        <v>12984</v>
      </c>
      <c r="Q13" s="2004"/>
      <c r="R13" s="62" t="s">
        <v>12985</v>
      </c>
    </row>
    <row r="14" spans="1:18" ht="57.75" thickBot="1">
      <c r="A14" s="62" t="s">
        <v>12986</v>
      </c>
      <c r="B14" s="2004"/>
      <c r="C14" s="2004"/>
      <c r="D14" s="2004"/>
      <c r="E14" s="62" t="s">
        <v>12987</v>
      </c>
      <c r="F14" s="2004"/>
      <c r="G14" s="62" t="s">
        <v>12988</v>
      </c>
      <c r="H14" s="2004"/>
      <c r="I14" s="2004"/>
      <c r="J14" s="2004"/>
      <c r="K14" s="2004"/>
      <c r="L14" s="2004"/>
      <c r="M14" s="2004"/>
      <c r="N14" s="2004"/>
      <c r="O14" s="2004"/>
      <c r="P14" s="62" t="s">
        <v>12989</v>
      </c>
      <c r="Q14" s="2004"/>
      <c r="R14" s="2004"/>
    </row>
    <row r="15" spans="1:18" ht="57.75" thickBot="1">
      <c r="A15" s="62" t="s">
        <v>12990</v>
      </c>
      <c r="B15" s="2004"/>
      <c r="C15" s="2004"/>
      <c r="D15" s="2004"/>
      <c r="E15" s="62" t="s">
        <v>12991</v>
      </c>
      <c r="F15" s="2004"/>
      <c r="G15" s="2004"/>
      <c r="H15" s="2004"/>
      <c r="I15" s="2004"/>
      <c r="J15" s="2004"/>
      <c r="K15" s="2004"/>
      <c r="L15" s="2004"/>
      <c r="M15" s="2004"/>
      <c r="N15" s="2004"/>
      <c r="O15" s="2004"/>
      <c r="P15" s="62" t="s">
        <v>12992</v>
      </c>
      <c r="Q15" s="2004"/>
      <c r="R15" s="2004"/>
    </row>
    <row r="16" spans="1:18" ht="57.75" thickBot="1">
      <c r="A16" s="62" t="s">
        <v>12993</v>
      </c>
      <c r="B16" s="2004"/>
      <c r="C16" s="2004"/>
      <c r="D16" s="2004"/>
      <c r="E16" s="2004"/>
      <c r="F16" s="2004"/>
      <c r="G16" s="2004"/>
      <c r="H16" s="2004"/>
      <c r="I16" s="2004"/>
      <c r="J16" s="2004"/>
      <c r="K16" s="2004"/>
      <c r="L16" s="2004"/>
      <c r="M16" s="2004"/>
      <c r="N16" s="2004"/>
      <c r="O16" s="2004"/>
      <c r="P16" s="62" t="s">
        <v>12994</v>
      </c>
      <c r="Q16" s="2004"/>
      <c r="R16" s="2004"/>
    </row>
    <row r="17" spans="1:18" ht="29.25" thickBot="1">
      <c r="A17" s="62" t="s">
        <v>12995</v>
      </c>
      <c r="B17" s="2004"/>
      <c r="C17" s="2004"/>
      <c r="D17" s="2004"/>
      <c r="E17" s="2004"/>
      <c r="F17" s="2004"/>
      <c r="G17" s="2004"/>
      <c r="H17" s="2004"/>
      <c r="I17" s="2004"/>
      <c r="J17" s="2004"/>
      <c r="K17" s="2004"/>
      <c r="L17" s="2004"/>
      <c r="M17" s="2004"/>
      <c r="N17" s="2004"/>
      <c r="O17" s="2004"/>
      <c r="P17" s="2004"/>
      <c r="Q17" s="2004"/>
      <c r="R17" s="2004"/>
    </row>
    <row r="18" spans="1:18" ht="29.25" thickBot="1">
      <c r="A18" s="62" t="s">
        <v>12996</v>
      </c>
      <c r="B18" s="2004"/>
      <c r="C18" s="2004"/>
      <c r="D18" s="2004"/>
      <c r="E18" s="2004"/>
      <c r="F18" s="2004"/>
      <c r="G18" s="2004"/>
      <c r="H18" s="2004"/>
      <c r="I18" s="2004"/>
      <c r="J18" s="2004"/>
      <c r="K18" s="2004"/>
      <c r="L18" s="2004"/>
      <c r="M18" s="2004"/>
      <c r="N18" s="2004"/>
      <c r="O18" s="2004"/>
      <c r="P18" s="2004"/>
      <c r="Q18" s="2004"/>
      <c r="R18" s="2004"/>
    </row>
    <row r="19" spans="1:18" ht="28.5">
      <c r="A19" s="62" t="s">
        <v>12997</v>
      </c>
      <c r="B19" s="2004"/>
      <c r="C19" s="2004"/>
      <c r="D19" s="2004"/>
      <c r="E19" s="2004"/>
      <c r="F19" s="2004"/>
      <c r="G19" s="2004"/>
      <c r="H19" s="2004"/>
      <c r="I19" s="2004"/>
      <c r="J19" s="2004"/>
      <c r="K19" s="2004"/>
      <c r="L19" s="2004"/>
      <c r="M19" s="2004"/>
      <c r="N19" s="2004"/>
      <c r="O19" s="2004"/>
      <c r="P19" s="2004"/>
      <c r="Q19" s="2004"/>
      <c r="R19" s="64"/>
    </row>
    <row r="20" spans="1:18">
      <c r="A20" s="2004"/>
      <c r="B20" s="2004"/>
      <c r="C20" s="2004"/>
      <c r="D20" s="2004"/>
      <c r="E20" s="2004"/>
      <c r="F20" s="2004"/>
      <c r="G20" s="2004"/>
      <c r="H20" s="2004"/>
      <c r="I20" s="2004"/>
      <c r="J20" s="2004"/>
      <c r="K20" s="2004"/>
      <c r="L20" s="2004"/>
      <c r="M20" s="2004"/>
      <c r="N20" s="2004"/>
      <c r="O20" s="2004"/>
      <c r="P20" s="2004"/>
      <c r="Q20" s="2004"/>
      <c r="R20" s="64"/>
    </row>
    <row r="21" spans="1:18">
      <c r="A21" s="2004"/>
      <c r="B21" s="2004"/>
      <c r="C21" s="2004"/>
      <c r="D21" s="2004"/>
      <c r="E21" s="2004"/>
      <c r="F21" s="2004"/>
      <c r="G21" s="2004"/>
      <c r="H21" s="2004"/>
      <c r="I21" s="2004"/>
      <c r="J21" s="2004"/>
      <c r="K21" s="2004"/>
      <c r="L21" s="2004"/>
      <c r="M21" s="2004"/>
      <c r="N21" s="2004"/>
      <c r="O21" s="2004"/>
      <c r="P21" s="2004"/>
      <c r="Q21" s="2004"/>
      <c r="R21" s="64"/>
    </row>
    <row r="22" spans="1:18">
      <c r="A22" s="2004"/>
      <c r="B22" s="2004"/>
      <c r="C22" s="2004"/>
      <c r="D22" s="2004"/>
      <c r="E22" s="2004"/>
      <c r="F22" s="2004"/>
      <c r="G22" s="2004"/>
      <c r="H22" s="2004"/>
      <c r="I22" s="2004"/>
      <c r="J22" s="2004"/>
      <c r="K22" s="2004"/>
      <c r="L22" s="2004"/>
      <c r="M22" s="2004"/>
      <c r="N22" s="2004"/>
      <c r="O22" s="2004"/>
      <c r="P22" s="2004"/>
      <c r="Q22" s="2004"/>
      <c r="R22" s="64"/>
    </row>
    <row r="23" spans="1:18">
      <c r="A23" s="2004"/>
      <c r="B23" s="2004"/>
      <c r="C23" s="2004"/>
      <c r="D23" s="2004"/>
      <c r="E23" s="2004"/>
      <c r="F23" s="2004"/>
      <c r="G23" s="2004"/>
      <c r="H23" s="2004"/>
      <c r="I23" s="2004"/>
      <c r="J23" s="2004"/>
      <c r="K23" s="2004"/>
      <c r="L23" s="2004"/>
      <c r="M23" s="2004"/>
      <c r="N23" s="2004"/>
      <c r="O23" s="2004"/>
      <c r="P23" s="2004"/>
      <c r="Q23" s="2004"/>
      <c r="R23" s="64"/>
    </row>
    <row r="24" spans="1:18">
      <c r="A24" s="2004"/>
      <c r="B24" s="2004"/>
      <c r="C24" s="2004"/>
      <c r="D24" s="2004"/>
      <c r="E24" s="2004"/>
      <c r="F24" s="2004"/>
      <c r="G24" s="2004"/>
      <c r="H24" s="2004"/>
      <c r="I24" s="2004"/>
      <c r="J24" s="2004"/>
      <c r="K24" s="2004"/>
      <c r="L24" s="2004"/>
      <c r="M24" s="2004"/>
      <c r="N24" s="2004"/>
      <c r="O24" s="2004"/>
      <c r="P24" s="2004"/>
      <c r="Q24" s="2004"/>
      <c r="R24" s="64"/>
    </row>
    <row r="25" spans="1:18">
      <c r="A25" s="2004"/>
      <c r="B25" s="2004"/>
      <c r="C25" s="2004"/>
      <c r="D25" s="2004"/>
      <c r="E25" s="2004"/>
      <c r="F25" s="2004"/>
      <c r="G25" s="2004"/>
      <c r="H25" s="2004"/>
      <c r="I25" s="2004"/>
      <c r="J25" s="2004"/>
      <c r="K25" s="2004"/>
      <c r="L25" s="2004"/>
      <c r="M25" s="2004"/>
      <c r="N25" s="2004"/>
      <c r="O25" s="2004"/>
      <c r="P25" s="2004"/>
      <c r="Q25" s="2004"/>
      <c r="R25" s="64"/>
    </row>
  </sheetData>
  <sheetProtection algorithmName="SHA-512" hashValue="/SxEBPluF3Eb7b7wf44AXpvdoZdDPUbHm13Ory+AOsgiSoyqBXP7DEXWxkYvDdwAwUIIY7Jmx/1EEDT+AZOLzQ==" saltValue="k8QrYbJVUDRZRYGr5STtRQ==" spinCount="100000" sheet="1" objects="1" scenarios="1"/>
  <autoFilter ref="A1:R25" xr:uid="{00000000-0009-0000-0000-00003C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J22"/>
  <sheetViews>
    <sheetView workbookViewId="0"/>
  </sheetViews>
  <sheetFormatPr defaultColWidth="8.875" defaultRowHeight="14.25"/>
  <cols>
    <col min="1" max="1" width="26.5" customWidth="1"/>
    <col min="2" max="2" width="22.125" customWidth="1"/>
    <col min="3" max="7" width="18.5" customWidth="1"/>
    <col min="8" max="8" width="15.125" customWidth="1"/>
    <col min="9" max="9" width="15" customWidth="1"/>
    <col min="10" max="10" width="18.5" customWidth="1"/>
  </cols>
  <sheetData>
    <row r="1" spans="1:10" s="60" customFormat="1" ht="15.75" thickBot="1">
      <c r="A1" s="60" t="s">
        <v>9050</v>
      </c>
      <c r="B1" s="60" t="s">
        <v>9060</v>
      </c>
      <c r="C1" s="60" t="s">
        <v>9070</v>
      </c>
      <c r="D1" s="60" t="s">
        <v>9077</v>
      </c>
      <c r="E1" s="60" t="s">
        <v>9080</v>
      </c>
      <c r="F1" s="60" t="s">
        <v>9082</v>
      </c>
      <c r="G1" s="60" t="s">
        <v>9073</v>
      </c>
      <c r="H1" s="60" t="s">
        <v>9054</v>
      </c>
      <c r="I1" s="60" t="s">
        <v>9057</v>
      </c>
      <c r="J1" s="60" t="s">
        <v>9066</v>
      </c>
    </row>
    <row r="2" spans="1:10" ht="15" thickBot="1">
      <c r="A2" s="61" t="s">
        <v>12847</v>
      </c>
      <c r="B2" s="61" t="s">
        <v>12847</v>
      </c>
      <c r="C2" s="61" t="s">
        <v>12847</v>
      </c>
      <c r="D2" s="61" t="s">
        <v>12847</v>
      </c>
      <c r="E2" s="61" t="s">
        <v>12847</v>
      </c>
      <c r="F2" s="61" t="s">
        <v>12847</v>
      </c>
      <c r="G2" s="61" t="s">
        <v>12847</v>
      </c>
      <c r="H2" s="61" t="s">
        <v>12847</v>
      </c>
      <c r="I2" s="61" t="s">
        <v>12847</v>
      </c>
      <c r="J2" s="61" t="s">
        <v>12847</v>
      </c>
    </row>
    <row r="3" spans="1:10" ht="57.75" thickBot="1">
      <c r="A3" s="62" t="s">
        <v>12998</v>
      </c>
      <c r="B3" s="62" t="s">
        <v>12999</v>
      </c>
      <c r="C3" s="62" t="s">
        <v>13000</v>
      </c>
      <c r="D3" s="62" t="s">
        <v>13001</v>
      </c>
      <c r="E3" s="62" t="s">
        <v>13002</v>
      </c>
      <c r="F3" s="62" t="s">
        <v>13003</v>
      </c>
      <c r="G3" s="62" t="s">
        <v>13004</v>
      </c>
      <c r="H3" s="62" t="s">
        <v>13005</v>
      </c>
      <c r="I3" s="62" t="s">
        <v>13006</v>
      </c>
      <c r="J3" s="62" t="s">
        <v>13007</v>
      </c>
    </row>
    <row r="4" spans="1:10" ht="57.75" thickBot="1">
      <c r="A4" s="62" t="s">
        <v>13008</v>
      </c>
      <c r="B4" s="62" t="s">
        <v>13009</v>
      </c>
      <c r="C4" s="62" t="s">
        <v>13010</v>
      </c>
      <c r="D4" s="62" t="s">
        <v>13011</v>
      </c>
      <c r="E4" s="62" t="s">
        <v>13012</v>
      </c>
      <c r="F4" s="62" t="s">
        <v>13013</v>
      </c>
      <c r="G4" s="62" t="s">
        <v>13014</v>
      </c>
      <c r="H4" s="62" t="s">
        <v>13015</v>
      </c>
      <c r="I4" s="62" t="s">
        <v>13016</v>
      </c>
      <c r="J4" s="62" t="s">
        <v>13017</v>
      </c>
    </row>
    <row r="5" spans="1:10" ht="57.75" thickBot="1">
      <c r="A5" s="62" t="s">
        <v>13018</v>
      </c>
      <c r="B5" s="62" t="s">
        <v>13019</v>
      </c>
      <c r="C5" s="62" t="s">
        <v>13020</v>
      </c>
      <c r="D5" s="62" t="s">
        <v>13021</v>
      </c>
      <c r="E5" s="62" t="s">
        <v>13022</v>
      </c>
      <c r="F5" s="62" t="s">
        <v>13023</v>
      </c>
      <c r="G5" s="62" t="s">
        <v>13024</v>
      </c>
      <c r="H5" s="62" t="s">
        <v>13025</v>
      </c>
      <c r="I5" s="62" t="s">
        <v>13026</v>
      </c>
      <c r="J5" s="62" t="s">
        <v>13027</v>
      </c>
    </row>
    <row r="6" spans="1:10" ht="57.75" thickBot="1">
      <c r="A6" s="62" t="s">
        <v>13028</v>
      </c>
      <c r="B6" s="62" t="s">
        <v>13029</v>
      </c>
      <c r="C6" s="62" t="s">
        <v>13030</v>
      </c>
      <c r="D6" s="62" t="s">
        <v>13031</v>
      </c>
      <c r="E6" s="62" t="s">
        <v>13032</v>
      </c>
      <c r="F6" s="62" t="s">
        <v>13033</v>
      </c>
      <c r="G6" s="62" t="s">
        <v>13034</v>
      </c>
      <c r="H6" s="62" t="s">
        <v>13035</v>
      </c>
      <c r="I6" s="62" t="s">
        <v>13036</v>
      </c>
      <c r="J6" s="62" t="s">
        <v>13037</v>
      </c>
    </row>
    <row r="7" spans="1:10" ht="72" thickBot="1">
      <c r="A7" s="62" t="s">
        <v>13038</v>
      </c>
      <c r="B7" s="62" t="s">
        <v>13039</v>
      </c>
      <c r="C7" s="62" t="s">
        <v>13040</v>
      </c>
      <c r="D7" s="62" t="s">
        <v>13041</v>
      </c>
      <c r="E7" s="62" t="s">
        <v>13042</v>
      </c>
      <c r="F7" s="62" t="s">
        <v>13043</v>
      </c>
      <c r="G7" s="62" t="s">
        <v>13044</v>
      </c>
      <c r="H7" s="62" t="s">
        <v>13045</v>
      </c>
      <c r="I7" s="62" t="s">
        <v>13046</v>
      </c>
      <c r="J7" s="62" t="s">
        <v>13047</v>
      </c>
    </row>
    <row r="8" spans="1:10" ht="43.5" thickBot="1">
      <c r="A8" s="62" t="s">
        <v>13048</v>
      </c>
      <c r="B8" s="62" t="s">
        <v>13049</v>
      </c>
      <c r="C8" s="62" t="s">
        <v>13050</v>
      </c>
      <c r="D8" s="62" t="s">
        <v>13051</v>
      </c>
      <c r="E8" s="62" t="s">
        <v>13052</v>
      </c>
      <c r="F8" s="62" t="s">
        <v>13053</v>
      </c>
      <c r="G8" s="62" t="s">
        <v>13054</v>
      </c>
      <c r="H8" s="62" t="s">
        <v>13055</v>
      </c>
      <c r="I8" s="65"/>
      <c r="J8" s="62" t="s">
        <v>13056</v>
      </c>
    </row>
    <row r="9" spans="1:10" ht="43.5" thickBot="1">
      <c r="A9" s="62" t="s">
        <v>13057</v>
      </c>
      <c r="B9" s="62" t="s">
        <v>13058</v>
      </c>
      <c r="C9" s="62" t="s">
        <v>13059</v>
      </c>
      <c r="D9" s="62" t="s">
        <v>13060</v>
      </c>
      <c r="E9" s="62" t="s">
        <v>13061</v>
      </c>
      <c r="F9" s="62" t="s">
        <v>13062</v>
      </c>
      <c r="G9" s="62" t="s">
        <v>13063</v>
      </c>
      <c r="H9" s="2004"/>
      <c r="I9" s="65"/>
      <c r="J9" s="62" t="s">
        <v>13064</v>
      </c>
    </row>
    <row r="10" spans="1:10" ht="43.5" thickBot="1">
      <c r="A10" s="62" t="s">
        <v>13065</v>
      </c>
      <c r="B10" s="62" t="s">
        <v>13066</v>
      </c>
      <c r="C10" s="62" t="s">
        <v>13067</v>
      </c>
      <c r="D10" s="62" t="s">
        <v>13068</v>
      </c>
      <c r="E10" s="62" t="s">
        <v>13069</v>
      </c>
      <c r="F10" s="2004"/>
      <c r="G10" s="62" t="s">
        <v>13070</v>
      </c>
      <c r="H10" s="2004"/>
      <c r="I10" s="65"/>
      <c r="J10" s="2004"/>
    </row>
    <row r="11" spans="1:10" ht="43.5" thickBot="1">
      <c r="A11" s="62" t="s">
        <v>13071</v>
      </c>
      <c r="B11" s="62" t="s">
        <v>13072</v>
      </c>
      <c r="C11" s="2004"/>
      <c r="D11" s="62" t="s">
        <v>13073</v>
      </c>
      <c r="E11" s="62" t="s">
        <v>13074</v>
      </c>
      <c r="F11" s="2004"/>
      <c r="G11" s="62" t="s">
        <v>13075</v>
      </c>
      <c r="H11" s="2004"/>
      <c r="I11" s="65"/>
      <c r="J11" s="2004"/>
    </row>
    <row r="12" spans="1:10" ht="57.75" thickBot="1">
      <c r="A12" s="62" t="s">
        <v>13076</v>
      </c>
      <c r="B12" s="62" t="s">
        <v>13077</v>
      </c>
      <c r="C12" s="2004"/>
      <c r="D12" s="2004"/>
      <c r="E12" s="62" t="s">
        <v>13078</v>
      </c>
      <c r="F12" s="2004"/>
      <c r="G12" s="62" t="s">
        <v>13079</v>
      </c>
      <c r="H12" s="2004"/>
      <c r="I12" s="2004"/>
      <c r="J12" s="2004"/>
    </row>
    <row r="13" spans="1:10" ht="57.75" thickBot="1">
      <c r="A13" s="2004"/>
      <c r="B13" s="62" t="s">
        <v>13080</v>
      </c>
      <c r="C13" s="2004"/>
      <c r="D13" s="2004"/>
      <c r="E13" s="62" t="s">
        <v>13081</v>
      </c>
      <c r="F13" s="2004"/>
      <c r="G13" s="62" t="s">
        <v>13082</v>
      </c>
      <c r="H13" s="2004"/>
      <c r="I13" s="2004"/>
      <c r="J13" s="2004"/>
    </row>
    <row r="14" spans="1:10" ht="57.75" thickBot="1">
      <c r="A14" s="2004"/>
      <c r="B14" s="62" t="s">
        <v>13083</v>
      </c>
      <c r="C14" s="2004"/>
      <c r="D14" s="2004"/>
      <c r="E14" s="62" t="s">
        <v>13084</v>
      </c>
      <c r="F14" s="2004"/>
      <c r="G14" s="62" t="s">
        <v>13085</v>
      </c>
      <c r="H14" s="2004"/>
      <c r="I14" s="2004"/>
      <c r="J14" s="2004"/>
    </row>
    <row r="15" spans="1:10" ht="57.75" thickBot="1">
      <c r="A15" s="2004"/>
      <c r="B15" s="62" t="s">
        <v>13086</v>
      </c>
      <c r="C15" s="2004"/>
      <c r="D15" s="2004"/>
      <c r="E15" s="62" t="s">
        <v>13087</v>
      </c>
      <c r="F15" s="2004"/>
      <c r="G15" s="62" t="s">
        <v>13088</v>
      </c>
      <c r="H15" s="2004"/>
      <c r="I15" s="2004"/>
      <c r="J15" s="2004"/>
    </row>
    <row r="16" spans="1:10" ht="43.5" thickBot="1">
      <c r="A16" s="2004"/>
      <c r="B16" s="2004"/>
      <c r="C16" s="2004"/>
      <c r="D16" s="2004"/>
      <c r="E16" s="62" t="s">
        <v>13089</v>
      </c>
      <c r="F16" s="2004"/>
      <c r="G16" s="62" t="s">
        <v>13090</v>
      </c>
      <c r="H16" s="2004"/>
      <c r="I16" s="2004"/>
      <c r="J16" s="2004"/>
    </row>
    <row r="17" spans="5:7" ht="57.75" thickBot="1">
      <c r="E17" s="62" t="s">
        <v>13091</v>
      </c>
      <c r="F17" s="2004"/>
      <c r="G17" s="62" t="s">
        <v>13092</v>
      </c>
    </row>
    <row r="18" spans="5:7" ht="72" thickBot="1">
      <c r="E18" s="62" t="s">
        <v>13093</v>
      </c>
      <c r="F18" s="2004"/>
      <c r="G18" s="62" t="s">
        <v>13094</v>
      </c>
    </row>
    <row r="19" spans="5:7" ht="72" thickBot="1">
      <c r="E19" s="62" t="s">
        <v>13095</v>
      </c>
      <c r="F19" s="2004"/>
      <c r="G19" s="62" t="s">
        <v>13096</v>
      </c>
    </row>
    <row r="20" spans="5:7" ht="72" thickBot="1">
      <c r="E20" s="62" t="s">
        <v>13097</v>
      </c>
      <c r="F20" s="2004"/>
      <c r="G20" s="62" t="s">
        <v>13098</v>
      </c>
    </row>
    <row r="21" spans="5:7" ht="57.75" thickBot="1">
      <c r="E21" s="62" t="s">
        <v>13099</v>
      </c>
      <c r="F21" s="2004"/>
      <c r="G21" s="62" t="s">
        <v>13100</v>
      </c>
    </row>
    <row r="22" spans="5:7" ht="42.75">
      <c r="E22" s="62" t="s">
        <v>13101</v>
      </c>
      <c r="F22" s="2004"/>
      <c r="G22" s="2004"/>
    </row>
  </sheetData>
  <sheetProtection algorithmName="SHA-512" hashValue="IGJYJGvfmzBHd7mxvx64LVCpXzLj9+NqLtewkiX0sg562Ro3FLpEFhgTFM9WvEfdVkTEaM4hV6Nv4Z7WT5aLFQ==" saltValue="WcTMGyhkVSL6VeLV/RB5qw==" spinCount="100000" sheet="1" objects="1" scenarios="1"/>
  <autoFilter ref="A1:G30" xr:uid="{00000000-0009-0000-0000-00003D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7">
    <pageSetUpPr fitToPage="1"/>
  </sheetPr>
  <dimension ref="A1:R21"/>
  <sheetViews>
    <sheetView workbookViewId="0"/>
  </sheetViews>
  <sheetFormatPr defaultColWidth="8.875" defaultRowHeight="14.25"/>
  <cols>
    <col min="1" max="1" width="14.125" style="1322" customWidth="1"/>
    <col min="2" max="18" width="14.125" customWidth="1"/>
  </cols>
  <sheetData>
    <row r="1" spans="1:18" ht="15.75" thickBot="1">
      <c r="A1" s="1967" t="s">
        <v>9050</v>
      </c>
      <c r="B1" s="1968" t="s">
        <v>9060</v>
      </c>
      <c r="C1" s="1968" t="s">
        <v>9070</v>
      </c>
      <c r="D1" s="1968" t="s">
        <v>9077</v>
      </c>
      <c r="E1" s="1968" t="s">
        <v>9080</v>
      </c>
      <c r="F1" s="1968" t="s">
        <v>9082</v>
      </c>
      <c r="G1" s="1968" t="s">
        <v>9073</v>
      </c>
      <c r="H1" s="1968" t="s">
        <v>9536</v>
      </c>
      <c r="I1" s="1968" t="s">
        <v>9668</v>
      </c>
      <c r="J1" s="1968" t="s">
        <v>10063</v>
      </c>
      <c r="K1" s="1968" t="s">
        <v>10143</v>
      </c>
      <c r="L1" s="1968" t="s">
        <v>10333</v>
      </c>
      <c r="M1" s="1968" t="s">
        <v>10648</v>
      </c>
      <c r="N1" s="1968" t="s">
        <v>10226</v>
      </c>
      <c r="O1" s="1968" t="s">
        <v>9066</v>
      </c>
      <c r="P1" s="1968" t="s">
        <v>9054</v>
      </c>
      <c r="Q1" s="1968" t="s">
        <v>9192</v>
      </c>
      <c r="R1" s="1968" t="s">
        <v>9057</v>
      </c>
    </row>
    <row r="2" spans="1:18" ht="29.25" thickBot="1">
      <c r="A2" s="61" t="s">
        <v>12847</v>
      </c>
      <c r="B2" s="61" t="s">
        <v>12847</v>
      </c>
      <c r="C2" s="61" t="s">
        <v>12847</v>
      </c>
      <c r="D2" s="61" t="s">
        <v>12847</v>
      </c>
      <c r="E2" s="61" t="s">
        <v>12847</v>
      </c>
      <c r="F2" s="61" t="s">
        <v>12847</v>
      </c>
      <c r="G2" s="61" t="s">
        <v>12847</v>
      </c>
      <c r="H2" s="61" t="s">
        <v>12847</v>
      </c>
      <c r="I2" s="61" t="s">
        <v>12847</v>
      </c>
      <c r="J2" s="61" t="s">
        <v>12847</v>
      </c>
      <c r="K2" s="61" t="s">
        <v>12847</v>
      </c>
      <c r="L2" s="61" t="s">
        <v>12847</v>
      </c>
      <c r="M2" s="61" t="s">
        <v>12847</v>
      </c>
      <c r="N2" s="61" t="s">
        <v>12847</v>
      </c>
      <c r="O2" s="61" t="s">
        <v>12847</v>
      </c>
      <c r="P2" s="61" t="s">
        <v>12847</v>
      </c>
      <c r="Q2" s="61" t="s">
        <v>12847</v>
      </c>
      <c r="R2" s="61" t="s">
        <v>12847</v>
      </c>
    </row>
    <row r="3" spans="1:18" ht="61.5" customHeight="1" thickBot="1">
      <c r="A3" s="62" t="s">
        <v>12848</v>
      </c>
      <c r="B3" s="62" t="s">
        <v>4150</v>
      </c>
      <c r="C3" s="62" t="s">
        <v>12850</v>
      </c>
      <c r="D3" s="62" t="s">
        <v>4150</v>
      </c>
      <c r="E3" s="62" t="s">
        <v>12852</v>
      </c>
      <c r="F3" s="62" t="s">
        <v>4150</v>
      </c>
      <c r="G3" s="62" t="s">
        <v>12854</v>
      </c>
      <c r="H3" s="62" t="s">
        <v>4150</v>
      </c>
      <c r="I3" s="62" t="s">
        <v>12856</v>
      </c>
      <c r="J3" s="62" t="s">
        <v>12857</v>
      </c>
      <c r="K3" s="62" t="s">
        <v>4150</v>
      </c>
      <c r="L3" s="62" t="s">
        <v>4150</v>
      </c>
      <c r="M3" s="62" t="s">
        <v>4150</v>
      </c>
      <c r="N3" s="62" t="s">
        <v>4150</v>
      </c>
      <c r="O3" s="62" t="s">
        <v>12862</v>
      </c>
      <c r="P3" s="62" t="s">
        <v>4150</v>
      </c>
      <c r="Q3" s="62" t="s">
        <v>4150</v>
      </c>
      <c r="R3" s="62" t="s">
        <v>4150</v>
      </c>
    </row>
    <row r="4" spans="1:18" ht="61.5" customHeight="1" thickBot="1">
      <c r="A4" s="62" t="s">
        <v>12866</v>
      </c>
      <c r="B4" s="62" t="s">
        <v>4150</v>
      </c>
      <c r="C4" s="62" t="s">
        <v>12868</v>
      </c>
      <c r="D4" s="62" t="s">
        <v>4150</v>
      </c>
      <c r="E4" s="62" t="s">
        <v>4150</v>
      </c>
      <c r="F4" s="62" t="s">
        <v>4150</v>
      </c>
      <c r="G4" s="62" t="s">
        <v>12872</v>
      </c>
      <c r="H4" s="62" t="s">
        <v>4150</v>
      </c>
      <c r="I4" s="62" t="s">
        <v>12874</v>
      </c>
      <c r="J4" s="62" t="s">
        <v>4150</v>
      </c>
      <c r="K4" s="62" t="s">
        <v>4150</v>
      </c>
      <c r="L4" s="62" t="s">
        <v>4150</v>
      </c>
      <c r="M4" s="62" t="s">
        <v>4150</v>
      </c>
      <c r="N4" s="62" t="s">
        <v>4150</v>
      </c>
      <c r="O4" s="62" t="s">
        <v>4150</v>
      </c>
      <c r="P4" s="62" t="s">
        <v>4150</v>
      </c>
      <c r="Q4" s="62" t="s">
        <v>4150</v>
      </c>
      <c r="R4" s="62" t="s">
        <v>4150</v>
      </c>
    </row>
    <row r="5" spans="1:18" ht="61.5" customHeight="1" thickBot="1">
      <c r="A5" s="62" t="s">
        <v>12884</v>
      </c>
      <c r="B5" s="62" t="s">
        <v>4150</v>
      </c>
      <c r="C5" s="62" t="s">
        <v>12886</v>
      </c>
      <c r="D5" s="62" t="s">
        <v>4150</v>
      </c>
      <c r="E5" s="62" t="s">
        <v>12888</v>
      </c>
      <c r="F5" s="62" t="s">
        <v>4150</v>
      </c>
      <c r="G5" s="62" t="s">
        <v>12890</v>
      </c>
      <c r="H5" s="62" t="s">
        <v>4150</v>
      </c>
      <c r="I5" s="62" t="s">
        <v>12892</v>
      </c>
      <c r="J5" s="62" t="s">
        <v>4150</v>
      </c>
      <c r="K5" s="62" t="s">
        <v>4150</v>
      </c>
      <c r="L5" s="62" t="s">
        <v>4150</v>
      </c>
      <c r="M5" s="62" t="s">
        <v>4150</v>
      </c>
      <c r="N5" s="62" t="s">
        <v>4150</v>
      </c>
      <c r="O5" s="62" t="s">
        <v>4150</v>
      </c>
      <c r="P5" s="62" t="s">
        <v>4150</v>
      </c>
      <c r="Q5" s="62" t="s">
        <v>4150</v>
      </c>
      <c r="R5" s="62" t="s">
        <v>4150</v>
      </c>
    </row>
    <row r="6" spans="1:18" ht="61.5" customHeight="1" thickBot="1">
      <c r="A6" s="62" t="s">
        <v>12902</v>
      </c>
      <c r="B6" s="62" t="s">
        <v>4150</v>
      </c>
      <c r="C6" s="62" t="s">
        <v>4150</v>
      </c>
      <c r="D6" s="62" t="s">
        <v>4150</v>
      </c>
      <c r="E6" s="62" t="s">
        <v>4150</v>
      </c>
      <c r="F6" s="62" t="s">
        <v>4150</v>
      </c>
      <c r="G6" s="62" t="s">
        <v>4150</v>
      </c>
      <c r="H6" s="62" t="s">
        <v>4150</v>
      </c>
      <c r="I6" s="62" t="s">
        <v>4150</v>
      </c>
      <c r="J6" s="62" t="s">
        <v>4150</v>
      </c>
      <c r="K6" s="62" t="s">
        <v>4150</v>
      </c>
      <c r="L6" s="62" t="s">
        <v>4150</v>
      </c>
      <c r="M6" s="62" t="s">
        <v>4150</v>
      </c>
      <c r="N6" s="62" t="s">
        <v>4150</v>
      </c>
      <c r="O6" s="62" t="s">
        <v>4150</v>
      </c>
      <c r="P6" s="62" t="s">
        <v>4150</v>
      </c>
      <c r="Q6" s="62" t="s">
        <v>4150</v>
      </c>
      <c r="R6" s="62" t="s">
        <v>4150</v>
      </c>
    </row>
    <row r="7" spans="1:18" ht="61.5" customHeight="1" thickBot="1">
      <c r="A7" s="62" t="s">
        <v>13102</v>
      </c>
      <c r="B7" s="62" t="s">
        <v>4150</v>
      </c>
      <c r="C7" s="62" t="s">
        <v>4150</v>
      </c>
      <c r="D7" s="62" t="s">
        <v>4150</v>
      </c>
      <c r="E7" s="62" t="s">
        <v>12923</v>
      </c>
      <c r="F7" s="62" t="s">
        <v>13103</v>
      </c>
      <c r="G7" s="62" t="s">
        <v>4150</v>
      </c>
      <c r="H7" s="62" t="s">
        <v>4150</v>
      </c>
      <c r="I7" s="62" t="s">
        <v>4150</v>
      </c>
      <c r="J7" s="62" t="s">
        <v>13104</v>
      </c>
      <c r="K7" s="62" t="s">
        <v>4150</v>
      </c>
      <c r="L7" s="62" t="s">
        <v>4150</v>
      </c>
      <c r="M7" s="62" t="s">
        <v>4150</v>
      </c>
      <c r="N7" s="62" t="s">
        <v>4150</v>
      </c>
      <c r="O7" s="62" t="s">
        <v>4150</v>
      </c>
      <c r="P7" s="62" t="s">
        <v>4150</v>
      </c>
      <c r="Q7" s="62" t="s">
        <v>4150</v>
      </c>
      <c r="R7" s="62" t="s">
        <v>4150</v>
      </c>
    </row>
    <row r="8" spans="1:18" ht="61.5" customHeight="1" thickBot="1">
      <c r="A8" s="62" t="s">
        <v>4150</v>
      </c>
      <c r="B8" s="62" t="s">
        <v>13105</v>
      </c>
      <c r="C8" s="62" t="s">
        <v>4150</v>
      </c>
      <c r="D8" s="62" t="s">
        <v>4150</v>
      </c>
      <c r="E8" s="62" t="s">
        <v>4150</v>
      </c>
      <c r="F8" s="62" t="s">
        <v>13106</v>
      </c>
      <c r="G8" s="62" t="s">
        <v>4150</v>
      </c>
      <c r="H8" s="62" t="s">
        <v>12940</v>
      </c>
      <c r="I8" s="62" t="s">
        <v>4150</v>
      </c>
      <c r="J8" s="62" t="s">
        <v>13107</v>
      </c>
      <c r="K8" s="62" t="s">
        <v>4150</v>
      </c>
      <c r="L8" s="62" t="s">
        <v>4150</v>
      </c>
      <c r="M8" s="62" t="s">
        <v>4150</v>
      </c>
      <c r="N8" s="62" t="s">
        <v>4150</v>
      </c>
      <c r="O8" s="62" t="s">
        <v>4150</v>
      </c>
      <c r="P8" s="62" t="s">
        <v>4150</v>
      </c>
      <c r="Q8" s="62" t="s">
        <v>13108</v>
      </c>
      <c r="R8" s="62" t="s">
        <v>4150</v>
      </c>
    </row>
    <row r="9" spans="1:18" ht="61.5" customHeight="1" thickBot="1">
      <c r="A9" s="62" t="s">
        <v>4150</v>
      </c>
      <c r="B9" s="62" t="s">
        <v>13109</v>
      </c>
      <c r="C9" s="62" t="s">
        <v>13107</v>
      </c>
      <c r="D9" s="62" t="s">
        <v>13110</v>
      </c>
      <c r="E9" s="62" t="s">
        <v>4150</v>
      </c>
      <c r="F9" s="62" t="s">
        <v>13107</v>
      </c>
      <c r="G9" s="62" t="s">
        <v>4150</v>
      </c>
      <c r="H9" s="62" t="s">
        <v>12952</v>
      </c>
      <c r="I9" s="62" t="s">
        <v>13111</v>
      </c>
      <c r="J9" s="62" t="s">
        <v>13112</v>
      </c>
      <c r="K9" s="62" t="s">
        <v>4150</v>
      </c>
      <c r="L9" s="62" t="s">
        <v>13113</v>
      </c>
      <c r="M9" s="62" t="s">
        <v>4150</v>
      </c>
      <c r="N9" s="62" t="s">
        <v>4150</v>
      </c>
      <c r="O9" s="62" t="s">
        <v>13114</v>
      </c>
      <c r="P9" s="62" t="s">
        <v>4150</v>
      </c>
      <c r="Q9" s="62" t="s">
        <v>13107</v>
      </c>
      <c r="R9" s="62" t="s">
        <v>4150</v>
      </c>
    </row>
    <row r="10" spans="1:18" ht="61.5" customHeight="1" thickBot="1">
      <c r="A10" s="62" t="s">
        <v>4150</v>
      </c>
      <c r="B10" s="62" t="s">
        <v>13115</v>
      </c>
      <c r="C10" s="62" t="s">
        <v>13112</v>
      </c>
      <c r="D10" s="62" t="s">
        <v>13107</v>
      </c>
      <c r="E10" s="62" t="s">
        <v>4150</v>
      </c>
      <c r="F10" s="62" t="s">
        <v>13112</v>
      </c>
      <c r="G10" s="62" t="s">
        <v>12960</v>
      </c>
      <c r="H10" s="62" t="s">
        <v>12961</v>
      </c>
      <c r="I10" s="2004"/>
      <c r="J10" s="2004"/>
      <c r="K10" s="62" t="s">
        <v>12962</v>
      </c>
      <c r="L10" s="62" t="s">
        <v>13116</v>
      </c>
      <c r="M10" s="62" t="s">
        <v>4150</v>
      </c>
      <c r="N10" s="62" t="s">
        <v>4150</v>
      </c>
      <c r="O10" s="62" t="s">
        <v>13107</v>
      </c>
      <c r="P10" s="62" t="s">
        <v>4150</v>
      </c>
      <c r="Q10" s="62" t="s">
        <v>13112</v>
      </c>
      <c r="R10" s="62" t="s">
        <v>4150</v>
      </c>
    </row>
    <row r="11" spans="1:18" ht="61.5" customHeight="1" thickBot="1">
      <c r="A11" s="62" t="s">
        <v>12967</v>
      </c>
      <c r="B11" s="2004"/>
      <c r="C11" s="2004"/>
      <c r="D11" s="62" t="s">
        <v>13112</v>
      </c>
      <c r="E11" s="62" t="s">
        <v>4150</v>
      </c>
      <c r="F11" s="2004"/>
      <c r="G11" s="62" t="s">
        <v>12969</v>
      </c>
      <c r="H11" s="62" t="s">
        <v>13107</v>
      </c>
      <c r="I11" s="63"/>
      <c r="J11" s="2004"/>
      <c r="K11" s="62" t="s">
        <v>13117</v>
      </c>
      <c r="L11" s="62" t="s">
        <v>13118</v>
      </c>
      <c r="M11" s="62" t="s">
        <v>4150</v>
      </c>
      <c r="N11" s="62" t="s">
        <v>4150</v>
      </c>
      <c r="O11" s="62" t="s">
        <v>13112</v>
      </c>
      <c r="P11" s="62" t="s">
        <v>4150</v>
      </c>
      <c r="Q11" s="2004"/>
      <c r="R11" s="62" t="s">
        <v>4150</v>
      </c>
    </row>
    <row r="12" spans="1:18" ht="61.5" customHeight="1" thickBot="1">
      <c r="A12" s="62" t="s">
        <v>4150</v>
      </c>
      <c r="B12" s="2004"/>
      <c r="C12" s="2004"/>
      <c r="D12" s="2004"/>
      <c r="E12" s="62" t="s">
        <v>4150</v>
      </c>
      <c r="F12" s="2004"/>
      <c r="G12" s="62" t="s">
        <v>12976</v>
      </c>
      <c r="H12" s="62" t="s">
        <v>13112</v>
      </c>
      <c r="I12" s="63"/>
      <c r="J12" s="2004"/>
      <c r="K12" s="62" t="s">
        <v>13119</v>
      </c>
      <c r="L12" s="62" t="s">
        <v>13107</v>
      </c>
      <c r="M12" s="62" t="s">
        <v>4150</v>
      </c>
      <c r="N12" s="62" t="s">
        <v>4150</v>
      </c>
      <c r="O12" s="2004"/>
      <c r="P12" s="62" t="s">
        <v>4150</v>
      </c>
      <c r="Q12" s="2004"/>
      <c r="R12" s="62" t="s">
        <v>4150</v>
      </c>
    </row>
    <row r="13" spans="1:18" ht="61.5" customHeight="1" thickBot="1">
      <c r="A13" s="62" t="s">
        <v>4150</v>
      </c>
      <c r="B13" s="2004"/>
      <c r="C13" s="2004"/>
      <c r="D13" s="2004"/>
      <c r="E13" s="62" t="s">
        <v>4150</v>
      </c>
      <c r="F13" s="2004"/>
      <c r="G13" s="62" t="s">
        <v>4150</v>
      </c>
      <c r="H13" s="2004"/>
      <c r="I13" s="63"/>
      <c r="J13" s="2004"/>
      <c r="K13" s="62" t="s">
        <v>13112</v>
      </c>
      <c r="L13" s="62" t="s">
        <v>13112</v>
      </c>
      <c r="M13" s="62" t="s">
        <v>13120</v>
      </c>
      <c r="N13" s="62" t="s">
        <v>2055</v>
      </c>
      <c r="O13" s="2004"/>
      <c r="P13" s="62" t="s">
        <v>4150</v>
      </c>
      <c r="Q13" s="2004"/>
      <c r="R13" s="62" t="s">
        <v>4150</v>
      </c>
    </row>
    <row r="14" spans="1:18" ht="61.5" customHeight="1" thickBot="1">
      <c r="A14" s="62" t="s">
        <v>4150</v>
      </c>
      <c r="B14" s="2004"/>
      <c r="C14" s="2004"/>
      <c r="D14" s="2004"/>
      <c r="E14" s="62" t="s">
        <v>4150</v>
      </c>
      <c r="F14" s="2004"/>
      <c r="G14" s="62" t="s">
        <v>12988</v>
      </c>
      <c r="H14" s="2004"/>
      <c r="I14" s="2004"/>
      <c r="J14" s="2004"/>
      <c r="K14" s="2004"/>
      <c r="L14" s="2004"/>
      <c r="M14" s="62" t="s">
        <v>13107</v>
      </c>
      <c r="N14" s="62" t="s">
        <v>13121</v>
      </c>
      <c r="O14" s="2004"/>
      <c r="P14" s="62" t="s">
        <v>4150</v>
      </c>
      <c r="Q14" s="2004"/>
      <c r="R14" s="62" t="s">
        <v>13122</v>
      </c>
    </row>
    <row r="15" spans="1:18" ht="61.5" customHeight="1" thickBot="1">
      <c r="A15" s="62" t="s">
        <v>4150</v>
      </c>
      <c r="B15" s="2004"/>
      <c r="C15" s="2004"/>
      <c r="D15" s="2004"/>
      <c r="E15" s="62" t="s">
        <v>4150</v>
      </c>
      <c r="F15" s="2004"/>
      <c r="G15" s="62" t="s">
        <v>13107</v>
      </c>
      <c r="H15" s="2004"/>
      <c r="I15" s="2004"/>
      <c r="J15" s="2004"/>
      <c r="K15" s="2004"/>
      <c r="L15" s="2004"/>
      <c r="M15" s="62" t="s">
        <v>13112</v>
      </c>
      <c r="N15" s="62" t="s">
        <v>13109</v>
      </c>
      <c r="O15" s="2004"/>
      <c r="P15" s="62" t="s">
        <v>4150</v>
      </c>
      <c r="Q15" s="2004"/>
      <c r="R15" s="62" t="s">
        <v>13123</v>
      </c>
    </row>
    <row r="16" spans="1:18" ht="61.5" customHeight="1" thickBot="1">
      <c r="A16" s="62" t="s">
        <v>4150</v>
      </c>
      <c r="B16" s="2004"/>
      <c r="C16" s="2004"/>
      <c r="D16" s="2004"/>
      <c r="E16" s="62" t="s">
        <v>13107</v>
      </c>
      <c r="F16" s="2004"/>
      <c r="G16" s="62" t="s">
        <v>13112</v>
      </c>
      <c r="H16" s="2004"/>
      <c r="I16" s="2004"/>
      <c r="J16" s="2004"/>
      <c r="K16" s="2004"/>
      <c r="L16" s="2004"/>
      <c r="M16" s="2004"/>
      <c r="N16" s="62" t="s">
        <v>13115</v>
      </c>
      <c r="O16" s="2004"/>
      <c r="P16" s="62" t="s">
        <v>4150</v>
      </c>
      <c r="Q16" s="2004"/>
      <c r="R16" s="62" t="s">
        <v>13107</v>
      </c>
    </row>
    <row r="17" spans="1:18" ht="61.5" customHeight="1" thickBot="1">
      <c r="A17" s="62" t="s">
        <v>4150</v>
      </c>
      <c r="B17" s="2004"/>
      <c r="C17" s="2004"/>
      <c r="D17" s="2004"/>
      <c r="E17" s="62" t="s">
        <v>13112</v>
      </c>
      <c r="F17" s="2004"/>
      <c r="G17" s="2004"/>
      <c r="H17" s="2004"/>
      <c r="I17" s="2004"/>
      <c r="J17" s="2004"/>
      <c r="K17" s="2004"/>
      <c r="L17" s="2004"/>
      <c r="M17" s="2004"/>
      <c r="N17" s="2004"/>
      <c r="O17" s="2004"/>
      <c r="P17" s="62" t="s">
        <v>13124</v>
      </c>
      <c r="Q17" s="2004"/>
      <c r="R17" s="62" t="s">
        <v>13111</v>
      </c>
    </row>
    <row r="18" spans="1:18" ht="61.5" customHeight="1" thickBot="1">
      <c r="A18" s="62" t="s">
        <v>12996</v>
      </c>
      <c r="B18" s="2004"/>
      <c r="C18" s="2004"/>
      <c r="D18" s="2004"/>
      <c r="E18" s="2004"/>
      <c r="F18" s="2004"/>
      <c r="G18" s="2004"/>
      <c r="H18" s="2004"/>
      <c r="I18" s="2004"/>
      <c r="J18" s="2004"/>
      <c r="K18" s="2004"/>
      <c r="L18" s="2004"/>
      <c r="M18" s="2004"/>
      <c r="N18" s="2004"/>
      <c r="O18" s="2004"/>
      <c r="P18" s="62" t="s">
        <v>13112</v>
      </c>
      <c r="Q18" s="2004"/>
      <c r="R18" s="2004"/>
    </row>
    <row r="19" spans="1:18" ht="69" customHeight="1" thickBot="1">
      <c r="A19" s="62" t="s">
        <v>12997</v>
      </c>
      <c r="B19" s="2004"/>
      <c r="C19" s="2004"/>
      <c r="D19" s="2004"/>
      <c r="E19" s="2004"/>
      <c r="F19" s="2004"/>
      <c r="G19" s="2004"/>
      <c r="H19" s="2004"/>
      <c r="I19" s="2004"/>
      <c r="J19" s="2004"/>
      <c r="K19" s="2004"/>
      <c r="L19" s="2004"/>
      <c r="M19" s="2004"/>
      <c r="N19" s="2004"/>
      <c r="O19" s="2004"/>
      <c r="P19" s="2004"/>
      <c r="Q19" s="2004"/>
      <c r="R19" s="2004"/>
    </row>
    <row r="20" spans="1:18" ht="69" customHeight="1" thickBot="1">
      <c r="A20" s="62" t="s">
        <v>13107</v>
      </c>
      <c r="B20" s="2004"/>
      <c r="C20" s="2004"/>
      <c r="D20" s="2004"/>
      <c r="E20" s="2004"/>
      <c r="F20" s="2004"/>
      <c r="G20" s="2004"/>
      <c r="H20" s="2004"/>
      <c r="I20" s="2004"/>
      <c r="J20" s="2004"/>
      <c r="K20" s="2004"/>
      <c r="L20" s="2004"/>
      <c r="M20" s="2004"/>
      <c r="N20" s="2004"/>
      <c r="O20" s="2004"/>
      <c r="P20" s="2004"/>
      <c r="Q20" s="2004"/>
      <c r="R20" s="2004"/>
    </row>
    <row r="21" spans="1:18" ht="69" customHeight="1">
      <c r="A21" s="62" t="s">
        <v>13112</v>
      </c>
      <c r="B21" s="2004"/>
      <c r="C21" s="2004"/>
      <c r="D21" s="2004"/>
      <c r="E21" s="2004"/>
      <c r="F21" s="2004"/>
      <c r="G21" s="2004"/>
      <c r="H21" s="2004"/>
      <c r="I21" s="2004"/>
      <c r="J21" s="2004"/>
      <c r="K21" s="2004"/>
      <c r="L21" s="2004"/>
      <c r="M21" s="2004"/>
      <c r="N21" s="2004"/>
      <c r="O21" s="2004"/>
      <c r="P21" s="2004"/>
      <c r="Q21" s="2004"/>
      <c r="R21" s="2004"/>
    </row>
  </sheetData>
  <sheetProtection algorithmName="SHA-512" hashValue="RAy48gVfRjMuD3b/r3ggUbGeP2nRNEycjcnuWclEdWAeOJKOoLfBBWWphFnzJTwXd63QZZGhWRAsAHKyHMwYmg==" saltValue="pqw85KGVTMTWRNK6pnU7p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J24"/>
  <sheetViews>
    <sheetView workbookViewId="0"/>
  </sheetViews>
  <sheetFormatPr defaultColWidth="8.875" defaultRowHeight="14.25"/>
  <cols>
    <col min="1" max="10" width="21" customWidth="1"/>
  </cols>
  <sheetData>
    <row r="1" spans="1:10" ht="15.75" thickBot="1">
      <c r="A1" s="60" t="s">
        <v>9050</v>
      </c>
      <c r="B1" s="1968" t="s">
        <v>9060</v>
      </c>
      <c r="C1" s="1968" t="s">
        <v>9070</v>
      </c>
      <c r="D1" s="1968" t="s">
        <v>9077</v>
      </c>
      <c r="E1" s="1968" t="s">
        <v>9080</v>
      </c>
      <c r="F1" s="1968" t="s">
        <v>9082</v>
      </c>
      <c r="G1" s="1968" t="s">
        <v>9073</v>
      </c>
      <c r="H1" s="1968" t="s">
        <v>9054</v>
      </c>
      <c r="I1" s="1968" t="s">
        <v>9057</v>
      </c>
      <c r="J1" s="1968" t="s">
        <v>9066</v>
      </c>
    </row>
    <row r="2" spans="1:10" ht="15" thickBot="1">
      <c r="A2" s="61" t="s">
        <v>12847</v>
      </c>
      <c r="B2" s="61" t="s">
        <v>12847</v>
      </c>
      <c r="C2" s="61" t="s">
        <v>12847</v>
      </c>
      <c r="D2" s="61" t="s">
        <v>12847</v>
      </c>
      <c r="E2" s="61" t="s">
        <v>12847</v>
      </c>
      <c r="F2" s="61" t="s">
        <v>12847</v>
      </c>
      <c r="G2" s="61" t="s">
        <v>12847</v>
      </c>
      <c r="H2" s="61" t="s">
        <v>12847</v>
      </c>
      <c r="I2" s="61" t="s">
        <v>12847</v>
      </c>
      <c r="J2" s="61" t="s">
        <v>12847</v>
      </c>
    </row>
    <row r="3" spans="1:10" ht="60.75" customHeight="1" thickBot="1">
      <c r="A3" s="62" t="s">
        <v>12998</v>
      </c>
      <c r="B3" s="62" t="s">
        <v>4150</v>
      </c>
      <c r="C3" s="62" t="s">
        <v>13000</v>
      </c>
      <c r="D3" s="62" t="s">
        <v>4150</v>
      </c>
      <c r="E3" s="62" t="s">
        <v>13002</v>
      </c>
      <c r="F3" s="62" t="s">
        <v>4150</v>
      </c>
      <c r="G3" s="62" t="s">
        <v>13004</v>
      </c>
      <c r="H3" s="62" t="s">
        <v>4150</v>
      </c>
      <c r="I3" s="62" t="s">
        <v>4150</v>
      </c>
      <c r="J3" s="62" t="s">
        <v>13007</v>
      </c>
    </row>
    <row r="4" spans="1:10" ht="60.75" customHeight="1" thickBot="1">
      <c r="A4" s="62" t="s">
        <v>13008</v>
      </c>
      <c r="B4" s="62" t="s">
        <v>4150</v>
      </c>
      <c r="C4" s="62" t="s">
        <v>13010</v>
      </c>
      <c r="D4" s="62" t="s">
        <v>4150</v>
      </c>
      <c r="E4" s="62" t="s">
        <v>4150</v>
      </c>
      <c r="F4" s="62" t="s">
        <v>4150</v>
      </c>
      <c r="G4" s="62" t="s">
        <v>13014</v>
      </c>
      <c r="H4" s="62" t="s">
        <v>4150</v>
      </c>
      <c r="I4" s="62" t="s">
        <v>4150</v>
      </c>
      <c r="J4" s="62" t="s">
        <v>4150</v>
      </c>
    </row>
    <row r="5" spans="1:10" ht="60.75" customHeight="1" thickBot="1">
      <c r="A5" s="62" t="s">
        <v>13018</v>
      </c>
      <c r="B5" s="62" t="s">
        <v>4150</v>
      </c>
      <c r="C5" s="62" t="s">
        <v>13020</v>
      </c>
      <c r="D5" s="62" t="s">
        <v>4150</v>
      </c>
      <c r="E5" s="62" t="s">
        <v>13022</v>
      </c>
      <c r="F5" s="62" t="s">
        <v>4150</v>
      </c>
      <c r="G5" s="62" t="s">
        <v>13024</v>
      </c>
      <c r="H5" s="62" t="s">
        <v>4150</v>
      </c>
      <c r="I5" s="62" t="s">
        <v>4150</v>
      </c>
      <c r="J5" s="62" t="s">
        <v>4150</v>
      </c>
    </row>
    <row r="6" spans="1:10" ht="60.75" customHeight="1" thickBot="1">
      <c r="A6" s="62" t="s">
        <v>4150</v>
      </c>
      <c r="B6" s="62" t="s">
        <v>4150</v>
      </c>
      <c r="C6" s="62" t="s">
        <v>4150</v>
      </c>
      <c r="D6" s="62" t="s">
        <v>4150</v>
      </c>
      <c r="E6" s="62" t="s">
        <v>13032</v>
      </c>
      <c r="F6" s="62" t="s">
        <v>4150</v>
      </c>
      <c r="G6" s="62" t="s">
        <v>4150</v>
      </c>
      <c r="H6" s="62" t="s">
        <v>4150</v>
      </c>
      <c r="I6" s="62" t="s">
        <v>4150</v>
      </c>
      <c r="J6" s="62" t="s">
        <v>4150</v>
      </c>
    </row>
    <row r="7" spans="1:10" ht="60.75" customHeight="1" thickBot="1">
      <c r="A7" s="62" t="s">
        <v>4150</v>
      </c>
      <c r="B7" s="62" t="s">
        <v>4150</v>
      </c>
      <c r="C7" s="62" t="s">
        <v>4150</v>
      </c>
      <c r="D7" s="62" t="s">
        <v>4150</v>
      </c>
      <c r="E7" s="62" t="s">
        <v>4150</v>
      </c>
      <c r="F7" s="62" t="s">
        <v>4150</v>
      </c>
      <c r="G7" s="62" t="s">
        <v>4150</v>
      </c>
      <c r="H7" s="62" t="s">
        <v>4150</v>
      </c>
      <c r="I7" s="62" t="s">
        <v>4150</v>
      </c>
      <c r="J7" s="62" t="s">
        <v>4150</v>
      </c>
    </row>
    <row r="8" spans="1:10" ht="60.75" customHeight="1" thickBot="1">
      <c r="A8" s="62" t="s">
        <v>13048</v>
      </c>
      <c r="B8" s="62" t="s">
        <v>4150</v>
      </c>
      <c r="C8" s="62" t="s">
        <v>4150</v>
      </c>
      <c r="D8" s="62" t="s">
        <v>4150</v>
      </c>
      <c r="E8" s="62" t="s">
        <v>13052</v>
      </c>
      <c r="F8" s="62" t="s">
        <v>4150</v>
      </c>
      <c r="G8" s="62" t="s">
        <v>4150</v>
      </c>
      <c r="H8" s="62" t="s">
        <v>4150</v>
      </c>
      <c r="I8" s="62" t="s">
        <v>13125</v>
      </c>
      <c r="J8" s="62" t="s">
        <v>4150</v>
      </c>
    </row>
    <row r="9" spans="1:10" ht="60.75" customHeight="1" thickBot="1">
      <c r="A9" s="62" t="s">
        <v>13057</v>
      </c>
      <c r="B9" s="62" t="s">
        <v>4150</v>
      </c>
      <c r="C9" s="62" t="s">
        <v>4150</v>
      </c>
      <c r="D9" s="62" t="s">
        <v>4150</v>
      </c>
      <c r="E9" s="62" t="s">
        <v>13061</v>
      </c>
      <c r="F9" s="62" t="s">
        <v>4150</v>
      </c>
      <c r="G9" s="62" t="s">
        <v>4150</v>
      </c>
      <c r="H9" s="62" t="s">
        <v>13126</v>
      </c>
      <c r="I9" s="62" t="s">
        <v>13127</v>
      </c>
      <c r="J9" s="62" t="s">
        <v>4150</v>
      </c>
    </row>
    <row r="10" spans="1:10" ht="60.75" customHeight="1" thickBot="1">
      <c r="A10" s="62" t="s">
        <v>13065</v>
      </c>
      <c r="B10" s="62" t="s">
        <v>4150</v>
      </c>
      <c r="C10" s="62" t="s">
        <v>4150</v>
      </c>
      <c r="D10" s="62" t="s">
        <v>4150</v>
      </c>
      <c r="E10" s="62" t="s">
        <v>4150</v>
      </c>
      <c r="F10" s="62" t="s">
        <v>13128</v>
      </c>
      <c r="G10" s="62" t="s">
        <v>13070</v>
      </c>
      <c r="H10" s="2004"/>
      <c r="I10" s="62" t="s">
        <v>13129</v>
      </c>
      <c r="J10" s="62" t="s">
        <v>13130</v>
      </c>
    </row>
    <row r="11" spans="1:10" ht="60.75" customHeight="1" thickBot="1">
      <c r="A11" s="62" t="s">
        <v>4150</v>
      </c>
      <c r="B11" s="62" t="s">
        <v>4150</v>
      </c>
      <c r="C11" s="62" t="s">
        <v>13129</v>
      </c>
      <c r="D11" s="62" t="s">
        <v>4150</v>
      </c>
      <c r="E11" s="62" t="s">
        <v>4150</v>
      </c>
      <c r="F11" s="62" t="s">
        <v>13131</v>
      </c>
      <c r="G11" s="62" t="s">
        <v>13075</v>
      </c>
      <c r="H11" s="2004"/>
      <c r="I11" s="62" t="s">
        <v>13132</v>
      </c>
      <c r="J11" s="62" t="s">
        <v>13129</v>
      </c>
    </row>
    <row r="12" spans="1:10" ht="60.75" customHeight="1" thickBot="1">
      <c r="A12" s="62" t="s">
        <v>4150</v>
      </c>
      <c r="B12" s="62" t="s">
        <v>4150</v>
      </c>
      <c r="C12" s="62" t="s">
        <v>13132</v>
      </c>
      <c r="D12" s="62" t="s">
        <v>13133</v>
      </c>
      <c r="E12" s="62" t="s">
        <v>4150</v>
      </c>
      <c r="F12" s="62" t="s">
        <v>13134</v>
      </c>
      <c r="G12" s="62" t="s">
        <v>13079</v>
      </c>
      <c r="H12" s="2004"/>
      <c r="I12" s="2004"/>
      <c r="J12" s="62" t="s">
        <v>13135</v>
      </c>
    </row>
    <row r="13" spans="1:10" ht="60.75" customHeight="1" thickBot="1">
      <c r="A13" s="62" t="s">
        <v>13129</v>
      </c>
      <c r="B13" s="62" t="s">
        <v>4150</v>
      </c>
      <c r="C13" s="2004"/>
      <c r="D13" s="62" t="s">
        <v>13129</v>
      </c>
      <c r="E13" s="62" t="s">
        <v>4150</v>
      </c>
      <c r="F13" s="62" t="s">
        <v>13129</v>
      </c>
      <c r="G13" s="62" t="s">
        <v>4150</v>
      </c>
      <c r="H13" s="2004"/>
      <c r="I13" s="2004"/>
      <c r="J13" s="2004"/>
    </row>
    <row r="14" spans="1:10" ht="60.75" customHeight="1" thickBot="1">
      <c r="A14" s="62" t="s">
        <v>13132</v>
      </c>
      <c r="B14" s="62" t="s">
        <v>4150</v>
      </c>
      <c r="C14" s="2004"/>
      <c r="D14" s="62" t="s">
        <v>13132</v>
      </c>
      <c r="E14" s="62" t="s">
        <v>4150</v>
      </c>
      <c r="F14" s="62" t="s">
        <v>13132</v>
      </c>
      <c r="G14" s="62" t="s">
        <v>4150</v>
      </c>
      <c r="H14" s="2004"/>
      <c r="I14" s="2004"/>
      <c r="J14" s="2004"/>
    </row>
    <row r="15" spans="1:10" ht="60.75" customHeight="1" thickBot="1">
      <c r="A15" s="2004"/>
      <c r="B15" s="62" t="s">
        <v>4150</v>
      </c>
      <c r="C15" s="2004"/>
      <c r="D15" s="2004"/>
      <c r="E15" s="62" t="s">
        <v>4150</v>
      </c>
      <c r="F15" s="2004"/>
      <c r="G15" s="62" t="s">
        <v>4150</v>
      </c>
      <c r="H15" s="2004"/>
      <c r="I15" s="2004"/>
      <c r="J15" s="2004"/>
    </row>
    <row r="16" spans="1:10" ht="60.75" customHeight="1" thickBot="1">
      <c r="A16" s="2004"/>
      <c r="B16" s="62" t="s">
        <v>13136</v>
      </c>
      <c r="C16" s="2004"/>
      <c r="D16" s="2004"/>
      <c r="E16" s="62" t="s">
        <v>4150</v>
      </c>
      <c r="F16" s="2004"/>
      <c r="G16" s="62" t="s">
        <v>4150</v>
      </c>
      <c r="H16" s="2004"/>
      <c r="I16" s="2004"/>
      <c r="J16" s="2004"/>
    </row>
    <row r="17" spans="2:7" ht="60.75" customHeight="1" thickBot="1">
      <c r="B17" s="62" t="s">
        <v>13137</v>
      </c>
      <c r="C17" s="2004"/>
      <c r="D17" s="2004"/>
      <c r="E17" s="62" t="s">
        <v>4150</v>
      </c>
      <c r="F17" s="2004"/>
      <c r="G17" s="62" t="s">
        <v>13092</v>
      </c>
    </row>
    <row r="18" spans="2:7" ht="60.75" customHeight="1" thickBot="1">
      <c r="B18" s="62" t="s">
        <v>13138</v>
      </c>
      <c r="C18" s="2004"/>
      <c r="D18" s="2004"/>
      <c r="E18" s="62" t="s">
        <v>4150</v>
      </c>
      <c r="F18" s="2004"/>
      <c r="G18" s="62" t="s">
        <v>13094</v>
      </c>
    </row>
    <row r="19" spans="2:7" ht="60.75" customHeight="1" thickBot="1">
      <c r="B19" s="2004"/>
      <c r="C19" s="2004"/>
      <c r="D19" s="2004"/>
      <c r="E19" s="62" t="s">
        <v>4150</v>
      </c>
      <c r="F19" s="2004"/>
      <c r="G19" s="62" t="s">
        <v>13096</v>
      </c>
    </row>
    <row r="20" spans="2:7" ht="60.75" customHeight="1" thickBot="1">
      <c r="B20" s="2004"/>
      <c r="C20" s="2004"/>
      <c r="D20" s="2004"/>
      <c r="E20" s="62" t="s">
        <v>4150</v>
      </c>
      <c r="F20" s="2004"/>
      <c r="G20" s="62" t="s">
        <v>4150</v>
      </c>
    </row>
    <row r="21" spans="2:7" ht="60.75" customHeight="1" thickBot="1">
      <c r="B21" s="2004"/>
      <c r="C21" s="2004"/>
      <c r="D21" s="2004"/>
      <c r="E21" s="62" t="s">
        <v>4150</v>
      </c>
      <c r="F21" s="2004"/>
      <c r="G21" s="62" t="s">
        <v>13100</v>
      </c>
    </row>
    <row r="22" spans="2:7" ht="60.75" customHeight="1" thickBot="1">
      <c r="B22" s="2004"/>
      <c r="C22" s="2004"/>
      <c r="D22" s="2004"/>
      <c r="E22" s="62" t="s">
        <v>4150</v>
      </c>
      <c r="F22" s="2004"/>
      <c r="G22" s="62" t="s">
        <v>13129</v>
      </c>
    </row>
    <row r="23" spans="2:7" ht="29.25" thickBot="1">
      <c r="B23" s="2004"/>
      <c r="C23" s="2004"/>
      <c r="D23" s="2004"/>
      <c r="E23" s="62" t="s">
        <v>13129</v>
      </c>
      <c r="F23" s="2004"/>
      <c r="G23" s="62" t="s">
        <v>13132</v>
      </c>
    </row>
    <row r="24" spans="2:7" ht="28.5">
      <c r="B24" s="2004"/>
      <c r="C24" s="2004"/>
      <c r="D24" s="2004"/>
      <c r="E24" s="62" t="s">
        <v>13132</v>
      </c>
      <c r="F24" s="2004"/>
      <c r="G24" s="2004"/>
    </row>
  </sheetData>
  <sheetProtection algorithmName="SHA-512" hashValue="5BE3sfh2ADCmm6lczqhuBFDJ2L5vLvwdrrIsFg7GgrjJdvDdSSQ9COaMa8iy9OzIjpFH8Y/sz0DjQKj6dZ1oYw==" saltValue="8CqeboxyyVbMia57tFlZuA=="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73"/>
  <sheetViews>
    <sheetView workbookViewId="0"/>
  </sheetViews>
  <sheetFormatPr defaultColWidth="8.875" defaultRowHeight="14.25"/>
  <cols>
    <col min="1" max="1" width="26.5" bestFit="1" customWidth="1"/>
    <col min="2" max="2" width="37.125" bestFit="1" customWidth="1"/>
    <col min="3" max="3" width="32.5" bestFit="1" customWidth="1"/>
    <col min="4" max="4" width="23.125" bestFit="1" customWidth="1"/>
    <col min="5" max="5" width="37.5" bestFit="1" customWidth="1"/>
    <col min="6" max="7" width="31.5" bestFit="1" customWidth="1"/>
    <col min="8" max="8" width="30" bestFit="1" customWidth="1"/>
    <col min="9" max="9" width="21.5" bestFit="1" customWidth="1"/>
    <col min="10" max="10" width="42.5" bestFit="1" customWidth="1"/>
    <col min="11" max="11" width="22.125" bestFit="1" customWidth="1"/>
    <col min="12" max="12" width="28.5" bestFit="1" customWidth="1"/>
  </cols>
  <sheetData>
    <row r="1" spans="1:12" ht="15">
      <c r="A1" s="60" t="s">
        <v>13139</v>
      </c>
      <c r="B1" s="49" t="s">
        <v>9050</v>
      </c>
      <c r="C1" s="49" t="s">
        <v>9054</v>
      </c>
      <c r="D1" s="49" t="s">
        <v>9057</v>
      </c>
      <c r="E1" s="49" t="s">
        <v>9060</v>
      </c>
      <c r="F1" s="49" t="s">
        <v>9063</v>
      </c>
      <c r="G1" s="49" t="s">
        <v>9066</v>
      </c>
      <c r="H1" s="49" t="s">
        <v>9070</v>
      </c>
      <c r="I1" s="49" t="s">
        <v>9073</v>
      </c>
      <c r="J1" s="49" t="s">
        <v>9077</v>
      </c>
      <c r="K1" s="49" t="s">
        <v>9080</v>
      </c>
      <c r="L1" s="49" t="s">
        <v>9082</v>
      </c>
    </row>
    <row r="2" spans="1:12">
      <c r="A2" s="2004"/>
      <c r="B2" s="49" t="s">
        <v>9049</v>
      </c>
      <c r="C2" s="49" t="s">
        <v>9053</v>
      </c>
      <c r="D2" s="49" t="s">
        <v>9056</v>
      </c>
      <c r="E2" s="49" t="s">
        <v>9059</v>
      </c>
      <c r="F2" s="49" t="s">
        <v>13140</v>
      </c>
      <c r="G2" s="49" t="s">
        <v>9062</v>
      </c>
      <c r="H2" s="49" t="s">
        <v>9069</v>
      </c>
      <c r="I2" s="49" t="s">
        <v>9072</v>
      </c>
      <c r="J2" s="49" t="s">
        <v>9076</v>
      </c>
      <c r="K2" s="49" t="s">
        <v>9079</v>
      </c>
      <c r="L2" s="49" t="s">
        <v>21</v>
      </c>
    </row>
    <row r="3" spans="1:12">
      <c r="A3" s="2004"/>
      <c r="B3" s="2004" t="s">
        <v>13141</v>
      </c>
      <c r="C3" s="2004" t="s">
        <v>13142</v>
      </c>
      <c r="D3" s="2004" t="s">
        <v>13143</v>
      </c>
      <c r="E3" s="2004" t="s">
        <v>13144</v>
      </c>
      <c r="F3" s="2004" t="s">
        <v>13145</v>
      </c>
      <c r="G3" s="2004" t="s">
        <v>13145</v>
      </c>
      <c r="H3" s="2004" t="s">
        <v>13146</v>
      </c>
      <c r="I3" s="2004" t="s">
        <v>13147</v>
      </c>
      <c r="J3" s="2004" t="s">
        <v>13148</v>
      </c>
      <c r="K3" s="2004" t="s">
        <v>13149</v>
      </c>
      <c r="L3" s="2004" t="s">
        <v>13150</v>
      </c>
    </row>
    <row r="4" spans="1:12">
      <c r="A4" s="2004"/>
      <c r="B4" s="2004" t="s">
        <v>13151</v>
      </c>
      <c r="C4" s="2004" t="s">
        <v>13152</v>
      </c>
      <c r="D4" s="2004" t="s">
        <v>13153</v>
      </c>
      <c r="E4" s="2004" t="s">
        <v>13154</v>
      </c>
      <c r="F4" s="2004" t="s">
        <v>13155</v>
      </c>
      <c r="G4" s="2004" t="s">
        <v>13155</v>
      </c>
      <c r="H4" s="2004" t="s">
        <v>13156</v>
      </c>
      <c r="I4" s="2004" t="s">
        <v>13157</v>
      </c>
      <c r="J4" s="2004" t="s">
        <v>13158</v>
      </c>
      <c r="K4" s="2004" t="s">
        <v>13159</v>
      </c>
      <c r="L4" s="2004" t="s">
        <v>13160</v>
      </c>
    </row>
    <row r="5" spans="1:12">
      <c r="A5" s="2004"/>
      <c r="B5" s="2004" t="s">
        <v>13161</v>
      </c>
      <c r="C5" s="2004" t="s">
        <v>13162</v>
      </c>
      <c r="D5" s="2004" t="s">
        <v>13163</v>
      </c>
      <c r="E5" s="2004" t="s">
        <v>13164</v>
      </c>
      <c r="F5" s="2004" t="s">
        <v>13165</v>
      </c>
      <c r="G5" s="2004" t="s">
        <v>13165</v>
      </c>
      <c r="H5" s="2004" t="s">
        <v>13166</v>
      </c>
      <c r="I5" s="2004" t="s">
        <v>13167</v>
      </c>
      <c r="J5" s="2004" t="s">
        <v>13168</v>
      </c>
      <c r="K5" s="2004" t="s">
        <v>13169</v>
      </c>
      <c r="L5" s="2004" t="s">
        <v>13170</v>
      </c>
    </row>
    <row r="6" spans="1:12">
      <c r="A6" s="2004"/>
      <c r="B6" s="2004" t="s">
        <v>13171</v>
      </c>
      <c r="C6" s="2004" t="s">
        <v>13172</v>
      </c>
      <c r="D6" s="2004" t="s">
        <v>13173</v>
      </c>
      <c r="E6" s="2004" t="s">
        <v>13174</v>
      </c>
      <c r="F6" s="2004" t="s">
        <v>13175</v>
      </c>
      <c r="G6" s="2004" t="s">
        <v>13175</v>
      </c>
      <c r="H6" s="2004" t="s">
        <v>13176</v>
      </c>
      <c r="I6" s="2004" t="s">
        <v>13177</v>
      </c>
      <c r="J6" s="2004" t="s">
        <v>13178</v>
      </c>
      <c r="K6" s="2004" t="s">
        <v>13179</v>
      </c>
      <c r="L6" s="2004" t="s">
        <v>13180</v>
      </c>
    </row>
    <row r="7" spans="1:12">
      <c r="A7" s="2004"/>
      <c r="B7" s="2004" t="s">
        <v>13181</v>
      </c>
      <c r="C7" s="2004" t="s">
        <v>13182</v>
      </c>
      <c r="D7" s="2004" t="s">
        <v>13183</v>
      </c>
      <c r="E7" s="2004" t="s">
        <v>13184</v>
      </c>
      <c r="F7" s="2004" t="s">
        <v>13185</v>
      </c>
      <c r="G7" s="2004" t="s">
        <v>13185</v>
      </c>
      <c r="H7" s="2004" t="s">
        <v>13186</v>
      </c>
      <c r="I7" s="2004" t="s">
        <v>13187</v>
      </c>
      <c r="J7" s="2004" t="s">
        <v>13188</v>
      </c>
      <c r="K7" s="2004" t="s">
        <v>13189</v>
      </c>
      <c r="L7" s="2004" t="s">
        <v>13190</v>
      </c>
    </row>
    <row r="8" spans="1:12">
      <c r="A8" s="2004"/>
      <c r="B8" s="2004" t="s">
        <v>13191</v>
      </c>
      <c r="C8" s="2004" t="s">
        <v>13192</v>
      </c>
      <c r="D8" s="2004" t="s">
        <v>13193</v>
      </c>
      <c r="E8" s="2004" t="s">
        <v>13194</v>
      </c>
      <c r="F8" s="2004" t="s">
        <v>13195</v>
      </c>
      <c r="G8" s="2004" t="s">
        <v>13195</v>
      </c>
      <c r="H8" s="2004" t="s">
        <v>13196</v>
      </c>
      <c r="I8" s="2004" t="s">
        <v>13197</v>
      </c>
      <c r="J8" s="2004" t="s">
        <v>13198</v>
      </c>
      <c r="K8" s="2004" t="s">
        <v>13199</v>
      </c>
      <c r="L8" s="2004" t="s">
        <v>13200</v>
      </c>
    </row>
    <row r="9" spans="1:12">
      <c r="A9" s="2004"/>
      <c r="B9" s="2004" t="s">
        <v>13201</v>
      </c>
      <c r="C9" s="2004" t="s">
        <v>13202</v>
      </c>
      <c r="D9" s="2004" t="s">
        <v>13203</v>
      </c>
      <c r="E9" s="2004" t="s">
        <v>13204</v>
      </c>
      <c r="F9" s="2004" t="s">
        <v>13205</v>
      </c>
      <c r="G9" s="2004" t="s">
        <v>13205</v>
      </c>
      <c r="H9" s="2004" t="s">
        <v>13206</v>
      </c>
      <c r="I9" s="2004" t="s">
        <v>13207</v>
      </c>
      <c r="J9" s="2004" t="s">
        <v>13208</v>
      </c>
      <c r="K9" s="2004" t="s">
        <v>13209</v>
      </c>
      <c r="L9" s="2004" t="s">
        <v>13210</v>
      </c>
    </row>
    <row r="10" spans="1:12">
      <c r="A10" s="2004"/>
      <c r="B10" s="2004" t="s">
        <v>13211</v>
      </c>
      <c r="C10" s="2004" t="s">
        <v>13212</v>
      </c>
      <c r="D10" s="2004" t="s">
        <v>13213</v>
      </c>
      <c r="E10" s="2004" t="s">
        <v>13214</v>
      </c>
      <c r="F10" s="2004" t="s">
        <v>13215</v>
      </c>
      <c r="G10" s="2004" t="s">
        <v>13215</v>
      </c>
      <c r="H10" s="2004" t="s">
        <v>13216</v>
      </c>
      <c r="I10" s="2004" t="s">
        <v>13217</v>
      </c>
      <c r="J10" s="2004" t="s">
        <v>13218</v>
      </c>
      <c r="K10" s="2004" t="s">
        <v>13219</v>
      </c>
      <c r="L10" s="2004" t="s">
        <v>13220</v>
      </c>
    </row>
    <row r="11" spans="1:12">
      <c r="A11" s="2004"/>
      <c r="B11" s="2004" t="s">
        <v>13221</v>
      </c>
      <c r="C11" s="2004" t="s">
        <v>13222</v>
      </c>
      <c r="D11" s="2004" t="s">
        <v>13223</v>
      </c>
      <c r="E11" s="2004" t="s">
        <v>13224</v>
      </c>
      <c r="F11" s="2004" t="s">
        <v>13225</v>
      </c>
      <c r="G11" s="2004" t="s">
        <v>13225</v>
      </c>
      <c r="H11" s="2004" t="s">
        <v>13226</v>
      </c>
      <c r="I11" s="2004" t="s">
        <v>13227</v>
      </c>
      <c r="J11" s="2004" t="s">
        <v>13228</v>
      </c>
      <c r="K11" s="2004" t="s">
        <v>13229</v>
      </c>
      <c r="L11" s="2004" t="s">
        <v>13230</v>
      </c>
    </row>
    <row r="12" spans="1:12">
      <c r="A12" s="2004"/>
      <c r="B12" s="2004" t="s">
        <v>13231</v>
      </c>
      <c r="C12" s="2004" t="s">
        <v>13232</v>
      </c>
      <c r="D12" s="2004" t="s">
        <v>13233</v>
      </c>
      <c r="E12" s="2004" t="s">
        <v>13234</v>
      </c>
      <c r="F12" s="2004" t="s">
        <v>13235</v>
      </c>
      <c r="G12" s="2004" t="s">
        <v>13235</v>
      </c>
      <c r="H12" s="2004" t="s">
        <v>13236</v>
      </c>
      <c r="I12" s="2004" t="s">
        <v>13237</v>
      </c>
      <c r="J12" s="2004" t="s">
        <v>13238</v>
      </c>
      <c r="K12" s="2004" t="s">
        <v>13239</v>
      </c>
      <c r="L12" s="2004" t="s">
        <v>13240</v>
      </c>
    </row>
    <row r="13" spans="1:12">
      <c r="A13" s="2004"/>
      <c r="B13" s="2004" t="s">
        <v>13241</v>
      </c>
      <c r="C13" s="2004" t="s">
        <v>13242</v>
      </c>
      <c r="D13" s="2004" t="s">
        <v>13243</v>
      </c>
      <c r="E13" s="2004" t="s">
        <v>13244</v>
      </c>
      <c r="F13" s="2004" t="s">
        <v>13245</v>
      </c>
      <c r="G13" s="2004" t="s">
        <v>13245</v>
      </c>
      <c r="H13" s="2004" t="s">
        <v>13246</v>
      </c>
      <c r="I13" s="2004" t="s">
        <v>13247</v>
      </c>
      <c r="J13" s="2004" t="s">
        <v>13248</v>
      </c>
      <c r="K13" s="2004" t="s">
        <v>13249</v>
      </c>
      <c r="L13" s="2004" t="s">
        <v>13250</v>
      </c>
    </row>
    <row r="14" spans="1:12">
      <c r="A14" s="2004"/>
      <c r="B14" s="2004" t="s">
        <v>13251</v>
      </c>
      <c r="C14" s="2004" t="s">
        <v>13252</v>
      </c>
      <c r="D14" s="2004" t="s">
        <v>13253</v>
      </c>
      <c r="E14" s="2004" t="s">
        <v>13254</v>
      </c>
      <c r="F14" s="2004" t="s">
        <v>13255</v>
      </c>
      <c r="G14" s="2004" t="s">
        <v>13255</v>
      </c>
      <c r="H14" s="2004" t="s">
        <v>13256</v>
      </c>
      <c r="I14" s="2004" t="s">
        <v>13257</v>
      </c>
      <c r="J14" s="2004" t="s">
        <v>13258</v>
      </c>
      <c r="K14" s="2004" t="s">
        <v>13259</v>
      </c>
      <c r="L14" s="2004" t="s">
        <v>13260</v>
      </c>
    </row>
    <row r="15" spans="1:12">
      <c r="A15" s="2004"/>
      <c r="B15" s="2004" t="s">
        <v>13261</v>
      </c>
      <c r="C15" s="2004" t="s">
        <v>13262</v>
      </c>
      <c r="D15" s="2004" t="s">
        <v>13263</v>
      </c>
      <c r="E15" s="2004" t="s">
        <v>13264</v>
      </c>
      <c r="F15" s="2004" t="s">
        <v>13265</v>
      </c>
      <c r="G15" s="2004" t="s">
        <v>13265</v>
      </c>
      <c r="H15" s="2004" t="s">
        <v>13266</v>
      </c>
      <c r="I15" s="2004" t="s">
        <v>13267</v>
      </c>
      <c r="J15" s="2004" t="s">
        <v>13268</v>
      </c>
      <c r="K15" s="2004" t="s">
        <v>13269</v>
      </c>
      <c r="L15" s="2004" t="s">
        <v>13270</v>
      </c>
    </row>
    <row r="16" spans="1:12">
      <c r="A16" s="2004"/>
      <c r="B16" s="2004" t="s">
        <v>13271</v>
      </c>
      <c r="C16" s="2004" t="s">
        <v>13272</v>
      </c>
      <c r="D16" s="2004" t="s">
        <v>13273</v>
      </c>
      <c r="E16" s="2004" t="s">
        <v>13274</v>
      </c>
      <c r="F16" s="2004" t="s">
        <v>13275</v>
      </c>
      <c r="G16" s="2004" t="s">
        <v>13275</v>
      </c>
      <c r="H16" s="2004" t="s">
        <v>13276</v>
      </c>
      <c r="I16" s="2004" t="s">
        <v>13277</v>
      </c>
      <c r="J16" s="2004" t="s">
        <v>13278</v>
      </c>
      <c r="K16" s="2004" t="s">
        <v>13279</v>
      </c>
      <c r="L16" s="2004" t="s">
        <v>13280</v>
      </c>
    </row>
    <row r="17" spans="2:12">
      <c r="B17" s="2004" t="s">
        <v>13281</v>
      </c>
      <c r="C17" s="2004" t="s">
        <v>13282</v>
      </c>
      <c r="D17" s="2004" t="s">
        <v>13283</v>
      </c>
      <c r="E17" s="2004" t="s">
        <v>13284</v>
      </c>
      <c r="F17" s="2004" t="s">
        <v>13285</v>
      </c>
      <c r="G17" s="2004" t="s">
        <v>13285</v>
      </c>
      <c r="H17" s="2004" t="s">
        <v>13286</v>
      </c>
      <c r="I17" s="2004" t="s">
        <v>13287</v>
      </c>
      <c r="J17" s="2004" t="s">
        <v>13288</v>
      </c>
      <c r="K17" s="2004" t="s">
        <v>13289</v>
      </c>
      <c r="L17" s="2004" t="s">
        <v>13290</v>
      </c>
    </row>
    <row r="18" spans="2:12">
      <c r="B18" s="2004" t="s">
        <v>13291</v>
      </c>
      <c r="C18" s="2004" t="s">
        <v>13292</v>
      </c>
      <c r="D18" s="2004" t="s">
        <v>13293</v>
      </c>
      <c r="E18" s="2004" t="s">
        <v>13294</v>
      </c>
      <c r="F18" s="2004" t="s">
        <v>13295</v>
      </c>
      <c r="G18" s="2004" t="s">
        <v>13295</v>
      </c>
      <c r="H18" s="2004" t="s">
        <v>13296</v>
      </c>
      <c r="I18" s="2004" t="s">
        <v>13297</v>
      </c>
      <c r="J18" s="2004" t="s">
        <v>13298</v>
      </c>
      <c r="K18" s="2004" t="s">
        <v>13299</v>
      </c>
      <c r="L18" s="2004" t="s">
        <v>13300</v>
      </c>
    </row>
    <row r="19" spans="2:12">
      <c r="B19" s="2004" t="s">
        <v>13301</v>
      </c>
      <c r="C19" s="2004" t="s">
        <v>13302</v>
      </c>
      <c r="D19" s="2004" t="s">
        <v>13303</v>
      </c>
      <c r="E19" s="2004" t="s">
        <v>13304</v>
      </c>
      <c r="F19" s="2004" t="s">
        <v>13305</v>
      </c>
      <c r="G19" s="2004" t="s">
        <v>13305</v>
      </c>
      <c r="H19" s="2004" t="s">
        <v>13306</v>
      </c>
      <c r="I19" s="2004" t="s">
        <v>13307</v>
      </c>
      <c r="J19" s="2004" t="s">
        <v>13308</v>
      </c>
      <c r="K19" s="2004" t="s">
        <v>13309</v>
      </c>
      <c r="L19" s="2004" t="s">
        <v>13310</v>
      </c>
    </row>
    <row r="20" spans="2:12">
      <c r="B20" s="2004" t="s">
        <v>13311</v>
      </c>
      <c r="C20" s="2004" t="s">
        <v>13312</v>
      </c>
      <c r="D20" s="2004" t="s">
        <v>13313</v>
      </c>
      <c r="E20" s="2004" t="s">
        <v>13314</v>
      </c>
      <c r="F20" s="2004" t="s">
        <v>13315</v>
      </c>
      <c r="G20" s="2004" t="s">
        <v>13315</v>
      </c>
      <c r="H20" s="2004" t="s">
        <v>13316</v>
      </c>
      <c r="I20" s="2004" t="s">
        <v>13317</v>
      </c>
      <c r="J20" s="2004" t="s">
        <v>13318</v>
      </c>
      <c r="K20" s="2004" t="s">
        <v>13319</v>
      </c>
      <c r="L20" s="2004" t="s">
        <v>13320</v>
      </c>
    </row>
    <row r="21" spans="2:12">
      <c r="B21" s="2004" t="s">
        <v>13321</v>
      </c>
      <c r="C21" s="2004" t="s">
        <v>13322</v>
      </c>
      <c r="D21" s="2004" t="s">
        <v>13323</v>
      </c>
      <c r="E21" s="2004" t="s">
        <v>13324</v>
      </c>
      <c r="F21" s="2004" t="s">
        <v>13325</v>
      </c>
      <c r="G21" s="2004" t="s">
        <v>13325</v>
      </c>
      <c r="H21" s="2004" t="s">
        <v>13326</v>
      </c>
      <c r="I21" s="2004" t="s">
        <v>13327</v>
      </c>
      <c r="J21" s="2004" t="s">
        <v>13328</v>
      </c>
      <c r="K21" s="2004" t="s">
        <v>13329</v>
      </c>
      <c r="L21" s="2004" t="s">
        <v>13330</v>
      </c>
    </row>
    <row r="22" spans="2:12">
      <c r="B22" s="2004" t="s">
        <v>13331</v>
      </c>
      <c r="C22" s="2004" t="s">
        <v>13332</v>
      </c>
      <c r="D22" s="2004" t="s">
        <v>13333</v>
      </c>
      <c r="E22" s="2004" t="s">
        <v>13334</v>
      </c>
      <c r="F22" s="2004"/>
      <c r="G22" s="2004"/>
      <c r="H22" s="2004" t="s">
        <v>13335</v>
      </c>
      <c r="I22" s="2004" t="s">
        <v>13336</v>
      </c>
      <c r="J22" s="2004" t="s">
        <v>13337</v>
      </c>
      <c r="K22" s="2004" t="s">
        <v>13338</v>
      </c>
      <c r="L22" s="2004" t="s">
        <v>13339</v>
      </c>
    </row>
    <row r="23" spans="2:12">
      <c r="B23" s="2004" t="s">
        <v>13340</v>
      </c>
      <c r="C23" s="2004" t="s">
        <v>13341</v>
      </c>
      <c r="D23" s="2004" t="s">
        <v>13342</v>
      </c>
      <c r="E23" s="2004" t="s">
        <v>13343</v>
      </c>
      <c r="F23" s="2004"/>
      <c r="G23" s="2004"/>
      <c r="H23" s="2004" t="s">
        <v>13344</v>
      </c>
      <c r="I23" s="2004" t="s">
        <v>13345</v>
      </c>
      <c r="J23" s="2004" t="s">
        <v>13346</v>
      </c>
      <c r="K23" s="2004" t="s">
        <v>13347</v>
      </c>
      <c r="L23" s="2004" t="s">
        <v>13348</v>
      </c>
    </row>
    <row r="24" spans="2:12">
      <c r="B24" s="2004" t="s">
        <v>13349</v>
      </c>
      <c r="C24" s="2004" t="s">
        <v>13350</v>
      </c>
      <c r="D24" s="2004" t="s">
        <v>13351</v>
      </c>
      <c r="E24" s="2004" t="s">
        <v>13352</v>
      </c>
      <c r="F24" s="2004"/>
      <c r="G24" s="2004"/>
      <c r="H24" s="2004" t="s">
        <v>13353</v>
      </c>
      <c r="I24" s="2004" t="s">
        <v>13354</v>
      </c>
      <c r="J24" s="2004" t="s">
        <v>13355</v>
      </c>
      <c r="K24" s="2004" t="s">
        <v>13356</v>
      </c>
      <c r="L24" s="2004" t="s">
        <v>13357</v>
      </c>
    </row>
    <row r="25" spans="2:12">
      <c r="B25" s="2004" t="s">
        <v>13358</v>
      </c>
      <c r="C25" s="2004" t="s">
        <v>13359</v>
      </c>
      <c r="D25" s="2004" t="s">
        <v>13360</v>
      </c>
      <c r="E25" s="2004" t="s">
        <v>13361</v>
      </c>
      <c r="F25" s="2004"/>
      <c r="G25" s="2004"/>
      <c r="H25" s="2004" t="s">
        <v>13362</v>
      </c>
      <c r="I25" s="2004" t="s">
        <v>13363</v>
      </c>
      <c r="J25" s="2004" t="s">
        <v>13364</v>
      </c>
      <c r="K25" s="2004" t="s">
        <v>13365</v>
      </c>
      <c r="L25" s="2004" t="s">
        <v>13366</v>
      </c>
    </row>
    <row r="26" spans="2:12">
      <c r="B26" s="2004" t="s">
        <v>13367</v>
      </c>
      <c r="C26" s="2004" t="s">
        <v>13368</v>
      </c>
      <c r="D26" s="2004" t="s">
        <v>13369</v>
      </c>
      <c r="E26" s="2004" t="s">
        <v>13370</v>
      </c>
      <c r="F26" s="2004"/>
      <c r="G26" s="2004"/>
      <c r="H26" s="2004" t="s">
        <v>13371</v>
      </c>
      <c r="I26" s="2004" t="s">
        <v>13372</v>
      </c>
      <c r="J26" s="2004" t="s">
        <v>13373</v>
      </c>
      <c r="K26" s="2004" t="s">
        <v>13374</v>
      </c>
      <c r="L26" s="2004" t="s">
        <v>13375</v>
      </c>
    </row>
    <row r="27" spans="2:12">
      <c r="B27" s="2004" t="s">
        <v>13376</v>
      </c>
      <c r="C27" s="2004" t="s">
        <v>13377</v>
      </c>
      <c r="D27" s="2004" t="s">
        <v>13378</v>
      </c>
      <c r="E27" s="2004" t="s">
        <v>13379</v>
      </c>
      <c r="F27" s="2004"/>
      <c r="G27" s="2004"/>
      <c r="H27" s="2004" t="s">
        <v>13380</v>
      </c>
      <c r="I27" s="2004" t="s">
        <v>13381</v>
      </c>
      <c r="J27" s="2004" t="s">
        <v>13382</v>
      </c>
      <c r="K27" s="2004" t="s">
        <v>13383</v>
      </c>
      <c r="L27" s="2004" t="s">
        <v>13384</v>
      </c>
    </row>
    <row r="28" spans="2:12">
      <c r="B28" s="2004" t="s">
        <v>13385</v>
      </c>
      <c r="C28" s="2004" t="s">
        <v>13386</v>
      </c>
      <c r="D28" s="2004"/>
      <c r="E28" s="2004" t="s">
        <v>13387</v>
      </c>
      <c r="F28" s="2004"/>
      <c r="G28" s="2004"/>
      <c r="H28" s="2004" t="s">
        <v>13388</v>
      </c>
      <c r="I28" s="2004" t="s">
        <v>13389</v>
      </c>
      <c r="J28" s="2004" t="s">
        <v>13390</v>
      </c>
      <c r="K28" s="2004" t="s">
        <v>13391</v>
      </c>
      <c r="L28" s="2004" t="s">
        <v>13392</v>
      </c>
    </row>
    <row r="29" spans="2:12">
      <c r="B29" s="2004" t="s">
        <v>13393</v>
      </c>
      <c r="C29" s="2004" t="s">
        <v>13394</v>
      </c>
      <c r="D29" s="2004"/>
      <c r="E29" s="2004" t="s">
        <v>13395</v>
      </c>
      <c r="F29" s="2004"/>
      <c r="G29" s="2004"/>
      <c r="H29" s="2004" t="s">
        <v>13396</v>
      </c>
      <c r="I29" s="2004" t="s">
        <v>13397</v>
      </c>
      <c r="J29" s="2004" t="s">
        <v>13398</v>
      </c>
      <c r="K29" s="2004" t="s">
        <v>13399</v>
      </c>
      <c r="L29" s="2004" t="s">
        <v>13400</v>
      </c>
    </row>
    <row r="30" spans="2:12">
      <c r="B30" s="2004" t="s">
        <v>13401</v>
      </c>
      <c r="C30" s="2004" t="s">
        <v>13402</v>
      </c>
      <c r="D30" s="2004"/>
      <c r="E30" s="2004" t="s">
        <v>13403</v>
      </c>
      <c r="F30" s="2004"/>
      <c r="G30" s="2004"/>
      <c r="H30" s="2004" t="s">
        <v>13404</v>
      </c>
      <c r="I30" s="2004" t="s">
        <v>13405</v>
      </c>
      <c r="J30" s="2004" t="s">
        <v>13406</v>
      </c>
      <c r="K30" s="2004"/>
      <c r="L30" s="2004" t="s">
        <v>13407</v>
      </c>
    </row>
    <row r="31" spans="2:12">
      <c r="B31" s="2004" t="s">
        <v>13408</v>
      </c>
      <c r="C31" s="2004"/>
      <c r="D31" s="2004"/>
      <c r="E31" s="2004" t="s">
        <v>13409</v>
      </c>
      <c r="F31" s="2004"/>
      <c r="G31" s="2004"/>
      <c r="H31" s="2004" t="s">
        <v>13410</v>
      </c>
      <c r="I31" s="2004" t="s">
        <v>13411</v>
      </c>
      <c r="J31" s="2004" t="s">
        <v>13412</v>
      </c>
      <c r="K31" s="2004"/>
      <c r="L31" s="2004" t="s">
        <v>13413</v>
      </c>
    </row>
    <row r="32" spans="2:12">
      <c r="B32" s="2004" t="s">
        <v>13414</v>
      </c>
      <c r="C32" s="2004"/>
      <c r="D32" s="2004"/>
      <c r="E32" s="2004" t="s">
        <v>13415</v>
      </c>
      <c r="F32" s="2004"/>
      <c r="G32" s="2004"/>
      <c r="H32" s="2004" t="s">
        <v>13416</v>
      </c>
      <c r="I32" s="2004" t="s">
        <v>13417</v>
      </c>
      <c r="J32" s="2004" t="s">
        <v>13418</v>
      </c>
      <c r="K32" s="2004"/>
      <c r="L32" s="2004" t="s">
        <v>13419</v>
      </c>
    </row>
    <row r="33" spans="2:12">
      <c r="B33" s="2004" t="s">
        <v>13420</v>
      </c>
      <c r="C33" s="2004"/>
      <c r="D33" s="2004"/>
      <c r="E33" s="2004" t="s">
        <v>13421</v>
      </c>
      <c r="F33" s="2004"/>
      <c r="G33" s="2004"/>
      <c r="H33" s="2004" t="s">
        <v>13422</v>
      </c>
      <c r="I33" s="2004" t="s">
        <v>13423</v>
      </c>
      <c r="J33" s="2004" t="s">
        <v>13424</v>
      </c>
      <c r="K33" s="2004"/>
      <c r="L33" s="2004" t="s">
        <v>13425</v>
      </c>
    </row>
    <row r="34" spans="2:12">
      <c r="B34" s="2004" t="s">
        <v>13426</v>
      </c>
      <c r="C34" s="2004"/>
      <c r="D34" s="2004"/>
      <c r="E34" s="2004" t="s">
        <v>13427</v>
      </c>
      <c r="F34" s="2004"/>
      <c r="G34" s="2004"/>
      <c r="H34" s="2004" t="s">
        <v>13428</v>
      </c>
      <c r="I34" s="2004" t="s">
        <v>13429</v>
      </c>
      <c r="J34" s="2004" t="s">
        <v>13430</v>
      </c>
      <c r="K34" s="2004"/>
      <c r="L34" s="2004" t="s">
        <v>13431</v>
      </c>
    </row>
    <row r="35" spans="2:12">
      <c r="B35" s="2004" t="s">
        <v>13432</v>
      </c>
      <c r="C35" s="2004"/>
      <c r="D35" s="2004"/>
      <c r="E35" s="2004" t="s">
        <v>13433</v>
      </c>
      <c r="F35" s="2004"/>
      <c r="G35" s="2004"/>
      <c r="H35" s="2004" t="s">
        <v>13434</v>
      </c>
      <c r="I35" s="2004" t="s">
        <v>13435</v>
      </c>
      <c r="J35" s="2004" t="s">
        <v>13436</v>
      </c>
      <c r="K35" s="2004"/>
      <c r="L35" s="2004" t="s">
        <v>13437</v>
      </c>
    </row>
    <row r="36" spans="2:12">
      <c r="B36" s="2004" t="s">
        <v>13438</v>
      </c>
      <c r="C36" s="2004"/>
      <c r="D36" s="2004"/>
      <c r="E36" s="2004" t="s">
        <v>13439</v>
      </c>
      <c r="F36" s="2004"/>
      <c r="G36" s="2004"/>
      <c r="H36" s="2004" t="s">
        <v>13440</v>
      </c>
      <c r="I36" s="2004" t="s">
        <v>13441</v>
      </c>
      <c r="J36" s="2004" t="s">
        <v>13442</v>
      </c>
      <c r="K36" s="2004"/>
      <c r="L36" s="2004" t="s">
        <v>13443</v>
      </c>
    </row>
    <row r="37" spans="2:12">
      <c r="B37" s="2004" t="s">
        <v>13444</v>
      </c>
      <c r="C37" s="2004"/>
      <c r="D37" s="2004"/>
      <c r="E37" s="2004" t="s">
        <v>13445</v>
      </c>
      <c r="F37" s="2004"/>
      <c r="G37" s="2004"/>
      <c r="H37" s="2004" t="s">
        <v>13446</v>
      </c>
      <c r="I37" s="2004" t="s">
        <v>13447</v>
      </c>
      <c r="J37" s="2004" t="s">
        <v>13448</v>
      </c>
      <c r="K37" s="2004"/>
      <c r="L37" s="2004" t="s">
        <v>13449</v>
      </c>
    </row>
    <row r="38" spans="2:12">
      <c r="B38" s="2004" t="s">
        <v>13450</v>
      </c>
      <c r="C38" s="2004"/>
      <c r="D38" s="2004"/>
      <c r="E38" s="2004" t="s">
        <v>13451</v>
      </c>
      <c r="F38" s="2004"/>
      <c r="G38" s="2004"/>
      <c r="H38" s="2004" t="s">
        <v>13452</v>
      </c>
      <c r="I38" s="2004" t="s">
        <v>13453</v>
      </c>
      <c r="J38" s="2004" t="s">
        <v>13454</v>
      </c>
      <c r="K38" s="2004"/>
      <c r="L38" s="2004" t="s">
        <v>13455</v>
      </c>
    </row>
    <row r="39" spans="2:12">
      <c r="B39" s="2004" t="s">
        <v>13456</v>
      </c>
      <c r="C39" s="2004"/>
      <c r="D39" s="2004"/>
      <c r="E39" s="2004" t="s">
        <v>13457</v>
      </c>
      <c r="F39" s="2004"/>
      <c r="G39" s="2004"/>
      <c r="H39" s="2004" t="s">
        <v>13458</v>
      </c>
      <c r="I39" s="2004" t="s">
        <v>13459</v>
      </c>
      <c r="J39" s="2004" t="s">
        <v>13460</v>
      </c>
      <c r="K39" s="2004"/>
      <c r="L39" s="2004" t="s">
        <v>13461</v>
      </c>
    </row>
    <row r="40" spans="2:12">
      <c r="B40" s="2004" t="s">
        <v>13462</v>
      </c>
      <c r="C40" s="2004"/>
      <c r="D40" s="2004"/>
      <c r="E40" s="2004" t="s">
        <v>13463</v>
      </c>
      <c r="F40" s="2004"/>
      <c r="G40" s="2004"/>
      <c r="H40" s="2004" t="s">
        <v>13464</v>
      </c>
      <c r="I40" s="2004" t="s">
        <v>13465</v>
      </c>
      <c r="J40" s="2004" t="s">
        <v>13466</v>
      </c>
      <c r="K40" s="2004"/>
      <c r="L40" s="2004" t="s">
        <v>13467</v>
      </c>
    </row>
    <row r="41" spans="2:12">
      <c r="B41" s="2004" t="s">
        <v>13468</v>
      </c>
      <c r="C41" s="2004"/>
      <c r="D41" s="2004"/>
      <c r="E41" s="2004" t="s">
        <v>13469</v>
      </c>
      <c r="F41" s="2004"/>
      <c r="G41" s="2004"/>
      <c r="H41" s="2004" t="s">
        <v>13470</v>
      </c>
      <c r="I41" s="2004" t="s">
        <v>13471</v>
      </c>
      <c r="J41" s="2004" t="s">
        <v>13472</v>
      </c>
      <c r="K41" s="2004"/>
      <c r="L41" s="2004" t="s">
        <v>13473</v>
      </c>
    </row>
    <row r="42" spans="2:12">
      <c r="B42" s="2004" t="s">
        <v>13474</v>
      </c>
      <c r="C42" s="2004"/>
      <c r="D42" s="2004"/>
      <c r="E42" s="2004" t="s">
        <v>13475</v>
      </c>
      <c r="F42" s="2004"/>
      <c r="G42" s="2004"/>
      <c r="H42" s="2004" t="s">
        <v>13476</v>
      </c>
      <c r="I42" s="2004" t="s">
        <v>13477</v>
      </c>
      <c r="J42" s="2004" t="s">
        <v>13478</v>
      </c>
      <c r="K42" s="2004"/>
      <c r="L42" s="2004" t="s">
        <v>13479</v>
      </c>
    </row>
    <row r="43" spans="2:12">
      <c r="B43" s="2004" t="s">
        <v>13480</v>
      </c>
      <c r="C43" s="2004"/>
      <c r="D43" s="2004"/>
      <c r="E43" s="2004" t="s">
        <v>13481</v>
      </c>
      <c r="F43" s="2004"/>
      <c r="G43" s="2004"/>
      <c r="H43" s="2004" t="s">
        <v>13482</v>
      </c>
      <c r="I43" s="2004" t="s">
        <v>13483</v>
      </c>
      <c r="J43" s="2004" t="s">
        <v>13484</v>
      </c>
      <c r="K43" s="2004"/>
      <c r="L43" s="2004" t="s">
        <v>13485</v>
      </c>
    </row>
    <row r="44" spans="2:12">
      <c r="B44" s="2004" t="s">
        <v>13486</v>
      </c>
      <c r="C44" s="2004"/>
      <c r="D44" s="2004"/>
      <c r="E44" s="2004" t="s">
        <v>13487</v>
      </c>
      <c r="F44" s="2004"/>
      <c r="G44" s="2004"/>
      <c r="H44" s="2004" t="s">
        <v>13488</v>
      </c>
      <c r="I44" s="2004" t="s">
        <v>13489</v>
      </c>
      <c r="J44" s="2004" t="s">
        <v>13490</v>
      </c>
      <c r="K44" s="2004"/>
      <c r="L44" s="2004" t="s">
        <v>13491</v>
      </c>
    </row>
    <row r="45" spans="2:12">
      <c r="B45" s="2004" t="s">
        <v>13492</v>
      </c>
      <c r="C45" s="2004"/>
      <c r="D45" s="2004"/>
      <c r="E45" s="2004" t="s">
        <v>13493</v>
      </c>
      <c r="F45" s="2004"/>
      <c r="G45" s="2004"/>
      <c r="H45" s="2004" t="s">
        <v>13494</v>
      </c>
      <c r="I45" s="2004" t="s">
        <v>13495</v>
      </c>
      <c r="J45" s="2004" t="s">
        <v>13496</v>
      </c>
      <c r="K45" s="2004"/>
      <c r="L45" s="2004" t="s">
        <v>13497</v>
      </c>
    </row>
    <row r="46" spans="2:12">
      <c r="B46" s="2004" t="s">
        <v>13498</v>
      </c>
      <c r="C46" s="2004"/>
      <c r="D46" s="2004"/>
      <c r="E46" s="2004" t="s">
        <v>13499</v>
      </c>
      <c r="F46" s="2004"/>
      <c r="G46" s="2004"/>
      <c r="H46" s="2004" t="s">
        <v>13500</v>
      </c>
      <c r="I46" s="2004" t="s">
        <v>13501</v>
      </c>
      <c r="J46" s="2004" t="s">
        <v>13502</v>
      </c>
      <c r="K46" s="2004"/>
      <c r="L46" s="2004" t="s">
        <v>13503</v>
      </c>
    </row>
    <row r="47" spans="2:12">
      <c r="B47" s="2004" t="s">
        <v>13504</v>
      </c>
      <c r="C47" s="2004"/>
      <c r="D47" s="2004"/>
      <c r="E47" s="2004" t="s">
        <v>13505</v>
      </c>
      <c r="F47" s="2004"/>
      <c r="G47" s="2004"/>
      <c r="H47" s="2004" t="s">
        <v>13506</v>
      </c>
      <c r="I47" s="2004" t="s">
        <v>13507</v>
      </c>
      <c r="J47" s="2004" t="s">
        <v>13508</v>
      </c>
      <c r="K47" s="2004"/>
      <c r="L47" s="2004" t="s">
        <v>13509</v>
      </c>
    </row>
    <row r="48" spans="2:12">
      <c r="B48" s="2004" t="s">
        <v>13510</v>
      </c>
      <c r="C48" s="2004"/>
      <c r="D48" s="2004"/>
      <c r="E48" s="2004" t="s">
        <v>13511</v>
      </c>
      <c r="F48" s="2004"/>
      <c r="G48" s="2004"/>
      <c r="H48" s="2004"/>
      <c r="I48" s="2004" t="s">
        <v>13512</v>
      </c>
      <c r="J48" s="2004" t="s">
        <v>13513</v>
      </c>
      <c r="K48" s="2004"/>
      <c r="L48" s="2004" t="s">
        <v>13514</v>
      </c>
    </row>
    <row r="49" spans="2:12">
      <c r="B49" s="2004" t="s">
        <v>13515</v>
      </c>
      <c r="C49" s="2004"/>
      <c r="D49" s="2004"/>
      <c r="E49" s="2004" t="s">
        <v>13516</v>
      </c>
      <c r="F49" s="2004"/>
      <c r="G49" s="2004"/>
      <c r="H49" s="2004"/>
      <c r="I49" s="2004" t="s">
        <v>13517</v>
      </c>
      <c r="J49" s="2004" t="s">
        <v>13518</v>
      </c>
      <c r="K49" s="2004"/>
      <c r="L49" s="2004" t="s">
        <v>13519</v>
      </c>
    </row>
    <row r="50" spans="2:12">
      <c r="B50" s="2004" t="s">
        <v>13520</v>
      </c>
      <c r="C50" s="2004"/>
      <c r="D50" s="2004"/>
      <c r="E50" s="2004" t="s">
        <v>13521</v>
      </c>
      <c r="F50" s="2004"/>
      <c r="G50" s="2004"/>
      <c r="H50" s="2004"/>
      <c r="I50" s="2004" t="s">
        <v>13522</v>
      </c>
      <c r="J50" s="2004" t="s">
        <v>13523</v>
      </c>
      <c r="K50" s="2004"/>
      <c r="L50" s="2004" t="s">
        <v>13524</v>
      </c>
    </row>
    <row r="51" spans="2:12">
      <c r="B51" s="2004" t="s">
        <v>13525</v>
      </c>
      <c r="C51" s="2004"/>
      <c r="D51" s="2004"/>
      <c r="E51" s="2004" t="s">
        <v>13526</v>
      </c>
      <c r="F51" s="2004"/>
      <c r="G51" s="2004"/>
      <c r="H51" s="2004"/>
      <c r="I51" s="2004" t="s">
        <v>13527</v>
      </c>
      <c r="J51" s="2004" t="s">
        <v>13528</v>
      </c>
      <c r="K51" s="2004"/>
      <c r="L51" s="2004" t="s">
        <v>13529</v>
      </c>
    </row>
    <row r="52" spans="2:12">
      <c r="B52" s="2004" t="s">
        <v>13530</v>
      </c>
      <c r="C52" s="2004"/>
      <c r="D52" s="2004"/>
      <c r="E52" s="2004" t="s">
        <v>13531</v>
      </c>
      <c r="F52" s="2004"/>
      <c r="G52" s="2004"/>
      <c r="H52" s="2004"/>
      <c r="I52" s="2004" t="s">
        <v>13532</v>
      </c>
      <c r="J52" s="2004" t="s">
        <v>13533</v>
      </c>
      <c r="K52" s="2004"/>
      <c r="L52" s="2004"/>
    </row>
    <row r="53" spans="2:12">
      <c r="B53" s="2004" t="s">
        <v>13534</v>
      </c>
      <c r="C53" s="2004"/>
      <c r="D53" s="2004"/>
      <c r="E53" s="2004" t="s">
        <v>13535</v>
      </c>
      <c r="F53" s="2004"/>
      <c r="G53" s="2004"/>
      <c r="H53" s="2004"/>
      <c r="I53" s="2004" t="s">
        <v>13536</v>
      </c>
      <c r="J53" s="2004" t="s">
        <v>13537</v>
      </c>
      <c r="K53" s="2004"/>
      <c r="L53" s="2004"/>
    </row>
    <row r="54" spans="2:12">
      <c r="B54" s="2004" t="s">
        <v>13538</v>
      </c>
      <c r="C54" s="2004"/>
      <c r="D54" s="2004"/>
      <c r="E54" s="2004" t="s">
        <v>13539</v>
      </c>
      <c r="F54" s="2004"/>
      <c r="G54" s="2004"/>
      <c r="H54" s="2004"/>
      <c r="I54" s="2004" t="s">
        <v>13540</v>
      </c>
      <c r="J54" s="2004" t="s">
        <v>13541</v>
      </c>
      <c r="K54" s="2004"/>
      <c r="L54" s="2004"/>
    </row>
    <row r="55" spans="2:12">
      <c r="B55" s="2004" t="s">
        <v>13542</v>
      </c>
      <c r="C55" s="2004"/>
      <c r="D55" s="2004"/>
      <c r="E55" s="2004" t="s">
        <v>13543</v>
      </c>
      <c r="F55" s="2004"/>
      <c r="G55" s="2004"/>
      <c r="H55" s="2004"/>
      <c r="I55" s="2004" t="s">
        <v>13544</v>
      </c>
      <c r="J55" s="2004" t="s">
        <v>13545</v>
      </c>
      <c r="K55" s="2004"/>
      <c r="L55" s="2004"/>
    </row>
    <row r="56" spans="2:12">
      <c r="B56" s="2004" t="s">
        <v>13546</v>
      </c>
      <c r="C56" s="2004"/>
      <c r="D56" s="2004"/>
      <c r="E56" s="2004" t="s">
        <v>13547</v>
      </c>
      <c r="F56" s="2004"/>
      <c r="G56" s="2004"/>
      <c r="H56" s="2004"/>
      <c r="I56" s="2004" t="s">
        <v>13548</v>
      </c>
      <c r="J56" s="2004" t="s">
        <v>13549</v>
      </c>
      <c r="K56" s="2004"/>
      <c r="L56" s="2004"/>
    </row>
    <row r="57" spans="2:12">
      <c r="B57" s="2004" t="s">
        <v>13550</v>
      </c>
      <c r="C57" s="2004"/>
      <c r="D57" s="2004"/>
      <c r="E57" s="2004" t="s">
        <v>13551</v>
      </c>
      <c r="F57" s="2004"/>
      <c r="G57" s="2004"/>
      <c r="H57" s="2004"/>
      <c r="I57" s="2004" t="s">
        <v>13552</v>
      </c>
      <c r="J57" s="2004" t="s">
        <v>13553</v>
      </c>
      <c r="K57" s="2004"/>
      <c r="L57" s="2004"/>
    </row>
    <row r="58" spans="2:12">
      <c r="B58" s="2004" t="s">
        <v>13554</v>
      </c>
      <c r="C58" s="2004"/>
      <c r="D58" s="2004"/>
      <c r="E58" s="2004" t="s">
        <v>13555</v>
      </c>
      <c r="F58" s="2004"/>
      <c r="G58" s="2004"/>
      <c r="H58" s="2004"/>
      <c r="I58" s="2004" t="s">
        <v>13556</v>
      </c>
      <c r="J58" s="2004" t="s">
        <v>13557</v>
      </c>
      <c r="K58" s="2004"/>
      <c r="L58" s="2004"/>
    </row>
    <row r="59" spans="2:12">
      <c r="B59" s="2004"/>
      <c r="C59" s="2004"/>
      <c r="D59" s="2004"/>
      <c r="E59" s="2004" t="s">
        <v>13558</v>
      </c>
      <c r="F59" s="2004"/>
      <c r="G59" s="2004"/>
      <c r="H59" s="2004"/>
      <c r="I59" s="2004" t="s">
        <v>13559</v>
      </c>
      <c r="J59" s="2004" t="s">
        <v>13560</v>
      </c>
      <c r="K59" s="2004"/>
      <c r="L59" s="2004"/>
    </row>
    <row r="60" spans="2:12">
      <c r="B60" s="2004"/>
      <c r="C60" s="2004"/>
      <c r="D60" s="2004"/>
      <c r="E60" s="2004" t="s">
        <v>13561</v>
      </c>
      <c r="F60" s="2004"/>
      <c r="G60" s="2004"/>
      <c r="H60" s="2004"/>
      <c r="I60" s="2004"/>
      <c r="J60" s="2004" t="s">
        <v>13562</v>
      </c>
      <c r="K60" s="2004"/>
      <c r="L60" s="2004"/>
    </row>
    <row r="61" spans="2:12">
      <c r="B61" s="2004"/>
      <c r="C61" s="2004"/>
      <c r="D61" s="2004"/>
      <c r="E61" s="2004" t="s">
        <v>13563</v>
      </c>
      <c r="F61" s="2004"/>
      <c r="G61" s="2004"/>
      <c r="H61" s="2004"/>
      <c r="I61" s="2004"/>
      <c r="J61" s="2004" t="s">
        <v>13564</v>
      </c>
      <c r="K61" s="2004"/>
      <c r="L61" s="2004"/>
    </row>
    <row r="62" spans="2:12">
      <c r="B62" s="2004"/>
      <c r="C62" s="2004"/>
      <c r="D62" s="2004"/>
      <c r="E62" s="2004" t="s">
        <v>13565</v>
      </c>
      <c r="F62" s="2004"/>
      <c r="G62" s="2004"/>
      <c r="H62" s="2004"/>
      <c r="I62" s="2004"/>
      <c r="J62" s="2004" t="s">
        <v>13566</v>
      </c>
      <c r="K62" s="2004"/>
      <c r="L62" s="2004"/>
    </row>
    <row r="63" spans="2:12">
      <c r="B63" s="2004"/>
      <c r="C63" s="2004"/>
      <c r="D63" s="2004"/>
      <c r="E63" s="2004" t="s">
        <v>13567</v>
      </c>
      <c r="F63" s="2004"/>
      <c r="G63" s="2004"/>
      <c r="H63" s="2004"/>
      <c r="I63" s="2004"/>
      <c r="J63" s="2004" t="s">
        <v>13568</v>
      </c>
      <c r="K63" s="2004"/>
      <c r="L63" s="2004"/>
    </row>
    <row r="64" spans="2:12">
      <c r="B64" s="2004"/>
      <c r="C64" s="2004"/>
      <c r="D64" s="2004"/>
      <c r="E64" s="2004" t="s">
        <v>13569</v>
      </c>
      <c r="F64" s="2004"/>
      <c r="G64" s="2004"/>
      <c r="H64" s="2004"/>
      <c r="I64" s="2004"/>
      <c r="J64" s="2004" t="s">
        <v>13570</v>
      </c>
      <c r="K64" s="2004"/>
      <c r="L64" s="2004"/>
    </row>
    <row r="65" spans="5:10">
      <c r="E65" s="2004" t="s">
        <v>13571</v>
      </c>
      <c r="F65" s="2004"/>
      <c r="G65" s="2004"/>
      <c r="H65" s="2004"/>
      <c r="I65" s="2004"/>
      <c r="J65" s="2004" t="s">
        <v>13572</v>
      </c>
    </row>
    <row r="66" spans="5:10">
      <c r="E66" s="2004" t="s">
        <v>13573</v>
      </c>
      <c r="F66" s="2004"/>
      <c r="G66" s="2004"/>
      <c r="H66" s="2004"/>
      <c r="I66" s="2004"/>
      <c r="J66" s="2004" t="s">
        <v>13574</v>
      </c>
    </row>
    <row r="67" spans="5:10">
      <c r="E67" s="2004" t="s">
        <v>13575</v>
      </c>
      <c r="F67" s="2004"/>
      <c r="G67" s="2004"/>
      <c r="H67" s="2004"/>
      <c r="I67" s="2004"/>
      <c r="J67" s="2004" t="s">
        <v>13576</v>
      </c>
    </row>
    <row r="68" spans="5:10">
      <c r="E68" s="2004" t="s">
        <v>13577</v>
      </c>
      <c r="F68" s="2004"/>
      <c r="G68" s="2004"/>
      <c r="H68" s="2004"/>
      <c r="I68" s="2004"/>
      <c r="J68" s="2004" t="s">
        <v>13578</v>
      </c>
    </row>
    <row r="69" spans="5:10">
      <c r="E69" s="2004" t="s">
        <v>13579</v>
      </c>
      <c r="F69" s="2004"/>
      <c r="G69" s="2004"/>
      <c r="H69" s="2004"/>
      <c r="I69" s="2004"/>
      <c r="J69" s="2004"/>
    </row>
    <row r="70" spans="5:10">
      <c r="E70" s="2004" t="s">
        <v>13580</v>
      </c>
      <c r="F70" s="2004"/>
      <c r="G70" s="2004"/>
      <c r="H70" s="2004"/>
      <c r="I70" s="2004"/>
      <c r="J70" s="2004"/>
    </row>
    <row r="71" spans="5:10">
      <c r="E71" s="2004" t="s">
        <v>13581</v>
      </c>
      <c r="F71" s="2004"/>
      <c r="G71" s="2004"/>
      <c r="H71" s="2004"/>
      <c r="I71" s="2004"/>
      <c r="J71" s="2004"/>
    </row>
    <row r="72" spans="5:10">
      <c r="E72" s="2004" t="s">
        <v>13582</v>
      </c>
      <c r="F72" s="2004"/>
      <c r="G72" s="2004"/>
      <c r="H72" s="2004"/>
      <c r="I72" s="2004"/>
      <c r="J72" s="2004"/>
    </row>
    <row r="73" spans="5:10">
      <c r="E73" s="2004" t="s">
        <v>13583</v>
      </c>
      <c r="F73" s="2004"/>
      <c r="G73" s="2004"/>
      <c r="H73" s="2004"/>
      <c r="I73" s="2004"/>
      <c r="J73" s="2004"/>
    </row>
  </sheetData>
  <sheetProtection algorithmName="SHA-512" hashValue="zSHbo8vMFiaDv3xP2ILUw+tLr7P9erKfuaeKUFOKmiG/3kdFu9QwISvUkV2qIyWUyzitRd2gXlOqrgQOSBkPFQ==" saltValue="jQ1epyqUmJT9ABBUgD8lBA==" spinCount="100000" sheet="1" objects="1" scenarios="1"/>
  <pageMargins left="0.7" right="0.7" top="0.75" bottom="0.75" header="0.3" footer="0.3"/>
  <pageSetup paperSize="9"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K73"/>
  <sheetViews>
    <sheetView workbookViewId="0">
      <selection activeCell="I32" sqref="I32"/>
    </sheetView>
  </sheetViews>
  <sheetFormatPr defaultColWidth="0" defaultRowHeight="14.25" zeroHeight="1"/>
  <cols>
    <col min="1" max="1" width="0.5" style="70" customWidth="1"/>
    <col min="2" max="2" width="7.5" style="70" customWidth="1"/>
    <col min="3" max="3" width="38.125" style="70" customWidth="1"/>
    <col min="4" max="4" width="2.5" style="70" hidden="1" customWidth="1"/>
    <col min="5" max="6" width="5.125" style="70" customWidth="1"/>
    <col min="7" max="11" width="12.5" style="70" customWidth="1"/>
    <col min="12" max="12" width="2.125" style="70" customWidth="1"/>
    <col min="13" max="13" width="18.5" style="70" bestFit="1" customWidth="1"/>
    <col min="14" max="14" width="1.5" style="70" customWidth="1"/>
    <col min="15" max="15" width="1.5" style="71" hidden="1" customWidth="1"/>
    <col min="16" max="18" width="5.5" style="70" hidden="1" customWidth="1"/>
    <col min="19" max="19" width="1.5" style="71" hidden="1" customWidth="1"/>
    <col min="20" max="20" width="8.125" style="70" hidden="1" customWidth="1"/>
    <col min="21" max="23" width="8.5" style="70" hidden="1" customWidth="1"/>
    <col min="24" max="25" width="0" style="70" hidden="1" customWidth="1"/>
    <col min="26" max="26" width="8.125" style="70" customWidth="1"/>
    <col min="27" max="27" width="7.5" style="70" customWidth="1"/>
    <col min="28" max="28" width="38.125" style="70" customWidth="1"/>
    <col min="29" max="29" width="2.5" style="70" hidden="1" customWidth="1"/>
    <col min="30" max="31" width="5.125" style="70" customWidth="1"/>
    <col min="32" max="36" width="12.5" style="70" customWidth="1"/>
    <col min="37" max="37" width="2.5" style="70" customWidth="1"/>
    <col min="38" max="16384" width="8.125" style="70" hidden="1"/>
  </cols>
  <sheetData>
    <row r="1" spans="2:36" ht="20.25">
      <c r="B1" s="66" t="s">
        <v>523</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5" thickBot="1">
      <c r="B2" s="73" t="str">
        <f>'1C'!B2</f>
        <v>For the 12 months ended 31 March 2020</v>
      </c>
      <c r="AA2" s="73" t="str">
        <f>B2</f>
        <v>For the 12 months ended 31 March 2020</v>
      </c>
    </row>
    <row r="3" spans="2:36" ht="15" customHeight="1">
      <c r="B3" s="3057" t="s">
        <v>36</v>
      </c>
      <c r="C3" s="3058"/>
      <c r="D3" s="2985" t="s">
        <v>37</v>
      </c>
      <c r="E3" s="3061" t="s">
        <v>38</v>
      </c>
      <c r="F3" s="3063" t="s">
        <v>39</v>
      </c>
      <c r="G3" s="3065" t="s">
        <v>40</v>
      </c>
      <c r="H3" s="3067" t="s">
        <v>41</v>
      </c>
      <c r="I3" s="3068"/>
      <c r="J3" s="3069"/>
      <c r="K3" s="3070" t="s">
        <v>42</v>
      </c>
      <c r="M3" s="3070" t="s">
        <v>43</v>
      </c>
      <c r="AA3" s="3057" t="s">
        <v>36</v>
      </c>
      <c r="AB3" s="3058"/>
      <c r="AC3" s="2985" t="s">
        <v>37</v>
      </c>
      <c r="AD3" s="3061" t="s">
        <v>38</v>
      </c>
      <c r="AE3" s="3063" t="s">
        <v>39</v>
      </c>
      <c r="AF3" s="3065" t="s">
        <v>40</v>
      </c>
      <c r="AG3" s="3067" t="s">
        <v>41</v>
      </c>
      <c r="AH3" s="3068"/>
      <c r="AI3" s="3069"/>
      <c r="AJ3" s="3070" t="s">
        <v>42</v>
      </c>
    </row>
    <row r="4" spans="2:36" ht="54.75" thickBot="1">
      <c r="B4" s="3059"/>
      <c r="C4" s="3060"/>
      <c r="D4" s="2986"/>
      <c r="E4" s="3062"/>
      <c r="F4" s="3064"/>
      <c r="G4" s="3066"/>
      <c r="H4" s="2997" t="s">
        <v>44</v>
      </c>
      <c r="I4" s="78" t="s">
        <v>45</v>
      </c>
      <c r="J4" s="2998" t="s">
        <v>46</v>
      </c>
      <c r="K4" s="3071"/>
      <c r="M4" s="3071"/>
      <c r="N4" s="79"/>
      <c r="P4" s="3072" t="s">
        <v>47</v>
      </c>
      <c r="Q4" s="3072"/>
      <c r="R4" s="3072"/>
      <c r="AA4" s="3059"/>
      <c r="AB4" s="3060"/>
      <c r="AC4" s="2986"/>
      <c r="AD4" s="3062"/>
      <c r="AE4" s="3064"/>
      <c r="AF4" s="3066"/>
      <c r="AG4" s="2997" t="s">
        <v>44</v>
      </c>
      <c r="AH4" s="78" t="s">
        <v>45</v>
      </c>
      <c r="AI4" s="2998" t="s">
        <v>46</v>
      </c>
      <c r="AJ4" s="3071"/>
    </row>
    <row r="5" spans="2:36" ht="15" thickBot="1"/>
    <row r="6" spans="2:36" ht="15" thickBot="1">
      <c r="B6" s="3036" t="s">
        <v>155</v>
      </c>
      <c r="C6" s="83" t="s">
        <v>524</v>
      </c>
      <c r="D6" s="1505"/>
      <c r="P6" s="85" t="s">
        <v>48</v>
      </c>
      <c r="AA6" s="3036" t="s">
        <v>155</v>
      </c>
      <c r="AB6" s="83" t="s">
        <v>524</v>
      </c>
      <c r="AC6" s="1505"/>
    </row>
    <row r="7" spans="2:36">
      <c r="B7" s="86" t="s">
        <v>525</v>
      </c>
      <c r="C7" s="117" t="s">
        <v>72</v>
      </c>
      <c r="D7" s="117"/>
      <c r="E7" s="88" t="s">
        <v>51</v>
      </c>
      <c r="F7" s="89">
        <v>3</v>
      </c>
      <c r="G7" s="379">
        <f>'1A'!G9</f>
        <v>210.29699999999988</v>
      </c>
      <c r="H7" s="742">
        <f>'1A'!H9</f>
        <v>-7.2859999999999996</v>
      </c>
      <c r="I7" s="675">
        <f>'1A'!I9</f>
        <v>1.847999999999999</v>
      </c>
      <c r="J7" s="190">
        <f t="shared" ref="J7:J15" si="0" xml:space="preserve"> H7 - I7</f>
        <v>-9.1339999999999986</v>
      </c>
      <c r="K7" s="196">
        <f t="shared" ref="K7:K15" si="1" xml:space="preserve"> G7 + J7</f>
        <v>201.1629999999999</v>
      </c>
      <c r="M7" s="126"/>
      <c r="P7" s="127"/>
      <c r="Q7" s="127"/>
      <c r="R7" s="127"/>
      <c r="AA7" s="86" t="s">
        <v>525</v>
      </c>
      <c r="AB7" s="117" t="s">
        <v>72</v>
      </c>
      <c r="AC7" s="117"/>
      <c r="AD7" s="88" t="s">
        <v>51</v>
      </c>
      <c r="AE7" s="89">
        <v>3</v>
      </c>
      <c r="AF7" s="379" t="str">
        <f>'1A'!AF9</f>
        <v>BO2060STAT</v>
      </c>
      <c r="AG7" s="742" t="str">
        <f>'1A'!AG9</f>
        <v>BO2060DSR</v>
      </c>
      <c r="AH7" s="675" t="str">
        <f>'1A'!AH9</f>
        <v>BO2060NA</v>
      </c>
      <c r="AI7" s="190" t="s">
        <v>76</v>
      </c>
      <c r="AJ7" s="196" t="s">
        <v>77</v>
      </c>
    </row>
    <row r="8" spans="2:36">
      <c r="B8" s="94" t="s">
        <v>526</v>
      </c>
      <c r="C8" s="87" t="s">
        <v>79</v>
      </c>
      <c r="D8" s="87"/>
      <c r="E8" s="95" t="s">
        <v>51</v>
      </c>
      <c r="F8" s="96">
        <v>3</v>
      </c>
      <c r="G8" s="461">
        <v>28.515000000000001</v>
      </c>
      <c r="H8" s="411">
        <v>-26.376999999999999</v>
      </c>
      <c r="I8" s="412">
        <v>0</v>
      </c>
      <c r="J8" s="191">
        <f t="shared" si="0"/>
        <v>-26.376999999999999</v>
      </c>
      <c r="K8" s="197">
        <f t="shared" si="1"/>
        <v>2.1380000000000017</v>
      </c>
      <c r="M8" s="24">
        <f xml:space="preserve"> IF( SUM( O8:S8 ) = 0, 0, $P$6 )</f>
        <v>0</v>
      </c>
      <c r="P8" s="93">
        <f t="shared" ref="P8:R33" si="2" xml:space="preserve"> IF( ISNUMBER( G8 ), 0, 1 )</f>
        <v>0</v>
      </c>
      <c r="Q8" s="93">
        <f t="shared" si="2"/>
        <v>0</v>
      </c>
      <c r="R8" s="93">
        <f t="shared" si="2"/>
        <v>0</v>
      </c>
      <c r="AA8" s="94" t="s">
        <v>526</v>
      </c>
      <c r="AB8" s="87" t="s">
        <v>79</v>
      </c>
      <c r="AC8" s="87"/>
      <c r="AD8" s="95" t="s">
        <v>51</v>
      </c>
      <c r="AE8" s="96">
        <v>3</v>
      </c>
      <c r="AF8" s="2522" t="s">
        <v>527</v>
      </c>
      <c r="AG8" s="2519" t="s">
        <v>528</v>
      </c>
      <c r="AH8" s="2520" t="s">
        <v>529</v>
      </c>
      <c r="AI8" s="191" t="s">
        <v>530</v>
      </c>
      <c r="AJ8" s="197" t="s">
        <v>531</v>
      </c>
    </row>
    <row r="9" spans="2:36">
      <c r="B9" s="94" t="s">
        <v>532</v>
      </c>
      <c r="C9" s="87" t="s">
        <v>533</v>
      </c>
      <c r="D9" s="87"/>
      <c r="E9" s="95" t="s">
        <v>51</v>
      </c>
      <c r="F9" s="96">
        <v>3</v>
      </c>
      <c r="G9" s="461">
        <v>326.28199999999998</v>
      </c>
      <c r="H9" s="411">
        <v>-3.6208765200000004</v>
      </c>
      <c r="I9" s="412">
        <v>0.16262626000000002</v>
      </c>
      <c r="J9" s="191">
        <f t="shared" si="0"/>
        <v>-3.7835027800000005</v>
      </c>
      <c r="K9" s="197">
        <f t="shared" si="1"/>
        <v>322.49849721999999</v>
      </c>
      <c r="M9" s="24">
        <f t="shared" ref="M9:M14" si="3" xml:space="preserve"> IF( SUM( O9:S9 ) = 0, 0, $P$6 )</f>
        <v>0</v>
      </c>
      <c r="P9" s="93">
        <f t="shared" si="2"/>
        <v>0</v>
      </c>
      <c r="Q9" s="93">
        <f t="shared" si="2"/>
        <v>0</v>
      </c>
      <c r="R9" s="93">
        <f t="shared" si="2"/>
        <v>0</v>
      </c>
      <c r="AA9" s="94" t="s">
        <v>532</v>
      </c>
      <c r="AB9" s="87" t="s">
        <v>533</v>
      </c>
      <c r="AC9" s="87"/>
      <c r="AD9" s="95" t="s">
        <v>51</v>
      </c>
      <c r="AE9" s="96">
        <v>3</v>
      </c>
      <c r="AF9" s="2522" t="s">
        <v>534</v>
      </c>
      <c r="AG9" s="2519" t="s">
        <v>535</v>
      </c>
      <c r="AH9" s="2520" t="s">
        <v>536</v>
      </c>
      <c r="AI9" s="191" t="s">
        <v>537</v>
      </c>
      <c r="AJ9" s="197" t="s">
        <v>538</v>
      </c>
    </row>
    <row r="10" spans="2:36">
      <c r="B10" s="94" t="s">
        <v>539</v>
      </c>
      <c r="C10" s="87" t="s">
        <v>540</v>
      </c>
      <c r="D10" s="87"/>
      <c r="E10" s="95" t="s">
        <v>51</v>
      </c>
      <c r="F10" s="96">
        <v>3</v>
      </c>
      <c r="G10" s="462">
        <v>-10.907</v>
      </c>
      <c r="H10" s="463">
        <v>10.907</v>
      </c>
      <c r="I10" s="464">
        <v>0</v>
      </c>
      <c r="J10" s="191">
        <f t="shared" si="0"/>
        <v>10.907</v>
      </c>
      <c r="K10" s="197">
        <f t="shared" si="1"/>
        <v>0</v>
      </c>
      <c r="M10" s="24">
        <f t="shared" si="3"/>
        <v>0</v>
      </c>
      <c r="P10" s="93">
        <f t="shared" si="2"/>
        <v>0</v>
      </c>
      <c r="Q10" s="93">
        <f t="shared" si="2"/>
        <v>0</v>
      </c>
      <c r="R10" s="93">
        <f t="shared" si="2"/>
        <v>0</v>
      </c>
      <c r="AA10" s="94" t="s">
        <v>539</v>
      </c>
      <c r="AB10" s="87" t="s">
        <v>540</v>
      </c>
      <c r="AC10" s="87"/>
      <c r="AD10" s="95" t="s">
        <v>51</v>
      </c>
      <c r="AE10" s="96">
        <v>3</v>
      </c>
      <c r="AF10" s="2533" t="s">
        <v>541</v>
      </c>
      <c r="AG10" s="2534" t="s">
        <v>542</v>
      </c>
      <c r="AH10" s="2535" t="s">
        <v>543</v>
      </c>
      <c r="AI10" s="191" t="s">
        <v>544</v>
      </c>
      <c r="AJ10" s="197" t="s">
        <v>545</v>
      </c>
    </row>
    <row r="11" spans="2:36">
      <c r="B11" s="94" t="s">
        <v>546</v>
      </c>
      <c r="C11" s="87" t="s">
        <v>547</v>
      </c>
      <c r="D11" s="87"/>
      <c r="E11" s="95" t="s">
        <v>51</v>
      </c>
      <c r="F11" s="96">
        <v>3</v>
      </c>
      <c r="G11" s="462">
        <v>-2.113</v>
      </c>
      <c r="H11" s="463">
        <v>0</v>
      </c>
      <c r="I11" s="464">
        <v>-0.13999999999999979</v>
      </c>
      <c r="J11" s="191">
        <f t="shared" si="0"/>
        <v>0.13999999999999979</v>
      </c>
      <c r="K11" s="197">
        <f t="shared" si="1"/>
        <v>-1.9730000000000003</v>
      </c>
      <c r="M11" s="24">
        <f t="shared" si="3"/>
        <v>0</v>
      </c>
      <c r="P11" s="93">
        <f t="shared" si="2"/>
        <v>0</v>
      </c>
      <c r="Q11" s="93">
        <f t="shared" si="2"/>
        <v>0</v>
      </c>
      <c r="R11" s="93">
        <f t="shared" si="2"/>
        <v>0</v>
      </c>
      <c r="AA11" s="94" t="s">
        <v>546</v>
      </c>
      <c r="AB11" s="87" t="s">
        <v>547</v>
      </c>
      <c r="AC11" s="87"/>
      <c r="AD11" s="95" t="s">
        <v>51</v>
      </c>
      <c r="AE11" s="96">
        <v>3</v>
      </c>
      <c r="AF11" s="2533" t="s">
        <v>548</v>
      </c>
      <c r="AG11" s="2534" t="s">
        <v>549</v>
      </c>
      <c r="AH11" s="2535" t="s">
        <v>550</v>
      </c>
      <c r="AI11" s="191" t="s">
        <v>551</v>
      </c>
      <c r="AJ11" s="197" t="s">
        <v>552</v>
      </c>
    </row>
    <row r="12" spans="2:36">
      <c r="B12" s="94" t="s">
        <v>553</v>
      </c>
      <c r="C12" s="87" t="s">
        <v>554</v>
      </c>
      <c r="D12" s="87"/>
      <c r="E12" s="95" t="s">
        <v>51</v>
      </c>
      <c r="F12" s="96">
        <v>3</v>
      </c>
      <c r="G12" s="462">
        <v>0</v>
      </c>
      <c r="H12" s="463">
        <v>0</v>
      </c>
      <c r="I12" s="464">
        <v>0</v>
      </c>
      <c r="J12" s="191">
        <f t="shared" si="0"/>
        <v>0</v>
      </c>
      <c r="K12" s="197">
        <f t="shared" si="1"/>
        <v>0</v>
      </c>
      <c r="M12" s="24">
        <f t="shared" si="3"/>
        <v>0</v>
      </c>
      <c r="P12" s="93">
        <f t="shared" si="2"/>
        <v>0</v>
      </c>
      <c r="Q12" s="93">
        <f t="shared" si="2"/>
        <v>0</v>
      </c>
      <c r="R12" s="93">
        <f t="shared" si="2"/>
        <v>0</v>
      </c>
      <c r="AA12" s="94" t="s">
        <v>553</v>
      </c>
      <c r="AB12" s="87" t="s">
        <v>554</v>
      </c>
      <c r="AC12" s="87"/>
      <c r="AD12" s="95" t="s">
        <v>51</v>
      </c>
      <c r="AE12" s="96">
        <v>3</v>
      </c>
      <c r="AF12" s="2533" t="s">
        <v>555</v>
      </c>
      <c r="AG12" s="2534" t="s">
        <v>556</v>
      </c>
      <c r="AH12" s="2535" t="s">
        <v>557</v>
      </c>
      <c r="AI12" s="191" t="s">
        <v>558</v>
      </c>
      <c r="AJ12" s="197" t="s">
        <v>559</v>
      </c>
    </row>
    <row r="13" spans="2:36">
      <c r="B13" s="94" t="s">
        <v>560</v>
      </c>
      <c r="C13" s="87" t="s">
        <v>561</v>
      </c>
      <c r="D13" s="87"/>
      <c r="E13" s="95" t="s">
        <v>51</v>
      </c>
      <c r="F13" s="96">
        <v>3</v>
      </c>
      <c r="G13" s="462">
        <v>-3.4420000000000002</v>
      </c>
      <c r="H13" s="463">
        <v>0</v>
      </c>
      <c r="I13" s="464">
        <v>-1.8706262599999994</v>
      </c>
      <c r="J13" s="191">
        <f t="shared" si="0"/>
        <v>1.8706262599999994</v>
      </c>
      <c r="K13" s="197">
        <f t="shared" si="1"/>
        <v>-1.5713737400000007</v>
      </c>
      <c r="M13" s="24">
        <f t="shared" si="3"/>
        <v>0</v>
      </c>
      <c r="P13" s="93">
        <f t="shared" si="2"/>
        <v>0</v>
      </c>
      <c r="Q13" s="93">
        <f t="shared" si="2"/>
        <v>0</v>
      </c>
      <c r="R13" s="93">
        <f t="shared" si="2"/>
        <v>0</v>
      </c>
      <c r="AA13" s="94" t="s">
        <v>560</v>
      </c>
      <c r="AB13" s="87" t="s">
        <v>561</v>
      </c>
      <c r="AC13" s="87"/>
      <c r="AD13" s="95" t="s">
        <v>51</v>
      </c>
      <c r="AE13" s="96">
        <v>3</v>
      </c>
      <c r="AF13" s="2533" t="s">
        <v>562</v>
      </c>
      <c r="AG13" s="2534" t="s">
        <v>563</v>
      </c>
      <c r="AH13" s="2535" t="s">
        <v>564</v>
      </c>
      <c r="AI13" s="191" t="s">
        <v>565</v>
      </c>
      <c r="AJ13" s="197" t="s">
        <v>566</v>
      </c>
    </row>
    <row r="14" spans="2:36">
      <c r="B14" s="94" t="s">
        <v>567</v>
      </c>
      <c r="C14" s="87" t="s">
        <v>568</v>
      </c>
      <c r="D14" s="87"/>
      <c r="E14" s="95" t="s">
        <v>51</v>
      </c>
      <c r="F14" s="96">
        <v>3</v>
      </c>
      <c r="G14" s="462">
        <v>-2.1429999999999998</v>
      </c>
      <c r="H14" s="463">
        <v>0</v>
      </c>
      <c r="I14" s="464">
        <v>0</v>
      </c>
      <c r="J14" s="191">
        <f t="shared" si="0"/>
        <v>0</v>
      </c>
      <c r="K14" s="197">
        <f t="shared" si="1"/>
        <v>-2.1429999999999998</v>
      </c>
      <c r="M14" s="24">
        <f t="shared" si="3"/>
        <v>0</v>
      </c>
      <c r="P14" s="93">
        <f t="shared" si="2"/>
        <v>0</v>
      </c>
      <c r="Q14" s="93">
        <f t="shared" si="2"/>
        <v>0</v>
      </c>
      <c r="R14" s="93">
        <f t="shared" si="2"/>
        <v>0</v>
      </c>
      <c r="AA14" s="94" t="s">
        <v>567</v>
      </c>
      <c r="AB14" s="87" t="s">
        <v>568</v>
      </c>
      <c r="AC14" s="87"/>
      <c r="AD14" s="95" t="s">
        <v>51</v>
      </c>
      <c r="AE14" s="96">
        <v>3</v>
      </c>
      <c r="AF14" s="2533" t="s">
        <v>569</v>
      </c>
      <c r="AG14" s="2534" t="s">
        <v>570</v>
      </c>
      <c r="AH14" s="2535" t="s">
        <v>571</v>
      </c>
      <c r="AI14" s="191" t="s">
        <v>572</v>
      </c>
      <c r="AJ14" s="197" t="s">
        <v>573</v>
      </c>
    </row>
    <row r="15" spans="2:36" ht="15" thickBot="1">
      <c r="B15" s="101" t="s">
        <v>574</v>
      </c>
      <c r="C15" s="102" t="s">
        <v>575</v>
      </c>
      <c r="D15" s="102"/>
      <c r="E15" s="103" t="s">
        <v>51</v>
      </c>
      <c r="F15" s="100">
        <v>3</v>
      </c>
      <c r="G15" s="393">
        <f>SUM( G7:G14 )</f>
        <v>546.48899999999969</v>
      </c>
      <c r="H15" s="193">
        <f>SUM( H7:H14 )</f>
        <v>-26.37687652</v>
      </c>
      <c r="I15" s="194">
        <f>SUM( I7:I14 )</f>
        <v>0</v>
      </c>
      <c r="J15" s="195">
        <f t="shared" si="0"/>
        <v>-26.37687652</v>
      </c>
      <c r="K15" s="198">
        <f t="shared" si="1"/>
        <v>520.1121234799997</v>
      </c>
      <c r="M15" s="126"/>
      <c r="AA15" s="101" t="s">
        <v>574</v>
      </c>
      <c r="AB15" s="102" t="s">
        <v>575</v>
      </c>
      <c r="AC15" s="102"/>
      <c r="AD15" s="103" t="s">
        <v>51</v>
      </c>
      <c r="AE15" s="100">
        <v>3</v>
      </c>
      <c r="AF15" s="393" t="s">
        <v>576</v>
      </c>
      <c r="AG15" s="193" t="s">
        <v>577</v>
      </c>
      <c r="AH15" s="194" t="s">
        <v>578</v>
      </c>
      <c r="AI15" s="195" t="s">
        <v>579</v>
      </c>
      <c r="AJ15" s="198" t="s">
        <v>580</v>
      </c>
    </row>
    <row r="16" spans="2:36" ht="15" thickBot="1">
      <c r="M16" s="126"/>
    </row>
    <row r="17" spans="2:36">
      <c r="B17" s="86" t="s">
        <v>581</v>
      </c>
      <c r="C17" s="117" t="s">
        <v>582</v>
      </c>
      <c r="D17" s="117"/>
      <c r="E17" s="88" t="s">
        <v>51</v>
      </c>
      <c r="F17" s="89">
        <v>3</v>
      </c>
      <c r="G17" s="465">
        <v>-117.25700000000001</v>
      </c>
      <c r="H17" s="413">
        <v>0</v>
      </c>
      <c r="I17" s="424">
        <v>0</v>
      </c>
      <c r="J17" s="190">
        <f xml:space="preserve"> H17 - I17</f>
        <v>0</v>
      </c>
      <c r="K17" s="196">
        <f xml:space="preserve"> G17 + J17</f>
        <v>-117.25700000000001</v>
      </c>
      <c r="M17" s="24">
        <f t="shared" ref="M17:M18" si="4" xml:space="preserve"> IF( SUM( O17:S17 ) = 0, 0, $P$6 )</f>
        <v>0</v>
      </c>
      <c r="P17" s="93">
        <f t="shared" si="2"/>
        <v>0</v>
      </c>
      <c r="Q17" s="93">
        <f t="shared" si="2"/>
        <v>0</v>
      </c>
      <c r="R17" s="93">
        <f t="shared" si="2"/>
        <v>0</v>
      </c>
      <c r="AA17" s="86" t="s">
        <v>581</v>
      </c>
      <c r="AB17" s="117" t="s">
        <v>582</v>
      </c>
      <c r="AC17" s="117"/>
      <c r="AD17" s="88" t="s">
        <v>51</v>
      </c>
      <c r="AE17" s="89">
        <v>3</v>
      </c>
      <c r="AF17" s="2521" t="s">
        <v>583</v>
      </c>
      <c r="AG17" s="2516" t="s">
        <v>584</v>
      </c>
      <c r="AH17" s="2517" t="s">
        <v>585</v>
      </c>
      <c r="AI17" s="190" t="s">
        <v>586</v>
      </c>
      <c r="AJ17" s="196" t="s">
        <v>587</v>
      </c>
    </row>
    <row r="18" spans="2:36">
      <c r="B18" s="94" t="s">
        <v>588</v>
      </c>
      <c r="C18" s="87" t="s">
        <v>589</v>
      </c>
      <c r="D18" s="87"/>
      <c r="E18" s="95" t="s">
        <v>51</v>
      </c>
      <c r="F18" s="96">
        <v>3</v>
      </c>
      <c r="G18" s="461">
        <v>-17.126000000000001</v>
      </c>
      <c r="H18" s="411">
        <v>0</v>
      </c>
      <c r="I18" s="412">
        <v>0</v>
      </c>
      <c r="J18" s="191">
        <f xml:space="preserve"> H18 - I18</f>
        <v>0</v>
      </c>
      <c r="K18" s="197">
        <f xml:space="preserve"> G18 + J18</f>
        <v>-17.126000000000001</v>
      </c>
      <c r="M18" s="24">
        <f t="shared" si="4"/>
        <v>0</v>
      </c>
      <c r="P18" s="93">
        <f t="shared" si="2"/>
        <v>0</v>
      </c>
      <c r="Q18" s="93">
        <f t="shared" si="2"/>
        <v>0</v>
      </c>
      <c r="R18" s="93">
        <f t="shared" si="2"/>
        <v>0</v>
      </c>
      <c r="AA18" s="94" t="s">
        <v>588</v>
      </c>
      <c r="AB18" s="87" t="s">
        <v>589</v>
      </c>
      <c r="AC18" s="87"/>
      <c r="AD18" s="95" t="s">
        <v>51</v>
      </c>
      <c r="AE18" s="96">
        <v>3</v>
      </c>
      <c r="AF18" s="2522" t="s">
        <v>590</v>
      </c>
      <c r="AG18" s="2519" t="s">
        <v>591</v>
      </c>
      <c r="AH18" s="2520" t="s">
        <v>592</v>
      </c>
      <c r="AI18" s="191" t="s">
        <v>593</v>
      </c>
      <c r="AJ18" s="197" t="s">
        <v>594</v>
      </c>
    </row>
    <row r="19" spans="2:36" ht="15" thickBot="1">
      <c r="B19" s="101" t="s">
        <v>595</v>
      </c>
      <c r="C19" s="102" t="s">
        <v>596</v>
      </c>
      <c r="D19" s="102"/>
      <c r="E19" s="103" t="s">
        <v>51</v>
      </c>
      <c r="F19" s="100">
        <v>3</v>
      </c>
      <c r="G19" s="195">
        <f xml:space="preserve"> G15 + SUM( G17:G18 )</f>
        <v>412.10599999999965</v>
      </c>
      <c r="H19" s="193">
        <f xml:space="preserve"> H15 + SUM( H17:H18 )</f>
        <v>-26.37687652</v>
      </c>
      <c r="I19" s="194">
        <f xml:space="preserve"> I15 + SUM( I17:I18 )</f>
        <v>0</v>
      </c>
      <c r="J19" s="195">
        <f xml:space="preserve"> H19 - I19</f>
        <v>-26.37687652</v>
      </c>
      <c r="K19" s="198">
        <f xml:space="preserve"> G19 + J19</f>
        <v>385.72912347999966</v>
      </c>
      <c r="M19" s="126"/>
      <c r="AA19" s="101" t="s">
        <v>595</v>
      </c>
      <c r="AB19" s="102" t="s">
        <v>596</v>
      </c>
      <c r="AC19" s="102"/>
      <c r="AD19" s="103" t="s">
        <v>51</v>
      </c>
      <c r="AE19" s="100">
        <v>3</v>
      </c>
      <c r="AF19" s="195" t="s">
        <v>597</v>
      </c>
      <c r="AG19" s="193" t="s">
        <v>598</v>
      </c>
      <c r="AH19" s="194" t="s">
        <v>599</v>
      </c>
      <c r="AI19" s="195" t="s">
        <v>600</v>
      </c>
      <c r="AJ19" s="198" t="s">
        <v>601</v>
      </c>
    </row>
    <row r="20" spans="2:36" ht="15" thickBot="1">
      <c r="M20" s="126"/>
    </row>
    <row r="21" spans="2:36" ht="15" thickBot="1">
      <c r="B21" s="3036" t="s">
        <v>335</v>
      </c>
      <c r="C21" s="83" t="s">
        <v>602</v>
      </c>
      <c r="D21" s="1505"/>
      <c r="M21" s="126"/>
      <c r="AA21" s="3036" t="s">
        <v>335</v>
      </c>
      <c r="AB21" s="83" t="s">
        <v>602</v>
      </c>
      <c r="AC21" s="1505"/>
    </row>
    <row r="22" spans="2:36">
      <c r="B22" s="86" t="s">
        <v>603</v>
      </c>
      <c r="C22" s="117" t="s">
        <v>604</v>
      </c>
      <c r="D22" s="117"/>
      <c r="E22" s="88" t="s">
        <v>51</v>
      </c>
      <c r="F22" s="89">
        <v>3</v>
      </c>
      <c r="G22" s="465">
        <v>-512.423</v>
      </c>
      <c r="H22" s="413">
        <v>0</v>
      </c>
      <c r="I22" s="424">
        <v>0</v>
      </c>
      <c r="J22" s="190">
        <f t="shared" ref="J22:J28" si="5" xml:space="preserve"> H22 - I22</f>
        <v>0</v>
      </c>
      <c r="K22" s="196">
        <f t="shared" ref="K22:K28" si="6" xml:space="preserve"> G22 + J22</f>
        <v>-512.423</v>
      </c>
      <c r="M22" s="24">
        <f t="shared" ref="M22:M25" si="7" xml:space="preserve"> IF( SUM( O22:S22 ) = 0, 0, $P$6 )</f>
        <v>0</v>
      </c>
      <c r="P22" s="93">
        <f t="shared" si="2"/>
        <v>0</v>
      </c>
      <c r="Q22" s="93">
        <f t="shared" si="2"/>
        <v>0</v>
      </c>
      <c r="R22" s="93">
        <f t="shared" si="2"/>
        <v>0</v>
      </c>
      <c r="AA22" s="86" t="s">
        <v>603</v>
      </c>
      <c r="AB22" s="117" t="s">
        <v>604</v>
      </c>
      <c r="AC22" s="117"/>
      <c r="AD22" s="88" t="s">
        <v>51</v>
      </c>
      <c r="AE22" s="89">
        <v>3</v>
      </c>
      <c r="AF22" s="2521" t="s">
        <v>605</v>
      </c>
      <c r="AG22" s="2516" t="s">
        <v>606</v>
      </c>
      <c r="AH22" s="2517" t="s">
        <v>607</v>
      </c>
      <c r="AI22" s="190" t="s">
        <v>608</v>
      </c>
      <c r="AJ22" s="196" t="s">
        <v>609</v>
      </c>
    </row>
    <row r="23" spans="2:36">
      <c r="B23" s="94" t="s">
        <v>610</v>
      </c>
      <c r="C23" s="87" t="s">
        <v>611</v>
      </c>
      <c r="D23" s="87"/>
      <c r="E23" s="95" t="s">
        <v>51</v>
      </c>
      <c r="F23" s="96">
        <v>3</v>
      </c>
      <c r="G23" s="461">
        <v>0</v>
      </c>
      <c r="H23" s="411">
        <v>26.376999999999999</v>
      </c>
      <c r="I23" s="412">
        <v>0</v>
      </c>
      <c r="J23" s="191">
        <f t="shared" si="5"/>
        <v>26.376999999999999</v>
      </c>
      <c r="K23" s="197">
        <f t="shared" si="6"/>
        <v>26.376999999999999</v>
      </c>
      <c r="M23" s="24">
        <f t="shared" si="7"/>
        <v>0</v>
      </c>
      <c r="O23" s="124"/>
      <c r="P23" s="93">
        <f t="shared" si="2"/>
        <v>0</v>
      </c>
      <c r="Q23" s="93">
        <f t="shared" si="2"/>
        <v>0</v>
      </c>
      <c r="R23" s="93">
        <f t="shared" si="2"/>
        <v>0</v>
      </c>
      <c r="S23" s="124"/>
      <c r="AA23" s="94" t="s">
        <v>610</v>
      </c>
      <c r="AB23" s="87" t="s">
        <v>611</v>
      </c>
      <c r="AC23" s="87"/>
      <c r="AD23" s="95" t="s">
        <v>51</v>
      </c>
      <c r="AE23" s="96">
        <v>3</v>
      </c>
      <c r="AF23" s="2522" t="s">
        <v>612</v>
      </c>
      <c r="AG23" s="2519" t="s">
        <v>613</v>
      </c>
      <c r="AH23" s="2520" t="s">
        <v>614</v>
      </c>
      <c r="AI23" s="191" t="s">
        <v>615</v>
      </c>
      <c r="AJ23" s="197" t="s">
        <v>616</v>
      </c>
    </row>
    <row r="24" spans="2:36">
      <c r="B24" s="94" t="s">
        <v>617</v>
      </c>
      <c r="C24" s="87" t="s">
        <v>618</v>
      </c>
      <c r="D24" s="87"/>
      <c r="E24" s="95" t="s">
        <v>51</v>
      </c>
      <c r="F24" s="96">
        <v>3</v>
      </c>
      <c r="G24" s="461">
        <v>2.242</v>
      </c>
      <c r="H24" s="411">
        <v>0</v>
      </c>
      <c r="I24" s="412">
        <v>0</v>
      </c>
      <c r="J24" s="191">
        <f t="shared" si="5"/>
        <v>0</v>
      </c>
      <c r="K24" s="197">
        <f t="shared" si="6"/>
        <v>2.242</v>
      </c>
      <c r="M24" s="24">
        <f t="shared" si="7"/>
        <v>0</v>
      </c>
      <c r="O24" s="119"/>
      <c r="P24" s="93">
        <f t="shared" si="2"/>
        <v>0</v>
      </c>
      <c r="Q24" s="93">
        <f t="shared" si="2"/>
        <v>0</v>
      </c>
      <c r="R24" s="93">
        <f t="shared" si="2"/>
        <v>0</v>
      </c>
      <c r="S24" s="119"/>
      <c r="AA24" s="94" t="s">
        <v>617</v>
      </c>
      <c r="AB24" s="87" t="s">
        <v>618</v>
      </c>
      <c r="AC24" s="87"/>
      <c r="AD24" s="95" t="s">
        <v>51</v>
      </c>
      <c r="AE24" s="96">
        <v>3</v>
      </c>
      <c r="AF24" s="2522" t="s">
        <v>619</v>
      </c>
      <c r="AG24" s="2519" t="s">
        <v>620</v>
      </c>
      <c r="AH24" s="2520" t="s">
        <v>621</v>
      </c>
      <c r="AI24" s="191" t="s">
        <v>622</v>
      </c>
      <c r="AJ24" s="197" t="s">
        <v>623</v>
      </c>
    </row>
    <row r="25" spans="2:36">
      <c r="B25" s="94" t="s">
        <v>624</v>
      </c>
      <c r="C25" s="87" t="s">
        <v>31</v>
      </c>
      <c r="D25" s="87"/>
      <c r="E25" s="95" t="s">
        <v>51</v>
      </c>
      <c r="F25" s="96">
        <v>3</v>
      </c>
      <c r="G25" s="461">
        <v>3.4420000000000002</v>
      </c>
      <c r="H25" s="411">
        <v>0</v>
      </c>
      <c r="I25" s="412">
        <v>0</v>
      </c>
      <c r="J25" s="191">
        <f t="shared" si="5"/>
        <v>0</v>
      </c>
      <c r="K25" s="197">
        <f t="shared" si="6"/>
        <v>3.4420000000000002</v>
      </c>
      <c r="M25" s="24">
        <f t="shared" si="7"/>
        <v>0</v>
      </c>
      <c r="O25" s="119"/>
      <c r="P25" s="93">
        <f t="shared" si="2"/>
        <v>0</v>
      </c>
      <c r="Q25" s="93">
        <f t="shared" si="2"/>
        <v>0</v>
      </c>
      <c r="R25" s="93">
        <f t="shared" si="2"/>
        <v>0</v>
      </c>
      <c r="S25" s="119"/>
      <c r="AA25" s="94" t="s">
        <v>624</v>
      </c>
      <c r="AB25" s="87" t="s">
        <v>31</v>
      </c>
      <c r="AC25" s="87"/>
      <c r="AD25" s="95" t="s">
        <v>51</v>
      </c>
      <c r="AE25" s="96">
        <v>3</v>
      </c>
      <c r="AF25" s="2522" t="s">
        <v>625</v>
      </c>
      <c r="AG25" s="2519" t="s">
        <v>626</v>
      </c>
      <c r="AH25" s="2520" t="s">
        <v>627</v>
      </c>
      <c r="AI25" s="191" t="s">
        <v>628</v>
      </c>
      <c r="AJ25" s="197" t="s">
        <v>629</v>
      </c>
    </row>
    <row r="26" spans="2:36" ht="15" thickBot="1">
      <c r="B26" s="101" t="s">
        <v>630</v>
      </c>
      <c r="C26" s="102" t="s">
        <v>631</v>
      </c>
      <c r="D26" s="102"/>
      <c r="E26" s="103" t="s">
        <v>51</v>
      </c>
      <c r="F26" s="100">
        <v>3</v>
      </c>
      <c r="G26" s="195">
        <f xml:space="preserve"> SUM( G22:G25 )</f>
        <v>-506.73899999999998</v>
      </c>
      <c r="H26" s="193">
        <f xml:space="preserve"> SUM( H22:H25 )</f>
        <v>26.376999999999999</v>
      </c>
      <c r="I26" s="194">
        <f xml:space="preserve"> SUM( I22:I25 )</f>
        <v>0</v>
      </c>
      <c r="J26" s="195">
        <f t="shared" si="5"/>
        <v>26.376999999999999</v>
      </c>
      <c r="K26" s="198">
        <f t="shared" si="6"/>
        <v>-480.36199999999997</v>
      </c>
      <c r="M26" s="126"/>
      <c r="O26" s="119"/>
      <c r="S26" s="119"/>
      <c r="AA26" s="101" t="s">
        <v>630</v>
      </c>
      <c r="AB26" s="102" t="s">
        <v>631</v>
      </c>
      <c r="AC26" s="102"/>
      <c r="AD26" s="103" t="s">
        <v>51</v>
      </c>
      <c r="AE26" s="100">
        <v>3</v>
      </c>
      <c r="AF26" s="195" t="s">
        <v>632</v>
      </c>
      <c r="AG26" s="193" t="s">
        <v>633</v>
      </c>
      <c r="AH26" s="194" t="s">
        <v>634</v>
      </c>
      <c r="AI26" s="195" t="s">
        <v>635</v>
      </c>
      <c r="AJ26" s="198" t="s">
        <v>636</v>
      </c>
    </row>
    <row r="27" spans="2:36" ht="15" thickBot="1">
      <c r="M27" s="126"/>
    </row>
    <row r="28" spans="2:36" ht="15" thickBot="1">
      <c r="B28" s="131" t="s">
        <v>637</v>
      </c>
      <c r="C28" s="132" t="s">
        <v>638</v>
      </c>
      <c r="D28" s="132"/>
      <c r="E28" s="133" t="s">
        <v>51</v>
      </c>
      <c r="F28" s="134">
        <v>3</v>
      </c>
      <c r="G28" s="738">
        <f xml:space="preserve"> G19 + G26</f>
        <v>-94.633000000000322</v>
      </c>
      <c r="H28" s="739">
        <f xml:space="preserve"> H19 + H26</f>
        <v>1.2347999999917647E-4</v>
      </c>
      <c r="I28" s="740">
        <f xml:space="preserve"> I19 + I26</f>
        <v>0</v>
      </c>
      <c r="J28" s="247">
        <f t="shared" si="5"/>
        <v>1.2347999999917647E-4</v>
      </c>
      <c r="K28" s="486">
        <f t="shared" si="6"/>
        <v>-94.632876520000323</v>
      </c>
      <c r="M28" s="126"/>
      <c r="O28" s="119"/>
      <c r="S28" s="119"/>
      <c r="AA28" s="131" t="s">
        <v>637</v>
      </c>
      <c r="AB28" s="132" t="s">
        <v>638</v>
      </c>
      <c r="AC28" s="132"/>
      <c r="AD28" s="133" t="s">
        <v>51</v>
      </c>
      <c r="AE28" s="134">
        <v>3</v>
      </c>
      <c r="AF28" s="738" t="s">
        <v>639</v>
      </c>
      <c r="AG28" s="739" t="s">
        <v>640</v>
      </c>
      <c r="AH28" s="740" t="s">
        <v>641</v>
      </c>
      <c r="AI28" s="247" t="s">
        <v>642</v>
      </c>
      <c r="AJ28" s="486" t="s">
        <v>643</v>
      </c>
    </row>
    <row r="29" spans="2:36" ht="15" thickBot="1">
      <c r="M29" s="126"/>
      <c r="O29" s="119"/>
      <c r="S29" s="119"/>
    </row>
    <row r="30" spans="2:36" ht="15" thickBot="1">
      <c r="B30" s="3036" t="s">
        <v>392</v>
      </c>
      <c r="C30" s="83" t="s">
        <v>644</v>
      </c>
      <c r="D30" s="1505"/>
      <c r="M30" s="126"/>
      <c r="O30" s="119"/>
      <c r="S30" s="119"/>
      <c r="AA30" s="3036" t="s">
        <v>392</v>
      </c>
      <c r="AB30" s="83" t="s">
        <v>644</v>
      </c>
      <c r="AC30" s="1505"/>
    </row>
    <row r="31" spans="2:36">
      <c r="B31" s="86" t="s">
        <v>645</v>
      </c>
      <c r="C31" s="117" t="s">
        <v>646</v>
      </c>
      <c r="D31" s="117"/>
      <c r="E31" s="88" t="s">
        <v>51</v>
      </c>
      <c r="F31" s="215">
        <v>3</v>
      </c>
      <c r="G31" s="427">
        <v>-110.029</v>
      </c>
      <c r="H31" s="413">
        <v>0</v>
      </c>
      <c r="I31" s="424">
        <v>0</v>
      </c>
      <c r="J31" s="190">
        <f xml:space="preserve"> H31 - I31</f>
        <v>0</v>
      </c>
      <c r="K31" s="199">
        <f xml:space="preserve"> G31 + J31</f>
        <v>-110.029</v>
      </c>
      <c r="M31" s="24">
        <f t="shared" ref="M31:M33" si="8" xml:space="preserve"> IF( SUM( O31:S31 ) = 0, 0, $P$6 )</f>
        <v>0</v>
      </c>
      <c r="O31" s="119"/>
      <c r="P31" s="93">
        <f t="shared" si="2"/>
        <v>0</v>
      </c>
      <c r="Q31" s="93">
        <f t="shared" si="2"/>
        <v>0</v>
      </c>
      <c r="R31" s="93">
        <f t="shared" si="2"/>
        <v>0</v>
      </c>
      <c r="S31" s="119"/>
      <c r="AA31" s="86" t="s">
        <v>645</v>
      </c>
      <c r="AB31" s="117" t="s">
        <v>646</v>
      </c>
      <c r="AC31" s="117"/>
      <c r="AD31" s="88" t="s">
        <v>51</v>
      </c>
      <c r="AE31" s="215">
        <v>3</v>
      </c>
      <c r="AF31" s="2536" t="s">
        <v>647</v>
      </c>
      <c r="AG31" s="2516" t="s">
        <v>648</v>
      </c>
      <c r="AH31" s="2517" t="s">
        <v>649</v>
      </c>
      <c r="AI31" s="190" t="s">
        <v>650</v>
      </c>
      <c r="AJ31" s="199" t="s">
        <v>651</v>
      </c>
    </row>
    <row r="32" spans="2:36">
      <c r="B32" s="170" t="s">
        <v>652</v>
      </c>
      <c r="C32" s="171" t="s">
        <v>653</v>
      </c>
      <c r="D32" s="171"/>
      <c r="E32" s="167" t="s">
        <v>51</v>
      </c>
      <c r="F32" s="396">
        <v>3</v>
      </c>
      <c r="G32" s="466">
        <v>418.86</v>
      </c>
      <c r="H32" s="467">
        <v>0</v>
      </c>
      <c r="I32" s="468">
        <v>0</v>
      </c>
      <c r="J32" s="397">
        <f xml:space="preserve"> H32 - I32</f>
        <v>0</v>
      </c>
      <c r="K32" s="398">
        <f xml:space="preserve"> G32 + J32</f>
        <v>418.86</v>
      </c>
      <c r="M32" s="24">
        <f t="shared" si="8"/>
        <v>0</v>
      </c>
      <c r="O32" s="119"/>
      <c r="P32" s="93">
        <f t="shared" si="2"/>
        <v>0</v>
      </c>
      <c r="Q32" s="93">
        <f t="shared" si="2"/>
        <v>0</v>
      </c>
      <c r="R32" s="93">
        <f t="shared" si="2"/>
        <v>0</v>
      </c>
      <c r="S32" s="119"/>
      <c r="AA32" s="170" t="s">
        <v>652</v>
      </c>
      <c r="AB32" s="171" t="s">
        <v>653</v>
      </c>
      <c r="AC32" s="171"/>
      <c r="AD32" s="167" t="s">
        <v>51</v>
      </c>
      <c r="AE32" s="396">
        <v>3</v>
      </c>
      <c r="AF32" s="2537" t="s">
        <v>654</v>
      </c>
      <c r="AG32" s="2538" t="s">
        <v>655</v>
      </c>
      <c r="AH32" s="2539" t="s">
        <v>656</v>
      </c>
      <c r="AI32" s="397" t="s">
        <v>657</v>
      </c>
      <c r="AJ32" s="398" t="s">
        <v>658</v>
      </c>
    </row>
    <row r="33" spans="1:36">
      <c r="B33" s="170" t="s">
        <v>659</v>
      </c>
      <c r="C33" s="171" t="s">
        <v>660</v>
      </c>
      <c r="D33" s="171"/>
      <c r="E33" s="167" t="s">
        <v>51</v>
      </c>
      <c r="F33" s="396">
        <v>3</v>
      </c>
      <c r="G33" s="466">
        <v>0</v>
      </c>
      <c r="H33" s="467">
        <v>0</v>
      </c>
      <c r="I33" s="468">
        <v>0</v>
      </c>
      <c r="J33" s="397">
        <f xml:space="preserve"> H33 - I33</f>
        <v>0</v>
      </c>
      <c r="K33" s="398">
        <f xml:space="preserve"> G33 + J33</f>
        <v>0</v>
      </c>
      <c r="M33" s="24">
        <f t="shared" si="8"/>
        <v>0</v>
      </c>
      <c r="O33" s="119"/>
      <c r="P33" s="93">
        <f t="shared" si="2"/>
        <v>0</v>
      </c>
      <c r="Q33" s="93">
        <f t="shared" si="2"/>
        <v>0</v>
      </c>
      <c r="R33" s="93">
        <f t="shared" si="2"/>
        <v>0</v>
      </c>
      <c r="S33" s="119"/>
      <c r="AA33" s="170" t="s">
        <v>659</v>
      </c>
      <c r="AB33" s="171" t="s">
        <v>660</v>
      </c>
      <c r="AC33" s="171"/>
      <c r="AD33" s="167" t="s">
        <v>51</v>
      </c>
      <c r="AE33" s="396">
        <v>3</v>
      </c>
      <c r="AF33" s="2537" t="s">
        <v>661</v>
      </c>
      <c r="AG33" s="2538" t="s">
        <v>662</v>
      </c>
      <c r="AH33" s="2539" t="s">
        <v>663</v>
      </c>
      <c r="AI33" s="397" t="s">
        <v>664</v>
      </c>
      <c r="AJ33" s="398" t="s">
        <v>665</v>
      </c>
    </row>
    <row r="34" spans="1:36" ht="15" thickBot="1">
      <c r="B34" s="101" t="s">
        <v>666</v>
      </c>
      <c r="C34" s="102" t="s">
        <v>667</v>
      </c>
      <c r="D34" s="102"/>
      <c r="E34" s="103" t="s">
        <v>51</v>
      </c>
      <c r="F34" s="100">
        <v>3</v>
      </c>
      <c r="G34" s="195">
        <f xml:space="preserve"> SUM( G31:G33 )</f>
        <v>308.83100000000002</v>
      </c>
      <c r="H34" s="193">
        <f xml:space="preserve"> SUM( H31:H33 )</f>
        <v>0</v>
      </c>
      <c r="I34" s="194">
        <f xml:space="preserve"> SUM( I31:I33 )</f>
        <v>0</v>
      </c>
      <c r="J34" s="195">
        <f xml:space="preserve"> H34 - I34</f>
        <v>0</v>
      </c>
      <c r="K34" s="198">
        <f xml:space="preserve"> G34 + J34</f>
        <v>308.83100000000002</v>
      </c>
      <c r="M34" s="126"/>
      <c r="O34" s="119"/>
      <c r="S34" s="119"/>
      <c r="AA34" s="101" t="s">
        <v>666</v>
      </c>
      <c r="AB34" s="102" t="s">
        <v>667</v>
      </c>
      <c r="AC34" s="102"/>
      <c r="AD34" s="103" t="s">
        <v>51</v>
      </c>
      <c r="AE34" s="100">
        <v>3</v>
      </c>
      <c r="AF34" s="195" t="s">
        <v>668</v>
      </c>
      <c r="AG34" s="193" t="s">
        <v>669</v>
      </c>
      <c r="AH34" s="194" t="s">
        <v>670</v>
      </c>
      <c r="AI34" s="195" t="s">
        <v>671</v>
      </c>
      <c r="AJ34" s="198" t="s">
        <v>672</v>
      </c>
    </row>
    <row r="35" spans="1:36" ht="15" thickBot="1">
      <c r="M35" s="126"/>
    </row>
    <row r="36" spans="1:36" ht="15" thickBot="1">
      <c r="B36" s="131" t="s">
        <v>673</v>
      </c>
      <c r="C36" s="132" t="s">
        <v>674</v>
      </c>
      <c r="D36" s="132"/>
      <c r="E36" s="133" t="s">
        <v>51</v>
      </c>
      <c r="F36" s="134">
        <v>3</v>
      </c>
      <c r="G36" s="738">
        <f xml:space="preserve"> G28 + G34</f>
        <v>214.19799999999969</v>
      </c>
      <c r="H36" s="739">
        <f xml:space="preserve"> H28 + H34</f>
        <v>1.2347999999917647E-4</v>
      </c>
      <c r="I36" s="740">
        <f xml:space="preserve"> I28 + I34</f>
        <v>0</v>
      </c>
      <c r="J36" s="247">
        <f xml:space="preserve"> H36 - I36</f>
        <v>1.2347999999917647E-4</v>
      </c>
      <c r="K36" s="486">
        <f xml:space="preserve"> G36 + J36</f>
        <v>214.19812347999971</v>
      </c>
      <c r="M36" s="126"/>
      <c r="O36" s="119"/>
      <c r="S36" s="119"/>
      <c r="AA36" s="131" t="s">
        <v>673</v>
      </c>
      <c r="AB36" s="132" t="s">
        <v>674</v>
      </c>
      <c r="AC36" s="132"/>
      <c r="AD36" s="133" t="s">
        <v>51</v>
      </c>
      <c r="AE36" s="134">
        <v>3</v>
      </c>
      <c r="AF36" s="738" t="s">
        <v>675</v>
      </c>
      <c r="AG36" s="739" t="s">
        <v>676</v>
      </c>
      <c r="AH36" s="740" t="s">
        <v>677</v>
      </c>
      <c r="AI36" s="247" t="s">
        <v>678</v>
      </c>
      <c r="AJ36" s="486" t="s">
        <v>679</v>
      </c>
    </row>
    <row r="37" spans="1:36" s="110" customFormat="1">
      <c r="C37" s="152"/>
      <c r="D37" s="152"/>
      <c r="H37" s="163"/>
      <c r="J37" s="118"/>
      <c r="K37" s="118"/>
      <c r="L37" s="118"/>
      <c r="M37" s="126"/>
      <c r="N37" s="118"/>
      <c r="O37" s="124"/>
      <c r="P37" s="120"/>
      <c r="Q37" s="118"/>
      <c r="R37" s="280"/>
      <c r="S37" s="124"/>
      <c r="AB37" s="152"/>
      <c r="AC37" s="152"/>
      <c r="AG37" s="163"/>
      <c r="AI37" s="118"/>
      <c r="AJ37" s="118"/>
    </row>
    <row r="38" spans="1:36" s="163" customFormat="1" ht="13.5">
      <c r="B38" s="3077" t="s">
        <v>243</v>
      </c>
      <c r="C38" s="3077"/>
      <c r="D38" s="2988"/>
      <c r="J38" s="126"/>
      <c r="K38" s="126"/>
      <c r="L38" s="126"/>
      <c r="M38" s="126"/>
      <c r="N38" s="126"/>
      <c r="O38" s="124"/>
      <c r="P38" s="126"/>
      <c r="Q38" s="126"/>
      <c r="R38" s="203"/>
      <c r="S38" s="124"/>
    </row>
    <row r="39" spans="1:36" s="163" customFormat="1" ht="12">
      <c r="B39" s="141"/>
      <c r="C39" s="142"/>
      <c r="D39" s="142"/>
      <c r="J39" s="126"/>
      <c r="K39" s="126"/>
      <c r="L39" s="126"/>
      <c r="M39" s="126"/>
      <c r="N39" s="126"/>
      <c r="O39" s="124"/>
      <c r="P39" s="126"/>
      <c r="Q39" s="126"/>
      <c r="R39" s="203"/>
      <c r="S39" s="124"/>
    </row>
    <row r="40" spans="1:36" s="163" customFormat="1" ht="12">
      <c r="B40" s="25"/>
      <c r="C40" s="143" t="s">
        <v>190</v>
      </c>
      <c r="D40" s="143"/>
      <c r="J40" s="126"/>
      <c r="K40" s="126"/>
      <c r="L40" s="126"/>
      <c r="M40" s="126"/>
      <c r="N40" s="126"/>
      <c r="O40" s="124"/>
      <c r="P40" s="126"/>
      <c r="Q40" s="126"/>
      <c r="R40" s="203"/>
      <c r="S40" s="124"/>
    </row>
    <row r="41" spans="1:36" s="163" customFormat="1" ht="12">
      <c r="B41" s="141"/>
      <c r="C41" s="142"/>
      <c r="D41" s="142"/>
      <c r="J41" s="126"/>
      <c r="K41" s="126"/>
      <c r="L41" s="126"/>
      <c r="M41" s="126"/>
      <c r="N41" s="126"/>
      <c r="O41" s="124"/>
      <c r="P41" s="126"/>
      <c r="Q41" s="126"/>
      <c r="R41" s="203"/>
      <c r="S41" s="124"/>
    </row>
    <row r="42" spans="1:36" s="163" customFormat="1" ht="12">
      <c r="B42" s="144"/>
      <c r="C42" s="143" t="s">
        <v>191</v>
      </c>
      <c r="D42" s="143"/>
      <c r="J42" s="126"/>
      <c r="K42" s="126"/>
      <c r="L42" s="126"/>
      <c r="M42" s="126"/>
      <c r="N42" s="126"/>
      <c r="O42" s="124"/>
      <c r="P42" s="126"/>
      <c r="Q42" s="126"/>
      <c r="R42" s="203"/>
      <c r="S42" s="124"/>
    </row>
    <row r="43" spans="1:36" s="163" customFormat="1" ht="12">
      <c r="B43" s="145"/>
      <c r="C43" s="143"/>
      <c r="D43" s="143"/>
      <c r="J43" s="126"/>
      <c r="K43" s="126"/>
      <c r="L43" s="126"/>
      <c r="M43" s="126"/>
      <c r="N43" s="126"/>
      <c r="O43" s="124"/>
      <c r="P43" s="126"/>
      <c r="Q43" s="126"/>
      <c r="R43" s="203"/>
      <c r="S43" s="124"/>
    </row>
    <row r="44" spans="1:36" s="178" customFormat="1" ht="15" thickBot="1">
      <c r="C44" s="179"/>
      <c r="D44" s="179"/>
      <c r="J44" s="130"/>
      <c r="K44" s="130"/>
      <c r="L44" s="130"/>
      <c r="M44" s="126"/>
      <c r="N44" s="126"/>
      <c r="O44" s="71"/>
      <c r="P44" s="126"/>
      <c r="Q44" s="126"/>
      <c r="R44" s="302"/>
      <c r="S44" s="71"/>
    </row>
    <row r="45" spans="1:36" s="178" customFormat="1" ht="21" thickBot="1">
      <c r="B45" s="3053" t="str">
        <f>'1C'!B59</f>
        <v>Please refer to RAG 4.08 - Guideline for the table definitions in the annual performance report for the reporting year 2019-20</v>
      </c>
      <c r="C45" s="147"/>
      <c r="D45" s="147"/>
      <c r="E45" s="148"/>
      <c r="F45" s="148"/>
      <c r="G45" s="148"/>
      <c r="H45" s="148"/>
      <c r="I45" s="148"/>
      <c r="J45" s="148"/>
      <c r="K45" s="154"/>
      <c r="L45" s="130"/>
      <c r="M45" s="126"/>
      <c r="N45" s="126"/>
      <c r="O45" s="71"/>
      <c r="P45" s="126"/>
      <c r="Q45" s="126"/>
      <c r="R45" s="302"/>
      <c r="S45" s="71"/>
    </row>
    <row r="46" spans="1:36" s="178" customFormat="1">
      <c r="C46" s="179"/>
      <c r="D46" s="179"/>
      <c r="J46" s="130"/>
      <c r="K46" s="130"/>
      <c r="L46" s="130"/>
      <c r="M46" s="126"/>
      <c r="N46" s="126"/>
      <c r="O46" s="71"/>
      <c r="P46" s="126"/>
      <c r="Q46" s="126"/>
      <c r="R46" s="302"/>
      <c r="S46" s="71"/>
    </row>
    <row r="47" spans="1:36" s="110" customFormat="1" ht="21" hidden="1" thickBot="1">
      <c r="A47" s="1560"/>
      <c r="B47" s="146" t="str">
        <f ca="1" xml:space="preserve"> RIGHT(CELL("filename", $A$1), LEN(CELL("filename", $A$1)) - SEARCH("]", CELL("filename", $A$1)))&amp;" - Line definitions"</f>
        <v>1D - Line definitions</v>
      </c>
      <c r="C47" s="147"/>
      <c r="D47" s="147"/>
      <c r="E47" s="148"/>
      <c r="F47" s="148"/>
      <c r="G47" s="148"/>
      <c r="H47" s="148"/>
      <c r="I47" s="148"/>
      <c r="J47" s="148"/>
      <c r="K47" s="154"/>
      <c r="L47" s="118"/>
      <c r="M47" s="120"/>
      <c r="N47" s="118"/>
      <c r="O47" s="71"/>
      <c r="P47" s="120"/>
      <c r="Q47" s="118"/>
      <c r="R47" s="280"/>
      <c r="S47" s="71"/>
    </row>
    <row r="48" spans="1:36" s="110" customFormat="1" ht="15" hidden="1" thickBot="1">
      <c r="A48" s="1560"/>
      <c r="B48" s="74"/>
      <c r="C48" s="155"/>
      <c r="D48" s="155"/>
      <c r="E48" s="74"/>
      <c r="F48" s="74"/>
      <c r="G48" s="74"/>
      <c r="J48" s="118"/>
      <c r="K48" s="118"/>
      <c r="L48" s="118"/>
      <c r="M48" s="120"/>
      <c r="N48" s="118"/>
      <c r="O48" s="71"/>
      <c r="P48" s="120"/>
      <c r="Q48" s="118"/>
      <c r="R48" s="280"/>
      <c r="S48" s="71"/>
    </row>
    <row r="49" spans="1:19" s="178" customFormat="1" ht="15" hidden="1" thickBot="1">
      <c r="A49" s="1561"/>
      <c r="B49" s="367" t="s">
        <v>193</v>
      </c>
      <c r="C49" s="368" t="s">
        <v>194</v>
      </c>
      <c r="D49" s="369"/>
      <c r="E49" s="369"/>
      <c r="F49" s="369"/>
      <c r="G49" s="369"/>
      <c r="H49" s="369"/>
      <c r="I49" s="369"/>
      <c r="J49" s="369"/>
      <c r="K49" s="370"/>
      <c r="L49" s="346"/>
      <c r="M49" s="130"/>
      <c r="N49" s="118"/>
      <c r="O49" s="71"/>
      <c r="P49" s="85" t="s">
        <v>195</v>
      </c>
      <c r="Q49" s="118"/>
      <c r="R49" s="280"/>
      <c r="S49" s="71"/>
    </row>
    <row r="50" spans="1:19" s="110" customFormat="1" ht="13.7" hidden="1" customHeight="1">
      <c r="A50" s="1560"/>
      <c r="B50" s="181" t="str">
        <f t="shared" ref="B50:B58" si="9">B7</f>
        <v>1D.1</v>
      </c>
      <c r="C50" s="3073" t="s">
        <v>680</v>
      </c>
      <c r="D50" s="3073"/>
      <c r="E50" s="3073"/>
      <c r="F50" s="3073"/>
      <c r="G50" s="3073"/>
      <c r="H50" s="3073"/>
      <c r="I50" s="3073"/>
      <c r="J50" s="3073"/>
      <c r="K50" s="3074"/>
      <c r="L50" s="348"/>
      <c r="M50" s="120"/>
      <c r="N50" s="118"/>
      <c r="O50" s="71"/>
      <c r="P50" s="158">
        <v>1</v>
      </c>
      <c r="Q50" s="118"/>
      <c r="R50" s="178"/>
      <c r="S50" s="71"/>
    </row>
    <row r="51" spans="1:19" s="110" customFormat="1" hidden="1">
      <c r="A51" s="1560"/>
      <c r="B51" s="159" t="str">
        <f t="shared" si="9"/>
        <v>1D.2</v>
      </c>
      <c r="C51" s="3055" t="s">
        <v>681</v>
      </c>
      <c r="D51" s="3055"/>
      <c r="E51" s="3055"/>
      <c r="F51" s="3055"/>
      <c r="G51" s="3055"/>
      <c r="H51" s="3055"/>
      <c r="I51" s="3055"/>
      <c r="J51" s="3055"/>
      <c r="K51" s="3056"/>
      <c r="L51" s="348"/>
      <c r="O51" s="71"/>
      <c r="P51" s="202">
        <v>1</v>
      </c>
      <c r="Q51" s="118"/>
      <c r="R51" s="280"/>
      <c r="S51" s="71"/>
    </row>
    <row r="52" spans="1:19" s="110" customFormat="1" ht="13.7" hidden="1" customHeight="1">
      <c r="A52" s="1560"/>
      <c r="B52" s="159" t="str">
        <f t="shared" si="9"/>
        <v>1D.3</v>
      </c>
      <c r="C52" s="3055" t="s">
        <v>682</v>
      </c>
      <c r="D52" s="3055"/>
      <c r="E52" s="3055"/>
      <c r="F52" s="3055"/>
      <c r="G52" s="3055"/>
      <c r="H52" s="3055"/>
      <c r="I52" s="3055"/>
      <c r="J52" s="3055"/>
      <c r="K52" s="3056"/>
      <c r="L52" s="348"/>
      <c r="O52" s="71"/>
      <c r="P52" s="253">
        <v>1</v>
      </c>
      <c r="S52" s="71"/>
    </row>
    <row r="53" spans="1:19" s="120" customFormat="1" ht="13.7" hidden="1" customHeight="1">
      <c r="A53" s="1562"/>
      <c r="B53" s="159" t="str">
        <f t="shared" si="9"/>
        <v>1D.4</v>
      </c>
      <c r="C53" s="3055" t="s">
        <v>683</v>
      </c>
      <c r="D53" s="3055"/>
      <c r="E53" s="3055"/>
      <c r="F53" s="3055"/>
      <c r="G53" s="3055"/>
      <c r="H53" s="3055"/>
      <c r="I53" s="3055"/>
      <c r="J53" s="3055"/>
      <c r="K53" s="3056"/>
      <c r="L53" s="348"/>
      <c r="O53" s="71"/>
      <c r="P53" s="253">
        <v>1</v>
      </c>
      <c r="S53" s="71"/>
    </row>
    <row r="54" spans="1:19" s="120" customFormat="1" hidden="1">
      <c r="A54" s="1562"/>
      <c r="B54" s="159" t="str">
        <f t="shared" si="9"/>
        <v>1D.5</v>
      </c>
      <c r="C54" s="3055" t="s">
        <v>684</v>
      </c>
      <c r="D54" s="3055"/>
      <c r="E54" s="3055"/>
      <c r="F54" s="3055"/>
      <c r="G54" s="3055"/>
      <c r="H54" s="3055"/>
      <c r="I54" s="3055"/>
      <c r="J54" s="3055"/>
      <c r="K54" s="3056"/>
      <c r="L54" s="348"/>
      <c r="O54" s="71"/>
      <c r="P54" s="253">
        <v>1</v>
      </c>
      <c r="S54" s="71"/>
    </row>
    <row r="55" spans="1:19" s="120" customFormat="1" ht="13.7" hidden="1" customHeight="1">
      <c r="A55" s="1562"/>
      <c r="B55" s="159" t="str">
        <f t="shared" si="9"/>
        <v>1D.6</v>
      </c>
      <c r="C55" s="3055" t="s">
        <v>685</v>
      </c>
      <c r="D55" s="3055"/>
      <c r="E55" s="3055"/>
      <c r="F55" s="3055"/>
      <c r="G55" s="3055"/>
      <c r="H55" s="3055"/>
      <c r="I55" s="3055"/>
      <c r="J55" s="3055"/>
      <c r="K55" s="3056"/>
      <c r="L55" s="348"/>
      <c r="O55" s="71"/>
      <c r="P55" s="253">
        <v>1</v>
      </c>
      <c r="S55" s="71"/>
    </row>
    <row r="56" spans="1:19" ht="13.7" hidden="1" customHeight="1">
      <c r="A56" s="1563"/>
      <c r="B56" s="159" t="str">
        <f t="shared" si="9"/>
        <v>1D.7</v>
      </c>
      <c r="C56" s="3055" t="s">
        <v>686</v>
      </c>
      <c r="D56" s="3055"/>
      <c r="E56" s="3055"/>
      <c r="F56" s="3055"/>
      <c r="G56" s="3055"/>
      <c r="H56" s="3055"/>
      <c r="I56" s="3055"/>
      <c r="J56" s="3055"/>
      <c r="K56" s="3056"/>
      <c r="L56" s="348"/>
      <c r="P56" s="253">
        <v>1</v>
      </c>
    </row>
    <row r="57" spans="1:19" ht="13.7" hidden="1" customHeight="1">
      <c r="A57" s="1563"/>
      <c r="B57" s="159" t="str">
        <f t="shared" si="9"/>
        <v>1D.8</v>
      </c>
      <c r="C57" s="3055" t="s">
        <v>687</v>
      </c>
      <c r="D57" s="3055"/>
      <c r="E57" s="3055"/>
      <c r="F57" s="3055"/>
      <c r="G57" s="3055"/>
      <c r="H57" s="3055"/>
      <c r="I57" s="3055"/>
      <c r="J57" s="3055"/>
      <c r="K57" s="3056"/>
      <c r="L57" s="348"/>
      <c r="P57" s="158">
        <v>1</v>
      </c>
    </row>
    <row r="58" spans="1:19" ht="13.7" hidden="1" customHeight="1">
      <c r="A58" s="1563"/>
      <c r="B58" s="159" t="str">
        <f t="shared" si="9"/>
        <v>1D.9</v>
      </c>
      <c r="C58" s="3055" t="s">
        <v>688</v>
      </c>
      <c r="D58" s="3055"/>
      <c r="E58" s="3055"/>
      <c r="F58" s="3055"/>
      <c r="G58" s="3055"/>
      <c r="H58" s="3055"/>
      <c r="I58" s="3055"/>
      <c r="J58" s="3055"/>
      <c r="K58" s="3056"/>
      <c r="L58" s="348"/>
      <c r="P58" s="158">
        <v>1</v>
      </c>
    </row>
    <row r="59" spans="1:19" ht="13.7" hidden="1" customHeight="1">
      <c r="A59" s="1563"/>
      <c r="B59" s="159" t="str">
        <f>B17</f>
        <v>1D.10</v>
      </c>
      <c r="C59" s="3055" t="s">
        <v>689</v>
      </c>
      <c r="D59" s="3055"/>
      <c r="E59" s="3055"/>
      <c r="F59" s="3055"/>
      <c r="G59" s="3055"/>
      <c r="H59" s="3055"/>
      <c r="I59" s="3055"/>
      <c r="J59" s="3055"/>
      <c r="K59" s="3056"/>
      <c r="L59" s="348"/>
      <c r="P59" s="158">
        <v>1</v>
      </c>
    </row>
    <row r="60" spans="1:19" ht="23.25" hidden="1" customHeight="1">
      <c r="A60" s="1563"/>
      <c r="B60" s="159" t="str">
        <f>B18</f>
        <v>1D.11</v>
      </c>
      <c r="C60" s="3055" t="s">
        <v>690</v>
      </c>
      <c r="D60" s="3055"/>
      <c r="E60" s="3055"/>
      <c r="F60" s="3055"/>
      <c r="G60" s="3055"/>
      <c r="H60" s="3055"/>
      <c r="I60" s="3055"/>
      <c r="J60" s="3055"/>
      <c r="K60" s="3056"/>
      <c r="L60" s="348"/>
      <c r="P60" s="161" t="s">
        <v>197</v>
      </c>
    </row>
    <row r="61" spans="1:19" hidden="1">
      <c r="A61" s="1563"/>
      <c r="B61" s="159" t="str">
        <f>B19</f>
        <v>1D.12</v>
      </c>
      <c r="C61" s="3055" t="s">
        <v>691</v>
      </c>
      <c r="D61" s="3055"/>
      <c r="E61" s="3055"/>
      <c r="F61" s="3055"/>
      <c r="G61" s="3055"/>
      <c r="H61" s="3055"/>
      <c r="I61" s="3055"/>
      <c r="J61" s="3055"/>
      <c r="K61" s="3056"/>
      <c r="L61" s="348"/>
      <c r="P61" s="158">
        <v>1</v>
      </c>
    </row>
    <row r="62" spans="1:19" ht="13.7" hidden="1" customHeight="1">
      <c r="A62" s="1563"/>
      <c r="B62" s="159" t="str">
        <f>B22</f>
        <v>1D.13</v>
      </c>
      <c r="C62" s="3055" t="s">
        <v>692</v>
      </c>
      <c r="D62" s="3055"/>
      <c r="E62" s="3055"/>
      <c r="F62" s="3055"/>
      <c r="G62" s="3055"/>
      <c r="H62" s="3055"/>
      <c r="I62" s="3055"/>
      <c r="J62" s="3055"/>
      <c r="K62" s="3056"/>
      <c r="L62" s="348"/>
      <c r="P62" s="158">
        <v>1</v>
      </c>
    </row>
    <row r="63" spans="1:19" ht="23.25" hidden="1" customHeight="1">
      <c r="A63" s="1563"/>
      <c r="B63" s="159" t="str">
        <f>B23</f>
        <v>1D.14</v>
      </c>
      <c r="C63" s="3055" t="s">
        <v>693</v>
      </c>
      <c r="D63" s="3055"/>
      <c r="E63" s="3055"/>
      <c r="F63" s="3055"/>
      <c r="G63" s="3055"/>
      <c r="H63" s="3055"/>
      <c r="I63" s="3055"/>
      <c r="J63" s="3055"/>
      <c r="K63" s="3056"/>
      <c r="L63" s="348"/>
      <c r="P63" s="161" t="s">
        <v>197</v>
      </c>
    </row>
    <row r="64" spans="1:19" ht="13.7" hidden="1" customHeight="1">
      <c r="A64" s="1563"/>
      <c r="B64" s="159" t="str">
        <f>B24</f>
        <v>1D.15</v>
      </c>
      <c r="C64" s="3055" t="s">
        <v>694</v>
      </c>
      <c r="D64" s="3055"/>
      <c r="E64" s="3055"/>
      <c r="F64" s="3055"/>
      <c r="G64" s="3055"/>
      <c r="H64" s="3055"/>
      <c r="I64" s="3055"/>
      <c r="J64" s="3055"/>
      <c r="K64" s="3056"/>
      <c r="L64" s="348"/>
      <c r="P64" s="158">
        <v>1</v>
      </c>
    </row>
    <row r="65" spans="1:16" ht="13.7" hidden="1" customHeight="1">
      <c r="A65" s="1563"/>
      <c r="B65" s="159" t="str">
        <f>B25</f>
        <v>1D.16</v>
      </c>
      <c r="C65" s="3055" t="s">
        <v>695</v>
      </c>
      <c r="D65" s="3055"/>
      <c r="E65" s="3055"/>
      <c r="F65" s="3055"/>
      <c r="G65" s="3055"/>
      <c r="H65" s="3055"/>
      <c r="I65" s="3055"/>
      <c r="J65" s="3055"/>
      <c r="K65" s="3056"/>
      <c r="L65" s="348"/>
      <c r="P65" s="158">
        <v>1</v>
      </c>
    </row>
    <row r="66" spans="1:16" ht="23.25" hidden="1" customHeight="1">
      <c r="A66" s="1563"/>
      <c r="B66" s="159" t="str">
        <f>B26</f>
        <v>1D.17</v>
      </c>
      <c r="C66" s="3055" t="s">
        <v>696</v>
      </c>
      <c r="D66" s="3055"/>
      <c r="E66" s="3055"/>
      <c r="F66" s="3055"/>
      <c r="G66" s="3055"/>
      <c r="H66" s="3055"/>
      <c r="I66" s="3055"/>
      <c r="J66" s="3055"/>
      <c r="K66" s="3056"/>
      <c r="L66" s="348"/>
      <c r="P66" s="161" t="s">
        <v>197</v>
      </c>
    </row>
    <row r="67" spans="1:16" hidden="1">
      <c r="A67" s="1563"/>
      <c r="B67" s="159" t="str">
        <f t="shared" ref="B67" si="10">B28</f>
        <v>1D.18</v>
      </c>
      <c r="C67" s="3055" t="s">
        <v>697</v>
      </c>
      <c r="D67" s="3055"/>
      <c r="E67" s="3055"/>
      <c r="F67" s="3055"/>
      <c r="G67" s="3055"/>
      <c r="H67" s="3055"/>
      <c r="I67" s="3055"/>
      <c r="J67" s="3055"/>
      <c r="K67" s="3056"/>
      <c r="L67" s="348"/>
      <c r="P67" s="158">
        <v>1</v>
      </c>
    </row>
    <row r="68" spans="1:16" ht="13.7" hidden="1" customHeight="1">
      <c r="A68" s="1563"/>
      <c r="B68" s="159" t="str">
        <f>B31</f>
        <v>1D.19</v>
      </c>
      <c r="C68" s="3055" t="s">
        <v>698</v>
      </c>
      <c r="D68" s="3055"/>
      <c r="E68" s="3055"/>
      <c r="F68" s="3055"/>
      <c r="G68" s="3055"/>
      <c r="H68" s="3055"/>
      <c r="I68" s="3055"/>
      <c r="J68" s="3055"/>
      <c r="K68" s="3056"/>
      <c r="L68" s="348"/>
      <c r="P68" s="158">
        <v>1</v>
      </c>
    </row>
    <row r="69" spans="1:16" ht="13.7" hidden="1" customHeight="1">
      <c r="A69" s="1563"/>
      <c r="B69" s="159" t="str">
        <f>B32</f>
        <v>1D.20</v>
      </c>
      <c r="C69" s="3055" t="s">
        <v>699</v>
      </c>
      <c r="D69" s="3055"/>
      <c r="E69" s="3055"/>
      <c r="F69" s="3055"/>
      <c r="G69" s="3055"/>
      <c r="H69" s="3055"/>
      <c r="I69" s="3055"/>
      <c r="J69" s="3055"/>
      <c r="K69" s="3056"/>
      <c r="L69" s="348"/>
      <c r="P69" s="161">
        <v>1</v>
      </c>
    </row>
    <row r="70" spans="1:16" ht="15" hidden="1" customHeight="1">
      <c r="A70" s="1563"/>
      <c r="B70" s="159" t="str">
        <f>B33</f>
        <v>1D.21</v>
      </c>
      <c r="C70" s="3055" t="s">
        <v>700</v>
      </c>
      <c r="D70" s="3055"/>
      <c r="E70" s="3055"/>
      <c r="F70" s="3055"/>
      <c r="G70" s="3055"/>
      <c r="H70" s="3055"/>
      <c r="I70" s="3055"/>
      <c r="J70" s="3055"/>
      <c r="K70" s="3056"/>
      <c r="L70" s="348"/>
      <c r="P70" s="158">
        <v>1</v>
      </c>
    </row>
    <row r="71" spans="1:16" ht="13.7" hidden="1" customHeight="1">
      <c r="A71" s="1563"/>
      <c r="B71" s="400" t="str">
        <f>B34</f>
        <v>1D.22</v>
      </c>
      <c r="C71" s="3055" t="s">
        <v>701</v>
      </c>
      <c r="D71" s="3055"/>
      <c r="E71" s="3055"/>
      <c r="F71" s="3055"/>
      <c r="G71" s="3055"/>
      <c r="H71" s="3055"/>
      <c r="I71" s="3055"/>
      <c r="J71" s="3055"/>
      <c r="K71" s="3056"/>
      <c r="P71" s="158">
        <v>1</v>
      </c>
    </row>
    <row r="72" spans="1:16" ht="15" hidden="1" thickBot="1">
      <c r="A72" s="1563"/>
      <c r="B72" s="160" t="str">
        <f>B36</f>
        <v>1D.23</v>
      </c>
      <c r="C72" s="3078" t="s">
        <v>702</v>
      </c>
      <c r="D72" s="3079"/>
      <c r="E72" s="3080"/>
      <c r="F72" s="3080"/>
      <c r="G72" s="3080"/>
      <c r="H72" s="3080"/>
      <c r="I72" s="3080"/>
      <c r="J72" s="3080"/>
      <c r="K72" s="3081"/>
      <c r="P72" s="158">
        <v>1</v>
      </c>
    </row>
    <row r="73" spans="1:16" hidden="1">
      <c r="A73" s="1563"/>
      <c r="P73" s="254"/>
    </row>
  </sheetData>
  <sheetProtection algorithmName="SHA-512" hashValue="fWmqzZx3GMJwZ6/brwgpdsLz1P35VSNhk8Hjs3rss8/tZ9owall6+OupuVdBxM4/+jN+ngI8LUEJX8G9jK2e9Q==" saltValue="Kczmo/pjL0aE42oCMkZujA==" spinCount="100000" sheet="1" objects="1" scenarios="1"/>
  <mergeCells count="38">
    <mergeCell ref="AJ3:AJ4"/>
    <mergeCell ref="AA3:AB4"/>
    <mergeCell ref="AD3:AD4"/>
    <mergeCell ref="AE3:AE4"/>
    <mergeCell ref="AF3:AF4"/>
    <mergeCell ref="AG3:AI3"/>
    <mergeCell ref="C72:K72"/>
    <mergeCell ref="C71:K71"/>
    <mergeCell ref="C65:K65"/>
    <mergeCell ref="C66:K66"/>
    <mergeCell ref="C67:K67"/>
    <mergeCell ref="C68:K68"/>
    <mergeCell ref="C69:K69"/>
    <mergeCell ref="C70:K70"/>
    <mergeCell ref="C64:K64"/>
    <mergeCell ref="C53:K53"/>
    <mergeCell ref="C54:K54"/>
    <mergeCell ref="C55:K55"/>
    <mergeCell ref="C56:K56"/>
    <mergeCell ref="C57:K57"/>
    <mergeCell ref="C58:K58"/>
    <mergeCell ref="C59:K59"/>
    <mergeCell ref="C60:K60"/>
    <mergeCell ref="C61:K61"/>
    <mergeCell ref="C62:K62"/>
    <mergeCell ref="C63:K63"/>
    <mergeCell ref="M3:M4"/>
    <mergeCell ref="P4:R4"/>
    <mergeCell ref="B38:C38"/>
    <mergeCell ref="C50:K50"/>
    <mergeCell ref="C51:K51"/>
    <mergeCell ref="C52:K52"/>
    <mergeCell ref="B3:C4"/>
    <mergeCell ref="E3:E4"/>
    <mergeCell ref="F3:F4"/>
    <mergeCell ref="G3:G4"/>
    <mergeCell ref="H3:J3"/>
    <mergeCell ref="K3:K4"/>
  </mergeCells>
  <conditionalFormatting sqref="M8:M14 M17:M18 M22:M25 M31:M33">
    <cfRule type="cellIs" dxfId="1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J50"/>
  <sheetViews>
    <sheetView workbookViewId="0">
      <selection activeCell="H21" sqref="H21"/>
    </sheetView>
  </sheetViews>
  <sheetFormatPr defaultColWidth="0" defaultRowHeight="14.25" zeroHeight="1"/>
  <cols>
    <col min="1" max="1" width="0.5" style="70" customWidth="1"/>
    <col min="2" max="2" width="5.5" style="70" customWidth="1"/>
    <col min="3" max="3" width="38.125" style="70" customWidth="1"/>
    <col min="4" max="4" width="2.5" style="70" hidden="1" customWidth="1"/>
    <col min="5" max="6" width="5.125" style="70" customWidth="1"/>
    <col min="7" max="10" width="12.5" style="70" customWidth="1"/>
    <col min="11" max="11" width="2.5" style="70" customWidth="1"/>
    <col min="12" max="12" width="22" style="70" customWidth="1"/>
    <col min="13" max="13" width="20.125" style="70" customWidth="1"/>
    <col min="14" max="14" width="1.5" style="70" customWidth="1"/>
    <col min="15" max="15" width="1.5" style="71" hidden="1" customWidth="1"/>
    <col min="16" max="19" width="5.5" style="70" hidden="1" customWidth="1"/>
    <col min="20" max="20" width="1.5" style="71" hidden="1" customWidth="1"/>
    <col min="21" max="24" width="5.125" style="70" hidden="1" customWidth="1"/>
    <col min="25" max="25" width="1.5" style="71" hidden="1" customWidth="1"/>
    <col min="26" max="26" width="8.125" style="70" customWidth="1"/>
    <col min="27" max="27" width="5.5" style="70" customWidth="1"/>
    <col min="28" max="28" width="38.125" style="70" customWidth="1"/>
    <col min="29" max="29" width="2.5" style="70" hidden="1" customWidth="1"/>
    <col min="30" max="31" width="5.125" style="70" customWidth="1"/>
    <col min="32" max="35" width="12.5" style="70" customWidth="1"/>
    <col min="36" max="36" width="3.125" style="70" customWidth="1"/>
    <col min="37" max="16384" width="8.125" style="70" hidden="1"/>
  </cols>
  <sheetData>
    <row r="1" spans="2:35" ht="20.25">
      <c r="B1" s="66" t="s">
        <v>703</v>
      </c>
      <c r="C1" s="66"/>
      <c r="D1" s="66"/>
      <c r="E1" s="66"/>
      <c r="F1" s="66"/>
      <c r="G1" s="66"/>
      <c r="H1" s="66"/>
      <c r="I1" s="66"/>
      <c r="J1" s="68" t="str">
        <f>Validation!B3</f>
        <v>Yorkshire Water</v>
      </c>
      <c r="K1" s="66"/>
      <c r="L1" s="66"/>
      <c r="M1" s="69" t="s">
        <v>34</v>
      </c>
      <c r="AA1" s="66" t="s">
        <v>35</v>
      </c>
      <c r="AB1" s="66"/>
      <c r="AC1" s="66"/>
      <c r="AD1" s="66"/>
      <c r="AE1" s="66"/>
      <c r="AF1" s="66"/>
      <c r="AG1" s="66"/>
      <c r="AH1" s="66"/>
      <c r="AI1" s="68"/>
    </row>
    <row r="2" spans="2:35" ht="15" thickBot="1">
      <c r="B2" s="73" t="str">
        <f>'1D'!B2</f>
        <v>For the 12 months ended 31 March 2020</v>
      </c>
      <c r="AA2" s="73" t="str">
        <f>B2</f>
        <v>For the 12 months ended 31 March 2020</v>
      </c>
    </row>
    <row r="3" spans="2:35" ht="15" customHeight="1">
      <c r="B3" s="3057" t="s">
        <v>36</v>
      </c>
      <c r="C3" s="3058"/>
      <c r="D3" s="2985" t="s">
        <v>37</v>
      </c>
      <c r="E3" s="3061" t="s">
        <v>38</v>
      </c>
      <c r="F3" s="3063" t="s">
        <v>39</v>
      </c>
      <c r="G3" s="3088" t="s">
        <v>704</v>
      </c>
      <c r="H3" s="3089"/>
      <c r="I3" s="3089"/>
      <c r="J3" s="3090"/>
      <c r="L3" s="3070" t="s">
        <v>705</v>
      </c>
      <c r="M3" s="3070" t="s">
        <v>43</v>
      </c>
      <c r="P3" s="3072" t="s">
        <v>47</v>
      </c>
      <c r="Q3" s="3072"/>
      <c r="R3" s="3072"/>
      <c r="S3" s="3072"/>
      <c r="U3" s="3072" t="s">
        <v>706</v>
      </c>
      <c r="V3" s="3072"/>
      <c r="W3" s="3072"/>
      <c r="X3" s="3072"/>
      <c r="AA3" s="3057" t="s">
        <v>36</v>
      </c>
      <c r="AB3" s="3058"/>
      <c r="AC3" s="2985" t="s">
        <v>37</v>
      </c>
      <c r="AD3" s="3061" t="s">
        <v>38</v>
      </c>
      <c r="AE3" s="3063" t="s">
        <v>39</v>
      </c>
      <c r="AF3" s="3088" t="s">
        <v>704</v>
      </c>
      <c r="AG3" s="3089"/>
      <c r="AH3" s="3089"/>
      <c r="AI3" s="3090"/>
    </row>
    <row r="4" spans="2:35" ht="15" customHeight="1" thickBot="1">
      <c r="B4" s="3059"/>
      <c r="C4" s="3060"/>
      <c r="D4" s="2986"/>
      <c r="E4" s="3062"/>
      <c r="F4" s="3064"/>
      <c r="G4" s="2997" t="s">
        <v>707</v>
      </c>
      <c r="H4" s="78" t="s">
        <v>708</v>
      </c>
      <c r="I4" s="78" t="s">
        <v>709</v>
      </c>
      <c r="J4" s="2998" t="s">
        <v>710</v>
      </c>
      <c r="L4" s="3071"/>
      <c r="M4" s="3071"/>
      <c r="N4" s="79"/>
      <c r="P4" s="3072"/>
      <c r="Q4" s="3072"/>
      <c r="R4" s="3072"/>
      <c r="S4" s="3072"/>
      <c r="U4" s="3072"/>
      <c r="V4" s="3072"/>
      <c r="W4" s="3072"/>
      <c r="X4" s="3072"/>
      <c r="AA4" s="3059"/>
      <c r="AB4" s="3060"/>
      <c r="AC4" s="2986"/>
      <c r="AD4" s="3062"/>
      <c r="AE4" s="3064"/>
      <c r="AF4" s="2997" t="s">
        <v>707</v>
      </c>
      <c r="AG4" s="78" t="s">
        <v>708</v>
      </c>
      <c r="AH4" s="78" t="s">
        <v>709</v>
      </c>
      <c r="AI4" s="2998" t="s">
        <v>710</v>
      </c>
    </row>
    <row r="5" spans="2:35" ht="15" thickBot="1">
      <c r="P5" s="85" t="s">
        <v>48</v>
      </c>
      <c r="U5" s="85" t="s">
        <v>711</v>
      </c>
    </row>
    <row r="6" spans="2:35" ht="15" thickBot="1">
      <c r="B6" s="86" t="s">
        <v>712</v>
      </c>
      <c r="C6" s="117" t="s">
        <v>713</v>
      </c>
      <c r="D6" s="117"/>
      <c r="E6" s="88" t="s">
        <v>51</v>
      </c>
      <c r="F6" s="89">
        <v>3</v>
      </c>
      <c r="G6" s="450">
        <v>2492.52</v>
      </c>
      <c r="H6" s="458">
        <v>1303.422</v>
      </c>
      <c r="I6" s="458">
        <v>1795.931</v>
      </c>
      <c r="J6" s="487">
        <f xml:space="preserve"> SUM( G6:I6 )</f>
        <v>5591.8729999999996</v>
      </c>
      <c r="L6" s="1370">
        <f xml:space="preserve"> IF( SUM( T6:Y6 ) = 0, 0, $U$5 )</f>
        <v>0</v>
      </c>
      <c r="M6" s="24">
        <f t="shared" ref="M6" si="0" xml:space="preserve"> IF( SUM( O6:T6 ) = 0, 0, $P$5 )</f>
        <v>0</v>
      </c>
      <c r="P6" s="93">
        <f xml:space="preserve"> IF( ISNUMBER( G6 ), 0, 1 )</f>
        <v>0</v>
      </c>
      <c r="Q6" s="93">
        <f xml:space="preserve"> IF( ISNUMBER( H6 ), 0, 1 )</f>
        <v>0</v>
      </c>
      <c r="R6" s="93">
        <f xml:space="preserve"> IF( ISNUMBER( I6 ), 0, 1 )</f>
        <v>0</v>
      </c>
      <c r="U6" s="93">
        <f>IF(ISNUMBER(G6), IF(G6&gt;=0, 0, 1), 1)</f>
        <v>0</v>
      </c>
      <c r="V6" s="93">
        <f t="shared" ref="V6:W6" si="1">IF(ISNUMBER(H6), IF(H6&gt;=0, 0, 1), 1)</f>
        <v>0</v>
      </c>
      <c r="W6" s="93">
        <f t="shared" si="1"/>
        <v>0</v>
      </c>
      <c r="AA6" s="86" t="s">
        <v>712</v>
      </c>
      <c r="AB6" s="117" t="s">
        <v>713</v>
      </c>
      <c r="AC6" s="117"/>
      <c r="AD6" s="88" t="s">
        <v>51</v>
      </c>
      <c r="AE6" s="89">
        <v>3</v>
      </c>
      <c r="AF6" s="2524" t="s">
        <v>714</v>
      </c>
      <c r="AG6" s="2525" t="s">
        <v>715</v>
      </c>
      <c r="AH6" s="2525" t="s">
        <v>716</v>
      </c>
      <c r="AI6" s="487" t="s">
        <v>717</v>
      </c>
    </row>
    <row r="7" spans="2:35">
      <c r="B7" s="94" t="s">
        <v>718</v>
      </c>
      <c r="C7" s="87" t="s">
        <v>440</v>
      </c>
      <c r="D7" s="87"/>
      <c r="E7" s="95" t="s">
        <v>51</v>
      </c>
      <c r="F7" s="96">
        <v>3</v>
      </c>
      <c r="J7" s="241">
        <f>-1 * '1C'!K41</f>
        <v>0</v>
      </c>
      <c r="M7" s="126"/>
      <c r="S7" s="127"/>
      <c r="AA7" s="94" t="s">
        <v>718</v>
      </c>
      <c r="AB7" s="87" t="s">
        <v>440</v>
      </c>
      <c r="AC7" s="87"/>
      <c r="AD7" s="95" t="s">
        <v>51</v>
      </c>
      <c r="AE7" s="96">
        <v>3</v>
      </c>
      <c r="AI7" s="241" t="s">
        <v>719</v>
      </c>
    </row>
    <row r="8" spans="2:35">
      <c r="B8" s="94" t="s">
        <v>720</v>
      </c>
      <c r="C8" s="87" t="s">
        <v>721</v>
      </c>
      <c r="D8" s="87"/>
      <c r="E8" s="95" t="s">
        <v>51</v>
      </c>
      <c r="F8" s="96">
        <v>3</v>
      </c>
      <c r="J8" s="241">
        <f xml:space="preserve"> J6 + J7</f>
        <v>5591.8729999999996</v>
      </c>
      <c r="M8" s="126"/>
      <c r="AA8" s="94" t="s">
        <v>720</v>
      </c>
      <c r="AB8" s="87" t="s">
        <v>721</v>
      </c>
      <c r="AC8" s="87"/>
      <c r="AD8" s="95" t="s">
        <v>51</v>
      </c>
      <c r="AE8" s="96">
        <v>3</v>
      </c>
      <c r="AI8" s="241" t="s">
        <v>722</v>
      </c>
    </row>
    <row r="9" spans="2:35">
      <c r="B9" s="94" t="s">
        <v>723</v>
      </c>
      <c r="C9" s="87" t="s">
        <v>724</v>
      </c>
      <c r="D9" s="87"/>
      <c r="E9" s="95" t="s">
        <v>51</v>
      </c>
      <c r="F9" s="96">
        <v>3</v>
      </c>
      <c r="J9" s="2981">
        <v>-67.962000000000003</v>
      </c>
      <c r="M9" s="24">
        <f t="shared" ref="M9:M10" si="2" xml:space="preserve"> IF( SUM( O9:T9 ) = 0, 0, $P$5 )</f>
        <v>0</v>
      </c>
      <c r="S9" s="93">
        <f xml:space="preserve"> IF( ISNUMBER( J9 ), 0, 1 )</f>
        <v>0</v>
      </c>
      <c r="AA9" s="94" t="s">
        <v>723</v>
      </c>
      <c r="AB9" s="87" t="s">
        <v>724</v>
      </c>
      <c r="AC9" s="87"/>
      <c r="AD9" s="95" t="s">
        <v>51</v>
      </c>
      <c r="AE9" s="96">
        <v>3</v>
      </c>
      <c r="AI9" s="2531" t="s">
        <v>725</v>
      </c>
    </row>
    <row r="10" spans="2:35">
      <c r="B10" s="94" t="s">
        <v>726</v>
      </c>
      <c r="C10" s="87" t="s">
        <v>727</v>
      </c>
      <c r="D10" s="87"/>
      <c r="E10" s="95" t="s">
        <v>51</v>
      </c>
      <c r="F10" s="96">
        <v>3</v>
      </c>
      <c r="J10" s="2981">
        <v>-180.11500000000001</v>
      </c>
      <c r="M10" s="24">
        <f t="shared" si="2"/>
        <v>0</v>
      </c>
      <c r="S10" s="93">
        <f xml:space="preserve"> IF( ISNUMBER( J10 ), 0, 1 )</f>
        <v>0</v>
      </c>
      <c r="AA10" s="94" t="s">
        <v>726</v>
      </c>
      <c r="AB10" s="87" t="s">
        <v>727</v>
      </c>
      <c r="AC10" s="87"/>
      <c r="AD10" s="95" t="s">
        <v>51</v>
      </c>
      <c r="AE10" s="96">
        <v>3</v>
      </c>
      <c r="AI10" s="2531" t="s">
        <v>728</v>
      </c>
    </row>
    <row r="11" spans="2:35" ht="15" thickBot="1">
      <c r="B11" s="101" t="s">
        <v>729</v>
      </c>
      <c r="C11" s="102" t="s">
        <v>730</v>
      </c>
      <c r="D11" s="102"/>
      <c r="E11" s="103" t="s">
        <v>51</v>
      </c>
      <c r="F11" s="100">
        <v>3</v>
      </c>
      <c r="J11" s="200">
        <f xml:space="preserve"> SUM( J8:J10 )</f>
        <v>5343.7959999999994</v>
      </c>
      <c r="M11" s="126"/>
      <c r="AA11" s="101" t="s">
        <v>729</v>
      </c>
      <c r="AB11" s="102" t="s">
        <v>730</v>
      </c>
      <c r="AC11" s="102"/>
      <c r="AD11" s="103" t="s">
        <v>51</v>
      </c>
      <c r="AE11" s="100">
        <v>3</v>
      </c>
      <c r="AI11" s="200" t="s">
        <v>731</v>
      </c>
    </row>
    <row r="12" spans="2:35" ht="15" thickBot="1">
      <c r="M12" s="126"/>
    </row>
    <row r="13" spans="2:35">
      <c r="B13" s="86" t="s">
        <v>732</v>
      </c>
      <c r="C13" s="117" t="s">
        <v>733</v>
      </c>
      <c r="D13" s="117"/>
      <c r="E13" s="88" t="s">
        <v>734</v>
      </c>
      <c r="F13" s="89">
        <v>2</v>
      </c>
      <c r="J13" s="720">
        <f>IF(Validation!$H$3=1, IF( '4C'!G10 = 0, 0, J11 / '4C'!G10 ), IF( '4C'!G10 + '4C'!H10 + '4C'!I10 = 0, 0, J11 / ('4C'!G10 +'4C'!H10 + '4C'!I10) ))</f>
        <v>0.76883575637104873</v>
      </c>
      <c r="M13" s="126"/>
      <c r="AA13" s="86" t="s">
        <v>732</v>
      </c>
      <c r="AB13" s="117" t="s">
        <v>733</v>
      </c>
      <c r="AC13" s="117"/>
      <c r="AD13" s="88" t="s">
        <v>734</v>
      </c>
      <c r="AE13" s="89">
        <v>2</v>
      </c>
      <c r="AI13" s="720" t="s">
        <v>735</v>
      </c>
    </row>
    <row r="14" spans="2:35" ht="15" thickBot="1">
      <c r="B14" s="101" t="s">
        <v>736</v>
      </c>
      <c r="C14" s="102" t="s">
        <v>737</v>
      </c>
      <c r="D14" s="102"/>
      <c r="E14" s="103" t="s">
        <v>734</v>
      </c>
      <c r="F14" s="100">
        <v>2</v>
      </c>
      <c r="J14" s="657">
        <v>0.77800000000000002</v>
      </c>
      <c r="L14" s="1370">
        <f xml:space="preserve"> IF( SUM( T14:Y14 ) = 0, 0, $U$5 )</f>
        <v>0</v>
      </c>
      <c r="M14" s="24">
        <f t="shared" ref="M14:M17" si="3" xml:space="preserve"> IF( SUM( O14:T14 ) = 0, 0, $P$5 )</f>
        <v>0</v>
      </c>
      <c r="S14" s="93">
        <f xml:space="preserve"> IF( ISNUMBER( J14 ), 0, 1 )</f>
        <v>0</v>
      </c>
      <c r="X14" s="93">
        <f t="shared" ref="X14" si="4">IF(ISNUMBER(J14), IF(J14&gt;=0, 0, 1), 1)</f>
        <v>0</v>
      </c>
      <c r="AA14" s="101" t="s">
        <v>736</v>
      </c>
      <c r="AB14" s="102" t="s">
        <v>737</v>
      </c>
      <c r="AC14" s="102"/>
      <c r="AD14" s="103" t="s">
        <v>734</v>
      </c>
      <c r="AE14" s="100">
        <v>2</v>
      </c>
      <c r="AI14" s="2541" t="s">
        <v>738</v>
      </c>
    </row>
    <row r="15" spans="2:35" ht="15" thickBot="1">
      <c r="M15" s="224"/>
    </row>
    <row r="16" spans="2:35">
      <c r="B16" s="86" t="s">
        <v>739</v>
      </c>
      <c r="C16" s="117" t="s">
        <v>740</v>
      </c>
      <c r="D16" s="117"/>
      <c r="E16" s="88" t="s">
        <v>51</v>
      </c>
      <c r="F16" s="89">
        <v>3</v>
      </c>
      <c r="G16" s="413">
        <v>71.489000000000004</v>
      </c>
      <c r="H16" s="424">
        <v>14.159000000000001</v>
      </c>
      <c r="I16" s="424">
        <v>174.999</v>
      </c>
      <c r="J16" s="190">
        <f xml:space="preserve"> SUM( G16:I16 )</f>
        <v>260.64699999999999</v>
      </c>
      <c r="L16" s="1370">
        <f xml:space="preserve"> IF( SUM( T16:Y16 ) = 0, 0, $U$5 )</f>
        <v>0</v>
      </c>
      <c r="M16" s="24">
        <f t="shared" si="3"/>
        <v>0</v>
      </c>
      <c r="P16" s="93">
        <f t="shared" ref="P16:R17" si="5" xml:space="preserve"> IF( ISNUMBER( G16 ), 0, 1 )</f>
        <v>0</v>
      </c>
      <c r="Q16" s="93">
        <f t="shared" si="5"/>
        <v>0</v>
      </c>
      <c r="R16" s="93">
        <f t="shared" si="5"/>
        <v>0</v>
      </c>
      <c r="U16" s="93">
        <f t="shared" ref="U16:U17" si="6">IF(ISNUMBER(G16), IF(G16&gt;=0, 0, 1), 1)</f>
        <v>0</v>
      </c>
      <c r="V16" s="93">
        <f t="shared" ref="V16:V17" si="7">IF(ISNUMBER(H16), IF(H16&gt;=0, 0, 1), 1)</f>
        <v>0</v>
      </c>
      <c r="W16" s="93">
        <f t="shared" ref="W16:W17" si="8">IF(ISNUMBER(I16), IF(I16&gt;=0, 0, 1), 1)</f>
        <v>0</v>
      </c>
      <c r="AA16" s="86" t="s">
        <v>739</v>
      </c>
      <c r="AB16" s="117" t="s">
        <v>740</v>
      </c>
      <c r="AC16" s="117"/>
      <c r="AD16" s="88" t="s">
        <v>51</v>
      </c>
      <c r="AE16" s="89">
        <v>3</v>
      </c>
      <c r="AF16" s="2516" t="s">
        <v>741</v>
      </c>
      <c r="AG16" s="2517" t="s">
        <v>742</v>
      </c>
      <c r="AH16" s="2517" t="s">
        <v>743</v>
      </c>
      <c r="AI16" s="190" t="s">
        <v>744</v>
      </c>
    </row>
    <row r="17" spans="2:35" ht="15" thickBot="1">
      <c r="B17" s="101" t="s">
        <v>745</v>
      </c>
      <c r="C17" s="102" t="s">
        <v>746</v>
      </c>
      <c r="D17" s="102"/>
      <c r="E17" s="103" t="s">
        <v>51</v>
      </c>
      <c r="F17" s="100">
        <v>3</v>
      </c>
      <c r="G17" s="459">
        <v>71.489000000000004</v>
      </c>
      <c r="H17" s="460">
        <v>14.159000000000001</v>
      </c>
      <c r="I17" s="460">
        <v>84.075000000000003</v>
      </c>
      <c r="J17" s="195">
        <f xml:space="preserve"> SUM( G17:I17 )</f>
        <v>169.72300000000001</v>
      </c>
      <c r="L17" s="1370">
        <f xml:space="preserve"> IF( SUM( T17:Y17 ) = 0, 0, $U$5 )</f>
        <v>0</v>
      </c>
      <c r="M17" s="24">
        <f t="shared" si="3"/>
        <v>0</v>
      </c>
      <c r="P17" s="93">
        <f t="shared" si="5"/>
        <v>0</v>
      </c>
      <c r="Q17" s="93">
        <f t="shared" si="5"/>
        <v>0</v>
      </c>
      <c r="R17" s="93">
        <f t="shared" si="5"/>
        <v>0</v>
      </c>
      <c r="U17" s="93">
        <f t="shared" si="6"/>
        <v>0</v>
      </c>
      <c r="V17" s="93">
        <f t="shared" si="7"/>
        <v>0</v>
      </c>
      <c r="W17" s="93">
        <f t="shared" si="8"/>
        <v>0</v>
      </c>
      <c r="AA17" s="101" t="s">
        <v>745</v>
      </c>
      <c r="AB17" s="102" t="s">
        <v>746</v>
      </c>
      <c r="AC17" s="102"/>
      <c r="AD17" s="103" t="s">
        <v>51</v>
      </c>
      <c r="AE17" s="100">
        <v>3</v>
      </c>
      <c r="AF17" s="2542" t="s">
        <v>747</v>
      </c>
      <c r="AG17" s="2543" t="s">
        <v>748</v>
      </c>
      <c r="AH17" s="2543" t="s">
        <v>749</v>
      </c>
      <c r="AI17" s="195" t="s">
        <v>750</v>
      </c>
    </row>
    <row r="18" spans="2:35" ht="15" thickBot="1">
      <c r="M18" s="126"/>
    </row>
    <row r="19" spans="2:35" ht="15" thickBot="1">
      <c r="B19" s="3036" t="s">
        <v>155</v>
      </c>
      <c r="C19" s="83" t="s">
        <v>751</v>
      </c>
      <c r="D19" s="1505"/>
      <c r="M19" s="126"/>
      <c r="AA19" s="3036" t="s">
        <v>155</v>
      </c>
      <c r="AB19" s="83" t="s">
        <v>751</v>
      </c>
      <c r="AC19" s="1505"/>
    </row>
    <row r="20" spans="2:35">
      <c r="B20" s="86" t="s">
        <v>752</v>
      </c>
      <c r="C20" s="117" t="s">
        <v>753</v>
      </c>
      <c r="D20" s="117"/>
      <c r="E20" s="88" t="s">
        <v>734</v>
      </c>
      <c r="F20" s="215">
        <v>2</v>
      </c>
      <c r="G20" s="721">
        <v>2.87E-2</v>
      </c>
      <c r="H20" s="722">
        <v>1.09E-2</v>
      </c>
      <c r="I20" s="722">
        <v>9.74E-2</v>
      </c>
      <c r="J20" s="723">
        <v>4.6600000000000003E-2</v>
      </c>
      <c r="L20" s="1370">
        <f xml:space="preserve"> IF( SUM( T20:Y20 ) = 0, 0, $U$5 )</f>
        <v>0</v>
      </c>
      <c r="M20" s="24">
        <f t="shared" ref="M20:M21" si="9" xml:space="preserve"> IF( SUM( O20:T20 ) = 0, 0, $P$5 )</f>
        <v>0</v>
      </c>
      <c r="P20" s="93">
        <f t="shared" ref="P20:S21" si="10" xml:space="preserve"> IF( ISNUMBER( G20 ), 0, 1 )</f>
        <v>0</v>
      </c>
      <c r="Q20" s="93">
        <f t="shared" si="10"/>
        <v>0</v>
      </c>
      <c r="R20" s="93">
        <f t="shared" si="10"/>
        <v>0</v>
      </c>
      <c r="S20" s="93">
        <f t="shared" si="10"/>
        <v>0</v>
      </c>
      <c r="U20" s="93">
        <f t="shared" ref="U20:U21" si="11">IF(ISNUMBER(G20), IF(G20&gt;=0, 0, 1), 1)</f>
        <v>0</v>
      </c>
      <c r="V20" s="93">
        <f t="shared" ref="V20:V21" si="12">IF(ISNUMBER(H20), IF(H20&gt;=0, 0, 1), 1)</f>
        <v>0</v>
      </c>
      <c r="W20" s="93">
        <f t="shared" ref="W20:W21" si="13">IF(ISNUMBER(I20), IF(I20&gt;=0, 0, 1), 1)</f>
        <v>0</v>
      </c>
      <c r="X20" s="93">
        <f t="shared" ref="X20:X21" si="14">IF(ISNUMBER(J20), IF(J20&gt;=0, 0, 1), 1)</f>
        <v>0</v>
      </c>
      <c r="AA20" s="86" t="s">
        <v>752</v>
      </c>
      <c r="AB20" s="117" t="s">
        <v>753</v>
      </c>
      <c r="AC20" s="117"/>
      <c r="AD20" s="88" t="s">
        <v>734</v>
      </c>
      <c r="AE20" s="215">
        <v>2</v>
      </c>
      <c r="AF20" s="2544" t="s">
        <v>754</v>
      </c>
      <c r="AG20" s="2545" t="s">
        <v>755</v>
      </c>
      <c r="AH20" s="2545" t="s">
        <v>756</v>
      </c>
      <c r="AI20" s="2546" t="s">
        <v>757</v>
      </c>
    </row>
    <row r="21" spans="2:35" ht="15" thickBot="1">
      <c r="B21" s="174" t="s">
        <v>758</v>
      </c>
      <c r="C21" s="391" t="s">
        <v>759</v>
      </c>
      <c r="D21" s="391"/>
      <c r="E21" s="175" t="s">
        <v>734</v>
      </c>
      <c r="F21" s="392">
        <v>2</v>
      </c>
      <c r="G21" s="724">
        <v>2.87E-2</v>
      </c>
      <c r="H21" s="725">
        <v>1.09E-2</v>
      </c>
      <c r="I21" s="725">
        <v>4.6800000000000001E-2</v>
      </c>
      <c r="J21" s="726">
        <v>3.04E-2</v>
      </c>
      <c r="L21" s="1370">
        <f xml:space="preserve"> IF( SUM( T21:Y21 ) = 0, 0, $U$5 )</f>
        <v>0</v>
      </c>
      <c r="M21" s="24">
        <f t="shared" si="9"/>
        <v>0</v>
      </c>
      <c r="P21" s="93">
        <f t="shared" si="10"/>
        <v>0</v>
      </c>
      <c r="Q21" s="93">
        <f t="shared" si="10"/>
        <v>0</v>
      </c>
      <c r="R21" s="93">
        <f t="shared" si="10"/>
        <v>0</v>
      </c>
      <c r="S21" s="93">
        <f t="shared" si="10"/>
        <v>0</v>
      </c>
      <c r="U21" s="93">
        <f t="shared" si="11"/>
        <v>0</v>
      </c>
      <c r="V21" s="93">
        <f t="shared" si="12"/>
        <v>0</v>
      </c>
      <c r="W21" s="93">
        <f t="shared" si="13"/>
        <v>0</v>
      </c>
      <c r="X21" s="93">
        <f t="shared" si="14"/>
        <v>0</v>
      </c>
      <c r="AA21" s="174" t="s">
        <v>758</v>
      </c>
      <c r="AB21" s="391" t="s">
        <v>759</v>
      </c>
      <c r="AC21" s="391"/>
      <c r="AD21" s="175" t="s">
        <v>734</v>
      </c>
      <c r="AE21" s="392">
        <v>2</v>
      </c>
      <c r="AF21" s="2547" t="s">
        <v>760</v>
      </c>
      <c r="AG21" s="2548" t="s">
        <v>761</v>
      </c>
      <c r="AH21" s="2548" t="s">
        <v>762</v>
      </c>
      <c r="AI21" s="2549" t="s">
        <v>763</v>
      </c>
    </row>
    <row r="22" spans="2:35" s="110" customFormat="1" ht="15" thickBot="1">
      <c r="C22" s="152"/>
      <c r="D22" s="152"/>
      <c r="H22" s="163"/>
      <c r="J22" s="118"/>
      <c r="K22" s="118"/>
      <c r="L22" s="118"/>
      <c r="M22" s="120"/>
      <c r="N22" s="118"/>
      <c r="O22" s="71"/>
      <c r="P22" s="120"/>
      <c r="Q22" s="118"/>
      <c r="R22" s="280"/>
      <c r="T22" s="71"/>
      <c r="Y22" s="71"/>
      <c r="AB22" s="152"/>
      <c r="AC22" s="152"/>
      <c r="AG22" s="163"/>
      <c r="AI22" s="118"/>
    </row>
    <row r="23" spans="2:35" ht="15" thickBot="1">
      <c r="B23" s="131" t="s">
        <v>764</v>
      </c>
      <c r="C23" s="659" t="s">
        <v>765</v>
      </c>
      <c r="D23" s="1525"/>
      <c r="E23" s="661" t="s">
        <v>766</v>
      </c>
      <c r="F23" s="660">
        <v>2</v>
      </c>
      <c r="G23" s="488">
        <v>12.54</v>
      </c>
      <c r="H23" s="489">
        <v>6.5</v>
      </c>
      <c r="I23" s="489">
        <v>23.58</v>
      </c>
      <c r="J23" s="490">
        <v>14.68</v>
      </c>
      <c r="L23" s="1370">
        <f xml:space="preserve"> IF( SUM( T23:Y23 ) = 0, 0, $U$5 )</f>
        <v>0</v>
      </c>
      <c r="M23" s="24">
        <f t="shared" ref="M23" si="15" xml:space="preserve"> IF( SUM( O23:T23 ) = 0, 0, $P$5 )</f>
        <v>0</v>
      </c>
      <c r="P23" s="93">
        <f xml:space="preserve"> IF( ISNUMBER( G23 ), 0, 1 )</f>
        <v>0</v>
      </c>
      <c r="Q23" s="93">
        <f t="shared" ref="Q23" si="16" xml:space="preserve"> IF( ISNUMBER( H23 ), 0, 1 )</f>
        <v>0</v>
      </c>
      <c r="R23" s="93">
        <f t="shared" ref="R23" si="17" xml:space="preserve"> IF( ISNUMBER( I23 ), 0, 1 )</f>
        <v>0</v>
      </c>
      <c r="S23" s="93">
        <f t="shared" ref="S23" si="18" xml:space="preserve"> IF( ISNUMBER( J23 ), 0, 1 )</f>
        <v>0</v>
      </c>
      <c r="U23" s="93">
        <f t="shared" ref="U23" si="19">IF(ISNUMBER(G23), IF(G23&gt;=0, 0, 1), 1)</f>
        <v>0</v>
      </c>
      <c r="V23" s="93">
        <f t="shared" ref="V23" si="20">IF(ISNUMBER(H23), IF(H23&gt;=0, 0, 1), 1)</f>
        <v>0</v>
      </c>
      <c r="W23" s="93">
        <f t="shared" ref="W23" si="21">IF(ISNUMBER(I23), IF(I23&gt;=0, 0, 1), 1)</f>
        <v>0</v>
      </c>
      <c r="X23" s="93">
        <f t="shared" ref="X23" si="22">IF(ISNUMBER(J23), IF(J23&gt;=0, 0, 1), 1)</f>
        <v>0</v>
      </c>
      <c r="AA23" s="131" t="s">
        <v>764</v>
      </c>
      <c r="AB23" s="659" t="s">
        <v>765</v>
      </c>
      <c r="AC23" s="1525"/>
      <c r="AD23" s="661" t="s">
        <v>766</v>
      </c>
      <c r="AE23" s="660">
        <v>2</v>
      </c>
      <c r="AF23" s="2550" t="s">
        <v>767</v>
      </c>
      <c r="AG23" s="2551" t="s">
        <v>768</v>
      </c>
      <c r="AH23" s="2551" t="s">
        <v>769</v>
      </c>
      <c r="AI23" s="2552" t="s">
        <v>770</v>
      </c>
    </row>
    <row r="24" spans="2:35" s="110" customFormat="1">
      <c r="C24" s="152"/>
      <c r="D24" s="152"/>
      <c r="H24" s="163"/>
      <c r="J24" s="118"/>
      <c r="K24" s="118"/>
      <c r="L24" s="118"/>
      <c r="M24" s="120"/>
      <c r="N24" s="118"/>
      <c r="O24" s="71"/>
      <c r="P24" s="120"/>
      <c r="Q24" s="118"/>
      <c r="R24" s="280"/>
      <c r="T24" s="71"/>
      <c r="Y24" s="71"/>
      <c r="AB24" s="152"/>
      <c r="AC24" s="152"/>
      <c r="AG24" s="163"/>
      <c r="AI24" s="118"/>
    </row>
    <row r="25" spans="2:35" s="163" customFormat="1" ht="13.5">
      <c r="B25" s="3077" t="s">
        <v>243</v>
      </c>
      <c r="C25" s="3077"/>
      <c r="D25" s="2988"/>
      <c r="J25" s="126"/>
      <c r="K25" s="126"/>
      <c r="L25" s="126"/>
      <c r="M25" s="126"/>
      <c r="N25" s="126"/>
      <c r="O25" s="124"/>
      <c r="P25" s="126"/>
      <c r="Q25" s="126"/>
      <c r="R25" s="203"/>
      <c r="T25" s="124"/>
      <c r="Y25" s="124"/>
    </row>
    <row r="26" spans="2:35" s="163" customFormat="1" ht="12">
      <c r="B26" s="141"/>
      <c r="C26" s="142"/>
      <c r="D26" s="142"/>
      <c r="J26" s="126"/>
      <c r="K26" s="126"/>
      <c r="L26" s="126"/>
      <c r="M26" s="126"/>
      <c r="N26" s="126"/>
      <c r="O26" s="119"/>
      <c r="P26" s="126"/>
      <c r="Q26" s="126"/>
      <c r="R26" s="203"/>
      <c r="T26" s="119"/>
      <c r="Y26" s="119"/>
    </row>
    <row r="27" spans="2:35" s="163" customFormat="1" ht="12">
      <c r="B27" s="25"/>
      <c r="C27" s="143" t="s">
        <v>190</v>
      </c>
      <c r="D27" s="143"/>
      <c r="J27" s="126"/>
      <c r="K27" s="126"/>
      <c r="L27" s="126"/>
      <c r="M27" s="126"/>
      <c r="N27" s="126"/>
      <c r="O27" s="119"/>
      <c r="P27" s="126"/>
      <c r="Q27" s="126"/>
      <c r="R27" s="203"/>
      <c r="T27" s="119"/>
      <c r="Y27" s="119"/>
    </row>
    <row r="28" spans="2:35" s="163" customFormat="1" ht="12">
      <c r="B28" s="141"/>
      <c r="C28" s="142"/>
      <c r="D28" s="142"/>
      <c r="J28" s="126"/>
      <c r="K28" s="126"/>
      <c r="L28" s="126"/>
      <c r="M28" s="126"/>
      <c r="N28" s="126"/>
      <c r="O28" s="119"/>
      <c r="P28" s="126"/>
      <c r="Q28" s="126"/>
      <c r="R28" s="203"/>
      <c r="T28" s="119"/>
      <c r="Y28" s="119"/>
    </row>
    <row r="29" spans="2:35" s="163" customFormat="1" ht="12">
      <c r="B29" s="144"/>
      <c r="C29" s="143" t="s">
        <v>191</v>
      </c>
      <c r="D29" s="143"/>
      <c r="J29" s="126"/>
      <c r="K29" s="126"/>
      <c r="L29" s="126"/>
      <c r="M29" s="126"/>
      <c r="N29" s="126"/>
      <c r="O29" s="119"/>
      <c r="P29" s="126"/>
      <c r="Q29" s="126"/>
      <c r="R29" s="203"/>
      <c r="T29" s="119"/>
      <c r="Y29" s="119"/>
    </row>
    <row r="30" spans="2:35" s="163" customFormat="1" ht="12">
      <c r="B30" s="145"/>
      <c r="C30" s="143"/>
      <c r="D30" s="143"/>
      <c r="J30" s="126"/>
      <c r="K30" s="126"/>
      <c r="L30" s="126"/>
      <c r="M30" s="126"/>
      <c r="N30" s="126"/>
      <c r="O30" s="119"/>
      <c r="P30" s="126"/>
      <c r="Q30" s="126"/>
      <c r="R30" s="203"/>
      <c r="T30" s="119"/>
      <c r="Y30" s="119"/>
    </row>
    <row r="31" spans="2:35" s="178" customFormat="1" ht="13.5" thickBot="1">
      <c r="C31" s="179"/>
      <c r="D31" s="179"/>
      <c r="J31" s="130"/>
      <c r="K31" s="130"/>
      <c r="L31" s="130"/>
      <c r="M31" s="126"/>
      <c r="N31" s="126"/>
      <c r="O31" s="119"/>
      <c r="P31" s="126"/>
      <c r="Q31" s="126"/>
      <c r="R31" s="302"/>
      <c r="T31" s="119"/>
      <c r="Y31" s="119"/>
    </row>
    <row r="32" spans="2:35" s="178" customFormat="1" ht="21" thickBot="1">
      <c r="B32" s="3053" t="str">
        <f>'1D'!B45</f>
        <v>Please refer to RAG 4.08 - Guideline for the table definitions in the annual performance report for the reporting year 2019-20</v>
      </c>
      <c r="C32" s="147"/>
      <c r="D32" s="147"/>
      <c r="E32" s="148"/>
      <c r="F32" s="148"/>
      <c r="G32" s="148"/>
      <c r="H32" s="148"/>
      <c r="I32" s="148"/>
      <c r="J32" s="154"/>
      <c r="K32" s="130"/>
      <c r="L32" s="130"/>
      <c r="M32" s="126"/>
      <c r="N32" s="126"/>
      <c r="O32" s="119"/>
      <c r="P32" s="126"/>
      <c r="Q32" s="126"/>
      <c r="R32" s="302"/>
      <c r="T32" s="119"/>
      <c r="Y32" s="119"/>
    </row>
    <row r="33" spans="1:25" s="178" customFormat="1" ht="12.75">
      <c r="C33" s="179"/>
      <c r="D33" s="179"/>
      <c r="J33" s="130"/>
      <c r="K33" s="130"/>
      <c r="L33" s="130"/>
      <c r="M33" s="126"/>
      <c r="N33" s="126"/>
      <c r="O33" s="119"/>
      <c r="P33" s="126"/>
      <c r="Q33" s="126"/>
      <c r="R33" s="302"/>
      <c r="T33" s="119"/>
      <c r="Y33" s="119"/>
    </row>
    <row r="34" spans="1:25" s="110" customFormat="1" ht="21" hidden="1" thickBot="1">
      <c r="A34" s="1560"/>
      <c r="B34" s="146" t="str">
        <f ca="1" xml:space="preserve"> RIGHT(CELL("filename", $A$1), LEN(CELL("filename", $A$1)) - SEARCH("]", CELL("filename", $A$1)))&amp;" - Line definitions"</f>
        <v>1E - Line definitions</v>
      </c>
      <c r="C34" s="147"/>
      <c r="D34" s="147"/>
      <c r="E34" s="148"/>
      <c r="F34" s="148"/>
      <c r="G34" s="148"/>
      <c r="H34" s="148"/>
      <c r="I34" s="148"/>
      <c r="J34" s="154"/>
      <c r="K34" s="118"/>
      <c r="L34" s="118"/>
      <c r="M34" s="120"/>
      <c r="N34" s="118"/>
      <c r="O34" s="119"/>
      <c r="P34" s="120"/>
      <c r="Q34" s="118"/>
      <c r="R34" s="280"/>
      <c r="T34" s="119"/>
      <c r="Y34" s="119"/>
    </row>
    <row r="35" spans="1:25" s="110" customFormat="1" ht="15" hidden="1" thickBot="1">
      <c r="A35" s="1560"/>
      <c r="B35" s="74"/>
      <c r="C35" s="155"/>
      <c r="D35" s="155"/>
      <c r="E35" s="74"/>
      <c r="F35" s="74"/>
      <c r="G35" s="74"/>
      <c r="J35" s="118"/>
      <c r="K35" s="118"/>
      <c r="L35" s="118"/>
      <c r="M35" s="120"/>
      <c r="N35" s="118"/>
      <c r="O35" s="124"/>
      <c r="Q35" s="118"/>
      <c r="R35" s="280"/>
      <c r="T35" s="124"/>
      <c r="Y35" s="124"/>
    </row>
    <row r="36" spans="1:25" s="178" customFormat="1" hidden="1" thickBot="1">
      <c r="A36" s="1561"/>
      <c r="B36" s="367" t="s">
        <v>193</v>
      </c>
      <c r="C36" s="368" t="s">
        <v>194</v>
      </c>
      <c r="D36" s="369"/>
      <c r="E36" s="369"/>
      <c r="F36" s="369"/>
      <c r="G36" s="369"/>
      <c r="H36" s="369"/>
      <c r="I36" s="369"/>
      <c r="J36" s="855"/>
      <c r="K36" s="346"/>
      <c r="L36" s="346"/>
      <c r="M36" s="130"/>
      <c r="N36" s="118"/>
      <c r="O36" s="124"/>
      <c r="P36" s="85" t="s">
        <v>195</v>
      </c>
      <c r="Q36" s="118"/>
      <c r="T36" s="124"/>
      <c r="Y36" s="124"/>
    </row>
    <row r="37" spans="1:25" s="110" customFormat="1" ht="204.75" hidden="1" customHeight="1">
      <c r="A37" s="1560"/>
      <c r="B37" s="181" t="s">
        <v>712</v>
      </c>
      <c r="C37" s="3091" t="s">
        <v>771</v>
      </c>
      <c r="D37" s="3092"/>
      <c r="E37" s="3092"/>
      <c r="F37" s="3092"/>
      <c r="G37" s="3092"/>
      <c r="H37" s="3092"/>
      <c r="I37" s="3092"/>
      <c r="J37" s="3093"/>
      <c r="K37" s="348"/>
      <c r="L37" s="348"/>
      <c r="M37" s="120"/>
      <c r="N37" s="118"/>
      <c r="O37" s="124"/>
      <c r="P37" s="202" t="s">
        <v>772</v>
      </c>
      <c r="Q37" s="118"/>
      <c r="R37" s="280"/>
      <c r="T37" s="124"/>
      <c r="Y37" s="124"/>
    </row>
    <row r="38" spans="1:25" s="110" customFormat="1" ht="23.25" hidden="1" customHeight="1">
      <c r="A38" s="1560"/>
      <c r="B38" s="159" t="s">
        <v>718</v>
      </c>
      <c r="C38" s="3082" t="s">
        <v>773</v>
      </c>
      <c r="D38" s="3083"/>
      <c r="E38" s="3083"/>
      <c r="F38" s="3083"/>
      <c r="G38" s="3083"/>
      <c r="H38" s="3083"/>
      <c r="I38" s="3083"/>
      <c r="J38" s="3084"/>
      <c r="K38" s="348"/>
      <c r="L38" s="348"/>
      <c r="O38" s="124"/>
      <c r="P38" s="374" t="s">
        <v>197</v>
      </c>
      <c r="T38" s="124"/>
      <c r="Y38" s="124"/>
    </row>
    <row r="39" spans="1:25" s="110" customFormat="1" hidden="1">
      <c r="A39" s="1560"/>
      <c r="B39" s="159" t="s">
        <v>720</v>
      </c>
      <c r="C39" s="3082" t="s">
        <v>774</v>
      </c>
      <c r="D39" s="3083"/>
      <c r="E39" s="3083"/>
      <c r="F39" s="3083"/>
      <c r="G39" s="3083"/>
      <c r="H39" s="3083"/>
      <c r="I39" s="3083"/>
      <c r="J39" s="3084"/>
      <c r="K39" s="348"/>
      <c r="L39" s="348"/>
      <c r="O39" s="124"/>
      <c r="P39" s="253">
        <v>1</v>
      </c>
      <c r="T39" s="124"/>
      <c r="Y39" s="124"/>
    </row>
    <row r="40" spans="1:25" s="120" customFormat="1" hidden="1">
      <c r="A40" s="1562"/>
      <c r="B40" s="159" t="s">
        <v>723</v>
      </c>
      <c r="C40" s="3082" t="s">
        <v>775</v>
      </c>
      <c r="D40" s="3083"/>
      <c r="E40" s="3083"/>
      <c r="F40" s="3083"/>
      <c r="G40" s="3083"/>
      <c r="H40" s="3083"/>
      <c r="I40" s="3083"/>
      <c r="J40" s="3084"/>
      <c r="K40" s="348"/>
      <c r="L40" s="348"/>
      <c r="O40" s="124"/>
      <c r="P40" s="253">
        <v>1</v>
      </c>
      <c r="T40" s="124"/>
      <c r="Y40" s="124"/>
    </row>
    <row r="41" spans="1:25" s="120" customFormat="1" ht="13.7" hidden="1" customHeight="1">
      <c r="A41" s="1562"/>
      <c r="B41" s="159" t="s">
        <v>726</v>
      </c>
      <c r="C41" s="3082" t="s">
        <v>776</v>
      </c>
      <c r="D41" s="3083"/>
      <c r="E41" s="3083"/>
      <c r="F41" s="3083"/>
      <c r="G41" s="3083"/>
      <c r="H41" s="3083"/>
      <c r="I41" s="3083"/>
      <c r="J41" s="3084"/>
      <c r="K41" s="348"/>
      <c r="L41" s="348"/>
      <c r="O41" s="124"/>
      <c r="P41" s="253">
        <v>1</v>
      </c>
      <c r="T41" s="124"/>
      <c r="Y41" s="124"/>
    </row>
    <row r="42" spans="1:25" s="120" customFormat="1" hidden="1">
      <c r="A42" s="1562"/>
      <c r="B42" s="159" t="s">
        <v>729</v>
      </c>
      <c r="C42" s="3082" t="s">
        <v>777</v>
      </c>
      <c r="D42" s="3083"/>
      <c r="E42" s="3083"/>
      <c r="F42" s="3083"/>
      <c r="G42" s="3083"/>
      <c r="H42" s="3083"/>
      <c r="I42" s="3083"/>
      <c r="J42" s="3084"/>
      <c r="K42" s="348"/>
      <c r="L42" s="348"/>
      <c r="O42" s="124"/>
      <c r="P42" s="253">
        <v>1</v>
      </c>
      <c r="T42" s="124"/>
      <c r="Y42" s="124"/>
    </row>
    <row r="43" spans="1:25" ht="13.7" hidden="1" customHeight="1">
      <c r="A43" s="1563"/>
      <c r="B43" s="159" t="s">
        <v>732</v>
      </c>
      <c r="C43" s="3082" t="s">
        <v>778</v>
      </c>
      <c r="D43" s="3083"/>
      <c r="E43" s="3083"/>
      <c r="F43" s="3083"/>
      <c r="G43" s="3083"/>
      <c r="H43" s="3083"/>
      <c r="I43" s="3083"/>
      <c r="J43" s="3084"/>
      <c r="K43" s="348"/>
      <c r="L43" s="348"/>
      <c r="O43" s="124"/>
      <c r="P43" s="158">
        <v>1</v>
      </c>
      <c r="T43" s="124"/>
      <c r="Y43" s="124"/>
    </row>
    <row r="44" spans="1:25" ht="35.450000000000003" hidden="1" customHeight="1">
      <c r="A44" s="1563"/>
      <c r="B44" s="159" t="s">
        <v>736</v>
      </c>
      <c r="C44" s="3082" t="s">
        <v>779</v>
      </c>
      <c r="D44" s="3083"/>
      <c r="E44" s="3083"/>
      <c r="F44" s="3083"/>
      <c r="G44" s="3083"/>
      <c r="H44" s="3083"/>
      <c r="I44" s="3083"/>
      <c r="J44" s="3084"/>
      <c r="K44" s="348"/>
      <c r="L44" s="348"/>
      <c r="P44" s="161" t="s">
        <v>780</v>
      </c>
    </row>
    <row r="45" spans="1:25" ht="267.75" hidden="1" customHeight="1">
      <c r="A45" s="1563"/>
      <c r="B45" s="159" t="s">
        <v>739</v>
      </c>
      <c r="C45" s="3082" t="s">
        <v>781</v>
      </c>
      <c r="D45" s="3083"/>
      <c r="E45" s="3083"/>
      <c r="F45" s="3083"/>
      <c r="G45" s="3083"/>
      <c r="H45" s="3083"/>
      <c r="I45" s="3083"/>
      <c r="J45" s="3084"/>
      <c r="K45" s="348"/>
      <c r="L45" s="348"/>
      <c r="P45" s="202" t="s">
        <v>782</v>
      </c>
    </row>
    <row r="46" spans="1:25" ht="69.75" hidden="1" customHeight="1">
      <c r="A46" s="1563"/>
      <c r="B46" s="159" t="s">
        <v>745</v>
      </c>
      <c r="C46" s="3082" t="s">
        <v>783</v>
      </c>
      <c r="D46" s="3083"/>
      <c r="E46" s="3083"/>
      <c r="F46" s="3083"/>
      <c r="G46" s="3083"/>
      <c r="H46" s="3083"/>
      <c r="I46" s="3083"/>
      <c r="J46" s="3084"/>
      <c r="K46" s="348"/>
      <c r="L46" s="348"/>
      <c r="P46" s="161" t="s">
        <v>784</v>
      </c>
    </row>
    <row r="47" spans="1:25" ht="47.25" hidden="1" customHeight="1">
      <c r="A47" s="1563"/>
      <c r="B47" s="159" t="s">
        <v>752</v>
      </c>
      <c r="C47" s="3082" t="s">
        <v>785</v>
      </c>
      <c r="D47" s="3083"/>
      <c r="E47" s="3083"/>
      <c r="F47" s="3083"/>
      <c r="G47" s="3083"/>
      <c r="H47" s="3083"/>
      <c r="I47" s="3083"/>
      <c r="J47" s="3084"/>
      <c r="K47" s="348"/>
      <c r="L47" s="2073" t="s">
        <v>786</v>
      </c>
      <c r="P47" s="161" t="s">
        <v>197</v>
      </c>
    </row>
    <row r="48" spans="1:25" ht="49.7" hidden="1" customHeight="1">
      <c r="A48" s="1563"/>
      <c r="B48" s="159" t="s">
        <v>758</v>
      </c>
      <c r="C48" s="3082" t="s">
        <v>787</v>
      </c>
      <c r="D48" s="3083"/>
      <c r="E48" s="3083"/>
      <c r="F48" s="3083"/>
      <c r="G48" s="3083"/>
      <c r="H48" s="3083"/>
      <c r="I48" s="3083"/>
      <c r="J48" s="3084"/>
      <c r="K48" s="348"/>
      <c r="L48" s="2073" t="s">
        <v>786</v>
      </c>
      <c r="P48" s="161" t="s">
        <v>197</v>
      </c>
    </row>
    <row r="49" spans="1:16" ht="93.75" hidden="1" customHeight="1" thickBot="1">
      <c r="A49" s="1563"/>
      <c r="B49" s="183" t="s">
        <v>764</v>
      </c>
      <c r="C49" s="3085" t="s">
        <v>788</v>
      </c>
      <c r="D49" s="3086"/>
      <c r="E49" s="3086"/>
      <c r="F49" s="3086"/>
      <c r="G49" s="3086"/>
      <c r="H49" s="3086"/>
      <c r="I49" s="3086"/>
      <c r="J49" s="3087"/>
      <c r="K49" s="348"/>
      <c r="L49" s="348"/>
      <c r="P49" s="161" t="s">
        <v>789</v>
      </c>
    </row>
    <row r="50" spans="1:16" hidden="1">
      <c r="A50" s="1563"/>
      <c r="P50" s="254"/>
    </row>
  </sheetData>
  <sheetProtection algorithmName="SHA-512" hashValue="agaReJlEf8ZkJJPuqu4BK9hSps3nWiCOUqxc2kGCWaPDVGrFMF2TM2P4OXVmBQG9lcTNCYQI97htq1Bog1jKTw==" saltValue="AK2gjqAWzwedCmIqOljM4A==" spinCount="100000" sheet="1" objects="1" scenarios="1"/>
  <mergeCells count="26">
    <mergeCell ref="AA3:AB4"/>
    <mergeCell ref="AD3:AD4"/>
    <mergeCell ref="AE3:AE4"/>
    <mergeCell ref="AF3:AI3"/>
    <mergeCell ref="U3:X4"/>
    <mergeCell ref="P3:S4"/>
    <mergeCell ref="C40:J40"/>
    <mergeCell ref="B3:C4"/>
    <mergeCell ref="E3:E4"/>
    <mergeCell ref="F3:F4"/>
    <mergeCell ref="G3:J3"/>
    <mergeCell ref="B25:C25"/>
    <mergeCell ref="C37:J37"/>
    <mergeCell ref="C38:J38"/>
    <mergeCell ref="C39:J39"/>
    <mergeCell ref="L3:L4"/>
    <mergeCell ref="M3:M4"/>
    <mergeCell ref="C46:J46"/>
    <mergeCell ref="C49:J49"/>
    <mergeCell ref="C47:J47"/>
    <mergeCell ref="C48:J48"/>
    <mergeCell ref="C41:J41"/>
    <mergeCell ref="C42:J42"/>
    <mergeCell ref="C43:J43"/>
    <mergeCell ref="C44:J44"/>
    <mergeCell ref="C45:J45"/>
  </mergeCells>
  <conditionalFormatting sqref="M9:M10 M6">
    <cfRule type="cellIs" dxfId="1376" priority="19" operator="equal">
      <formula>0</formula>
    </cfRule>
  </conditionalFormatting>
  <conditionalFormatting sqref="M14">
    <cfRule type="cellIs" dxfId="1375" priority="18" operator="equal">
      <formula>0</formula>
    </cfRule>
  </conditionalFormatting>
  <conditionalFormatting sqref="M16:M17">
    <cfRule type="cellIs" dxfId="1374" priority="17" operator="equal">
      <formula>0</formula>
    </cfRule>
  </conditionalFormatting>
  <conditionalFormatting sqref="M20:M21">
    <cfRule type="cellIs" dxfId="1373" priority="16" operator="equal">
      <formula>0</formula>
    </cfRule>
  </conditionalFormatting>
  <conditionalFormatting sqref="M23">
    <cfRule type="cellIs" dxfId="1372" priority="15" operator="equal">
      <formula>0</formula>
    </cfRule>
  </conditionalFormatting>
  <conditionalFormatting sqref="L6">
    <cfRule type="cellIs" dxfId="1371" priority="14" operator="equal">
      <formula>0</formula>
    </cfRule>
  </conditionalFormatting>
  <conditionalFormatting sqref="L14">
    <cfRule type="cellIs" dxfId="1370" priority="10" operator="equal">
      <formula>0</formula>
    </cfRule>
  </conditionalFormatting>
  <conditionalFormatting sqref="L16">
    <cfRule type="cellIs" dxfId="1369" priority="9" operator="equal">
      <formula>0</formula>
    </cfRule>
  </conditionalFormatting>
  <conditionalFormatting sqref="L17">
    <cfRule type="cellIs" dxfId="1368" priority="8" operator="equal">
      <formula>0</formula>
    </cfRule>
  </conditionalFormatting>
  <conditionalFormatting sqref="L21">
    <cfRule type="cellIs" dxfId="1367" priority="6" operator="equal">
      <formula>0</formula>
    </cfRule>
  </conditionalFormatting>
  <conditionalFormatting sqref="L23">
    <cfRule type="cellIs" dxfId="1366" priority="5" operator="equal">
      <formula>0</formula>
    </cfRule>
  </conditionalFormatting>
  <conditionalFormatting sqref="L20">
    <cfRule type="cellIs" dxfId="136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3" max="21" man="1"/>
  </rowBreaks>
  <customProperties>
    <customPr name="_pios_id" r:id="rId2"/>
    <customPr name="EpmWorksheetKeyString_GUID"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0">
    <tabColor rgb="FFE7E6E6"/>
    <pageSetUpPr fitToPage="1"/>
  </sheetPr>
  <dimension ref="A1:BH79"/>
  <sheetViews>
    <sheetView topLeftCell="I10" zoomScaleNormal="100" workbookViewId="0">
      <selection activeCell="O26" sqref="O26"/>
    </sheetView>
  </sheetViews>
  <sheetFormatPr defaultColWidth="0" defaultRowHeight="14.25" zeroHeight="1"/>
  <cols>
    <col min="1" max="1" width="0.5" style="70" customWidth="1"/>
    <col min="2" max="2" width="7.5" style="70" customWidth="1"/>
    <col min="3" max="3" width="38.125" style="70" customWidth="1"/>
    <col min="4" max="4" width="2.5" style="70" hidden="1" customWidth="1"/>
    <col min="5" max="6" width="5.125" style="70" customWidth="1"/>
    <col min="7" max="18" width="12.5" style="70" customWidth="1"/>
    <col min="19" max="19" width="2.5" style="70" customWidth="1"/>
    <col min="20" max="20" width="27" style="70" customWidth="1"/>
    <col min="21" max="21" width="1.5" style="70" customWidth="1"/>
    <col min="22" max="22" width="1.5" style="71" customWidth="1"/>
    <col min="23" max="34" width="5.5" style="70" hidden="1" customWidth="1"/>
    <col min="35" max="35" width="1.5" style="71" hidden="1" customWidth="1"/>
    <col min="36" max="36" width="8.125" style="70" hidden="1" customWidth="1"/>
    <col min="37" max="41" width="8.5" style="70" hidden="1" customWidth="1"/>
    <col min="42" max="42" width="8.125" style="70" hidden="1" customWidth="1"/>
    <col min="43" max="43" width="7.5" style="70" customWidth="1"/>
    <col min="44" max="44" width="38.125" style="70" customWidth="1"/>
    <col min="45" max="45" width="12.5" style="70" customWidth="1"/>
    <col min="46" max="47" width="5.125" style="70" customWidth="1"/>
    <col min="48" max="59" width="13.125" style="70" customWidth="1"/>
    <col min="60" max="60" width="1.5" style="70" customWidth="1"/>
    <col min="61" max="16384" width="8.125" style="70" hidden="1"/>
  </cols>
  <sheetData>
    <row r="1" spans="2:59" ht="20.25">
      <c r="B1" s="66" t="s">
        <v>790</v>
      </c>
      <c r="C1" s="66"/>
      <c r="D1" s="66"/>
      <c r="E1" s="66"/>
      <c r="F1" s="66"/>
      <c r="G1" s="66"/>
      <c r="H1" s="66"/>
      <c r="I1" s="66"/>
      <c r="J1" s="66"/>
      <c r="K1" s="66"/>
      <c r="L1" s="66"/>
      <c r="M1" s="66"/>
      <c r="N1" s="66"/>
      <c r="O1" s="66"/>
      <c r="P1" s="66"/>
      <c r="Q1" s="66"/>
      <c r="R1" s="68" t="str">
        <f>Validation!B3</f>
        <v>Yorkshire Water</v>
      </c>
      <c r="S1" s="66"/>
      <c r="T1" s="69" t="s">
        <v>34</v>
      </c>
      <c r="AQ1" s="66" t="s">
        <v>35</v>
      </c>
      <c r="AR1" s="66"/>
      <c r="AS1" s="66"/>
      <c r="AT1" s="66"/>
      <c r="AU1" s="66"/>
    </row>
    <row r="2" spans="2:59" ht="15" thickBot="1">
      <c r="B2" s="73" t="str">
        <f>'1E'!B2</f>
        <v>For the 12 months ended 31 March 2020</v>
      </c>
      <c r="AQ2" s="73" t="str">
        <f>B2</f>
        <v>For the 12 months ended 31 March 2020</v>
      </c>
    </row>
    <row r="3" spans="2:59" ht="15" customHeight="1" thickBot="1">
      <c r="B3" s="3057" t="s">
        <v>36</v>
      </c>
      <c r="C3" s="3058"/>
      <c r="D3" s="2985" t="s">
        <v>37</v>
      </c>
      <c r="E3" s="3061" t="s">
        <v>38</v>
      </c>
      <c r="F3" s="3063" t="s">
        <v>39</v>
      </c>
      <c r="G3" s="3101" t="s">
        <v>791</v>
      </c>
      <c r="H3" s="3102"/>
      <c r="I3" s="3102"/>
      <c r="J3" s="3102"/>
      <c r="K3" s="3102"/>
      <c r="L3" s="3103"/>
      <c r="M3" s="3101" t="s">
        <v>792</v>
      </c>
      <c r="N3" s="3102"/>
      <c r="O3" s="3102"/>
      <c r="P3" s="3102"/>
      <c r="Q3" s="3102"/>
      <c r="R3" s="3103"/>
      <c r="T3" s="3070" t="s">
        <v>43</v>
      </c>
      <c r="AQ3" s="3057" t="s">
        <v>36</v>
      </c>
      <c r="AR3" s="3058"/>
      <c r="AS3" s="3061" t="s">
        <v>37</v>
      </c>
      <c r="AT3" s="3061" t="s">
        <v>38</v>
      </c>
      <c r="AU3" s="3063" t="s">
        <v>39</v>
      </c>
      <c r="AV3" s="3101" t="s">
        <v>791</v>
      </c>
      <c r="AW3" s="3102"/>
      <c r="AX3" s="3102"/>
      <c r="AY3" s="3102"/>
      <c r="AZ3" s="3102"/>
      <c r="BA3" s="3103"/>
      <c r="BB3" s="3101" t="s">
        <v>792</v>
      </c>
      <c r="BC3" s="3102"/>
      <c r="BD3" s="3102"/>
      <c r="BE3" s="3102"/>
      <c r="BF3" s="3102"/>
      <c r="BG3" s="3103"/>
    </row>
    <row r="4" spans="2:59" ht="15" customHeight="1" thickBot="1">
      <c r="B4" s="3097"/>
      <c r="C4" s="3098"/>
      <c r="D4" s="2991"/>
      <c r="E4" s="3099"/>
      <c r="F4" s="3100"/>
      <c r="G4" s="3094" t="s">
        <v>734</v>
      </c>
      <c r="H4" s="3094"/>
      <c r="I4" s="3094"/>
      <c r="J4" s="3094" t="s">
        <v>51</v>
      </c>
      <c r="K4" s="3094"/>
      <c r="L4" s="3094"/>
      <c r="M4" s="3094" t="s">
        <v>734</v>
      </c>
      <c r="N4" s="3094"/>
      <c r="O4" s="3094"/>
      <c r="P4" s="3094" t="s">
        <v>51</v>
      </c>
      <c r="Q4" s="3094"/>
      <c r="R4" s="3094"/>
      <c r="T4" s="3096"/>
      <c r="AQ4" s="3097"/>
      <c r="AR4" s="3098"/>
      <c r="AS4" s="3099"/>
      <c r="AT4" s="3099"/>
      <c r="AU4" s="3100"/>
      <c r="AV4" s="3094" t="s">
        <v>734</v>
      </c>
      <c r="AW4" s="3094"/>
      <c r="AX4" s="3094"/>
      <c r="AY4" s="3094" t="s">
        <v>793</v>
      </c>
      <c r="AZ4" s="3094"/>
      <c r="BA4" s="3094"/>
      <c r="BB4" s="3094" t="s">
        <v>734</v>
      </c>
      <c r="BC4" s="3094"/>
      <c r="BD4" s="3094"/>
      <c r="BE4" s="3094" t="s">
        <v>793</v>
      </c>
      <c r="BF4" s="3094"/>
      <c r="BG4" s="3094"/>
    </row>
    <row r="5" spans="2:59" ht="54.75" customHeight="1" thickBot="1">
      <c r="B5" s="3059"/>
      <c r="C5" s="3060"/>
      <c r="D5" s="2986"/>
      <c r="E5" s="3062"/>
      <c r="F5" s="3064"/>
      <c r="G5" s="2016" t="s">
        <v>794</v>
      </c>
      <c r="H5" s="2016" t="s">
        <v>795</v>
      </c>
      <c r="I5" s="2016" t="s">
        <v>796</v>
      </c>
      <c r="J5" s="2016" t="s">
        <v>794</v>
      </c>
      <c r="K5" s="2016" t="s">
        <v>795</v>
      </c>
      <c r="L5" s="2016" t="s">
        <v>796</v>
      </c>
      <c r="M5" s="2016" t="s">
        <v>794</v>
      </c>
      <c r="N5" s="2016" t="s">
        <v>795</v>
      </c>
      <c r="O5" s="2016" t="s">
        <v>796</v>
      </c>
      <c r="P5" s="2016" t="s">
        <v>794</v>
      </c>
      <c r="Q5" s="2016" t="s">
        <v>795</v>
      </c>
      <c r="R5" s="2016" t="s">
        <v>796</v>
      </c>
      <c r="T5" s="3071"/>
      <c r="U5" s="79"/>
      <c r="W5" s="3072" t="s">
        <v>47</v>
      </c>
      <c r="X5" s="3072"/>
      <c r="Y5" s="3072"/>
      <c r="Z5" s="2987"/>
      <c r="AA5" s="2987"/>
      <c r="AB5" s="2987"/>
      <c r="AC5" s="2987"/>
      <c r="AD5" s="2987"/>
      <c r="AE5" s="2987"/>
      <c r="AF5" s="2987"/>
      <c r="AG5" s="2987"/>
      <c r="AH5" s="2987"/>
      <c r="AQ5" s="3059"/>
      <c r="AR5" s="3060"/>
      <c r="AS5" s="3062"/>
      <c r="AT5" s="3062"/>
      <c r="AU5" s="3064"/>
      <c r="AV5" s="2016" t="s">
        <v>794</v>
      </c>
      <c r="AW5" s="2016" t="s">
        <v>795</v>
      </c>
      <c r="AX5" s="2016" t="s">
        <v>796</v>
      </c>
      <c r="AY5" s="2016" t="s">
        <v>794</v>
      </c>
      <c r="AZ5" s="2016" t="s">
        <v>795</v>
      </c>
      <c r="BA5" s="2016" t="s">
        <v>796</v>
      </c>
      <c r="BB5" s="2016" t="s">
        <v>794</v>
      </c>
      <c r="BC5" s="2016" t="s">
        <v>795</v>
      </c>
      <c r="BD5" s="2016" t="s">
        <v>796</v>
      </c>
      <c r="BE5" s="2016" t="s">
        <v>794</v>
      </c>
      <c r="BF5" s="2016" t="s">
        <v>795</v>
      </c>
      <c r="BG5" s="2016" t="s">
        <v>796</v>
      </c>
    </row>
    <row r="6" spans="2:59" ht="15" thickBot="1">
      <c r="AV6" s="2291" t="s">
        <v>797</v>
      </c>
      <c r="AW6" s="2291" t="s">
        <v>798</v>
      </c>
      <c r="AX6" s="2291" t="s">
        <v>799</v>
      </c>
      <c r="AY6" s="2291" t="s">
        <v>800</v>
      </c>
      <c r="AZ6" s="2291" t="s">
        <v>801</v>
      </c>
      <c r="BA6" s="2291" t="s">
        <v>802</v>
      </c>
      <c r="BB6" s="2291" t="s">
        <v>803</v>
      </c>
      <c r="BC6" s="2291" t="s">
        <v>804</v>
      </c>
      <c r="BD6" s="2291" t="s">
        <v>805</v>
      </c>
      <c r="BE6" s="2291" t="s">
        <v>806</v>
      </c>
      <c r="BF6" s="2291" t="s">
        <v>807</v>
      </c>
      <c r="BG6" s="2291" t="s">
        <v>808</v>
      </c>
    </row>
    <row r="7" spans="2:59" ht="15" thickBot="1">
      <c r="B7" s="3036" t="s">
        <v>155</v>
      </c>
      <c r="C7" s="2290"/>
      <c r="D7" s="1505"/>
      <c r="W7" s="85" t="s">
        <v>48</v>
      </c>
      <c r="AQ7" s="3036" t="str">
        <f t="shared" ref="AQ7:AR7" si="0">+B7</f>
        <v>A</v>
      </c>
      <c r="AR7" s="83">
        <f t="shared" si="0"/>
        <v>0</v>
      </c>
      <c r="AS7" s="1505"/>
    </row>
    <row r="8" spans="2:59" ht="15" thickBot="1">
      <c r="B8" s="86" t="s">
        <v>809</v>
      </c>
      <c r="C8" s="117" t="s">
        <v>810</v>
      </c>
      <c r="D8" s="117"/>
      <c r="E8" s="88" t="s">
        <v>51</v>
      </c>
      <c r="F8" s="89">
        <v>3</v>
      </c>
      <c r="G8" s="2018">
        <v>5.6500000000000002E-2</v>
      </c>
      <c r="H8" s="2292">
        <f>IFERROR(+K8/H$11,0)</f>
        <v>3.5679897724780384E-2</v>
      </c>
      <c r="I8" s="2299">
        <f>+G8</f>
        <v>5.6500000000000002E-2</v>
      </c>
      <c r="J8" s="632">
        <f>+G$11*G8</f>
        <v>122.3634625</v>
      </c>
      <c r="K8" s="189">
        <f>+L8</f>
        <v>77.2728465</v>
      </c>
      <c r="L8" s="190">
        <f>+I$11*I8</f>
        <v>77.2728465</v>
      </c>
      <c r="M8" s="2018">
        <v>5.6500000000000002E-2</v>
      </c>
      <c r="N8" s="2292">
        <f t="shared" ref="N8:N9" si="1">IFERROR(+Q8/N$11,0)</f>
        <v>3.5952775822744032E-2</v>
      </c>
      <c r="O8" s="2299">
        <f>+M8</f>
        <v>5.6500000000000002E-2</v>
      </c>
      <c r="P8" s="632">
        <f>+M$11*M8</f>
        <v>118.72983450000001</v>
      </c>
      <c r="Q8" s="189">
        <f>+R8</f>
        <v>75.551630500000002</v>
      </c>
      <c r="R8" s="190">
        <f>+O$11*O8</f>
        <v>75.551630500000002</v>
      </c>
      <c r="T8" s="1370">
        <f xml:space="preserve"> IF( SUM( V8:AI8 ) = 0, 0, $W$7 )</f>
        <v>0</v>
      </c>
      <c r="W8" s="93">
        <f t="shared" ref="W8:Y11" si="2" xml:space="preserve"> IF( ISNUMBER( G8 ), 0, 1 )</f>
        <v>0</v>
      </c>
      <c r="X8" s="127"/>
      <c r="Y8" s="127"/>
      <c r="Z8" s="127"/>
      <c r="AA8" s="127"/>
      <c r="AB8" s="127"/>
      <c r="AC8" s="93">
        <f t="shared" ref="AC8:AC9" si="3" xml:space="preserve"> IF( ISNUMBER( M8 ), 0, 1 )</f>
        <v>0</v>
      </c>
      <c r="AD8" s="127"/>
      <c r="AE8" s="127"/>
      <c r="AF8" s="127"/>
      <c r="AG8" s="127"/>
      <c r="AH8" s="127"/>
      <c r="AQ8" s="86" t="str">
        <f>+B8</f>
        <v>1F.1</v>
      </c>
      <c r="AR8" s="117" t="str">
        <f t="shared" ref="AR8:AR11" si="4">+C8</f>
        <v>Return on regulatory equity</v>
      </c>
      <c r="AS8" s="117" t="s">
        <v>811</v>
      </c>
      <c r="AT8" s="88" t="s">
        <v>51</v>
      </c>
      <c r="AU8" s="89">
        <v>3</v>
      </c>
      <c r="AV8" s="2344" t="str">
        <f>$AS8&amp;AV$6</f>
        <v>CR12501NNP</v>
      </c>
      <c r="AW8" s="2376" t="str">
        <f t="shared" ref="AW8:BG11" si="5">$AS8&amp;AW$6</f>
        <v>CR12501ANP</v>
      </c>
      <c r="AX8" s="2376" t="str">
        <f t="shared" si="5"/>
        <v>CR12501AAP</v>
      </c>
      <c r="AY8" s="2377" t="str">
        <f t="shared" si="5"/>
        <v>CR12501NNV</v>
      </c>
      <c r="AZ8" s="2377" t="str">
        <f t="shared" si="5"/>
        <v>CR12501ANV</v>
      </c>
      <c r="BA8" s="2377" t="str">
        <f t="shared" si="5"/>
        <v>CR12501AAV</v>
      </c>
      <c r="BB8" s="2345" t="str">
        <f t="shared" si="5"/>
        <v>CR12501NNPA</v>
      </c>
      <c r="BC8" s="2376" t="str">
        <f t="shared" si="5"/>
        <v>CR12501ANPA</v>
      </c>
      <c r="BD8" s="2376" t="str">
        <f t="shared" si="5"/>
        <v>CR12501AAPA</v>
      </c>
      <c r="BE8" s="2377" t="str">
        <f t="shared" si="5"/>
        <v>CR12501NNVA</v>
      </c>
      <c r="BF8" s="2377" t="str">
        <f t="shared" si="5"/>
        <v>CR12501ANVA</v>
      </c>
      <c r="BG8" s="2005" t="str">
        <f t="shared" si="5"/>
        <v>CR12501AAVA</v>
      </c>
    </row>
    <row r="9" spans="2:59" ht="15" thickBot="1">
      <c r="B9" s="94" t="s">
        <v>812</v>
      </c>
      <c r="C9" s="87" t="s">
        <v>813</v>
      </c>
      <c r="D9" s="87"/>
      <c r="E9" s="95" t="s">
        <v>51</v>
      </c>
      <c r="F9" s="96">
        <v>3</v>
      </c>
      <c r="G9" s="2018">
        <v>1.0800000000000001E-2</v>
      </c>
      <c r="H9" s="2020">
        <f>IFERROR(+K9/H$11,0)</f>
        <v>6.8202282376571364E-3</v>
      </c>
      <c r="I9" s="2300">
        <f>+G9</f>
        <v>1.0800000000000001E-2</v>
      </c>
      <c r="J9" s="243">
        <f>+G$11*G9</f>
        <v>23.38983</v>
      </c>
      <c r="K9" s="244">
        <f>+L9</f>
        <v>14.770738800000002</v>
      </c>
      <c r="L9" s="191">
        <f>+I$11*I9</f>
        <v>14.770738800000002</v>
      </c>
      <c r="M9" s="2018">
        <v>1.4800000000000001E-2</v>
      </c>
      <c r="N9" s="2020">
        <f t="shared" si="1"/>
        <v>9.4177182686125942E-3</v>
      </c>
      <c r="O9" s="2300">
        <f>+M9</f>
        <v>1.4800000000000001E-2</v>
      </c>
      <c r="P9" s="243">
        <f>+M$11*M9</f>
        <v>31.100912400000002</v>
      </c>
      <c r="Q9" s="244">
        <f>+R9</f>
        <v>19.790515599999999</v>
      </c>
      <c r="R9" s="191">
        <f>+O$11*O9</f>
        <v>19.790515599999999</v>
      </c>
      <c r="T9" s="1370">
        <f xml:space="preserve"> IF( SUM( V9:AI9 ) = 0, 0, $W$7 )</f>
        <v>0</v>
      </c>
      <c r="W9" s="93">
        <f t="shared" si="2"/>
        <v>0</v>
      </c>
      <c r="X9" s="127"/>
      <c r="Y9" s="127"/>
      <c r="Z9" s="127"/>
      <c r="AA9" s="127"/>
      <c r="AB9" s="127"/>
      <c r="AC9" s="93">
        <f t="shared" si="3"/>
        <v>0</v>
      </c>
      <c r="AD9" s="127"/>
      <c r="AE9" s="127"/>
      <c r="AF9" s="127"/>
      <c r="AG9" s="127"/>
      <c r="AH9" s="127"/>
      <c r="AQ9" s="94" t="str">
        <f t="shared" ref="AQ9:AQ11" si="6">+B9</f>
        <v>1F.2</v>
      </c>
      <c r="AR9" s="87" t="str">
        <f t="shared" si="4"/>
        <v>Actual performance adjustment 2010-15</v>
      </c>
      <c r="AS9" s="117" t="s">
        <v>814</v>
      </c>
      <c r="AT9" s="95" t="s">
        <v>51</v>
      </c>
      <c r="AU9" s="96">
        <v>3</v>
      </c>
      <c r="AV9" s="2346" t="str">
        <f t="shared" ref="AV9:AV11" si="7">$AS9&amp;AV$6</f>
        <v>CR12502NNP</v>
      </c>
      <c r="AW9" s="2349" t="str">
        <f t="shared" si="5"/>
        <v>CR12502ANP</v>
      </c>
      <c r="AX9" s="2349" t="str">
        <f t="shared" si="5"/>
        <v>CR12502AAP</v>
      </c>
      <c r="AY9" s="2108" t="str">
        <f t="shared" si="5"/>
        <v>CR12502NNV</v>
      </c>
      <c r="AZ9" s="2108" t="str">
        <f t="shared" si="5"/>
        <v>CR12502ANV</v>
      </c>
      <c r="BA9" s="2108" t="str">
        <f t="shared" si="5"/>
        <v>CR12502AAV</v>
      </c>
      <c r="BB9" s="2347" t="str">
        <f t="shared" si="5"/>
        <v>CR12502NNPA</v>
      </c>
      <c r="BC9" s="2349" t="str">
        <f t="shared" si="5"/>
        <v>CR12502ANPA</v>
      </c>
      <c r="BD9" s="2349" t="str">
        <f t="shared" si="5"/>
        <v>CR12502AAPA</v>
      </c>
      <c r="BE9" s="2108" t="str">
        <f t="shared" si="5"/>
        <v>CR12502NNVA</v>
      </c>
      <c r="BF9" s="2108" t="str">
        <f t="shared" si="5"/>
        <v>CR12502ANVA</v>
      </c>
      <c r="BG9" s="2007" t="str">
        <f t="shared" si="5"/>
        <v>CR12502AAVA</v>
      </c>
    </row>
    <row r="10" spans="2:59" ht="15" thickBot="1">
      <c r="B10" s="94" t="s">
        <v>815</v>
      </c>
      <c r="C10" s="87" t="s">
        <v>816</v>
      </c>
      <c r="D10" s="87"/>
      <c r="E10" s="95" t="s">
        <v>51</v>
      </c>
      <c r="F10" s="96">
        <v>3</v>
      </c>
      <c r="G10" s="2019">
        <f>SUM(G8:G9)</f>
        <v>6.7299999999999999E-2</v>
      </c>
      <c r="H10" s="2020">
        <f t="shared" ref="H10:I10" si="8">SUM(H8:H9)</f>
        <v>4.2500125962437518E-2</v>
      </c>
      <c r="I10" s="2300">
        <f t="shared" si="8"/>
        <v>6.7299999999999999E-2</v>
      </c>
      <c r="J10" s="243">
        <f t="shared" ref="J10:L10" si="9">J9+J8</f>
        <v>145.75329249999999</v>
      </c>
      <c r="K10" s="244">
        <f t="shared" si="9"/>
        <v>92.043585300000004</v>
      </c>
      <c r="L10" s="191">
        <f t="shared" si="9"/>
        <v>92.043585300000004</v>
      </c>
      <c r="M10" s="2294">
        <f>SUM(M8:M9)</f>
        <v>7.1300000000000002E-2</v>
      </c>
      <c r="N10" s="2020">
        <f t="shared" ref="N10" si="10">SUM(N8:N9)</f>
        <v>4.5370494091356628E-2</v>
      </c>
      <c r="O10" s="2300">
        <f t="shared" ref="O10" si="11">SUM(O8:O9)</f>
        <v>7.1300000000000002E-2</v>
      </c>
      <c r="P10" s="243">
        <f t="shared" ref="P10:R10" si="12">P9+P8</f>
        <v>149.83074690000001</v>
      </c>
      <c r="Q10" s="244">
        <f t="shared" si="12"/>
        <v>95.342146100000008</v>
      </c>
      <c r="R10" s="191">
        <f t="shared" si="12"/>
        <v>95.342146100000008</v>
      </c>
      <c r="T10" s="1370">
        <f xml:space="preserve"> IF( SUM( V10:AI10 ) = 0, 0, $W$7 )</f>
        <v>0</v>
      </c>
      <c r="AD10" s="192"/>
      <c r="AE10" s="192"/>
      <c r="AF10" s="192"/>
      <c r="AG10" s="192"/>
      <c r="AH10" s="192"/>
      <c r="AQ10" s="94" t="str">
        <f t="shared" si="6"/>
        <v>1F.3</v>
      </c>
      <c r="AR10" s="87" t="str">
        <f t="shared" si="4"/>
        <v>Adjusted Return on regulatory equity</v>
      </c>
      <c r="AS10" s="117" t="s">
        <v>817</v>
      </c>
      <c r="AT10" s="95" t="s">
        <v>51</v>
      </c>
      <c r="AU10" s="96">
        <v>3</v>
      </c>
      <c r="AV10" s="2348" t="str">
        <f t="shared" si="7"/>
        <v>CR12503NNP</v>
      </c>
      <c r="AW10" s="2349" t="str">
        <f t="shared" si="5"/>
        <v>CR12503ANP</v>
      </c>
      <c r="AX10" s="2349" t="str">
        <f t="shared" si="5"/>
        <v>CR12503AAP</v>
      </c>
      <c r="AY10" s="2108" t="str">
        <f t="shared" si="5"/>
        <v>CR12503NNV</v>
      </c>
      <c r="AZ10" s="2108" t="str">
        <f t="shared" si="5"/>
        <v>CR12503ANV</v>
      </c>
      <c r="BA10" s="2108" t="str">
        <f t="shared" si="5"/>
        <v>CR12503AAV</v>
      </c>
      <c r="BB10" s="2349" t="str">
        <f t="shared" si="5"/>
        <v>CR12503NNPA</v>
      </c>
      <c r="BC10" s="2349" t="str">
        <f t="shared" si="5"/>
        <v>CR12503ANPA</v>
      </c>
      <c r="BD10" s="2349" t="str">
        <f t="shared" si="5"/>
        <v>CR12503AAPA</v>
      </c>
      <c r="BE10" s="2108" t="str">
        <f t="shared" si="5"/>
        <v>CR12503NNVA</v>
      </c>
      <c r="BF10" s="2108" t="str">
        <f t="shared" si="5"/>
        <v>CR12503ANVA</v>
      </c>
      <c r="BG10" s="2007" t="str">
        <f t="shared" si="5"/>
        <v>CR12503AAVA</v>
      </c>
    </row>
    <row r="11" spans="2:59" ht="15" thickBot="1">
      <c r="B11" s="101" t="s">
        <v>818</v>
      </c>
      <c r="C11" s="102" t="s">
        <v>819</v>
      </c>
      <c r="D11" s="102"/>
      <c r="E11" s="103" t="s">
        <v>51</v>
      </c>
      <c r="F11" s="100">
        <v>3</v>
      </c>
      <c r="G11" s="2314">
        <v>2165.7249999999999</v>
      </c>
      <c r="H11" s="2313">
        <f>G11</f>
        <v>2165.7249999999999</v>
      </c>
      <c r="I11" s="2314">
        <v>1367.6610000000001</v>
      </c>
      <c r="J11" s="2315"/>
      <c r="K11" s="2315"/>
      <c r="L11" s="2315"/>
      <c r="M11" s="2314">
        <v>2101.413</v>
      </c>
      <c r="N11" s="2313">
        <f>M11</f>
        <v>2101.413</v>
      </c>
      <c r="O11" s="2314">
        <v>1337.1969999999999</v>
      </c>
      <c r="T11" s="1370">
        <f xml:space="preserve"> IF( SUM( V11:AI11 ) = 0, 0, $W$7 )</f>
        <v>0</v>
      </c>
      <c r="W11" s="93">
        <f t="shared" si="2"/>
        <v>0</v>
      </c>
      <c r="X11" s="127"/>
      <c r="Y11" s="93">
        <f t="shared" si="2"/>
        <v>0</v>
      </c>
      <c r="Z11" s="127"/>
      <c r="AA11" s="127"/>
      <c r="AB11" s="127"/>
      <c r="AC11" s="93">
        <f t="shared" ref="AC11" si="13" xml:space="preserve"> IF( ISNUMBER( M11 ), 0, 1 )</f>
        <v>0</v>
      </c>
      <c r="AD11" s="127"/>
      <c r="AE11" s="93">
        <f t="shared" ref="AE11" si="14" xml:space="preserve"> IF( ISNUMBER( O11 ), 0, 1 )</f>
        <v>0</v>
      </c>
      <c r="AF11" s="127"/>
      <c r="AG11" s="127"/>
      <c r="AH11" s="127"/>
      <c r="AQ11" s="94" t="str">
        <f t="shared" si="6"/>
        <v>1F.4</v>
      </c>
      <c r="AR11" s="87" t="str">
        <f t="shared" si="4"/>
        <v>Regulatory equity</v>
      </c>
      <c r="AS11" s="117" t="s">
        <v>820</v>
      </c>
      <c r="AT11" s="95" t="s">
        <v>51</v>
      </c>
      <c r="AU11" s="96">
        <v>3</v>
      </c>
      <c r="AV11" s="2350" t="str">
        <f t="shared" si="7"/>
        <v>CR12504NNP</v>
      </c>
      <c r="AW11" s="2378" t="str">
        <f t="shared" si="5"/>
        <v>CR12504ANP</v>
      </c>
      <c r="AX11" s="2351" t="str">
        <f t="shared" si="5"/>
        <v>CR12504AAP</v>
      </c>
      <c r="AY11" s="2100"/>
      <c r="AZ11" s="2100"/>
      <c r="BA11" s="2100"/>
      <c r="BB11" s="2351" t="str">
        <f t="shared" si="5"/>
        <v>CR12504NNPA</v>
      </c>
      <c r="BC11" s="2378" t="str">
        <f t="shared" si="5"/>
        <v>CR12504ANPA</v>
      </c>
      <c r="BD11" s="2351" t="str">
        <f t="shared" si="5"/>
        <v>CR12504AAPA</v>
      </c>
      <c r="BE11" s="2100"/>
      <c r="BF11" s="2100"/>
      <c r="BG11" s="2100"/>
    </row>
    <row r="12" spans="2:59" ht="15" thickBot="1">
      <c r="T12" s="126"/>
      <c r="AV12" s="2352"/>
      <c r="AW12" s="2352"/>
      <c r="AX12" s="2352"/>
      <c r="AY12" s="2100"/>
      <c r="AZ12" s="2100"/>
      <c r="BA12" s="2100"/>
      <c r="BB12" s="2352"/>
      <c r="BC12" s="2352"/>
      <c r="BD12" s="2352"/>
      <c r="BE12" s="2100"/>
      <c r="BF12" s="2100"/>
      <c r="BG12" s="2100"/>
    </row>
    <row r="13" spans="2:59" ht="15" thickBot="1">
      <c r="B13" s="113" t="s">
        <v>177</v>
      </c>
      <c r="C13" s="83" t="s">
        <v>821</v>
      </c>
      <c r="D13" s="1505"/>
      <c r="T13" s="126"/>
      <c r="AQ13" s="113" t="str">
        <f t="shared" ref="AQ13:AR13" si="15">+B13</f>
        <v>B</v>
      </c>
      <c r="AR13" s="83" t="str">
        <f t="shared" si="15"/>
        <v>Financing</v>
      </c>
      <c r="AS13" s="1505"/>
      <c r="AV13" s="2352"/>
      <c r="AW13" s="2352"/>
      <c r="AX13" s="2352"/>
      <c r="AY13" s="2100"/>
      <c r="AZ13" s="2100"/>
      <c r="BA13" s="2100"/>
      <c r="BB13" s="2352"/>
      <c r="BC13" s="2352"/>
      <c r="BD13" s="2352"/>
      <c r="BE13" s="2100"/>
      <c r="BF13" s="2100"/>
      <c r="BG13" s="2100"/>
    </row>
    <row r="14" spans="2:59" ht="15" thickBot="1">
      <c r="B14" s="366" t="s">
        <v>822</v>
      </c>
      <c r="C14" s="117" t="s">
        <v>733</v>
      </c>
      <c r="D14" s="117"/>
      <c r="E14" s="88" t="s">
        <v>51</v>
      </c>
      <c r="F14" s="89">
        <v>3</v>
      </c>
      <c r="G14" s="2317">
        <v>0</v>
      </c>
      <c r="H14" s="2307">
        <f>+I14</f>
        <v>2.4171194469974649E-2</v>
      </c>
      <c r="I14" s="2301">
        <f t="shared" ref="I14:I18" si="16">IFERROR(+L14/I$11,0)</f>
        <v>2.4171194469974649E-2</v>
      </c>
      <c r="J14" s="2937">
        <v>0</v>
      </c>
      <c r="K14" s="190">
        <f t="shared" ref="K14:K16" si="17">+L14</f>
        <v>33.058</v>
      </c>
      <c r="L14" s="2314">
        <v>33.058</v>
      </c>
      <c r="M14" s="2317">
        <v>0</v>
      </c>
      <c r="N14" s="2307">
        <f>+O14</f>
        <v>2.5983456439103589E-2</v>
      </c>
      <c r="O14" s="2301">
        <f t="shared" ref="O14:O18" si="18">IFERROR(+R14/O$11,0)</f>
        <v>2.5983456439103589E-2</v>
      </c>
      <c r="P14" s="188">
        <v>0</v>
      </c>
      <c r="Q14" s="196">
        <f t="shared" ref="Q14:Q16" si="19">+R14</f>
        <v>34.744999999999997</v>
      </c>
      <c r="R14" s="2314">
        <v>34.744999999999997</v>
      </c>
      <c r="T14" s="1370">
        <f xml:space="preserve"> IF( SUM( V14:AI14 ) = 0, 0, $W$7 )</f>
        <v>0</v>
      </c>
      <c r="W14" s="127"/>
      <c r="X14" s="127"/>
      <c r="Y14" s="127"/>
      <c r="Z14" s="127"/>
      <c r="AA14" s="127"/>
      <c r="AB14" s="93">
        <f t="shared" ref="AA14:AB18" si="20" xml:space="preserve"> IF( ISNUMBER( L14 ), 0, 1 )</f>
        <v>0</v>
      </c>
      <c r="AC14" s="127"/>
      <c r="AD14" s="127"/>
      <c r="AE14" s="127"/>
      <c r="AF14" s="127"/>
      <c r="AG14" s="127"/>
      <c r="AH14" s="93">
        <f t="shared" ref="AG14:AH18" si="21" xml:space="preserve"> IF( ISNUMBER( R14 ), 0, 1 )</f>
        <v>0</v>
      </c>
      <c r="AQ14" s="366" t="str">
        <f t="shared" ref="AQ14:AQ18" si="22">+B14</f>
        <v>1F.5</v>
      </c>
      <c r="AR14" s="117" t="str">
        <f t="shared" ref="AR14:AR18" si="23">+C14</f>
        <v>Gearing</v>
      </c>
      <c r="AS14" s="117" t="s">
        <v>823</v>
      </c>
      <c r="AT14" s="88" t="s">
        <v>51</v>
      </c>
      <c r="AU14" s="89">
        <v>3</v>
      </c>
      <c r="AV14" s="2379" t="str">
        <f t="shared" ref="AV14:BG18" si="24">$AS14&amp;AV$6</f>
        <v>CR12505NNP</v>
      </c>
      <c r="AW14" s="2380" t="str">
        <f t="shared" si="24"/>
        <v>CR12505ANP</v>
      </c>
      <c r="AX14" s="2380" t="str">
        <f t="shared" si="24"/>
        <v>CR12505AAP</v>
      </c>
      <c r="AY14" s="2381" t="str">
        <f t="shared" si="24"/>
        <v>CR12505NNV</v>
      </c>
      <c r="AZ14" s="2381" t="str">
        <f t="shared" si="24"/>
        <v>CR12505ANV</v>
      </c>
      <c r="BA14" s="2353" t="str">
        <f t="shared" si="24"/>
        <v>CR12505AAV</v>
      </c>
      <c r="BB14" s="2380" t="str">
        <f t="shared" si="24"/>
        <v>CR12505NNPA</v>
      </c>
      <c r="BC14" s="2380" t="str">
        <f t="shared" si="24"/>
        <v>CR12505ANPA</v>
      </c>
      <c r="BD14" s="2380" t="str">
        <f t="shared" si="24"/>
        <v>CR12505AAPA</v>
      </c>
      <c r="BE14" s="2381" t="str">
        <f t="shared" si="24"/>
        <v>CR12505NNVA</v>
      </c>
      <c r="BF14" s="2381" t="str">
        <f t="shared" si="24"/>
        <v>CR12505ANVA</v>
      </c>
      <c r="BG14" s="2354" t="str">
        <f t="shared" si="24"/>
        <v>CR12505AAVA</v>
      </c>
    </row>
    <row r="15" spans="2:59" ht="15" thickBot="1">
      <c r="B15" s="94" t="s">
        <v>824</v>
      </c>
      <c r="C15" s="87" t="s">
        <v>825</v>
      </c>
      <c r="D15" s="87"/>
      <c r="E15" s="95" t="s">
        <v>51</v>
      </c>
      <c r="F15" s="96">
        <v>3</v>
      </c>
      <c r="G15" s="2936">
        <v>0</v>
      </c>
      <c r="H15" s="2304">
        <f>IFERROR(+K15/H$11,0)</f>
        <v>-2.555726142515786E-3</v>
      </c>
      <c r="I15" s="2302">
        <f t="shared" si="16"/>
        <v>-4.0470555203372767E-3</v>
      </c>
      <c r="J15" s="243">
        <v>0</v>
      </c>
      <c r="K15" s="191">
        <f t="shared" si="17"/>
        <v>-5.5350000000000001</v>
      </c>
      <c r="L15" s="2314">
        <v>-5.5350000000000001</v>
      </c>
      <c r="M15" s="2936">
        <v>0</v>
      </c>
      <c r="N15" s="2304">
        <f t="shared" ref="N15:N18" si="25">IFERROR(+Q15/N$11,0)</f>
        <v>-6.8220763838426814E-3</v>
      </c>
      <c r="O15" s="2302">
        <f t="shared" si="18"/>
        <v>-1.0720933415196117E-2</v>
      </c>
      <c r="P15" s="245">
        <v>0</v>
      </c>
      <c r="Q15" s="197">
        <f t="shared" si="19"/>
        <v>-14.336</v>
      </c>
      <c r="R15" s="2314">
        <v>-14.336</v>
      </c>
      <c r="T15" s="1370">
        <f xml:space="preserve"> IF( SUM( V15:AI15 ) = 0, 0, $W$7 )</f>
        <v>0</v>
      </c>
      <c r="W15" s="127"/>
      <c r="X15" s="127"/>
      <c r="Y15" s="127"/>
      <c r="Z15" s="127"/>
      <c r="AA15" s="127"/>
      <c r="AB15" s="93">
        <f t="shared" si="20"/>
        <v>0</v>
      </c>
      <c r="AC15" s="127"/>
      <c r="AD15" s="127"/>
      <c r="AE15" s="127"/>
      <c r="AF15" s="127"/>
      <c r="AG15" s="127"/>
      <c r="AH15" s="93">
        <f t="shared" si="21"/>
        <v>0</v>
      </c>
      <c r="AQ15" s="94" t="str">
        <f t="shared" si="22"/>
        <v>1F.6</v>
      </c>
      <c r="AR15" s="87" t="str">
        <f t="shared" si="23"/>
        <v>Variance in corporation tax</v>
      </c>
      <c r="AS15" s="117" t="s">
        <v>826</v>
      </c>
      <c r="AT15" s="95" t="s">
        <v>51</v>
      </c>
      <c r="AU15" s="96">
        <v>3</v>
      </c>
      <c r="AV15" s="2382" t="str">
        <f t="shared" si="24"/>
        <v>CR12506NNP</v>
      </c>
      <c r="AW15" s="2383" t="str">
        <f t="shared" si="24"/>
        <v>CR12506ANP</v>
      </c>
      <c r="AX15" s="2383" t="str">
        <f t="shared" si="24"/>
        <v>CR12506AAP</v>
      </c>
      <c r="AY15" s="2107" t="str">
        <f t="shared" si="24"/>
        <v>CR12506NNV</v>
      </c>
      <c r="AZ15" s="2107" t="str">
        <f t="shared" si="24"/>
        <v>CR12506ANV</v>
      </c>
      <c r="BA15" s="2355" t="str">
        <f t="shared" si="24"/>
        <v>CR12506AAV</v>
      </c>
      <c r="BB15" s="2383" t="str">
        <f t="shared" si="24"/>
        <v>CR12506NNPA</v>
      </c>
      <c r="BC15" s="2383" t="str">
        <f t="shared" si="24"/>
        <v>CR12506ANPA</v>
      </c>
      <c r="BD15" s="2383" t="str">
        <f t="shared" si="24"/>
        <v>CR12506AAPA</v>
      </c>
      <c r="BE15" s="2107" t="str">
        <f t="shared" si="24"/>
        <v>CR12506NNVA</v>
      </c>
      <c r="BF15" s="2107" t="str">
        <f t="shared" si="24"/>
        <v>CR12506ANVA</v>
      </c>
      <c r="BG15" s="2356" t="str">
        <f t="shared" si="24"/>
        <v>CR12506AAVA</v>
      </c>
    </row>
    <row r="16" spans="2:59" ht="15" thickBot="1">
      <c r="B16" s="94" t="s">
        <v>827</v>
      </c>
      <c r="C16" s="87" t="s">
        <v>828</v>
      </c>
      <c r="D16" s="87"/>
      <c r="E16" s="95" t="s">
        <v>51</v>
      </c>
      <c r="F16" s="96">
        <v>3</v>
      </c>
      <c r="G16" s="2936">
        <v>0</v>
      </c>
      <c r="H16" s="2304">
        <f t="shared" ref="H16:H17" si="26">IFERROR(+K16/H$11,0)</f>
        <v>0</v>
      </c>
      <c r="I16" s="2302">
        <f t="shared" si="16"/>
        <v>0</v>
      </c>
      <c r="J16" s="243">
        <v>0</v>
      </c>
      <c r="K16" s="191">
        <f t="shared" si="17"/>
        <v>0</v>
      </c>
      <c r="L16" s="2314">
        <v>0</v>
      </c>
      <c r="M16" s="2936">
        <v>0</v>
      </c>
      <c r="N16" s="2304">
        <f t="shared" si="25"/>
        <v>5.8474940432937271E-3</v>
      </c>
      <c r="O16" s="2302">
        <f t="shared" si="18"/>
        <v>9.1893714987395288E-3</v>
      </c>
      <c r="P16" s="245">
        <v>0</v>
      </c>
      <c r="Q16" s="197">
        <f t="shared" si="19"/>
        <v>12.288</v>
      </c>
      <c r="R16" s="2314">
        <v>12.288</v>
      </c>
      <c r="T16" s="1370">
        <f xml:space="preserve"> IF( SUM( V16:AI16 ) = 0, 0, $W$7 )</f>
        <v>0</v>
      </c>
      <c r="W16" s="127"/>
      <c r="X16" s="127"/>
      <c r="Y16" s="127"/>
      <c r="Z16" s="127"/>
      <c r="AA16" s="127"/>
      <c r="AB16" s="93">
        <f t="shared" si="20"/>
        <v>0</v>
      </c>
      <c r="AC16" s="127"/>
      <c r="AD16" s="127"/>
      <c r="AE16" s="127"/>
      <c r="AF16" s="127"/>
      <c r="AG16" s="127"/>
      <c r="AH16" s="93">
        <f t="shared" si="21"/>
        <v>0</v>
      </c>
      <c r="AQ16" s="94" t="str">
        <f t="shared" si="22"/>
        <v>1F.7</v>
      </c>
      <c r="AR16" s="87" t="str">
        <f t="shared" si="23"/>
        <v>Group relief</v>
      </c>
      <c r="AS16" s="117" t="s">
        <v>829</v>
      </c>
      <c r="AT16" s="95" t="s">
        <v>51</v>
      </c>
      <c r="AU16" s="96">
        <v>3</v>
      </c>
      <c r="AV16" s="2382" t="str">
        <f t="shared" si="24"/>
        <v>CR12507NNP</v>
      </c>
      <c r="AW16" s="2383" t="str">
        <f t="shared" si="24"/>
        <v>CR12507ANP</v>
      </c>
      <c r="AX16" s="2383" t="str">
        <f t="shared" si="24"/>
        <v>CR12507AAP</v>
      </c>
      <c r="AY16" s="2107" t="str">
        <f t="shared" si="24"/>
        <v>CR12507NNV</v>
      </c>
      <c r="AZ16" s="2107" t="str">
        <f t="shared" si="24"/>
        <v>CR12507ANV</v>
      </c>
      <c r="BA16" s="2355" t="str">
        <f t="shared" si="24"/>
        <v>CR12507AAV</v>
      </c>
      <c r="BB16" s="2383" t="str">
        <f t="shared" si="24"/>
        <v>CR12507NNPA</v>
      </c>
      <c r="BC16" s="2383" t="str">
        <f t="shared" si="24"/>
        <v>CR12507ANPA</v>
      </c>
      <c r="BD16" s="2383" t="str">
        <f t="shared" si="24"/>
        <v>CR12507AAPA</v>
      </c>
      <c r="BE16" s="2107" t="str">
        <f t="shared" si="24"/>
        <v>CR12507NNVA</v>
      </c>
      <c r="BF16" s="2107" t="str">
        <f t="shared" si="24"/>
        <v>CR12507ANVA</v>
      </c>
      <c r="BG16" s="2356" t="str">
        <f t="shared" si="24"/>
        <v>CR12507AAVA</v>
      </c>
    </row>
    <row r="17" spans="2:59" ht="15" thickBot="1">
      <c r="B17" s="94" t="s">
        <v>830</v>
      </c>
      <c r="C17" s="87" t="s">
        <v>831</v>
      </c>
      <c r="D17" s="87"/>
      <c r="E17" s="95" t="s">
        <v>51</v>
      </c>
      <c r="F17" s="96">
        <v>3</v>
      </c>
      <c r="G17" s="2936">
        <v>0</v>
      </c>
      <c r="H17" s="2304">
        <f t="shared" si="26"/>
        <v>2.0473975227695115E-2</v>
      </c>
      <c r="I17" s="2302">
        <f t="shared" si="16"/>
        <v>3.9588757740404969E-2</v>
      </c>
      <c r="J17" s="243">
        <v>0</v>
      </c>
      <c r="K17" s="2314">
        <v>44.341000000000001</v>
      </c>
      <c r="L17" s="2314">
        <v>54.143999999999998</v>
      </c>
      <c r="M17" s="2936">
        <v>0</v>
      </c>
      <c r="N17" s="2304">
        <f t="shared" si="25"/>
        <v>8.3624684914388563E-3</v>
      </c>
      <c r="O17" s="2302">
        <f t="shared" si="18"/>
        <v>1.5716457634888503E-2</v>
      </c>
      <c r="P17" s="245">
        <v>0</v>
      </c>
      <c r="Q17" s="2314">
        <v>17.573</v>
      </c>
      <c r="R17" s="2314">
        <v>21.015999999999998</v>
      </c>
      <c r="T17" s="1370">
        <f xml:space="preserve"> IF( SUM( V17:AI17 ) = 0, 0, $W$7 )</f>
        <v>0</v>
      </c>
      <c r="W17" s="127"/>
      <c r="X17" s="127"/>
      <c r="Y17" s="127"/>
      <c r="Z17" s="127"/>
      <c r="AA17" s="93">
        <f t="shared" si="20"/>
        <v>0</v>
      </c>
      <c r="AB17" s="93">
        <f t="shared" si="20"/>
        <v>0</v>
      </c>
      <c r="AC17" s="127"/>
      <c r="AD17" s="127"/>
      <c r="AE17" s="127"/>
      <c r="AF17" s="127"/>
      <c r="AG17" s="93">
        <f t="shared" ref="AG17" si="27" xml:space="preserve"> IF( ISNUMBER( Q17 ), 0, 1 )</f>
        <v>0</v>
      </c>
      <c r="AH17" s="93">
        <f t="shared" si="21"/>
        <v>0</v>
      </c>
      <c r="AQ17" s="94" t="str">
        <f t="shared" si="22"/>
        <v>1F.8</v>
      </c>
      <c r="AR17" s="87" t="str">
        <f t="shared" si="23"/>
        <v>Cost of debt</v>
      </c>
      <c r="AS17" s="117" t="s">
        <v>832</v>
      </c>
      <c r="AT17" s="95" t="s">
        <v>51</v>
      </c>
      <c r="AU17" s="96">
        <v>3</v>
      </c>
      <c r="AV17" s="2382" t="str">
        <f t="shared" si="24"/>
        <v>CR12508NNP</v>
      </c>
      <c r="AW17" s="2383" t="str">
        <f t="shared" si="24"/>
        <v>CR12508ANP</v>
      </c>
      <c r="AX17" s="2383" t="str">
        <f t="shared" si="24"/>
        <v>CR12508AAP</v>
      </c>
      <c r="AY17" s="2107" t="str">
        <f t="shared" si="24"/>
        <v>CR12508NNV</v>
      </c>
      <c r="AZ17" s="2355" t="str">
        <f t="shared" si="24"/>
        <v>CR12508ANV</v>
      </c>
      <c r="BA17" s="2355" t="str">
        <f t="shared" si="24"/>
        <v>CR12508AAV</v>
      </c>
      <c r="BB17" s="2383" t="str">
        <f t="shared" si="24"/>
        <v>CR12508NNPA</v>
      </c>
      <c r="BC17" s="2383" t="str">
        <f t="shared" si="24"/>
        <v>CR12508ANPA</v>
      </c>
      <c r="BD17" s="2383" t="str">
        <f t="shared" si="24"/>
        <v>CR12508AAPA</v>
      </c>
      <c r="BE17" s="2107" t="str">
        <f t="shared" si="24"/>
        <v>CR12508NNVA</v>
      </c>
      <c r="BF17" s="2355" t="str">
        <f t="shared" si="24"/>
        <v>CR12508ANVA</v>
      </c>
      <c r="BG17" s="2356" t="str">
        <f t="shared" si="24"/>
        <v>CR12508AAVA</v>
      </c>
    </row>
    <row r="18" spans="2:59" ht="15" thickBot="1">
      <c r="B18" s="170" t="s">
        <v>833</v>
      </c>
      <c r="C18" s="102" t="s">
        <v>834</v>
      </c>
      <c r="D18" s="102"/>
      <c r="E18" s="103" t="s">
        <v>51</v>
      </c>
      <c r="F18" s="100">
        <v>3</v>
      </c>
      <c r="G18" s="2316">
        <v>0</v>
      </c>
      <c r="H18" s="2305">
        <f>IFERROR(+K18/H$11,0)</f>
        <v>-1.1609968948042802E-2</v>
      </c>
      <c r="I18" s="2303">
        <f t="shared" si="16"/>
        <v>-2.2449276538557432E-2</v>
      </c>
      <c r="J18" s="242">
        <v>0</v>
      </c>
      <c r="K18" s="2314">
        <v>-25.143999999999998</v>
      </c>
      <c r="L18" s="2314">
        <v>-30.702999999999999</v>
      </c>
      <c r="M18" s="2316">
        <v>0</v>
      </c>
      <c r="N18" s="2305">
        <f t="shared" si="25"/>
        <v>-1.4814317794740968E-2</v>
      </c>
      <c r="O18" s="2303">
        <f t="shared" si="18"/>
        <v>-2.8353339111589396E-2</v>
      </c>
      <c r="P18" s="193">
        <v>0</v>
      </c>
      <c r="Q18" s="2314">
        <v>-31.131</v>
      </c>
      <c r="R18" s="2314">
        <v>-37.914000000000001</v>
      </c>
      <c r="T18" s="1370">
        <f xml:space="preserve"> IF( SUM( V18:AI18 ) = 0, 0, $W$7 )</f>
        <v>0</v>
      </c>
      <c r="W18" s="127"/>
      <c r="X18" s="127"/>
      <c r="Y18" s="127"/>
      <c r="Z18" s="127"/>
      <c r="AA18" s="93">
        <f t="shared" si="20"/>
        <v>0</v>
      </c>
      <c r="AB18" s="93">
        <f t="shared" si="20"/>
        <v>0</v>
      </c>
      <c r="AC18" s="127"/>
      <c r="AD18" s="127"/>
      <c r="AE18" s="127"/>
      <c r="AF18" s="127"/>
      <c r="AG18" s="93">
        <f t="shared" si="21"/>
        <v>0</v>
      </c>
      <c r="AH18" s="93">
        <f t="shared" si="21"/>
        <v>0</v>
      </c>
      <c r="AQ18" s="170" t="str">
        <f t="shared" si="22"/>
        <v>1F.9</v>
      </c>
      <c r="AR18" s="102" t="str">
        <f t="shared" si="23"/>
        <v>Hedging instruments</v>
      </c>
      <c r="AS18" s="117" t="s">
        <v>835</v>
      </c>
      <c r="AT18" s="103" t="s">
        <v>51</v>
      </c>
      <c r="AU18" s="100">
        <v>3</v>
      </c>
      <c r="AV18" s="2384" t="str">
        <f t="shared" si="24"/>
        <v>CR12509NNP</v>
      </c>
      <c r="AW18" s="2378" t="str">
        <f t="shared" si="24"/>
        <v>CR12509ANP</v>
      </c>
      <c r="AX18" s="2378" t="str">
        <f t="shared" si="24"/>
        <v>CR12509AAP</v>
      </c>
      <c r="AY18" s="2011" t="str">
        <f t="shared" si="24"/>
        <v>CR12509NNV</v>
      </c>
      <c r="AZ18" s="2357" t="str">
        <f t="shared" si="24"/>
        <v>CR12509ANV</v>
      </c>
      <c r="BA18" s="2357" t="str">
        <f t="shared" si="24"/>
        <v>CR12509AAV</v>
      </c>
      <c r="BB18" s="2378" t="str">
        <f t="shared" si="24"/>
        <v>CR12509NNPA</v>
      </c>
      <c r="BC18" s="2378" t="str">
        <f t="shared" si="24"/>
        <v>CR12509ANPA</v>
      </c>
      <c r="BD18" s="2378" t="str">
        <f t="shared" si="24"/>
        <v>CR12509AAPA</v>
      </c>
      <c r="BE18" s="2011" t="str">
        <f t="shared" si="24"/>
        <v>CR12509NNVA</v>
      </c>
      <c r="BF18" s="2357" t="str">
        <f t="shared" si="24"/>
        <v>CR12509ANVA</v>
      </c>
      <c r="BG18" s="2358" t="str">
        <f t="shared" si="24"/>
        <v>CR12509AAVA</v>
      </c>
    </row>
    <row r="19" spans="2:59" ht="15" thickBot="1">
      <c r="G19" s="2310"/>
      <c r="H19" s="2310"/>
      <c r="I19" s="2021"/>
      <c r="M19" s="2310"/>
      <c r="N19" s="2310"/>
      <c r="O19" s="2021"/>
      <c r="P19" s="2312"/>
      <c r="T19" s="126"/>
      <c r="AV19" s="2352"/>
      <c r="AW19" s="2352"/>
      <c r="AX19" s="2352"/>
      <c r="AY19" s="2100"/>
      <c r="AZ19" s="2100"/>
      <c r="BA19" s="2100"/>
      <c r="BB19" s="2352"/>
      <c r="BC19" s="2352"/>
      <c r="BD19" s="2352"/>
      <c r="BE19" s="2100"/>
      <c r="BF19" s="2100"/>
      <c r="BG19" s="2100"/>
    </row>
    <row r="20" spans="2:59" ht="15" thickBot="1">
      <c r="B20" s="131" t="s">
        <v>836</v>
      </c>
      <c r="C20" s="132" t="s">
        <v>837</v>
      </c>
      <c r="D20" s="132"/>
      <c r="E20" s="133" t="s">
        <v>51</v>
      </c>
      <c r="F20" s="134">
        <v>3</v>
      </c>
      <c r="G20" s="2306">
        <f>SUM(G14:G18)+G10</f>
        <v>6.7299999999999999E-2</v>
      </c>
      <c r="H20" s="2306">
        <f t="shared" ref="H20:I20" si="28">SUM(H14:H18)+H10</f>
        <v>7.2979600569548692E-2</v>
      </c>
      <c r="I20" s="2022">
        <f t="shared" si="28"/>
        <v>0.1045636201514849</v>
      </c>
      <c r="J20" s="769">
        <f>SUM(J14:J18)+J10</f>
        <v>145.75329249999999</v>
      </c>
      <c r="K20" s="739">
        <f t="shared" ref="K20:L20" si="29">SUM(K14:K18)+K10</f>
        <v>138.76358530000002</v>
      </c>
      <c r="L20" s="486">
        <f t="shared" si="29"/>
        <v>143.00758530000002</v>
      </c>
      <c r="M20" s="2306">
        <f>SUM(M14:M18)+M10</f>
        <v>7.1300000000000002E-2</v>
      </c>
      <c r="N20" s="2306">
        <f t="shared" ref="N20:O20" si="30">SUM(N14:N18)+N10</f>
        <v>6.392751888660915E-2</v>
      </c>
      <c r="O20" s="2022">
        <f t="shared" si="30"/>
        <v>8.311501304594611E-2</v>
      </c>
      <c r="P20" s="769">
        <f>SUM(P14:P18)+P10</f>
        <v>149.83074690000001</v>
      </c>
      <c r="Q20" s="769">
        <f t="shared" ref="Q20:R20" si="31">SUM(Q14:Q18)+Q10</f>
        <v>114.48114610000002</v>
      </c>
      <c r="R20" s="486">
        <f t="shared" si="31"/>
        <v>111.14114610000001</v>
      </c>
      <c r="T20" s="126"/>
      <c r="U20" s="120"/>
      <c r="V20" s="119"/>
      <c r="W20" s="120"/>
      <c r="X20" s="120"/>
      <c r="Y20" s="120"/>
      <c r="Z20" s="120"/>
      <c r="AA20" s="120"/>
      <c r="AB20" s="120"/>
      <c r="AC20" s="120"/>
      <c r="AD20" s="120"/>
      <c r="AE20" s="120"/>
      <c r="AF20" s="120"/>
      <c r="AG20" s="120"/>
      <c r="AH20" s="120"/>
      <c r="AI20" s="119"/>
      <c r="AQ20" s="131" t="str">
        <f t="shared" ref="AQ20:AR20" si="32">+B20</f>
        <v>1F.10</v>
      </c>
      <c r="AR20" s="132" t="str">
        <f t="shared" si="32"/>
        <v>Financing total</v>
      </c>
      <c r="AS20" s="132" t="s">
        <v>838</v>
      </c>
      <c r="AT20" s="133" t="s">
        <v>51</v>
      </c>
      <c r="AU20" s="134">
        <v>3</v>
      </c>
      <c r="AV20" s="2359" t="str">
        <f t="shared" ref="AV20:BG20" si="33">$AS20&amp;AV$6</f>
        <v>CR12510NNP</v>
      </c>
      <c r="AW20" s="2360" t="str">
        <f t="shared" si="33"/>
        <v>CR12510ANP</v>
      </c>
      <c r="AX20" s="2360" t="str">
        <f t="shared" si="33"/>
        <v>CR12510AAP</v>
      </c>
      <c r="AY20" s="2361" t="str">
        <f t="shared" si="33"/>
        <v>CR12510NNV</v>
      </c>
      <c r="AZ20" s="2361" t="str">
        <f t="shared" si="33"/>
        <v>CR12510ANV</v>
      </c>
      <c r="BA20" s="2361" t="str">
        <f t="shared" si="33"/>
        <v>CR12510AAV</v>
      </c>
      <c r="BB20" s="2360" t="str">
        <f t="shared" si="33"/>
        <v>CR12510NNPA</v>
      </c>
      <c r="BC20" s="2360" t="str">
        <f t="shared" si="33"/>
        <v>CR12510ANPA</v>
      </c>
      <c r="BD20" s="2360" t="str">
        <f t="shared" si="33"/>
        <v>CR12510AAPA</v>
      </c>
      <c r="BE20" s="2361" t="str">
        <f t="shared" si="33"/>
        <v>CR12510NNVA</v>
      </c>
      <c r="BF20" s="2361" t="str">
        <f t="shared" si="33"/>
        <v>CR12510ANVA</v>
      </c>
      <c r="BG20" s="2103" t="str">
        <f t="shared" si="33"/>
        <v>CR12510AAVA</v>
      </c>
    </row>
    <row r="21" spans="2:59" ht="15" thickBot="1">
      <c r="T21" s="126"/>
      <c r="AV21" s="2352"/>
      <c r="AW21" s="2352"/>
      <c r="AX21" s="2352"/>
      <c r="AY21" s="2100"/>
      <c r="AZ21" s="2100"/>
      <c r="BA21" s="2100"/>
      <c r="BB21" s="2352"/>
      <c r="BC21" s="2352"/>
      <c r="BD21" s="2352"/>
      <c r="BE21" s="2100"/>
      <c r="BF21" s="2100"/>
      <c r="BG21" s="2100"/>
    </row>
    <row r="22" spans="2:59" ht="15" thickBot="1">
      <c r="B22" s="3036" t="s">
        <v>335</v>
      </c>
      <c r="C22" s="83" t="s">
        <v>839</v>
      </c>
      <c r="D22" s="1505"/>
      <c r="T22" s="126"/>
      <c r="AQ22" s="3036" t="str">
        <f t="shared" ref="AQ22:AQ27" si="34">+B22</f>
        <v>C</v>
      </c>
      <c r="AR22" s="83" t="str">
        <f t="shared" ref="AR22:AR27" si="35">+C22</f>
        <v>Operational performance</v>
      </c>
      <c r="AS22" s="1505"/>
      <c r="AV22" s="2352"/>
      <c r="AW22" s="2352"/>
      <c r="AX22" s="2352"/>
      <c r="AY22" s="2100"/>
      <c r="AZ22" s="2100"/>
      <c r="BA22" s="2100"/>
      <c r="BB22" s="2352"/>
      <c r="BC22" s="2352"/>
      <c r="BD22" s="2352"/>
      <c r="BE22" s="2100"/>
      <c r="BF22" s="2100"/>
      <c r="BG22" s="2100"/>
    </row>
    <row r="23" spans="2:59" ht="15" thickBot="1">
      <c r="B23" s="1240" t="s">
        <v>840</v>
      </c>
      <c r="C23" s="117" t="s">
        <v>841</v>
      </c>
      <c r="D23" s="117"/>
      <c r="E23" s="88" t="s">
        <v>51</v>
      </c>
      <c r="F23" s="89">
        <v>3</v>
      </c>
      <c r="G23" s="2307">
        <v>0</v>
      </c>
      <c r="H23" s="2307">
        <f t="shared" ref="H23:I26" si="36">IFERROR(+K23/H$11,0)</f>
        <v>-8.2896027889044089E-3</v>
      </c>
      <c r="I23" s="2301">
        <f t="shared" si="36"/>
        <v>-1.3126790922604359E-2</v>
      </c>
      <c r="J23" s="188">
        <v>0</v>
      </c>
      <c r="K23" s="632">
        <f>+L23</f>
        <v>-17.952999999999999</v>
      </c>
      <c r="L23" s="2314">
        <v>-17.952999999999999</v>
      </c>
      <c r="M23" s="2307">
        <v>0</v>
      </c>
      <c r="N23" s="2307">
        <f t="shared" ref="N23:O26" si="37">IFERROR(+Q23/N$11,0)</f>
        <v>-2.7038949506831833E-3</v>
      </c>
      <c r="O23" s="2301">
        <f t="shared" si="37"/>
        <v>-4.2491869186066086E-3</v>
      </c>
      <c r="P23" s="632">
        <v>0</v>
      </c>
      <c r="Q23" s="632">
        <f t="shared" ref="Q23:Q26" si="38">+R23</f>
        <v>-5.6820000000000004</v>
      </c>
      <c r="R23" s="2314">
        <v>-5.6820000000000004</v>
      </c>
      <c r="T23" s="1370">
        <f xml:space="preserve"> IF( SUM( V23:AI23 ) = 0, 0, $W$7 )</f>
        <v>0</v>
      </c>
      <c r="V23" s="124"/>
      <c r="W23" s="127"/>
      <c r="X23" s="127"/>
      <c r="Y23" s="127"/>
      <c r="Z23" s="127"/>
      <c r="AA23" s="127"/>
      <c r="AB23" s="93">
        <f t="shared" ref="AB23:AB26" si="39" xml:space="preserve"> IF( ISNUMBER( L23 ), 0, 1 )</f>
        <v>0</v>
      </c>
      <c r="AC23" s="127"/>
      <c r="AD23" s="127"/>
      <c r="AE23" s="127"/>
      <c r="AF23" s="127"/>
      <c r="AG23" s="127"/>
      <c r="AH23" s="93">
        <f t="shared" ref="AH23:AH26" si="40" xml:space="preserve"> IF( ISNUMBER( R23 ), 0, 1 )</f>
        <v>0</v>
      </c>
      <c r="AI23" s="124"/>
      <c r="AQ23" s="1240" t="str">
        <f t="shared" si="34"/>
        <v>1F.11</v>
      </c>
      <c r="AR23" s="117" t="str">
        <f t="shared" si="35"/>
        <v>Totex out / (under) performance</v>
      </c>
      <c r="AS23" s="797" t="s">
        <v>842</v>
      </c>
      <c r="AT23" s="88" t="s">
        <v>51</v>
      </c>
      <c r="AU23" s="89">
        <v>3</v>
      </c>
      <c r="AV23" s="2379" t="str">
        <f t="shared" ref="AV23:BG27" si="41">$AS23&amp;AV$6</f>
        <v>CR12511NNP</v>
      </c>
      <c r="AW23" s="2380" t="str">
        <f t="shared" si="41"/>
        <v>CR12511ANP</v>
      </c>
      <c r="AX23" s="2380" t="str">
        <f t="shared" si="41"/>
        <v>CR12511AAP</v>
      </c>
      <c r="AY23" s="2381" t="str">
        <f t="shared" si="41"/>
        <v>CR12511NNV</v>
      </c>
      <c r="AZ23" s="2381" t="str">
        <f t="shared" si="41"/>
        <v>CR12511ANV</v>
      </c>
      <c r="BA23" s="2353" t="str">
        <f t="shared" si="41"/>
        <v>CR12511AAV</v>
      </c>
      <c r="BB23" s="2380" t="str">
        <f t="shared" si="41"/>
        <v>CR12511NNPA</v>
      </c>
      <c r="BC23" s="2380" t="str">
        <f t="shared" si="41"/>
        <v>CR12511ANPA</v>
      </c>
      <c r="BD23" s="2380" t="str">
        <f t="shared" si="41"/>
        <v>CR12511AAPA</v>
      </c>
      <c r="BE23" s="2381" t="str">
        <f t="shared" si="41"/>
        <v>CR12511NNVA</v>
      </c>
      <c r="BF23" s="2381" t="str">
        <f t="shared" si="41"/>
        <v>CR12511ANVA</v>
      </c>
      <c r="BG23" s="2354" t="str">
        <f t="shared" si="41"/>
        <v>CR12511AAVA</v>
      </c>
    </row>
    <row r="24" spans="2:59" ht="15" thickBot="1">
      <c r="B24" s="94" t="s">
        <v>843</v>
      </c>
      <c r="C24" s="87" t="s">
        <v>844</v>
      </c>
      <c r="D24" s="87"/>
      <c r="E24" s="95" t="s">
        <v>51</v>
      </c>
      <c r="F24" s="96">
        <v>3</v>
      </c>
      <c r="G24" s="2304">
        <v>0</v>
      </c>
      <c r="H24" s="2304">
        <f t="shared" si="36"/>
        <v>1.2777707234297983E-2</v>
      </c>
      <c r="I24" s="2302">
        <f t="shared" si="36"/>
        <v>2.0233815251001524E-2</v>
      </c>
      <c r="J24" s="245">
        <v>0</v>
      </c>
      <c r="K24" s="243">
        <f t="shared" ref="K24:K26" si="42">+L24</f>
        <v>27.672999999999998</v>
      </c>
      <c r="L24" s="2314">
        <v>27.672999999999998</v>
      </c>
      <c r="M24" s="2304">
        <v>0</v>
      </c>
      <c r="N24" s="2304">
        <f t="shared" si="37"/>
        <v>5.5948069227705352E-3</v>
      </c>
      <c r="O24" s="2302">
        <f t="shared" si="37"/>
        <v>8.792272193252005E-3</v>
      </c>
      <c r="P24" s="243">
        <v>0</v>
      </c>
      <c r="Q24" s="243">
        <f t="shared" si="38"/>
        <v>11.757</v>
      </c>
      <c r="R24" s="2981">
        <v>11.757</v>
      </c>
      <c r="T24" s="1370">
        <f xml:space="preserve"> IF( SUM( V24:AI24 ) = 0, 0, $W$7 )</f>
        <v>0</v>
      </c>
      <c r="V24" s="119"/>
      <c r="W24" s="127"/>
      <c r="X24" s="127"/>
      <c r="Y24" s="127"/>
      <c r="Z24" s="127"/>
      <c r="AA24" s="127"/>
      <c r="AB24" s="93">
        <f t="shared" si="39"/>
        <v>0</v>
      </c>
      <c r="AC24" s="127"/>
      <c r="AD24" s="127"/>
      <c r="AE24" s="127"/>
      <c r="AF24" s="127"/>
      <c r="AG24" s="127"/>
      <c r="AH24" s="93">
        <f t="shared" si="40"/>
        <v>0</v>
      </c>
      <c r="AI24" s="119"/>
      <c r="AQ24" s="94" t="str">
        <f t="shared" si="34"/>
        <v>1F.12</v>
      </c>
      <c r="AR24" s="87" t="str">
        <f t="shared" si="35"/>
        <v>ODI out / (under) performance</v>
      </c>
      <c r="AS24" s="87" t="s">
        <v>845</v>
      </c>
      <c r="AT24" s="95" t="s">
        <v>51</v>
      </c>
      <c r="AU24" s="96">
        <v>3</v>
      </c>
      <c r="AV24" s="2382" t="str">
        <f t="shared" si="41"/>
        <v>CR12512NNP</v>
      </c>
      <c r="AW24" s="2383" t="str">
        <f t="shared" si="41"/>
        <v>CR12512ANP</v>
      </c>
      <c r="AX24" s="2383" t="str">
        <f t="shared" si="41"/>
        <v>CR12512AAP</v>
      </c>
      <c r="AY24" s="2107" t="str">
        <f t="shared" si="41"/>
        <v>CR12512NNV</v>
      </c>
      <c r="AZ24" s="2107" t="str">
        <f t="shared" si="41"/>
        <v>CR12512ANV</v>
      </c>
      <c r="BA24" s="2355" t="str">
        <f t="shared" si="41"/>
        <v>CR12512AAV</v>
      </c>
      <c r="BB24" s="2383" t="str">
        <f t="shared" si="41"/>
        <v>CR12512NNPA</v>
      </c>
      <c r="BC24" s="2383" t="str">
        <f t="shared" si="41"/>
        <v>CR12512ANPA</v>
      </c>
      <c r="BD24" s="2383" t="str">
        <f t="shared" si="41"/>
        <v>CR12512AAPA</v>
      </c>
      <c r="BE24" s="2107" t="str">
        <f t="shared" si="41"/>
        <v>CR12512NNVA</v>
      </c>
      <c r="BF24" s="2107" t="str">
        <f t="shared" si="41"/>
        <v>CR12512ANVA</v>
      </c>
      <c r="BG24" s="2356" t="str">
        <f t="shared" si="41"/>
        <v>CR12512AAVA</v>
      </c>
    </row>
    <row r="25" spans="2:59" ht="15" thickBot="1">
      <c r="B25" s="94" t="s">
        <v>846</v>
      </c>
      <c r="C25" s="87" t="s">
        <v>847</v>
      </c>
      <c r="D25" s="87"/>
      <c r="E25" s="95" t="s">
        <v>51</v>
      </c>
      <c r="F25" s="96">
        <v>3</v>
      </c>
      <c r="G25" s="2304">
        <v>0</v>
      </c>
      <c r="H25" s="2304">
        <f t="shared" si="36"/>
        <v>-8.7698114949959025E-3</v>
      </c>
      <c r="I25" s="2302">
        <f t="shared" si="36"/>
        <v>-1.3887213278729157E-2</v>
      </c>
      <c r="J25" s="245">
        <v>0</v>
      </c>
      <c r="K25" s="243">
        <f t="shared" si="42"/>
        <v>-18.992999999999999</v>
      </c>
      <c r="L25" s="2314">
        <v>-18.992999999999999</v>
      </c>
      <c r="M25" s="2304">
        <v>0</v>
      </c>
      <c r="N25" s="2304">
        <f t="shared" si="37"/>
        <v>-4.793917235688558E-3</v>
      </c>
      <c r="O25" s="2302">
        <f t="shared" si="37"/>
        <v>-7.5336693097576499E-3</v>
      </c>
      <c r="P25" s="243">
        <v>0</v>
      </c>
      <c r="Q25" s="243">
        <f t="shared" si="38"/>
        <v>-10.074</v>
      </c>
      <c r="R25" s="2314">
        <v>-10.074</v>
      </c>
      <c r="T25" s="1370">
        <f xml:space="preserve"> IF( SUM( V25:AI25 ) = 0, 0, $W$7 )</f>
        <v>0</v>
      </c>
      <c r="V25" s="119"/>
      <c r="W25" s="127"/>
      <c r="X25" s="127"/>
      <c r="Y25" s="127"/>
      <c r="Z25" s="127"/>
      <c r="AA25" s="127"/>
      <c r="AB25" s="93">
        <f t="shared" si="39"/>
        <v>0</v>
      </c>
      <c r="AC25" s="127"/>
      <c r="AD25" s="127"/>
      <c r="AE25" s="127"/>
      <c r="AF25" s="127"/>
      <c r="AG25" s="127"/>
      <c r="AH25" s="93">
        <f t="shared" si="40"/>
        <v>0</v>
      </c>
      <c r="AI25" s="119"/>
      <c r="AQ25" s="94" t="str">
        <f t="shared" si="34"/>
        <v>1F.13</v>
      </c>
      <c r="AR25" s="87" t="str">
        <f t="shared" si="35"/>
        <v>Retail out / (under) performance</v>
      </c>
      <c r="AS25" s="171" t="s">
        <v>848</v>
      </c>
      <c r="AT25" s="95" t="s">
        <v>51</v>
      </c>
      <c r="AU25" s="96">
        <v>3</v>
      </c>
      <c r="AV25" s="2382" t="str">
        <f t="shared" si="41"/>
        <v>CR12513NNP</v>
      </c>
      <c r="AW25" s="2383" t="str">
        <f t="shared" si="41"/>
        <v>CR12513ANP</v>
      </c>
      <c r="AX25" s="2383" t="str">
        <f t="shared" si="41"/>
        <v>CR12513AAP</v>
      </c>
      <c r="AY25" s="2107" t="str">
        <f t="shared" si="41"/>
        <v>CR12513NNV</v>
      </c>
      <c r="AZ25" s="2107" t="str">
        <f t="shared" si="41"/>
        <v>CR12513ANV</v>
      </c>
      <c r="BA25" s="2355" t="str">
        <f t="shared" si="41"/>
        <v>CR12513AAV</v>
      </c>
      <c r="BB25" s="2383" t="str">
        <f t="shared" si="41"/>
        <v>CR12513NNPA</v>
      </c>
      <c r="BC25" s="2383" t="str">
        <f t="shared" si="41"/>
        <v>CR12513ANPA</v>
      </c>
      <c r="BD25" s="2383" t="str">
        <f t="shared" si="41"/>
        <v>CR12513AAPA</v>
      </c>
      <c r="BE25" s="2107" t="str">
        <f t="shared" si="41"/>
        <v>CR12513NNVA</v>
      </c>
      <c r="BF25" s="2107" t="str">
        <f t="shared" si="41"/>
        <v>CR12513ANVA</v>
      </c>
      <c r="BG25" s="2356" t="str">
        <f t="shared" si="41"/>
        <v>CR12513AAVA</v>
      </c>
    </row>
    <row r="26" spans="2:59" ht="15" thickBot="1">
      <c r="B26" s="94" t="s">
        <v>849</v>
      </c>
      <c r="C26" s="87" t="s">
        <v>850</v>
      </c>
      <c r="D26" s="87"/>
      <c r="E26" s="95" t="s">
        <v>51</v>
      </c>
      <c r="F26" s="96">
        <v>3</v>
      </c>
      <c r="G26" s="2304">
        <v>0</v>
      </c>
      <c r="H26" s="2304">
        <f t="shared" si="36"/>
        <v>1.569913077606806E-3</v>
      </c>
      <c r="I26" s="2302">
        <f t="shared" si="36"/>
        <v>2.4859961642541535E-3</v>
      </c>
      <c r="J26" s="245">
        <v>0</v>
      </c>
      <c r="K26" s="243">
        <f t="shared" si="42"/>
        <v>3.4</v>
      </c>
      <c r="L26" s="2314">
        <v>3.4</v>
      </c>
      <c r="M26" s="2304">
        <v>0</v>
      </c>
      <c r="N26" s="2304">
        <f t="shared" si="37"/>
        <v>3.2359179276039506E-4</v>
      </c>
      <c r="O26" s="2302">
        <f t="shared" si="37"/>
        <v>5.0852641757347659E-4</v>
      </c>
      <c r="P26" s="243">
        <v>0</v>
      </c>
      <c r="Q26" s="243">
        <f t="shared" si="38"/>
        <v>0.68</v>
      </c>
      <c r="R26" s="2981">
        <v>0.68</v>
      </c>
      <c r="T26" s="1370">
        <f xml:space="preserve"> IF( SUM( V26:AI26 ) = 0, 0, $W$7 )</f>
        <v>0</v>
      </c>
      <c r="V26" s="119"/>
      <c r="W26" s="127"/>
      <c r="X26" s="127"/>
      <c r="Y26" s="127"/>
      <c r="Z26" s="127"/>
      <c r="AA26" s="127"/>
      <c r="AB26" s="93">
        <f t="shared" si="39"/>
        <v>0</v>
      </c>
      <c r="AC26" s="127"/>
      <c r="AD26" s="127"/>
      <c r="AE26" s="127"/>
      <c r="AF26" s="127"/>
      <c r="AG26" s="127"/>
      <c r="AH26" s="93">
        <f t="shared" si="40"/>
        <v>0</v>
      </c>
      <c r="AI26" s="119"/>
      <c r="AQ26" s="94" t="str">
        <f t="shared" si="34"/>
        <v>1F.14</v>
      </c>
      <c r="AR26" s="87" t="str">
        <f t="shared" si="35"/>
        <v>Other exceptional items</v>
      </c>
      <c r="AS26" s="117" t="s">
        <v>851</v>
      </c>
      <c r="AT26" s="95" t="s">
        <v>51</v>
      </c>
      <c r="AU26" s="96">
        <v>3</v>
      </c>
      <c r="AV26" s="2382" t="str">
        <f t="shared" si="41"/>
        <v>CR12523NNP</v>
      </c>
      <c r="AW26" s="2383" t="str">
        <f t="shared" si="41"/>
        <v>CR12523ANP</v>
      </c>
      <c r="AX26" s="2383" t="str">
        <f t="shared" si="41"/>
        <v>CR12523AAP</v>
      </c>
      <c r="AY26" s="2107" t="str">
        <f t="shared" si="41"/>
        <v>CR12523NNV</v>
      </c>
      <c r="AZ26" s="2107" t="str">
        <f t="shared" si="41"/>
        <v>CR12523ANV</v>
      </c>
      <c r="BA26" s="2355" t="str">
        <f t="shared" si="41"/>
        <v>CR12523AAV</v>
      </c>
      <c r="BB26" s="2383" t="str">
        <f t="shared" si="41"/>
        <v>CR12523NNPA</v>
      </c>
      <c r="BC26" s="2383" t="str">
        <f t="shared" si="41"/>
        <v>CR12523ANPA</v>
      </c>
      <c r="BD26" s="2383" t="str">
        <f t="shared" si="41"/>
        <v>CR12523AAPA</v>
      </c>
      <c r="BE26" s="2107" t="str">
        <f t="shared" si="41"/>
        <v>CR12523NNVA</v>
      </c>
      <c r="BF26" s="2107" t="str">
        <f t="shared" si="41"/>
        <v>CR12523ANVA</v>
      </c>
      <c r="BG26" s="2356" t="str">
        <f t="shared" si="41"/>
        <v>CR12523AAVA</v>
      </c>
    </row>
    <row r="27" spans="2:59" ht="15" thickBot="1">
      <c r="B27" s="170" t="s">
        <v>852</v>
      </c>
      <c r="C27" s="87" t="s">
        <v>853</v>
      </c>
      <c r="D27" s="87"/>
      <c r="E27" s="95" t="s">
        <v>51</v>
      </c>
      <c r="F27" s="96">
        <v>3</v>
      </c>
      <c r="G27" s="2306">
        <f>SUM(G23:G26)</f>
        <v>0</v>
      </c>
      <c r="H27" s="2306">
        <f t="shared" ref="H27:R27" si="43">SUM(H23:H26)</f>
        <v>-2.7117939719955224E-3</v>
      </c>
      <c r="I27" s="2022">
        <f t="shared" si="43"/>
        <v>-4.2941927860778379E-3</v>
      </c>
      <c r="J27" s="739">
        <f t="shared" si="43"/>
        <v>0</v>
      </c>
      <c r="K27" s="769">
        <f t="shared" si="43"/>
        <v>-5.8729999999999993</v>
      </c>
      <c r="L27" s="486">
        <f t="shared" si="43"/>
        <v>-5.8729999999999993</v>
      </c>
      <c r="M27" s="2306">
        <f t="shared" si="43"/>
        <v>0</v>
      </c>
      <c r="N27" s="2306">
        <f t="shared" si="43"/>
        <v>-1.579413470840811E-3</v>
      </c>
      <c r="O27" s="2022">
        <f t="shared" si="43"/>
        <v>-2.4820576175387768E-3</v>
      </c>
      <c r="P27" s="769">
        <f t="shared" si="43"/>
        <v>0</v>
      </c>
      <c r="Q27" s="769">
        <f t="shared" si="43"/>
        <v>-3.3190000000000004</v>
      </c>
      <c r="R27" s="486">
        <f t="shared" si="43"/>
        <v>-3.3190000000000004</v>
      </c>
      <c r="T27" s="1370">
        <f xml:space="preserve"> IF( SUM( V27:AI27 ) = 0, 0, $W$7 )</f>
        <v>0</v>
      </c>
      <c r="V27" s="119"/>
      <c r="AI27" s="119"/>
      <c r="AQ27" s="170" t="str">
        <f t="shared" si="34"/>
        <v>1F.15</v>
      </c>
      <c r="AR27" s="87" t="str">
        <f t="shared" si="35"/>
        <v>Operational performance total</v>
      </c>
      <c r="AS27" s="117" t="s">
        <v>854</v>
      </c>
      <c r="AT27" s="95" t="s">
        <v>51</v>
      </c>
      <c r="AU27" s="96">
        <v>3</v>
      </c>
      <c r="AV27" s="2359" t="str">
        <f t="shared" si="41"/>
        <v>CR12514NNP</v>
      </c>
      <c r="AW27" s="2360" t="str">
        <f t="shared" si="41"/>
        <v>CR12514ANP</v>
      </c>
      <c r="AX27" s="2360" t="str">
        <f t="shared" si="41"/>
        <v>CR12514AAP</v>
      </c>
      <c r="AY27" s="2361" t="str">
        <f t="shared" si="41"/>
        <v>CR12514NNV</v>
      </c>
      <c r="AZ27" s="2361" t="str">
        <f t="shared" si="41"/>
        <v>CR12514ANV</v>
      </c>
      <c r="BA27" s="2361" t="str">
        <f t="shared" si="41"/>
        <v>CR12514AAV</v>
      </c>
      <c r="BB27" s="2360" t="str">
        <f t="shared" si="41"/>
        <v>CR12514NNPA</v>
      </c>
      <c r="BC27" s="2360" t="str">
        <f t="shared" si="41"/>
        <v>CR12514ANPA</v>
      </c>
      <c r="BD27" s="2360" t="str">
        <f t="shared" si="41"/>
        <v>CR12514AAPA</v>
      </c>
      <c r="BE27" s="2361" t="str">
        <f t="shared" si="41"/>
        <v>CR12514NNVA</v>
      </c>
      <c r="BF27" s="2361" t="str">
        <f t="shared" si="41"/>
        <v>CR12514ANVA</v>
      </c>
      <c r="BG27" s="2103" t="str">
        <f t="shared" si="41"/>
        <v>CR12514AAVA</v>
      </c>
    </row>
    <row r="28" spans="2:59" ht="15" thickBot="1">
      <c r="T28" s="126"/>
      <c r="AV28" s="2352"/>
      <c r="AW28" s="2352"/>
      <c r="AX28" s="2352"/>
      <c r="AY28" s="2100"/>
      <c r="AZ28" s="2100"/>
      <c r="BA28" s="2100"/>
      <c r="BB28" s="2352"/>
      <c r="BC28" s="2352"/>
      <c r="BD28" s="2352"/>
      <c r="BE28" s="2100"/>
      <c r="BF28" s="2100"/>
      <c r="BG28" s="2100"/>
    </row>
    <row r="29" spans="2:59" ht="15" thickBot="1">
      <c r="B29" s="131" t="s">
        <v>855</v>
      </c>
      <c r="C29" s="132" t="s">
        <v>856</v>
      </c>
      <c r="D29" s="132"/>
      <c r="E29" s="133" t="s">
        <v>51</v>
      </c>
      <c r="F29" s="134">
        <v>3</v>
      </c>
      <c r="G29" s="2306">
        <f>G20+G27</f>
        <v>6.7299999999999999E-2</v>
      </c>
      <c r="H29" s="2306">
        <f>H20+H27</f>
        <v>7.0267806597553176E-2</v>
      </c>
      <c r="I29" s="2022">
        <f t="shared" ref="I29:L29" si="44">I20+I27</f>
        <v>0.10026942736540706</v>
      </c>
      <c r="J29" s="769">
        <f t="shared" si="44"/>
        <v>145.75329249999999</v>
      </c>
      <c r="K29" s="739">
        <f t="shared" si="44"/>
        <v>132.89058530000003</v>
      </c>
      <c r="L29" s="486">
        <f t="shared" si="44"/>
        <v>137.13458530000003</v>
      </c>
      <c r="M29" s="2306">
        <f>M20+M27</f>
        <v>7.1300000000000002E-2</v>
      </c>
      <c r="N29" s="2306">
        <f>N20+N27</f>
        <v>6.2348105415768337E-2</v>
      </c>
      <c r="O29" s="2022">
        <f t="shared" ref="O29:R29" si="45">O20+O27</f>
        <v>8.063295542840733E-2</v>
      </c>
      <c r="P29" s="769">
        <f t="shared" si="45"/>
        <v>149.83074690000001</v>
      </c>
      <c r="Q29" s="769">
        <f t="shared" si="45"/>
        <v>111.16214610000002</v>
      </c>
      <c r="R29" s="486">
        <f t="shared" si="45"/>
        <v>107.82214610000001</v>
      </c>
      <c r="T29" s="126"/>
      <c r="U29" s="120"/>
      <c r="V29" s="119"/>
      <c r="W29" s="120"/>
      <c r="X29" s="120"/>
      <c r="Y29" s="120"/>
      <c r="Z29" s="120"/>
      <c r="AA29" s="120"/>
      <c r="AB29" s="120"/>
      <c r="AC29" s="120"/>
      <c r="AD29" s="120"/>
      <c r="AE29" s="120"/>
      <c r="AF29" s="120"/>
      <c r="AG29" s="120"/>
      <c r="AH29" s="120"/>
      <c r="AI29" s="119"/>
      <c r="AQ29" s="131" t="str">
        <f t="shared" ref="AQ29:AR29" si="46">+B29</f>
        <v>1F.16</v>
      </c>
      <c r="AR29" s="132" t="str">
        <f t="shared" si="46"/>
        <v>Total earnings</v>
      </c>
      <c r="AS29" s="132" t="s">
        <v>857</v>
      </c>
      <c r="AT29" s="133" t="s">
        <v>51</v>
      </c>
      <c r="AU29" s="134">
        <v>3</v>
      </c>
      <c r="AV29" s="2359" t="str">
        <f t="shared" ref="AV29:BG29" si="47">$AS29&amp;AV$6</f>
        <v>CR12516NNP</v>
      </c>
      <c r="AW29" s="2360" t="str">
        <f t="shared" si="47"/>
        <v>CR12516ANP</v>
      </c>
      <c r="AX29" s="2360" t="str">
        <f t="shared" si="47"/>
        <v>CR12516AAP</v>
      </c>
      <c r="AY29" s="2361" t="str">
        <f t="shared" si="47"/>
        <v>CR12516NNV</v>
      </c>
      <c r="AZ29" s="2361" t="str">
        <f t="shared" si="47"/>
        <v>CR12516ANV</v>
      </c>
      <c r="BA29" s="2361" t="str">
        <f t="shared" si="47"/>
        <v>CR12516AAV</v>
      </c>
      <c r="BB29" s="2360" t="str">
        <f t="shared" si="47"/>
        <v>CR12516NNPA</v>
      </c>
      <c r="BC29" s="2360" t="str">
        <f t="shared" si="47"/>
        <v>CR12516ANPA</v>
      </c>
      <c r="BD29" s="2360" t="str">
        <f t="shared" si="47"/>
        <v>CR12516AAPA</v>
      </c>
      <c r="BE29" s="2361" t="str">
        <f t="shared" si="47"/>
        <v>CR12516NNVA</v>
      </c>
      <c r="BF29" s="2361" t="str">
        <f t="shared" si="47"/>
        <v>CR12516ANVA</v>
      </c>
      <c r="BG29" s="2103" t="str">
        <f t="shared" si="47"/>
        <v>CR12516AAVA</v>
      </c>
    </row>
    <row r="30" spans="2:59" ht="15" thickBot="1">
      <c r="T30" s="126"/>
      <c r="V30" s="119"/>
      <c r="AI30" s="119"/>
      <c r="AV30" s="2352"/>
      <c r="AW30" s="2352"/>
      <c r="AX30" s="2352"/>
      <c r="AY30" s="2100"/>
      <c r="AZ30" s="2100"/>
      <c r="BA30" s="2100"/>
      <c r="BB30" s="2352"/>
      <c r="BC30" s="2352"/>
      <c r="BD30" s="2352"/>
      <c r="BE30" s="2100"/>
      <c r="BF30" s="2100"/>
      <c r="BG30" s="2100"/>
    </row>
    <row r="31" spans="2:59" ht="15" thickBot="1">
      <c r="B31" s="131" t="s">
        <v>858</v>
      </c>
      <c r="C31" s="132" t="s">
        <v>859</v>
      </c>
      <c r="D31" s="132"/>
      <c r="E31" s="133" t="s">
        <v>51</v>
      </c>
      <c r="F31" s="134">
        <v>3</v>
      </c>
      <c r="G31" s="2018">
        <v>2.5899999999999999E-2</v>
      </c>
      <c r="H31" s="2306">
        <f>+G31</f>
        <v>2.5899999999999999E-2</v>
      </c>
      <c r="I31" s="2022">
        <f>+H31</f>
        <v>2.5899999999999999E-2</v>
      </c>
      <c r="J31" s="769">
        <f>+G31*G11</f>
        <v>56.092277499999994</v>
      </c>
      <c r="K31" s="739">
        <f>+H31*H11</f>
        <v>56.092277499999994</v>
      </c>
      <c r="L31" s="486">
        <f>+I31*I11</f>
        <v>35.422419900000001</v>
      </c>
      <c r="M31" s="2018">
        <v>2.58E-2</v>
      </c>
      <c r="N31" s="2306">
        <f>+M31</f>
        <v>2.58E-2</v>
      </c>
      <c r="O31" s="2022">
        <f>+N31</f>
        <v>2.58E-2</v>
      </c>
      <c r="P31" s="769">
        <f>+M31*M11</f>
        <v>54.216455400000001</v>
      </c>
      <c r="Q31" s="769">
        <f>+N31*N11</f>
        <v>54.216455400000001</v>
      </c>
      <c r="R31" s="486">
        <f>+O31*O11</f>
        <v>34.4996826</v>
      </c>
      <c r="T31" s="1370">
        <f xml:space="preserve"> IF( SUM( V31:AI31 ) = 0, 0, $W$7 )</f>
        <v>0</v>
      </c>
      <c r="U31" s="120"/>
      <c r="V31" s="119"/>
      <c r="W31" s="93">
        <f t="shared" ref="W31" si="48" xml:space="preserve"> IF( ISNUMBER( G31 ), 0, 1 )</f>
        <v>0</v>
      </c>
      <c r="X31" s="127"/>
      <c r="Y31" s="127"/>
      <c r="Z31" s="127"/>
      <c r="AA31" s="127"/>
      <c r="AB31" s="127"/>
      <c r="AC31" s="93">
        <f t="shared" ref="AC31" si="49" xml:space="preserve"> IF( ISNUMBER( M31 ), 0, 1 )</f>
        <v>0</v>
      </c>
      <c r="AD31" s="127"/>
      <c r="AE31" s="127"/>
      <c r="AF31" s="127"/>
      <c r="AG31" s="127"/>
      <c r="AH31" s="127"/>
      <c r="AI31" s="119"/>
      <c r="AQ31" s="131" t="str">
        <f t="shared" ref="AQ31:AR31" si="50">+B31</f>
        <v>1F.17</v>
      </c>
      <c r="AR31" s="132" t="str">
        <f t="shared" si="50"/>
        <v>RCV growth from RPI inflation</v>
      </c>
      <c r="AS31" s="132" t="s">
        <v>860</v>
      </c>
      <c r="AT31" s="133" t="s">
        <v>51</v>
      </c>
      <c r="AU31" s="134">
        <v>3</v>
      </c>
      <c r="AV31" s="2362" t="str">
        <f t="shared" ref="AV31:BG37" si="51">$AS31&amp;AV$6</f>
        <v>CR12517NNP</v>
      </c>
      <c r="AW31" s="2360" t="str">
        <f t="shared" si="51"/>
        <v>CR12517ANP</v>
      </c>
      <c r="AX31" s="2360" t="str">
        <f t="shared" si="51"/>
        <v>CR12517AAP</v>
      </c>
      <c r="AY31" s="2361" t="str">
        <f t="shared" si="51"/>
        <v>CR12517NNV</v>
      </c>
      <c r="AZ31" s="2361" t="str">
        <f t="shared" si="51"/>
        <v>CR12517ANV</v>
      </c>
      <c r="BA31" s="2361" t="str">
        <f t="shared" si="51"/>
        <v>CR12517AAV</v>
      </c>
      <c r="BB31" s="2363" t="str">
        <f t="shared" si="51"/>
        <v>CR12517NNPA</v>
      </c>
      <c r="BC31" s="2360" t="str">
        <f t="shared" si="51"/>
        <v>CR12517ANPA</v>
      </c>
      <c r="BD31" s="2360" t="str">
        <f t="shared" si="51"/>
        <v>CR12517AAPA</v>
      </c>
      <c r="BE31" s="2361" t="str">
        <f t="shared" si="51"/>
        <v>CR12517NNVA</v>
      </c>
      <c r="BF31" s="2361" t="str">
        <f t="shared" si="51"/>
        <v>CR12517ANVA</v>
      </c>
      <c r="BG31" s="2103" t="str">
        <f t="shared" si="51"/>
        <v>CR12517AAVA</v>
      </c>
    </row>
    <row r="32" spans="2:59" ht="15" thickBot="1">
      <c r="T32" s="126"/>
      <c r="V32" s="119"/>
      <c r="AI32" s="119"/>
      <c r="AV32" s="2352"/>
      <c r="AW32" s="2352"/>
      <c r="AX32" s="2352"/>
      <c r="AY32" s="2100"/>
      <c r="AZ32" s="2100"/>
      <c r="BA32" s="2100"/>
      <c r="BB32" s="2352"/>
      <c r="BC32" s="2352"/>
      <c r="BD32" s="2352"/>
      <c r="BE32" s="2100"/>
      <c r="BF32" s="2100"/>
      <c r="BG32" s="2100"/>
    </row>
    <row r="33" spans="2:59" ht="15" thickBot="1">
      <c r="B33" s="131" t="s">
        <v>861</v>
      </c>
      <c r="C33" s="132" t="s">
        <v>862</v>
      </c>
      <c r="D33" s="132"/>
      <c r="E33" s="133" t="s">
        <v>51</v>
      </c>
      <c r="F33" s="134">
        <v>3</v>
      </c>
      <c r="G33" s="2306">
        <f>G29+G31</f>
        <v>9.3200000000000005E-2</v>
      </c>
      <c r="H33" s="2306">
        <f>+H29+H31</f>
        <v>9.6167806597553168E-2</v>
      </c>
      <c r="I33" s="2022">
        <f t="shared" ref="I33:L33" si="52">+I29+I31</f>
        <v>0.12616942736540707</v>
      </c>
      <c r="J33" s="769">
        <f t="shared" si="52"/>
        <v>201.84556999999998</v>
      </c>
      <c r="K33" s="739">
        <f t="shared" si="52"/>
        <v>188.98286280000002</v>
      </c>
      <c r="L33" s="486">
        <f t="shared" si="52"/>
        <v>172.55700520000002</v>
      </c>
      <c r="M33" s="2306">
        <f>M29+M31</f>
        <v>9.7100000000000006E-2</v>
      </c>
      <c r="N33" s="2306">
        <f>+N29+N31</f>
        <v>8.8148105415768341E-2</v>
      </c>
      <c r="O33" s="2022">
        <f t="shared" ref="O33:R33" si="53">+O29+O31</f>
        <v>0.10643295542840733</v>
      </c>
      <c r="P33" s="769">
        <f t="shared" si="53"/>
        <v>204.04720230000001</v>
      </c>
      <c r="Q33" s="769">
        <f t="shared" si="53"/>
        <v>165.3786015</v>
      </c>
      <c r="R33" s="486">
        <f t="shared" si="53"/>
        <v>142.32182870000003</v>
      </c>
      <c r="T33" s="126"/>
      <c r="U33" s="120"/>
      <c r="V33" s="119"/>
      <c r="W33" s="120"/>
      <c r="X33" s="120"/>
      <c r="Y33" s="120"/>
      <c r="Z33" s="120"/>
      <c r="AA33" s="120"/>
      <c r="AB33" s="120"/>
      <c r="AC33" s="120"/>
      <c r="AD33" s="120"/>
      <c r="AE33" s="120"/>
      <c r="AF33" s="120"/>
      <c r="AG33" s="120"/>
      <c r="AH33" s="120"/>
      <c r="AI33" s="119"/>
      <c r="AQ33" s="131" t="str">
        <f t="shared" ref="AQ33:AR33" si="54">+B33</f>
        <v>1F.18</v>
      </c>
      <c r="AR33" s="132" t="str">
        <f t="shared" si="54"/>
        <v>Total shareholder return</v>
      </c>
      <c r="AS33" s="132" t="s">
        <v>863</v>
      </c>
      <c r="AT33" s="133" t="s">
        <v>51</v>
      </c>
      <c r="AU33" s="134">
        <v>3</v>
      </c>
      <c r="AV33" s="2359" t="str">
        <f t="shared" si="51"/>
        <v>CR12518NNP</v>
      </c>
      <c r="AW33" s="2360" t="str">
        <f t="shared" si="51"/>
        <v>CR12518ANP</v>
      </c>
      <c r="AX33" s="2360" t="str">
        <f t="shared" si="51"/>
        <v>CR12518AAP</v>
      </c>
      <c r="AY33" s="2361" t="str">
        <f t="shared" si="51"/>
        <v>CR12518NNV</v>
      </c>
      <c r="AZ33" s="2361" t="str">
        <f t="shared" si="51"/>
        <v>CR12518ANV</v>
      </c>
      <c r="BA33" s="2361" t="str">
        <f t="shared" si="51"/>
        <v>CR12518AAV</v>
      </c>
      <c r="BB33" s="2360" t="str">
        <f t="shared" si="51"/>
        <v>CR12518NNPA</v>
      </c>
      <c r="BC33" s="2360" t="str">
        <f t="shared" si="51"/>
        <v>CR12518ANPA</v>
      </c>
      <c r="BD33" s="2360" t="str">
        <f t="shared" si="51"/>
        <v>CR12518AAPA</v>
      </c>
      <c r="BE33" s="2361" t="str">
        <f t="shared" si="51"/>
        <v>CR12518NNVA</v>
      </c>
      <c r="BF33" s="2361" t="str">
        <f t="shared" si="51"/>
        <v>CR12518ANVA</v>
      </c>
      <c r="BG33" s="2103" t="str">
        <f t="shared" si="51"/>
        <v>CR12518AAVA</v>
      </c>
    </row>
    <row r="34" spans="2:59" ht="15" thickBot="1">
      <c r="T34" s="126"/>
      <c r="V34" s="119"/>
      <c r="AI34" s="119"/>
      <c r="AV34" s="2352"/>
      <c r="AW34" s="2352"/>
      <c r="AX34" s="2352"/>
      <c r="AY34" s="2100"/>
      <c r="AZ34" s="2100"/>
      <c r="BA34" s="2100"/>
      <c r="BB34" s="2352"/>
      <c r="BC34" s="2352"/>
      <c r="BD34" s="2352"/>
      <c r="BE34" s="2100"/>
      <c r="BF34" s="2100"/>
      <c r="BG34" s="2100"/>
    </row>
    <row r="35" spans="2:59" ht="15" thickBot="1">
      <c r="B35" s="131" t="s">
        <v>864</v>
      </c>
      <c r="C35" s="132" t="s">
        <v>865</v>
      </c>
      <c r="D35" s="132"/>
      <c r="E35" s="133" t="s">
        <v>51</v>
      </c>
      <c r="F35" s="134">
        <v>3</v>
      </c>
      <c r="G35" s="2308">
        <f>G42</f>
        <v>0.04</v>
      </c>
      <c r="H35" s="2308">
        <f>H42</f>
        <v>2.4192822265061358E-2</v>
      </c>
      <c r="I35" s="2023">
        <f t="shared" ref="I35:L35" si="55">I42</f>
        <v>3.8309932066498929E-2</v>
      </c>
      <c r="J35" s="2296">
        <f t="shared" si="55"/>
        <v>86.629000000000005</v>
      </c>
      <c r="K35" s="2017">
        <f t="shared" si="55"/>
        <v>52.395000000000003</v>
      </c>
      <c r="L35" s="2298">
        <f t="shared" si="55"/>
        <v>52.395000000000003</v>
      </c>
      <c r="M35" s="2308">
        <f>M42</f>
        <v>0.04</v>
      </c>
      <c r="N35" s="2308">
        <f>N42</f>
        <v>1.8041670057242436E-2</v>
      </c>
      <c r="O35" s="2023">
        <f t="shared" ref="O35:R35" si="56">O42</f>
        <v>2.8352591278622365E-2</v>
      </c>
      <c r="P35" s="2296">
        <f t="shared" si="56"/>
        <v>84.056520000000006</v>
      </c>
      <c r="Q35" s="2296">
        <f t="shared" si="56"/>
        <v>37.912999999999997</v>
      </c>
      <c r="R35" s="2298">
        <f t="shared" si="56"/>
        <v>37.912999999999997</v>
      </c>
      <c r="T35" s="126"/>
      <c r="U35" s="120"/>
      <c r="V35" s="119"/>
      <c r="W35" s="120"/>
      <c r="X35" s="120"/>
      <c r="Y35" s="120"/>
      <c r="Z35" s="120"/>
      <c r="AA35" s="120"/>
      <c r="AB35" s="120"/>
      <c r="AC35" s="120"/>
      <c r="AD35" s="120"/>
      <c r="AE35" s="120"/>
      <c r="AF35" s="120"/>
      <c r="AG35" s="120"/>
      <c r="AH35" s="120"/>
      <c r="AI35" s="119"/>
      <c r="AQ35" s="131" t="str">
        <f t="shared" ref="AQ35:AR35" si="57">+B35</f>
        <v>1F.19</v>
      </c>
      <c r="AR35" s="132" t="str">
        <f t="shared" si="57"/>
        <v>Net dividend</v>
      </c>
      <c r="AS35" s="132" t="str">
        <f>AS42</f>
        <v>CR12522</v>
      </c>
      <c r="AT35" s="133" t="s">
        <v>51</v>
      </c>
      <c r="AU35" s="134">
        <v>3</v>
      </c>
      <c r="AV35" s="2364" t="str">
        <f t="shared" si="51"/>
        <v>CR12522NNP</v>
      </c>
      <c r="AW35" s="2365" t="str">
        <f t="shared" si="51"/>
        <v>CR12522ANP</v>
      </c>
      <c r="AX35" s="2365" t="str">
        <f t="shared" si="51"/>
        <v>CR12522AAP</v>
      </c>
      <c r="AY35" s="2366" t="str">
        <f t="shared" si="51"/>
        <v>CR12522NNV</v>
      </c>
      <c r="AZ35" s="2366" t="str">
        <f t="shared" si="51"/>
        <v>CR12522ANV</v>
      </c>
      <c r="BA35" s="2366" t="str">
        <f t="shared" si="51"/>
        <v>CR12522AAV</v>
      </c>
      <c r="BB35" s="2365" t="str">
        <f t="shared" si="51"/>
        <v>CR12522NNPA</v>
      </c>
      <c r="BC35" s="2365" t="str">
        <f t="shared" si="51"/>
        <v>CR12522ANPA</v>
      </c>
      <c r="BD35" s="2365" t="str">
        <f t="shared" si="51"/>
        <v>CR12522AAPA</v>
      </c>
      <c r="BE35" s="2366" t="str">
        <f t="shared" si="51"/>
        <v>CR12522NNVA</v>
      </c>
      <c r="BF35" s="2366" t="str">
        <f t="shared" si="51"/>
        <v>CR12522ANVA</v>
      </c>
      <c r="BG35" s="2367" t="str">
        <f t="shared" si="51"/>
        <v>CR12522AAVA</v>
      </c>
    </row>
    <row r="36" spans="2:59" ht="15" thickBot="1">
      <c r="T36" s="126"/>
      <c r="V36" s="119"/>
      <c r="AI36" s="119"/>
      <c r="AV36" s="2352"/>
      <c r="AW36" s="2352"/>
      <c r="AX36" s="2352"/>
      <c r="AY36" s="2100"/>
      <c r="AZ36" s="2100"/>
      <c r="BA36" s="2100"/>
      <c r="BB36" s="2352"/>
      <c r="BC36" s="2352"/>
      <c r="BD36" s="2352"/>
      <c r="BE36" s="2100"/>
      <c r="BF36" s="2100"/>
      <c r="BG36" s="2100"/>
    </row>
    <row r="37" spans="2:59" ht="15" thickBot="1">
      <c r="B37" s="131" t="s">
        <v>866</v>
      </c>
      <c r="C37" s="132" t="s">
        <v>867</v>
      </c>
      <c r="D37" s="132"/>
      <c r="E37" s="133" t="s">
        <v>51</v>
      </c>
      <c r="F37" s="134">
        <v>3</v>
      </c>
      <c r="G37" s="2306">
        <f>G33-G35</f>
        <v>5.3200000000000004E-2</v>
      </c>
      <c r="H37" s="2306">
        <f>H33-H35</f>
        <v>7.1974984332491804E-2</v>
      </c>
      <c r="I37" s="2022">
        <f t="shared" ref="I37:L37" si="58">I33-I35</f>
        <v>8.785949529890813E-2</v>
      </c>
      <c r="J37" s="769">
        <f t="shared" si="58"/>
        <v>115.21656999999998</v>
      </c>
      <c r="K37" s="739">
        <f t="shared" si="58"/>
        <v>136.58786280000001</v>
      </c>
      <c r="L37" s="486">
        <f t="shared" si="58"/>
        <v>120.16200520000001</v>
      </c>
      <c r="M37" s="2306">
        <f>M33-M35</f>
        <v>5.7100000000000005E-2</v>
      </c>
      <c r="N37" s="2306">
        <f>N33-N35</f>
        <v>7.0106435358525898E-2</v>
      </c>
      <c r="O37" s="2022">
        <f t="shared" ref="O37:R37" si="59">O33-O35</f>
        <v>7.8080364149784975E-2</v>
      </c>
      <c r="P37" s="769">
        <f t="shared" si="59"/>
        <v>119.9906823</v>
      </c>
      <c r="Q37" s="769">
        <f t="shared" si="59"/>
        <v>127.46560150000001</v>
      </c>
      <c r="R37" s="486">
        <f t="shared" si="59"/>
        <v>104.40882870000003</v>
      </c>
      <c r="T37" s="126"/>
      <c r="U37" s="120"/>
      <c r="V37" s="119"/>
      <c r="W37" s="120"/>
      <c r="X37" s="120"/>
      <c r="Y37" s="120"/>
      <c r="Z37" s="120"/>
      <c r="AA37" s="120"/>
      <c r="AB37" s="120"/>
      <c r="AC37" s="120"/>
      <c r="AD37" s="120"/>
      <c r="AE37" s="120"/>
      <c r="AF37" s="120"/>
      <c r="AG37" s="120"/>
      <c r="AH37" s="120"/>
      <c r="AI37" s="119"/>
      <c r="AQ37" s="131" t="str">
        <f t="shared" ref="AQ37:AR37" si="60">+B37</f>
        <v>1F.20</v>
      </c>
      <c r="AR37" s="132" t="str">
        <f t="shared" si="60"/>
        <v>Retained value</v>
      </c>
      <c r="AS37" s="132" t="s">
        <v>868</v>
      </c>
      <c r="AT37" s="133" t="s">
        <v>51</v>
      </c>
      <c r="AU37" s="134">
        <v>3</v>
      </c>
      <c r="AV37" s="2359" t="str">
        <f t="shared" si="51"/>
        <v>CR12519NNP</v>
      </c>
      <c r="AW37" s="2360" t="str">
        <f t="shared" si="51"/>
        <v>CR12519ANP</v>
      </c>
      <c r="AX37" s="2360" t="str">
        <f t="shared" si="51"/>
        <v>CR12519AAP</v>
      </c>
      <c r="AY37" s="2361" t="str">
        <f t="shared" si="51"/>
        <v>CR12519NNV</v>
      </c>
      <c r="AZ37" s="2361" t="str">
        <f t="shared" si="51"/>
        <v>CR12519ANV</v>
      </c>
      <c r="BA37" s="2361" t="str">
        <f t="shared" si="51"/>
        <v>CR12519AAV</v>
      </c>
      <c r="BB37" s="2360" t="str">
        <f t="shared" si="51"/>
        <v>CR12519NNPA</v>
      </c>
      <c r="BC37" s="2360" t="str">
        <f t="shared" si="51"/>
        <v>CR12519ANPA</v>
      </c>
      <c r="BD37" s="2360" t="str">
        <f t="shared" si="51"/>
        <v>CR12519AAPA</v>
      </c>
      <c r="BE37" s="2361" t="str">
        <f t="shared" si="51"/>
        <v>CR12519NNVA</v>
      </c>
      <c r="BF37" s="2361" t="str">
        <f t="shared" si="51"/>
        <v>CR12519ANVA</v>
      </c>
      <c r="BG37" s="2103" t="str">
        <f t="shared" si="51"/>
        <v>CR12519AAVA</v>
      </c>
    </row>
    <row r="38" spans="2:59" ht="15" thickBot="1">
      <c r="T38" s="126"/>
      <c r="V38" s="119"/>
      <c r="AI38" s="119"/>
      <c r="AV38" s="2352"/>
      <c r="AW38" s="2352"/>
      <c r="AX38" s="2352"/>
      <c r="AY38" s="2100"/>
      <c r="AZ38" s="2100"/>
      <c r="BA38" s="2100"/>
      <c r="BB38" s="2352"/>
      <c r="BC38" s="2352"/>
      <c r="BD38" s="2352"/>
      <c r="BE38" s="2100"/>
      <c r="BF38" s="2100"/>
      <c r="BG38" s="2100"/>
    </row>
    <row r="39" spans="2:59" ht="15" thickBot="1">
      <c r="B39" s="3036" t="s">
        <v>466</v>
      </c>
      <c r="C39" s="83" t="s">
        <v>869</v>
      </c>
      <c r="D39" s="1505"/>
      <c r="T39" s="126"/>
      <c r="AQ39" s="3036" t="str">
        <f t="shared" ref="AQ39:AQ42" si="61">+B39</f>
        <v>E</v>
      </c>
      <c r="AR39" s="83" t="str">
        <f t="shared" ref="AR39:AR42" si="62">+C39</f>
        <v>Dividends reconciliation</v>
      </c>
      <c r="AS39" s="1505"/>
      <c r="AV39" s="2352"/>
      <c r="AW39" s="2352"/>
      <c r="AX39" s="2352"/>
      <c r="AY39" s="2100"/>
      <c r="AZ39" s="2100"/>
      <c r="BA39" s="2100"/>
      <c r="BB39" s="2352"/>
      <c r="BC39" s="2352"/>
      <c r="BD39" s="2352"/>
      <c r="BE39" s="2100"/>
      <c r="BF39" s="2100"/>
      <c r="BG39" s="2100"/>
    </row>
    <row r="40" spans="2:59" ht="15" thickBot="1">
      <c r="B40" s="86" t="s">
        <v>870</v>
      </c>
      <c r="C40" s="117" t="s">
        <v>871</v>
      </c>
      <c r="D40" s="117"/>
      <c r="E40" s="88" t="s">
        <v>51</v>
      </c>
      <c r="F40" s="215">
        <v>3</v>
      </c>
      <c r="G40" s="2317">
        <v>0.04</v>
      </c>
      <c r="H40" s="2307">
        <f t="shared" ref="H40:I41" si="63">IFERROR(+K40/H$11,0)</f>
        <v>4.2769973103695069E-2</v>
      </c>
      <c r="I40" s="2301">
        <f t="shared" si="63"/>
        <v>6.7727309618392267E-2</v>
      </c>
      <c r="J40" s="632">
        <f>+G35*G11</f>
        <v>86.629000000000005</v>
      </c>
      <c r="K40" s="188">
        <f>+L40</f>
        <v>92.628</v>
      </c>
      <c r="L40" s="2314">
        <v>92.628</v>
      </c>
      <c r="M40" s="2307">
        <v>0.04</v>
      </c>
      <c r="N40" s="2307">
        <f t="shared" ref="N40:O41" si="64">IFERROR(+Q40/N$11,0)</f>
        <v>4.3254229416111921E-2</v>
      </c>
      <c r="O40" s="2301">
        <f t="shared" si="64"/>
        <v>6.7974277537266384E-2</v>
      </c>
      <c r="P40" s="632">
        <f>+M35*M11</f>
        <v>84.056520000000006</v>
      </c>
      <c r="Q40" s="632">
        <f>+R40</f>
        <v>90.894999999999996</v>
      </c>
      <c r="R40" s="2314">
        <v>90.894999999999996</v>
      </c>
      <c r="T40" s="1370">
        <f t="shared" ref="T40:T41" si="65" xml:space="preserve"> IF( SUM( V40:AI40 ) = 0, 0, $W$7 )</f>
        <v>0</v>
      </c>
      <c r="W40" s="127"/>
      <c r="X40" s="127"/>
      <c r="Y40" s="127"/>
      <c r="Z40" s="127"/>
      <c r="AA40" s="127"/>
      <c r="AB40" s="93">
        <f t="shared" ref="AB40:AB41" si="66" xml:space="preserve"> IF( ISNUMBER( L40 ), 0, 1 )</f>
        <v>0</v>
      </c>
      <c r="AC40" s="127"/>
      <c r="AD40" s="127"/>
      <c r="AE40" s="127"/>
      <c r="AF40" s="127"/>
      <c r="AG40" s="127"/>
      <c r="AH40" s="93">
        <f t="shared" ref="AH40:AH41" si="67" xml:space="preserve"> IF( ISNUMBER( R40 ), 0, 1 )</f>
        <v>0</v>
      </c>
      <c r="AQ40" s="86" t="str">
        <f t="shared" si="61"/>
        <v>1F.21</v>
      </c>
      <c r="AR40" s="117" t="str">
        <f t="shared" si="62"/>
        <v>Gross dividend</v>
      </c>
      <c r="AS40" s="117" t="s">
        <v>872</v>
      </c>
      <c r="AT40" s="88" t="s">
        <v>51</v>
      </c>
      <c r="AU40" s="215">
        <v>3</v>
      </c>
      <c r="AV40" s="2385" t="str">
        <f t="shared" ref="AV40:BG42" si="68">$AS40&amp;AV$6</f>
        <v>CR12520NNP</v>
      </c>
      <c r="AW40" s="2380" t="str">
        <f t="shared" si="68"/>
        <v>CR12520ANP</v>
      </c>
      <c r="AX40" s="2380" t="str">
        <f t="shared" si="68"/>
        <v>CR12520AAP</v>
      </c>
      <c r="AY40" s="2381" t="str">
        <f t="shared" si="68"/>
        <v>CR12520NNV</v>
      </c>
      <c r="AZ40" s="2381" t="str">
        <f t="shared" si="68"/>
        <v>CR12520ANV</v>
      </c>
      <c r="BA40" s="2353" t="str">
        <f t="shared" si="68"/>
        <v>CR12520AAV</v>
      </c>
      <c r="BB40" s="2380" t="str">
        <f t="shared" si="68"/>
        <v>CR12520NNPA</v>
      </c>
      <c r="BC40" s="2380" t="str">
        <f t="shared" si="68"/>
        <v>CR12520ANPA</v>
      </c>
      <c r="BD40" s="2380" t="str">
        <f t="shared" si="68"/>
        <v>CR12520AAPA</v>
      </c>
      <c r="BE40" s="2381" t="str">
        <f t="shared" si="68"/>
        <v>CR12520NNVA</v>
      </c>
      <c r="BF40" s="2381" t="str">
        <f t="shared" si="68"/>
        <v>CR12520ANVA</v>
      </c>
      <c r="BG40" s="2354" t="str">
        <f t="shared" si="68"/>
        <v>CR12520AAVA</v>
      </c>
    </row>
    <row r="41" spans="2:59" ht="15" thickBot="1">
      <c r="B41" s="170" t="s">
        <v>873</v>
      </c>
      <c r="C41" s="171" t="s">
        <v>874</v>
      </c>
      <c r="D41" s="171"/>
      <c r="E41" s="167" t="s">
        <v>51</v>
      </c>
      <c r="F41" s="396">
        <v>3</v>
      </c>
      <c r="G41" s="2318">
        <v>0</v>
      </c>
      <c r="H41" s="2319">
        <f t="shared" si="63"/>
        <v>1.8577150838633712E-2</v>
      </c>
      <c r="I41" s="2320">
        <f t="shared" si="63"/>
        <v>2.9417377551893338E-2</v>
      </c>
      <c r="J41" s="2311">
        <v>0</v>
      </c>
      <c r="K41" s="2293">
        <f>+L41</f>
        <v>40.232999999999997</v>
      </c>
      <c r="L41" s="2314">
        <v>40.232999999999997</v>
      </c>
      <c r="M41" s="2319">
        <v>0</v>
      </c>
      <c r="N41" s="2304">
        <f t="shared" si="64"/>
        <v>2.5212559358869485E-2</v>
      </c>
      <c r="O41" s="2302">
        <f t="shared" si="64"/>
        <v>3.9621686258644019E-2</v>
      </c>
      <c r="P41" s="2311">
        <v>0</v>
      </c>
      <c r="Q41" s="2311">
        <f>+R41</f>
        <v>52.981999999999999</v>
      </c>
      <c r="R41" s="2314">
        <v>52.981999999999999</v>
      </c>
      <c r="T41" s="1370">
        <f t="shared" si="65"/>
        <v>0</v>
      </c>
      <c r="W41" s="127"/>
      <c r="X41" s="127"/>
      <c r="Y41" s="127"/>
      <c r="Z41" s="127"/>
      <c r="AA41" s="127"/>
      <c r="AB41" s="93">
        <f t="shared" si="66"/>
        <v>0</v>
      </c>
      <c r="AC41" s="127"/>
      <c r="AD41" s="127"/>
      <c r="AE41" s="127"/>
      <c r="AF41" s="127"/>
      <c r="AG41" s="127"/>
      <c r="AH41" s="93">
        <f t="shared" si="67"/>
        <v>0</v>
      </c>
      <c r="AQ41" s="170" t="str">
        <f t="shared" si="61"/>
        <v>1F.22</v>
      </c>
      <c r="AR41" s="171" t="str">
        <f t="shared" si="62"/>
        <v>Interest received on intercompany loans</v>
      </c>
      <c r="AS41" s="171" t="s">
        <v>875</v>
      </c>
      <c r="AT41" s="167" t="s">
        <v>51</v>
      </c>
      <c r="AU41" s="396">
        <v>3</v>
      </c>
      <c r="AV41" s="2386" t="str">
        <f t="shared" si="68"/>
        <v>CR12521NNP</v>
      </c>
      <c r="AW41" s="2387" t="str">
        <f t="shared" si="68"/>
        <v>CR12521ANP</v>
      </c>
      <c r="AX41" s="2387" t="str">
        <f t="shared" si="68"/>
        <v>CR12521AAP</v>
      </c>
      <c r="AY41" s="2388" t="str">
        <f t="shared" si="68"/>
        <v>CR12521NNV</v>
      </c>
      <c r="AZ41" s="2388" t="str">
        <f t="shared" si="68"/>
        <v>CR12521ANV</v>
      </c>
      <c r="BA41" s="2368" t="str">
        <f t="shared" si="68"/>
        <v>CR12521AAV</v>
      </c>
      <c r="BB41" s="2387" t="str">
        <f t="shared" si="68"/>
        <v>CR12521NNPA</v>
      </c>
      <c r="BC41" s="2387" t="str">
        <f t="shared" si="68"/>
        <v>CR12521ANPA</v>
      </c>
      <c r="BD41" s="2387" t="str">
        <f t="shared" si="68"/>
        <v>CR12521AAPA</v>
      </c>
      <c r="BE41" s="2388" t="str">
        <f t="shared" si="68"/>
        <v>CR12521NNVA</v>
      </c>
      <c r="BF41" s="2388" t="str">
        <f t="shared" si="68"/>
        <v>CR12521ANVA</v>
      </c>
      <c r="BG41" s="2369" t="str">
        <f t="shared" si="68"/>
        <v>CR12521AAVA</v>
      </c>
    </row>
    <row r="42" spans="2:59" ht="15" thickBot="1">
      <c r="B42" s="174" t="s">
        <v>876</v>
      </c>
      <c r="C42" s="391" t="s">
        <v>865</v>
      </c>
      <c r="D42" s="391"/>
      <c r="E42" s="175" t="s">
        <v>51</v>
      </c>
      <c r="F42" s="392">
        <v>3</v>
      </c>
      <c r="G42" s="2024">
        <f xml:space="preserve"> G40 - G41</f>
        <v>0.04</v>
      </c>
      <c r="H42" s="2309">
        <f t="shared" ref="H42:L42" si="69" xml:space="preserve"> H40 - H41</f>
        <v>2.4192822265061358E-2</v>
      </c>
      <c r="I42" s="2295">
        <f t="shared" si="69"/>
        <v>3.8309932066498929E-2</v>
      </c>
      <c r="J42" s="2297">
        <f t="shared" si="69"/>
        <v>86.629000000000005</v>
      </c>
      <c r="K42" s="394">
        <f t="shared" si="69"/>
        <v>52.395000000000003</v>
      </c>
      <c r="L42" s="399">
        <f t="shared" si="69"/>
        <v>52.395000000000003</v>
      </c>
      <c r="M42" s="2309">
        <f xml:space="preserve"> M40 - M41</f>
        <v>0.04</v>
      </c>
      <c r="N42" s="2309">
        <f t="shared" ref="N42:R42" si="70" xml:space="preserve"> N40 - N41</f>
        <v>1.8041670057242436E-2</v>
      </c>
      <c r="O42" s="2295">
        <f t="shared" si="70"/>
        <v>2.8352591278622365E-2</v>
      </c>
      <c r="P42" s="2297">
        <f t="shared" si="70"/>
        <v>84.056520000000006</v>
      </c>
      <c r="Q42" s="2297">
        <f t="shared" si="70"/>
        <v>37.912999999999997</v>
      </c>
      <c r="R42" s="399">
        <f t="shared" si="70"/>
        <v>37.912999999999997</v>
      </c>
      <c r="T42" s="126"/>
      <c r="AQ42" s="174" t="str">
        <f t="shared" si="61"/>
        <v>1F.23</v>
      </c>
      <c r="AR42" s="391" t="str">
        <f t="shared" si="62"/>
        <v>Net dividend</v>
      </c>
      <c r="AS42" s="391" t="s">
        <v>877</v>
      </c>
      <c r="AT42" s="175" t="s">
        <v>51</v>
      </c>
      <c r="AU42" s="392">
        <v>3</v>
      </c>
      <c r="AV42" s="2370" t="str">
        <f t="shared" si="68"/>
        <v>CR12522NNP</v>
      </c>
      <c r="AW42" s="2371" t="str">
        <f t="shared" si="68"/>
        <v>CR12522ANP</v>
      </c>
      <c r="AX42" s="2371" t="str">
        <f t="shared" si="68"/>
        <v>CR12522AAP</v>
      </c>
      <c r="AY42" s="2372" t="str">
        <f t="shared" si="68"/>
        <v>CR12522NNV</v>
      </c>
      <c r="AZ42" s="2372" t="str">
        <f t="shared" si="68"/>
        <v>CR12522ANV</v>
      </c>
      <c r="BA42" s="2372" t="str">
        <f t="shared" si="68"/>
        <v>CR12522AAV</v>
      </c>
      <c r="BB42" s="2371" t="str">
        <f t="shared" si="68"/>
        <v>CR12522NNPA</v>
      </c>
      <c r="BC42" s="2371" t="str">
        <f t="shared" si="68"/>
        <v>CR12522ANPA</v>
      </c>
      <c r="BD42" s="2371" t="str">
        <f t="shared" si="68"/>
        <v>CR12522AAPA</v>
      </c>
      <c r="BE42" s="2372" t="str">
        <f t="shared" si="68"/>
        <v>CR12522NNVA</v>
      </c>
      <c r="BF42" s="2372" t="str">
        <f t="shared" si="68"/>
        <v>CR12522ANVA</v>
      </c>
      <c r="BG42" s="2373" t="str">
        <f t="shared" si="68"/>
        <v>CR12522AAVA</v>
      </c>
    </row>
    <row r="43" spans="2:59" s="110" customFormat="1">
      <c r="C43" s="152"/>
      <c r="D43" s="152"/>
      <c r="G43" s="70"/>
      <c r="H43" s="70"/>
      <c r="I43" s="70"/>
      <c r="J43" s="70"/>
      <c r="K43" s="70"/>
      <c r="L43" s="70"/>
      <c r="M43" s="70"/>
      <c r="N43" s="70"/>
      <c r="O43" s="70"/>
      <c r="P43" s="70"/>
      <c r="Q43" s="70"/>
      <c r="R43" s="70"/>
      <c r="S43" s="118"/>
      <c r="T43" s="126"/>
      <c r="U43" s="118"/>
      <c r="V43" s="71"/>
      <c r="W43" s="120"/>
      <c r="X43" s="118"/>
      <c r="Y43" s="280"/>
      <c r="Z43" s="280"/>
      <c r="AA43" s="280"/>
      <c r="AB43" s="280"/>
      <c r="AC43" s="280"/>
      <c r="AD43" s="280"/>
      <c r="AE43" s="280"/>
      <c r="AF43" s="280"/>
      <c r="AG43" s="280"/>
      <c r="AH43" s="280"/>
      <c r="AI43" s="71"/>
      <c r="AR43" s="152"/>
      <c r="AS43" s="152"/>
      <c r="AV43" s="2374"/>
      <c r="AW43" s="2374"/>
      <c r="AX43" s="2374"/>
      <c r="AY43" s="2374"/>
      <c r="AZ43" s="2374"/>
      <c r="BA43" s="2374"/>
      <c r="BB43" s="2374"/>
      <c r="BC43" s="2374"/>
      <c r="BD43" s="2374"/>
      <c r="BE43" s="2374"/>
      <c r="BF43" s="2374"/>
      <c r="BG43" s="2374"/>
    </row>
    <row r="44" spans="2:59" s="163" customFormat="1">
      <c r="B44" s="3077" t="s">
        <v>243</v>
      </c>
      <c r="C44" s="3077"/>
      <c r="D44" s="2988"/>
      <c r="J44" s="126"/>
      <c r="K44" s="126"/>
      <c r="L44" s="126"/>
      <c r="M44" s="126"/>
      <c r="N44" s="126"/>
      <c r="O44" s="126"/>
      <c r="P44" s="126"/>
      <c r="Q44" s="126"/>
      <c r="R44" s="126"/>
      <c r="S44" s="126"/>
      <c r="T44" s="126"/>
      <c r="U44" s="126"/>
      <c r="V44" s="71"/>
      <c r="W44" s="126"/>
      <c r="X44" s="126"/>
      <c r="Y44" s="203"/>
      <c r="Z44" s="203"/>
      <c r="AA44" s="203"/>
      <c r="AB44" s="203"/>
      <c r="AC44" s="203"/>
      <c r="AD44" s="203"/>
      <c r="AE44" s="203"/>
      <c r="AF44" s="203"/>
      <c r="AG44" s="203"/>
      <c r="AH44" s="203"/>
      <c r="AI44" s="71"/>
      <c r="AV44" s="2375"/>
      <c r="AW44" s="2375"/>
      <c r="AX44" s="2375"/>
      <c r="AY44" s="2375"/>
      <c r="AZ44" s="2375"/>
      <c r="BA44" s="2375"/>
      <c r="BB44" s="2375"/>
      <c r="BC44" s="2375"/>
      <c r="BD44" s="2375"/>
      <c r="BE44" s="2375"/>
      <c r="BF44" s="2375"/>
      <c r="BG44" s="2375"/>
    </row>
    <row r="45" spans="2:59" s="163" customFormat="1">
      <c r="B45" s="141"/>
      <c r="C45" s="142"/>
      <c r="D45" s="142"/>
      <c r="J45" s="126"/>
      <c r="K45" s="126"/>
      <c r="L45" s="126"/>
      <c r="M45" s="126"/>
      <c r="N45" s="126"/>
      <c r="O45" s="126"/>
      <c r="P45" s="126"/>
      <c r="Q45" s="126"/>
      <c r="R45" s="126"/>
      <c r="S45" s="126"/>
      <c r="T45" s="126"/>
      <c r="U45" s="126"/>
      <c r="V45" s="71"/>
      <c r="W45" s="126"/>
      <c r="X45" s="126"/>
      <c r="Y45" s="203"/>
      <c r="Z45" s="203"/>
      <c r="AA45" s="203"/>
      <c r="AB45" s="203"/>
      <c r="AC45" s="203"/>
      <c r="AD45" s="203"/>
      <c r="AE45" s="203"/>
      <c r="AF45" s="203"/>
      <c r="AG45" s="203"/>
      <c r="AH45" s="203"/>
      <c r="AI45" s="71"/>
    </row>
    <row r="46" spans="2:59" s="163" customFormat="1">
      <c r="B46" s="1853"/>
      <c r="C46" s="143" t="s">
        <v>190</v>
      </c>
      <c r="D46" s="143"/>
      <c r="J46" s="126"/>
      <c r="K46" s="126"/>
      <c r="L46" s="126"/>
      <c r="M46" s="126"/>
      <c r="N46" s="126"/>
      <c r="O46" s="126"/>
      <c r="P46" s="126"/>
      <c r="Q46" s="126"/>
      <c r="R46" s="126"/>
      <c r="S46" s="126"/>
      <c r="T46" s="126"/>
      <c r="U46" s="126"/>
      <c r="V46" s="71"/>
      <c r="W46" s="126"/>
      <c r="X46" s="126"/>
      <c r="Y46" s="203"/>
      <c r="Z46" s="203"/>
      <c r="AA46" s="203"/>
      <c r="AB46" s="203"/>
      <c r="AC46" s="203"/>
      <c r="AD46" s="203"/>
      <c r="AE46" s="203"/>
      <c r="AF46" s="203"/>
      <c r="AG46" s="203"/>
      <c r="AH46" s="203"/>
      <c r="AI46" s="71"/>
    </row>
    <row r="47" spans="2:59" s="163" customFormat="1">
      <c r="B47" s="141"/>
      <c r="C47" s="142"/>
      <c r="D47" s="142"/>
      <c r="J47" s="126"/>
      <c r="K47" s="126"/>
      <c r="L47" s="126"/>
      <c r="M47" s="126"/>
      <c r="N47" s="126"/>
      <c r="O47" s="126"/>
      <c r="P47" s="126"/>
      <c r="Q47" s="126"/>
      <c r="R47" s="126"/>
      <c r="S47" s="126"/>
      <c r="T47" s="126"/>
      <c r="U47" s="126"/>
      <c r="V47" s="71"/>
      <c r="W47" s="126"/>
      <c r="X47" s="126"/>
      <c r="Y47" s="203"/>
      <c r="Z47" s="203"/>
      <c r="AA47" s="203"/>
      <c r="AB47" s="203"/>
      <c r="AC47" s="203"/>
      <c r="AD47" s="203"/>
      <c r="AE47" s="203"/>
      <c r="AF47" s="203"/>
      <c r="AG47" s="203"/>
      <c r="AH47" s="203"/>
      <c r="AI47" s="71"/>
    </row>
    <row r="48" spans="2:59" s="163" customFormat="1">
      <c r="B48" s="144"/>
      <c r="C48" s="143" t="s">
        <v>878</v>
      </c>
      <c r="D48" s="143"/>
      <c r="J48" s="126"/>
      <c r="K48" s="126"/>
      <c r="L48" s="126"/>
      <c r="M48" s="126"/>
      <c r="N48" s="126"/>
      <c r="O48" s="126"/>
      <c r="P48" s="126"/>
      <c r="Q48" s="126"/>
      <c r="R48" s="126"/>
      <c r="S48" s="126"/>
      <c r="T48" s="126"/>
      <c r="U48" s="126"/>
      <c r="V48" s="71"/>
      <c r="W48" s="126"/>
      <c r="X48" s="126"/>
      <c r="Y48" s="203"/>
      <c r="Z48" s="203"/>
      <c r="AA48" s="203"/>
      <c r="AB48" s="203"/>
      <c r="AC48" s="203"/>
      <c r="AD48" s="203"/>
      <c r="AE48" s="203"/>
      <c r="AF48" s="203"/>
      <c r="AG48" s="203"/>
      <c r="AH48" s="203"/>
      <c r="AI48" s="71"/>
    </row>
    <row r="49" spans="1:35" s="178" customFormat="1">
      <c r="C49" s="179"/>
      <c r="D49" s="179"/>
      <c r="J49" s="130"/>
      <c r="K49" s="130"/>
      <c r="L49" s="130"/>
      <c r="M49" s="130"/>
      <c r="N49" s="130"/>
      <c r="O49" s="130"/>
      <c r="P49" s="130"/>
      <c r="Q49" s="130"/>
      <c r="R49" s="130"/>
      <c r="S49" s="130"/>
      <c r="T49" s="126"/>
      <c r="U49" s="126"/>
      <c r="V49" s="71"/>
      <c r="W49" s="126"/>
      <c r="X49" s="126"/>
      <c r="Y49" s="302"/>
      <c r="Z49" s="302"/>
      <c r="AA49" s="302"/>
      <c r="AB49" s="302"/>
      <c r="AC49" s="302"/>
      <c r="AD49" s="302"/>
      <c r="AE49" s="302"/>
      <c r="AF49" s="302"/>
      <c r="AG49" s="302"/>
      <c r="AH49" s="302"/>
      <c r="AI49" s="71"/>
    </row>
    <row r="50" spans="1:35" s="178" customFormat="1">
      <c r="B50" s="2324"/>
      <c r="C50" s="179" t="s">
        <v>244</v>
      </c>
      <c r="D50" s="179"/>
      <c r="J50" s="130"/>
      <c r="K50" s="130"/>
      <c r="L50" s="130"/>
      <c r="M50" s="130"/>
      <c r="N50" s="130"/>
      <c r="O50" s="130"/>
      <c r="P50" s="130"/>
      <c r="Q50" s="130"/>
      <c r="R50" s="130"/>
      <c r="S50" s="130"/>
      <c r="T50" s="126"/>
      <c r="U50" s="126"/>
      <c r="V50" s="71"/>
      <c r="W50" s="126"/>
      <c r="X50" s="126"/>
      <c r="Y50" s="302"/>
      <c r="Z50" s="302"/>
      <c r="AA50" s="302"/>
      <c r="AB50" s="302"/>
      <c r="AC50" s="302"/>
      <c r="AD50" s="302"/>
      <c r="AE50" s="302"/>
      <c r="AF50" s="302"/>
      <c r="AG50" s="302"/>
      <c r="AH50" s="302"/>
      <c r="AI50" s="71"/>
    </row>
    <row r="51" spans="1:35" s="178" customFormat="1" ht="15" thickBot="1">
      <c r="C51" s="179"/>
      <c r="D51" s="179"/>
      <c r="J51" s="130"/>
      <c r="K51" s="130"/>
      <c r="L51" s="130"/>
      <c r="M51" s="130"/>
      <c r="N51" s="130"/>
      <c r="O51" s="130"/>
      <c r="P51" s="130"/>
      <c r="Q51" s="130"/>
      <c r="R51" s="130"/>
      <c r="S51" s="130"/>
      <c r="T51" s="126"/>
      <c r="U51" s="126"/>
      <c r="V51" s="71"/>
      <c r="W51" s="126"/>
      <c r="X51" s="126"/>
      <c r="Y51" s="302"/>
      <c r="Z51" s="302"/>
      <c r="AA51" s="302"/>
      <c r="AB51" s="302"/>
      <c r="AC51" s="302"/>
      <c r="AD51" s="302"/>
      <c r="AE51" s="302"/>
      <c r="AF51" s="302"/>
      <c r="AG51" s="302"/>
      <c r="AH51" s="302"/>
      <c r="AI51" s="71"/>
    </row>
    <row r="52" spans="1:35" s="178" customFormat="1" ht="21" thickBot="1">
      <c r="B52" s="3053" t="str">
        <f>'1E'!B32</f>
        <v>Please refer to RAG 4.08 - Guideline for the table definitions in the annual performance report for the reporting year 2019-20</v>
      </c>
      <c r="C52" s="147"/>
      <c r="D52" s="147"/>
      <c r="E52" s="148"/>
      <c r="F52" s="148"/>
      <c r="G52" s="148"/>
      <c r="H52" s="148"/>
      <c r="I52" s="148"/>
      <c r="J52" s="148"/>
      <c r="K52" s="148"/>
      <c r="L52" s="148"/>
      <c r="M52" s="148"/>
      <c r="N52" s="148"/>
      <c r="O52" s="148"/>
      <c r="P52" s="148"/>
      <c r="Q52" s="148"/>
      <c r="R52" s="154"/>
      <c r="S52" s="130"/>
      <c r="T52" s="126"/>
      <c r="U52" s="126"/>
      <c r="V52" s="71"/>
      <c r="W52" s="126"/>
      <c r="X52" s="126"/>
      <c r="Y52" s="302"/>
      <c r="Z52" s="302"/>
      <c r="AA52" s="302"/>
      <c r="AB52" s="302"/>
      <c r="AC52" s="302"/>
      <c r="AD52" s="302"/>
      <c r="AE52" s="302"/>
      <c r="AF52" s="302"/>
      <c r="AG52" s="302"/>
      <c r="AH52" s="302"/>
      <c r="AI52" s="71"/>
    </row>
    <row r="53" spans="1:35" s="178" customFormat="1">
      <c r="C53" s="179"/>
      <c r="D53" s="179"/>
      <c r="J53" s="130"/>
      <c r="K53" s="130"/>
      <c r="L53" s="130"/>
      <c r="M53" s="130"/>
      <c r="N53" s="130"/>
      <c r="O53" s="130"/>
      <c r="P53" s="130"/>
      <c r="Q53" s="130"/>
      <c r="R53" s="130"/>
      <c r="S53" s="130"/>
      <c r="T53" s="126"/>
      <c r="U53" s="126"/>
      <c r="V53" s="71"/>
      <c r="W53" s="126"/>
      <c r="X53" s="126"/>
      <c r="Y53" s="302"/>
      <c r="Z53" s="302"/>
      <c r="AA53" s="302"/>
      <c r="AB53" s="302"/>
      <c r="AC53" s="302"/>
      <c r="AD53" s="302"/>
      <c r="AE53" s="302"/>
      <c r="AF53" s="302"/>
      <c r="AG53" s="302"/>
      <c r="AH53" s="302"/>
      <c r="AI53" s="71"/>
    </row>
    <row r="54" spans="1:35" s="110" customFormat="1" ht="27" hidden="1" customHeight="1" thickBot="1">
      <c r="A54" s="1560"/>
      <c r="B54" s="146" t="str">
        <f ca="1" xml:space="preserve"> RIGHT(CELL("filename", $A$1), LEN(CELL("filename", $A$1)) - SEARCH("]", CELL("filename", $A$1)))&amp;" - Line definitions"</f>
        <v>1F - Line definitions</v>
      </c>
      <c r="C54" s="147"/>
      <c r="D54" s="147"/>
      <c r="E54" s="148"/>
      <c r="F54" s="148"/>
      <c r="G54" s="148"/>
      <c r="H54" s="148"/>
      <c r="I54" s="148"/>
      <c r="J54" s="148"/>
      <c r="K54" s="148"/>
      <c r="L54" s="148"/>
      <c r="M54" s="148"/>
      <c r="N54" s="148"/>
      <c r="O54" s="148"/>
      <c r="P54" s="148"/>
      <c r="Q54" s="148"/>
      <c r="R54" s="154"/>
      <c r="S54" s="118"/>
      <c r="T54" s="120"/>
      <c r="U54" s="118"/>
      <c r="V54" s="71"/>
      <c r="W54" s="120"/>
      <c r="X54" s="118"/>
      <c r="Y54" s="280"/>
      <c r="Z54" s="280"/>
      <c r="AA54" s="280"/>
      <c r="AB54" s="280"/>
      <c r="AC54" s="280"/>
      <c r="AD54" s="280"/>
      <c r="AE54" s="280"/>
      <c r="AF54" s="280"/>
      <c r="AG54" s="280"/>
      <c r="AH54" s="280"/>
      <c r="AI54" s="71"/>
    </row>
    <row r="55" spans="1:35" s="110" customFormat="1" ht="15" hidden="1" thickBot="1">
      <c r="A55" s="1560"/>
      <c r="B55" s="74"/>
      <c r="C55" s="155"/>
      <c r="D55" s="155"/>
      <c r="E55" s="74"/>
      <c r="F55" s="74"/>
      <c r="G55" s="74"/>
      <c r="J55" s="118"/>
      <c r="K55" s="118"/>
      <c r="L55" s="118"/>
      <c r="M55" s="118"/>
      <c r="N55" s="118"/>
      <c r="O55" s="118"/>
      <c r="P55" s="118"/>
      <c r="Q55" s="118"/>
      <c r="R55" s="118"/>
      <c r="S55" s="118"/>
      <c r="T55" s="120"/>
      <c r="U55" s="118"/>
      <c r="V55" s="71"/>
      <c r="W55" s="120"/>
      <c r="X55" s="118"/>
      <c r="Y55" s="280"/>
      <c r="Z55" s="280"/>
      <c r="AA55" s="280"/>
      <c r="AB55" s="280"/>
      <c r="AC55" s="280"/>
      <c r="AD55" s="280"/>
      <c r="AE55" s="280"/>
      <c r="AF55" s="280"/>
      <c r="AG55" s="280"/>
      <c r="AH55" s="280"/>
      <c r="AI55" s="71"/>
    </row>
    <row r="56" spans="1:35" s="178" customFormat="1" ht="15" hidden="1" thickBot="1">
      <c r="A56" s="1561"/>
      <c r="B56" s="287" t="s">
        <v>193</v>
      </c>
      <c r="C56" s="3013" t="s">
        <v>194</v>
      </c>
      <c r="D56" s="3014"/>
      <c r="E56" s="3014"/>
      <c r="F56" s="3014"/>
      <c r="G56" s="3014"/>
      <c r="H56" s="3014"/>
      <c r="I56" s="3014"/>
      <c r="J56" s="3014"/>
      <c r="K56" s="3014"/>
      <c r="L56" s="3014"/>
      <c r="M56" s="3014"/>
      <c r="N56" s="3014"/>
      <c r="O56" s="3014"/>
      <c r="P56" s="3014"/>
      <c r="Q56" s="3014"/>
      <c r="R56" s="157"/>
      <c r="S56" s="346"/>
      <c r="T56" s="130"/>
      <c r="U56" s="118"/>
      <c r="V56" s="71"/>
      <c r="W56" s="85" t="s">
        <v>195</v>
      </c>
      <c r="X56" s="118"/>
      <c r="AI56" s="71"/>
    </row>
    <row r="57" spans="1:35" s="110" customFormat="1" ht="83.25" hidden="1" customHeight="1">
      <c r="A57" s="1560"/>
      <c r="B57" s="181" t="str">
        <f>B8</f>
        <v>1F.1</v>
      </c>
      <c r="C57" s="3095" t="s">
        <v>879</v>
      </c>
      <c r="D57" s="3073"/>
      <c r="E57" s="3073"/>
      <c r="F57" s="3073"/>
      <c r="G57" s="3073"/>
      <c r="H57" s="3073"/>
      <c r="I57" s="3073"/>
      <c r="J57" s="3073"/>
      <c r="K57" s="3091"/>
      <c r="L57" s="3091"/>
      <c r="M57" s="3091"/>
      <c r="N57" s="3091"/>
      <c r="O57" s="3091"/>
      <c r="P57" s="3091"/>
      <c r="Q57" s="3091"/>
      <c r="R57" s="3074"/>
      <c r="S57" s="348"/>
      <c r="T57" s="120"/>
      <c r="U57" s="118"/>
      <c r="V57" s="71"/>
      <c r="W57" s="161">
        <v>1</v>
      </c>
      <c r="X57" s="118"/>
      <c r="Y57" s="280"/>
      <c r="Z57" s="280"/>
      <c r="AA57" s="280"/>
      <c r="AB57" s="280"/>
      <c r="AC57" s="280"/>
      <c r="AD57" s="280"/>
      <c r="AE57" s="280"/>
      <c r="AF57" s="280"/>
      <c r="AG57" s="280"/>
      <c r="AH57" s="280"/>
      <c r="AI57" s="71"/>
    </row>
    <row r="58" spans="1:35" s="110" customFormat="1" ht="30.2" hidden="1" customHeight="1">
      <c r="A58" s="1560"/>
      <c r="B58" s="159" t="str">
        <f>B9</f>
        <v>1F.2</v>
      </c>
      <c r="C58" s="3055" t="s">
        <v>880</v>
      </c>
      <c r="D58" s="3055"/>
      <c r="E58" s="3055"/>
      <c r="F58" s="3055"/>
      <c r="G58" s="3055"/>
      <c r="H58" s="3055"/>
      <c r="I58" s="3055"/>
      <c r="J58" s="3055"/>
      <c r="K58" s="3082"/>
      <c r="L58" s="3082"/>
      <c r="M58" s="3082"/>
      <c r="N58" s="3082"/>
      <c r="O58" s="3082"/>
      <c r="P58" s="3082"/>
      <c r="Q58" s="3082"/>
      <c r="R58" s="3056"/>
      <c r="S58" s="348"/>
      <c r="V58" s="71"/>
      <c r="W58" s="253">
        <v>1</v>
      </c>
      <c r="AI58" s="71"/>
    </row>
    <row r="59" spans="1:35" s="110" customFormat="1" ht="13.7" hidden="1" customHeight="1">
      <c r="A59" s="1560"/>
      <c r="B59" s="159" t="str">
        <f>B10</f>
        <v>1F.3</v>
      </c>
      <c r="C59" s="3055" t="s">
        <v>881</v>
      </c>
      <c r="D59" s="3055"/>
      <c r="E59" s="3055"/>
      <c r="F59" s="3055"/>
      <c r="G59" s="3055"/>
      <c r="H59" s="3055"/>
      <c r="I59" s="3055"/>
      <c r="J59" s="3055"/>
      <c r="K59" s="3082"/>
      <c r="L59" s="3082"/>
      <c r="M59" s="3082"/>
      <c r="N59" s="3082"/>
      <c r="O59" s="3082"/>
      <c r="P59" s="3082"/>
      <c r="Q59" s="3082"/>
      <c r="R59" s="3056"/>
      <c r="S59" s="348"/>
      <c r="V59" s="71"/>
      <c r="W59" s="253">
        <v>1</v>
      </c>
      <c r="AI59" s="71"/>
    </row>
    <row r="60" spans="1:35" s="120" customFormat="1" ht="87" hidden="1" customHeight="1">
      <c r="A60" s="1562"/>
      <c r="B60" s="159" t="str">
        <f>B11</f>
        <v>1F.4</v>
      </c>
      <c r="C60" s="3055" t="s">
        <v>882</v>
      </c>
      <c r="D60" s="3055"/>
      <c r="E60" s="3055"/>
      <c r="F60" s="3055"/>
      <c r="G60" s="3055"/>
      <c r="H60" s="3055"/>
      <c r="I60" s="3055"/>
      <c r="J60" s="3055"/>
      <c r="K60" s="3082"/>
      <c r="L60" s="3082"/>
      <c r="M60" s="3082"/>
      <c r="N60" s="3082"/>
      <c r="O60" s="3082"/>
      <c r="P60" s="3082"/>
      <c r="Q60" s="3082"/>
      <c r="R60" s="3056"/>
      <c r="S60" s="348"/>
      <c r="V60" s="71"/>
      <c r="W60" s="253">
        <v>1</v>
      </c>
      <c r="AI60" s="71"/>
    </row>
    <row r="61" spans="1:35" ht="82.5" hidden="1" customHeight="1">
      <c r="A61" s="1563"/>
      <c r="B61" s="159" t="str">
        <f>B14</f>
        <v>1F.5</v>
      </c>
      <c r="C61" s="3055" t="s">
        <v>883</v>
      </c>
      <c r="D61" s="3055"/>
      <c r="E61" s="3055"/>
      <c r="F61" s="3055"/>
      <c r="G61" s="3055"/>
      <c r="H61" s="3055"/>
      <c r="I61" s="3055"/>
      <c r="J61" s="3055"/>
      <c r="K61" s="3082"/>
      <c r="L61" s="3082"/>
      <c r="M61" s="3082"/>
      <c r="N61" s="3082"/>
      <c r="O61" s="3082"/>
      <c r="P61" s="3082"/>
      <c r="Q61" s="3082"/>
      <c r="R61" s="3056"/>
      <c r="S61" s="348"/>
      <c r="W61" s="158">
        <v>1</v>
      </c>
    </row>
    <row r="62" spans="1:35" ht="45.75" hidden="1" customHeight="1">
      <c r="A62" s="1563"/>
      <c r="B62" s="159" t="str">
        <f>B15</f>
        <v>1F.6</v>
      </c>
      <c r="C62" s="3055" t="s">
        <v>884</v>
      </c>
      <c r="D62" s="3055"/>
      <c r="E62" s="3055"/>
      <c r="F62" s="3055"/>
      <c r="G62" s="3055"/>
      <c r="H62" s="3055"/>
      <c r="I62" s="3055"/>
      <c r="J62" s="3055"/>
      <c r="K62" s="3082"/>
      <c r="L62" s="3082"/>
      <c r="M62" s="3082"/>
      <c r="N62" s="3082"/>
      <c r="O62" s="3082"/>
      <c r="P62" s="3082"/>
      <c r="Q62" s="3082"/>
      <c r="R62" s="3056"/>
      <c r="S62" s="348"/>
      <c r="W62" s="374" t="s">
        <v>197</v>
      </c>
    </row>
    <row r="63" spans="1:35" ht="19.5" hidden="1" customHeight="1">
      <c r="A63" s="1563"/>
      <c r="B63" s="159" t="str">
        <f>B16</f>
        <v>1F.7</v>
      </c>
      <c r="C63" s="3055" t="s">
        <v>885</v>
      </c>
      <c r="D63" s="3055"/>
      <c r="E63" s="3055"/>
      <c r="F63" s="3055"/>
      <c r="G63" s="3055"/>
      <c r="H63" s="3055"/>
      <c r="I63" s="3055"/>
      <c r="J63" s="3055"/>
      <c r="K63" s="3082"/>
      <c r="L63" s="3082"/>
      <c r="M63" s="3082"/>
      <c r="N63" s="3082"/>
      <c r="O63" s="3082"/>
      <c r="P63" s="3082"/>
      <c r="Q63" s="3082"/>
      <c r="R63" s="3056"/>
      <c r="S63" s="348"/>
      <c r="W63" s="374" t="s">
        <v>197</v>
      </c>
    </row>
    <row r="64" spans="1:35" ht="291.75" hidden="1" customHeight="1">
      <c r="A64" s="1563"/>
      <c r="B64" s="159" t="str">
        <f>B17</f>
        <v>1F.8</v>
      </c>
      <c r="C64" s="3055" t="s">
        <v>886</v>
      </c>
      <c r="D64" s="3055"/>
      <c r="E64" s="3055"/>
      <c r="F64" s="3055"/>
      <c r="G64" s="3055"/>
      <c r="H64" s="3055"/>
      <c r="I64" s="3055"/>
      <c r="J64" s="3055"/>
      <c r="K64" s="3082"/>
      <c r="L64" s="3082"/>
      <c r="M64" s="3082"/>
      <c r="N64" s="3082"/>
      <c r="O64" s="3082"/>
      <c r="P64" s="3082"/>
      <c r="Q64" s="3082"/>
      <c r="R64" s="3056"/>
      <c r="S64" s="348"/>
      <c r="W64" s="374" t="s">
        <v>197</v>
      </c>
    </row>
    <row r="65" spans="1:23" ht="13.7" hidden="1" customHeight="1">
      <c r="A65" s="1563"/>
      <c r="B65" s="159" t="str">
        <f>B18</f>
        <v>1F.9</v>
      </c>
      <c r="C65" s="3055" t="s">
        <v>887</v>
      </c>
      <c r="D65" s="3055"/>
      <c r="E65" s="3055"/>
      <c r="F65" s="3055"/>
      <c r="G65" s="3055"/>
      <c r="H65" s="3055"/>
      <c r="I65" s="3055"/>
      <c r="J65" s="3055"/>
      <c r="K65" s="3082"/>
      <c r="L65" s="3082"/>
      <c r="M65" s="3082"/>
      <c r="N65" s="3082"/>
      <c r="O65" s="3082"/>
      <c r="P65" s="3082"/>
      <c r="Q65" s="3082"/>
      <c r="R65" s="3056"/>
      <c r="S65" s="348"/>
      <c r="W65" s="158">
        <v>1</v>
      </c>
    </row>
    <row r="66" spans="1:23" ht="13.7" hidden="1" customHeight="1">
      <c r="A66" s="1563"/>
      <c r="B66" s="159" t="str">
        <f>B20</f>
        <v>1F.10</v>
      </c>
      <c r="C66" s="3055" t="s">
        <v>888</v>
      </c>
      <c r="D66" s="3055"/>
      <c r="E66" s="3055"/>
      <c r="F66" s="3055"/>
      <c r="G66" s="3055"/>
      <c r="H66" s="3055"/>
      <c r="I66" s="3055"/>
      <c r="J66" s="3055"/>
      <c r="K66" s="3082"/>
      <c r="L66" s="3082"/>
      <c r="M66" s="3082"/>
      <c r="N66" s="3082"/>
      <c r="O66" s="3082"/>
      <c r="P66" s="3082"/>
      <c r="Q66" s="3082"/>
      <c r="R66" s="3056"/>
      <c r="S66" s="348"/>
      <c r="W66" s="158"/>
    </row>
    <row r="67" spans="1:23" ht="54.75" hidden="1" customHeight="1">
      <c r="A67" s="1563"/>
      <c r="B67" s="159" t="str">
        <f>B23</f>
        <v>1F.11</v>
      </c>
      <c r="C67" s="3055" t="s">
        <v>889</v>
      </c>
      <c r="D67" s="3055"/>
      <c r="E67" s="3055"/>
      <c r="F67" s="3055"/>
      <c r="G67" s="3055"/>
      <c r="H67" s="3055"/>
      <c r="I67" s="3055"/>
      <c r="J67" s="3055"/>
      <c r="K67" s="3082"/>
      <c r="L67" s="3082"/>
      <c r="M67" s="3082"/>
      <c r="N67" s="3082"/>
      <c r="O67" s="3082"/>
      <c r="P67" s="3082"/>
      <c r="Q67" s="3082"/>
      <c r="R67" s="3056"/>
      <c r="S67" s="348"/>
      <c r="W67" s="374" t="s">
        <v>197</v>
      </c>
    </row>
    <row r="68" spans="1:23" ht="27.75" hidden="1" customHeight="1">
      <c r="A68" s="1563"/>
      <c r="B68" s="159" t="str">
        <f>B24</f>
        <v>1F.12</v>
      </c>
      <c r="C68" s="3055" t="s">
        <v>890</v>
      </c>
      <c r="D68" s="3055"/>
      <c r="E68" s="3055"/>
      <c r="F68" s="3055"/>
      <c r="G68" s="3055"/>
      <c r="H68" s="3055"/>
      <c r="I68" s="3055"/>
      <c r="J68" s="3055"/>
      <c r="K68" s="3082"/>
      <c r="L68" s="3082"/>
      <c r="M68" s="3082"/>
      <c r="N68" s="3082"/>
      <c r="O68" s="3082"/>
      <c r="P68" s="3082"/>
      <c r="Q68" s="3082"/>
      <c r="R68" s="3056"/>
      <c r="S68" s="348"/>
      <c r="W68" s="158">
        <v>1</v>
      </c>
    </row>
    <row r="69" spans="1:23" ht="49.7" hidden="1" customHeight="1">
      <c r="A69" s="1563"/>
      <c r="B69" s="159" t="str">
        <f>B25</f>
        <v>1F.13</v>
      </c>
      <c r="C69" s="3055" t="s">
        <v>891</v>
      </c>
      <c r="D69" s="3055"/>
      <c r="E69" s="3055"/>
      <c r="F69" s="3055"/>
      <c r="G69" s="3055"/>
      <c r="H69" s="3055"/>
      <c r="I69" s="3055"/>
      <c r="J69" s="3055"/>
      <c r="K69" s="3082"/>
      <c r="L69" s="3082"/>
      <c r="M69" s="3082"/>
      <c r="N69" s="3082"/>
      <c r="O69" s="3082"/>
      <c r="P69" s="3082"/>
      <c r="Q69" s="3082"/>
      <c r="R69" s="3056"/>
      <c r="S69" s="348"/>
      <c r="W69" s="161" t="s">
        <v>202</v>
      </c>
    </row>
    <row r="70" spans="1:23" ht="23.25" hidden="1" customHeight="1">
      <c r="A70" s="1563"/>
      <c r="B70" s="159" t="str">
        <f>B27</f>
        <v>1F.15</v>
      </c>
      <c r="C70" s="3055" t="s">
        <v>892</v>
      </c>
      <c r="D70" s="3055"/>
      <c r="E70" s="3055"/>
      <c r="F70" s="3055"/>
      <c r="G70" s="3055"/>
      <c r="H70" s="3055"/>
      <c r="I70" s="3055"/>
      <c r="J70" s="3055"/>
      <c r="K70" s="3082"/>
      <c r="L70" s="3082"/>
      <c r="M70" s="3082"/>
      <c r="N70" s="3082"/>
      <c r="O70" s="3082"/>
      <c r="P70" s="3082"/>
      <c r="Q70" s="3082"/>
      <c r="R70" s="3056"/>
      <c r="S70" s="348"/>
      <c r="W70" s="161" t="s">
        <v>197</v>
      </c>
    </row>
    <row r="71" spans="1:23" ht="13.7" hidden="1" customHeight="1">
      <c r="A71" s="1563"/>
      <c r="B71" s="159" t="str">
        <f>B29</f>
        <v>1F.16</v>
      </c>
      <c r="C71" s="3055" t="s">
        <v>893</v>
      </c>
      <c r="D71" s="3055"/>
      <c r="E71" s="3055"/>
      <c r="F71" s="3055"/>
      <c r="G71" s="3055"/>
      <c r="H71" s="3055"/>
      <c r="I71" s="3055"/>
      <c r="J71" s="3055"/>
      <c r="K71" s="3082"/>
      <c r="L71" s="3082"/>
      <c r="M71" s="3082"/>
      <c r="N71" s="3082"/>
      <c r="O71" s="3082"/>
      <c r="P71" s="3082"/>
      <c r="Q71" s="3082"/>
      <c r="R71" s="3056"/>
      <c r="S71" s="348"/>
      <c r="W71" s="158">
        <v>1</v>
      </c>
    </row>
    <row r="72" spans="1:23" ht="23.25" hidden="1" customHeight="1">
      <c r="A72" s="1563"/>
      <c r="B72" s="159" t="str">
        <f>B31</f>
        <v>1F.17</v>
      </c>
      <c r="C72" s="3055" t="s">
        <v>894</v>
      </c>
      <c r="D72" s="3055"/>
      <c r="E72" s="3055"/>
      <c r="F72" s="3055"/>
      <c r="G72" s="3055"/>
      <c r="H72" s="3055"/>
      <c r="I72" s="3055"/>
      <c r="J72" s="3055"/>
      <c r="K72" s="3082"/>
      <c r="L72" s="3082"/>
      <c r="M72" s="3082"/>
      <c r="N72" s="3082"/>
      <c r="O72" s="3082"/>
      <c r="P72" s="3082"/>
      <c r="Q72" s="3082"/>
      <c r="R72" s="3056"/>
      <c r="S72" s="348"/>
      <c r="W72" s="161" t="s">
        <v>197</v>
      </c>
    </row>
    <row r="73" spans="1:23" ht="18.75" hidden="1" customHeight="1">
      <c r="A73" s="1563"/>
      <c r="B73" s="159" t="str">
        <f t="shared" ref="B73" si="71">B33</f>
        <v>1F.18</v>
      </c>
      <c r="C73" s="3055" t="s">
        <v>895</v>
      </c>
      <c r="D73" s="3055"/>
      <c r="E73" s="3055"/>
      <c r="F73" s="3055"/>
      <c r="G73" s="3055"/>
      <c r="H73" s="3055"/>
      <c r="I73" s="3055"/>
      <c r="J73" s="3055"/>
      <c r="K73" s="3082"/>
      <c r="L73" s="3082"/>
      <c r="M73" s="3082"/>
      <c r="N73" s="3082"/>
      <c r="O73" s="3082"/>
      <c r="P73" s="3082"/>
      <c r="Q73" s="3082"/>
      <c r="R73" s="3056"/>
      <c r="S73" s="348"/>
      <c r="W73" s="161" t="s">
        <v>202</v>
      </c>
    </row>
    <row r="74" spans="1:23" ht="23.25" hidden="1" customHeight="1">
      <c r="A74" s="1563"/>
      <c r="B74" s="159" t="str">
        <f>B35</f>
        <v>1F.19</v>
      </c>
      <c r="C74" s="3055" t="s">
        <v>896</v>
      </c>
      <c r="D74" s="3055"/>
      <c r="E74" s="3055"/>
      <c r="F74" s="3055"/>
      <c r="G74" s="3055"/>
      <c r="H74" s="3055"/>
      <c r="I74" s="3055"/>
      <c r="J74" s="3055"/>
      <c r="K74" s="3082"/>
      <c r="L74" s="3082"/>
      <c r="M74" s="3082"/>
      <c r="N74" s="3082"/>
      <c r="O74" s="3082"/>
      <c r="P74" s="3082"/>
      <c r="Q74" s="3082"/>
      <c r="R74" s="3056"/>
      <c r="S74" s="348"/>
      <c r="W74" s="161" t="s">
        <v>197</v>
      </c>
    </row>
    <row r="75" spans="1:23" ht="13.7" hidden="1" customHeight="1">
      <c r="A75" s="1563"/>
      <c r="B75" s="159" t="str">
        <f>B37</f>
        <v>1F.20</v>
      </c>
      <c r="C75" s="3055" t="s">
        <v>897</v>
      </c>
      <c r="D75" s="3055"/>
      <c r="E75" s="3055"/>
      <c r="F75" s="3055"/>
      <c r="G75" s="3055"/>
      <c r="H75" s="3055"/>
      <c r="I75" s="3055"/>
      <c r="J75" s="3055"/>
      <c r="K75" s="3082"/>
      <c r="L75" s="3082"/>
      <c r="M75" s="3082"/>
      <c r="N75" s="3082"/>
      <c r="O75" s="3082"/>
      <c r="P75" s="3082"/>
      <c r="Q75" s="3082"/>
      <c r="R75" s="3056"/>
      <c r="S75" s="348"/>
      <c r="W75" s="161">
        <v>1</v>
      </c>
    </row>
    <row r="76" spans="1:23" ht="13.7" hidden="1" customHeight="1">
      <c r="A76" s="1563"/>
      <c r="B76" s="159" t="str">
        <f>B40</f>
        <v>1F.21</v>
      </c>
      <c r="C76" s="3055" t="s">
        <v>898</v>
      </c>
      <c r="D76" s="3055"/>
      <c r="E76" s="3055"/>
      <c r="F76" s="3055"/>
      <c r="G76" s="3055"/>
      <c r="H76" s="3055"/>
      <c r="I76" s="3055"/>
      <c r="J76" s="3055"/>
      <c r="K76" s="3082"/>
      <c r="L76" s="3082"/>
      <c r="M76" s="3082"/>
      <c r="N76" s="3082"/>
      <c r="O76" s="3082"/>
      <c r="P76" s="3082"/>
      <c r="Q76" s="3082"/>
      <c r="R76" s="3056"/>
      <c r="S76" s="348"/>
      <c r="W76" s="158">
        <v>1</v>
      </c>
    </row>
    <row r="77" spans="1:23" ht="13.7" hidden="1" customHeight="1">
      <c r="A77" s="1563"/>
      <c r="B77" s="159" t="str">
        <f>B41</f>
        <v>1F.22</v>
      </c>
      <c r="C77" s="3055" t="s">
        <v>899</v>
      </c>
      <c r="D77" s="3055"/>
      <c r="E77" s="3055"/>
      <c r="F77" s="3055"/>
      <c r="G77" s="3055"/>
      <c r="H77" s="3055"/>
      <c r="I77" s="3055"/>
      <c r="J77" s="3055"/>
      <c r="K77" s="3082"/>
      <c r="L77" s="3082"/>
      <c r="M77" s="3082"/>
      <c r="N77" s="3082"/>
      <c r="O77" s="3082"/>
      <c r="P77" s="3082"/>
      <c r="Q77" s="3082"/>
      <c r="R77" s="3056"/>
      <c r="W77" s="158">
        <v>1</v>
      </c>
    </row>
    <row r="78" spans="1:23" ht="14.25" hidden="1" customHeight="1" thickBot="1">
      <c r="A78" s="1563"/>
      <c r="B78" s="183" t="str">
        <f>B42</f>
        <v>1F.23</v>
      </c>
      <c r="C78" s="3075" t="s">
        <v>900</v>
      </c>
      <c r="D78" s="3075"/>
      <c r="E78" s="3075"/>
      <c r="F78" s="3075"/>
      <c r="G78" s="3075"/>
      <c r="H78" s="3075"/>
      <c r="I78" s="3075"/>
      <c r="J78" s="3075"/>
      <c r="K78" s="3085"/>
      <c r="L78" s="3085"/>
      <c r="M78" s="3085"/>
      <c r="N78" s="3085"/>
      <c r="O78" s="3085"/>
      <c r="P78" s="3085"/>
      <c r="Q78" s="3085"/>
      <c r="R78" s="3076"/>
      <c r="W78" s="161">
        <v>1</v>
      </c>
    </row>
    <row r="79" spans="1:23" hidden="1">
      <c r="A79" s="1563"/>
      <c r="B79" s="402"/>
      <c r="C79" s="343"/>
      <c r="D79" s="343"/>
      <c r="E79" s="343"/>
      <c r="F79" s="343"/>
      <c r="G79" s="343"/>
      <c r="H79" s="343"/>
      <c r="I79" s="343"/>
      <c r="J79" s="343"/>
      <c r="K79" s="343"/>
      <c r="L79" s="343"/>
      <c r="M79" s="343"/>
      <c r="N79" s="343"/>
      <c r="O79" s="343"/>
      <c r="P79" s="343"/>
      <c r="Q79" s="343"/>
      <c r="R79" s="343"/>
      <c r="W79" s="254"/>
    </row>
  </sheetData>
  <sheetProtection algorithmName="SHA-512" hashValue="0lzFovJ/qzvVQc2a7lRwhNJ+k/71jPWoWM9DszxEx/AEcL3ok2+KmzuP2rjxFAda78dc/Uwe5cg0GEcCDA+gGg==" saltValue="lRVee1pBhfnYtS9Ako5GPQ==" spinCount="100000" sheet="1" objects="1" scenarios="1"/>
  <mergeCells count="44">
    <mergeCell ref="AV3:BA3"/>
    <mergeCell ref="BB3:BG3"/>
    <mergeCell ref="AV4:AX4"/>
    <mergeCell ref="AY4:BA4"/>
    <mergeCell ref="BB4:BD4"/>
    <mergeCell ref="BE4:BG4"/>
    <mergeCell ref="T3:T5"/>
    <mergeCell ref="AQ3:AR5"/>
    <mergeCell ref="AT3:AT5"/>
    <mergeCell ref="AU3:AU5"/>
    <mergeCell ref="B3:C5"/>
    <mergeCell ref="E3:E5"/>
    <mergeCell ref="F3:F5"/>
    <mergeCell ref="G3:L3"/>
    <mergeCell ref="G4:I4"/>
    <mergeCell ref="J4:L4"/>
    <mergeCell ref="M3:R3"/>
    <mergeCell ref="M4:O4"/>
    <mergeCell ref="W5:Y5"/>
    <mergeCell ref="AS3:AS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C78:R78"/>
    <mergeCell ref="C76:R76"/>
    <mergeCell ref="C77:R77"/>
    <mergeCell ref="C70:R70"/>
    <mergeCell ref="C71:R71"/>
    <mergeCell ref="C72:R72"/>
    <mergeCell ref="C73:R73"/>
    <mergeCell ref="C74:R74"/>
    <mergeCell ref="C75:R75"/>
  </mergeCells>
  <conditionalFormatting sqref="T8:T11 T23:T25 T14:T17 T40:T41 T27">
    <cfRule type="cellIs" dxfId="1364" priority="4" operator="equal">
      <formula>0</formula>
    </cfRule>
  </conditionalFormatting>
  <conditionalFormatting sqref="T31">
    <cfRule type="cellIs" dxfId="1363" priority="3" operator="equal">
      <formula>0</formula>
    </cfRule>
  </conditionalFormatting>
  <conditionalFormatting sqref="T18">
    <cfRule type="cellIs" dxfId="1362" priority="2" operator="equal">
      <formula>0</formula>
    </cfRule>
  </conditionalFormatting>
  <conditionalFormatting sqref="T26">
    <cfRule type="cellIs" dxfId="13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53" max="19" man="1"/>
  </rowBreaks>
  <customProperties>
    <customPr name="_pios_id" r:id="rId2"/>
    <customPr name="EpmWorksheetKeyString_GUID" r:id="rId3"/>
  </customProperties>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041cf9dd-099b-4ad4-95b1-eaa732a0ad40">
      <UserInfo>
        <DisplayName>Lisa SMITH</DisplayName>
        <AccountId>141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71B9C6A0BC5A54C9E7A27EC61C5447B" ma:contentTypeVersion="12" ma:contentTypeDescription="Create a new document." ma:contentTypeScope="" ma:versionID="1ccdbae9ec4e5f013034847369ea8f86">
  <xsd:schema xmlns:xsd="http://www.w3.org/2001/XMLSchema" xmlns:xs="http://www.w3.org/2001/XMLSchema" xmlns:p="http://schemas.microsoft.com/office/2006/metadata/properties" xmlns:ns2="64c4c8c9-7092-404a-9d86-dbd9cb4bc6ae" xmlns:ns3="041cf9dd-099b-4ad4-95b1-eaa732a0ad40" targetNamespace="http://schemas.microsoft.com/office/2006/metadata/properties" ma:root="true" ma:fieldsID="dacd5cdf328255624957ce6386769a8a" ns2:_="" ns3:_="">
    <xsd:import namespace="64c4c8c9-7092-404a-9d86-dbd9cb4bc6ae"/>
    <xsd:import namespace="041cf9dd-099b-4ad4-95b1-eaa732a0ad4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c4c8c9-7092-404a-9d86-dbd9cb4bc6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1cf9dd-099b-4ad4-95b1-eaa732a0ad4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42DF22-B4A7-4665-97A3-9D0DC9D91CD6}">
  <ds:schemaRefs>
    <ds:schemaRef ds:uri="http://schemas.microsoft.com/sharepoint/v3/contenttype/forms"/>
  </ds:schemaRefs>
</ds:datastoreItem>
</file>

<file path=customXml/itemProps2.xml><?xml version="1.0" encoding="utf-8"?>
<ds:datastoreItem xmlns:ds="http://schemas.openxmlformats.org/officeDocument/2006/customXml" ds:itemID="{BB56A481-B367-4472-B299-67391201E57E}">
  <ds:schemaRefs>
    <ds:schemaRef ds:uri="http://schemas.microsoft.com/office/2006/metadata/properties"/>
    <ds:schemaRef ds:uri="http://schemas.microsoft.com/office/infopath/2007/PartnerControls"/>
    <ds:schemaRef ds:uri="041cf9dd-099b-4ad4-95b1-eaa732a0ad40"/>
  </ds:schemaRefs>
</ds:datastoreItem>
</file>

<file path=customXml/itemProps3.xml><?xml version="1.0" encoding="utf-8"?>
<ds:datastoreItem xmlns:ds="http://schemas.openxmlformats.org/officeDocument/2006/customXml" ds:itemID="{7A944F4D-6C9A-431C-962F-02ABA29372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c4c8c9-7092-404a-9d86-dbd9cb4bc6ae"/>
    <ds:schemaRef ds:uri="041cf9dd-099b-4ad4-95b1-eaa732a0ad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135</vt:i4>
      </vt:variant>
    </vt:vector>
  </HeadingPairs>
  <TitlesOfParts>
    <vt:vector size="200" baseType="lpstr">
      <vt:lpstr>Introduction</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vt:lpstr>
      <vt:lpstr>2G</vt:lpstr>
      <vt:lpstr>2H</vt:lpstr>
      <vt:lpstr>2I</vt:lpstr>
      <vt:lpstr>2J</vt:lpstr>
      <vt:lpstr>2K</vt:lpstr>
      <vt:lpstr>Section 3 -&gt;</vt:lpstr>
      <vt:lpstr>3A</vt:lpstr>
      <vt:lpstr>3B</vt:lpstr>
      <vt:lpstr>3C</vt:lpstr>
      <vt:lpstr>3D</vt:lpstr>
      <vt:lpstr>3S</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F_Outputs</vt:lpstr>
      <vt:lpstr>F_Outputs (group)</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'3A'!Print_Area</vt:lpstr>
      <vt:lpstr>'3B'!Print_Area</vt:lpstr>
      <vt:lpstr>'3C'!Print_Area</vt:lpstr>
      <vt:lpstr>'3D'!Print_Area</vt:lpstr>
      <vt:lpstr>'3S'!Print_Area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Introduction!Print_Area</vt:lpstr>
      <vt:lpstr>Validation!Print_Area</vt:lpstr>
      <vt:lpstr>'4O'!Print_Titles</vt:lpstr>
      <vt:lpstr>'2D'!Z_0D666283_CADB_464A_974F_FFED8E45FEBD_.wvu.Cols</vt:lpstr>
      <vt:lpstr>'4A'!Z_0D666283_CADB_464A_974F_FFED8E45FEBD_.wvu.Cols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2020-03-24T16:48:48Z</dcterms:created>
  <dcterms:modified xsi:type="dcterms:W3CDTF">2021-02-24T10:05:01Z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94">
    <vt:lpwstr>38</vt:lpwstr>
  </property>
  <property fmtid="{D5CDD505-2E9C-101B-9397-08002B2CF9AE}" pid="3" name="AuthorIds_UIVersion_5">
    <vt:lpwstr>38</vt:lpwstr>
  </property>
  <property fmtid="{D5CDD505-2E9C-101B-9397-08002B2CF9AE}" pid="4" name="AuthorIds_UIVersion_512">
    <vt:lpwstr>38</vt:lpwstr>
  </property>
  <property fmtid="{D5CDD505-2E9C-101B-9397-08002B2CF9AE}" pid="5" name="AuthorIds_UIVersion_114">
    <vt:lpwstr>38</vt:lpwstr>
  </property>
  <property fmtid="{D5CDD505-2E9C-101B-9397-08002B2CF9AE}" pid="6" name="AuthorIds_UIVersion_151">
    <vt:lpwstr>17</vt:lpwstr>
  </property>
  <property fmtid="{D5CDD505-2E9C-101B-9397-08002B2CF9AE}" pid="7" name="AuthorIds_UIVersion_21">
    <vt:lpwstr>38</vt:lpwstr>
  </property>
  <property fmtid="{D5CDD505-2E9C-101B-9397-08002B2CF9AE}" pid="8" name="AuthorIds_UIVersion_42">
    <vt:lpwstr>38</vt:lpwstr>
  </property>
  <property fmtid="{D5CDD505-2E9C-101B-9397-08002B2CF9AE}" pid="9" name="Meeting">
    <vt:lpwstr/>
  </property>
  <property fmtid="{D5CDD505-2E9C-101B-9397-08002B2CF9AE}" pid="10" name="AuthorIds_UIVersion_63">
    <vt:lpwstr>38</vt:lpwstr>
  </property>
  <property fmtid="{D5CDD505-2E9C-101B-9397-08002B2CF9AE}" pid="11" name="AuthorIds_UIVersion_162">
    <vt:lpwstr>17</vt:lpwstr>
  </property>
  <property fmtid="{D5CDD505-2E9C-101B-9397-08002B2CF9AE}" pid="12" name="AuthorIds_UIVersion_146">
    <vt:lpwstr>17</vt:lpwstr>
  </property>
  <property fmtid="{D5CDD505-2E9C-101B-9397-08002B2CF9AE}" pid="13" name="AuthorIds_UIVersion_141">
    <vt:lpwstr>38</vt:lpwstr>
  </property>
  <property fmtid="{D5CDD505-2E9C-101B-9397-08002B2CF9AE}" pid="14" name="Stakeholder 2">
    <vt:lpwstr/>
  </property>
  <property fmtid="{D5CDD505-2E9C-101B-9397-08002B2CF9AE}" pid="15" name="ContentTypeId">
    <vt:lpwstr>0x010100271B9C6A0BC5A54C9E7A27EC61C5447B</vt:lpwstr>
  </property>
  <property fmtid="{D5CDD505-2E9C-101B-9397-08002B2CF9AE}" pid="16" name="AuthorIds_UIVersion_6">
    <vt:lpwstr>38</vt:lpwstr>
  </property>
  <property fmtid="{D5CDD505-2E9C-101B-9397-08002B2CF9AE}" pid="17" name="AuthorIds_UIVersion_131">
    <vt:lpwstr>38</vt:lpwstr>
  </property>
  <property fmtid="{D5CDD505-2E9C-101B-9397-08002B2CF9AE}" pid="18" name="AuthorIds_UIVersion_69">
    <vt:lpwstr>38</vt:lpwstr>
  </property>
  <property fmtid="{D5CDD505-2E9C-101B-9397-08002B2CF9AE}" pid="19" name="AuthorIds_UIVersion_152">
    <vt:lpwstr>17</vt:lpwstr>
  </property>
  <property fmtid="{D5CDD505-2E9C-101B-9397-08002B2CF9AE}" pid="20" name="Hierarchy">
    <vt:lpwstr/>
  </property>
  <property fmtid="{D5CDD505-2E9C-101B-9397-08002B2CF9AE}" pid="21" name="AuthorIds_UIVersion_136">
    <vt:lpwstr>38</vt:lpwstr>
  </property>
  <property fmtid="{D5CDD505-2E9C-101B-9397-08002B2CF9AE}" pid="22" name="Collection">
    <vt:lpwstr/>
  </property>
  <property fmtid="{D5CDD505-2E9C-101B-9397-08002B2CF9AE}" pid="23" name="AuthorIds_UIVersion_80">
    <vt:lpwstr>38</vt:lpwstr>
  </property>
  <property fmtid="{D5CDD505-2E9C-101B-9397-08002B2CF9AE}" pid="24" name="AuthorIds_UIVersion_38">
    <vt:lpwstr>38</vt:lpwstr>
  </property>
  <property fmtid="{D5CDD505-2E9C-101B-9397-08002B2CF9AE}" pid="25" name="AuthorIds_UIVersion_163">
    <vt:lpwstr>17</vt:lpwstr>
  </property>
  <property fmtid="{D5CDD505-2E9C-101B-9397-08002B2CF9AE}" pid="26" name="Project Code">
    <vt:lpwstr>5;#Information and modelling|1370ae46-907c-4042-a177-a0ab02e852c2</vt:lpwstr>
  </property>
  <property fmtid="{D5CDD505-2E9C-101B-9397-08002B2CF9AE}" pid="27" name="AuthorIds_UIVersion_12">
    <vt:lpwstr>38</vt:lpwstr>
  </property>
  <property fmtid="{D5CDD505-2E9C-101B-9397-08002B2CF9AE}" pid="28" name="Stakeholder 3">
    <vt:lpwstr/>
  </property>
  <property fmtid="{D5CDD505-2E9C-101B-9397-08002B2CF9AE}" pid="29" name="AuthorIds_UIVersion_7">
    <vt:lpwstr>38</vt:lpwstr>
  </property>
  <property fmtid="{D5CDD505-2E9C-101B-9397-08002B2CF9AE}" pid="30" name="AuthorIds_UIVersion_111">
    <vt:lpwstr>38</vt:lpwstr>
  </property>
  <property fmtid="{D5CDD505-2E9C-101B-9397-08002B2CF9AE}" pid="31" name="AuthorIds_UIVersion_2">
    <vt:lpwstr>38</vt:lpwstr>
  </property>
  <property fmtid="{D5CDD505-2E9C-101B-9397-08002B2CF9AE}" pid="32" name="Follow-up">
    <vt:bool>false</vt:bool>
  </property>
  <property fmtid="{D5CDD505-2E9C-101B-9397-08002B2CF9AE}" pid="33" name="AuthorIds_UIVersion_116">
    <vt:lpwstr>38</vt:lpwstr>
  </property>
  <property fmtid="{D5CDD505-2E9C-101B-9397-08002B2CF9AE}" pid="34" name="AuthorIds_UIVersion_153">
    <vt:lpwstr>17</vt:lpwstr>
  </property>
  <property fmtid="{D5CDD505-2E9C-101B-9397-08002B2CF9AE}" pid="35" name="Stakeholder">
    <vt:lpwstr/>
  </property>
  <property fmtid="{D5CDD505-2E9C-101B-9397-08002B2CF9AE}" pid="36" name="AuthorIds_UIVersion_10">
    <vt:lpwstr>38</vt:lpwstr>
  </property>
  <property fmtid="{D5CDD505-2E9C-101B-9397-08002B2CF9AE}" pid="37" name="AuthorIds_UIVersion_161">
    <vt:lpwstr>17</vt:lpwstr>
  </property>
  <property fmtid="{D5CDD505-2E9C-101B-9397-08002B2CF9AE}" pid="38" name="Security Classification">
    <vt:lpwstr>21;#OFFICIAL|c2540f30-f875-494b-a43f-ebfb5017a6ad</vt:lpwstr>
  </property>
  <property fmtid="{D5CDD505-2E9C-101B-9397-08002B2CF9AE}" pid="39" name="AuthorIds_UIVersion_148">
    <vt:lpwstr>17</vt:lpwstr>
  </property>
  <property fmtid="{D5CDD505-2E9C-101B-9397-08002B2CF9AE}" pid="40" name="AuthorIds_UIVersion_164">
    <vt:lpwstr>17</vt:lpwstr>
  </property>
  <property fmtid="{D5CDD505-2E9C-101B-9397-08002B2CF9AE}" pid="41" name="AuthorIds_UIVersion_143">
    <vt:lpwstr>38</vt:lpwstr>
  </property>
  <property fmtid="{D5CDD505-2E9C-101B-9397-08002B2CF9AE}" pid="42" name="AuthorIds_UIVersion_55">
    <vt:lpwstr>38</vt:lpwstr>
  </property>
  <property fmtid="{D5CDD505-2E9C-101B-9397-08002B2CF9AE}" pid="43" name="AuthorIds_UIVersion_13">
    <vt:lpwstr>38</vt:lpwstr>
  </property>
  <property fmtid="{D5CDD505-2E9C-101B-9397-08002B2CF9AE}" pid="44" name="Stakeholder 4">
    <vt:lpwstr/>
  </property>
  <property fmtid="{D5CDD505-2E9C-101B-9397-08002B2CF9AE}" pid="45" name="AuthorIds_UIVersion_159">
    <vt:lpwstr>17</vt:lpwstr>
  </property>
  <property fmtid="{D5CDD505-2E9C-101B-9397-08002B2CF9AE}" pid="46" name="AuthorIds_UIVersion_8">
    <vt:lpwstr>38</vt:lpwstr>
  </property>
  <property fmtid="{D5CDD505-2E9C-101B-9397-08002B2CF9AE}" pid="47" name="AuthorIds_UIVersion_3">
    <vt:lpwstr>38</vt:lpwstr>
  </property>
  <property fmtid="{D5CDD505-2E9C-101B-9397-08002B2CF9AE}" pid="48" name="AuthorIds_UIVersion_154">
    <vt:lpwstr>17</vt:lpwstr>
  </property>
  <property fmtid="{D5CDD505-2E9C-101B-9397-08002B2CF9AE}" pid="49" name="AuthorIds_UIVersion_87">
    <vt:lpwstr>38</vt:lpwstr>
  </property>
  <property fmtid="{D5CDD505-2E9C-101B-9397-08002B2CF9AE}" pid="50" name="AuthorIds_UIVersion_40">
    <vt:lpwstr>38</vt:lpwstr>
  </property>
  <property fmtid="{D5CDD505-2E9C-101B-9397-08002B2CF9AE}" pid="51" name="AuthorIds_UIVersion_128">
    <vt:lpwstr>38</vt:lpwstr>
  </property>
  <property fmtid="{D5CDD505-2E9C-101B-9397-08002B2CF9AE}" pid="52" name="AuthorIds_UIVersion_149">
    <vt:lpwstr>17</vt:lpwstr>
  </property>
  <property fmtid="{D5CDD505-2E9C-101B-9397-08002B2CF9AE}" pid="53" name="AuthorIds_UIVersion_144">
    <vt:lpwstr>17</vt:lpwstr>
  </property>
  <property fmtid="{D5CDD505-2E9C-101B-9397-08002B2CF9AE}" pid="54" name="AuthorIds_UIVersion_14">
    <vt:lpwstr>38</vt:lpwstr>
  </property>
  <property fmtid="{D5CDD505-2E9C-101B-9397-08002B2CF9AE}" pid="55" name="AuthorIds_UIVersion_165">
    <vt:lpwstr>38</vt:lpwstr>
  </property>
  <property fmtid="{D5CDD505-2E9C-101B-9397-08002B2CF9AE}" pid="56" name="AuthorIds_UIVersion_35">
    <vt:lpwstr>38</vt:lpwstr>
  </property>
  <property fmtid="{D5CDD505-2E9C-101B-9397-08002B2CF9AE}" pid="57" name="AuthorIds_UIVersion_72">
    <vt:lpwstr>38</vt:lpwstr>
  </property>
  <property fmtid="{D5CDD505-2E9C-101B-9397-08002B2CF9AE}" pid="58" name="Stakeholder 5">
    <vt:lpwstr/>
  </property>
  <property fmtid="{D5CDD505-2E9C-101B-9397-08002B2CF9AE}" pid="59" name="AuthorIds_UIVersion_160">
    <vt:lpwstr>17</vt:lpwstr>
  </property>
  <property fmtid="{D5CDD505-2E9C-101B-9397-08002B2CF9AE}" pid="60" name="AuthorIds_UIVersion_9">
    <vt:lpwstr>38</vt:lpwstr>
  </property>
  <property fmtid="{D5CDD505-2E9C-101B-9397-08002B2CF9AE}" pid="61" name="AuthorIds_UIVersion_4">
    <vt:lpwstr>38</vt:lpwstr>
  </property>
  <property fmtid="{D5CDD505-2E9C-101B-9397-08002B2CF9AE}" pid="62" name="AuthorIds_UIVersion_25">
    <vt:lpwstr>38</vt:lpwstr>
  </property>
  <property fmtid="{D5CDD505-2E9C-101B-9397-08002B2CF9AE}" pid="63" name="AuthorIds_UIVersion_134">
    <vt:lpwstr>38</vt:lpwstr>
  </property>
  <property fmtid="{D5CDD505-2E9C-101B-9397-08002B2CF9AE}" pid="64" name="AuthorIds_UIVersion_150">
    <vt:lpwstr>17</vt:lpwstr>
  </property>
  <property fmtid="{D5CDD505-2E9C-101B-9397-08002B2CF9AE}" pid="65" name="AuthorIds_UIVersion_88">
    <vt:lpwstr>38</vt:lpwstr>
  </property>
  <property fmtid="{D5CDD505-2E9C-101B-9397-08002B2CF9AE}" pid="66" name="AuthorIds_UIVersion_124">
    <vt:lpwstr>38</vt:lpwstr>
  </property>
  <property fmtid="{D5CDD505-2E9C-101B-9397-08002B2CF9AE}" pid="67" name="AuthorIds_UIVersion_145">
    <vt:lpwstr>17</vt:lpwstr>
  </property>
  <property fmtid="{D5CDD505-2E9C-101B-9397-08002B2CF9AE}" pid="68" name="MSIP_Label_e50b24a1-e242-4aac-9a05-59733cdb30d3_Enabled">
    <vt:lpwstr>True</vt:lpwstr>
  </property>
  <property fmtid="{D5CDD505-2E9C-101B-9397-08002B2CF9AE}" pid="69" name="MSIP_Label_e50b24a1-e242-4aac-9a05-59733cdb30d3_SiteId">
    <vt:lpwstr>92ebd22d-0a9c-4516-a68f-ba966853a8f3</vt:lpwstr>
  </property>
  <property fmtid="{D5CDD505-2E9C-101B-9397-08002B2CF9AE}" pid="70" name="MSIP_Label_e50b24a1-e242-4aac-9a05-59733cdb30d3_Owner">
    <vt:lpwstr>MOOREL2@yw.co.uk</vt:lpwstr>
  </property>
  <property fmtid="{D5CDD505-2E9C-101B-9397-08002B2CF9AE}" pid="71" name="MSIP_Label_e50b24a1-e242-4aac-9a05-59733cdb30d3_SetDate">
    <vt:lpwstr>2020-04-02T18:10:40.2722318Z</vt:lpwstr>
  </property>
  <property fmtid="{D5CDD505-2E9C-101B-9397-08002B2CF9AE}" pid="72" name="MSIP_Label_e50b24a1-e242-4aac-9a05-59733cdb30d3_Name">
    <vt:lpwstr>Restricted</vt:lpwstr>
  </property>
  <property fmtid="{D5CDD505-2E9C-101B-9397-08002B2CF9AE}" pid="73" name="MSIP_Label_e50b24a1-e242-4aac-9a05-59733cdb30d3_Application">
    <vt:lpwstr>Microsoft Azure Information Protection</vt:lpwstr>
  </property>
  <property fmtid="{D5CDD505-2E9C-101B-9397-08002B2CF9AE}" pid="74" name="MSIP_Label_e50b24a1-e242-4aac-9a05-59733cdb30d3_ActionId">
    <vt:lpwstr>13224fb5-f804-43c2-8fac-4ab86650af3e</vt:lpwstr>
  </property>
  <property fmtid="{D5CDD505-2E9C-101B-9397-08002B2CF9AE}" pid="75" name="MSIP_Label_e50b24a1-e242-4aac-9a05-59733cdb30d3_Extended_MSFT_Method">
    <vt:lpwstr>Manual</vt:lpwstr>
  </property>
  <property fmtid="{D5CDD505-2E9C-101B-9397-08002B2CF9AE}" pid="76" name="MSIP_Label_5589aaed-22f4-47e9-a6ba-4e5ac1de55da_Enabled">
    <vt:lpwstr>True</vt:lpwstr>
  </property>
  <property fmtid="{D5CDD505-2E9C-101B-9397-08002B2CF9AE}" pid="77" name="MSIP_Label_5589aaed-22f4-47e9-a6ba-4e5ac1de55da_SiteId">
    <vt:lpwstr>92ebd22d-0a9c-4516-a68f-ba966853a8f3</vt:lpwstr>
  </property>
  <property fmtid="{D5CDD505-2E9C-101B-9397-08002B2CF9AE}" pid="78" name="MSIP_Label_5589aaed-22f4-47e9-a6ba-4e5ac1de55da_Owner">
    <vt:lpwstr>MOOREL2@yw.co.uk</vt:lpwstr>
  </property>
  <property fmtid="{D5CDD505-2E9C-101B-9397-08002B2CF9AE}" pid="79" name="MSIP_Label_5589aaed-22f4-47e9-a6ba-4e5ac1de55da_SetDate">
    <vt:lpwstr>2020-04-02T18:10:40.2722318Z</vt:lpwstr>
  </property>
  <property fmtid="{D5CDD505-2E9C-101B-9397-08002B2CF9AE}" pid="80" name="MSIP_Label_5589aaed-22f4-47e9-a6ba-4e5ac1de55da_Name">
    <vt:lpwstr>Business Sensitive</vt:lpwstr>
  </property>
  <property fmtid="{D5CDD505-2E9C-101B-9397-08002B2CF9AE}" pid="81" name="MSIP_Label_5589aaed-22f4-47e9-a6ba-4e5ac1de55da_Application">
    <vt:lpwstr>Microsoft Azure Information Protection</vt:lpwstr>
  </property>
  <property fmtid="{D5CDD505-2E9C-101B-9397-08002B2CF9AE}" pid="82" name="MSIP_Label_5589aaed-22f4-47e9-a6ba-4e5ac1de55da_ActionId">
    <vt:lpwstr>13224fb5-f804-43c2-8fac-4ab86650af3e</vt:lpwstr>
  </property>
  <property fmtid="{D5CDD505-2E9C-101B-9397-08002B2CF9AE}" pid="83" name="MSIP_Label_5589aaed-22f4-47e9-a6ba-4e5ac1de55da_Parent">
    <vt:lpwstr>e50b24a1-e242-4aac-9a05-59733cdb30d3</vt:lpwstr>
  </property>
  <property fmtid="{D5CDD505-2E9C-101B-9397-08002B2CF9AE}" pid="84" name="MSIP_Label_5589aaed-22f4-47e9-a6ba-4e5ac1de55da_Extended_MSFT_Method">
    <vt:lpwstr>Manual</vt:lpwstr>
  </property>
  <property fmtid="{D5CDD505-2E9C-101B-9397-08002B2CF9AE}" pid="85" name="Sensitivity">
    <vt:lpwstr>Restricted Business Sensitive</vt:lpwstr>
  </property>
  <property fmtid="{D5CDD505-2E9C-101B-9397-08002B2CF9AE}" pid="86" name="CofWorkbookId">
    <vt:lpwstr>753ebc10-515d-4ea0-b675-743fcc55f911</vt:lpwstr>
  </property>
</Properties>
</file>